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/>
  <mc:AlternateContent xmlns:mc="http://schemas.openxmlformats.org/markup-compatibility/2006">
    <mc:Choice Requires="x15">
      <x15ac:absPath xmlns:x15ac="http://schemas.microsoft.com/office/spreadsheetml/2010/11/ac" url="/Users/usuario/Desktop/Proyectos_Prueba Aut IA/Agente Prueba/sales_data/"/>
    </mc:Choice>
  </mc:AlternateContent>
  <xr:revisionPtr revIDLastSave="0" documentId="13_ncr:1_{31EF93BD-1DC2-F14B-84C4-A91D269424FB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datos 2026" sheetId="3" r:id="rId1"/>
    <sheet name="ventas 2026" sheetId="4" r:id="rId2"/>
    <sheet name="RESUMENMES26" sheetId="5" r:id="rId3"/>
    <sheet name="facturasemitidas" sheetId="6" r:id="rId4"/>
    <sheet name="2026AUDIF.FUERAGESTIÓN" sheetId="7" r:id="rId5"/>
    <sheet name="ventas 2025" sheetId="9" r:id="rId6"/>
    <sheet name="2025AUDIF.FUERAGESTIÓN25" sheetId="14" r:id="rId7"/>
    <sheet name="ventas_2024" sheetId="15" r:id="rId8"/>
  </sheets>
  <definedNames>
    <definedName name="_xlnm._FilterDatabase" localSheetId="4" hidden="1">'2026AUDIF.FUERAGESTIÓN'!$B$1:$B$1003</definedName>
    <definedName name="_xlnm._FilterDatabase" localSheetId="0" hidden="1">'datos 2026'!$A$1:$BA$3223</definedName>
    <definedName name="_xlnm._FilterDatabase" localSheetId="3" hidden="1">facturasemitidas!$B$1:$B$2016</definedName>
  </definedNames>
  <calcPr calcId="191029"/>
  <pivotCaches>
    <pivotCache cacheId="4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58" i="15" l="1"/>
  <c r="H1757" i="15"/>
  <c r="H1756" i="15"/>
  <c r="H1755" i="15"/>
  <c r="H1754" i="15"/>
  <c r="H1753" i="15"/>
  <c r="H1752" i="15"/>
  <c r="H1751" i="15"/>
  <c r="H1750" i="15"/>
  <c r="H1749" i="15"/>
  <c r="H1748" i="15"/>
  <c r="H1747" i="15"/>
  <c r="H1746" i="15"/>
  <c r="H1745" i="15"/>
  <c r="H1744" i="15"/>
  <c r="H1743" i="15"/>
  <c r="H1742" i="15"/>
  <c r="H1741" i="15"/>
  <c r="H1740" i="15"/>
  <c r="H1739" i="15"/>
  <c r="H1738" i="15"/>
  <c r="H1737" i="15"/>
  <c r="H1736" i="15"/>
  <c r="H1735" i="15"/>
  <c r="H1734" i="15"/>
  <c r="H1733" i="15"/>
  <c r="H1732" i="15"/>
  <c r="H1731" i="15"/>
  <c r="H1730" i="15"/>
  <c r="H1729" i="15"/>
  <c r="H1728" i="15"/>
  <c r="H1727" i="15"/>
  <c r="H1726" i="15"/>
  <c r="H1725" i="15"/>
  <c r="H1724" i="15"/>
  <c r="H1723" i="15"/>
  <c r="H1722" i="15"/>
  <c r="H1721" i="15"/>
  <c r="H1720" i="15"/>
  <c r="H1719" i="15"/>
  <c r="H1718" i="15"/>
  <c r="H1717" i="15"/>
  <c r="H1716" i="15"/>
  <c r="H1715" i="15"/>
  <c r="H1714" i="15"/>
  <c r="H1713" i="15"/>
  <c r="H1712" i="15"/>
  <c r="H1711" i="15"/>
  <c r="H1710" i="15"/>
  <c r="H1709" i="15"/>
  <c r="H1708" i="15"/>
  <c r="H1707" i="15"/>
  <c r="H1706" i="15"/>
  <c r="H1705" i="15"/>
  <c r="H1704" i="15"/>
  <c r="H1703" i="15"/>
  <c r="H1702" i="15"/>
  <c r="H1701" i="15"/>
  <c r="H1700" i="15"/>
  <c r="H1699" i="15"/>
  <c r="H1698" i="15"/>
  <c r="H1697" i="15"/>
  <c r="H1696" i="15"/>
  <c r="H1695" i="15"/>
  <c r="H1694" i="15"/>
  <c r="H1693" i="15"/>
  <c r="H1692" i="15"/>
  <c r="H1691" i="15"/>
  <c r="H1690" i="15"/>
  <c r="H1689" i="15"/>
  <c r="H1688" i="15"/>
  <c r="H1687" i="15"/>
  <c r="H1686" i="15"/>
  <c r="H1685" i="15"/>
  <c r="H1684" i="15"/>
  <c r="H1683" i="15"/>
  <c r="H1682" i="15"/>
  <c r="H1681" i="15"/>
  <c r="H1680" i="15"/>
  <c r="H1679" i="15"/>
  <c r="H1678" i="15"/>
  <c r="H1677" i="15"/>
  <c r="H1676" i="15"/>
  <c r="H1675" i="15"/>
  <c r="H1674" i="15"/>
  <c r="H1673" i="15"/>
  <c r="H1672" i="15"/>
  <c r="H1671" i="15"/>
  <c r="H1670" i="15"/>
  <c r="H1669" i="15"/>
  <c r="H1668" i="15"/>
  <c r="H1667" i="15"/>
  <c r="H1666" i="15"/>
  <c r="H1665" i="15"/>
  <c r="H1664" i="15"/>
  <c r="H1663" i="15"/>
  <c r="H1662" i="15"/>
  <c r="H1661" i="15"/>
  <c r="H1660" i="15"/>
  <c r="H1659" i="15"/>
  <c r="H1658" i="15"/>
  <c r="H1657" i="15"/>
  <c r="H1656" i="15"/>
  <c r="H1655" i="15"/>
  <c r="H1654" i="15"/>
  <c r="H1653" i="15"/>
  <c r="H1652" i="15"/>
  <c r="H1651" i="15"/>
  <c r="H1650" i="15"/>
  <c r="H1649" i="15"/>
  <c r="H1648" i="15"/>
  <c r="H1647" i="15"/>
  <c r="H1646" i="15"/>
  <c r="H1645" i="15"/>
  <c r="H1644" i="15"/>
  <c r="H1643" i="15"/>
  <c r="H1642" i="15"/>
  <c r="H1641" i="15"/>
  <c r="H1640" i="15"/>
  <c r="H1639" i="15"/>
  <c r="H1638" i="15"/>
  <c r="H1637" i="15"/>
  <c r="H1636" i="15"/>
  <c r="H1635" i="15"/>
  <c r="H1634" i="15"/>
  <c r="H1633" i="15"/>
  <c r="H1632" i="15"/>
  <c r="H1631" i="15"/>
  <c r="H1630" i="15"/>
  <c r="H1629" i="15"/>
  <c r="H1628" i="15"/>
  <c r="H1627" i="15"/>
  <c r="H1626" i="15"/>
  <c r="H1625" i="15"/>
  <c r="H1624" i="15"/>
  <c r="H1623" i="15"/>
  <c r="H1622" i="15"/>
  <c r="H1621" i="15"/>
  <c r="H1620" i="15"/>
  <c r="H1619" i="15"/>
  <c r="H1618" i="15"/>
  <c r="H1617" i="15"/>
  <c r="H1616" i="15"/>
  <c r="H1615" i="15"/>
  <c r="H1614" i="15"/>
  <c r="H1613" i="15"/>
  <c r="H1612" i="15"/>
  <c r="H1611" i="15"/>
  <c r="H1610" i="15"/>
  <c r="H1609" i="15"/>
  <c r="H1608" i="15"/>
  <c r="H1607" i="15"/>
  <c r="H1606" i="15"/>
  <c r="H1605" i="15"/>
  <c r="H1604" i="15"/>
  <c r="H1603" i="15"/>
  <c r="H1602" i="15"/>
  <c r="H1601" i="15"/>
  <c r="H1600" i="15"/>
  <c r="H1599" i="15"/>
  <c r="H1598" i="15"/>
  <c r="H1597" i="15"/>
  <c r="H1596" i="15"/>
  <c r="H1595" i="15"/>
  <c r="H1594" i="15"/>
  <c r="H1593" i="15"/>
  <c r="H1592" i="15"/>
  <c r="H1591" i="15"/>
  <c r="H1590" i="15"/>
  <c r="H1589" i="15"/>
  <c r="H1588" i="15"/>
  <c r="H1587" i="15"/>
  <c r="H1586" i="15"/>
  <c r="H1585" i="15"/>
  <c r="H1584" i="15"/>
  <c r="H1583" i="15"/>
  <c r="H1582" i="15"/>
  <c r="H1581" i="15"/>
  <c r="H1580" i="15"/>
  <c r="H1579" i="15"/>
  <c r="H1578" i="15"/>
  <c r="H1577" i="15"/>
  <c r="H1576" i="15"/>
  <c r="H1575" i="15"/>
  <c r="H1574" i="15"/>
  <c r="H1573" i="15"/>
  <c r="H1572" i="15"/>
  <c r="H1571" i="15"/>
  <c r="H1570" i="15"/>
  <c r="H1569" i="15"/>
  <c r="H1568" i="15"/>
  <c r="H1567" i="15"/>
  <c r="H1566" i="15"/>
  <c r="H1565" i="15"/>
  <c r="H1564" i="15"/>
  <c r="H1563" i="15"/>
  <c r="H1562" i="15"/>
  <c r="H1561" i="15"/>
  <c r="H1560" i="15"/>
  <c r="H1559" i="15"/>
  <c r="H1558" i="15"/>
  <c r="H1557" i="15"/>
  <c r="H1556" i="15"/>
  <c r="H1555" i="15"/>
  <c r="H1554" i="15"/>
  <c r="H1553" i="15"/>
  <c r="H1552" i="15"/>
  <c r="H1551" i="15"/>
  <c r="H1550" i="15"/>
  <c r="H1549" i="15"/>
  <c r="H1548" i="15"/>
  <c r="H1547" i="15"/>
  <c r="H1546" i="15"/>
  <c r="H1545" i="15"/>
  <c r="H1544" i="15"/>
  <c r="H1543" i="15"/>
  <c r="H1542" i="15"/>
  <c r="H1541" i="15"/>
  <c r="H1540" i="15"/>
  <c r="H1539" i="15"/>
  <c r="H1538" i="15"/>
  <c r="H1537" i="15"/>
  <c r="H1536" i="15"/>
  <c r="H1535" i="15"/>
  <c r="H1534" i="15"/>
  <c r="H1533" i="15"/>
  <c r="H1532" i="15"/>
  <c r="H1531" i="15"/>
  <c r="H1530" i="15"/>
  <c r="H1529" i="15"/>
  <c r="H1528" i="15"/>
  <c r="H1527" i="15"/>
  <c r="H1526" i="15"/>
  <c r="H1525" i="15"/>
  <c r="H1524" i="15"/>
  <c r="H1523" i="15"/>
  <c r="H1522" i="15"/>
  <c r="H1521" i="15"/>
  <c r="H1520" i="15"/>
  <c r="H1519" i="15"/>
  <c r="H1518" i="15"/>
  <c r="H1517" i="15"/>
  <c r="H1516" i="15"/>
  <c r="H1515" i="15"/>
  <c r="H1514" i="15"/>
  <c r="H1513" i="15"/>
  <c r="H1512" i="15"/>
  <c r="H1511" i="15"/>
  <c r="H1510" i="15"/>
  <c r="H1509" i="15"/>
  <c r="H1508" i="15"/>
  <c r="H1507" i="15"/>
  <c r="H1506" i="15"/>
  <c r="H1505" i="15"/>
  <c r="H1504" i="15"/>
  <c r="H1503" i="15"/>
  <c r="H1502" i="15"/>
  <c r="H1501" i="15"/>
  <c r="H1500" i="15"/>
  <c r="H1499" i="15"/>
  <c r="H1498" i="15"/>
  <c r="H1497" i="15"/>
  <c r="H1496" i="15"/>
  <c r="H1495" i="15"/>
  <c r="H1494" i="15"/>
  <c r="H1493" i="15"/>
  <c r="H1492" i="15"/>
  <c r="H1491" i="15"/>
  <c r="H1490" i="15"/>
  <c r="H1489" i="15"/>
  <c r="H1488" i="15"/>
  <c r="H1487" i="15"/>
  <c r="H1486" i="15"/>
  <c r="H1485" i="15"/>
  <c r="H1484" i="15"/>
  <c r="H1483" i="15"/>
  <c r="H1482" i="15"/>
  <c r="H1481" i="15"/>
  <c r="H1480" i="15"/>
  <c r="H1479" i="15"/>
  <c r="H1478" i="15"/>
  <c r="H1477" i="15"/>
  <c r="H1476" i="15"/>
  <c r="H1475" i="15"/>
  <c r="H1474" i="15"/>
  <c r="H1473" i="15"/>
  <c r="H1472" i="15"/>
  <c r="H1471" i="15"/>
  <c r="H1470" i="15"/>
  <c r="H1469" i="15"/>
  <c r="H1468" i="15"/>
  <c r="H1467" i="15"/>
  <c r="H1466" i="15"/>
  <c r="H1465" i="15"/>
  <c r="H1464" i="15"/>
  <c r="H1463" i="15"/>
  <c r="H1462" i="15"/>
  <c r="H1461" i="15"/>
  <c r="H1460" i="15"/>
  <c r="H1459" i="15"/>
  <c r="H1458" i="15"/>
  <c r="H1457" i="15"/>
  <c r="H1456" i="15"/>
  <c r="H1455" i="15"/>
  <c r="H1454" i="15"/>
  <c r="H1453" i="15"/>
  <c r="H1452" i="15"/>
  <c r="H1451" i="15"/>
  <c r="H1450" i="15"/>
  <c r="H1449" i="15"/>
  <c r="H1448" i="15"/>
  <c r="H1447" i="15"/>
  <c r="H1446" i="15"/>
  <c r="H1445" i="15"/>
  <c r="H1444" i="15"/>
  <c r="H1443" i="15"/>
  <c r="H1442" i="15"/>
  <c r="H1441" i="15"/>
  <c r="H1440" i="15"/>
  <c r="H1439" i="15"/>
  <c r="H1438" i="15"/>
  <c r="H1437" i="15"/>
  <c r="H1436" i="15"/>
  <c r="H1435" i="15"/>
  <c r="H1434" i="15"/>
  <c r="H1433" i="15"/>
  <c r="H1432" i="15"/>
  <c r="H1431" i="15"/>
  <c r="H1430" i="15"/>
  <c r="H1429" i="15"/>
  <c r="H1428" i="15"/>
  <c r="H1427" i="15"/>
  <c r="H1426" i="15"/>
  <c r="H1425" i="15"/>
  <c r="H1424" i="15"/>
  <c r="H1423" i="15"/>
  <c r="H1422" i="15"/>
  <c r="H1421" i="15"/>
  <c r="H1420" i="15"/>
  <c r="H1419" i="15"/>
  <c r="H1418" i="15"/>
  <c r="H1417" i="15"/>
  <c r="H1416" i="15"/>
  <c r="H1415" i="15"/>
  <c r="H1414" i="15"/>
  <c r="H1413" i="15"/>
  <c r="H1412" i="15"/>
  <c r="H1411" i="15"/>
  <c r="H1410" i="15"/>
  <c r="H1409" i="15"/>
  <c r="H1408" i="15"/>
  <c r="H1407" i="15"/>
  <c r="H1406" i="15"/>
  <c r="H1405" i="15"/>
  <c r="H1404" i="15"/>
  <c r="H1403" i="15"/>
  <c r="H1402" i="15"/>
  <c r="H1401" i="15"/>
  <c r="H1400" i="15"/>
  <c r="H1399" i="15"/>
  <c r="H1398" i="15"/>
  <c r="H1397" i="15"/>
  <c r="H1396" i="15"/>
  <c r="H1395" i="15"/>
  <c r="H1394" i="15"/>
  <c r="H1393" i="15"/>
  <c r="H1392" i="15"/>
  <c r="H1391" i="15"/>
  <c r="H1390" i="15"/>
  <c r="H1389" i="15"/>
  <c r="H1388" i="15"/>
  <c r="H1387" i="15"/>
  <c r="H1386" i="15"/>
  <c r="H1385" i="15"/>
  <c r="H1384" i="15"/>
  <c r="H1383" i="15"/>
  <c r="H1382" i="15"/>
  <c r="H1381" i="15"/>
  <c r="H1380" i="15"/>
  <c r="H1379" i="15"/>
  <c r="H1378" i="15"/>
  <c r="H1377" i="15"/>
  <c r="H1376" i="15"/>
  <c r="H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H1341" i="15"/>
  <c r="H1340" i="15"/>
  <c r="H1339" i="15"/>
  <c r="H1338" i="15"/>
  <c r="H1337" i="15"/>
  <c r="H1336" i="15"/>
  <c r="H1335" i="15"/>
  <c r="H1334" i="15"/>
  <c r="H1333" i="15"/>
  <c r="H1332" i="15"/>
  <c r="H1331" i="15"/>
  <c r="H1330" i="15"/>
  <c r="H1329" i="15"/>
  <c r="H1328" i="15"/>
  <c r="H1327" i="15"/>
  <c r="H1326" i="15"/>
  <c r="H1325" i="15"/>
  <c r="H1324" i="15"/>
  <c r="H1323" i="15"/>
  <c r="H1322" i="15"/>
  <c r="H1321" i="15"/>
  <c r="H1320" i="15"/>
  <c r="H1319" i="15"/>
  <c r="H1318" i="15"/>
  <c r="H1317" i="15"/>
  <c r="H1316" i="15"/>
  <c r="H1315" i="15"/>
  <c r="H1314" i="15"/>
  <c r="H1313" i="15"/>
  <c r="H1312" i="15"/>
  <c r="H1311" i="15"/>
  <c r="H1310" i="15"/>
  <c r="H1309" i="15"/>
  <c r="H1308" i="15"/>
  <c r="H1307" i="15"/>
  <c r="H1306" i="15"/>
  <c r="H1305" i="15"/>
  <c r="H1304" i="15"/>
  <c r="H1303" i="15"/>
  <c r="H1302" i="15"/>
  <c r="H1301" i="15"/>
  <c r="H1300" i="15"/>
  <c r="H1299" i="15"/>
  <c r="H1298" i="15"/>
  <c r="H1297" i="15"/>
  <c r="H1296" i="15"/>
  <c r="H1295" i="15"/>
  <c r="H1294" i="15"/>
  <c r="H1293" i="15"/>
  <c r="H1292" i="15"/>
  <c r="H1291" i="15"/>
  <c r="H1290" i="15"/>
  <c r="H1289" i="15"/>
  <c r="H1288" i="15"/>
  <c r="H1287" i="15"/>
  <c r="H1286" i="15"/>
  <c r="H1285" i="15"/>
  <c r="H1284" i="15"/>
  <c r="H1283" i="15"/>
  <c r="H1282" i="15"/>
  <c r="H1281" i="15"/>
  <c r="H1280" i="15"/>
  <c r="H1279" i="15"/>
  <c r="H1278" i="15"/>
  <c r="H1277" i="15"/>
  <c r="H1276" i="15"/>
  <c r="H1275" i="15"/>
  <c r="H1274" i="15"/>
  <c r="H1273" i="15"/>
  <c r="H1272" i="15"/>
  <c r="H1271" i="15"/>
  <c r="H1270" i="15"/>
  <c r="H1269" i="15"/>
  <c r="H1268" i="15"/>
  <c r="H1267" i="15"/>
  <c r="H1266" i="15"/>
  <c r="H1265" i="15"/>
  <c r="H1264" i="15"/>
  <c r="H1263" i="15"/>
  <c r="H1262" i="15"/>
  <c r="H1261" i="15"/>
  <c r="H1260" i="15"/>
  <c r="H1259" i="15"/>
  <c r="H1258" i="15"/>
  <c r="H1257" i="15"/>
  <c r="H1256" i="15"/>
  <c r="H1255" i="15"/>
  <c r="H1254" i="15"/>
  <c r="H1253" i="15"/>
  <c r="H1252" i="15"/>
  <c r="H1251" i="15"/>
  <c r="H1250" i="15"/>
  <c r="H1249" i="15"/>
  <c r="H1248" i="15"/>
  <c r="H1247" i="15"/>
  <c r="H1246" i="15"/>
  <c r="H1245" i="15"/>
  <c r="H1244" i="15"/>
  <c r="H1243" i="15"/>
  <c r="H1242" i="15"/>
  <c r="H1241" i="15"/>
  <c r="H1240" i="15"/>
  <c r="H1239" i="15"/>
  <c r="H1238" i="15"/>
  <c r="H1237" i="15"/>
  <c r="H1236" i="15"/>
  <c r="H1235" i="15"/>
  <c r="H1234" i="15"/>
  <c r="H1233" i="15"/>
  <c r="H1232" i="15"/>
  <c r="H1231" i="15"/>
  <c r="H1230" i="15"/>
  <c r="H1229" i="15"/>
  <c r="H1228" i="15"/>
  <c r="H1227" i="15"/>
  <c r="H1226" i="15"/>
  <c r="H1225" i="15"/>
  <c r="H1224" i="15"/>
  <c r="H1223" i="15"/>
  <c r="H1222" i="15"/>
  <c r="H1221" i="15"/>
  <c r="H1220" i="15"/>
  <c r="H1219" i="15"/>
  <c r="H1218" i="15"/>
  <c r="H1217" i="15"/>
  <c r="H1216" i="15"/>
  <c r="H1215" i="15"/>
  <c r="H1214" i="15"/>
  <c r="H1213" i="15"/>
  <c r="H1212" i="15"/>
  <c r="H1211" i="15"/>
  <c r="H1210" i="15"/>
  <c r="H1209" i="15"/>
  <c r="H1208" i="15"/>
  <c r="H1207" i="15"/>
  <c r="H1206" i="15"/>
  <c r="H1205" i="15"/>
  <c r="H1204" i="15"/>
  <c r="H1203" i="15"/>
  <c r="H1202" i="15"/>
  <c r="H1201" i="15"/>
  <c r="H1200" i="15"/>
  <c r="H1199" i="15"/>
  <c r="H1198" i="15"/>
  <c r="H1197" i="15"/>
  <c r="H1196" i="15"/>
  <c r="H1195" i="15"/>
  <c r="H1194" i="15"/>
  <c r="H1193" i="15"/>
  <c r="H1192" i="15"/>
  <c r="H1191" i="15"/>
  <c r="H1190" i="15"/>
  <c r="H1189" i="15"/>
  <c r="H1188" i="15"/>
  <c r="H1187" i="15"/>
  <c r="H1186" i="15"/>
  <c r="H1185" i="15"/>
  <c r="H1184" i="15"/>
  <c r="H1183" i="15"/>
  <c r="H1182" i="15"/>
  <c r="H1181" i="15"/>
  <c r="H1180" i="15"/>
  <c r="H1179" i="15"/>
  <c r="H1178" i="15"/>
  <c r="H1177" i="15"/>
  <c r="H1176" i="15"/>
  <c r="H1175" i="15"/>
  <c r="H1174" i="15"/>
  <c r="H1173" i="15"/>
  <c r="H1172" i="15"/>
  <c r="H1171" i="15"/>
  <c r="H1170" i="15"/>
  <c r="H1169" i="15"/>
  <c r="H1168" i="15"/>
  <c r="H1167" i="15"/>
  <c r="H1166" i="15"/>
  <c r="H1165" i="15"/>
  <c r="H1164" i="15"/>
  <c r="H1163" i="15"/>
  <c r="H1162" i="15"/>
  <c r="H1161" i="15"/>
  <c r="H1160" i="15"/>
  <c r="H1159" i="15"/>
  <c r="H1158" i="15"/>
  <c r="H1157" i="15"/>
  <c r="H1156" i="15"/>
  <c r="H1155" i="15"/>
  <c r="H1154" i="15"/>
  <c r="H1153" i="15"/>
  <c r="H1152" i="15"/>
  <c r="H1151" i="15"/>
  <c r="H1150" i="15"/>
  <c r="H1149" i="15"/>
  <c r="H1148" i="15"/>
  <c r="H1147" i="15"/>
  <c r="H1146" i="15"/>
  <c r="H1145" i="15"/>
  <c r="H1144" i="15"/>
  <c r="H1143" i="15"/>
  <c r="H1142" i="15"/>
  <c r="H1141" i="15"/>
  <c r="H1140" i="15"/>
  <c r="H1139" i="15"/>
  <c r="H1138" i="15"/>
  <c r="H1137" i="15"/>
  <c r="H1136" i="15"/>
  <c r="H1135" i="15"/>
  <c r="H1134" i="15"/>
  <c r="H1133" i="15"/>
  <c r="H1132" i="15"/>
  <c r="H1131" i="15"/>
  <c r="H1130" i="15"/>
  <c r="H1129" i="15"/>
  <c r="H1128" i="15"/>
  <c r="H1127" i="15"/>
  <c r="H1126" i="15"/>
  <c r="H1125" i="15"/>
  <c r="H1124" i="15"/>
  <c r="H1123" i="15"/>
  <c r="H1122" i="15"/>
  <c r="H1121" i="15"/>
  <c r="H1120" i="15"/>
  <c r="H11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98" i="15"/>
  <c r="H997" i="15"/>
  <c r="H996" i="15"/>
  <c r="H995" i="15"/>
  <c r="H994" i="15"/>
  <c r="H993" i="15"/>
  <c r="H992" i="15"/>
  <c r="H991" i="15"/>
  <c r="H990" i="15"/>
  <c r="H989" i="15"/>
  <c r="H988" i="15"/>
  <c r="H987" i="15"/>
  <c r="H986" i="15"/>
  <c r="H985" i="15"/>
  <c r="H984" i="15"/>
  <c r="H983" i="15"/>
  <c r="H982" i="15"/>
  <c r="H981" i="15"/>
  <c r="H980" i="15"/>
  <c r="H979" i="15"/>
  <c r="H978" i="15"/>
  <c r="H977" i="15"/>
  <c r="H976" i="15"/>
  <c r="H975" i="15"/>
  <c r="H974" i="15"/>
  <c r="H973" i="15"/>
  <c r="H972" i="15"/>
  <c r="H971" i="15"/>
  <c r="H970" i="15"/>
  <c r="H969" i="15"/>
  <c r="H968" i="15"/>
  <c r="H967" i="15"/>
  <c r="H966" i="15"/>
  <c r="H965" i="15"/>
  <c r="H964" i="15"/>
  <c r="H963" i="15"/>
  <c r="H962" i="15"/>
  <c r="H961" i="15"/>
  <c r="H960" i="15"/>
  <c r="H959" i="15"/>
  <c r="H958" i="15"/>
  <c r="H957" i="15"/>
  <c r="H956" i="15"/>
  <c r="H955" i="15"/>
  <c r="H954" i="15"/>
  <c r="H953" i="15"/>
  <c r="H952" i="15"/>
  <c r="H951" i="15"/>
  <c r="H950" i="15"/>
  <c r="H949" i="15"/>
  <c r="H948" i="15"/>
  <c r="H947" i="15"/>
  <c r="H946" i="15"/>
  <c r="H945" i="15"/>
  <c r="H944" i="15"/>
  <c r="H943" i="15"/>
  <c r="H942" i="15"/>
  <c r="H941" i="15"/>
  <c r="H940" i="15"/>
  <c r="H93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H844" i="15"/>
  <c r="H843" i="15"/>
  <c r="H842" i="15"/>
  <c r="H841" i="15"/>
  <c r="H840" i="15"/>
  <c r="H839" i="15"/>
  <c r="H838" i="15"/>
  <c r="H837" i="15"/>
  <c r="H836" i="15"/>
  <c r="H835" i="15"/>
  <c r="H834" i="15"/>
  <c r="H833" i="15"/>
  <c r="H832" i="15"/>
  <c r="H831" i="15"/>
  <c r="H830" i="15"/>
  <c r="H829" i="15"/>
  <c r="H828" i="15"/>
  <c r="H827" i="15"/>
  <c r="H826" i="15"/>
  <c r="H825" i="15"/>
  <c r="H824" i="15"/>
  <c r="H823" i="15"/>
  <c r="H822" i="15"/>
  <c r="H821" i="15"/>
  <c r="H820" i="15"/>
  <c r="H819" i="15"/>
  <c r="H818" i="15"/>
  <c r="H817" i="15"/>
  <c r="H816" i="15"/>
  <c r="H815" i="15"/>
  <c r="H814" i="15"/>
  <c r="H813" i="15"/>
  <c r="H812" i="15"/>
  <c r="H811" i="15"/>
  <c r="H810" i="15"/>
  <c r="H809" i="15"/>
  <c r="H808" i="15"/>
  <c r="H807" i="15"/>
  <c r="H806" i="15"/>
  <c r="H805" i="15"/>
  <c r="H804" i="15"/>
  <c r="H803" i="15"/>
  <c r="H802" i="15"/>
  <c r="H801" i="15"/>
  <c r="H800" i="15"/>
  <c r="H799" i="15"/>
  <c r="H798" i="15"/>
  <c r="H797" i="15"/>
  <c r="H796" i="15"/>
  <c r="H795" i="15"/>
  <c r="H794" i="15"/>
  <c r="H793" i="15"/>
  <c r="H792" i="15"/>
  <c r="H791" i="15"/>
  <c r="H790" i="15"/>
  <c r="H789" i="15"/>
  <c r="H788" i="15"/>
  <c r="H787" i="15"/>
  <c r="H786" i="15"/>
  <c r="H785" i="15"/>
  <c r="H784" i="15"/>
  <c r="H783" i="15"/>
  <c r="H782" i="15"/>
  <c r="H781" i="15"/>
  <c r="H780" i="15"/>
  <c r="H779" i="15"/>
  <c r="H778" i="15"/>
  <c r="H777" i="15"/>
  <c r="H776" i="15"/>
  <c r="H775" i="15"/>
  <c r="H774" i="15"/>
  <c r="H773" i="15"/>
  <c r="H772" i="15"/>
  <c r="H771" i="15"/>
  <c r="H770" i="15"/>
  <c r="H769" i="15"/>
  <c r="H768" i="15"/>
  <c r="H767" i="15"/>
  <c r="H766" i="15"/>
  <c r="H765" i="15"/>
  <c r="H764" i="15"/>
  <c r="H763" i="15"/>
  <c r="H762" i="15"/>
  <c r="H761" i="15"/>
  <c r="H760" i="15"/>
  <c r="H759" i="15"/>
  <c r="H758" i="15"/>
  <c r="H757" i="15"/>
  <c r="H756" i="15"/>
  <c r="H755" i="15"/>
  <c r="H754" i="15"/>
  <c r="H753" i="15"/>
  <c r="H752" i="15"/>
  <c r="H751" i="15"/>
  <c r="H750" i="15"/>
  <c r="H749" i="15"/>
  <c r="H748" i="15"/>
  <c r="H747" i="15"/>
  <c r="H746" i="15"/>
  <c r="H745" i="15"/>
  <c r="H744" i="15"/>
  <c r="H743" i="15"/>
  <c r="H742" i="15"/>
  <c r="H741" i="15"/>
  <c r="H740" i="15"/>
  <c r="H739" i="15"/>
  <c r="H738" i="15"/>
  <c r="H737" i="15"/>
  <c r="H736" i="15"/>
  <c r="H735" i="15"/>
  <c r="H734" i="15"/>
  <c r="H733" i="15"/>
  <c r="H732" i="15"/>
  <c r="H731" i="15"/>
  <c r="H730" i="15"/>
  <c r="H729" i="15"/>
  <c r="H728" i="15"/>
  <c r="H727" i="15"/>
  <c r="H726" i="15"/>
  <c r="H725" i="15"/>
  <c r="H724" i="15"/>
  <c r="H723" i="15"/>
  <c r="H722" i="15"/>
  <c r="H721" i="15"/>
  <c r="H720" i="15"/>
  <c r="H719" i="15"/>
  <c r="H718" i="15"/>
  <c r="H717" i="15"/>
  <c r="H716" i="15"/>
  <c r="H715" i="15"/>
  <c r="H714" i="15"/>
  <c r="H713" i="15"/>
  <c r="H712" i="15"/>
  <c r="H711" i="15"/>
  <c r="H710" i="15"/>
  <c r="H709" i="15"/>
  <c r="H708" i="15"/>
  <c r="H707" i="15"/>
  <c r="H706" i="15"/>
  <c r="H705" i="15"/>
  <c r="H704" i="15"/>
  <c r="H703" i="15"/>
  <c r="H702" i="15"/>
  <c r="H701" i="15"/>
  <c r="H700" i="15"/>
  <c r="H699" i="15"/>
  <c r="H698" i="15"/>
  <c r="H697" i="15"/>
  <c r="H696" i="15"/>
  <c r="H695" i="15"/>
  <c r="H694" i="15"/>
  <c r="H693" i="15"/>
  <c r="H692" i="15"/>
  <c r="H691" i="15"/>
  <c r="H690" i="15"/>
  <c r="H689" i="15"/>
  <c r="H688" i="15"/>
  <c r="H687" i="15"/>
  <c r="H686" i="15"/>
  <c r="H685" i="15"/>
  <c r="H684" i="15"/>
  <c r="H683" i="15"/>
  <c r="H682" i="15"/>
  <c r="H681" i="15"/>
  <c r="H680" i="15"/>
  <c r="H679" i="15"/>
  <c r="H678" i="15"/>
  <c r="H677" i="15"/>
  <c r="H676" i="15"/>
  <c r="H675" i="15"/>
  <c r="H674" i="15"/>
  <c r="H673" i="15"/>
  <c r="H672" i="15"/>
  <c r="H671" i="15"/>
  <c r="H670" i="15"/>
  <c r="H669" i="15"/>
  <c r="H668" i="15"/>
  <c r="H667" i="15"/>
  <c r="H666" i="15"/>
  <c r="H665" i="15"/>
  <c r="H664" i="15"/>
  <c r="H663" i="15"/>
  <c r="H662" i="15"/>
  <c r="H661" i="15"/>
  <c r="H660" i="15"/>
  <c r="H659" i="15"/>
  <c r="H658" i="15"/>
  <c r="H657" i="15"/>
  <c r="H656" i="15"/>
  <c r="H655" i="15"/>
  <c r="H654" i="15"/>
  <c r="H653" i="15"/>
  <c r="H652" i="15"/>
  <c r="H651" i="15"/>
  <c r="H650" i="15"/>
  <c r="H649" i="15"/>
  <c r="H648" i="15"/>
  <c r="H647" i="15"/>
  <c r="H646" i="15"/>
  <c r="H645" i="15"/>
  <c r="H644" i="15"/>
  <c r="H643" i="15"/>
  <c r="H642" i="15"/>
  <c r="H641" i="15"/>
  <c r="H640" i="15"/>
  <c r="H639" i="15"/>
  <c r="H638" i="15"/>
  <c r="H637" i="15"/>
  <c r="H636" i="15"/>
  <c r="H635" i="15"/>
  <c r="H634" i="15"/>
  <c r="H633" i="15"/>
  <c r="H632" i="15"/>
  <c r="H631" i="15"/>
  <c r="H630" i="15"/>
  <c r="H629" i="15"/>
  <c r="H628" i="15"/>
  <c r="H627" i="15"/>
  <c r="H626" i="15"/>
  <c r="H625" i="15"/>
  <c r="H624" i="15"/>
  <c r="H623" i="15"/>
  <c r="H622" i="15"/>
  <c r="H621" i="15"/>
  <c r="H620" i="15"/>
  <c r="H619" i="15"/>
  <c r="H618" i="15"/>
  <c r="H617" i="15"/>
  <c r="H616" i="15"/>
  <c r="H615" i="15"/>
  <c r="H614" i="15"/>
  <c r="H613" i="15"/>
  <c r="H612" i="15"/>
  <c r="H611" i="15"/>
  <c r="H610" i="15"/>
  <c r="H609" i="15"/>
  <c r="H608" i="15"/>
  <c r="H607" i="15"/>
  <c r="H606" i="15"/>
  <c r="H605" i="15"/>
  <c r="H604" i="15"/>
  <c r="H603" i="15"/>
  <c r="H602" i="15"/>
  <c r="H601" i="15"/>
  <c r="H600" i="15"/>
  <c r="H599" i="15"/>
  <c r="H598" i="15"/>
  <c r="H597" i="15"/>
  <c r="H596" i="15"/>
  <c r="H595" i="15"/>
  <c r="H594" i="15"/>
  <c r="H593" i="15"/>
  <c r="H592" i="15"/>
  <c r="H591" i="15"/>
  <c r="H590" i="15"/>
  <c r="H589" i="15"/>
  <c r="H588" i="15"/>
  <c r="H587" i="15"/>
  <c r="H586" i="15"/>
  <c r="H585" i="15"/>
  <c r="H584" i="15"/>
  <c r="H583" i="15"/>
  <c r="H582" i="15"/>
  <c r="H581" i="15"/>
  <c r="H580" i="15"/>
  <c r="H579" i="15"/>
  <c r="H578" i="15"/>
  <c r="H577" i="15"/>
  <c r="H576" i="15"/>
  <c r="H575" i="15"/>
  <c r="H574" i="15"/>
  <c r="H573" i="15"/>
  <c r="H572" i="15"/>
  <c r="H571" i="15"/>
  <c r="H570" i="15"/>
  <c r="H569" i="15"/>
  <c r="H568" i="15"/>
  <c r="H567" i="15"/>
  <c r="H566" i="15"/>
  <c r="H565" i="15"/>
  <c r="H564" i="15"/>
  <c r="H563" i="15"/>
  <c r="H562" i="15"/>
  <c r="H561" i="15"/>
  <c r="H560" i="15"/>
  <c r="H559" i="15"/>
  <c r="H558" i="15"/>
  <c r="H557" i="15"/>
  <c r="H556" i="15"/>
  <c r="H555" i="15"/>
  <c r="H554" i="15"/>
  <c r="H553" i="15"/>
  <c r="H552" i="15"/>
  <c r="H551" i="15"/>
  <c r="H550" i="15"/>
  <c r="H549" i="15"/>
  <c r="H548" i="15"/>
  <c r="H547" i="15"/>
  <c r="H546" i="15"/>
  <c r="H545" i="15"/>
  <c r="H544" i="15"/>
  <c r="H543" i="15"/>
  <c r="H542" i="15"/>
  <c r="H541" i="15"/>
  <c r="H540" i="15"/>
  <c r="H539" i="15"/>
  <c r="H538" i="15"/>
  <c r="H537" i="15"/>
  <c r="H536" i="15"/>
  <c r="H535" i="15"/>
  <c r="H534" i="15"/>
  <c r="H533" i="15"/>
  <c r="H532" i="15"/>
  <c r="H531" i="15"/>
  <c r="H530" i="15"/>
  <c r="H529" i="15"/>
  <c r="H528" i="15"/>
  <c r="H527" i="15"/>
  <c r="H526" i="15"/>
  <c r="H525" i="15"/>
  <c r="H524" i="15"/>
  <c r="H523" i="15"/>
  <c r="H522" i="15"/>
  <c r="H521" i="15"/>
  <c r="H520" i="15"/>
  <c r="H519" i="15"/>
  <c r="H518" i="15"/>
  <c r="H517" i="15"/>
  <c r="H516" i="15"/>
  <c r="H515" i="15"/>
  <c r="H514" i="15"/>
  <c r="H513" i="15"/>
  <c r="H512" i="15"/>
  <c r="H511" i="15"/>
  <c r="H510" i="15"/>
  <c r="H509" i="15"/>
  <c r="H508" i="15"/>
  <c r="H507" i="15"/>
  <c r="H506" i="15"/>
  <c r="H505" i="15"/>
  <c r="H504" i="15"/>
  <c r="H503" i="15"/>
  <c r="H502" i="15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1" i="15"/>
  <c r="P1749" i="9"/>
  <c r="O1749" i="9"/>
  <c r="N1749" i="9"/>
  <c r="M1749" i="9"/>
  <c r="L1749" i="9"/>
  <c r="K1749" i="9"/>
  <c r="J1749" i="9"/>
  <c r="I1749" i="9"/>
  <c r="H1749" i="9"/>
  <c r="G1749" i="9"/>
  <c r="F1749" i="9"/>
  <c r="E1749" i="9"/>
  <c r="D1749" i="9"/>
  <c r="C1749" i="9"/>
  <c r="B1749" i="9"/>
  <c r="P1748" i="9"/>
  <c r="O1748" i="9"/>
  <c r="N1748" i="9"/>
  <c r="M1748" i="9"/>
  <c r="L1748" i="9"/>
  <c r="K1748" i="9"/>
  <c r="J1748" i="9"/>
  <c r="I1748" i="9"/>
  <c r="H1748" i="9"/>
  <c r="G1748" i="9"/>
  <c r="F1748" i="9"/>
  <c r="E1748" i="9"/>
  <c r="D1748" i="9"/>
  <c r="C1748" i="9"/>
  <c r="B1748" i="9"/>
  <c r="P1747" i="9"/>
  <c r="O1747" i="9"/>
  <c r="N1747" i="9"/>
  <c r="M1747" i="9"/>
  <c r="L1747" i="9"/>
  <c r="K1747" i="9"/>
  <c r="J1747" i="9"/>
  <c r="I1747" i="9"/>
  <c r="H1747" i="9"/>
  <c r="G1747" i="9"/>
  <c r="F1747" i="9"/>
  <c r="E1747" i="9"/>
  <c r="D1747" i="9"/>
  <c r="C1747" i="9"/>
  <c r="B1747" i="9"/>
  <c r="P1746" i="9"/>
  <c r="O1746" i="9"/>
  <c r="N1746" i="9"/>
  <c r="M1746" i="9"/>
  <c r="L1746" i="9"/>
  <c r="K1746" i="9"/>
  <c r="J1746" i="9"/>
  <c r="I1746" i="9"/>
  <c r="H1746" i="9"/>
  <c r="G1746" i="9"/>
  <c r="F1746" i="9"/>
  <c r="E1746" i="9"/>
  <c r="D1746" i="9"/>
  <c r="C1746" i="9"/>
  <c r="B1746" i="9"/>
  <c r="P1745" i="9"/>
  <c r="O1745" i="9"/>
  <c r="N1745" i="9"/>
  <c r="M1745" i="9"/>
  <c r="L1745" i="9"/>
  <c r="K1745" i="9"/>
  <c r="J1745" i="9"/>
  <c r="I1745" i="9"/>
  <c r="H1745" i="9"/>
  <c r="G1745" i="9"/>
  <c r="F1745" i="9"/>
  <c r="E1745" i="9"/>
  <c r="D1745" i="9"/>
  <c r="C1745" i="9"/>
  <c r="B1745" i="9"/>
  <c r="P1744" i="9"/>
  <c r="O1744" i="9"/>
  <c r="N1744" i="9"/>
  <c r="M1744" i="9"/>
  <c r="L1744" i="9"/>
  <c r="K1744" i="9"/>
  <c r="J1744" i="9"/>
  <c r="I1744" i="9"/>
  <c r="H1744" i="9"/>
  <c r="G1744" i="9"/>
  <c r="F1744" i="9"/>
  <c r="E1744" i="9"/>
  <c r="D1744" i="9"/>
  <c r="C1744" i="9"/>
  <c r="B1744" i="9"/>
  <c r="P1743" i="9"/>
  <c r="O1743" i="9"/>
  <c r="N1743" i="9"/>
  <c r="M1743" i="9"/>
  <c r="L1743" i="9"/>
  <c r="K1743" i="9"/>
  <c r="J1743" i="9"/>
  <c r="I1743" i="9"/>
  <c r="H1743" i="9"/>
  <c r="G1743" i="9"/>
  <c r="F1743" i="9"/>
  <c r="E1743" i="9"/>
  <c r="D1743" i="9"/>
  <c r="C1743" i="9"/>
  <c r="B1743" i="9"/>
  <c r="P1742" i="9"/>
  <c r="O1742" i="9"/>
  <c r="N1742" i="9"/>
  <c r="M1742" i="9"/>
  <c r="L1742" i="9"/>
  <c r="K1742" i="9"/>
  <c r="J1742" i="9"/>
  <c r="I1742" i="9"/>
  <c r="H1742" i="9"/>
  <c r="G1742" i="9"/>
  <c r="F1742" i="9"/>
  <c r="E1742" i="9"/>
  <c r="D1742" i="9"/>
  <c r="C1742" i="9"/>
  <c r="B1742" i="9"/>
  <c r="P1741" i="9"/>
  <c r="O1741" i="9"/>
  <c r="N1741" i="9"/>
  <c r="M1741" i="9"/>
  <c r="L1741" i="9"/>
  <c r="K1741" i="9"/>
  <c r="J1741" i="9"/>
  <c r="I1741" i="9"/>
  <c r="H1741" i="9"/>
  <c r="G1741" i="9"/>
  <c r="F1741" i="9"/>
  <c r="E1741" i="9"/>
  <c r="D1741" i="9"/>
  <c r="C1741" i="9"/>
  <c r="B1741" i="9"/>
  <c r="P1740" i="9"/>
  <c r="O1740" i="9"/>
  <c r="N1740" i="9"/>
  <c r="M1740" i="9"/>
  <c r="L1740" i="9"/>
  <c r="K1740" i="9"/>
  <c r="J1740" i="9"/>
  <c r="I1740" i="9"/>
  <c r="H1740" i="9"/>
  <c r="G1740" i="9"/>
  <c r="F1740" i="9"/>
  <c r="E1740" i="9"/>
  <c r="D1740" i="9"/>
  <c r="C1740" i="9"/>
  <c r="B1740" i="9"/>
  <c r="P1739" i="9"/>
  <c r="O1739" i="9"/>
  <c r="N1739" i="9"/>
  <c r="M1739" i="9"/>
  <c r="L1739" i="9"/>
  <c r="K1739" i="9"/>
  <c r="J1739" i="9"/>
  <c r="I1739" i="9"/>
  <c r="H1739" i="9"/>
  <c r="G1739" i="9"/>
  <c r="F1739" i="9"/>
  <c r="E1739" i="9"/>
  <c r="D1739" i="9"/>
  <c r="C1739" i="9"/>
  <c r="B1739" i="9"/>
  <c r="P1738" i="9"/>
  <c r="O1738" i="9"/>
  <c r="N1738" i="9"/>
  <c r="M1738" i="9"/>
  <c r="L1738" i="9"/>
  <c r="K1738" i="9"/>
  <c r="J1738" i="9"/>
  <c r="I1738" i="9"/>
  <c r="H1738" i="9"/>
  <c r="G1738" i="9"/>
  <c r="F1738" i="9"/>
  <c r="E1738" i="9"/>
  <c r="D1738" i="9"/>
  <c r="C1738" i="9"/>
  <c r="B1738" i="9"/>
  <c r="P1737" i="9"/>
  <c r="O1737" i="9"/>
  <c r="N1737" i="9"/>
  <c r="M1737" i="9"/>
  <c r="L1737" i="9"/>
  <c r="K1737" i="9"/>
  <c r="J1737" i="9"/>
  <c r="I1737" i="9"/>
  <c r="H1737" i="9"/>
  <c r="G1737" i="9"/>
  <c r="F1737" i="9"/>
  <c r="E1737" i="9"/>
  <c r="D1737" i="9"/>
  <c r="C1737" i="9"/>
  <c r="B1737" i="9"/>
  <c r="P1736" i="9"/>
  <c r="O1736" i="9"/>
  <c r="N1736" i="9"/>
  <c r="M1736" i="9"/>
  <c r="L1736" i="9"/>
  <c r="K1736" i="9"/>
  <c r="J1736" i="9"/>
  <c r="I1736" i="9"/>
  <c r="H1736" i="9"/>
  <c r="G1736" i="9"/>
  <c r="F1736" i="9"/>
  <c r="E1736" i="9"/>
  <c r="D1736" i="9"/>
  <c r="C1736" i="9"/>
  <c r="B1736" i="9"/>
  <c r="P1735" i="9"/>
  <c r="O1735" i="9"/>
  <c r="N1735" i="9"/>
  <c r="M1735" i="9"/>
  <c r="L1735" i="9"/>
  <c r="K1735" i="9"/>
  <c r="J1735" i="9"/>
  <c r="I1735" i="9"/>
  <c r="H1735" i="9"/>
  <c r="G1735" i="9"/>
  <c r="F1735" i="9"/>
  <c r="E1735" i="9"/>
  <c r="D1735" i="9"/>
  <c r="C1735" i="9"/>
  <c r="B1735" i="9"/>
  <c r="P1734" i="9"/>
  <c r="O1734" i="9"/>
  <c r="N1734" i="9"/>
  <c r="M1734" i="9"/>
  <c r="L1734" i="9"/>
  <c r="K1734" i="9"/>
  <c r="J1734" i="9"/>
  <c r="I1734" i="9"/>
  <c r="H1734" i="9"/>
  <c r="G1734" i="9"/>
  <c r="F1734" i="9"/>
  <c r="E1734" i="9"/>
  <c r="D1734" i="9"/>
  <c r="C1734" i="9"/>
  <c r="B1734" i="9"/>
  <c r="P1733" i="9"/>
  <c r="O1733" i="9"/>
  <c r="N1733" i="9"/>
  <c r="M1733" i="9"/>
  <c r="L1733" i="9"/>
  <c r="K1733" i="9"/>
  <c r="J1733" i="9"/>
  <c r="I1733" i="9"/>
  <c r="H1733" i="9"/>
  <c r="G1733" i="9"/>
  <c r="F1733" i="9"/>
  <c r="E1733" i="9"/>
  <c r="D1733" i="9"/>
  <c r="C1733" i="9"/>
  <c r="B1733" i="9"/>
  <c r="P1732" i="9"/>
  <c r="O1732" i="9"/>
  <c r="N1732" i="9"/>
  <c r="M1732" i="9"/>
  <c r="L1732" i="9"/>
  <c r="K1732" i="9"/>
  <c r="J1732" i="9"/>
  <c r="I1732" i="9"/>
  <c r="H1732" i="9"/>
  <c r="G1732" i="9"/>
  <c r="F1732" i="9"/>
  <c r="E1732" i="9"/>
  <c r="D1732" i="9"/>
  <c r="C1732" i="9"/>
  <c r="B1732" i="9"/>
  <c r="P1731" i="9"/>
  <c r="O1731" i="9"/>
  <c r="N1731" i="9"/>
  <c r="M1731" i="9"/>
  <c r="L1731" i="9"/>
  <c r="K1731" i="9"/>
  <c r="J1731" i="9"/>
  <c r="I1731" i="9"/>
  <c r="H1731" i="9"/>
  <c r="G1731" i="9"/>
  <c r="F1731" i="9"/>
  <c r="E1731" i="9"/>
  <c r="D1731" i="9"/>
  <c r="C1731" i="9"/>
  <c r="B1731" i="9"/>
  <c r="P1730" i="9"/>
  <c r="O1730" i="9"/>
  <c r="N1730" i="9"/>
  <c r="M1730" i="9"/>
  <c r="L1730" i="9"/>
  <c r="K1730" i="9"/>
  <c r="J1730" i="9"/>
  <c r="I1730" i="9"/>
  <c r="H1730" i="9"/>
  <c r="G1730" i="9"/>
  <c r="F1730" i="9"/>
  <c r="E1730" i="9"/>
  <c r="D1730" i="9"/>
  <c r="C1730" i="9"/>
  <c r="B1730" i="9"/>
  <c r="P1729" i="9"/>
  <c r="O1729" i="9"/>
  <c r="N1729" i="9"/>
  <c r="M1729" i="9"/>
  <c r="L1729" i="9"/>
  <c r="K1729" i="9"/>
  <c r="J1729" i="9"/>
  <c r="I1729" i="9"/>
  <c r="H1729" i="9"/>
  <c r="G1729" i="9"/>
  <c r="F1729" i="9"/>
  <c r="E1729" i="9"/>
  <c r="D1729" i="9"/>
  <c r="C1729" i="9"/>
  <c r="B1729" i="9"/>
  <c r="P1728" i="9"/>
  <c r="O1728" i="9"/>
  <c r="N1728" i="9"/>
  <c r="M1728" i="9"/>
  <c r="L1728" i="9"/>
  <c r="K1728" i="9"/>
  <c r="J1728" i="9"/>
  <c r="I1728" i="9"/>
  <c r="H1728" i="9"/>
  <c r="G1728" i="9"/>
  <c r="F1728" i="9"/>
  <c r="E1728" i="9"/>
  <c r="D1728" i="9"/>
  <c r="C1728" i="9"/>
  <c r="B1728" i="9"/>
  <c r="P1727" i="9"/>
  <c r="O1727" i="9"/>
  <c r="N1727" i="9"/>
  <c r="M1727" i="9"/>
  <c r="L1727" i="9"/>
  <c r="K1727" i="9"/>
  <c r="J1727" i="9"/>
  <c r="I1727" i="9"/>
  <c r="H1727" i="9"/>
  <c r="G1727" i="9"/>
  <c r="F1727" i="9"/>
  <c r="E1727" i="9"/>
  <c r="D1727" i="9"/>
  <c r="C1727" i="9"/>
  <c r="B1727" i="9"/>
  <c r="P1726" i="9"/>
  <c r="O1726" i="9"/>
  <c r="N1726" i="9"/>
  <c r="M1726" i="9"/>
  <c r="L1726" i="9"/>
  <c r="K1726" i="9"/>
  <c r="J1726" i="9"/>
  <c r="I1726" i="9"/>
  <c r="H1726" i="9"/>
  <c r="G1726" i="9"/>
  <c r="F1726" i="9"/>
  <c r="E1726" i="9"/>
  <c r="D1726" i="9"/>
  <c r="C1726" i="9"/>
  <c r="B1726" i="9"/>
  <c r="P1725" i="9"/>
  <c r="O1725" i="9"/>
  <c r="N1725" i="9"/>
  <c r="M1725" i="9"/>
  <c r="L1725" i="9"/>
  <c r="K1725" i="9"/>
  <c r="J1725" i="9"/>
  <c r="I1725" i="9"/>
  <c r="H1725" i="9"/>
  <c r="G1725" i="9"/>
  <c r="F1725" i="9"/>
  <c r="E1725" i="9"/>
  <c r="D1725" i="9"/>
  <c r="C1725" i="9"/>
  <c r="B1725" i="9"/>
  <c r="P1724" i="9"/>
  <c r="O1724" i="9"/>
  <c r="N1724" i="9"/>
  <c r="M1724" i="9"/>
  <c r="L1724" i="9"/>
  <c r="K1724" i="9"/>
  <c r="J1724" i="9"/>
  <c r="I1724" i="9"/>
  <c r="H1724" i="9"/>
  <c r="G1724" i="9"/>
  <c r="F1724" i="9"/>
  <c r="E1724" i="9"/>
  <c r="D1724" i="9"/>
  <c r="C1724" i="9"/>
  <c r="B1724" i="9"/>
  <c r="P1723" i="9"/>
  <c r="O1723" i="9"/>
  <c r="N1723" i="9"/>
  <c r="M1723" i="9"/>
  <c r="L1723" i="9"/>
  <c r="K1723" i="9"/>
  <c r="J1723" i="9"/>
  <c r="I1723" i="9"/>
  <c r="H1723" i="9"/>
  <c r="G1723" i="9"/>
  <c r="F1723" i="9"/>
  <c r="E1723" i="9"/>
  <c r="D1723" i="9"/>
  <c r="C1723" i="9"/>
  <c r="B1723" i="9"/>
  <c r="P1722" i="9"/>
  <c r="O1722" i="9"/>
  <c r="N1722" i="9"/>
  <c r="M1722" i="9"/>
  <c r="L1722" i="9"/>
  <c r="K1722" i="9"/>
  <c r="J1722" i="9"/>
  <c r="I1722" i="9"/>
  <c r="H1722" i="9"/>
  <c r="G1722" i="9"/>
  <c r="F1722" i="9"/>
  <c r="E1722" i="9"/>
  <c r="D1722" i="9"/>
  <c r="C1722" i="9"/>
  <c r="B1722" i="9"/>
  <c r="P1721" i="9"/>
  <c r="O1721" i="9"/>
  <c r="N1721" i="9"/>
  <c r="M1721" i="9"/>
  <c r="L1721" i="9"/>
  <c r="K1721" i="9"/>
  <c r="J1721" i="9"/>
  <c r="I1721" i="9"/>
  <c r="H1721" i="9"/>
  <c r="G1721" i="9"/>
  <c r="F1721" i="9"/>
  <c r="E1721" i="9"/>
  <c r="D1721" i="9"/>
  <c r="C1721" i="9"/>
  <c r="B1721" i="9"/>
  <c r="P1720" i="9"/>
  <c r="O1720" i="9"/>
  <c r="N1720" i="9"/>
  <c r="M1720" i="9"/>
  <c r="L1720" i="9"/>
  <c r="K1720" i="9"/>
  <c r="J1720" i="9"/>
  <c r="I1720" i="9"/>
  <c r="H1720" i="9"/>
  <c r="G1720" i="9"/>
  <c r="F1720" i="9"/>
  <c r="E1720" i="9"/>
  <c r="D1720" i="9"/>
  <c r="C1720" i="9"/>
  <c r="B1720" i="9"/>
  <c r="P1719" i="9"/>
  <c r="O1719" i="9"/>
  <c r="N1719" i="9"/>
  <c r="M1719" i="9"/>
  <c r="L1719" i="9"/>
  <c r="K1719" i="9"/>
  <c r="J1719" i="9"/>
  <c r="I1719" i="9"/>
  <c r="H1719" i="9"/>
  <c r="G1719" i="9"/>
  <c r="F1719" i="9"/>
  <c r="E1719" i="9"/>
  <c r="D1719" i="9"/>
  <c r="C1719" i="9"/>
  <c r="B1719" i="9"/>
  <c r="P1718" i="9"/>
  <c r="O1718" i="9"/>
  <c r="N1718" i="9"/>
  <c r="M1718" i="9"/>
  <c r="L1718" i="9"/>
  <c r="K1718" i="9"/>
  <c r="J1718" i="9"/>
  <c r="I1718" i="9"/>
  <c r="H1718" i="9"/>
  <c r="G1718" i="9"/>
  <c r="F1718" i="9"/>
  <c r="E1718" i="9"/>
  <c r="D1718" i="9"/>
  <c r="C1718" i="9"/>
  <c r="B1718" i="9"/>
  <c r="P1717" i="9"/>
  <c r="O1717" i="9"/>
  <c r="N1717" i="9"/>
  <c r="M1717" i="9"/>
  <c r="L1717" i="9"/>
  <c r="K1717" i="9"/>
  <c r="J1717" i="9"/>
  <c r="I1717" i="9"/>
  <c r="H1717" i="9"/>
  <c r="G1717" i="9"/>
  <c r="F1717" i="9"/>
  <c r="E1717" i="9"/>
  <c r="D1717" i="9"/>
  <c r="C1717" i="9"/>
  <c r="B1717" i="9"/>
  <c r="P1716" i="9"/>
  <c r="O1716" i="9"/>
  <c r="N1716" i="9"/>
  <c r="M1716" i="9"/>
  <c r="L1716" i="9"/>
  <c r="K1716" i="9"/>
  <c r="J1716" i="9"/>
  <c r="I1716" i="9"/>
  <c r="H1716" i="9"/>
  <c r="G1716" i="9"/>
  <c r="F1716" i="9"/>
  <c r="E1716" i="9"/>
  <c r="D1716" i="9"/>
  <c r="C1716" i="9"/>
  <c r="B1716" i="9"/>
  <c r="P1715" i="9"/>
  <c r="O1715" i="9"/>
  <c r="N1715" i="9"/>
  <c r="M1715" i="9"/>
  <c r="L1715" i="9"/>
  <c r="K1715" i="9"/>
  <c r="J1715" i="9"/>
  <c r="I1715" i="9"/>
  <c r="H1715" i="9"/>
  <c r="G1715" i="9"/>
  <c r="F1715" i="9"/>
  <c r="E1715" i="9"/>
  <c r="D1715" i="9"/>
  <c r="C1715" i="9"/>
  <c r="B1715" i="9"/>
  <c r="P1714" i="9"/>
  <c r="O1714" i="9"/>
  <c r="N1714" i="9"/>
  <c r="M1714" i="9"/>
  <c r="L1714" i="9"/>
  <c r="K1714" i="9"/>
  <c r="J1714" i="9"/>
  <c r="I1714" i="9"/>
  <c r="H1714" i="9"/>
  <c r="G1714" i="9"/>
  <c r="F1714" i="9"/>
  <c r="E1714" i="9"/>
  <c r="D1714" i="9"/>
  <c r="C1714" i="9"/>
  <c r="B1714" i="9"/>
  <c r="P1713" i="9"/>
  <c r="O1713" i="9"/>
  <c r="N1713" i="9"/>
  <c r="M1713" i="9"/>
  <c r="L1713" i="9"/>
  <c r="K1713" i="9"/>
  <c r="J1713" i="9"/>
  <c r="I1713" i="9"/>
  <c r="H1713" i="9"/>
  <c r="G1713" i="9"/>
  <c r="F1713" i="9"/>
  <c r="E1713" i="9"/>
  <c r="D1713" i="9"/>
  <c r="C1713" i="9"/>
  <c r="B1713" i="9"/>
  <c r="P1712" i="9"/>
  <c r="O1712" i="9"/>
  <c r="N1712" i="9"/>
  <c r="M1712" i="9"/>
  <c r="L1712" i="9"/>
  <c r="K1712" i="9"/>
  <c r="J1712" i="9"/>
  <c r="I1712" i="9"/>
  <c r="H1712" i="9"/>
  <c r="G1712" i="9"/>
  <c r="F1712" i="9"/>
  <c r="E1712" i="9"/>
  <c r="D1712" i="9"/>
  <c r="C1712" i="9"/>
  <c r="B1712" i="9"/>
  <c r="P1711" i="9"/>
  <c r="O1711" i="9"/>
  <c r="N1711" i="9"/>
  <c r="M1711" i="9"/>
  <c r="L1711" i="9"/>
  <c r="K1711" i="9"/>
  <c r="J1711" i="9"/>
  <c r="I1711" i="9"/>
  <c r="H1711" i="9"/>
  <c r="G1711" i="9"/>
  <c r="F1711" i="9"/>
  <c r="E1711" i="9"/>
  <c r="D1711" i="9"/>
  <c r="C1711" i="9"/>
  <c r="B1711" i="9"/>
  <c r="P1710" i="9"/>
  <c r="O1710" i="9"/>
  <c r="N1710" i="9"/>
  <c r="M1710" i="9"/>
  <c r="L1710" i="9"/>
  <c r="K1710" i="9"/>
  <c r="J1710" i="9"/>
  <c r="I1710" i="9"/>
  <c r="H1710" i="9"/>
  <c r="G1710" i="9"/>
  <c r="F1710" i="9"/>
  <c r="E1710" i="9"/>
  <c r="D1710" i="9"/>
  <c r="C1710" i="9"/>
  <c r="B1710" i="9"/>
  <c r="P1709" i="9"/>
  <c r="O1709" i="9"/>
  <c r="N1709" i="9"/>
  <c r="M1709" i="9"/>
  <c r="L1709" i="9"/>
  <c r="K1709" i="9"/>
  <c r="J1709" i="9"/>
  <c r="I1709" i="9"/>
  <c r="H1709" i="9"/>
  <c r="G1709" i="9"/>
  <c r="F1709" i="9"/>
  <c r="E1709" i="9"/>
  <c r="D1709" i="9"/>
  <c r="C1709" i="9"/>
  <c r="B1709" i="9"/>
  <c r="P1708" i="9"/>
  <c r="O1708" i="9"/>
  <c r="N1708" i="9"/>
  <c r="M1708" i="9"/>
  <c r="L1708" i="9"/>
  <c r="K1708" i="9"/>
  <c r="J1708" i="9"/>
  <c r="I1708" i="9"/>
  <c r="H1708" i="9"/>
  <c r="G1708" i="9"/>
  <c r="F1708" i="9"/>
  <c r="E1708" i="9"/>
  <c r="D1708" i="9"/>
  <c r="C1708" i="9"/>
  <c r="B1708" i="9"/>
  <c r="P1707" i="9"/>
  <c r="O1707" i="9"/>
  <c r="N1707" i="9"/>
  <c r="M1707" i="9"/>
  <c r="L1707" i="9"/>
  <c r="K1707" i="9"/>
  <c r="J1707" i="9"/>
  <c r="I1707" i="9"/>
  <c r="H1707" i="9"/>
  <c r="G1707" i="9"/>
  <c r="F1707" i="9"/>
  <c r="E1707" i="9"/>
  <c r="D1707" i="9"/>
  <c r="C1707" i="9"/>
  <c r="B1707" i="9"/>
  <c r="P1706" i="9"/>
  <c r="O1706" i="9"/>
  <c r="N1706" i="9"/>
  <c r="M1706" i="9"/>
  <c r="L1706" i="9"/>
  <c r="K1706" i="9"/>
  <c r="J1706" i="9"/>
  <c r="I1706" i="9"/>
  <c r="H1706" i="9"/>
  <c r="G1706" i="9"/>
  <c r="F1706" i="9"/>
  <c r="E1706" i="9"/>
  <c r="D1706" i="9"/>
  <c r="C1706" i="9"/>
  <c r="B1706" i="9"/>
  <c r="P1705" i="9"/>
  <c r="O1705" i="9"/>
  <c r="N1705" i="9"/>
  <c r="M1705" i="9"/>
  <c r="L1705" i="9"/>
  <c r="K1705" i="9"/>
  <c r="J1705" i="9"/>
  <c r="I1705" i="9"/>
  <c r="H1705" i="9"/>
  <c r="G1705" i="9"/>
  <c r="F1705" i="9"/>
  <c r="E1705" i="9"/>
  <c r="D1705" i="9"/>
  <c r="C1705" i="9"/>
  <c r="B1705" i="9"/>
  <c r="P1704" i="9"/>
  <c r="O1704" i="9"/>
  <c r="N1704" i="9"/>
  <c r="M1704" i="9"/>
  <c r="L1704" i="9"/>
  <c r="K1704" i="9"/>
  <c r="J1704" i="9"/>
  <c r="I1704" i="9"/>
  <c r="H1704" i="9"/>
  <c r="G1704" i="9"/>
  <c r="F1704" i="9"/>
  <c r="E1704" i="9"/>
  <c r="D1704" i="9"/>
  <c r="C1704" i="9"/>
  <c r="B1704" i="9"/>
  <c r="P1703" i="9"/>
  <c r="O1703" i="9"/>
  <c r="N1703" i="9"/>
  <c r="M1703" i="9"/>
  <c r="L1703" i="9"/>
  <c r="K1703" i="9"/>
  <c r="J1703" i="9"/>
  <c r="I1703" i="9"/>
  <c r="H1703" i="9"/>
  <c r="G1703" i="9"/>
  <c r="F1703" i="9"/>
  <c r="E1703" i="9"/>
  <c r="D1703" i="9"/>
  <c r="C1703" i="9"/>
  <c r="B1703" i="9"/>
  <c r="P1702" i="9"/>
  <c r="O1702" i="9"/>
  <c r="N1702" i="9"/>
  <c r="M1702" i="9"/>
  <c r="L1702" i="9"/>
  <c r="K1702" i="9"/>
  <c r="J1702" i="9"/>
  <c r="I1702" i="9"/>
  <c r="H1702" i="9"/>
  <c r="G1702" i="9"/>
  <c r="F1702" i="9"/>
  <c r="E1702" i="9"/>
  <c r="D1702" i="9"/>
  <c r="C1702" i="9"/>
  <c r="B1702" i="9"/>
  <c r="P1701" i="9"/>
  <c r="O1701" i="9"/>
  <c r="N1701" i="9"/>
  <c r="M1701" i="9"/>
  <c r="L1701" i="9"/>
  <c r="K1701" i="9"/>
  <c r="J1701" i="9"/>
  <c r="I1701" i="9"/>
  <c r="H1701" i="9"/>
  <c r="G1701" i="9"/>
  <c r="F1701" i="9"/>
  <c r="E1701" i="9"/>
  <c r="D1701" i="9"/>
  <c r="C1701" i="9"/>
  <c r="B1701" i="9"/>
  <c r="P1700" i="9"/>
  <c r="O1700" i="9"/>
  <c r="N1700" i="9"/>
  <c r="M1700" i="9"/>
  <c r="L1700" i="9"/>
  <c r="K1700" i="9"/>
  <c r="J1700" i="9"/>
  <c r="I1700" i="9"/>
  <c r="H1700" i="9"/>
  <c r="G1700" i="9"/>
  <c r="F1700" i="9"/>
  <c r="E1700" i="9"/>
  <c r="D1700" i="9"/>
  <c r="C1700" i="9"/>
  <c r="B1700" i="9"/>
  <c r="P1699" i="9"/>
  <c r="O1699" i="9"/>
  <c r="N1699" i="9"/>
  <c r="M1699" i="9"/>
  <c r="L1699" i="9"/>
  <c r="K1699" i="9"/>
  <c r="J1699" i="9"/>
  <c r="I1699" i="9"/>
  <c r="H1699" i="9"/>
  <c r="G1699" i="9"/>
  <c r="F1699" i="9"/>
  <c r="E1699" i="9"/>
  <c r="D1699" i="9"/>
  <c r="C1699" i="9"/>
  <c r="B1699" i="9"/>
  <c r="P1698" i="9"/>
  <c r="O1698" i="9"/>
  <c r="N1698" i="9"/>
  <c r="M1698" i="9"/>
  <c r="L1698" i="9"/>
  <c r="K1698" i="9"/>
  <c r="J1698" i="9"/>
  <c r="I1698" i="9"/>
  <c r="H1698" i="9"/>
  <c r="G1698" i="9"/>
  <c r="F1698" i="9"/>
  <c r="E1698" i="9"/>
  <c r="D1698" i="9"/>
  <c r="C1698" i="9"/>
  <c r="B1698" i="9"/>
  <c r="P1697" i="9"/>
  <c r="O1697" i="9"/>
  <c r="N1697" i="9"/>
  <c r="M1697" i="9"/>
  <c r="L1697" i="9"/>
  <c r="K1697" i="9"/>
  <c r="J1697" i="9"/>
  <c r="I1697" i="9"/>
  <c r="H1697" i="9"/>
  <c r="G1697" i="9"/>
  <c r="F1697" i="9"/>
  <c r="E1697" i="9"/>
  <c r="D1697" i="9"/>
  <c r="C1697" i="9"/>
  <c r="B1697" i="9"/>
  <c r="P1696" i="9"/>
  <c r="O1696" i="9"/>
  <c r="N1696" i="9"/>
  <c r="M1696" i="9"/>
  <c r="L1696" i="9"/>
  <c r="K1696" i="9"/>
  <c r="J1696" i="9"/>
  <c r="I1696" i="9"/>
  <c r="H1696" i="9"/>
  <c r="G1696" i="9"/>
  <c r="F1696" i="9"/>
  <c r="E1696" i="9"/>
  <c r="D1696" i="9"/>
  <c r="C1696" i="9"/>
  <c r="B1696" i="9"/>
  <c r="P1695" i="9"/>
  <c r="O1695" i="9"/>
  <c r="N1695" i="9"/>
  <c r="M1695" i="9"/>
  <c r="L1695" i="9"/>
  <c r="K1695" i="9"/>
  <c r="J1695" i="9"/>
  <c r="I1695" i="9"/>
  <c r="H1695" i="9"/>
  <c r="G1695" i="9"/>
  <c r="F1695" i="9"/>
  <c r="E1695" i="9"/>
  <c r="D1695" i="9"/>
  <c r="C1695" i="9"/>
  <c r="B1695" i="9"/>
  <c r="P1694" i="9"/>
  <c r="O1694" i="9"/>
  <c r="N1694" i="9"/>
  <c r="M1694" i="9"/>
  <c r="L1694" i="9"/>
  <c r="K1694" i="9"/>
  <c r="J1694" i="9"/>
  <c r="I1694" i="9"/>
  <c r="H1694" i="9"/>
  <c r="G1694" i="9"/>
  <c r="F1694" i="9"/>
  <c r="E1694" i="9"/>
  <c r="D1694" i="9"/>
  <c r="C1694" i="9"/>
  <c r="B1694" i="9"/>
  <c r="P1693" i="9"/>
  <c r="O1693" i="9"/>
  <c r="N1693" i="9"/>
  <c r="M1693" i="9"/>
  <c r="L1693" i="9"/>
  <c r="K1693" i="9"/>
  <c r="J1693" i="9"/>
  <c r="I1693" i="9"/>
  <c r="H1693" i="9"/>
  <c r="G1693" i="9"/>
  <c r="F1693" i="9"/>
  <c r="E1693" i="9"/>
  <c r="D1693" i="9"/>
  <c r="C1693" i="9"/>
  <c r="B1693" i="9"/>
  <c r="P1692" i="9"/>
  <c r="O1692" i="9"/>
  <c r="N1692" i="9"/>
  <c r="M1692" i="9"/>
  <c r="L1692" i="9"/>
  <c r="K1692" i="9"/>
  <c r="J1692" i="9"/>
  <c r="I1692" i="9"/>
  <c r="H1692" i="9"/>
  <c r="G1692" i="9"/>
  <c r="F1692" i="9"/>
  <c r="E1692" i="9"/>
  <c r="D1692" i="9"/>
  <c r="C1692" i="9"/>
  <c r="B1692" i="9"/>
  <c r="P1691" i="9"/>
  <c r="O1691" i="9"/>
  <c r="N1691" i="9"/>
  <c r="M1691" i="9"/>
  <c r="L1691" i="9"/>
  <c r="K1691" i="9"/>
  <c r="J1691" i="9"/>
  <c r="I1691" i="9"/>
  <c r="H1691" i="9"/>
  <c r="G1691" i="9"/>
  <c r="F1691" i="9"/>
  <c r="E1691" i="9"/>
  <c r="D1691" i="9"/>
  <c r="C1691" i="9"/>
  <c r="B1691" i="9"/>
  <c r="O1690" i="9"/>
  <c r="N1690" i="9"/>
  <c r="M1690" i="9"/>
  <c r="L1690" i="9"/>
  <c r="K1690" i="9"/>
  <c r="J1690" i="9"/>
  <c r="I1690" i="9"/>
  <c r="H1690" i="9"/>
  <c r="G1690" i="9"/>
  <c r="F1690" i="9"/>
  <c r="E1690" i="9"/>
  <c r="D1690" i="9"/>
  <c r="C1690" i="9"/>
  <c r="B1690" i="9"/>
  <c r="P1689" i="9"/>
  <c r="O1689" i="9"/>
  <c r="N1689" i="9"/>
  <c r="M1689" i="9"/>
  <c r="L1689" i="9"/>
  <c r="K1689" i="9"/>
  <c r="J1689" i="9"/>
  <c r="I1689" i="9"/>
  <c r="H1689" i="9"/>
  <c r="G1689" i="9"/>
  <c r="F1689" i="9"/>
  <c r="E1689" i="9"/>
  <c r="D1689" i="9"/>
  <c r="C1689" i="9"/>
  <c r="B1689" i="9"/>
  <c r="P1688" i="9"/>
  <c r="O1688" i="9"/>
  <c r="N1688" i="9"/>
  <c r="M1688" i="9"/>
  <c r="L1688" i="9"/>
  <c r="K1688" i="9"/>
  <c r="J1688" i="9"/>
  <c r="I1688" i="9"/>
  <c r="H1688" i="9"/>
  <c r="G1688" i="9"/>
  <c r="F1688" i="9"/>
  <c r="E1688" i="9"/>
  <c r="D1688" i="9"/>
  <c r="C1688" i="9"/>
  <c r="B1688" i="9"/>
  <c r="P1687" i="9"/>
  <c r="O1687" i="9"/>
  <c r="N1687" i="9"/>
  <c r="M1687" i="9"/>
  <c r="L1687" i="9"/>
  <c r="K1687" i="9"/>
  <c r="J1687" i="9"/>
  <c r="I1687" i="9"/>
  <c r="H1687" i="9"/>
  <c r="G1687" i="9"/>
  <c r="F1687" i="9"/>
  <c r="E1687" i="9"/>
  <c r="D1687" i="9"/>
  <c r="C1687" i="9"/>
  <c r="B1687" i="9"/>
  <c r="P1686" i="9"/>
  <c r="O1686" i="9"/>
  <c r="N1686" i="9"/>
  <c r="M1686" i="9"/>
  <c r="L1686" i="9"/>
  <c r="K1686" i="9"/>
  <c r="J1686" i="9"/>
  <c r="I1686" i="9"/>
  <c r="H1686" i="9"/>
  <c r="G1686" i="9"/>
  <c r="F1686" i="9"/>
  <c r="E1686" i="9"/>
  <c r="D1686" i="9"/>
  <c r="C1686" i="9"/>
  <c r="B1686" i="9"/>
  <c r="P1685" i="9"/>
  <c r="O1685" i="9"/>
  <c r="N1685" i="9"/>
  <c r="M1685" i="9"/>
  <c r="L1685" i="9"/>
  <c r="K1685" i="9"/>
  <c r="J1685" i="9"/>
  <c r="I1685" i="9"/>
  <c r="H1685" i="9"/>
  <c r="G1685" i="9"/>
  <c r="F1685" i="9"/>
  <c r="E1685" i="9"/>
  <c r="D1685" i="9"/>
  <c r="C1685" i="9"/>
  <c r="B1685" i="9"/>
  <c r="P1684" i="9"/>
  <c r="O1684" i="9"/>
  <c r="N1684" i="9"/>
  <c r="M1684" i="9"/>
  <c r="L1684" i="9"/>
  <c r="K1684" i="9"/>
  <c r="J1684" i="9"/>
  <c r="I1684" i="9"/>
  <c r="H1684" i="9"/>
  <c r="G1684" i="9"/>
  <c r="F1684" i="9"/>
  <c r="E1684" i="9"/>
  <c r="D1684" i="9"/>
  <c r="C1684" i="9"/>
  <c r="B1684" i="9"/>
  <c r="P1683" i="9"/>
  <c r="O1683" i="9"/>
  <c r="N1683" i="9"/>
  <c r="M1683" i="9"/>
  <c r="L1683" i="9"/>
  <c r="K1683" i="9"/>
  <c r="J1683" i="9"/>
  <c r="I1683" i="9"/>
  <c r="H1683" i="9"/>
  <c r="G1683" i="9"/>
  <c r="F1683" i="9"/>
  <c r="E1683" i="9"/>
  <c r="D1683" i="9"/>
  <c r="C1683" i="9"/>
  <c r="B1683" i="9"/>
  <c r="P1682" i="9"/>
  <c r="O1682" i="9"/>
  <c r="N1682" i="9"/>
  <c r="M1682" i="9"/>
  <c r="L1682" i="9"/>
  <c r="K1682" i="9"/>
  <c r="J1682" i="9"/>
  <c r="I1682" i="9"/>
  <c r="H1682" i="9"/>
  <c r="G1682" i="9"/>
  <c r="F1682" i="9"/>
  <c r="E1682" i="9"/>
  <c r="D1682" i="9"/>
  <c r="C1682" i="9"/>
  <c r="B1682" i="9"/>
  <c r="P1681" i="9"/>
  <c r="O1681" i="9"/>
  <c r="N1681" i="9"/>
  <c r="M1681" i="9"/>
  <c r="L1681" i="9"/>
  <c r="K1681" i="9"/>
  <c r="J1681" i="9"/>
  <c r="I1681" i="9"/>
  <c r="H1681" i="9"/>
  <c r="G1681" i="9"/>
  <c r="F1681" i="9"/>
  <c r="E1681" i="9"/>
  <c r="D1681" i="9"/>
  <c r="C1681" i="9"/>
  <c r="B1681" i="9"/>
  <c r="P1680" i="9"/>
  <c r="O1680" i="9"/>
  <c r="N1680" i="9"/>
  <c r="M1680" i="9"/>
  <c r="L1680" i="9"/>
  <c r="K1680" i="9"/>
  <c r="J1680" i="9"/>
  <c r="I1680" i="9"/>
  <c r="H1680" i="9"/>
  <c r="G1680" i="9"/>
  <c r="F1680" i="9"/>
  <c r="E1680" i="9"/>
  <c r="D1680" i="9"/>
  <c r="C1680" i="9"/>
  <c r="B1680" i="9"/>
  <c r="P1679" i="9"/>
  <c r="O1679" i="9"/>
  <c r="N1679" i="9"/>
  <c r="M1679" i="9"/>
  <c r="L1679" i="9"/>
  <c r="K1679" i="9"/>
  <c r="J1679" i="9"/>
  <c r="I1679" i="9"/>
  <c r="H1679" i="9"/>
  <c r="G1679" i="9"/>
  <c r="F1679" i="9"/>
  <c r="E1679" i="9"/>
  <c r="D1679" i="9"/>
  <c r="C1679" i="9"/>
  <c r="B1679" i="9"/>
  <c r="P1678" i="9"/>
  <c r="O1678" i="9"/>
  <c r="N1678" i="9"/>
  <c r="M1678" i="9"/>
  <c r="L1678" i="9"/>
  <c r="K1678" i="9"/>
  <c r="J1678" i="9"/>
  <c r="I1678" i="9"/>
  <c r="H1678" i="9"/>
  <c r="G1678" i="9"/>
  <c r="F1678" i="9"/>
  <c r="E1678" i="9"/>
  <c r="D1678" i="9"/>
  <c r="C1678" i="9"/>
  <c r="B1678" i="9"/>
  <c r="P1677" i="9"/>
  <c r="O1677" i="9"/>
  <c r="N1677" i="9"/>
  <c r="M1677" i="9"/>
  <c r="L1677" i="9"/>
  <c r="K1677" i="9"/>
  <c r="J1677" i="9"/>
  <c r="I1677" i="9"/>
  <c r="H1677" i="9"/>
  <c r="G1677" i="9"/>
  <c r="F1677" i="9"/>
  <c r="E1677" i="9"/>
  <c r="D1677" i="9"/>
  <c r="C1677" i="9"/>
  <c r="B1677" i="9"/>
  <c r="O1676" i="9"/>
  <c r="N1676" i="9"/>
  <c r="M1676" i="9"/>
  <c r="L1676" i="9"/>
  <c r="K1676" i="9"/>
  <c r="J1676" i="9"/>
  <c r="I1676" i="9"/>
  <c r="H1676" i="9"/>
  <c r="G1676" i="9"/>
  <c r="F1676" i="9"/>
  <c r="E1676" i="9"/>
  <c r="D1676" i="9"/>
  <c r="C1676" i="9"/>
  <c r="B1676" i="9"/>
  <c r="P1675" i="9"/>
  <c r="O1675" i="9"/>
  <c r="N1675" i="9"/>
  <c r="M1675" i="9"/>
  <c r="L1675" i="9"/>
  <c r="K1675" i="9"/>
  <c r="J1675" i="9"/>
  <c r="I1675" i="9"/>
  <c r="H1675" i="9"/>
  <c r="G1675" i="9"/>
  <c r="F1675" i="9"/>
  <c r="E1675" i="9"/>
  <c r="D1675" i="9"/>
  <c r="C1675" i="9"/>
  <c r="B1675" i="9"/>
  <c r="P1674" i="9"/>
  <c r="O1674" i="9"/>
  <c r="N1674" i="9"/>
  <c r="M1674" i="9"/>
  <c r="L1674" i="9"/>
  <c r="K1674" i="9"/>
  <c r="J1674" i="9"/>
  <c r="I1674" i="9"/>
  <c r="H1674" i="9"/>
  <c r="G1674" i="9"/>
  <c r="F1674" i="9"/>
  <c r="E1674" i="9"/>
  <c r="D1674" i="9"/>
  <c r="C1674" i="9"/>
  <c r="B1674" i="9"/>
  <c r="P1673" i="9"/>
  <c r="O1673" i="9"/>
  <c r="N1673" i="9"/>
  <c r="M1673" i="9"/>
  <c r="L1673" i="9"/>
  <c r="K1673" i="9"/>
  <c r="J1673" i="9"/>
  <c r="I1673" i="9"/>
  <c r="H1673" i="9"/>
  <c r="G1673" i="9"/>
  <c r="F1673" i="9"/>
  <c r="E1673" i="9"/>
  <c r="D1673" i="9"/>
  <c r="C1673" i="9"/>
  <c r="B1673" i="9"/>
  <c r="P1672" i="9"/>
  <c r="O1672" i="9"/>
  <c r="N1672" i="9"/>
  <c r="M1672" i="9"/>
  <c r="L1672" i="9"/>
  <c r="K1672" i="9"/>
  <c r="J1672" i="9"/>
  <c r="I1672" i="9"/>
  <c r="H1672" i="9"/>
  <c r="G1672" i="9"/>
  <c r="F1672" i="9"/>
  <c r="E1672" i="9"/>
  <c r="D1672" i="9"/>
  <c r="C1672" i="9"/>
  <c r="B1672" i="9"/>
  <c r="P1671" i="9"/>
  <c r="O1671" i="9"/>
  <c r="N1671" i="9"/>
  <c r="M1671" i="9"/>
  <c r="L1671" i="9"/>
  <c r="K1671" i="9"/>
  <c r="J1671" i="9"/>
  <c r="I1671" i="9"/>
  <c r="H1671" i="9"/>
  <c r="G1671" i="9"/>
  <c r="F1671" i="9"/>
  <c r="E1671" i="9"/>
  <c r="D1671" i="9"/>
  <c r="C1671" i="9"/>
  <c r="B1671" i="9"/>
  <c r="P1670" i="9"/>
  <c r="O1670" i="9"/>
  <c r="N1670" i="9"/>
  <c r="M1670" i="9"/>
  <c r="L1670" i="9"/>
  <c r="K1670" i="9"/>
  <c r="J1670" i="9"/>
  <c r="I1670" i="9"/>
  <c r="H1670" i="9"/>
  <c r="G1670" i="9"/>
  <c r="F1670" i="9"/>
  <c r="E1670" i="9"/>
  <c r="D1670" i="9"/>
  <c r="C1670" i="9"/>
  <c r="B1670" i="9"/>
  <c r="P1669" i="9"/>
  <c r="O1669" i="9"/>
  <c r="N1669" i="9"/>
  <c r="M1669" i="9"/>
  <c r="L1669" i="9"/>
  <c r="K1669" i="9"/>
  <c r="J1669" i="9"/>
  <c r="I1669" i="9"/>
  <c r="H1669" i="9"/>
  <c r="G1669" i="9"/>
  <c r="F1669" i="9"/>
  <c r="E1669" i="9"/>
  <c r="D1669" i="9"/>
  <c r="C1669" i="9"/>
  <c r="B1669" i="9"/>
  <c r="P1668" i="9"/>
  <c r="O1668" i="9"/>
  <c r="N1668" i="9"/>
  <c r="M1668" i="9"/>
  <c r="L1668" i="9"/>
  <c r="K1668" i="9"/>
  <c r="J1668" i="9"/>
  <c r="I1668" i="9"/>
  <c r="H1668" i="9"/>
  <c r="G1668" i="9"/>
  <c r="F1668" i="9"/>
  <c r="E1668" i="9"/>
  <c r="D1668" i="9"/>
  <c r="C1668" i="9"/>
  <c r="B1668" i="9"/>
  <c r="P1667" i="9"/>
  <c r="O1667" i="9"/>
  <c r="N1667" i="9"/>
  <c r="M1667" i="9"/>
  <c r="L1667" i="9"/>
  <c r="K1667" i="9"/>
  <c r="J1667" i="9"/>
  <c r="I1667" i="9"/>
  <c r="H1667" i="9"/>
  <c r="G1667" i="9"/>
  <c r="F1667" i="9"/>
  <c r="E1667" i="9"/>
  <c r="D1667" i="9"/>
  <c r="C1667" i="9"/>
  <c r="B1667" i="9"/>
  <c r="P1666" i="9"/>
  <c r="O1666" i="9"/>
  <c r="N1666" i="9"/>
  <c r="M1666" i="9"/>
  <c r="L1666" i="9"/>
  <c r="K1666" i="9"/>
  <c r="J1666" i="9"/>
  <c r="I1666" i="9"/>
  <c r="H1666" i="9"/>
  <c r="G1666" i="9"/>
  <c r="F1666" i="9"/>
  <c r="E1666" i="9"/>
  <c r="D1666" i="9"/>
  <c r="C1666" i="9"/>
  <c r="B1666" i="9"/>
  <c r="P1665" i="9"/>
  <c r="O1665" i="9"/>
  <c r="N1665" i="9"/>
  <c r="M1665" i="9"/>
  <c r="L1665" i="9"/>
  <c r="K1665" i="9"/>
  <c r="J1665" i="9"/>
  <c r="I1665" i="9"/>
  <c r="H1665" i="9"/>
  <c r="G1665" i="9"/>
  <c r="F1665" i="9"/>
  <c r="E1665" i="9"/>
  <c r="D1665" i="9"/>
  <c r="C1665" i="9"/>
  <c r="B1665" i="9"/>
  <c r="P1664" i="9"/>
  <c r="O1664" i="9"/>
  <c r="N1664" i="9"/>
  <c r="M1664" i="9"/>
  <c r="L1664" i="9"/>
  <c r="K1664" i="9"/>
  <c r="J1664" i="9"/>
  <c r="I1664" i="9"/>
  <c r="H1664" i="9"/>
  <c r="G1664" i="9"/>
  <c r="F1664" i="9"/>
  <c r="E1664" i="9"/>
  <c r="D1664" i="9"/>
  <c r="C1664" i="9"/>
  <c r="B1664" i="9"/>
  <c r="P1663" i="9"/>
  <c r="O1663" i="9"/>
  <c r="N1663" i="9"/>
  <c r="M1663" i="9"/>
  <c r="L1663" i="9"/>
  <c r="K1663" i="9"/>
  <c r="J1663" i="9"/>
  <c r="I1663" i="9"/>
  <c r="H1663" i="9"/>
  <c r="G1663" i="9"/>
  <c r="F1663" i="9"/>
  <c r="E1663" i="9"/>
  <c r="D1663" i="9"/>
  <c r="C1663" i="9"/>
  <c r="B1663" i="9"/>
  <c r="P1662" i="9"/>
  <c r="O1662" i="9"/>
  <c r="N1662" i="9"/>
  <c r="M1662" i="9"/>
  <c r="L1662" i="9"/>
  <c r="K1662" i="9"/>
  <c r="J1662" i="9"/>
  <c r="I1662" i="9"/>
  <c r="H1662" i="9"/>
  <c r="G1662" i="9"/>
  <c r="F1662" i="9"/>
  <c r="E1662" i="9"/>
  <c r="D1662" i="9"/>
  <c r="C1662" i="9"/>
  <c r="B1662" i="9"/>
  <c r="P1661" i="9"/>
  <c r="O1661" i="9"/>
  <c r="N1661" i="9"/>
  <c r="M1661" i="9"/>
  <c r="L1661" i="9"/>
  <c r="K1661" i="9"/>
  <c r="J1661" i="9"/>
  <c r="I1661" i="9"/>
  <c r="H1661" i="9"/>
  <c r="G1661" i="9"/>
  <c r="F1661" i="9"/>
  <c r="E1661" i="9"/>
  <c r="D1661" i="9"/>
  <c r="C1661" i="9"/>
  <c r="B1661" i="9"/>
  <c r="P1660" i="9"/>
  <c r="O1660" i="9"/>
  <c r="N1660" i="9"/>
  <c r="M1660" i="9"/>
  <c r="L1660" i="9"/>
  <c r="K1660" i="9"/>
  <c r="J1660" i="9"/>
  <c r="I1660" i="9"/>
  <c r="H1660" i="9"/>
  <c r="G1660" i="9"/>
  <c r="F1660" i="9"/>
  <c r="E1660" i="9"/>
  <c r="D1660" i="9"/>
  <c r="C1660" i="9"/>
  <c r="B1660" i="9"/>
  <c r="P1659" i="9"/>
  <c r="O1659" i="9"/>
  <c r="N1659" i="9"/>
  <c r="M1659" i="9"/>
  <c r="L1659" i="9"/>
  <c r="K1659" i="9"/>
  <c r="J1659" i="9"/>
  <c r="I1659" i="9"/>
  <c r="H1659" i="9"/>
  <c r="G1659" i="9"/>
  <c r="F1659" i="9"/>
  <c r="E1659" i="9"/>
  <c r="D1659" i="9"/>
  <c r="C1659" i="9"/>
  <c r="B1659" i="9"/>
  <c r="P1658" i="9"/>
  <c r="O1658" i="9"/>
  <c r="N1658" i="9"/>
  <c r="M1658" i="9"/>
  <c r="L1658" i="9"/>
  <c r="K1658" i="9"/>
  <c r="J1658" i="9"/>
  <c r="I1658" i="9"/>
  <c r="H1658" i="9"/>
  <c r="G1658" i="9"/>
  <c r="F1658" i="9"/>
  <c r="E1658" i="9"/>
  <c r="D1658" i="9"/>
  <c r="C1658" i="9"/>
  <c r="B1658" i="9"/>
  <c r="O1657" i="9"/>
  <c r="N1657" i="9"/>
  <c r="M1657" i="9"/>
  <c r="L1657" i="9"/>
  <c r="K1657" i="9"/>
  <c r="J1657" i="9"/>
  <c r="I1657" i="9"/>
  <c r="H1657" i="9"/>
  <c r="G1657" i="9"/>
  <c r="F1657" i="9"/>
  <c r="E1657" i="9"/>
  <c r="D1657" i="9"/>
  <c r="C1657" i="9"/>
  <c r="B1657" i="9"/>
  <c r="P1656" i="9"/>
  <c r="O1656" i="9"/>
  <c r="N1656" i="9"/>
  <c r="M1656" i="9"/>
  <c r="L1656" i="9"/>
  <c r="K1656" i="9"/>
  <c r="J1656" i="9"/>
  <c r="I1656" i="9"/>
  <c r="H1656" i="9"/>
  <c r="G1656" i="9"/>
  <c r="F1656" i="9"/>
  <c r="E1656" i="9"/>
  <c r="D1656" i="9"/>
  <c r="C1656" i="9"/>
  <c r="B1656" i="9"/>
  <c r="P1655" i="9"/>
  <c r="O1655" i="9"/>
  <c r="N1655" i="9"/>
  <c r="M1655" i="9"/>
  <c r="L1655" i="9"/>
  <c r="K1655" i="9"/>
  <c r="J1655" i="9"/>
  <c r="I1655" i="9"/>
  <c r="H1655" i="9"/>
  <c r="G1655" i="9"/>
  <c r="F1655" i="9"/>
  <c r="E1655" i="9"/>
  <c r="D1655" i="9"/>
  <c r="C1655" i="9"/>
  <c r="B1655" i="9"/>
  <c r="P1654" i="9"/>
  <c r="O1654" i="9"/>
  <c r="N1654" i="9"/>
  <c r="M1654" i="9"/>
  <c r="L1654" i="9"/>
  <c r="K1654" i="9"/>
  <c r="J1654" i="9"/>
  <c r="I1654" i="9"/>
  <c r="H1654" i="9"/>
  <c r="G1654" i="9"/>
  <c r="F1654" i="9"/>
  <c r="E1654" i="9"/>
  <c r="D1654" i="9"/>
  <c r="C1654" i="9"/>
  <c r="B1654" i="9"/>
  <c r="P1653" i="9"/>
  <c r="O1653" i="9"/>
  <c r="N1653" i="9"/>
  <c r="M1653" i="9"/>
  <c r="L1653" i="9"/>
  <c r="K1653" i="9"/>
  <c r="J1653" i="9"/>
  <c r="I1653" i="9"/>
  <c r="H1653" i="9"/>
  <c r="G1653" i="9"/>
  <c r="F1653" i="9"/>
  <c r="E1653" i="9"/>
  <c r="D1653" i="9"/>
  <c r="C1653" i="9"/>
  <c r="B1653" i="9"/>
  <c r="P1652" i="9"/>
  <c r="O1652" i="9"/>
  <c r="N1652" i="9"/>
  <c r="M1652" i="9"/>
  <c r="L1652" i="9"/>
  <c r="K1652" i="9"/>
  <c r="J1652" i="9"/>
  <c r="I1652" i="9"/>
  <c r="H1652" i="9"/>
  <c r="G1652" i="9"/>
  <c r="F1652" i="9"/>
  <c r="E1652" i="9"/>
  <c r="D1652" i="9"/>
  <c r="C1652" i="9"/>
  <c r="B1652" i="9"/>
  <c r="P1651" i="9"/>
  <c r="O1651" i="9"/>
  <c r="N1651" i="9"/>
  <c r="M1651" i="9"/>
  <c r="L1651" i="9"/>
  <c r="K1651" i="9"/>
  <c r="J1651" i="9"/>
  <c r="I1651" i="9"/>
  <c r="H1651" i="9"/>
  <c r="G1651" i="9"/>
  <c r="F1651" i="9"/>
  <c r="E1651" i="9"/>
  <c r="D1651" i="9"/>
  <c r="C1651" i="9"/>
  <c r="B1651" i="9"/>
  <c r="P1650" i="9"/>
  <c r="O1650" i="9"/>
  <c r="N1650" i="9"/>
  <c r="M1650" i="9"/>
  <c r="L1650" i="9"/>
  <c r="K1650" i="9"/>
  <c r="J1650" i="9"/>
  <c r="I1650" i="9"/>
  <c r="H1650" i="9"/>
  <c r="G1650" i="9"/>
  <c r="F1650" i="9"/>
  <c r="E1650" i="9"/>
  <c r="D1650" i="9"/>
  <c r="C1650" i="9"/>
  <c r="B1650" i="9"/>
  <c r="P1649" i="9"/>
  <c r="O1649" i="9"/>
  <c r="N1649" i="9"/>
  <c r="M1649" i="9"/>
  <c r="L1649" i="9"/>
  <c r="K1649" i="9"/>
  <c r="J1649" i="9"/>
  <c r="I1649" i="9"/>
  <c r="H1649" i="9"/>
  <c r="G1649" i="9"/>
  <c r="F1649" i="9"/>
  <c r="E1649" i="9"/>
  <c r="D1649" i="9"/>
  <c r="C1649" i="9"/>
  <c r="B1649" i="9"/>
  <c r="P1648" i="9"/>
  <c r="O1648" i="9"/>
  <c r="N1648" i="9"/>
  <c r="M1648" i="9"/>
  <c r="L1648" i="9"/>
  <c r="K1648" i="9"/>
  <c r="J1648" i="9"/>
  <c r="I1648" i="9"/>
  <c r="H1648" i="9"/>
  <c r="G1648" i="9"/>
  <c r="F1648" i="9"/>
  <c r="E1648" i="9"/>
  <c r="D1648" i="9"/>
  <c r="C1648" i="9"/>
  <c r="B1648" i="9"/>
  <c r="P1647" i="9"/>
  <c r="O1647" i="9"/>
  <c r="N1647" i="9"/>
  <c r="M1647" i="9"/>
  <c r="L1647" i="9"/>
  <c r="K1647" i="9"/>
  <c r="J1647" i="9"/>
  <c r="I1647" i="9"/>
  <c r="H1647" i="9"/>
  <c r="G1647" i="9"/>
  <c r="F1647" i="9"/>
  <c r="E1647" i="9"/>
  <c r="D1647" i="9"/>
  <c r="C1647" i="9"/>
  <c r="B1647" i="9"/>
  <c r="P1646" i="9"/>
  <c r="O1646" i="9"/>
  <c r="N1646" i="9"/>
  <c r="M1646" i="9"/>
  <c r="L1646" i="9"/>
  <c r="K1646" i="9"/>
  <c r="J1646" i="9"/>
  <c r="I1646" i="9"/>
  <c r="H1646" i="9"/>
  <c r="G1646" i="9"/>
  <c r="F1646" i="9"/>
  <c r="E1646" i="9"/>
  <c r="D1646" i="9"/>
  <c r="C1646" i="9"/>
  <c r="B1646" i="9"/>
  <c r="P1645" i="9"/>
  <c r="O1645" i="9"/>
  <c r="N1645" i="9"/>
  <c r="M1645" i="9"/>
  <c r="L1645" i="9"/>
  <c r="K1645" i="9"/>
  <c r="J1645" i="9"/>
  <c r="I1645" i="9"/>
  <c r="H1645" i="9"/>
  <c r="G1645" i="9"/>
  <c r="F1645" i="9"/>
  <c r="E1645" i="9"/>
  <c r="D1645" i="9"/>
  <c r="C1645" i="9"/>
  <c r="B1645" i="9"/>
  <c r="P1644" i="9"/>
  <c r="O1644" i="9"/>
  <c r="N1644" i="9"/>
  <c r="M1644" i="9"/>
  <c r="L1644" i="9"/>
  <c r="K1644" i="9"/>
  <c r="J1644" i="9"/>
  <c r="I1644" i="9"/>
  <c r="H1644" i="9"/>
  <c r="G1644" i="9"/>
  <c r="F1644" i="9"/>
  <c r="E1644" i="9"/>
  <c r="D1644" i="9"/>
  <c r="C1644" i="9"/>
  <c r="B1644" i="9"/>
  <c r="P1643" i="9"/>
  <c r="O1643" i="9"/>
  <c r="N1643" i="9"/>
  <c r="M1643" i="9"/>
  <c r="L1643" i="9"/>
  <c r="K1643" i="9"/>
  <c r="J1643" i="9"/>
  <c r="I1643" i="9"/>
  <c r="H1643" i="9"/>
  <c r="G1643" i="9"/>
  <c r="F1643" i="9"/>
  <c r="E1643" i="9"/>
  <c r="D1643" i="9"/>
  <c r="C1643" i="9"/>
  <c r="B1643" i="9"/>
  <c r="P1642" i="9"/>
  <c r="O1642" i="9"/>
  <c r="N1642" i="9"/>
  <c r="M1642" i="9"/>
  <c r="L1642" i="9"/>
  <c r="K1642" i="9"/>
  <c r="J1642" i="9"/>
  <c r="I1642" i="9"/>
  <c r="H1642" i="9"/>
  <c r="G1642" i="9"/>
  <c r="F1642" i="9"/>
  <c r="E1642" i="9"/>
  <c r="D1642" i="9"/>
  <c r="C1642" i="9"/>
  <c r="B1642" i="9"/>
  <c r="P1641" i="9"/>
  <c r="O1641" i="9"/>
  <c r="N1641" i="9"/>
  <c r="M1641" i="9"/>
  <c r="L1641" i="9"/>
  <c r="K1641" i="9"/>
  <c r="J1641" i="9"/>
  <c r="I1641" i="9"/>
  <c r="H1641" i="9"/>
  <c r="G1641" i="9"/>
  <c r="F1641" i="9"/>
  <c r="E1641" i="9"/>
  <c r="D1641" i="9"/>
  <c r="C1641" i="9"/>
  <c r="B1641" i="9"/>
  <c r="P1640" i="9"/>
  <c r="O1640" i="9"/>
  <c r="N1640" i="9"/>
  <c r="M1640" i="9"/>
  <c r="L1640" i="9"/>
  <c r="K1640" i="9"/>
  <c r="J1640" i="9"/>
  <c r="I1640" i="9"/>
  <c r="H1640" i="9"/>
  <c r="G1640" i="9"/>
  <c r="F1640" i="9"/>
  <c r="E1640" i="9"/>
  <c r="D1640" i="9"/>
  <c r="C1640" i="9"/>
  <c r="B1640" i="9"/>
  <c r="P1639" i="9"/>
  <c r="O1639" i="9"/>
  <c r="N1639" i="9"/>
  <c r="M1639" i="9"/>
  <c r="L1639" i="9"/>
  <c r="K1639" i="9"/>
  <c r="J1639" i="9"/>
  <c r="I1639" i="9"/>
  <c r="H1639" i="9"/>
  <c r="G1639" i="9"/>
  <c r="F1639" i="9"/>
  <c r="E1639" i="9"/>
  <c r="D1639" i="9"/>
  <c r="C1639" i="9"/>
  <c r="B1639" i="9"/>
  <c r="P1638" i="9"/>
  <c r="O1638" i="9"/>
  <c r="N1638" i="9"/>
  <c r="M1638" i="9"/>
  <c r="L1638" i="9"/>
  <c r="K1638" i="9"/>
  <c r="J1638" i="9"/>
  <c r="I1638" i="9"/>
  <c r="H1638" i="9"/>
  <c r="G1638" i="9"/>
  <c r="F1638" i="9"/>
  <c r="E1638" i="9"/>
  <c r="D1638" i="9"/>
  <c r="C1638" i="9"/>
  <c r="B1638" i="9"/>
  <c r="P1637" i="9"/>
  <c r="O1637" i="9"/>
  <c r="N1637" i="9"/>
  <c r="M1637" i="9"/>
  <c r="L1637" i="9"/>
  <c r="K1637" i="9"/>
  <c r="J1637" i="9"/>
  <c r="I1637" i="9"/>
  <c r="H1637" i="9"/>
  <c r="G1637" i="9"/>
  <c r="F1637" i="9"/>
  <c r="E1637" i="9"/>
  <c r="D1637" i="9"/>
  <c r="C1637" i="9"/>
  <c r="B1637" i="9"/>
  <c r="O1636" i="9"/>
  <c r="N1636" i="9"/>
  <c r="M1636" i="9"/>
  <c r="L1636" i="9"/>
  <c r="K1636" i="9"/>
  <c r="J1636" i="9"/>
  <c r="I1636" i="9"/>
  <c r="H1636" i="9"/>
  <c r="G1636" i="9"/>
  <c r="F1636" i="9"/>
  <c r="E1636" i="9"/>
  <c r="D1636" i="9"/>
  <c r="C1636" i="9"/>
  <c r="B1636" i="9"/>
  <c r="P1635" i="9"/>
  <c r="O1635" i="9"/>
  <c r="N1635" i="9"/>
  <c r="M1635" i="9"/>
  <c r="L1635" i="9"/>
  <c r="K1635" i="9"/>
  <c r="J1635" i="9"/>
  <c r="I1635" i="9"/>
  <c r="H1635" i="9"/>
  <c r="G1635" i="9"/>
  <c r="F1635" i="9"/>
  <c r="E1635" i="9"/>
  <c r="D1635" i="9"/>
  <c r="C1635" i="9"/>
  <c r="B1635" i="9"/>
  <c r="P1634" i="9"/>
  <c r="O1634" i="9"/>
  <c r="N1634" i="9"/>
  <c r="M1634" i="9"/>
  <c r="L1634" i="9"/>
  <c r="K1634" i="9"/>
  <c r="J1634" i="9"/>
  <c r="I1634" i="9"/>
  <c r="H1634" i="9"/>
  <c r="G1634" i="9"/>
  <c r="F1634" i="9"/>
  <c r="E1634" i="9"/>
  <c r="D1634" i="9"/>
  <c r="C1634" i="9"/>
  <c r="B1634" i="9"/>
  <c r="P1633" i="9"/>
  <c r="O1633" i="9"/>
  <c r="N1633" i="9"/>
  <c r="M1633" i="9"/>
  <c r="L1633" i="9"/>
  <c r="K1633" i="9"/>
  <c r="J1633" i="9"/>
  <c r="I1633" i="9"/>
  <c r="H1633" i="9"/>
  <c r="G1633" i="9"/>
  <c r="F1633" i="9"/>
  <c r="E1633" i="9"/>
  <c r="D1633" i="9"/>
  <c r="C1633" i="9"/>
  <c r="B1633" i="9"/>
  <c r="P1632" i="9"/>
  <c r="O1632" i="9"/>
  <c r="N1632" i="9"/>
  <c r="M1632" i="9"/>
  <c r="L1632" i="9"/>
  <c r="K1632" i="9"/>
  <c r="J1632" i="9"/>
  <c r="I1632" i="9"/>
  <c r="H1632" i="9"/>
  <c r="G1632" i="9"/>
  <c r="F1632" i="9"/>
  <c r="E1632" i="9"/>
  <c r="D1632" i="9"/>
  <c r="C1632" i="9"/>
  <c r="B1632" i="9"/>
  <c r="P1631" i="9"/>
  <c r="O1631" i="9"/>
  <c r="N1631" i="9"/>
  <c r="M1631" i="9"/>
  <c r="L1631" i="9"/>
  <c r="K1631" i="9"/>
  <c r="J1631" i="9"/>
  <c r="I1631" i="9"/>
  <c r="H1631" i="9"/>
  <c r="G1631" i="9"/>
  <c r="F1631" i="9"/>
  <c r="E1631" i="9"/>
  <c r="D1631" i="9"/>
  <c r="C1631" i="9"/>
  <c r="B1631" i="9"/>
  <c r="P1630" i="9"/>
  <c r="O1630" i="9"/>
  <c r="N1630" i="9"/>
  <c r="M1630" i="9"/>
  <c r="L1630" i="9"/>
  <c r="K1630" i="9"/>
  <c r="J1630" i="9"/>
  <c r="I1630" i="9"/>
  <c r="H1630" i="9"/>
  <c r="G1630" i="9"/>
  <c r="F1630" i="9"/>
  <c r="E1630" i="9"/>
  <c r="D1630" i="9"/>
  <c r="C1630" i="9"/>
  <c r="B1630" i="9"/>
  <c r="P1629" i="9"/>
  <c r="O1629" i="9"/>
  <c r="N1629" i="9"/>
  <c r="M1629" i="9"/>
  <c r="L1629" i="9"/>
  <c r="K1629" i="9"/>
  <c r="J1629" i="9"/>
  <c r="I1629" i="9"/>
  <c r="H1629" i="9"/>
  <c r="G1629" i="9"/>
  <c r="F1629" i="9"/>
  <c r="E1629" i="9"/>
  <c r="D1629" i="9"/>
  <c r="C1629" i="9"/>
  <c r="B1629" i="9"/>
  <c r="P1628" i="9"/>
  <c r="O1628" i="9"/>
  <c r="N1628" i="9"/>
  <c r="M1628" i="9"/>
  <c r="L1628" i="9"/>
  <c r="K1628" i="9"/>
  <c r="J1628" i="9"/>
  <c r="I1628" i="9"/>
  <c r="H1628" i="9"/>
  <c r="G1628" i="9"/>
  <c r="F1628" i="9"/>
  <c r="E1628" i="9"/>
  <c r="D1628" i="9"/>
  <c r="C1628" i="9"/>
  <c r="B1628" i="9"/>
  <c r="P1627" i="9"/>
  <c r="O1627" i="9"/>
  <c r="N1627" i="9"/>
  <c r="M1627" i="9"/>
  <c r="L1627" i="9"/>
  <c r="K1627" i="9"/>
  <c r="J1627" i="9"/>
  <c r="I1627" i="9"/>
  <c r="H1627" i="9"/>
  <c r="G1627" i="9"/>
  <c r="F1627" i="9"/>
  <c r="E1627" i="9"/>
  <c r="D1627" i="9"/>
  <c r="C1627" i="9"/>
  <c r="B1627" i="9"/>
  <c r="P1626" i="9"/>
  <c r="O1626" i="9"/>
  <c r="N1626" i="9"/>
  <c r="M1626" i="9"/>
  <c r="L1626" i="9"/>
  <c r="K1626" i="9"/>
  <c r="J1626" i="9"/>
  <c r="I1626" i="9"/>
  <c r="H1626" i="9"/>
  <c r="G1626" i="9"/>
  <c r="F1626" i="9"/>
  <c r="E1626" i="9"/>
  <c r="D1626" i="9"/>
  <c r="C1626" i="9"/>
  <c r="B1626" i="9"/>
  <c r="P1625" i="9"/>
  <c r="O1625" i="9"/>
  <c r="N1625" i="9"/>
  <c r="M1625" i="9"/>
  <c r="L1625" i="9"/>
  <c r="K1625" i="9"/>
  <c r="J1625" i="9"/>
  <c r="I1625" i="9"/>
  <c r="H1625" i="9"/>
  <c r="G1625" i="9"/>
  <c r="F1625" i="9"/>
  <c r="E1625" i="9"/>
  <c r="D1625" i="9"/>
  <c r="C1625" i="9"/>
  <c r="B1625" i="9"/>
  <c r="P1624" i="9"/>
  <c r="O1624" i="9"/>
  <c r="N1624" i="9"/>
  <c r="M1624" i="9"/>
  <c r="L1624" i="9"/>
  <c r="K1624" i="9"/>
  <c r="J1624" i="9"/>
  <c r="I1624" i="9"/>
  <c r="H1624" i="9"/>
  <c r="G1624" i="9"/>
  <c r="F1624" i="9"/>
  <c r="E1624" i="9"/>
  <c r="D1624" i="9"/>
  <c r="C1624" i="9"/>
  <c r="B1624" i="9"/>
  <c r="P1623" i="9"/>
  <c r="O1623" i="9"/>
  <c r="N1623" i="9"/>
  <c r="M1623" i="9"/>
  <c r="L1623" i="9"/>
  <c r="K1623" i="9"/>
  <c r="J1623" i="9"/>
  <c r="I1623" i="9"/>
  <c r="H1623" i="9"/>
  <c r="G1623" i="9"/>
  <c r="F1623" i="9"/>
  <c r="E1623" i="9"/>
  <c r="D1623" i="9"/>
  <c r="C1623" i="9"/>
  <c r="B1623" i="9"/>
  <c r="P1622" i="9"/>
  <c r="O1622" i="9"/>
  <c r="N1622" i="9"/>
  <c r="M1622" i="9"/>
  <c r="L1622" i="9"/>
  <c r="K1622" i="9"/>
  <c r="J1622" i="9"/>
  <c r="I1622" i="9"/>
  <c r="H1622" i="9"/>
  <c r="G1622" i="9"/>
  <c r="F1622" i="9"/>
  <c r="E1622" i="9"/>
  <c r="D1622" i="9"/>
  <c r="C1622" i="9"/>
  <c r="B1622" i="9"/>
  <c r="P1621" i="9"/>
  <c r="O1621" i="9"/>
  <c r="N1621" i="9"/>
  <c r="M1621" i="9"/>
  <c r="L1621" i="9"/>
  <c r="K1621" i="9"/>
  <c r="J1621" i="9"/>
  <c r="I1621" i="9"/>
  <c r="H1621" i="9"/>
  <c r="G1621" i="9"/>
  <c r="F1621" i="9"/>
  <c r="E1621" i="9"/>
  <c r="D1621" i="9"/>
  <c r="C1621" i="9"/>
  <c r="B1621" i="9"/>
  <c r="P1620" i="9"/>
  <c r="O1620" i="9"/>
  <c r="N1620" i="9"/>
  <c r="M1620" i="9"/>
  <c r="L1620" i="9"/>
  <c r="K1620" i="9"/>
  <c r="J1620" i="9"/>
  <c r="I1620" i="9"/>
  <c r="H1620" i="9"/>
  <c r="G1620" i="9"/>
  <c r="F1620" i="9"/>
  <c r="E1620" i="9"/>
  <c r="D1620" i="9"/>
  <c r="C1620" i="9"/>
  <c r="B1620" i="9"/>
  <c r="P1619" i="9"/>
  <c r="O1619" i="9"/>
  <c r="N1619" i="9"/>
  <c r="M1619" i="9"/>
  <c r="L1619" i="9"/>
  <c r="K1619" i="9"/>
  <c r="J1619" i="9"/>
  <c r="I1619" i="9"/>
  <c r="H1619" i="9"/>
  <c r="G1619" i="9"/>
  <c r="F1619" i="9"/>
  <c r="E1619" i="9"/>
  <c r="D1619" i="9"/>
  <c r="C1619" i="9"/>
  <c r="B1619" i="9"/>
  <c r="P1618" i="9"/>
  <c r="O1618" i="9"/>
  <c r="N1618" i="9"/>
  <c r="M1618" i="9"/>
  <c r="L1618" i="9"/>
  <c r="K1618" i="9"/>
  <c r="J1618" i="9"/>
  <c r="I1618" i="9"/>
  <c r="H1618" i="9"/>
  <c r="G1618" i="9"/>
  <c r="F1618" i="9"/>
  <c r="E1618" i="9"/>
  <c r="D1618" i="9"/>
  <c r="C1618" i="9"/>
  <c r="B1618" i="9"/>
  <c r="P1617" i="9"/>
  <c r="O1617" i="9"/>
  <c r="N1617" i="9"/>
  <c r="M1617" i="9"/>
  <c r="L1617" i="9"/>
  <c r="K1617" i="9"/>
  <c r="J1617" i="9"/>
  <c r="I1617" i="9"/>
  <c r="H1617" i="9"/>
  <c r="G1617" i="9"/>
  <c r="F1617" i="9"/>
  <c r="E1617" i="9"/>
  <c r="D1617" i="9"/>
  <c r="C1617" i="9"/>
  <c r="B1617" i="9"/>
  <c r="P1616" i="9"/>
  <c r="O1616" i="9"/>
  <c r="N1616" i="9"/>
  <c r="M1616" i="9"/>
  <c r="L1616" i="9"/>
  <c r="K1616" i="9"/>
  <c r="J1616" i="9"/>
  <c r="I1616" i="9"/>
  <c r="H1616" i="9"/>
  <c r="G1616" i="9"/>
  <c r="F1616" i="9"/>
  <c r="E1616" i="9"/>
  <c r="D1616" i="9"/>
  <c r="C1616" i="9"/>
  <c r="B1616" i="9"/>
  <c r="P1615" i="9"/>
  <c r="O1615" i="9"/>
  <c r="N1615" i="9"/>
  <c r="M1615" i="9"/>
  <c r="L1615" i="9"/>
  <c r="K1615" i="9"/>
  <c r="J1615" i="9"/>
  <c r="I1615" i="9"/>
  <c r="H1615" i="9"/>
  <c r="G1615" i="9"/>
  <c r="F1615" i="9"/>
  <c r="E1615" i="9"/>
  <c r="D1615" i="9"/>
  <c r="C1615" i="9"/>
  <c r="B1615" i="9"/>
  <c r="P1614" i="9"/>
  <c r="O1614" i="9"/>
  <c r="N1614" i="9"/>
  <c r="M1614" i="9"/>
  <c r="L1614" i="9"/>
  <c r="K1614" i="9"/>
  <c r="J1614" i="9"/>
  <c r="I1614" i="9"/>
  <c r="H1614" i="9"/>
  <c r="G1614" i="9"/>
  <c r="F1614" i="9"/>
  <c r="E1614" i="9"/>
  <c r="D1614" i="9"/>
  <c r="C1614" i="9"/>
  <c r="B1614" i="9"/>
  <c r="P1613" i="9"/>
  <c r="O1613" i="9"/>
  <c r="N1613" i="9"/>
  <c r="M1613" i="9"/>
  <c r="L1613" i="9"/>
  <c r="K1613" i="9"/>
  <c r="J1613" i="9"/>
  <c r="I1613" i="9"/>
  <c r="H1613" i="9"/>
  <c r="G1613" i="9"/>
  <c r="F1613" i="9"/>
  <c r="E1613" i="9"/>
  <c r="D1613" i="9"/>
  <c r="C1613" i="9"/>
  <c r="B1613" i="9"/>
  <c r="P1612" i="9"/>
  <c r="O1612" i="9"/>
  <c r="N1612" i="9"/>
  <c r="M1612" i="9"/>
  <c r="L1612" i="9"/>
  <c r="K1612" i="9"/>
  <c r="J1612" i="9"/>
  <c r="I1612" i="9"/>
  <c r="H1612" i="9"/>
  <c r="G1612" i="9"/>
  <c r="F1612" i="9"/>
  <c r="E1612" i="9"/>
  <c r="D1612" i="9"/>
  <c r="C1612" i="9"/>
  <c r="B1612" i="9"/>
  <c r="P1611" i="9"/>
  <c r="O1611" i="9"/>
  <c r="N1611" i="9"/>
  <c r="M1611" i="9"/>
  <c r="L1611" i="9"/>
  <c r="K1611" i="9"/>
  <c r="J1611" i="9"/>
  <c r="I1611" i="9"/>
  <c r="H1611" i="9"/>
  <c r="G1611" i="9"/>
  <c r="F1611" i="9"/>
  <c r="E1611" i="9"/>
  <c r="D1611" i="9"/>
  <c r="C1611" i="9"/>
  <c r="B1611" i="9"/>
  <c r="P1610" i="9"/>
  <c r="O1610" i="9"/>
  <c r="N1610" i="9"/>
  <c r="M1610" i="9"/>
  <c r="L1610" i="9"/>
  <c r="K1610" i="9"/>
  <c r="J1610" i="9"/>
  <c r="I1610" i="9"/>
  <c r="H1610" i="9"/>
  <c r="G1610" i="9"/>
  <c r="F1610" i="9"/>
  <c r="E1610" i="9"/>
  <c r="D1610" i="9"/>
  <c r="C1610" i="9"/>
  <c r="B1610" i="9"/>
  <c r="P1609" i="9"/>
  <c r="O1609" i="9"/>
  <c r="N1609" i="9"/>
  <c r="M1609" i="9"/>
  <c r="L1609" i="9"/>
  <c r="K1609" i="9"/>
  <c r="J1609" i="9"/>
  <c r="I1609" i="9"/>
  <c r="H1609" i="9"/>
  <c r="G1609" i="9"/>
  <c r="F1609" i="9"/>
  <c r="E1609" i="9"/>
  <c r="D1609" i="9"/>
  <c r="C1609" i="9"/>
  <c r="B1609" i="9"/>
  <c r="P1608" i="9"/>
  <c r="O1608" i="9"/>
  <c r="N1608" i="9"/>
  <c r="M1608" i="9"/>
  <c r="L1608" i="9"/>
  <c r="K1608" i="9"/>
  <c r="J1608" i="9"/>
  <c r="I1608" i="9"/>
  <c r="H1608" i="9"/>
  <c r="G1608" i="9"/>
  <c r="F1608" i="9"/>
  <c r="E1608" i="9"/>
  <c r="D1608" i="9"/>
  <c r="C1608" i="9"/>
  <c r="B1608" i="9"/>
  <c r="P1607" i="9"/>
  <c r="O1607" i="9"/>
  <c r="N1607" i="9"/>
  <c r="M1607" i="9"/>
  <c r="L1607" i="9"/>
  <c r="K1607" i="9"/>
  <c r="J1607" i="9"/>
  <c r="I1607" i="9"/>
  <c r="H1607" i="9"/>
  <c r="G1607" i="9"/>
  <c r="F1607" i="9"/>
  <c r="E1607" i="9"/>
  <c r="D1607" i="9"/>
  <c r="C1607" i="9"/>
  <c r="B1607" i="9"/>
  <c r="P1606" i="9"/>
  <c r="O1606" i="9"/>
  <c r="N1606" i="9"/>
  <c r="M1606" i="9"/>
  <c r="L1606" i="9"/>
  <c r="K1606" i="9"/>
  <c r="J1606" i="9"/>
  <c r="I1606" i="9"/>
  <c r="H1606" i="9"/>
  <c r="G1606" i="9"/>
  <c r="F1606" i="9"/>
  <c r="E1606" i="9"/>
  <c r="D1606" i="9"/>
  <c r="C1606" i="9"/>
  <c r="B1606" i="9"/>
  <c r="P1605" i="9"/>
  <c r="O1605" i="9"/>
  <c r="N1605" i="9"/>
  <c r="M1605" i="9"/>
  <c r="L1605" i="9"/>
  <c r="K1605" i="9"/>
  <c r="J1605" i="9"/>
  <c r="I1605" i="9"/>
  <c r="H1605" i="9"/>
  <c r="G1605" i="9"/>
  <c r="F1605" i="9"/>
  <c r="E1605" i="9"/>
  <c r="D1605" i="9"/>
  <c r="C1605" i="9"/>
  <c r="B1605" i="9"/>
  <c r="P1604" i="9"/>
  <c r="O1604" i="9"/>
  <c r="N1604" i="9"/>
  <c r="M1604" i="9"/>
  <c r="L1604" i="9"/>
  <c r="K1604" i="9"/>
  <c r="J1604" i="9"/>
  <c r="I1604" i="9"/>
  <c r="H1604" i="9"/>
  <c r="G1604" i="9"/>
  <c r="F1604" i="9"/>
  <c r="E1604" i="9"/>
  <c r="D1604" i="9"/>
  <c r="C1604" i="9"/>
  <c r="B1604" i="9"/>
  <c r="P1603" i="9"/>
  <c r="O1603" i="9"/>
  <c r="N1603" i="9"/>
  <c r="M1603" i="9"/>
  <c r="L1603" i="9"/>
  <c r="K1603" i="9"/>
  <c r="J1603" i="9"/>
  <c r="I1603" i="9"/>
  <c r="H1603" i="9"/>
  <c r="G1603" i="9"/>
  <c r="F1603" i="9"/>
  <c r="E1603" i="9"/>
  <c r="D1603" i="9"/>
  <c r="C1603" i="9"/>
  <c r="B1603" i="9"/>
  <c r="P1602" i="9"/>
  <c r="O1602" i="9"/>
  <c r="N1602" i="9"/>
  <c r="M1602" i="9"/>
  <c r="L1602" i="9"/>
  <c r="K1602" i="9"/>
  <c r="J1602" i="9"/>
  <c r="I1602" i="9"/>
  <c r="H1602" i="9"/>
  <c r="G1602" i="9"/>
  <c r="F1602" i="9"/>
  <c r="E1602" i="9"/>
  <c r="D1602" i="9"/>
  <c r="C1602" i="9"/>
  <c r="B1602" i="9"/>
  <c r="P1601" i="9"/>
  <c r="O1601" i="9"/>
  <c r="N1601" i="9"/>
  <c r="M1601" i="9"/>
  <c r="L1601" i="9"/>
  <c r="K1601" i="9"/>
  <c r="J1601" i="9"/>
  <c r="I1601" i="9"/>
  <c r="H1601" i="9"/>
  <c r="G1601" i="9"/>
  <c r="F1601" i="9"/>
  <c r="E1601" i="9"/>
  <c r="D1601" i="9"/>
  <c r="C1601" i="9"/>
  <c r="B1601" i="9"/>
  <c r="P1600" i="9"/>
  <c r="O1600" i="9"/>
  <c r="N1600" i="9"/>
  <c r="M1600" i="9"/>
  <c r="L1600" i="9"/>
  <c r="K1600" i="9"/>
  <c r="J1600" i="9"/>
  <c r="I1600" i="9"/>
  <c r="H1600" i="9"/>
  <c r="G1600" i="9"/>
  <c r="F1600" i="9"/>
  <c r="E1600" i="9"/>
  <c r="D1600" i="9"/>
  <c r="C1600" i="9"/>
  <c r="B1600" i="9"/>
  <c r="P1599" i="9"/>
  <c r="O1599" i="9"/>
  <c r="N1599" i="9"/>
  <c r="M1599" i="9"/>
  <c r="L1599" i="9"/>
  <c r="K1599" i="9"/>
  <c r="J1599" i="9"/>
  <c r="I1599" i="9"/>
  <c r="H1599" i="9"/>
  <c r="G1599" i="9"/>
  <c r="F1599" i="9"/>
  <c r="E1599" i="9"/>
  <c r="D1599" i="9"/>
  <c r="C1599" i="9"/>
  <c r="B1599" i="9"/>
  <c r="P1598" i="9"/>
  <c r="O1598" i="9"/>
  <c r="N1598" i="9"/>
  <c r="M1598" i="9"/>
  <c r="L1598" i="9"/>
  <c r="K1598" i="9"/>
  <c r="J1598" i="9"/>
  <c r="I1598" i="9"/>
  <c r="H1598" i="9"/>
  <c r="G1598" i="9"/>
  <c r="F1598" i="9"/>
  <c r="E1598" i="9"/>
  <c r="D1598" i="9"/>
  <c r="C1598" i="9"/>
  <c r="B1598" i="9"/>
  <c r="P1597" i="9"/>
  <c r="O1597" i="9"/>
  <c r="N1597" i="9"/>
  <c r="M1597" i="9"/>
  <c r="L1597" i="9"/>
  <c r="K1597" i="9"/>
  <c r="J1597" i="9"/>
  <c r="I1597" i="9"/>
  <c r="H1597" i="9"/>
  <c r="G1597" i="9"/>
  <c r="F1597" i="9"/>
  <c r="E1597" i="9"/>
  <c r="D1597" i="9"/>
  <c r="C1597" i="9"/>
  <c r="B1597" i="9"/>
  <c r="P1596" i="9"/>
  <c r="O1596" i="9"/>
  <c r="N1596" i="9"/>
  <c r="M1596" i="9"/>
  <c r="L1596" i="9"/>
  <c r="K1596" i="9"/>
  <c r="J1596" i="9"/>
  <c r="I1596" i="9"/>
  <c r="H1596" i="9"/>
  <c r="G1596" i="9"/>
  <c r="F1596" i="9"/>
  <c r="E1596" i="9"/>
  <c r="D1596" i="9"/>
  <c r="C1596" i="9"/>
  <c r="B1596" i="9"/>
  <c r="P1595" i="9"/>
  <c r="O1595" i="9"/>
  <c r="N1595" i="9"/>
  <c r="M1595" i="9"/>
  <c r="L1595" i="9"/>
  <c r="K1595" i="9"/>
  <c r="J1595" i="9"/>
  <c r="I1595" i="9"/>
  <c r="H1595" i="9"/>
  <c r="G1595" i="9"/>
  <c r="F1595" i="9"/>
  <c r="E1595" i="9"/>
  <c r="D1595" i="9"/>
  <c r="C1595" i="9"/>
  <c r="B1595" i="9"/>
  <c r="P1594" i="9"/>
  <c r="O1594" i="9"/>
  <c r="N1594" i="9"/>
  <c r="M1594" i="9"/>
  <c r="L1594" i="9"/>
  <c r="K1594" i="9"/>
  <c r="J1594" i="9"/>
  <c r="I1594" i="9"/>
  <c r="H1594" i="9"/>
  <c r="G1594" i="9"/>
  <c r="F1594" i="9"/>
  <c r="E1594" i="9"/>
  <c r="D1594" i="9"/>
  <c r="C1594" i="9"/>
  <c r="B1594" i="9"/>
  <c r="P1593" i="9"/>
  <c r="O1593" i="9"/>
  <c r="N1593" i="9"/>
  <c r="M1593" i="9"/>
  <c r="L1593" i="9"/>
  <c r="K1593" i="9"/>
  <c r="J1593" i="9"/>
  <c r="I1593" i="9"/>
  <c r="H1593" i="9"/>
  <c r="G1593" i="9"/>
  <c r="F1593" i="9"/>
  <c r="E1593" i="9"/>
  <c r="D1593" i="9"/>
  <c r="C1593" i="9"/>
  <c r="B1593" i="9"/>
  <c r="O1592" i="9"/>
  <c r="N1592" i="9"/>
  <c r="M1592" i="9"/>
  <c r="L1592" i="9"/>
  <c r="K1592" i="9"/>
  <c r="J1592" i="9"/>
  <c r="I1592" i="9"/>
  <c r="H1592" i="9"/>
  <c r="G1592" i="9"/>
  <c r="F1592" i="9"/>
  <c r="E1592" i="9"/>
  <c r="D1592" i="9"/>
  <c r="C1592" i="9"/>
  <c r="B1592" i="9"/>
  <c r="P1591" i="9"/>
  <c r="O1591" i="9"/>
  <c r="N1591" i="9"/>
  <c r="M1591" i="9"/>
  <c r="L1591" i="9"/>
  <c r="K1591" i="9"/>
  <c r="J1591" i="9"/>
  <c r="I1591" i="9"/>
  <c r="H1591" i="9"/>
  <c r="G1591" i="9"/>
  <c r="F1591" i="9"/>
  <c r="E1591" i="9"/>
  <c r="D1591" i="9"/>
  <c r="C1591" i="9"/>
  <c r="B1591" i="9"/>
  <c r="P1590" i="9"/>
  <c r="O1590" i="9"/>
  <c r="N1590" i="9"/>
  <c r="M1590" i="9"/>
  <c r="L1590" i="9"/>
  <c r="K1590" i="9"/>
  <c r="J1590" i="9"/>
  <c r="I1590" i="9"/>
  <c r="H1590" i="9"/>
  <c r="G1590" i="9"/>
  <c r="F1590" i="9"/>
  <c r="E1590" i="9"/>
  <c r="D1590" i="9"/>
  <c r="C1590" i="9"/>
  <c r="B1590" i="9"/>
  <c r="P1589" i="9"/>
  <c r="O1589" i="9"/>
  <c r="N1589" i="9"/>
  <c r="M1589" i="9"/>
  <c r="L1589" i="9"/>
  <c r="K1589" i="9"/>
  <c r="J1589" i="9"/>
  <c r="I1589" i="9"/>
  <c r="H1589" i="9"/>
  <c r="G1589" i="9"/>
  <c r="F1589" i="9"/>
  <c r="E1589" i="9"/>
  <c r="D1589" i="9"/>
  <c r="C1589" i="9"/>
  <c r="B1589" i="9"/>
  <c r="P1588" i="9"/>
  <c r="O1588" i="9"/>
  <c r="N1588" i="9"/>
  <c r="M1588" i="9"/>
  <c r="L1588" i="9"/>
  <c r="K1588" i="9"/>
  <c r="J1588" i="9"/>
  <c r="I1588" i="9"/>
  <c r="H1588" i="9"/>
  <c r="G1588" i="9"/>
  <c r="F1588" i="9"/>
  <c r="E1588" i="9"/>
  <c r="D1588" i="9"/>
  <c r="C1588" i="9"/>
  <c r="B1588" i="9"/>
  <c r="P1587" i="9"/>
  <c r="O1587" i="9"/>
  <c r="N1587" i="9"/>
  <c r="M1587" i="9"/>
  <c r="L1587" i="9"/>
  <c r="K1587" i="9"/>
  <c r="J1587" i="9"/>
  <c r="I1587" i="9"/>
  <c r="H1587" i="9"/>
  <c r="G1587" i="9"/>
  <c r="F1587" i="9"/>
  <c r="E1587" i="9"/>
  <c r="D1587" i="9"/>
  <c r="C1587" i="9"/>
  <c r="B1587" i="9"/>
  <c r="P1586" i="9"/>
  <c r="O1586" i="9"/>
  <c r="N1586" i="9"/>
  <c r="M1586" i="9"/>
  <c r="L1586" i="9"/>
  <c r="K1586" i="9"/>
  <c r="J1586" i="9"/>
  <c r="I1586" i="9"/>
  <c r="H1586" i="9"/>
  <c r="G1586" i="9"/>
  <c r="F1586" i="9"/>
  <c r="E1586" i="9"/>
  <c r="D1586" i="9"/>
  <c r="C1586" i="9"/>
  <c r="B1586" i="9"/>
  <c r="P1585" i="9"/>
  <c r="O1585" i="9"/>
  <c r="N1585" i="9"/>
  <c r="M1585" i="9"/>
  <c r="L1585" i="9"/>
  <c r="K1585" i="9"/>
  <c r="J1585" i="9"/>
  <c r="I1585" i="9"/>
  <c r="H1585" i="9"/>
  <c r="G1585" i="9"/>
  <c r="F1585" i="9"/>
  <c r="E1585" i="9"/>
  <c r="D1585" i="9"/>
  <c r="C1585" i="9"/>
  <c r="B1585" i="9"/>
  <c r="P1584" i="9"/>
  <c r="O1584" i="9"/>
  <c r="N1584" i="9"/>
  <c r="M1584" i="9"/>
  <c r="L1584" i="9"/>
  <c r="K1584" i="9"/>
  <c r="J1584" i="9"/>
  <c r="I1584" i="9"/>
  <c r="H1584" i="9"/>
  <c r="G1584" i="9"/>
  <c r="F1584" i="9"/>
  <c r="E1584" i="9"/>
  <c r="D1584" i="9"/>
  <c r="C1584" i="9"/>
  <c r="B1584" i="9"/>
  <c r="P1583" i="9"/>
  <c r="O1583" i="9"/>
  <c r="N1583" i="9"/>
  <c r="M1583" i="9"/>
  <c r="L1583" i="9"/>
  <c r="K1583" i="9"/>
  <c r="J1583" i="9"/>
  <c r="I1583" i="9"/>
  <c r="H1583" i="9"/>
  <c r="G1583" i="9"/>
  <c r="F1583" i="9"/>
  <c r="E1583" i="9"/>
  <c r="D1583" i="9"/>
  <c r="C1583" i="9"/>
  <c r="B1583" i="9"/>
  <c r="P1582" i="9"/>
  <c r="O1582" i="9"/>
  <c r="N1582" i="9"/>
  <c r="M1582" i="9"/>
  <c r="L1582" i="9"/>
  <c r="K1582" i="9"/>
  <c r="J1582" i="9"/>
  <c r="I1582" i="9"/>
  <c r="H1582" i="9"/>
  <c r="G1582" i="9"/>
  <c r="F1582" i="9"/>
  <c r="E1582" i="9"/>
  <c r="D1582" i="9"/>
  <c r="C1582" i="9"/>
  <c r="B1582" i="9"/>
  <c r="P1581" i="9"/>
  <c r="O1581" i="9"/>
  <c r="N1581" i="9"/>
  <c r="M1581" i="9"/>
  <c r="L1581" i="9"/>
  <c r="K1581" i="9"/>
  <c r="J1581" i="9"/>
  <c r="I1581" i="9"/>
  <c r="H1581" i="9"/>
  <c r="G1581" i="9"/>
  <c r="F1581" i="9"/>
  <c r="E1581" i="9"/>
  <c r="D1581" i="9"/>
  <c r="C1581" i="9"/>
  <c r="B1581" i="9"/>
  <c r="P1580" i="9"/>
  <c r="O1580" i="9"/>
  <c r="N1580" i="9"/>
  <c r="M1580" i="9"/>
  <c r="L1580" i="9"/>
  <c r="K1580" i="9"/>
  <c r="J1580" i="9"/>
  <c r="I1580" i="9"/>
  <c r="H1580" i="9"/>
  <c r="G1580" i="9"/>
  <c r="F1580" i="9"/>
  <c r="E1580" i="9"/>
  <c r="D1580" i="9"/>
  <c r="C1580" i="9"/>
  <c r="B1580" i="9"/>
  <c r="P1579" i="9"/>
  <c r="O1579" i="9"/>
  <c r="N1579" i="9"/>
  <c r="M1579" i="9"/>
  <c r="L1579" i="9"/>
  <c r="K1579" i="9"/>
  <c r="J1579" i="9"/>
  <c r="I1579" i="9"/>
  <c r="H1579" i="9"/>
  <c r="G1579" i="9"/>
  <c r="F1579" i="9"/>
  <c r="E1579" i="9"/>
  <c r="D1579" i="9"/>
  <c r="C1579" i="9"/>
  <c r="B1579" i="9"/>
  <c r="P1578" i="9"/>
  <c r="O1578" i="9"/>
  <c r="N1578" i="9"/>
  <c r="M1578" i="9"/>
  <c r="L1578" i="9"/>
  <c r="K1578" i="9"/>
  <c r="J1578" i="9"/>
  <c r="I1578" i="9"/>
  <c r="H1578" i="9"/>
  <c r="G1578" i="9"/>
  <c r="F1578" i="9"/>
  <c r="E1578" i="9"/>
  <c r="D1578" i="9"/>
  <c r="C1578" i="9"/>
  <c r="B1578" i="9"/>
  <c r="P1577" i="9"/>
  <c r="O1577" i="9"/>
  <c r="N1577" i="9"/>
  <c r="M1577" i="9"/>
  <c r="L1577" i="9"/>
  <c r="K1577" i="9"/>
  <c r="J1577" i="9"/>
  <c r="I1577" i="9"/>
  <c r="H1577" i="9"/>
  <c r="G1577" i="9"/>
  <c r="F1577" i="9"/>
  <c r="E1577" i="9"/>
  <c r="D1577" i="9"/>
  <c r="C1577" i="9"/>
  <c r="B1577" i="9"/>
  <c r="P1576" i="9"/>
  <c r="O1576" i="9"/>
  <c r="N1576" i="9"/>
  <c r="M1576" i="9"/>
  <c r="L1576" i="9"/>
  <c r="K1576" i="9"/>
  <c r="J1576" i="9"/>
  <c r="I1576" i="9"/>
  <c r="H1576" i="9"/>
  <c r="G1576" i="9"/>
  <c r="F1576" i="9"/>
  <c r="E1576" i="9"/>
  <c r="D1576" i="9"/>
  <c r="C1576" i="9"/>
  <c r="B1576" i="9"/>
  <c r="P1575" i="9"/>
  <c r="O1575" i="9"/>
  <c r="N1575" i="9"/>
  <c r="M1575" i="9"/>
  <c r="L1575" i="9"/>
  <c r="K1575" i="9"/>
  <c r="J1575" i="9"/>
  <c r="I1575" i="9"/>
  <c r="H1575" i="9"/>
  <c r="G1575" i="9"/>
  <c r="F1575" i="9"/>
  <c r="E1575" i="9"/>
  <c r="D1575" i="9"/>
  <c r="C1575" i="9"/>
  <c r="B1575" i="9"/>
  <c r="P1574" i="9"/>
  <c r="O1574" i="9"/>
  <c r="N1574" i="9"/>
  <c r="M1574" i="9"/>
  <c r="L1574" i="9"/>
  <c r="K1574" i="9"/>
  <c r="J1574" i="9"/>
  <c r="I1574" i="9"/>
  <c r="H1574" i="9"/>
  <c r="G1574" i="9"/>
  <c r="F1574" i="9"/>
  <c r="E1574" i="9"/>
  <c r="D1574" i="9"/>
  <c r="C1574" i="9"/>
  <c r="B1574" i="9"/>
  <c r="P1573" i="9"/>
  <c r="O1573" i="9"/>
  <c r="N1573" i="9"/>
  <c r="M1573" i="9"/>
  <c r="L1573" i="9"/>
  <c r="K1573" i="9"/>
  <c r="J1573" i="9"/>
  <c r="I1573" i="9"/>
  <c r="H1573" i="9"/>
  <c r="G1573" i="9"/>
  <c r="F1573" i="9"/>
  <c r="E1573" i="9"/>
  <c r="D1573" i="9"/>
  <c r="C1573" i="9"/>
  <c r="B1573" i="9"/>
  <c r="P1572" i="9"/>
  <c r="O1572" i="9"/>
  <c r="N1572" i="9"/>
  <c r="M1572" i="9"/>
  <c r="L1572" i="9"/>
  <c r="K1572" i="9"/>
  <c r="J1572" i="9"/>
  <c r="I1572" i="9"/>
  <c r="H1572" i="9"/>
  <c r="G1572" i="9"/>
  <c r="F1572" i="9"/>
  <c r="E1572" i="9"/>
  <c r="D1572" i="9"/>
  <c r="C1572" i="9"/>
  <c r="B1572" i="9"/>
  <c r="P1571" i="9"/>
  <c r="O1571" i="9"/>
  <c r="N1571" i="9"/>
  <c r="M1571" i="9"/>
  <c r="L1571" i="9"/>
  <c r="K1571" i="9"/>
  <c r="J1571" i="9"/>
  <c r="I1571" i="9"/>
  <c r="H1571" i="9"/>
  <c r="G1571" i="9"/>
  <c r="F1571" i="9"/>
  <c r="E1571" i="9"/>
  <c r="D1571" i="9"/>
  <c r="C1571" i="9"/>
  <c r="B1571" i="9"/>
  <c r="P1570" i="9"/>
  <c r="O1570" i="9"/>
  <c r="N1570" i="9"/>
  <c r="M1570" i="9"/>
  <c r="L1570" i="9"/>
  <c r="K1570" i="9"/>
  <c r="J1570" i="9"/>
  <c r="I1570" i="9"/>
  <c r="H1570" i="9"/>
  <c r="G1570" i="9"/>
  <c r="F1570" i="9"/>
  <c r="E1570" i="9"/>
  <c r="D1570" i="9"/>
  <c r="C1570" i="9"/>
  <c r="B1570" i="9"/>
  <c r="P1569" i="9"/>
  <c r="O1569" i="9"/>
  <c r="N1569" i="9"/>
  <c r="M1569" i="9"/>
  <c r="L1569" i="9"/>
  <c r="K1569" i="9"/>
  <c r="J1569" i="9"/>
  <c r="I1569" i="9"/>
  <c r="H1569" i="9"/>
  <c r="G1569" i="9"/>
  <c r="F1569" i="9"/>
  <c r="E1569" i="9"/>
  <c r="D1569" i="9"/>
  <c r="C1569" i="9"/>
  <c r="B1569" i="9"/>
  <c r="P1568" i="9"/>
  <c r="O1568" i="9"/>
  <c r="N1568" i="9"/>
  <c r="M1568" i="9"/>
  <c r="L1568" i="9"/>
  <c r="K1568" i="9"/>
  <c r="J1568" i="9"/>
  <c r="I1568" i="9"/>
  <c r="H1568" i="9"/>
  <c r="G1568" i="9"/>
  <c r="F1568" i="9"/>
  <c r="E1568" i="9"/>
  <c r="D1568" i="9"/>
  <c r="C1568" i="9"/>
  <c r="B1568" i="9"/>
  <c r="P1567" i="9"/>
  <c r="O1567" i="9"/>
  <c r="N1567" i="9"/>
  <c r="M1567" i="9"/>
  <c r="L1567" i="9"/>
  <c r="K1567" i="9"/>
  <c r="J1567" i="9"/>
  <c r="I1567" i="9"/>
  <c r="H1567" i="9"/>
  <c r="G1567" i="9"/>
  <c r="F1567" i="9"/>
  <c r="E1567" i="9"/>
  <c r="D1567" i="9"/>
  <c r="C1567" i="9"/>
  <c r="B1567" i="9"/>
  <c r="P1566" i="9"/>
  <c r="O1566" i="9"/>
  <c r="N1566" i="9"/>
  <c r="M1566" i="9"/>
  <c r="L1566" i="9"/>
  <c r="K1566" i="9"/>
  <c r="J1566" i="9"/>
  <c r="I1566" i="9"/>
  <c r="H1566" i="9"/>
  <c r="G1566" i="9"/>
  <c r="F1566" i="9"/>
  <c r="E1566" i="9"/>
  <c r="D1566" i="9"/>
  <c r="C1566" i="9"/>
  <c r="B1566" i="9"/>
  <c r="P1565" i="9"/>
  <c r="O1565" i="9"/>
  <c r="N1565" i="9"/>
  <c r="M1565" i="9"/>
  <c r="L1565" i="9"/>
  <c r="K1565" i="9"/>
  <c r="J1565" i="9"/>
  <c r="I1565" i="9"/>
  <c r="H1565" i="9"/>
  <c r="G1565" i="9"/>
  <c r="F1565" i="9"/>
  <c r="E1565" i="9"/>
  <c r="D1565" i="9"/>
  <c r="C1565" i="9"/>
  <c r="B1565" i="9"/>
  <c r="P1564" i="9"/>
  <c r="O1564" i="9"/>
  <c r="N1564" i="9"/>
  <c r="M1564" i="9"/>
  <c r="L1564" i="9"/>
  <c r="K1564" i="9"/>
  <c r="J1564" i="9"/>
  <c r="I1564" i="9"/>
  <c r="H1564" i="9"/>
  <c r="G1564" i="9"/>
  <c r="F1564" i="9"/>
  <c r="E1564" i="9"/>
  <c r="D1564" i="9"/>
  <c r="C1564" i="9"/>
  <c r="B1564" i="9"/>
  <c r="P1563" i="9"/>
  <c r="O1563" i="9"/>
  <c r="N1563" i="9"/>
  <c r="M1563" i="9"/>
  <c r="L1563" i="9"/>
  <c r="K1563" i="9"/>
  <c r="J1563" i="9"/>
  <c r="I1563" i="9"/>
  <c r="H1563" i="9"/>
  <c r="G1563" i="9"/>
  <c r="F1563" i="9"/>
  <c r="E1563" i="9"/>
  <c r="D1563" i="9"/>
  <c r="C1563" i="9"/>
  <c r="B1563" i="9"/>
  <c r="P1562" i="9"/>
  <c r="O1562" i="9"/>
  <c r="N1562" i="9"/>
  <c r="M1562" i="9"/>
  <c r="L1562" i="9"/>
  <c r="K1562" i="9"/>
  <c r="J1562" i="9"/>
  <c r="I1562" i="9"/>
  <c r="H1562" i="9"/>
  <c r="G1562" i="9"/>
  <c r="F1562" i="9"/>
  <c r="E1562" i="9"/>
  <c r="D1562" i="9"/>
  <c r="C1562" i="9"/>
  <c r="B1562" i="9"/>
  <c r="P1561" i="9"/>
  <c r="O1561" i="9"/>
  <c r="N1561" i="9"/>
  <c r="M1561" i="9"/>
  <c r="L1561" i="9"/>
  <c r="K1561" i="9"/>
  <c r="J1561" i="9"/>
  <c r="I1561" i="9"/>
  <c r="H1561" i="9"/>
  <c r="G1561" i="9"/>
  <c r="F1561" i="9"/>
  <c r="E1561" i="9"/>
  <c r="D1561" i="9"/>
  <c r="C1561" i="9"/>
  <c r="B1561" i="9"/>
  <c r="P1560" i="9"/>
  <c r="O1560" i="9"/>
  <c r="N1560" i="9"/>
  <c r="M1560" i="9"/>
  <c r="L1560" i="9"/>
  <c r="K1560" i="9"/>
  <c r="J1560" i="9"/>
  <c r="I1560" i="9"/>
  <c r="H1560" i="9"/>
  <c r="G1560" i="9"/>
  <c r="F1560" i="9"/>
  <c r="E1560" i="9"/>
  <c r="D1560" i="9"/>
  <c r="C1560" i="9"/>
  <c r="B1560" i="9"/>
  <c r="P1559" i="9"/>
  <c r="O1559" i="9"/>
  <c r="N1559" i="9"/>
  <c r="M1559" i="9"/>
  <c r="L1559" i="9"/>
  <c r="K1559" i="9"/>
  <c r="J1559" i="9"/>
  <c r="I1559" i="9"/>
  <c r="H1559" i="9"/>
  <c r="G1559" i="9"/>
  <c r="F1559" i="9"/>
  <c r="E1559" i="9"/>
  <c r="D1559" i="9"/>
  <c r="C1559" i="9"/>
  <c r="B1559" i="9"/>
  <c r="P1558" i="9"/>
  <c r="O1558" i="9"/>
  <c r="N1558" i="9"/>
  <c r="M1558" i="9"/>
  <c r="L1558" i="9"/>
  <c r="K1558" i="9"/>
  <c r="J1558" i="9"/>
  <c r="I1558" i="9"/>
  <c r="H1558" i="9"/>
  <c r="G1558" i="9"/>
  <c r="F1558" i="9"/>
  <c r="E1558" i="9"/>
  <c r="D1558" i="9"/>
  <c r="C1558" i="9"/>
  <c r="B1558" i="9"/>
  <c r="P1557" i="9"/>
  <c r="O1557" i="9"/>
  <c r="N1557" i="9"/>
  <c r="M1557" i="9"/>
  <c r="L1557" i="9"/>
  <c r="K1557" i="9"/>
  <c r="J1557" i="9"/>
  <c r="I1557" i="9"/>
  <c r="H1557" i="9"/>
  <c r="G1557" i="9"/>
  <c r="F1557" i="9"/>
  <c r="E1557" i="9"/>
  <c r="D1557" i="9"/>
  <c r="C1557" i="9"/>
  <c r="B1557" i="9"/>
  <c r="P1556" i="9"/>
  <c r="O1556" i="9"/>
  <c r="N1556" i="9"/>
  <c r="M1556" i="9"/>
  <c r="L1556" i="9"/>
  <c r="K1556" i="9"/>
  <c r="J1556" i="9"/>
  <c r="I1556" i="9"/>
  <c r="H1556" i="9"/>
  <c r="G1556" i="9"/>
  <c r="F1556" i="9"/>
  <c r="E1556" i="9"/>
  <c r="D1556" i="9"/>
  <c r="C1556" i="9"/>
  <c r="B1556" i="9"/>
  <c r="P1555" i="9"/>
  <c r="O1555" i="9"/>
  <c r="N1555" i="9"/>
  <c r="M1555" i="9"/>
  <c r="L1555" i="9"/>
  <c r="K1555" i="9"/>
  <c r="J1555" i="9"/>
  <c r="I1555" i="9"/>
  <c r="H1555" i="9"/>
  <c r="G1555" i="9"/>
  <c r="F1555" i="9"/>
  <c r="E1555" i="9"/>
  <c r="D1555" i="9"/>
  <c r="C1555" i="9"/>
  <c r="B1555" i="9"/>
  <c r="P1554" i="9"/>
  <c r="O1554" i="9"/>
  <c r="N1554" i="9"/>
  <c r="M1554" i="9"/>
  <c r="L1554" i="9"/>
  <c r="K1554" i="9"/>
  <c r="J1554" i="9"/>
  <c r="I1554" i="9"/>
  <c r="H1554" i="9"/>
  <c r="G1554" i="9"/>
  <c r="F1554" i="9"/>
  <c r="E1554" i="9"/>
  <c r="D1554" i="9"/>
  <c r="C1554" i="9"/>
  <c r="B1554" i="9"/>
  <c r="P1553" i="9"/>
  <c r="O1553" i="9"/>
  <c r="N1553" i="9"/>
  <c r="M1553" i="9"/>
  <c r="L1553" i="9"/>
  <c r="K1553" i="9"/>
  <c r="J1553" i="9"/>
  <c r="I1553" i="9"/>
  <c r="H1553" i="9"/>
  <c r="G1553" i="9"/>
  <c r="F1553" i="9"/>
  <c r="E1553" i="9"/>
  <c r="D1553" i="9"/>
  <c r="C1553" i="9"/>
  <c r="B1553" i="9"/>
  <c r="P1552" i="9"/>
  <c r="O1552" i="9"/>
  <c r="N1552" i="9"/>
  <c r="M1552" i="9"/>
  <c r="L1552" i="9"/>
  <c r="K1552" i="9"/>
  <c r="J1552" i="9"/>
  <c r="I1552" i="9"/>
  <c r="H1552" i="9"/>
  <c r="G1552" i="9"/>
  <c r="F1552" i="9"/>
  <c r="E1552" i="9"/>
  <c r="D1552" i="9"/>
  <c r="C1552" i="9"/>
  <c r="B1552" i="9"/>
  <c r="P1551" i="9"/>
  <c r="O1551" i="9"/>
  <c r="N1551" i="9"/>
  <c r="M1551" i="9"/>
  <c r="L1551" i="9"/>
  <c r="K1551" i="9"/>
  <c r="J1551" i="9"/>
  <c r="I1551" i="9"/>
  <c r="H1551" i="9"/>
  <c r="G1551" i="9"/>
  <c r="F1551" i="9"/>
  <c r="E1551" i="9"/>
  <c r="D1551" i="9"/>
  <c r="C1551" i="9"/>
  <c r="B1551" i="9"/>
  <c r="P1550" i="9"/>
  <c r="O1550" i="9"/>
  <c r="N1550" i="9"/>
  <c r="M1550" i="9"/>
  <c r="L1550" i="9"/>
  <c r="K1550" i="9"/>
  <c r="J1550" i="9"/>
  <c r="I1550" i="9"/>
  <c r="H1550" i="9"/>
  <c r="G1550" i="9"/>
  <c r="F1550" i="9"/>
  <c r="E1550" i="9"/>
  <c r="D1550" i="9"/>
  <c r="C1550" i="9"/>
  <c r="B1550" i="9"/>
  <c r="P1549" i="9"/>
  <c r="O1549" i="9"/>
  <c r="N1549" i="9"/>
  <c r="M1549" i="9"/>
  <c r="L1549" i="9"/>
  <c r="K1549" i="9"/>
  <c r="J1549" i="9"/>
  <c r="I1549" i="9"/>
  <c r="H1549" i="9"/>
  <c r="G1549" i="9"/>
  <c r="F1549" i="9"/>
  <c r="E1549" i="9"/>
  <c r="D1549" i="9"/>
  <c r="C1549" i="9"/>
  <c r="B1549" i="9"/>
  <c r="P1548" i="9"/>
  <c r="O1548" i="9"/>
  <c r="N1548" i="9"/>
  <c r="M1548" i="9"/>
  <c r="L1548" i="9"/>
  <c r="K1548" i="9"/>
  <c r="J1548" i="9"/>
  <c r="I1548" i="9"/>
  <c r="H1548" i="9"/>
  <c r="G1548" i="9"/>
  <c r="F1548" i="9"/>
  <c r="E1548" i="9"/>
  <c r="D1548" i="9"/>
  <c r="C1548" i="9"/>
  <c r="B1548" i="9"/>
  <c r="P1547" i="9"/>
  <c r="O1547" i="9"/>
  <c r="N1547" i="9"/>
  <c r="M1547" i="9"/>
  <c r="L1547" i="9"/>
  <c r="K1547" i="9"/>
  <c r="J1547" i="9"/>
  <c r="I1547" i="9"/>
  <c r="H1547" i="9"/>
  <c r="G1547" i="9"/>
  <c r="F1547" i="9"/>
  <c r="E1547" i="9"/>
  <c r="D1547" i="9"/>
  <c r="C1547" i="9"/>
  <c r="B1547" i="9"/>
  <c r="P1546" i="9"/>
  <c r="O1546" i="9"/>
  <c r="N1546" i="9"/>
  <c r="M1546" i="9"/>
  <c r="L1546" i="9"/>
  <c r="K1546" i="9"/>
  <c r="J1546" i="9"/>
  <c r="I1546" i="9"/>
  <c r="H1546" i="9"/>
  <c r="G1546" i="9"/>
  <c r="F1546" i="9"/>
  <c r="E1546" i="9"/>
  <c r="D1546" i="9"/>
  <c r="C1546" i="9"/>
  <c r="B1546" i="9"/>
  <c r="P1545" i="9"/>
  <c r="O1545" i="9"/>
  <c r="N1545" i="9"/>
  <c r="M1545" i="9"/>
  <c r="L1545" i="9"/>
  <c r="K1545" i="9"/>
  <c r="J1545" i="9"/>
  <c r="I1545" i="9"/>
  <c r="H1545" i="9"/>
  <c r="G1545" i="9"/>
  <c r="F1545" i="9"/>
  <c r="E1545" i="9"/>
  <c r="D1545" i="9"/>
  <c r="C1545" i="9"/>
  <c r="B1545" i="9"/>
  <c r="P1544" i="9"/>
  <c r="O1544" i="9"/>
  <c r="N1544" i="9"/>
  <c r="M1544" i="9"/>
  <c r="L1544" i="9"/>
  <c r="K1544" i="9"/>
  <c r="J1544" i="9"/>
  <c r="I1544" i="9"/>
  <c r="H1544" i="9"/>
  <c r="G1544" i="9"/>
  <c r="F1544" i="9"/>
  <c r="E1544" i="9"/>
  <c r="D1544" i="9"/>
  <c r="C1544" i="9"/>
  <c r="B1544" i="9"/>
  <c r="P1543" i="9"/>
  <c r="O1543" i="9"/>
  <c r="N1543" i="9"/>
  <c r="M1543" i="9"/>
  <c r="L1543" i="9"/>
  <c r="K1543" i="9"/>
  <c r="J1543" i="9"/>
  <c r="I1543" i="9"/>
  <c r="H1543" i="9"/>
  <c r="G1543" i="9"/>
  <c r="F1543" i="9"/>
  <c r="E1543" i="9"/>
  <c r="D1543" i="9"/>
  <c r="C1543" i="9"/>
  <c r="B1543" i="9"/>
  <c r="P1542" i="9"/>
  <c r="O1542" i="9"/>
  <c r="N1542" i="9"/>
  <c r="M1542" i="9"/>
  <c r="L1542" i="9"/>
  <c r="K1542" i="9"/>
  <c r="J1542" i="9"/>
  <c r="I1542" i="9"/>
  <c r="H1542" i="9"/>
  <c r="G1542" i="9"/>
  <c r="F1542" i="9"/>
  <c r="E1542" i="9"/>
  <c r="D1542" i="9"/>
  <c r="C1542" i="9"/>
  <c r="B1542" i="9"/>
  <c r="P1541" i="9"/>
  <c r="O1541" i="9"/>
  <c r="N1541" i="9"/>
  <c r="M1541" i="9"/>
  <c r="L1541" i="9"/>
  <c r="K1541" i="9"/>
  <c r="J1541" i="9"/>
  <c r="I1541" i="9"/>
  <c r="H1541" i="9"/>
  <c r="G1541" i="9"/>
  <c r="F1541" i="9"/>
  <c r="E1541" i="9"/>
  <c r="D1541" i="9"/>
  <c r="C1541" i="9"/>
  <c r="B1541" i="9"/>
  <c r="P1540" i="9"/>
  <c r="O1540" i="9"/>
  <c r="N1540" i="9"/>
  <c r="M1540" i="9"/>
  <c r="L1540" i="9"/>
  <c r="K1540" i="9"/>
  <c r="J1540" i="9"/>
  <c r="I1540" i="9"/>
  <c r="H1540" i="9"/>
  <c r="G1540" i="9"/>
  <c r="F1540" i="9"/>
  <c r="E1540" i="9"/>
  <c r="D1540" i="9"/>
  <c r="C1540" i="9"/>
  <c r="B1540" i="9"/>
  <c r="P1539" i="9"/>
  <c r="O1539" i="9"/>
  <c r="N1539" i="9"/>
  <c r="M1539" i="9"/>
  <c r="L1539" i="9"/>
  <c r="K1539" i="9"/>
  <c r="J1539" i="9"/>
  <c r="I1539" i="9"/>
  <c r="H1539" i="9"/>
  <c r="G1539" i="9"/>
  <c r="F1539" i="9"/>
  <c r="E1539" i="9"/>
  <c r="D1539" i="9"/>
  <c r="C1539" i="9"/>
  <c r="B1539" i="9"/>
  <c r="P1538" i="9"/>
  <c r="O1538" i="9"/>
  <c r="N1538" i="9"/>
  <c r="M1538" i="9"/>
  <c r="L1538" i="9"/>
  <c r="K1538" i="9"/>
  <c r="J1538" i="9"/>
  <c r="I1538" i="9"/>
  <c r="H1538" i="9"/>
  <c r="G1538" i="9"/>
  <c r="F1538" i="9"/>
  <c r="E1538" i="9"/>
  <c r="D1538" i="9"/>
  <c r="C1538" i="9"/>
  <c r="B1538" i="9"/>
  <c r="P1537" i="9"/>
  <c r="O1537" i="9"/>
  <c r="N1537" i="9"/>
  <c r="M1537" i="9"/>
  <c r="L1537" i="9"/>
  <c r="K1537" i="9"/>
  <c r="J1537" i="9"/>
  <c r="I1537" i="9"/>
  <c r="H1537" i="9"/>
  <c r="G1537" i="9"/>
  <c r="F1537" i="9"/>
  <c r="E1537" i="9"/>
  <c r="D1537" i="9"/>
  <c r="C1537" i="9"/>
  <c r="B1537" i="9"/>
  <c r="P1536" i="9"/>
  <c r="O1536" i="9"/>
  <c r="N1536" i="9"/>
  <c r="M1536" i="9"/>
  <c r="L1536" i="9"/>
  <c r="K1536" i="9"/>
  <c r="J1536" i="9"/>
  <c r="I1536" i="9"/>
  <c r="H1536" i="9"/>
  <c r="G1536" i="9"/>
  <c r="F1536" i="9"/>
  <c r="E1536" i="9"/>
  <c r="D1536" i="9"/>
  <c r="C1536" i="9"/>
  <c r="B1536" i="9"/>
  <c r="P1535" i="9"/>
  <c r="O1535" i="9"/>
  <c r="N1535" i="9"/>
  <c r="M1535" i="9"/>
  <c r="L1535" i="9"/>
  <c r="K1535" i="9"/>
  <c r="J1535" i="9"/>
  <c r="I1535" i="9"/>
  <c r="H1535" i="9"/>
  <c r="G1535" i="9"/>
  <c r="F1535" i="9"/>
  <c r="E1535" i="9"/>
  <c r="D1535" i="9"/>
  <c r="C1535" i="9"/>
  <c r="B1535" i="9"/>
  <c r="P1534" i="9"/>
  <c r="O1534" i="9"/>
  <c r="N1534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P1533" i="9"/>
  <c r="O1533" i="9"/>
  <c r="N1533" i="9"/>
  <c r="M1533" i="9"/>
  <c r="L1533" i="9"/>
  <c r="K1533" i="9"/>
  <c r="J1533" i="9"/>
  <c r="I1533" i="9"/>
  <c r="H1533" i="9"/>
  <c r="G1533" i="9"/>
  <c r="F1533" i="9"/>
  <c r="E1533" i="9"/>
  <c r="D1533" i="9"/>
  <c r="C1533" i="9"/>
  <c r="B1533" i="9"/>
  <c r="P1532" i="9"/>
  <c r="O1532" i="9"/>
  <c r="N1532" i="9"/>
  <c r="M1532" i="9"/>
  <c r="L1532" i="9"/>
  <c r="K1532" i="9"/>
  <c r="J1532" i="9"/>
  <c r="I1532" i="9"/>
  <c r="H1532" i="9"/>
  <c r="G1532" i="9"/>
  <c r="F1532" i="9"/>
  <c r="E1532" i="9"/>
  <c r="D1532" i="9"/>
  <c r="C1532" i="9"/>
  <c r="B1532" i="9"/>
  <c r="P1531" i="9"/>
  <c r="O1531" i="9"/>
  <c r="N1531" i="9"/>
  <c r="M1531" i="9"/>
  <c r="L1531" i="9"/>
  <c r="K1531" i="9"/>
  <c r="J1531" i="9"/>
  <c r="I1531" i="9"/>
  <c r="H1531" i="9"/>
  <c r="G1531" i="9"/>
  <c r="F1531" i="9"/>
  <c r="E1531" i="9"/>
  <c r="D1531" i="9"/>
  <c r="C1531" i="9"/>
  <c r="B1531" i="9"/>
  <c r="P1530" i="9"/>
  <c r="O1530" i="9"/>
  <c r="N1530" i="9"/>
  <c r="M1530" i="9"/>
  <c r="L1530" i="9"/>
  <c r="K1530" i="9"/>
  <c r="J1530" i="9"/>
  <c r="I1530" i="9"/>
  <c r="H1530" i="9"/>
  <c r="G1530" i="9"/>
  <c r="F1530" i="9"/>
  <c r="E1530" i="9"/>
  <c r="D1530" i="9"/>
  <c r="C1530" i="9"/>
  <c r="B1530" i="9"/>
  <c r="P1529" i="9"/>
  <c r="O1529" i="9"/>
  <c r="N1529" i="9"/>
  <c r="M1529" i="9"/>
  <c r="L1529" i="9"/>
  <c r="K1529" i="9"/>
  <c r="J1529" i="9"/>
  <c r="I1529" i="9"/>
  <c r="H1529" i="9"/>
  <c r="G1529" i="9"/>
  <c r="F1529" i="9"/>
  <c r="E1529" i="9"/>
  <c r="D1529" i="9"/>
  <c r="C1529" i="9"/>
  <c r="B1529" i="9"/>
  <c r="P1528" i="9"/>
  <c r="O1528" i="9"/>
  <c r="N1528" i="9"/>
  <c r="M1528" i="9"/>
  <c r="L1528" i="9"/>
  <c r="K1528" i="9"/>
  <c r="J1528" i="9"/>
  <c r="I1528" i="9"/>
  <c r="H1528" i="9"/>
  <c r="G1528" i="9"/>
  <c r="F1528" i="9"/>
  <c r="E1528" i="9"/>
  <c r="D1528" i="9"/>
  <c r="C1528" i="9"/>
  <c r="B1528" i="9"/>
  <c r="P1527" i="9"/>
  <c r="O1527" i="9"/>
  <c r="N1527" i="9"/>
  <c r="M1527" i="9"/>
  <c r="L1527" i="9"/>
  <c r="K1527" i="9"/>
  <c r="J1527" i="9"/>
  <c r="I1527" i="9"/>
  <c r="H1527" i="9"/>
  <c r="G1527" i="9"/>
  <c r="F1527" i="9"/>
  <c r="E1527" i="9"/>
  <c r="D1527" i="9"/>
  <c r="C1527" i="9"/>
  <c r="B1527" i="9"/>
  <c r="P1526" i="9"/>
  <c r="O1526" i="9"/>
  <c r="N1526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P1525" i="9"/>
  <c r="O1525" i="9"/>
  <c r="N1525" i="9"/>
  <c r="M1525" i="9"/>
  <c r="L1525" i="9"/>
  <c r="K1525" i="9"/>
  <c r="J1525" i="9"/>
  <c r="I1525" i="9"/>
  <c r="H1525" i="9"/>
  <c r="G1525" i="9"/>
  <c r="F1525" i="9"/>
  <c r="E1525" i="9"/>
  <c r="D1525" i="9"/>
  <c r="C1525" i="9"/>
  <c r="B1525" i="9"/>
  <c r="P1524" i="9"/>
  <c r="O1524" i="9"/>
  <c r="N1524" i="9"/>
  <c r="M1524" i="9"/>
  <c r="L1524" i="9"/>
  <c r="K1524" i="9"/>
  <c r="J1524" i="9"/>
  <c r="I1524" i="9"/>
  <c r="H1524" i="9"/>
  <c r="G1524" i="9"/>
  <c r="F1524" i="9"/>
  <c r="E1524" i="9"/>
  <c r="D1524" i="9"/>
  <c r="C1524" i="9"/>
  <c r="B1524" i="9"/>
  <c r="P1523" i="9"/>
  <c r="O1523" i="9"/>
  <c r="N1523" i="9"/>
  <c r="M1523" i="9"/>
  <c r="L1523" i="9"/>
  <c r="K1523" i="9"/>
  <c r="J1523" i="9"/>
  <c r="I1523" i="9"/>
  <c r="H1523" i="9"/>
  <c r="G1523" i="9"/>
  <c r="F1523" i="9"/>
  <c r="E1523" i="9"/>
  <c r="D1523" i="9"/>
  <c r="C1523" i="9"/>
  <c r="B1523" i="9"/>
  <c r="P1522" i="9"/>
  <c r="O1522" i="9"/>
  <c r="N1522" i="9"/>
  <c r="M1522" i="9"/>
  <c r="L1522" i="9"/>
  <c r="K1522" i="9"/>
  <c r="J1522" i="9"/>
  <c r="I1522" i="9"/>
  <c r="H1522" i="9"/>
  <c r="G1522" i="9"/>
  <c r="F1522" i="9"/>
  <c r="E1522" i="9"/>
  <c r="D1522" i="9"/>
  <c r="C1522" i="9"/>
  <c r="B1522" i="9"/>
  <c r="P1521" i="9"/>
  <c r="O1521" i="9"/>
  <c r="N1521" i="9"/>
  <c r="M1521" i="9"/>
  <c r="L1521" i="9"/>
  <c r="K1521" i="9"/>
  <c r="J1521" i="9"/>
  <c r="I1521" i="9"/>
  <c r="H1521" i="9"/>
  <c r="G1521" i="9"/>
  <c r="F1521" i="9"/>
  <c r="E1521" i="9"/>
  <c r="D1521" i="9"/>
  <c r="C1521" i="9"/>
  <c r="B1521" i="9"/>
  <c r="P1520" i="9"/>
  <c r="O1520" i="9"/>
  <c r="N1520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P1519" i="9"/>
  <c r="O1519" i="9"/>
  <c r="N1519" i="9"/>
  <c r="M1519" i="9"/>
  <c r="L1519" i="9"/>
  <c r="K1519" i="9"/>
  <c r="J1519" i="9"/>
  <c r="I1519" i="9"/>
  <c r="H1519" i="9"/>
  <c r="G1519" i="9"/>
  <c r="F1519" i="9"/>
  <c r="E1519" i="9"/>
  <c r="D1519" i="9"/>
  <c r="C1519" i="9"/>
  <c r="B1519" i="9"/>
  <c r="P1518" i="9"/>
  <c r="O1518" i="9"/>
  <c r="N1518" i="9"/>
  <c r="M1518" i="9"/>
  <c r="L1518" i="9"/>
  <c r="K1518" i="9"/>
  <c r="J1518" i="9"/>
  <c r="I1518" i="9"/>
  <c r="H1518" i="9"/>
  <c r="G1518" i="9"/>
  <c r="F1518" i="9"/>
  <c r="E1518" i="9"/>
  <c r="D1518" i="9"/>
  <c r="C1518" i="9"/>
  <c r="B1518" i="9"/>
  <c r="P1517" i="9"/>
  <c r="O1517" i="9"/>
  <c r="N1517" i="9"/>
  <c r="M1517" i="9"/>
  <c r="L1517" i="9"/>
  <c r="K1517" i="9"/>
  <c r="J1517" i="9"/>
  <c r="I1517" i="9"/>
  <c r="H1517" i="9"/>
  <c r="G1517" i="9"/>
  <c r="F1517" i="9"/>
  <c r="E1517" i="9"/>
  <c r="D1517" i="9"/>
  <c r="C1517" i="9"/>
  <c r="B1517" i="9"/>
  <c r="P1516" i="9"/>
  <c r="O1516" i="9"/>
  <c r="N1516" i="9"/>
  <c r="M1516" i="9"/>
  <c r="L1516" i="9"/>
  <c r="K1516" i="9"/>
  <c r="J1516" i="9"/>
  <c r="I1516" i="9"/>
  <c r="H1516" i="9"/>
  <c r="G1516" i="9"/>
  <c r="F1516" i="9"/>
  <c r="E1516" i="9"/>
  <c r="D1516" i="9"/>
  <c r="C1516" i="9"/>
  <c r="B1516" i="9"/>
  <c r="P1515" i="9"/>
  <c r="O1515" i="9"/>
  <c r="N1515" i="9"/>
  <c r="M1515" i="9"/>
  <c r="L1515" i="9"/>
  <c r="K1515" i="9"/>
  <c r="J1515" i="9"/>
  <c r="I1515" i="9"/>
  <c r="H1515" i="9"/>
  <c r="G1515" i="9"/>
  <c r="F1515" i="9"/>
  <c r="E1515" i="9"/>
  <c r="D1515" i="9"/>
  <c r="C1515" i="9"/>
  <c r="B1515" i="9"/>
  <c r="P1514" i="9"/>
  <c r="O1514" i="9"/>
  <c r="N1514" i="9"/>
  <c r="M1514" i="9"/>
  <c r="L1514" i="9"/>
  <c r="K1514" i="9"/>
  <c r="J1514" i="9"/>
  <c r="I1514" i="9"/>
  <c r="H1514" i="9"/>
  <c r="G1514" i="9"/>
  <c r="F1514" i="9"/>
  <c r="E1514" i="9"/>
  <c r="D1514" i="9"/>
  <c r="C1514" i="9"/>
  <c r="B1514" i="9"/>
  <c r="P1513" i="9"/>
  <c r="O1513" i="9"/>
  <c r="N1513" i="9"/>
  <c r="M1513" i="9"/>
  <c r="L1513" i="9"/>
  <c r="K1513" i="9"/>
  <c r="J1513" i="9"/>
  <c r="I1513" i="9"/>
  <c r="H1513" i="9"/>
  <c r="G1513" i="9"/>
  <c r="F1513" i="9"/>
  <c r="E1513" i="9"/>
  <c r="D1513" i="9"/>
  <c r="C1513" i="9"/>
  <c r="B1513" i="9"/>
  <c r="P1512" i="9"/>
  <c r="O1512" i="9"/>
  <c r="N1512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P1511" i="9"/>
  <c r="O1511" i="9"/>
  <c r="N1511" i="9"/>
  <c r="M1511" i="9"/>
  <c r="L1511" i="9"/>
  <c r="K1511" i="9"/>
  <c r="J1511" i="9"/>
  <c r="I1511" i="9"/>
  <c r="H1511" i="9"/>
  <c r="G1511" i="9"/>
  <c r="F1511" i="9"/>
  <c r="E1511" i="9"/>
  <c r="D1511" i="9"/>
  <c r="C1511" i="9"/>
  <c r="B1511" i="9"/>
  <c r="P1510" i="9"/>
  <c r="O1510" i="9"/>
  <c r="N1510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P1509" i="9"/>
  <c r="O1509" i="9"/>
  <c r="N1509" i="9"/>
  <c r="M1509" i="9"/>
  <c r="L1509" i="9"/>
  <c r="K1509" i="9"/>
  <c r="J1509" i="9"/>
  <c r="I1509" i="9"/>
  <c r="H1509" i="9"/>
  <c r="G1509" i="9"/>
  <c r="F1509" i="9"/>
  <c r="E1509" i="9"/>
  <c r="D1509" i="9"/>
  <c r="C1509" i="9"/>
  <c r="B1509" i="9"/>
  <c r="P1508" i="9"/>
  <c r="O1508" i="9"/>
  <c r="N1508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P1507" i="9"/>
  <c r="O1507" i="9"/>
  <c r="N1507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P1506" i="9"/>
  <c r="O1506" i="9"/>
  <c r="N1506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P1505" i="9"/>
  <c r="O1505" i="9"/>
  <c r="N1505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P1504" i="9"/>
  <c r="O1504" i="9"/>
  <c r="N1504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P1503" i="9"/>
  <c r="O1503" i="9"/>
  <c r="N1503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P1502" i="9"/>
  <c r="O1502" i="9"/>
  <c r="N1502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P1501" i="9"/>
  <c r="O1501" i="9"/>
  <c r="N1501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P1500" i="9"/>
  <c r="O1500" i="9"/>
  <c r="N1500" i="9"/>
  <c r="M1500" i="9"/>
  <c r="L1500" i="9"/>
  <c r="K1500" i="9"/>
  <c r="J1500" i="9"/>
  <c r="I1500" i="9"/>
  <c r="H1500" i="9"/>
  <c r="G1500" i="9"/>
  <c r="F1500" i="9"/>
  <c r="E1500" i="9"/>
  <c r="D1500" i="9"/>
  <c r="C1500" i="9"/>
  <c r="B1500" i="9"/>
  <c r="P1499" i="9"/>
  <c r="O1499" i="9"/>
  <c r="N1499" i="9"/>
  <c r="M1499" i="9"/>
  <c r="L1499" i="9"/>
  <c r="K1499" i="9"/>
  <c r="J1499" i="9"/>
  <c r="I1499" i="9"/>
  <c r="H1499" i="9"/>
  <c r="G1499" i="9"/>
  <c r="F1499" i="9"/>
  <c r="E1499" i="9"/>
  <c r="D1499" i="9"/>
  <c r="C1499" i="9"/>
  <c r="B1499" i="9"/>
  <c r="P1498" i="9"/>
  <c r="O1498" i="9"/>
  <c r="N1498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P1497" i="9"/>
  <c r="O1497" i="9"/>
  <c r="N1497" i="9"/>
  <c r="M1497" i="9"/>
  <c r="L1497" i="9"/>
  <c r="K1497" i="9"/>
  <c r="J1497" i="9"/>
  <c r="I1497" i="9"/>
  <c r="H1497" i="9"/>
  <c r="G1497" i="9"/>
  <c r="F1497" i="9"/>
  <c r="E1497" i="9"/>
  <c r="D1497" i="9"/>
  <c r="C1497" i="9"/>
  <c r="B1497" i="9"/>
  <c r="P1496" i="9"/>
  <c r="O1496" i="9"/>
  <c r="N1496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P1495" i="9"/>
  <c r="O1495" i="9"/>
  <c r="N1495" i="9"/>
  <c r="M1495" i="9"/>
  <c r="L1495" i="9"/>
  <c r="K1495" i="9"/>
  <c r="J1495" i="9"/>
  <c r="I1495" i="9"/>
  <c r="H1495" i="9"/>
  <c r="G1495" i="9"/>
  <c r="F1495" i="9"/>
  <c r="E1495" i="9"/>
  <c r="D1495" i="9"/>
  <c r="C1495" i="9"/>
  <c r="B1495" i="9"/>
  <c r="P1494" i="9"/>
  <c r="O1494" i="9"/>
  <c r="N1494" i="9"/>
  <c r="M1494" i="9"/>
  <c r="L1494" i="9"/>
  <c r="K1494" i="9"/>
  <c r="J1494" i="9"/>
  <c r="I1494" i="9"/>
  <c r="H1494" i="9"/>
  <c r="G1494" i="9"/>
  <c r="F1494" i="9"/>
  <c r="E1494" i="9"/>
  <c r="D1494" i="9"/>
  <c r="C1494" i="9"/>
  <c r="B1494" i="9"/>
  <c r="P1493" i="9"/>
  <c r="O1493" i="9"/>
  <c r="N1493" i="9"/>
  <c r="M1493" i="9"/>
  <c r="L1493" i="9"/>
  <c r="K1493" i="9"/>
  <c r="J1493" i="9"/>
  <c r="I1493" i="9"/>
  <c r="H1493" i="9"/>
  <c r="G1493" i="9"/>
  <c r="F1493" i="9"/>
  <c r="E1493" i="9"/>
  <c r="D1493" i="9"/>
  <c r="C1493" i="9"/>
  <c r="B1493" i="9"/>
  <c r="P1492" i="9"/>
  <c r="O1492" i="9"/>
  <c r="N1492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P1491" i="9"/>
  <c r="O1491" i="9"/>
  <c r="N1491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P1490" i="9"/>
  <c r="O1490" i="9"/>
  <c r="N1490" i="9"/>
  <c r="M1490" i="9"/>
  <c r="L1490" i="9"/>
  <c r="K1490" i="9"/>
  <c r="J1490" i="9"/>
  <c r="I1490" i="9"/>
  <c r="H1490" i="9"/>
  <c r="G1490" i="9"/>
  <c r="F1490" i="9"/>
  <c r="E1490" i="9"/>
  <c r="D1490" i="9"/>
  <c r="C1490" i="9"/>
  <c r="B1490" i="9"/>
  <c r="P1489" i="9"/>
  <c r="O1489" i="9"/>
  <c r="N1489" i="9"/>
  <c r="M1489" i="9"/>
  <c r="L1489" i="9"/>
  <c r="K1489" i="9"/>
  <c r="J1489" i="9"/>
  <c r="I1489" i="9"/>
  <c r="H1489" i="9"/>
  <c r="G1489" i="9"/>
  <c r="F1489" i="9"/>
  <c r="E1489" i="9"/>
  <c r="D1489" i="9"/>
  <c r="C1489" i="9"/>
  <c r="B1489" i="9"/>
  <c r="P1488" i="9"/>
  <c r="O1488" i="9"/>
  <c r="N1488" i="9"/>
  <c r="M1488" i="9"/>
  <c r="L1488" i="9"/>
  <c r="K1488" i="9"/>
  <c r="J1488" i="9"/>
  <c r="I1488" i="9"/>
  <c r="H1488" i="9"/>
  <c r="G1488" i="9"/>
  <c r="F1488" i="9"/>
  <c r="E1488" i="9"/>
  <c r="D1488" i="9"/>
  <c r="C1488" i="9"/>
  <c r="B1488" i="9"/>
  <c r="P1487" i="9"/>
  <c r="O1487" i="9"/>
  <c r="N1487" i="9"/>
  <c r="M1487" i="9"/>
  <c r="L1487" i="9"/>
  <c r="K1487" i="9"/>
  <c r="J1487" i="9"/>
  <c r="I1487" i="9"/>
  <c r="H1487" i="9"/>
  <c r="G1487" i="9"/>
  <c r="F1487" i="9"/>
  <c r="E1487" i="9"/>
  <c r="D1487" i="9"/>
  <c r="C1487" i="9"/>
  <c r="B1487" i="9"/>
  <c r="P1486" i="9"/>
  <c r="O1486" i="9"/>
  <c r="N1486" i="9"/>
  <c r="M1486" i="9"/>
  <c r="L1486" i="9"/>
  <c r="K1486" i="9"/>
  <c r="J1486" i="9"/>
  <c r="I1486" i="9"/>
  <c r="H1486" i="9"/>
  <c r="G1486" i="9"/>
  <c r="F1486" i="9"/>
  <c r="E1486" i="9"/>
  <c r="D1486" i="9"/>
  <c r="C1486" i="9"/>
  <c r="B1486" i="9"/>
  <c r="P1485" i="9"/>
  <c r="O1485" i="9"/>
  <c r="N1485" i="9"/>
  <c r="M1485" i="9"/>
  <c r="L1485" i="9"/>
  <c r="K1485" i="9"/>
  <c r="J1485" i="9"/>
  <c r="I1485" i="9"/>
  <c r="H1485" i="9"/>
  <c r="G1485" i="9"/>
  <c r="F1485" i="9"/>
  <c r="E1485" i="9"/>
  <c r="D1485" i="9"/>
  <c r="C1485" i="9"/>
  <c r="B1485" i="9"/>
  <c r="P1484" i="9"/>
  <c r="O1484" i="9"/>
  <c r="N1484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P1483" i="9"/>
  <c r="O1483" i="9"/>
  <c r="N1483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P1482" i="9"/>
  <c r="O1482" i="9"/>
  <c r="N1482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P1481" i="9"/>
  <c r="O1481" i="9"/>
  <c r="N1481" i="9"/>
  <c r="M1481" i="9"/>
  <c r="L1481" i="9"/>
  <c r="K1481" i="9"/>
  <c r="J1481" i="9"/>
  <c r="I1481" i="9"/>
  <c r="H1481" i="9"/>
  <c r="G1481" i="9"/>
  <c r="F1481" i="9"/>
  <c r="E1481" i="9"/>
  <c r="D1481" i="9"/>
  <c r="C1481" i="9"/>
  <c r="B1481" i="9"/>
  <c r="P1480" i="9"/>
  <c r="O1480" i="9"/>
  <c r="N1480" i="9"/>
  <c r="M1480" i="9"/>
  <c r="L1480" i="9"/>
  <c r="K1480" i="9"/>
  <c r="J1480" i="9"/>
  <c r="I1480" i="9"/>
  <c r="H1480" i="9"/>
  <c r="G1480" i="9"/>
  <c r="F1480" i="9"/>
  <c r="E1480" i="9"/>
  <c r="D1480" i="9"/>
  <c r="C1480" i="9"/>
  <c r="B1480" i="9"/>
  <c r="P1479" i="9"/>
  <c r="O1479" i="9"/>
  <c r="N1479" i="9"/>
  <c r="M1479" i="9"/>
  <c r="L1479" i="9"/>
  <c r="K1479" i="9"/>
  <c r="J1479" i="9"/>
  <c r="I1479" i="9"/>
  <c r="H1479" i="9"/>
  <c r="G1479" i="9"/>
  <c r="F1479" i="9"/>
  <c r="E1479" i="9"/>
  <c r="D1479" i="9"/>
  <c r="C1479" i="9"/>
  <c r="B1479" i="9"/>
  <c r="P1478" i="9"/>
  <c r="O1478" i="9"/>
  <c r="N1478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P1477" i="9"/>
  <c r="O1477" i="9"/>
  <c r="N1477" i="9"/>
  <c r="M1477" i="9"/>
  <c r="L1477" i="9"/>
  <c r="K1477" i="9"/>
  <c r="J1477" i="9"/>
  <c r="I1477" i="9"/>
  <c r="H1477" i="9"/>
  <c r="G1477" i="9"/>
  <c r="F1477" i="9"/>
  <c r="E1477" i="9"/>
  <c r="D1477" i="9"/>
  <c r="C1477" i="9"/>
  <c r="B1477" i="9"/>
  <c r="P1476" i="9"/>
  <c r="O1476" i="9"/>
  <c r="N1476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P1475" i="9"/>
  <c r="O1475" i="9"/>
  <c r="N1475" i="9"/>
  <c r="M1475" i="9"/>
  <c r="L1475" i="9"/>
  <c r="K1475" i="9"/>
  <c r="J1475" i="9"/>
  <c r="I1475" i="9"/>
  <c r="H1475" i="9"/>
  <c r="G1475" i="9"/>
  <c r="F1475" i="9"/>
  <c r="E1475" i="9"/>
  <c r="D1475" i="9"/>
  <c r="C1475" i="9"/>
  <c r="B1475" i="9"/>
  <c r="P1474" i="9"/>
  <c r="O1474" i="9"/>
  <c r="N1474" i="9"/>
  <c r="M1474" i="9"/>
  <c r="L1474" i="9"/>
  <c r="K1474" i="9"/>
  <c r="J1474" i="9"/>
  <c r="I1474" i="9"/>
  <c r="H1474" i="9"/>
  <c r="G1474" i="9"/>
  <c r="F1474" i="9"/>
  <c r="E1474" i="9"/>
  <c r="D1474" i="9"/>
  <c r="C1474" i="9"/>
  <c r="B1474" i="9"/>
  <c r="P1473" i="9"/>
  <c r="O1473" i="9"/>
  <c r="N1473" i="9"/>
  <c r="M1473" i="9"/>
  <c r="L1473" i="9"/>
  <c r="K1473" i="9"/>
  <c r="J1473" i="9"/>
  <c r="I1473" i="9"/>
  <c r="H1473" i="9"/>
  <c r="G1473" i="9"/>
  <c r="F1473" i="9"/>
  <c r="E1473" i="9"/>
  <c r="D1473" i="9"/>
  <c r="C1473" i="9"/>
  <c r="B1473" i="9"/>
  <c r="P1472" i="9"/>
  <c r="O1472" i="9"/>
  <c r="N1472" i="9"/>
  <c r="M1472" i="9"/>
  <c r="L1472" i="9"/>
  <c r="K1472" i="9"/>
  <c r="J1472" i="9"/>
  <c r="I1472" i="9"/>
  <c r="H1472" i="9"/>
  <c r="G1472" i="9"/>
  <c r="F1472" i="9"/>
  <c r="E1472" i="9"/>
  <c r="D1472" i="9"/>
  <c r="C1472" i="9"/>
  <c r="B1472" i="9"/>
  <c r="P1471" i="9"/>
  <c r="O1471" i="9"/>
  <c r="N1471" i="9"/>
  <c r="M1471" i="9"/>
  <c r="L1471" i="9"/>
  <c r="K1471" i="9"/>
  <c r="J1471" i="9"/>
  <c r="I1471" i="9"/>
  <c r="H1471" i="9"/>
  <c r="G1471" i="9"/>
  <c r="F1471" i="9"/>
  <c r="E1471" i="9"/>
  <c r="D1471" i="9"/>
  <c r="C1471" i="9"/>
  <c r="B1471" i="9"/>
  <c r="P1470" i="9"/>
  <c r="O1470" i="9"/>
  <c r="N1470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P1469" i="9"/>
  <c r="O1469" i="9"/>
  <c r="N1469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P1468" i="9"/>
  <c r="O1468" i="9"/>
  <c r="N1468" i="9"/>
  <c r="M1468" i="9"/>
  <c r="L1468" i="9"/>
  <c r="K1468" i="9"/>
  <c r="J1468" i="9"/>
  <c r="I1468" i="9"/>
  <c r="H1468" i="9"/>
  <c r="G1468" i="9"/>
  <c r="F1468" i="9"/>
  <c r="E1468" i="9"/>
  <c r="D1468" i="9"/>
  <c r="C1468" i="9"/>
  <c r="B1468" i="9"/>
  <c r="P1467" i="9"/>
  <c r="O1467" i="9"/>
  <c r="N1467" i="9"/>
  <c r="M1467" i="9"/>
  <c r="L1467" i="9"/>
  <c r="K1467" i="9"/>
  <c r="J1467" i="9"/>
  <c r="I1467" i="9"/>
  <c r="H1467" i="9"/>
  <c r="G1467" i="9"/>
  <c r="F1467" i="9"/>
  <c r="E1467" i="9"/>
  <c r="D1467" i="9"/>
  <c r="C1467" i="9"/>
  <c r="B1467" i="9"/>
  <c r="P1466" i="9"/>
  <c r="O1466" i="9"/>
  <c r="N1466" i="9"/>
  <c r="M1466" i="9"/>
  <c r="L1466" i="9"/>
  <c r="K1466" i="9"/>
  <c r="J1466" i="9"/>
  <c r="I1466" i="9"/>
  <c r="H1466" i="9"/>
  <c r="G1466" i="9"/>
  <c r="F1466" i="9"/>
  <c r="E1466" i="9"/>
  <c r="D1466" i="9"/>
  <c r="C1466" i="9"/>
  <c r="B1466" i="9"/>
  <c r="P1465" i="9"/>
  <c r="O1465" i="9"/>
  <c r="N1465" i="9"/>
  <c r="M1465" i="9"/>
  <c r="L1465" i="9"/>
  <c r="K1465" i="9"/>
  <c r="J1465" i="9"/>
  <c r="I1465" i="9"/>
  <c r="H1465" i="9"/>
  <c r="G1465" i="9"/>
  <c r="F1465" i="9"/>
  <c r="E1465" i="9"/>
  <c r="D1465" i="9"/>
  <c r="C1465" i="9"/>
  <c r="B1465" i="9"/>
  <c r="P1464" i="9"/>
  <c r="O1464" i="9"/>
  <c r="N1464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P1463" i="9"/>
  <c r="O1463" i="9"/>
  <c r="N1463" i="9"/>
  <c r="M1463" i="9"/>
  <c r="L1463" i="9"/>
  <c r="K1463" i="9"/>
  <c r="J1463" i="9"/>
  <c r="I1463" i="9"/>
  <c r="H1463" i="9"/>
  <c r="G1463" i="9"/>
  <c r="F1463" i="9"/>
  <c r="E1463" i="9"/>
  <c r="D1463" i="9"/>
  <c r="C1463" i="9"/>
  <c r="B1463" i="9"/>
  <c r="P1462" i="9"/>
  <c r="O1462" i="9"/>
  <c r="N1462" i="9"/>
  <c r="M1462" i="9"/>
  <c r="L1462" i="9"/>
  <c r="K1462" i="9"/>
  <c r="J1462" i="9"/>
  <c r="I1462" i="9"/>
  <c r="H1462" i="9"/>
  <c r="G1462" i="9"/>
  <c r="F1462" i="9"/>
  <c r="E1462" i="9"/>
  <c r="D1462" i="9"/>
  <c r="C1462" i="9"/>
  <c r="B1462" i="9"/>
  <c r="P1461" i="9"/>
  <c r="O1461" i="9"/>
  <c r="N1461" i="9"/>
  <c r="M1461" i="9"/>
  <c r="L1461" i="9"/>
  <c r="K1461" i="9"/>
  <c r="J1461" i="9"/>
  <c r="I1461" i="9"/>
  <c r="H1461" i="9"/>
  <c r="G1461" i="9"/>
  <c r="F1461" i="9"/>
  <c r="E1461" i="9"/>
  <c r="D1461" i="9"/>
  <c r="C1461" i="9"/>
  <c r="B1461" i="9"/>
  <c r="P1460" i="9"/>
  <c r="O1460" i="9"/>
  <c r="N1460" i="9"/>
  <c r="M1460" i="9"/>
  <c r="L1460" i="9"/>
  <c r="K1460" i="9"/>
  <c r="J1460" i="9"/>
  <c r="I1460" i="9"/>
  <c r="H1460" i="9"/>
  <c r="G1460" i="9"/>
  <c r="F1460" i="9"/>
  <c r="E1460" i="9"/>
  <c r="D1460" i="9"/>
  <c r="C1460" i="9"/>
  <c r="B1460" i="9"/>
  <c r="P1459" i="9"/>
  <c r="O1459" i="9"/>
  <c r="N1459" i="9"/>
  <c r="M1459" i="9"/>
  <c r="L1459" i="9"/>
  <c r="K1459" i="9"/>
  <c r="J1459" i="9"/>
  <c r="I1459" i="9"/>
  <c r="H1459" i="9"/>
  <c r="G1459" i="9"/>
  <c r="F1459" i="9"/>
  <c r="E1459" i="9"/>
  <c r="D1459" i="9"/>
  <c r="C1459" i="9"/>
  <c r="B1459" i="9"/>
  <c r="P1458" i="9"/>
  <c r="O1458" i="9"/>
  <c r="N1458" i="9"/>
  <c r="M1458" i="9"/>
  <c r="L1458" i="9"/>
  <c r="K1458" i="9"/>
  <c r="J1458" i="9"/>
  <c r="I1458" i="9"/>
  <c r="H1458" i="9"/>
  <c r="G1458" i="9"/>
  <c r="F1458" i="9"/>
  <c r="E1458" i="9"/>
  <c r="D1458" i="9"/>
  <c r="C1458" i="9"/>
  <c r="B1458" i="9"/>
  <c r="P1457" i="9"/>
  <c r="O1457" i="9"/>
  <c r="N1457" i="9"/>
  <c r="M1457" i="9"/>
  <c r="L1457" i="9"/>
  <c r="K1457" i="9"/>
  <c r="J1457" i="9"/>
  <c r="I1457" i="9"/>
  <c r="H1457" i="9"/>
  <c r="G1457" i="9"/>
  <c r="F1457" i="9"/>
  <c r="E1457" i="9"/>
  <c r="D1457" i="9"/>
  <c r="C1457" i="9"/>
  <c r="B1457" i="9"/>
  <c r="P1456" i="9"/>
  <c r="O1456" i="9"/>
  <c r="N1456" i="9"/>
  <c r="M1456" i="9"/>
  <c r="L1456" i="9"/>
  <c r="K1456" i="9"/>
  <c r="J1456" i="9"/>
  <c r="I1456" i="9"/>
  <c r="H1456" i="9"/>
  <c r="G1456" i="9"/>
  <c r="F1456" i="9"/>
  <c r="E1456" i="9"/>
  <c r="D1456" i="9"/>
  <c r="C1456" i="9"/>
  <c r="B1456" i="9"/>
  <c r="P1455" i="9"/>
  <c r="O1455" i="9"/>
  <c r="N1455" i="9"/>
  <c r="M1455" i="9"/>
  <c r="L1455" i="9"/>
  <c r="K1455" i="9"/>
  <c r="J1455" i="9"/>
  <c r="I1455" i="9"/>
  <c r="H1455" i="9"/>
  <c r="G1455" i="9"/>
  <c r="F1455" i="9"/>
  <c r="E1455" i="9"/>
  <c r="D1455" i="9"/>
  <c r="C1455" i="9"/>
  <c r="B1455" i="9"/>
  <c r="P1454" i="9"/>
  <c r="O1454" i="9"/>
  <c r="N1454" i="9"/>
  <c r="M1454" i="9"/>
  <c r="L1454" i="9"/>
  <c r="K1454" i="9"/>
  <c r="J1454" i="9"/>
  <c r="I1454" i="9"/>
  <c r="H1454" i="9"/>
  <c r="G1454" i="9"/>
  <c r="F1454" i="9"/>
  <c r="E1454" i="9"/>
  <c r="D1454" i="9"/>
  <c r="C1454" i="9"/>
  <c r="B1454" i="9"/>
  <c r="P1453" i="9"/>
  <c r="O1453" i="9"/>
  <c r="N1453" i="9"/>
  <c r="M1453" i="9"/>
  <c r="L1453" i="9"/>
  <c r="K1453" i="9"/>
  <c r="J1453" i="9"/>
  <c r="I1453" i="9"/>
  <c r="H1453" i="9"/>
  <c r="G1453" i="9"/>
  <c r="F1453" i="9"/>
  <c r="E1453" i="9"/>
  <c r="D1453" i="9"/>
  <c r="C1453" i="9"/>
  <c r="B1453" i="9"/>
  <c r="P1452" i="9"/>
  <c r="O1452" i="9"/>
  <c r="N1452" i="9"/>
  <c r="M1452" i="9"/>
  <c r="L1452" i="9"/>
  <c r="K1452" i="9"/>
  <c r="J1452" i="9"/>
  <c r="I1452" i="9"/>
  <c r="H1452" i="9"/>
  <c r="G1452" i="9"/>
  <c r="F1452" i="9"/>
  <c r="E1452" i="9"/>
  <c r="D1452" i="9"/>
  <c r="C1452" i="9"/>
  <c r="B1452" i="9"/>
  <c r="P1451" i="9"/>
  <c r="O1451" i="9"/>
  <c r="N1451" i="9"/>
  <c r="M1451" i="9"/>
  <c r="L1451" i="9"/>
  <c r="K1451" i="9"/>
  <c r="J1451" i="9"/>
  <c r="I1451" i="9"/>
  <c r="H1451" i="9"/>
  <c r="G1451" i="9"/>
  <c r="F1451" i="9"/>
  <c r="E1451" i="9"/>
  <c r="D1451" i="9"/>
  <c r="C1451" i="9"/>
  <c r="B1451" i="9"/>
  <c r="P1450" i="9"/>
  <c r="O1450" i="9"/>
  <c r="N1450" i="9"/>
  <c r="M1450" i="9"/>
  <c r="L1450" i="9"/>
  <c r="K1450" i="9"/>
  <c r="J1450" i="9"/>
  <c r="I1450" i="9"/>
  <c r="H1450" i="9"/>
  <c r="G1450" i="9"/>
  <c r="F1450" i="9"/>
  <c r="E1450" i="9"/>
  <c r="D1450" i="9"/>
  <c r="C1450" i="9"/>
  <c r="B1450" i="9"/>
  <c r="P1449" i="9"/>
  <c r="O1449" i="9"/>
  <c r="N1449" i="9"/>
  <c r="M1449" i="9"/>
  <c r="L1449" i="9"/>
  <c r="K1449" i="9"/>
  <c r="J1449" i="9"/>
  <c r="I1449" i="9"/>
  <c r="H1449" i="9"/>
  <c r="G1449" i="9"/>
  <c r="F1449" i="9"/>
  <c r="E1449" i="9"/>
  <c r="D1449" i="9"/>
  <c r="C1449" i="9"/>
  <c r="B1449" i="9"/>
  <c r="P1448" i="9"/>
  <c r="O1448" i="9"/>
  <c r="N1448" i="9"/>
  <c r="M1448" i="9"/>
  <c r="L1448" i="9"/>
  <c r="K1448" i="9"/>
  <c r="J1448" i="9"/>
  <c r="I1448" i="9"/>
  <c r="H1448" i="9"/>
  <c r="G1448" i="9"/>
  <c r="F1448" i="9"/>
  <c r="E1448" i="9"/>
  <c r="D1448" i="9"/>
  <c r="C1448" i="9"/>
  <c r="B1448" i="9"/>
  <c r="P1447" i="9"/>
  <c r="O1447" i="9"/>
  <c r="N1447" i="9"/>
  <c r="M1447" i="9"/>
  <c r="L1447" i="9"/>
  <c r="K1447" i="9"/>
  <c r="J1447" i="9"/>
  <c r="I1447" i="9"/>
  <c r="H1447" i="9"/>
  <c r="G1447" i="9"/>
  <c r="F1447" i="9"/>
  <c r="E1447" i="9"/>
  <c r="D1447" i="9"/>
  <c r="C1447" i="9"/>
  <c r="B1447" i="9"/>
  <c r="P1446" i="9"/>
  <c r="O1446" i="9"/>
  <c r="N1446" i="9"/>
  <c r="M1446" i="9"/>
  <c r="L1446" i="9"/>
  <c r="K1446" i="9"/>
  <c r="J1446" i="9"/>
  <c r="I1446" i="9"/>
  <c r="H1446" i="9"/>
  <c r="G1446" i="9"/>
  <c r="F1446" i="9"/>
  <c r="E1446" i="9"/>
  <c r="D1446" i="9"/>
  <c r="C1446" i="9"/>
  <c r="B1446" i="9"/>
  <c r="P1445" i="9"/>
  <c r="O1445" i="9"/>
  <c r="N1445" i="9"/>
  <c r="M1445" i="9"/>
  <c r="L1445" i="9"/>
  <c r="K1445" i="9"/>
  <c r="J1445" i="9"/>
  <c r="I1445" i="9"/>
  <c r="H1445" i="9"/>
  <c r="G1445" i="9"/>
  <c r="F1445" i="9"/>
  <c r="E1445" i="9"/>
  <c r="D1445" i="9"/>
  <c r="C1445" i="9"/>
  <c r="B1445" i="9"/>
  <c r="P1444" i="9"/>
  <c r="O1444" i="9"/>
  <c r="N1444" i="9"/>
  <c r="M1444" i="9"/>
  <c r="L1444" i="9"/>
  <c r="K1444" i="9"/>
  <c r="J1444" i="9"/>
  <c r="I1444" i="9"/>
  <c r="H1444" i="9"/>
  <c r="G1444" i="9"/>
  <c r="F1444" i="9"/>
  <c r="E1444" i="9"/>
  <c r="D1444" i="9"/>
  <c r="C1444" i="9"/>
  <c r="B1444" i="9"/>
  <c r="P1443" i="9"/>
  <c r="O1443" i="9"/>
  <c r="N1443" i="9"/>
  <c r="M1443" i="9"/>
  <c r="L1443" i="9"/>
  <c r="K1443" i="9"/>
  <c r="J1443" i="9"/>
  <c r="I1443" i="9"/>
  <c r="H1443" i="9"/>
  <c r="G1443" i="9"/>
  <c r="F1443" i="9"/>
  <c r="E1443" i="9"/>
  <c r="D1443" i="9"/>
  <c r="C1443" i="9"/>
  <c r="B1443" i="9"/>
  <c r="P1442" i="9"/>
  <c r="O1442" i="9"/>
  <c r="N1442" i="9"/>
  <c r="M1442" i="9"/>
  <c r="L1442" i="9"/>
  <c r="K1442" i="9"/>
  <c r="J1442" i="9"/>
  <c r="I1442" i="9"/>
  <c r="H1442" i="9"/>
  <c r="G1442" i="9"/>
  <c r="F1442" i="9"/>
  <c r="E1442" i="9"/>
  <c r="D1442" i="9"/>
  <c r="C1442" i="9"/>
  <c r="B1442" i="9"/>
  <c r="P1441" i="9"/>
  <c r="O1441" i="9"/>
  <c r="N1441" i="9"/>
  <c r="M1441" i="9"/>
  <c r="L1441" i="9"/>
  <c r="K1441" i="9"/>
  <c r="J1441" i="9"/>
  <c r="I1441" i="9"/>
  <c r="H1441" i="9"/>
  <c r="G1441" i="9"/>
  <c r="F1441" i="9"/>
  <c r="E1441" i="9"/>
  <c r="D1441" i="9"/>
  <c r="C1441" i="9"/>
  <c r="B1441" i="9"/>
  <c r="P1440" i="9"/>
  <c r="O1440" i="9"/>
  <c r="N1440" i="9"/>
  <c r="M1440" i="9"/>
  <c r="L1440" i="9"/>
  <c r="K1440" i="9"/>
  <c r="J1440" i="9"/>
  <c r="I1440" i="9"/>
  <c r="H1440" i="9"/>
  <c r="G1440" i="9"/>
  <c r="F1440" i="9"/>
  <c r="E1440" i="9"/>
  <c r="D1440" i="9"/>
  <c r="C1440" i="9"/>
  <c r="B1440" i="9"/>
  <c r="P1439" i="9"/>
  <c r="O1439" i="9"/>
  <c r="N1439" i="9"/>
  <c r="M1439" i="9"/>
  <c r="L1439" i="9"/>
  <c r="K1439" i="9"/>
  <c r="J1439" i="9"/>
  <c r="I1439" i="9"/>
  <c r="H1439" i="9"/>
  <c r="G1439" i="9"/>
  <c r="F1439" i="9"/>
  <c r="E1439" i="9"/>
  <c r="D1439" i="9"/>
  <c r="C1439" i="9"/>
  <c r="B1439" i="9"/>
  <c r="P1438" i="9"/>
  <c r="O1438" i="9"/>
  <c r="N1438" i="9"/>
  <c r="M1438" i="9"/>
  <c r="L1438" i="9"/>
  <c r="K1438" i="9"/>
  <c r="J1438" i="9"/>
  <c r="I1438" i="9"/>
  <c r="H1438" i="9"/>
  <c r="G1438" i="9"/>
  <c r="F1438" i="9"/>
  <c r="E1438" i="9"/>
  <c r="D1438" i="9"/>
  <c r="C1438" i="9"/>
  <c r="B1438" i="9"/>
  <c r="P1437" i="9"/>
  <c r="O1437" i="9"/>
  <c r="N1437" i="9"/>
  <c r="M1437" i="9"/>
  <c r="L1437" i="9"/>
  <c r="K1437" i="9"/>
  <c r="J1437" i="9"/>
  <c r="I1437" i="9"/>
  <c r="H1437" i="9"/>
  <c r="G1437" i="9"/>
  <c r="F1437" i="9"/>
  <c r="E1437" i="9"/>
  <c r="D1437" i="9"/>
  <c r="C1437" i="9"/>
  <c r="B1437" i="9"/>
  <c r="P1436" i="9"/>
  <c r="O1436" i="9"/>
  <c r="N1436" i="9"/>
  <c r="M1436" i="9"/>
  <c r="L1436" i="9"/>
  <c r="K1436" i="9"/>
  <c r="J1436" i="9"/>
  <c r="I1436" i="9"/>
  <c r="H1436" i="9"/>
  <c r="G1436" i="9"/>
  <c r="F1436" i="9"/>
  <c r="E1436" i="9"/>
  <c r="D1436" i="9"/>
  <c r="C1436" i="9"/>
  <c r="B1436" i="9"/>
  <c r="P1435" i="9"/>
  <c r="O1435" i="9"/>
  <c r="N1435" i="9"/>
  <c r="M1435" i="9"/>
  <c r="L1435" i="9"/>
  <c r="K1435" i="9"/>
  <c r="J1435" i="9"/>
  <c r="I1435" i="9"/>
  <c r="H1435" i="9"/>
  <c r="G1435" i="9"/>
  <c r="F1435" i="9"/>
  <c r="E1435" i="9"/>
  <c r="D1435" i="9"/>
  <c r="C1435" i="9"/>
  <c r="B1435" i="9"/>
  <c r="P1434" i="9"/>
  <c r="O1434" i="9"/>
  <c r="N1434" i="9"/>
  <c r="M1434" i="9"/>
  <c r="L1434" i="9"/>
  <c r="K1434" i="9"/>
  <c r="J1434" i="9"/>
  <c r="I1434" i="9"/>
  <c r="H1434" i="9"/>
  <c r="G1434" i="9"/>
  <c r="F1434" i="9"/>
  <c r="E1434" i="9"/>
  <c r="D1434" i="9"/>
  <c r="C1434" i="9"/>
  <c r="B1434" i="9"/>
  <c r="P1433" i="9"/>
  <c r="O1433" i="9"/>
  <c r="N1433" i="9"/>
  <c r="M1433" i="9"/>
  <c r="L1433" i="9"/>
  <c r="K1433" i="9"/>
  <c r="J1433" i="9"/>
  <c r="I1433" i="9"/>
  <c r="H1433" i="9"/>
  <c r="G1433" i="9"/>
  <c r="F1433" i="9"/>
  <c r="E1433" i="9"/>
  <c r="D1433" i="9"/>
  <c r="C1433" i="9"/>
  <c r="B1433" i="9"/>
  <c r="P1432" i="9"/>
  <c r="O1432" i="9"/>
  <c r="N1432" i="9"/>
  <c r="M1432" i="9"/>
  <c r="L1432" i="9"/>
  <c r="K1432" i="9"/>
  <c r="J1432" i="9"/>
  <c r="I1432" i="9"/>
  <c r="H1432" i="9"/>
  <c r="G1432" i="9"/>
  <c r="F1432" i="9"/>
  <c r="E1432" i="9"/>
  <c r="D1432" i="9"/>
  <c r="C1432" i="9"/>
  <c r="B1432" i="9"/>
  <c r="P1431" i="9"/>
  <c r="O1431" i="9"/>
  <c r="N1431" i="9"/>
  <c r="M1431" i="9"/>
  <c r="L1431" i="9"/>
  <c r="K1431" i="9"/>
  <c r="J1431" i="9"/>
  <c r="I1431" i="9"/>
  <c r="H1431" i="9"/>
  <c r="G1431" i="9"/>
  <c r="F1431" i="9"/>
  <c r="E1431" i="9"/>
  <c r="D1431" i="9"/>
  <c r="C1431" i="9"/>
  <c r="B1431" i="9"/>
  <c r="P1430" i="9"/>
  <c r="O1430" i="9"/>
  <c r="N1430" i="9"/>
  <c r="M1430" i="9"/>
  <c r="L1430" i="9"/>
  <c r="K1430" i="9"/>
  <c r="J1430" i="9"/>
  <c r="I1430" i="9"/>
  <c r="H1430" i="9"/>
  <c r="G1430" i="9"/>
  <c r="F1430" i="9"/>
  <c r="E1430" i="9"/>
  <c r="D1430" i="9"/>
  <c r="C1430" i="9"/>
  <c r="B1430" i="9"/>
  <c r="P1429" i="9"/>
  <c r="O1429" i="9"/>
  <c r="N1429" i="9"/>
  <c r="M1429" i="9"/>
  <c r="L1429" i="9"/>
  <c r="K1429" i="9"/>
  <c r="J1429" i="9"/>
  <c r="I1429" i="9"/>
  <c r="H1429" i="9"/>
  <c r="G1429" i="9"/>
  <c r="F1429" i="9"/>
  <c r="E1429" i="9"/>
  <c r="D1429" i="9"/>
  <c r="C1429" i="9"/>
  <c r="B1429" i="9"/>
  <c r="P1428" i="9"/>
  <c r="O1428" i="9"/>
  <c r="N1428" i="9"/>
  <c r="M1428" i="9"/>
  <c r="L1428" i="9"/>
  <c r="K1428" i="9"/>
  <c r="J1428" i="9"/>
  <c r="I1428" i="9"/>
  <c r="H1428" i="9"/>
  <c r="G1428" i="9"/>
  <c r="F1428" i="9"/>
  <c r="E1428" i="9"/>
  <c r="D1428" i="9"/>
  <c r="C1428" i="9"/>
  <c r="B1428" i="9"/>
  <c r="P1427" i="9"/>
  <c r="O1427" i="9"/>
  <c r="N1427" i="9"/>
  <c r="M1427" i="9"/>
  <c r="L1427" i="9"/>
  <c r="K1427" i="9"/>
  <c r="J1427" i="9"/>
  <c r="I1427" i="9"/>
  <c r="H1427" i="9"/>
  <c r="G1427" i="9"/>
  <c r="F1427" i="9"/>
  <c r="E1427" i="9"/>
  <c r="D1427" i="9"/>
  <c r="C1427" i="9"/>
  <c r="B1427" i="9"/>
  <c r="P1426" i="9"/>
  <c r="O1426" i="9"/>
  <c r="N1426" i="9"/>
  <c r="M1426" i="9"/>
  <c r="L1426" i="9"/>
  <c r="K1426" i="9"/>
  <c r="J1426" i="9"/>
  <c r="I1426" i="9"/>
  <c r="H1426" i="9"/>
  <c r="G1426" i="9"/>
  <c r="F1426" i="9"/>
  <c r="E1426" i="9"/>
  <c r="D1426" i="9"/>
  <c r="C1426" i="9"/>
  <c r="B1426" i="9"/>
  <c r="P1425" i="9"/>
  <c r="O1425" i="9"/>
  <c r="N1425" i="9"/>
  <c r="M1425" i="9"/>
  <c r="L1425" i="9"/>
  <c r="K1425" i="9"/>
  <c r="J1425" i="9"/>
  <c r="I1425" i="9"/>
  <c r="H1425" i="9"/>
  <c r="G1425" i="9"/>
  <c r="F1425" i="9"/>
  <c r="E1425" i="9"/>
  <c r="D1425" i="9"/>
  <c r="C1425" i="9"/>
  <c r="B1425" i="9"/>
  <c r="P1424" i="9"/>
  <c r="O1424" i="9"/>
  <c r="N1424" i="9"/>
  <c r="M1424" i="9"/>
  <c r="L1424" i="9"/>
  <c r="K1424" i="9"/>
  <c r="J1424" i="9"/>
  <c r="I1424" i="9"/>
  <c r="H1424" i="9"/>
  <c r="G1424" i="9"/>
  <c r="F1424" i="9"/>
  <c r="E1424" i="9"/>
  <c r="D1424" i="9"/>
  <c r="C1424" i="9"/>
  <c r="B1424" i="9"/>
  <c r="P1423" i="9"/>
  <c r="O1423" i="9"/>
  <c r="N1423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P1422" i="9"/>
  <c r="O1422" i="9"/>
  <c r="N1422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P1421" i="9"/>
  <c r="O1421" i="9"/>
  <c r="N1421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P1420" i="9"/>
  <c r="O1420" i="9"/>
  <c r="N1420" i="9"/>
  <c r="M1420" i="9"/>
  <c r="L1420" i="9"/>
  <c r="K1420" i="9"/>
  <c r="J1420" i="9"/>
  <c r="I1420" i="9"/>
  <c r="H1420" i="9"/>
  <c r="G1420" i="9"/>
  <c r="F1420" i="9"/>
  <c r="E1420" i="9"/>
  <c r="D1420" i="9"/>
  <c r="C1420" i="9"/>
  <c r="B1420" i="9"/>
  <c r="P1419" i="9"/>
  <c r="O1419" i="9"/>
  <c r="N1419" i="9"/>
  <c r="M1419" i="9"/>
  <c r="L1419" i="9"/>
  <c r="K1419" i="9"/>
  <c r="J1419" i="9"/>
  <c r="I1419" i="9"/>
  <c r="H1419" i="9"/>
  <c r="G1419" i="9"/>
  <c r="F1419" i="9"/>
  <c r="E1419" i="9"/>
  <c r="D1419" i="9"/>
  <c r="C1419" i="9"/>
  <c r="B1419" i="9"/>
  <c r="P1418" i="9"/>
  <c r="O1418" i="9"/>
  <c r="N1418" i="9"/>
  <c r="M1418" i="9"/>
  <c r="L1418" i="9"/>
  <c r="K1418" i="9"/>
  <c r="J1418" i="9"/>
  <c r="I1418" i="9"/>
  <c r="H1418" i="9"/>
  <c r="G1418" i="9"/>
  <c r="F1418" i="9"/>
  <c r="E1418" i="9"/>
  <c r="D1418" i="9"/>
  <c r="C1418" i="9"/>
  <c r="B1418" i="9"/>
  <c r="P1417" i="9"/>
  <c r="O1417" i="9"/>
  <c r="N1417" i="9"/>
  <c r="M1417" i="9"/>
  <c r="L1417" i="9"/>
  <c r="K1417" i="9"/>
  <c r="J1417" i="9"/>
  <c r="I1417" i="9"/>
  <c r="H1417" i="9"/>
  <c r="G1417" i="9"/>
  <c r="F1417" i="9"/>
  <c r="E1417" i="9"/>
  <c r="D1417" i="9"/>
  <c r="C1417" i="9"/>
  <c r="B1417" i="9"/>
  <c r="P1416" i="9"/>
  <c r="O1416" i="9"/>
  <c r="N1416" i="9"/>
  <c r="M1416" i="9"/>
  <c r="L1416" i="9"/>
  <c r="K1416" i="9"/>
  <c r="J1416" i="9"/>
  <c r="I1416" i="9"/>
  <c r="H1416" i="9"/>
  <c r="G1416" i="9"/>
  <c r="F1416" i="9"/>
  <c r="E1416" i="9"/>
  <c r="D1416" i="9"/>
  <c r="C1416" i="9"/>
  <c r="B1416" i="9"/>
  <c r="P1415" i="9"/>
  <c r="O1415" i="9"/>
  <c r="N1415" i="9"/>
  <c r="M1415" i="9"/>
  <c r="L1415" i="9"/>
  <c r="K1415" i="9"/>
  <c r="J1415" i="9"/>
  <c r="I1415" i="9"/>
  <c r="H1415" i="9"/>
  <c r="G1415" i="9"/>
  <c r="F1415" i="9"/>
  <c r="E1415" i="9"/>
  <c r="D1415" i="9"/>
  <c r="C1415" i="9"/>
  <c r="B1415" i="9"/>
  <c r="P1414" i="9"/>
  <c r="O1414" i="9"/>
  <c r="N1414" i="9"/>
  <c r="M1414" i="9"/>
  <c r="L1414" i="9"/>
  <c r="K1414" i="9"/>
  <c r="J1414" i="9"/>
  <c r="I1414" i="9"/>
  <c r="H1414" i="9"/>
  <c r="G1414" i="9"/>
  <c r="F1414" i="9"/>
  <c r="E1414" i="9"/>
  <c r="D1414" i="9"/>
  <c r="C1414" i="9"/>
  <c r="B1414" i="9"/>
  <c r="P1413" i="9"/>
  <c r="O1413" i="9"/>
  <c r="N1413" i="9"/>
  <c r="M1413" i="9"/>
  <c r="L1413" i="9"/>
  <c r="K1413" i="9"/>
  <c r="J1413" i="9"/>
  <c r="I1413" i="9"/>
  <c r="H1413" i="9"/>
  <c r="G1413" i="9"/>
  <c r="F1413" i="9"/>
  <c r="E1413" i="9"/>
  <c r="D1413" i="9"/>
  <c r="C1413" i="9"/>
  <c r="B1413" i="9"/>
  <c r="P1412" i="9"/>
  <c r="O1412" i="9"/>
  <c r="N1412" i="9"/>
  <c r="M1412" i="9"/>
  <c r="L1412" i="9"/>
  <c r="K1412" i="9"/>
  <c r="J1412" i="9"/>
  <c r="I1412" i="9"/>
  <c r="H1412" i="9"/>
  <c r="G1412" i="9"/>
  <c r="F1412" i="9"/>
  <c r="E1412" i="9"/>
  <c r="D1412" i="9"/>
  <c r="C1412" i="9"/>
  <c r="B1412" i="9"/>
  <c r="P1411" i="9"/>
  <c r="O1411" i="9"/>
  <c r="N1411" i="9"/>
  <c r="M1411" i="9"/>
  <c r="L1411" i="9"/>
  <c r="K1411" i="9"/>
  <c r="J1411" i="9"/>
  <c r="I1411" i="9"/>
  <c r="H1411" i="9"/>
  <c r="G1411" i="9"/>
  <c r="F1411" i="9"/>
  <c r="E1411" i="9"/>
  <c r="D1411" i="9"/>
  <c r="C1411" i="9"/>
  <c r="B1411" i="9"/>
  <c r="P1410" i="9"/>
  <c r="O1410" i="9"/>
  <c r="N1410" i="9"/>
  <c r="M1410" i="9"/>
  <c r="L1410" i="9"/>
  <c r="K1410" i="9"/>
  <c r="J1410" i="9"/>
  <c r="I1410" i="9"/>
  <c r="H1410" i="9"/>
  <c r="G1410" i="9"/>
  <c r="F1410" i="9"/>
  <c r="E1410" i="9"/>
  <c r="D1410" i="9"/>
  <c r="C1410" i="9"/>
  <c r="B1410" i="9"/>
  <c r="P1409" i="9"/>
  <c r="O1409" i="9"/>
  <c r="N1409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P1408" i="9"/>
  <c r="O1408" i="9"/>
  <c r="N1408" i="9"/>
  <c r="M1408" i="9"/>
  <c r="L1408" i="9"/>
  <c r="K1408" i="9"/>
  <c r="J1408" i="9"/>
  <c r="I1408" i="9"/>
  <c r="H1408" i="9"/>
  <c r="G1408" i="9"/>
  <c r="F1408" i="9"/>
  <c r="E1408" i="9"/>
  <c r="D1408" i="9"/>
  <c r="C1408" i="9"/>
  <c r="B1408" i="9"/>
  <c r="P1407" i="9"/>
  <c r="O1407" i="9"/>
  <c r="N1407" i="9"/>
  <c r="M1407" i="9"/>
  <c r="L1407" i="9"/>
  <c r="K1407" i="9"/>
  <c r="J1407" i="9"/>
  <c r="I1407" i="9"/>
  <c r="H1407" i="9"/>
  <c r="G1407" i="9"/>
  <c r="F1407" i="9"/>
  <c r="E1407" i="9"/>
  <c r="D1407" i="9"/>
  <c r="C1407" i="9"/>
  <c r="B1407" i="9"/>
  <c r="P1406" i="9"/>
  <c r="O1406" i="9"/>
  <c r="N1406" i="9"/>
  <c r="M1406" i="9"/>
  <c r="L1406" i="9"/>
  <c r="K1406" i="9"/>
  <c r="J1406" i="9"/>
  <c r="I1406" i="9"/>
  <c r="H1406" i="9"/>
  <c r="G1406" i="9"/>
  <c r="F1406" i="9"/>
  <c r="E1406" i="9"/>
  <c r="D1406" i="9"/>
  <c r="C1406" i="9"/>
  <c r="B1406" i="9"/>
  <c r="P1405" i="9"/>
  <c r="O1405" i="9"/>
  <c r="N1405" i="9"/>
  <c r="M1405" i="9"/>
  <c r="L1405" i="9"/>
  <c r="K1405" i="9"/>
  <c r="J1405" i="9"/>
  <c r="I1405" i="9"/>
  <c r="H1405" i="9"/>
  <c r="G1405" i="9"/>
  <c r="F1405" i="9"/>
  <c r="E1405" i="9"/>
  <c r="D1405" i="9"/>
  <c r="C1405" i="9"/>
  <c r="B1405" i="9"/>
  <c r="P1404" i="9"/>
  <c r="O1404" i="9"/>
  <c r="N1404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P1403" i="9"/>
  <c r="O1403" i="9"/>
  <c r="N1403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P1402" i="9"/>
  <c r="O1402" i="9"/>
  <c r="N1402" i="9"/>
  <c r="M1402" i="9"/>
  <c r="L1402" i="9"/>
  <c r="K1402" i="9"/>
  <c r="J1402" i="9"/>
  <c r="I1402" i="9"/>
  <c r="H1402" i="9"/>
  <c r="G1402" i="9"/>
  <c r="F1402" i="9"/>
  <c r="E1402" i="9"/>
  <c r="D1402" i="9"/>
  <c r="C1402" i="9"/>
  <c r="B1402" i="9"/>
  <c r="P1401" i="9"/>
  <c r="O1401" i="9"/>
  <c r="N1401" i="9"/>
  <c r="M1401" i="9"/>
  <c r="L1401" i="9"/>
  <c r="K1401" i="9"/>
  <c r="J1401" i="9"/>
  <c r="I1401" i="9"/>
  <c r="H1401" i="9"/>
  <c r="G1401" i="9"/>
  <c r="F1401" i="9"/>
  <c r="E1401" i="9"/>
  <c r="D1401" i="9"/>
  <c r="C1401" i="9"/>
  <c r="B1401" i="9"/>
  <c r="P1400" i="9"/>
  <c r="O1400" i="9"/>
  <c r="N1400" i="9"/>
  <c r="M1400" i="9"/>
  <c r="L1400" i="9"/>
  <c r="K1400" i="9"/>
  <c r="J1400" i="9"/>
  <c r="I1400" i="9"/>
  <c r="H1400" i="9"/>
  <c r="G1400" i="9"/>
  <c r="F1400" i="9"/>
  <c r="E1400" i="9"/>
  <c r="D1400" i="9"/>
  <c r="C1400" i="9"/>
  <c r="B1400" i="9"/>
  <c r="P1399" i="9"/>
  <c r="O1399" i="9"/>
  <c r="N1399" i="9"/>
  <c r="M1399" i="9"/>
  <c r="L1399" i="9"/>
  <c r="K1399" i="9"/>
  <c r="J1399" i="9"/>
  <c r="I1399" i="9"/>
  <c r="H1399" i="9"/>
  <c r="G1399" i="9"/>
  <c r="F1399" i="9"/>
  <c r="E1399" i="9"/>
  <c r="D1399" i="9"/>
  <c r="C1399" i="9"/>
  <c r="B1399" i="9"/>
  <c r="P1398" i="9"/>
  <c r="O1398" i="9"/>
  <c r="N1398" i="9"/>
  <c r="M1398" i="9"/>
  <c r="L1398" i="9"/>
  <c r="K1398" i="9"/>
  <c r="J1398" i="9"/>
  <c r="I1398" i="9"/>
  <c r="H1398" i="9"/>
  <c r="G1398" i="9"/>
  <c r="F1398" i="9"/>
  <c r="E1398" i="9"/>
  <c r="D1398" i="9"/>
  <c r="C1398" i="9"/>
  <c r="B1398" i="9"/>
  <c r="P1397" i="9"/>
  <c r="O1397" i="9"/>
  <c r="N1397" i="9"/>
  <c r="M1397" i="9"/>
  <c r="L1397" i="9"/>
  <c r="K1397" i="9"/>
  <c r="J1397" i="9"/>
  <c r="I1397" i="9"/>
  <c r="H1397" i="9"/>
  <c r="G1397" i="9"/>
  <c r="F1397" i="9"/>
  <c r="E1397" i="9"/>
  <c r="D1397" i="9"/>
  <c r="C1397" i="9"/>
  <c r="B1397" i="9"/>
  <c r="P1396" i="9"/>
  <c r="O1396" i="9"/>
  <c r="N1396" i="9"/>
  <c r="M1396" i="9"/>
  <c r="L1396" i="9"/>
  <c r="K1396" i="9"/>
  <c r="J1396" i="9"/>
  <c r="I1396" i="9"/>
  <c r="H1396" i="9"/>
  <c r="G1396" i="9"/>
  <c r="F1396" i="9"/>
  <c r="E1396" i="9"/>
  <c r="D1396" i="9"/>
  <c r="C1396" i="9"/>
  <c r="B1396" i="9"/>
  <c r="P1395" i="9"/>
  <c r="O1395" i="9"/>
  <c r="N1395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P1394" i="9"/>
  <c r="O1394" i="9"/>
  <c r="N1394" i="9"/>
  <c r="M1394" i="9"/>
  <c r="L1394" i="9"/>
  <c r="K1394" i="9"/>
  <c r="J1394" i="9"/>
  <c r="I1394" i="9"/>
  <c r="H1394" i="9"/>
  <c r="G1394" i="9"/>
  <c r="F1394" i="9"/>
  <c r="E1394" i="9"/>
  <c r="D1394" i="9"/>
  <c r="C1394" i="9"/>
  <c r="B1394" i="9"/>
  <c r="P1393" i="9"/>
  <c r="O1393" i="9"/>
  <c r="N1393" i="9"/>
  <c r="M1393" i="9"/>
  <c r="L1393" i="9"/>
  <c r="K1393" i="9"/>
  <c r="J1393" i="9"/>
  <c r="I1393" i="9"/>
  <c r="H1393" i="9"/>
  <c r="G1393" i="9"/>
  <c r="F1393" i="9"/>
  <c r="E1393" i="9"/>
  <c r="D1393" i="9"/>
  <c r="C1393" i="9"/>
  <c r="B1393" i="9"/>
  <c r="P1392" i="9"/>
  <c r="O1392" i="9"/>
  <c r="N1392" i="9"/>
  <c r="M1392" i="9"/>
  <c r="L1392" i="9"/>
  <c r="K1392" i="9"/>
  <c r="J1392" i="9"/>
  <c r="I1392" i="9"/>
  <c r="H1392" i="9"/>
  <c r="G1392" i="9"/>
  <c r="F1392" i="9"/>
  <c r="E1392" i="9"/>
  <c r="D1392" i="9"/>
  <c r="C1392" i="9"/>
  <c r="B1392" i="9"/>
  <c r="P1391" i="9"/>
  <c r="O1391" i="9"/>
  <c r="N1391" i="9"/>
  <c r="M1391" i="9"/>
  <c r="L1391" i="9"/>
  <c r="K1391" i="9"/>
  <c r="J1391" i="9"/>
  <c r="I1391" i="9"/>
  <c r="H1391" i="9"/>
  <c r="G1391" i="9"/>
  <c r="F1391" i="9"/>
  <c r="E1391" i="9"/>
  <c r="D1391" i="9"/>
  <c r="C1391" i="9"/>
  <c r="B1391" i="9"/>
  <c r="P1390" i="9"/>
  <c r="O1390" i="9"/>
  <c r="N1390" i="9"/>
  <c r="M1390" i="9"/>
  <c r="L1390" i="9"/>
  <c r="K1390" i="9"/>
  <c r="J1390" i="9"/>
  <c r="I1390" i="9"/>
  <c r="H1390" i="9"/>
  <c r="G1390" i="9"/>
  <c r="F1390" i="9"/>
  <c r="E1390" i="9"/>
  <c r="D1390" i="9"/>
  <c r="C1390" i="9"/>
  <c r="B1390" i="9"/>
  <c r="P1389" i="9"/>
  <c r="O1389" i="9"/>
  <c r="N1389" i="9"/>
  <c r="M1389" i="9"/>
  <c r="L1389" i="9"/>
  <c r="K1389" i="9"/>
  <c r="J1389" i="9"/>
  <c r="I1389" i="9"/>
  <c r="H1389" i="9"/>
  <c r="G1389" i="9"/>
  <c r="F1389" i="9"/>
  <c r="E1389" i="9"/>
  <c r="D1389" i="9"/>
  <c r="C1389" i="9"/>
  <c r="B1389" i="9"/>
  <c r="P1388" i="9"/>
  <c r="O1388" i="9"/>
  <c r="N1388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P1387" i="9"/>
  <c r="O1387" i="9"/>
  <c r="N1387" i="9"/>
  <c r="M1387" i="9"/>
  <c r="L1387" i="9"/>
  <c r="K1387" i="9"/>
  <c r="J1387" i="9"/>
  <c r="I1387" i="9"/>
  <c r="H1387" i="9"/>
  <c r="G1387" i="9"/>
  <c r="F1387" i="9"/>
  <c r="E1387" i="9"/>
  <c r="D1387" i="9"/>
  <c r="C1387" i="9"/>
  <c r="B1387" i="9"/>
  <c r="P1386" i="9"/>
  <c r="O1386" i="9"/>
  <c r="N1386" i="9"/>
  <c r="M1386" i="9"/>
  <c r="L1386" i="9"/>
  <c r="K1386" i="9"/>
  <c r="J1386" i="9"/>
  <c r="I1386" i="9"/>
  <c r="H1386" i="9"/>
  <c r="G1386" i="9"/>
  <c r="F1386" i="9"/>
  <c r="E1386" i="9"/>
  <c r="D1386" i="9"/>
  <c r="C1386" i="9"/>
  <c r="B1386" i="9"/>
  <c r="P1385" i="9"/>
  <c r="O1385" i="9"/>
  <c r="N1385" i="9"/>
  <c r="M1385" i="9"/>
  <c r="L1385" i="9"/>
  <c r="K1385" i="9"/>
  <c r="J1385" i="9"/>
  <c r="I1385" i="9"/>
  <c r="H1385" i="9"/>
  <c r="G1385" i="9"/>
  <c r="F1385" i="9"/>
  <c r="E1385" i="9"/>
  <c r="D1385" i="9"/>
  <c r="C1385" i="9"/>
  <c r="B1385" i="9"/>
  <c r="P1384" i="9"/>
  <c r="O1384" i="9"/>
  <c r="N1384" i="9"/>
  <c r="M1384" i="9"/>
  <c r="L1384" i="9"/>
  <c r="K1384" i="9"/>
  <c r="J1384" i="9"/>
  <c r="I1384" i="9"/>
  <c r="H1384" i="9"/>
  <c r="G1384" i="9"/>
  <c r="F1384" i="9"/>
  <c r="E1384" i="9"/>
  <c r="D1384" i="9"/>
  <c r="C1384" i="9"/>
  <c r="B1384" i="9"/>
  <c r="P1383" i="9"/>
  <c r="O1383" i="9"/>
  <c r="N1383" i="9"/>
  <c r="M1383" i="9"/>
  <c r="L1383" i="9"/>
  <c r="K1383" i="9"/>
  <c r="J1383" i="9"/>
  <c r="I1383" i="9"/>
  <c r="H1383" i="9"/>
  <c r="G1383" i="9"/>
  <c r="F1383" i="9"/>
  <c r="E1383" i="9"/>
  <c r="D1383" i="9"/>
  <c r="C1383" i="9"/>
  <c r="B1383" i="9"/>
  <c r="P1382" i="9"/>
  <c r="O1382" i="9"/>
  <c r="N1382" i="9"/>
  <c r="M1382" i="9"/>
  <c r="L1382" i="9"/>
  <c r="K1382" i="9"/>
  <c r="J1382" i="9"/>
  <c r="I1382" i="9"/>
  <c r="H1382" i="9"/>
  <c r="G1382" i="9"/>
  <c r="F1382" i="9"/>
  <c r="E1382" i="9"/>
  <c r="D1382" i="9"/>
  <c r="C1382" i="9"/>
  <c r="B1382" i="9"/>
  <c r="P1381" i="9"/>
  <c r="O1381" i="9"/>
  <c r="N1381" i="9"/>
  <c r="M1381" i="9"/>
  <c r="L1381" i="9"/>
  <c r="K1381" i="9"/>
  <c r="J1381" i="9"/>
  <c r="I1381" i="9"/>
  <c r="H1381" i="9"/>
  <c r="G1381" i="9"/>
  <c r="F1381" i="9"/>
  <c r="E1381" i="9"/>
  <c r="D1381" i="9"/>
  <c r="C1381" i="9"/>
  <c r="B1381" i="9"/>
  <c r="P1380" i="9"/>
  <c r="O1380" i="9"/>
  <c r="N1380" i="9"/>
  <c r="M1380" i="9"/>
  <c r="L1380" i="9"/>
  <c r="K1380" i="9"/>
  <c r="J1380" i="9"/>
  <c r="I1380" i="9"/>
  <c r="H1380" i="9"/>
  <c r="G1380" i="9"/>
  <c r="F1380" i="9"/>
  <c r="E1380" i="9"/>
  <c r="D1380" i="9"/>
  <c r="C1380" i="9"/>
  <c r="B1380" i="9"/>
  <c r="P1379" i="9"/>
  <c r="O1379" i="9"/>
  <c r="N1379" i="9"/>
  <c r="M1379" i="9"/>
  <c r="L1379" i="9"/>
  <c r="K1379" i="9"/>
  <c r="J1379" i="9"/>
  <c r="I1379" i="9"/>
  <c r="H1379" i="9"/>
  <c r="G1379" i="9"/>
  <c r="F1379" i="9"/>
  <c r="E1379" i="9"/>
  <c r="D1379" i="9"/>
  <c r="C1379" i="9"/>
  <c r="B1379" i="9"/>
  <c r="P1378" i="9"/>
  <c r="O1378" i="9"/>
  <c r="N1378" i="9"/>
  <c r="M1378" i="9"/>
  <c r="L1378" i="9"/>
  <c r="K1378" i="9"/>
  <c r="J1378" i="9"/>
  <c r="I1378" i="9"/>
  <c r="H1378" i="9"/>
  <c r="G1378" i="9"/>
  <c r="F1378" i="9"/>
  <c r="E1378" i="9"/>
  <c r="D1378" i="9"/>
  <c r="C1378" i="9"/>
  <c r="B1378" i="9"/>
  <c r="P1377" i="9"/>
  <c r="O1377" i="9"/>
  <c r="N1377" i="9"/>
  <c r="M1377" i="9"/>
  <c r="L1377" i="9"/>
  <c r="K1377" i="9"/>
  <c r="J1377" i="9"/>
  <c r="I1377" i="9"/>
  <c r="H1377" i="9"/>
  <c r="G1377" i="9"/>
  <c r="F1377" i="9"/>
  <c r="E1377" i="9"/>
  <c r="D1377" i="9"/>
  <c r="C1377" i="9"/>
  <c r="B1377" i="9"/>
  <c r="P1376" i="9"/>
  <c r="O1376" i="9"/>
  <c r="N1376" i="9"/>
  <c r="M1376" i="9"/>
  <c r="L1376" i="9"/>
  <c r="K1376" i="9"/>
  <c r="J1376" i="9"/>
  <c r="I1376" i="9"/>
  <c r="H1376" i="9"/>
  <c r="G1376" i="9"/>
  <c r="F1376" i="9"/>
  <c r="E1376" i="9"/>
  <c r="D1376" i="9"/>
  <c r="C1376" i="9"/>
  <c r="B1376" i="9"/>
  <c r="P1375" i="9"/>
  <c r="O1375" i="9"/>
  <c r="N1375" i="9"/>
  <c r="M1375" i="9"/>
  <c r="L1375" i="9"/>
  <c r="K1375" i="9"/>
  <c r="J1375" i="9"/>
  <c r="I1375" i="9"/>
  <c r="H1375" i="9"/>
  <c r="G1375" i="9"/>
  <c r="F1375" i="9"/>
  <c r="E1375" i="9"/>
  <c r="D1375" i="9"/>
  <c r="C1375" i="9"/>
  <c r="B1375" i="9"/>
  <c r="P1374" i="9"/>
  <c r="O1374" i="9"/>
  <c r="N1374" i="9"/>
  <c r="M1374" i="9"/>
  <c r="L1374" i="9"/>
  <c r="K1374" i="9"/>
  <c r="J1374" i="9"/>
  <c r="I1374" i="9"/>
  <c r="H1374" i="9"/>
  <c r="G1374" i="9"/>
  <c r="F1374" i="9"/>
  <c r="E1374" i="9"/>
  <c r="D1374" i="9"/>
  <c r="C1374" i="9"/>
  <c r="B1374" i="9"/>
  <c r="P1373" i="9"/>
  <c r="O1373" i="9"/>
  <c r="N1373" i="9"/>
  <c r="M1373" i="9"/>
  <c r="L1373" i="9"/>
  <c r="K1373" i="9"/>
  <c r="J1373" i="9"/>
  <c r="I1373" i="9"/>
  <c r="H1373" i="9"/>
  <c r="G1373" i="9"/>
  <c r="F1373" i="9"/>
  <c r="E1373" i="9"/>
  <c r="D1373" i="9"/>
  <c r="C1373" i="9"/>
  <c r="B1373" i="9"/>
  <c r="P1372" i="9"/>
  <c r="O1372" i="9"/>
  <c r="N1372" i="9"/>
  <c r="M1372" i="9"/>
  <c r="L1372" i="9"/>
  <c r="K1372" i="9"/>
  <c r="J1372" i="9"/>
  <c r="I1372" i="9"/>
  <c r="H1372" i="9"/>
  <c r="G1372" i="9"/>
  <c r="F1372" i="9"/>
  <c r="E1372" i="9"/>
  <c r="D1372" i="9"/>
  <c r="C1372" i="9"/>
  <c r="B1372" i="9"/>
  <c r="P1371" i="9"/>
  <c r="O1371" i="9"/>
  <c r="N1371" i="9"/>
  <c r="M1371" i="9"/>
  <c r="L1371" i="9"/>
  <c r="K1371" i="9"/>
  <c r="J1371" i="9"/>
  <c r="I1371" i="9"/>
  <c r="H1371" i="9"/>
  <c r="G1371" i="9"/>
  <c r="F1371" i="9"/>
  <c r="E1371" i="9"/>
  <c r="D1371" i="9"/>
  <c r="C1371" i="9"/>
  <c r="B1371" i="9"/>
  <c r="P1370" i="9"/>
  <c r="O1370" i="9"/>
  <c r="N1370" i="9"/>
  <c r="M1370" i="9"/>
  <c r="L1370" i="9"/>
  <c r="K1370" i="9"/>
  <c r="J1370" i="9"/>
  <c r="I1370" i="9"/>
  <c r="H1370" i="9"/>
  <c r="G1370" i="9"/>
  <c r="F1370" i="9"/>
  <c r="E1370" i="9"/>
  <c r="D1370" i="9"/>
  <c r="C1370" i="9"/>
  <c r="B1370" i="9"/>
  <c r="P1369" i="9"/>
  <c r="O1369" i="9"/>
  <c r="N1369" i="9"/>
  <c r="M1369" i="9"/>
  <c r="L1369" i="9"/>
  <c r="K1369" i="9"/>
  <c r="J1369" i="9"/>
  <c r="I1369" i="9"/>
  <c r="H1369" i="9"/>
  <c r="G1369" i="9"/>
  <c r="F1369" i="9"/>
  <c r="E1369" i="9"/>
  <c r="D1369" i="9"/>
  <c r="C1369" i="9"/>
  <c r="B1369" i="9"/>
  <c r="P1368" i="9"/>
  <c r="O1368" i="9"/>
  <c r="N1368" i="9"/>
  <c r="M1368" i="9"/>
  <c r="L1368" i="9"/>
  <c r="K1368" i="9"/>
  <c r="J1368" i="9"/>
  <c r="I1368" i="9"/>
  <c r="H1368" i="9"/>
  <c r="G1368" i="9"/>
  <c r="F1368" i="9"/>
  <c r="E1368" i="9"/>
  <c r="D1368" i="9"/>
  <c r="C1368" i="9"/>
  <c r="B1368" i="9"/>
  <c r="P1367" i="9"/>
  <c r="O1367" i="9"/>
  <c r="N1367" i="9"/>
  <c r="M1367" i="9"/>
  <c r="L1367" i="9"/>
  <c r="K1367" i="9"/>
  <c r="J1367" i="9"/>
  <c r="I1367" i="9"/>
  <c r="H1367" i="9"/>
  <c r="G1367" i="9"/>
  <c r="F1367" i="9"/>
  <c r="E1367" i="9"/>
  <c r="D1367" i="9"/>
  <c r="C1367" i="9"/>
  <c r="B1367" i="9"/>
  <c r="P1366" i="9"/>
  <c r="O1366" i="9"/>
  <c r="N1366" i="9"/>
  <c r="M1366" i="9"/>
  <c r="L1366" i="9"/>
  <c r="K1366" i="9"/>
  <c r="J1366" i="9"/>
  <c r="I1366" i="9"/>
  <c r="H1366" i="9"/>
  <c r="G1366" i="9"/>
  <c r="F1366" i="9"/>
  <c r="E1366" i="9"/>
  <c r="D1366" i="9"/>
  <c r="C1366" i="9"/>
  <c r="B1366" i="9"/>
  <c r="P1365" i="9"/>
  <c r="O1365" i="9"/>
  <c r="N1365" i="9"/>
  <c r="M1365" i="9"/>
  <c r="L1365" i="9"/>
  <c r="K1365" i="9"/>
  <c r="J1365" i="9"/>
  <c r="I1365" i="9"/>
  <c r="H1365" i="9"/>
  <c r="G1365" i="9"/>
  <c r="F1365" i="9"/>
  <c r="E1365" i="9"/>
  <c r="D1365" i="9"/>
  <c r="C1365" i="9"/>
  <c r="B1365" i="9"/>
  <c r="P1364" i="9"/>
  <c r="O1364" i="9"/>
  <c r="N1364" i="9"/>
  <c r="M1364" i="9"/>
  <c r="L1364" i="9"/>
  <c r="K1364" i="9"/>
  <c r="J1364" i="9"/>
  <c r="I1364" i="9"/>
  <c r="H1364" i="9"/>
  <c r="G1364" i="9"/>
  <c r="F1364" i="9"/>
  <c r="E1364" i="9"/>
  <c r="D1364" i="9"/>
  <c r="C1364" i="9"/>
  <c r="B1364" i="9"/>
  <c r="P1363" i="9"/>
  <c r="O1363" i="9"/>
  <c r="N1363" i="9"/>
  <c r="M1363" i="9"/>
  <c r="L1363" i="9"/>
  <c r="K1363" i="9"/>
  <c r="J1363" i="9"/>
  <c r="I1363" i="9"/>
  <c r="H1363" i="9"/>
  <c r="G1363" i="9"/>
  <c r="F1363" i="9"/>
  <c r="E1363" i="9"/>
  <c r="D1363" i="9"/>
  <c r="C1363" i="9"/>
  <c r="B1363" i="9"/>
  <c r="P1362" i="9"/>
  <c r="O1362" i="9"/>
  <c r="N1362" i="9"/>
  <c r="M1362" i="9"/>
  <c r="L1362" i="9"/>
  <c r="K1362" i="9"/>
  <c r="J1362" i="9"/>
  <c r="I1362" i="9"/>
  <c r="H1362" i="9"/>
  <c r="G1362" i="9"/>
  <c r="F1362" i="9"/>
  <c r="E1362" i="9"/>
  <c r="D1362" i="9"/>
  <c r="C1362" i="9"/>
  <c r="B1362" i="9"/>
  <c r="P1361" i="9"/>
  <c r="O1361" i="9"/>
  <c r="N1361" i="9"/>
  <c r="M1361" i="9"/>
  <c r="L1361" i="9"/>
  <c r="K1361" i="9"/>
  <c r="J1361" i="9"/>
  <c r="I1361" i="9"/>
  <c r="H1361" i="9"/>
  <c r="G1361" i="9"/>
  <c r="F1361" i="9"/>
  <c r="E1361" i="9"/>
  <c r="D1361" i="9"/>
  <c r="C1361" i="9"/>
  <c r="B1361" i="9"/>
  <c r="P1360" i="9"/>
  <c r="O1360" i="9"/>
  <c r="N1360" i="9"/>
  <c r="M1360" i="9"/>
  <c r="L1360" i="9"/>
  <c r="K1360" i="9"/>
  <c r="J1360" i="9"/>
  <c r="I1360" i="9"/>
  <c r="H1360" i="9"/>
  <c r="G1360" i="9"/>
  <c r="F1360" i="9"/>
  <c r="E1360" i="9"/>
  <c r="D1360" i="9"/>
  <c r="C1360" i="9"/>
  <c r="B1360" i="9"/>
  <c r="P1359" i="9"/>
  <c r="O1359" i="9"/>
  <c r="N1359" i="9"/>
  <c r="M1359" i="9"/>
  <c r="L1359" i="9"/>
  <c r="K1359" i="9"/>
  <c r="J1359" i="9"/>
  <c r="I1359" i="9"/>
  <c r="H1359" i="9"/>
  <c r="G1359" i="9"/>
  <c r="F1359" i="9"/>
  <c r="E1359" i="9"/>
  <c r="D1359" i="9"/>
  <c r="C1359" i="9"/>
  <c r="B1359" i="9"/>
  <c r="P1358" i="9"/>
  <c r="O1358" i="9"/>
  <c r="N1358" i="9"/>
  <c r="M1358" i="9"/>
  <c r="L1358" i="9"/>
  <c r="K1358" i="9"/>
  <c r="J1358" i="9"/>
  <c r="I1358" i="9"/>
  <c r="H1358" i="9"/>
  <c r="G1358" i="9"/>
  <c r="F1358" i="9"/>
  <c r="E1358" i="9"/>
  <c r="D1358" i="9"/>
  <c r="C1358" i="9"/>
  <c r="B1358" i="9"/>
  <c r="P1357" i="9"/>
  <c r="O1357" i="9"/>
  <c r="N1357" i="9"/>
  <c r="M1357" i="9"/>
  <c r="L1357" i="9"/>
  <c r="K1357" i="9"/>
  <c r="J1357" i="9"/>
  <c r="I1357" i="9"/>
  <c r="H1357" i="9"/>
  <c r="G1357" i="9"/>
  <c r="F1357" i="9"/>
  <c r="E1357" i="9"/>
  <c r="D1357" i="9"/>
  <c r="C1357" i="9"/>
  <c r="B1357" i="9"/>
  <c r="P1356" i="9"/>
  <c r="O1356" i="9"/>
  <c r="N1356" i="9"/>
  <c r="M1356" i="9"/>
  <c r="L1356" i="9"/>
  <c r="K1356" i="9"/>
  <c r="J1356" i="9"/>
  <c r="I1356" i="9"/>
  <c r="H1356" i="9"/>
  <c r="G1356" i="9"/>
  <c r="F1356" i="9"/>
  <c r="E1356" i="9"/>
  <c r="D1356" i="9"/>
  <c r="C1356" i="9"/>
  <c r="B1356" i="9"/>
  <c r="P1355" i="9"/>
  <c r="O1355" i="9"/>
  <c r="N1355" i="9"/>
  <c r="M1355" i="9"/>
  <c r="L1355" i="9"/>
  <c r="K1355" i="9"/>
  <c r="J1355" i="9"/>
  <c r="I1355" i="9"/>
  <c r="H1355" i="9"/>
  <c r="G1355" i="9"/>
  <c r="F1355" i="9"/>
  <c r="E1355" i="9"/>
  <c r="D1355" i="9"/>
  <c r="C1355" i="9"/>
  <c r="B1355" i="9"/>
  <c r="P1354" i="9"/>
  <c r="O1354" i="9"/>
  <c r="N1354" i="9"/>
  <c r="M1354" i="9"/>
  <c r="L1354" i="9"/>
  <c r="K1354" i="9"/>
  <c r="J1354" i="9"/>
  <c r="I1354" i="9"/>
  <c r="H1354" i="9"/>
  <c r="G1354" i="9"/>
  <c r="F1354" i="9"/>
  <c r="E1354" i="9"/>
  <c r="D1354" i="9"/>
  <c r="C1354" i="9"/>
  <c r="B1354" i="9"/>
  <c r="P1353" i="9"/>
  <c r="O1353" i="9"/>
  <c r="N1353" i="9"/>
  <c r="M1353" i="9"/>
  <c r="L1353" i="9"/>
  <c r="K1353" i="9"/>
  <c r="J1353" i="9"/>
  <c r="I1353" i="9"/>
  <c r="H1353" i="9"/>
  <c r="G1353" i="9"/>
  <c r="F1353" i="9"/>
  <c r="E1353" i="9"/>
  <c r="D1353" i="9"/>
  <c r="C1353" i="9"/>
  <c r="B1353" i="9"/>
  <c r="P1352" i="9"/>
  <c r="O1352" i="9"/>
  <c r="N1352" i="9"/>
  <c r="M1352" i="9"/>
  <c r="L1352" i="9"/>
  <c r="K1352" i="9"/>
  <c r="J1352" i="9"/>
  <c r="I1352" i="9"/>
  <c r="H1352" i="9"/>
  <c r="G1352" i="9"/>
  <c r="F1352" i="9"/>
  <c r="E1352" i="9"/>
  <c r="D1352" i="9"/>
  <c r="C1352" i="9"/>
  <c r="B1352" i="9"/>
  <c r="P1351" i="9"/>
  <c r="O1351" i="9"/>
  <c r="N1351" i="9"/>
  <c r="M1351" i="9"/>
  <c r="L1351" i="9"/>
  <c r="K1351" i="9"/>
  <c r="J1351" i="9"/>
  <c r="I1351" i="9"/>
  <c r="H1351" i="9"/>
  <c r="G1351" i="9"/>
  <c r="F1351" i="9"/>
  <c r="E1351" i="9"/>
  <c r="D1351" i="9"/>
  <c r="C1351" i="9"/>
  <c r="B1351" i="9"/>
  <c r="P1350" i="9"/>
  <c r="O1350" i="9"/>
  <c r="N1350" i="9"/>
  <c r="M1350" i="9"/>
  <c r="L1350" i="9"/>
  <c r="K1350" i="9"/>
  <c r="J1350" i="9"/>
  <c r="I1350" i="9"/>
  <c r="H1350" i="9"/>
  <c r="G1350" i="9"/>
  <c r="F1350" i="9"/>
  <c r="E1350" i="9"/>
  <c r="D1350" i="9"/>
  <c r="C1350" i="9"/>
  <c r="B1350" i="9"/>
  <c r="P1349" i="9"/>
  <c r="O1349" i="9"/>
  <c r="N1349" i="9"/>
  <c r="M1349" i="9"/>
  <c r="L1349" i="9"/>
  <c r="K1349" i="9"/>
  <c r="J1349" i="9"/>
  <c r="I1349" i="9"/>
  <c r="H1349" i="9"/>
  <c r="G1349" i="9"/>
  <c r="F1349" i="9"/>
  <c r="E1349" i="9"/>
  <c r="D1349" i="9"/>
  <c r="C1349" i="9"/>
  <c r="B1349" i="9"/>
  <c r="P1348" i="9"/>
  <c r="O1348" i="9"/>
  <c r="N1348" i="9"/>
  <c r="M1348" i="9"/>
  <c r="L1348" i="9"/>
  <c r="K1348" i="9"/>
  <c r="J1348" i="9"/>
  <c r="I1348" i="9"/>
  <c r="H1348" i="9"/>
  <c r="G1348" i="9"/>
  <c r="F1348" i="9"/>
  <c r="E1348" i="9"/>
  <c r="D1348" i="9"/>
  <c r="C1348" i="9"/>
  <c r="B1348" i="9"/>
  <c r="P1347" i="9"/>
  <c r="O1347" i="9"/>
  <c r="N1347" i="9"/>
  <c r="M1347" i="9"/>
  <c r="L1347" i="9"/>
  <c r="K1347" i="9"/>
  <c r="J1347" i="9"/>
  <c r="I1347" i="9"/>
  <c r="H1347" i="9"/>
  <c r="G1347" i="9"/>
  <c r="F1347" i="9"/>
  <c r="E1347" i="9"/>
  <c r="D1347" i="9"/>
  <c r="C1347" i="9"/>
  <c r="B1347" i="9"/>
  <c r="P1346" i="9"/>
  <c r="O1346" i="9"/>
  <c r="N1346" i="9"/>
  <c r="M1346" i="9"/>
  <c r="L1346" i="9"/>
  <c r="K1346" i="9"/>
  <c r="J1346" i="9"/>
  <c r="I1346" i="9"/>
  <c r="H1346" i="9"/>
  <c r="G1346" i="9"/>
  <c r="F1346" i="9"/>
  <c r="E1346" i="9"/>
  <c r="D1346" i="9"/>
  <c r="C1346" i="9"/>
  <c r="B1346" i="9"/>
  <c r="P1345" i="9"/>
  <c r="O1345" i="9"/>
  <c r="N1345" i="9"/>
  <c r="M1345" i="9"/>
  <c r="L1345" i="9"/>
  <c r="K1345" i="9"/>
  <c r="J1345" i="9"/>
  <c r="I1345" i="9"/>
  <c r="H1345" i="9"/>
  <c r="G1345" i="9"/>
  <c r="F1345" i="9"/>
  <c r="E1345" i="9"/>
  <c r="D1345" i="9"/>
  <c r="C1345" i="9"/>
  <c r="B1345" i="9"/>
  <c r="P1344" i="9"/>
  <c r="O1344" i="9"/>
  <c r="N1344" i="9"/>
  <c r="M1344" i="9"/>
  <c r="L1344" i="9"/>
  <c r="K1344" i="9"/>
  <c r="J1344" i="9"/>
  <c r="I1344" i="9"/>
  <c r="H1344" i="9"/>
  <c r="G1344" i="9"/>
  <c r="F1344" i="9"/>
  <c r="E1344" i="9"/>
  <c r="D1344" i="9"/>
  <c r="C1344" i="9"/>
  <c r="B1344" i="9"/>
  <c r="P1343" i="9"/>
  <c r="O1343" i="9"/>
  <c r="N1343" i="9"/>
  <c r="M1343" i="9"/>
  <c r="L1343" i="9"/>
  <c r="K1343" i="9"/>
  <c r="J1343" i="9"/>
  <c r="I1343" i="9"/>
  <c r="H1343" i="9"/>
  <c r="G1343" i="9"/>
  <c r="F1343" i="9"/>
  <c r="E1343" i="9"/>
  <c r="D1343" i="9"/>
  <c r="C1343" i="9"/>
  <c r="B1343" i="9"/>
  <c r="P1342" i="9"/>
  <c r="O1342" i="9"/>
  <c r="N1342" i="9"/>
  <c r="M1342" i="9"/>
  <c r="L1342" i="9"/>
  <c r="K1342" i="9"/>
  <c r="J1342" i="9"/>
  <c r="I1342" i="9"/>
  <c r="H1342" i="9"/>
  <c r="G1342" i="9"/>
  <c r="F1342" i="9"/>
  <c r="E1342" i="9"/>
  <c r="D1342" i="9"/>
  <c r="C1342" i="9"/>
  <c r="B1342" i="9"/>
  <c r="P1341" i="9"/>
  <c r="O1341" i="9"/>
  <c r="N1341" i="9"/>
  <c r="M1341" i="9"/>
  <c r="L1341" i="9"/>
  <c r="K1341" i="9"/>
  <c r="J1341" i="9"/>
  <c r="I1341" i="9"/>
  <c r="H1341" i="9"/>
  <c r="G1341" i="9"/>
  <c r="F1341" i="9"/>
  <c r="E1341" i="9"/>
  <c r="D1341" i="9"/>
  <c r="C1341" i="9"/>
  <c r="B1341" i="9"/>
  <c r="P1340" i="9"/>
  <c r="O1340" i="9"/>
  <c r="N1340" i="9"/>
  <c r="M1340" i="9"/>
  <c r="L1340" i="9"/>
  <c r="K1340" i="9"/>
  <c r="J1340" i="9"/>
  <c r="I1340" i="9"/>
  <c r="H1340" i="9"/>
  <c r="G1340" i="9"/>
  <c r="F1340" i="9"/>
  <c r="E1340" i="9"/>
  <c r="D1340" i="9"/>
  <c r="C1340" i="9"/>
  <c r="B1340" i="9"/>
  <c r="P1339" i="9"/>
  <c r="O1339" i="9"/>
  <c r="N1339" i="9"/>
  <c r="M1339" i="9"/>
  <c r="L1339" i="9"/>
  <c r="K1339" i="9"/>
  <c r="J1339" i="9"/>
  <c r="I1339" i="9"/>
  <c r="H1339" i="9"/>
  <c r="G1339" i="9"/>
  <c r="F1339" i="9"/>
  <c r="E1339" i="9"/>
  <c r="D1339" i="9"/>
  <c r="C1339" i="9"/>
  <c r="B1339" i="9"/>
  <c r="P1338" i="9"/>
  <c r="O1338" i="9"/>
  <c r="N1338" i="9"/>
  <c r="M1338" i="9"/>
  <c r="L1338" i="9"/>
  <c r="K1338" i="9"/>
  <c r="J1338" i="9"/>
  <c r="I1338" i="9"/>
  <c r="H1338" i="9"/>
  <c r="G1338" i="9"/>
  <c r="F1338" i="9"/>
  <c r="E1338" i="9"/>
  <c r="D1338" i="9"/>
  <c r="C1338" i="9"/>
  <c r="B1338" i="9"/>
  <c r="P1337" i="9"/>
  <c r="O1337" i="9"/>
  <c r="N1337" i="9"/>
  <c r="M1337" i="9"/>
  <c r="L1337" i="9"/>
  <c r="K1337" i="9"/>
  <c r="J1337" i="9"/>
  <c r="I1337" i="9"/>
  <c r="H1337" i="9"/>
  <c r="G1337" i="9"/>
  <c r="F1337" i="9"/>
  <c r="E1337" i="9"/>
  <c r="D1337" i="9"/>
  <c r="C1337" i="9"/>
  <c r="B1337" i="9"/>
  <c r="P1336" i="9"/>
  <c r="O1336" i="9"/>
  <c r="N1336" i="9"/>
  <c r="M1336" i="9"/>
  <c r="L1336" i="9"/>
  <c r="K1336" i="9"/>
  <c r="J1336" i="9"/>
  <c r="I1336" i="9"/>
  <c r="H1336" i="9"/>
  <c r="G1336" i="9"/>
  <c r="F1336" i="9"/>
  <c r="E1336" i="9"/>
  <c r="D1336" i="9"/>
  <c r="C1336" i="9"/>
  <c r="B1336" i="9"/>
  <c r="P1335" i="9"/>
  <c r="O1335" i="9"/>
  <c r="N1335" i="9"/>
  <c r="M1335" i="9"/>
  <c r="L1335" i="9"/>
  <c r="K1335" i="9"/>
  <c r="J1335" i="9"/>
  <c r="I1335" i="9"/>
  <c r="H1335" i="9"/>
  <c r="G1335" i="9"/>
  <c r="F1335" i="9"/>
  <c r="E1335" i="9"/>
  <c r="D1335" i="9"/>
  <c r="C1335" i="9"/>
  <c r="B1335" i="9"/>
  <c r="P1334" i="9"/>
  <c r="O1334" i="9"/>
  <c r="N1334" i="9"/>
  <c r="M1334" i="9"/>
  <c r="L1334" i="9"/>
  <c r="K1334" i="9"/>
  <c r="J1334" i="9"/>
  <c r="I1334" i="9"/>
  <c r="H1334" i="9"/>
  <c r="G1334" i="9"/>
  <c r="F1334" i="9"/>
  <c r="E1334" i="9"/>
  <c r="D1334" i="9"/>
  <c r="C1334" i="9"/>
  <c r="B1334" i="9"/>
  <c r="P1333" i="9"/>
  <c r="O1333" i="9"/>
  <c r="N1333" i="9"/>
  <c r="M1333" i="9"/>
  <c r="L1333" i="9"/>
  <c r="K1333" i="9"/>
  <c r="J1333" i="9"/>
  <c r="I1333" i="9"/>
  <c r="H1333" i="9"/>
  <c r="G1333" i="9"/>
  <c r="F1333" i="9"/>
  <c r="E1333" i="9"/>
  <c r="D1333" i="9"/>
  <c r="C1333" i="9"/>
  <c r="B1333" i="9"/>
  <c r="P1332" i="9"/>
  <c r="O1332" i="9"/>
  <c r="N1332" i="9"/>
  <c r="M1332" i="9"/>
  <c r="L1332" i="9"/>
  <c r="K1332" i="9"/>
  <c r="J1332" i="9"/>
  <c r="I1332" i="9"/>
  <c r="H1332" i="9"/>
  <c r="G1332" i="9"/>
  <c r="F1332" i="9"/>
  <c r="E1332" i="9"/>
  <c r="D1332" i="9"/>
  <c r="C1332" i="9"/>
  <c r="B1332" i="9"/>
  <c r="P1331" i="9"/>
  <c r="O1331" i="9"/>
  <c r="N1331" i="9"/>
  <c r="M1331" i="9"/>
  <c r="L1331" i="9"/>
  <c r="K1331" i="9"/>
  <c r="J1331" i="9"/>
  <c r="I1331" i="9"/>
  <c r="H1331" i="9"/>
  <c r="G1331" i="9"/>
  <c r="F1331" i="9"/>
  <c r="E1331" i="9"/>
  <c r="D1331" i="9"/>
  <c r="C1331" i="9"/>
  <c r="B1331" i="9"/>
  <c r="P1330" i="9"/>
  <c r="O1330" i="9"/>
  <c r="N1330" i="9"/>
  <c r="M1330" i="9"/>
  <c r="L1330" i="9"/>
  <c r="K1330" i="9"/>
  <c r="J1330" i="9"/>
  <c r="I1330" i="9"/>
  <c r="H1330" i="9"/>
  <c r="G1330" i="9"/>
  <c r="F1330" i="9"/>
  <c r="E1330" i="9"/>
  <c r="D1330" i="9"/>
  <c r="C1330" i="9"/>
  <c r="B1330" i="9"/>
  <c r="P1329" i="9"/>
  <c r="O1329" i="9"/>
  <c r="N1329" i="9"/>
  <c r="M1329" i="9"/>
  <c r="L1329" i="9"/>
  <c r="K1329" i="9"/>
  <c r="J1329" i="9"/>
  <c r="I1329" i="9"/>
  <c r="H1329" i="9"/>
  <c r="G1329" i="9"/>
  <c r="F1329" i="9"/>
  <c r="E1329" i="9"/>
  <c r="D1329" i="9"/>
  <c r="C1329" i="9"/>
  <c r="B1329" i="9"/>
  <c r="P1328" i="9"/>
  <c r="O1328" i="9"/>
  <c r="N1328" i="9"/>
  <c r="M1328" i="9"/>
  <c r="L1328" i="9"/>
  <c r="K1328" i="9"/>
  <c r="J1328" i="9"/>
  <c r="I1328" i="9"/>
  <c r="H1328" i="9"/>
  <c r="G1328" i="9"/>
  <c r="F1328" i="9"/>
  <c r="E1328" i="9"/>
  <c r="D1328" i="9"/>
  <c r="C1328" i="9"/>
  <c r="B1328" i="9"/>
  <c r="P1327" i="9"/>
  <c r="O1327" i="9"/>
  <c r="N1327" i="9"/>
  <c r="M1327" i="9"/>
  <c r="L1327" i="9"/>
  <c r="K1327" i="9"/>
  <c r="J1327" i="9"/>
  <c r="I1327" i="9"/>
  <c r="H1327" i="9"/>
  <c r="G1327" i="9"/>
  <c r="F1327" i="9"/>
  <c r="E1327" i="9"/>
  <c r="D1327" i="9"/>
  <c r="C1327" i="9"/>
  <c r="B1327" i="9"/>
  <c r="P1326" i="9"/>
  <c r="O1326" i="9"/>
  <c r="N1326" i="9"/>
  <c r="M1326" i="9"/>
  <c r="L1326" i="9"/>
  <c r="K1326" i="9"/>
  <c r="J1326" i="9"/>
  <c r="I1326" i="9"/>
  <c r="H1326" i="9"/>
  <c r="G1326" i="9"/>
  <c r="F1326" i="9"/>
  <c r="E1326" i="9"/>
  <c r="D1326" i="9"/>
  <c r="C1326" i="9"/>
  <c r="B1326" i="9"/>
  <c r="P1325" i="9"/>
  <c r="O1325" i="9"/>
  <c r="N1325" i="9"/>
  <c r="M1325" i="9"/>
  <c r="L1325" i="9"/>
  <c r="K1325" i="9"/>
  <c r="J1325" i="9"/>
  <c r="I1325" i="9"/>
  <c r="H1325" i="9"/>
  <c r="G1325" i="9"/>
  <c r="F1325" i="9"/>
  <c r="E1325" i="9"/>
  <c r="D1325" i="9"/>
  <c r="C1325" i="9"/>
  <c r="B1325" i="9"/>
  <c r="P1324" i="9"/>
  <c r="O1324" i="9"/>
  <c r="N1324" i="9"/>
  <c r="M1324" i="9"/>
  <c r="L1324" i="9"/>
  <c r="K1324" i="9"/>
  <c r="J1324" i="9"/>
  <c r="I1324" i="9"/>
  <c r="H1324" i="9"/>
  <c r="G1324" i="9"/>
  <c r="F1324" i="9"/>
  <c r="E1324" i="9"/>
  <c r="D1324" i="9"/>
  <c r="C1324" i="9"/>
  <c r="B1324" i="9"/>
  <c r="P1323" i="9"/>
  <c r="O1323" i="9"/>
  <c r="N1323" i="9"/>
  <c r="M1323" i="9"/>
  <c r="L1323" i="9"/>
  <c r="K1323" i="9"/>
  <c r="J1323" i="9"/>
  <c r="I1323" i="9"/>
  <c r="H1323" i="9"/>
  <c r="G1323" i="9"/>
  <c r="F1323" i="9"/>
  <c r="E1323" i="9"/>
  <c r="D1323" i="9"/>
  <c r="C1323" i="9"/>
  <c r="B1323" i="9"/>
  <c r="P1322" i="9"/>
  <c r="O1322" i="9"/>
  <c r="N1322" i="9"/>
  <c r="M1322" i="9"/>
  <c r="L1322" i="9"/>
  <c r="K1322" i="9"/>
  <c r="J1322" i="9"/>
  <c r="I1322" i="9"/>
  <c r="H1322" i="9"/>
  <c r="G1322" i="9"/>
  <c r="F1322" i="9"/>
  <c r="E1322" i="9"/>
  <c r="D1322" i="9"/>
  <c r="C1322" i="9"/>
  <c r="B1322" i="9"/>
  <c r="P1321" i="9"/>
  <c r="O1321" i="9"/>
  <c r="N1321" i="9"/>
  <c r="M1321" i="9"/>
  <c r="L1321" i="9"/>
  <c r="K1321" i="9"/>
  <c r="J1321" i="9"/>
  <c r="I1321" i="9"/>
  <c r="H1321" i="9"/>
  <c r="G1321" i="9"/>
  <c r="F1321" i="9"/>
  <c r="E1321" i="9"/>
  <c r="D1321" i="9"/>
  <c r="C1321" i="9"/>
  <c r="B1321" i="9"/>
  <c r="P1320" i="9"/>
  <c r="O1320" i="9"/>
  <c r="N1320" i="9"/>
  <c r="M1320" i="9"/>
  <c r="L1320" i="9"/>
  <c r="K1320" i="9"/>
  <c r="J1320" i="9"/>
  <c r="I1320" i="9"/>
  <c r="H1320" i="9"/>
  <c r="G1320" i="9"/>
  <c r="F1320" i="9"/>
  <c r="E1320" i="9"/>
  <c r="D1320" i="9"/>
  <c r="C1320" i="9"/>
  <c r="B1320" i="9"/>
  <c r="P1319" i="9"/>
  <c r="O1319" i="9"/>
  <c r="N1319" i="9"/>
  <c r="M1319" i="9"/>
  <c r="L1319" i="9"/>
  <c r="K1319" i="9"/>
  <c r="J1319" i="9"/>
  <c r="I1319" i="9"/>
  <c r="H1319" i="9"/>
  <c r="G1319" i="9"/>
  <c r="F1319" i="9"/>
  <c r="E1319" i="9"/>
  <c r="D1319" i="9"/>
  <c r="C1319" i="9"/>
  <c r="B1319" i="9"/>
  <c r="P1318" i="9"/>
  <c r="O1318" i="9"/>
  <c r="N1318" i="9"/>
  <c r="M1318" i="9"/>
  <c r="L1318" i="9"/>
  <c r="K1318" i="9"/>
  <c r="J1318" i="9"/>
  <c r="I1318" i="9"/>
  <c r="H1318" i="9"/>
  <c r="G1318" i="9"/>
  <c r="F1318" i="9"/>
  <c r="E1318" i="9"/>
  <c r="D1318" i="9"/>
  <c r="C1318" i="9"/>
  <c r="B1318" i="9"/>
  <c r="P1317" i="9"/>
  <c r="O1317" i="9"/>
  <c r="N1317" i="9"/>
  <c r="M1317" i="9"/>
  <c r="L1317" i="9"/>
  <c r="K1317" i="9"/>
  <c r="J1317" i="9"/>
  <c r="I1317" i="9"/>
  <c r="H1317" i="9"/>
  <c r="G1317" i="9"/>
  <c r="F1317" i="9"/>
  <c r="E1317" i="9"/>
  <c r="D1317" i="9"/>
  <c r="C1317" i="9"/>
  <c r="B1317" i="9"/>
  <c r="P1316" i="9"/>
  <c r="O1316" i="9"/>
  <c r="N1316" i="9"/>
  <c r="M1316" i="9"/>
  <c r="L1316" i="9"/>
  <c r="K1316" i="9"/>
  <c r="J1316" i="9"/>
  <c r="I1316" i="9"/>
  <c r="H1316" i="9"/>
  <c r="G1316" i="9"/>
  <c r="F1316" i="9"/>
  <c r="E1316" i="9"/>
  <c r="D1316" i="9"/>
  <c r="C1316" i="9"/>
  <c r="B1316" i="9"/>
  <c r="P1315" i="9"/>
  <c r="O1315" i="9"/>
  <c r="N1315" i="9"/>
  <c r="M1315" i="9"/>
  <c r="L1315" i="9"/>
  <c r="K1315" i="9"/>
  <c r="J1315" i="9"/>
  <c r="I1315" i="9"/>
  <c r="H1315" i="9"/>
  <c r="G1315" i="9"/>
  <c r="F1315" i="9"/>
  <c r="E1315" i="9"/>
  <c r="D1315" i="9"/>
  <c r="C1315" i="9"/>
  <c r="B1315" i="9"/>
  <c r="P1314" i="9"/>
  <c r="O1314" i="9"/>
  <c r="N1314" i="9"/>
  <c r="M1314" i="9"/>
  <c r="L1314" i="9"/>
  <c r="K1314" i="9"/>
  <c r="J1314" i="9"/>
  <c r="I1314" i="9"/>
  <c r="H1314" i="9"/>
  <c r="G1314" i="9"/>
  <c r="F1314" i="9"/>
  <c r="E1314" i="9"/>
  <c r="D1314" i="9"/>
  <c r="C1314" i="9"/>
  <c r="B1314" i="9"/>
  <c r="P1313" i="9"/>
  <c r="O1313" i="9"/>
  <c r="N1313" i="9"/>
  <c r="M1313" i="9"/>
  <c r="L1313" i="9"/>
  <c r="K1313" i="9"/>
  <c r="J1313" i="9"/>
  <c r="I1313" i="9"/>
  <c r="H1313" i="9"/>
  <c r="G1313" i="9"/>
  <c r="F1313" i="9"/>
  <c r="E1313" i="9"/>
  <c r="D1313" i="9"/>
  <c r="C1313" i="9"/>
  <c r="B1313" i="9"/>
  <c r="P1312" i="9"/>
  <c r="O1312" i="9"/>
  <c r="N1312" i="9"/>
  <c r="M1312" i="9"/>
  <c r="L1312" i="9"/>
  <c r="K1312" i="9"/>
  <c r="J1312" i="9"/>
  <c r="I1312" i="9"/>
  <c r="H1312" i="9"/>
  <c r="G1312" i="9"/>
  <c r="F1312" i="9"/>
  <c r="E1312" i="9"/>
  <c r="D1312" i="9"/>
  <c r="C1312" i="9"/>
  <c r="B1312" i="9"/>
  <c r="P1311" i="9"/>
  <c r="O1311" i="9"/>
  <c r="N1311" i="9"/>
  <c r="M1311" i="9"/>
  <c r="L1311" i="9"/>
  <c r="K1311" i="9"/>
  <c r="J1311" i="9"/>
  <c r="I1311" i="9"/>
  <c r="H1311" i="9"/>
  <c r="G1311" i="9"/>
  <c r="F1311" i="9"/>
  <c r="E1311" i="9"/>
  <c r="D1311" i="9"/>
  <c r="C1311" i="9"/>
  <c r="B1311" i="9"/>
  <c r="P1310" i="9"/>
  <c r="O1310" i="9"/>
  <c r="N1310" i="9"/>
  <c r="M1310" i="9"/>
  <c r="L1310" i="9"/>
  <c r="K1310" i="9"/>
  <c r="J1310" i="9"/>
  <c r="I1310" i="9"/>
  <c r="H1310" i="9"/>
  <c r="G1310" i="9"/>
  <c r="F1310" i="9"/>
  <c r="E1310" i="9"/>
  <c r="D1310" i="9"/>
  <c r="C1310" i="9"/>
  <c r="B1310" i="9"/>
  <c r="P1309" i="9"/>
  <c r="O1309" i="9"/>
  <c r="N1309" i="9"/>
  <c r="M1309" i="9"/>
  <c r="L1309" i="9"/>
  <c r="K1309" i="9"/>
  <c r="J1309" i="9"/>
  <c r="I1309" i="9"/>
  <c r="H1309" i="9"/>
  <c r="G1309" i="9"/>
  <c r="F1309" i="9"/>
  <c r="E1309" i="9"/>
  <c r="D1309" i="9"/>
  <c r="C1309" i="9"/>
  <c r="B1309" i="9"/>
  <c r="P1308" i="9"/>
  <c r="O1308" i="9"/>
  <c r="N1308" i="9"/>
  <c r="M1308" i="9"/>
  <c r="L1308" i="9"/>
  <c r="K1308" i="9"/>
  <c r="J1308" i="9"/>
  <c r="I1308" i="9"/>
  <c r="H1308" i="9"/>
  <c r="G1308" i="9"/>
  <c r="F1308" i="9"/>
  <c r="E1308" i="9"/>
  <c r="D1308" i="9"/>
  <c r="C1308" i="9"/>
  <c r="B1308" i="9"/>
  <c r="P1307" i="9"/>
  <c r="O1307" i="9"/>
  <c r="N1307" i="9"/>
  <c r="M1307" i="9"/>
  <c r="L1307" i="9"/>
  <c r="K1307" i="9"/>
  <c r="J1307" i="9"/>
  <c r="I1307" i="9"/>
  <c r="H1307" i="9"/>
  <c r="G1307" i="9"/>
  <c r="F1307" i="9"/>
  <c r="E1307" i="9"/>
  <c r="D1307" i="9"/>
  <c r="C1307" i="9"/>
  <c r="B1307" i="9"/>
  <c r="P1306" i="9"/>
  <c r="O1306" i="9"/>
  <c r="N1306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P1305" i="9"/>
  <c r="O1305" i="9"/>
  <c r="N1305" i="9"/>
  <c r="M1305" i="9"/>
  <c r="L1305" i="9"/>
  <c r="K1305" i="9"/>
  <c r="J1305" i="9"/>
  <c r="I1305" i="9"/>
  <c r="H1305" i="9"/>
  <c r="G1305" i="9"/>
  <c r="F1305" i="9"/>
  <c r="E1305" i="9"/>
  <c r="D1305" i="9"/>
  <c r="C1305" i="9"/>
  <c r="B1305" i="9"/>
  <c r="P1304" i="9"/>
  <c r="O1304" i="9"/>
  <c r="N1304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P1303" i="9"/>
  <c r="O1303" i="9"/>
  <c r="N1303" i="9"/>
  <c r="M1303" i="9"/>
  <c r="L1303" i="9"/>
  <c r="K1303" i="9"/>
  <c r="J1303" i="9"/>
  <c r="I1303" i="9"/>
  <c r="H1303" i="9"/>
  <c r="G1303" i="9"/>
  <c r="F1303" i="9"/>
  <c r="E1303" i="9"/>
  <c r="D1303" i="9"/>
  <c r="C1303" i="9"/>
  <c r="B1303" i="9"/>
  <c r="P1302" i="9"/>
  <c r="O1302" i="9"/>
  <c r="N1302" i="9"/>
  <c r="M1302" i="9"/>
  <c r="L1302" i="9"/>
  <c r="K1302" i="9"/>
  <c r="J1302" i="9"/>
  <c r="I1302" i="9"/>
  <c r="H1302" i="9"/>
  <c r="G1302" i="9"/>
  <c r="F1302" i="9"/>
  <c r="E1302" i="9"/>
  <c r="D1302" i="9"/>
  <c r="C1302" i="9"/>
  <c r="B1302" i="9"/>
  <c r="P1301" i="9"/>
  <c r="O1301" i="9"/>
  <c r="N1301" i="9"/>
  <c r="M1301" i="9"/>
  <c r="L1301" i="9"/>
  <c r="K1301" i="9"/>
  <c r="J1301" i="9"/>
  <c r="I1301" i="9"/>
  <c r="H1301" i="9"/>
  <c r="G1301" i="9"/>
  <c r="F1301" i="9"/>
  <c r="E1301" i="9"/>
  <c r="D1301" i="9"/>
  <c r="C1301" i="9"/>
  <c r="B1301" i="9"/>
  <c r="P1300" i="9"/>
  <c r="O1300" i="9"/>
  <c r="N1300" i="9"/>
  <c r="M1300" i="9"/>
  <c r="L1300" i="9"/>
  <c r="K1300" i="9"/>
  <c r="J1300" i="9"/>
  <c r="I1300" i="9"/>
  <c r="H1300" i="9"/>
  <c r="G1300" i="9"/>
  <c r="F1300" i="9"/>
  <c r="E1300" i="9"/>
  <c r="D1300" i="9"/>
  <c r="C1300" i="9"/>
  <c r="B1300" i="9"/>
  <c r="P1299" i="9"/>
  <c r="O1299" i="9"/>
  <c r="N1299" i="9"/>
  <c r="M1299" i="9"/>
  <c r="L1299" i="9"/>
  <c r="K1299" i="9"/>
  <c r="J1299" i="9"/>
  <c r="I1299" i="9"/>
  <c r="H1299" i="9"/>
  <c r="G1299" i="9"/>
  <c r="F1299" i="9"/>
  <c r="E1299" i="9"/>
  <c r="D1299" i="9"/>
  <c r="C1299" i="9"/>
  <c r="B1299" i="9"/>
  <c r="P1298" i="9"/>
  <c r="O1298" i="9"/>
  <c r="N1298" i="9"/>
  <c r="M1298" i="9"/>
  <c r="L1298" i="9"/>
  <c r="K1298" i="9"/>
  <c r="J1298" i="9"/>
  <c r="I1298" i="9"/>
  <c r="H1298" i="9"/>
  <c r="G1298" i="9"/>
  <c r="F1298" i="9"/>
  <c r="E1298" i="9"/>
  <c r="D1298" i="9"/>
  <c r="C1298" i="9"/>
  <c r="B1298" i="9"/>
  <c r="P1297" i="9"/>
  <c r="O1297" i="9"/>
  <c r="N1297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P1296" i="9"/>
  <c r="O1296" i="9"/>
  <c r="N1296" i="9"/>
  <c r="M1296" i="9"/>
  <c r="L1296" i="9"/>
  <c r="K1296" i="9"/>
  <c r="J1296" i="9"/>
  <c r="I1296" i="9"/>
  <c r="H1296" i="9"/>
  <c r="G1296" i="9"/>
  <c r="F1296" i="9"/>
  <c r="E1296" i="9"/>
  <c r="D1296" i="9"/>
  <c r="C1296" i="9"/>
  <c r="B1296" i="9"/>
  <c r="P1295" i="9"/>
  <c r="O1295" i="9"/>
  <c r="N1295" i="9"/>
  <c r="M1295" i="9"/>
  <c r="L1295" i="9"/>
  <c r="K1295" i="9"/>
  <c r="J1295" i="9"/>
  <c r="I1295" i="9"/>
  <c r="H1295" i="9"/>
  <c r="G1295" i="9"/>
  <c r="F1295" i="9"/>
  <c r="E1295" i="9"/>
  <c r="D1295" i="9"/>
  <c r="C1295" i="9"/>
  <c r="B1295" i="9"/>
  <c r="P1294" i="9"/>
  <c r="O1294" i="9"/>
  <c r="N1294" i="9"/>
  <c r="M1294" i="9"/>
  <c r="L1294" i="9"/>
  <c r="K1294" i="9"/>
  <c r="J1294" i="9"/>
  <c r="I1294" i="9"/>
  <c r="H1294" i="9"/>
  <c r="G1294" i="9"/>
  <c r="F1294" i="9"/>
  <c r="E1294" i="9"/>
  <c r="D1294" i="9"/>
  <c r="C1294" i="9"/>
  <c r="B1294" i="9"/>
  <c r="P1293" i="9"/>
  <c r="O1293" i="9"/>
  <c r="N1293" i="9"/>
  <c r="M1293" i="9"/>
  <c r="L1293" i="9"/>
  <c r="K1293" i="9"/>
  <c r="J1293" i="9"/>
  <c r="I1293" i="9"/>
  <c r="H1293" i="9"/>
  <c r="G1293" i="9"/>
  <c r="F1293" i="9"/>
  <c r="E1293" i="9"/>
  <c r="D1293" i="9"/>
  <c r="C1293" i="9"/>
  <c r="B1293" i="9"/>
  <c r="P1292" i="9"/>
  <c r="O1292" i="9"/>
  <c r="N1292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P1291" i="9"/>
  <c r="O1291" i="9"/>
  <c r="N1291" i="9"/>
  <c r="M1291" i="9"/>
  <c r="L1291" i="9"/>
  <c r="K1291" i="9"/>
  <c r="J1291" i="9"/>
  <c r="I1291" i="9"/>
  <c r="H1291" i="9"/>
  <c r="G1291" i="9"/>
  <c r="F1291" i="9"/>
  <c r="E1291" i="9"/>
  <c r="D1291" i="9"/>
  <c r="C1291" i="9"/>
  <c r="B1291" i="9"/>
  <c r="P1290" i="9"/>
  <c r="O1290" i="9"/>
  <c r="N1290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P1289" i="9"/>
  <c r="O1289" i="9"/>
  <c r="N1289" i="9"/>
  <c r="M1289" i="9"/>
  <c r="L1289" i="9"/>
  <c r="K1289" i="9"/>
  <c r="J1289" i="9"/>
  <c r="I1289" i="9"/>
  <c r="H1289" i="9"/>
  <c r="G1289" i="9"/>
  <c r="F1289" i="9"/>
  <c r="E1289" i="9"/>
  <c r="D1289" i="9"/>
  <c r="C1289" i="9"/>
  <c r="B1289" i="9"/>
  <c r="P1288" i="9"/>
  <c r="O1288" i="9"/>
  <c r="N1288" i="9"/>
  <c r="M1288" i="9"/>
  <c r="L1288" i="9"/>
  <c r="K1288" i="9"/>
  <c r="J1288" i="9"/>
  <c r="I1288" i="9"/>
  <c r="H1288" i="9"/>
  <c r="G1288" i="9"/>
  <c r="F1288" i="9"/>
  <c r="E1288" i="9"/>
  <c r="D1288" i="9"/>
  <c r="C1288" i="9"/>
  <c r="B1288" i="9"/>
  <c r="P1287" i="9"/>
  <c r="O1287" i="9"/>
  <c r="N1287" i="9"/>
  <c r="M1287" i="9"/>
  <c r="L1287" i="9"/>
  <c r="K1287" i="9"/>
  <c r="J1287" i="9"/>
  <c r="I1287" i="9"/>
  <c r="H1287" i="9"/>
  <c r="G1287" i="9"/>
  <c r="F1287" i="9"/>
  <c r="E1287" i="9"/>
  <c r="D1287" i="9"/>
  <c r="C1287" i="9"/>
  <c r="B1287" i="9"/>
  <c r="P1286" i="9"/>
  <c r="O1286" i="9"/>
  <c r="N1286" i="9"/>
  <c r="M1286" i="9"/>
  <c r="L1286" i="9"/>
  <c r="K1286" i="9"/>
  <c r="J1286" i="9"/>
  <c r="I1286" i="9"/>
  <c r="H1286" i="9"/>
  <c r="G1286" i="9"/>
  <c r="F1286" i="9"/>
  <c r="E1286" i="9"/>
  <c r="D1286" i="9"/>
  <c r="C1286" i="9"/>
  <c r="B1286" i="9"/>
  <c r="P1285" i="9"/>
  <c r="O1285" i="9"/>
  <c r="N1285" i="9"/>
  <c r="M1285" i="9"/>
  <c r="L1285" i="9"/>
  <c r="K1285" i="9"/>
  <c r="J1285" i="9"/>
  <c r="I1285" i="9"/>
  <c r="H1285" i="9"/>
  <c r="G1285" i="9"/>
  <c r="F1285" i="9"/>
  <c r="E1285" i="9"/>
  <c r="D1285" i="9"/>
  <c r="C1285" i="9"/>
  <c r="B1285" i="9"/>
  <c r="P1284" i="9"/>
  <c r="O1284" i="9"/>
  <c r="N1284" i="9"/>
  <c r="M1284" i="9"/>
  <c r="L1284" i="9"/>
  <c r="K1284" i="9"/>
  <c r="J1284" i="9"/>
  <c r="I1284" i="9"/>
  <c r="H1284" i="9"/>
  <c r="G1284" i="9"/>
  <c r="F1284" i="9"/>
  <c r="E1284" i="9"/>
  <c r="D1284" i="9"/>
  <c r="C1284" i="9"/>
  <c r="B1284" i="9"/>
  <c r="P1283" i="9"/>
  <c r="O1283" i="9"/>
  <c r="N1283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P1282" i="9"/>
  <c r="O1282" i="9"/>
  <c r="N1282" i="9"/>
  <c r="M1282" i="9"/>
  <c r="L1282" i="9"/>
  <c r="K1282" i="9"/>
  <c r="J1282" i="9"/>
  <c r="I1282" i="9"/>
  <c r="H1282" i="9"/>
  <c r="G1282" i="9"/>
  <c r="F1282" i="9"/>
  <c r="E1282" i="9"/>
  <c r="D1282" i="9"/>
  <c r="C1282" i="9"/>
  <c r="B1282" i="9"/>
  <c r="P1281" i="9"/>
  <c r="O1281" i="9"/>
  <c r="N1281" i="9"/>
  <c r="M1281" i="9"/>
  <c r="L1281" i="9"/>
  <c r="K1281" i="9"/>
  <c r="J1281" i="9"/>
  <c r="I1281" i="9"/>
  <c r="H1281" i="9"/>
  <c r="G1281" i="9"/>
  <c r="F1281" i="9"/>
  <c r="E1281" i="9"/>
  <c r="D1281" i="9"/>
  <c r="C1281" i="9"/>
  <c r="B1281" i="9"/>
  <c r="P1280" i="9"/>
  <c r="O1280" i="9"/>
  <c r="N1280" i="9"/>
  <c r="M1280" i="9"/>
  <c r="L1280" i="9"/>
  <c r="K1280" i="9"/>
  <c r="J1280" i="9"/>
  <c r="I1280" i="9"/>
  <c r="H1280" i="9"/>
  <c r="G1280" i="9"/>
  <c r="F1280" i="9"/>
  <c r="E1280" i="9"/>
  <c r="D1280" i="9"/>
  <c r="C1280" i="9"/>
  <c r="B1280" i="9"/>
  <c r="P1279" i="9"/>
  <c r="O1279" i="9"/>
  <c r="N1279" i="9"/>
  <c r="M1279" i="9"/>
  <c r="L1279" i="9"/>
  <c r="K1279" i="9"/>
  <c r="J1279" i="9"/>
  <c r="I1279" i="9"/>
  <c r="H1279" i="9"/>
  <c r="G1279" i="9"/>
  <c r="F1279" i="9"/>
  <c r="E1279" i="9"/>
  <c r="D1279" i="9"/>
  <c r="C1279" i="9"/>
  <c r="B1279" i="9"/>
  <c r="P1278" i="9"/>
  <c r="O1278" i="9"/>
  <c r="N1278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P1277" i="9"/>
  <c r="O1277" i="9"/>
  <c r="N1277" i="9"/>
  <c r="M1277" i="9"/>
  <c r="L1277" i="9"/>
  <c r="K1277" i="9"/>
  <c r="J1277" i="9"/>
  <c r="I1277" i="9"/>
  <c r="H1277" i="9"/>
  <c r="G1277" i="9"/>
  <c r="F1277" i="9"/>
  <c r="E1277" i="9"/>
  <c r="D1277" i="9"/>
  <c r="C1277" i="9"/>
  <c r="B1277" i="9"/>
  <c r="P1276" i="9"/>
  <c r="O1276" i="9"/>
  <c r="N1276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P1275" i="9"/>
  <c r="O1275" i="9"/>
  <c r="N1275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P1274" i="9"/>
  <c r="O1274" i="9"/>
  <c r="N1274" i="9"/>
  <c r="M1274" i="9"/>
  <c r="L1274" i="9"/>
  <c r="K1274" i="9"/>
  <c r="J1274" i="9"/>
  <c r="I1274" i="9"/>
  <c r="H1274" i="9"/>
  <c r="G1274" i="9"/>
  <c r="F1274" i="9"/>
  <c r="E1274" i="9"/>
  <c r="D1274" i="9"/>
  <c r="C1274" i="9"/>
  <c r="B1274" i="9"/>
  <c r="P1273" i="9"/>
  <c r="O1273" i="9"/>
  <c r="N1273" i="9"/>
  <c r="M1273" i="9"/>
  <c r="L1273" i="9"/>
  <c r="K1273" i="9"/>
  <c r="J1273" i="9"/>
  <c r="I1273" i="9"/>
  <c r="H1273" i="9"/>
  <c r="G1273" i="9"/>
  <c r="F1273" i="9"/>
  <c r="E1273" i="9"/>
  <c r="D1273" i="9"/>
  <c r="C1273" i="9"/>
  <c r="B1273" i="9"/>
  <c r="P1272" i="9"/>
  <c r="O1272" i="9"/>
  <c r="N1272" i="9"/>
  <c r="M1272" i="9"/>
  <c r="L1272" i="9"/>
  <c r="K1272" i="9"/>
  <c r="J1272" i="9"/>
  <c r="I1272" i="9"/>
  <c r="H1272" i="9"/>
  <c r="G1272" i="9"/>
  <c r="F1272" i="9"/>
  <c r="E1272" i="9"/>
  <c r="D1272" i="9"/>
  <c r="C1272" i="9"/>
  <c r="B1272" i="9"/>
  <c r="P1271" i="9"/>
  <c r="O1271" i="9"/>
  <c r="N1271" i="9"/>
  <c r="M1271" i="9"/>
  <c r="L1271" i="9"/>
  <c r="K1271" i="9"/>
  <c r="J1271" i="9"/>
  <c r="I1271" i="9"/>
  <c r="H1271" i="9"/>
  <c r="G1271" i="9"/>
  <c r="F1271" i="9"/>
  <c r="E1271" i="9"/>
  <c r="D1271" i="9"/>
  <c r="C1271" i="9"/>
  <c r="B1271" i="9"/>
  <c r="P1270" i="9"/>
  <c r="O1270" i="9"/>
  <c r="N1270" i="9"/>
  <c r="M1270" i="9"/>
  <c r="L1270" i="9"/>
  <c r="K1270" i="9"/>
  <c r="J1270" i="9"/>
  <c r="I1270" i="9"/>
  <c r="H1270" i="9"/>
  <c r="G1270" i="9"/>
  <c r="F1270" i="9"/>
  <c r="E1270" i="9"/>
  <c r="D1270" i="9"/>
  <c r="C1270" i="9"/>
  <c r="B1270" i="9"/>
  <c r="P1269" i="9"/>
  <c r="O1269" i="9"/>
  <c r="N1269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P1268" i="9"/>
  <c r="O1268" i="9"/>
  <c r="N1268" i="9"/>
  <c r="M1268" i="9"/>
  <c r="L1268" i="9"/>
  <c r="K1268" i="9"/>
  <c r="J1268" i="9"/>
  <c r="I1268" i="9"/>
  <c r="H1268" i="9"/>
  <c r="G1268" i="9"/>
  <c r="F1268" i="9"/>
  <c r="E1268" i="9"/>
  <c r="D1268" i="9"/>
  <c r="C1268" i="9"/>
  <c r="B1268" i="9"/>
  <c r="P1267" i="9"/>
  <c r="O1267" i="9"/>
  <c r="N1267" i="9"/>
  <c r="M1267" i="9"/>
  <c r="L1267" i="9"/>
  <c r="K1267" i="9"/>
  <c r="J1267" i="9"/>
  <c r="I1267" i="9"/>
  <c r="H1267" i="9"/>
  <c r="G1267" i="9"/>
  <c r="F1267" i="9"/>
  <c r="E1267" i="9"/>
  <c r="D1267" i="9"/>
  <c r="C1267" i="9"/>
  <c r="B1267" i="9"/>
  <c r="P1266" i="9"/>
  <c r="O1266" i="9"/>
  <c r="N1266" i="9"/>
  <c r="M1266" i="9"/>
  <c r="L1266" i="9"/>
  <c r="K1266" i="9"/>
  <c r="J1266" i="9"/>
  <c r="I1266" i="9"/>
  <c r="H1266" i="9"/>
  <c r="G1266" i="9"/>
  <c r="F1266" i="9"/>
  <c r="E1266" i="9"/>
  <c r="D1266" i="9"/>
  <c r="C1266" i="9"/>
  <c r="B1266" i="9"/>
  <c r="P1265" i="9"/>
  <c r="O1265" i="9"/>
  <c r="N1265" i="9"/>
  <c r="M1265" i="9"/>
  <c r="L1265" i="9"/>
  <c r="K1265" i="9"/>
  <c r="J1265" i="9"/>
  <c r="I1265" i="9"/>
  <c r="H1265" i="9"/>
  <c r="G1265" i="9"/>
  <c r="F1265" i="9"/>
  <c r="E1265" i="9"/>
  <c r="D1265" i="9"/>
  <c r="C1265" i="9"/>
  <c r="B1265" i="9"/>
  <c r="P1264" i="9"/>
  <c r="O1264" i="9"/>
  <c r="N1264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P1263" i="9"/>
  <c r="O1263" i="9"/>
  <c r="N1263" i="9"/>
  <c r="M1263" i="9"/>
  <c r="L1263" i="9"/>
  <c r="K1263" i="9"/>
  <c r="J1263" i="9"/>
  <c r="I1263" i="9"/>
  <c r="H1263" i="9"/>
  <c r="G1263" i="9"/>
  <c r="F1263" i="9"/>
  <c r="E1263" i="9"/>
  <c r="D1263" i="9"/>
  <c r="C1263" i="9"/>
  <c r="B1263" i="9"/>
  <c r="P1262" i="9"/>
  <c r="O1262" i="9"/>
  <c r="N1262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P1261" i="9"/>
  <c r="O1261" i="9"/>
  <c r="N1261" i="9"/>
  <c r="M1261" i="9"/>
  <c r="L1261" i="9"/>
  <c r="K1261" i="9"/>
  <c r="J1261" i="9"/>
  <c r="I1261" i="9"/>
  <c r="H1261" i="9"/>
  <c r="G1261" i="9"/>
  <c r="F1261" i="9"/>
  <c r="E1261" i="9"/>
  <c r="D1261" i="9"/>
  <c r="C1261" i="9"/>
  <c r="B1261" i="9"/>
  <c r="P1260" i="9"/>
  <c r="O1260" i="9"/>
  <c r="N1260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P1259" i="9"/>
  <c r="O1259" i="9"/>
  <c r="N1259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P1258" i="9"/>
  <c r="O1258" i="9"/>
  <c r="N1258" i="9"/>
  <c r="M1258" i="9"/>
  <c r="L1258" i="9"/>
  <c r="K1258" i="9"/>
  <c r="J1258" i="9"/>
  <c r="I1258" i="9"/>
  <c r="H1258" i="9"/>
  <c r="G1258" i="9"/>
  <c r="F1258" i="9"/>
  <c r="E1258" i="9"/>
  <c r="D1258" i="9"/>
  <c r="C1258" i="9"/>
  <c r="B1258" i="9"/>
  <c r="P1257" i="9"/>
  <c r="O1257" i="9"/>
  <c r="N1257" i="9"/>
  <c r="M1257" i="9"/>
  <c r="L1257" i="9"/>
  <c r="K1257" i="9"/>
  <c r="J1257" i="9"/>
  <c r="I1257" i="9"/>
  <c r="H1257" i="9"/>
  <c r="G1257" i="9"/>
  <c r="F1257" i="9"/>
  <c r="E1257" i="9"/>
  <c r="D1257" i="9"/>
  <c r="C1257" i="9"/>
  <c r="B1257" i="9"/>
  <c r="P1256" i="9"/>
  <c r="O1256" i="9"/>
  <c r="N1256" i="9"/>
  <c r="M1256" i="9"/>
  <c r="L1256" i="9"/>
  <c r="K1256" i="9"/>
  <c r="J1256" i="9"/>
  <c r="I1256" i="9"/>
  <c r="H1256" i="9"/>
  <c r="G1256" i="9"/>
  <c r="F1256" i="9"/>
  <c r="E1256" i="9"/>
  <c r="D1256" i="9"/>
  <c r="C1256" i="9"/>
  <c r="B1256" i="9"/>
  <c r="P1255" i="9"/>
  <c r="O1255" i="9"/>
  <c r="N1255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P1254" i="9"/>
  <c r="O1254" i="9"/>
  <c r="N1254" i="9"/>
  <c r="M1254" i="9"/>
  <c r="L1254" i="9"/>
  <c r="K1254" i="9"/>
  <c r="J1254" i="9"/>
  <c r="I1254" i="9"/>
  <c r="H1254" i="9"/>
  <c r="G1254" i="9"/>
  <c r="F1254" i="9"/>
  <c r="E1254" i="9"/>
  <c r="D1254" i="9"/>
  <c r="C1254" i="9"/>
  <c r="B1254" i="9"/>
  <c r="P1253" i="9"/>
  <c r="O1253" i="9"/>
  <c r="N1253" i="9"/>
  <c r="M1253" i="9"/>
  <c r="L1253" i="9"/>
  <c r="K1253" i="9"/>
  <c r="J1253" i="9"/>
  <c r="I1253" i="9"/>
  <c r="H1253" i="9"/>
  <c r="G1253" i="9"/>
  <c r="F1253" i="9"/>
  <c r="E1253" i="9"/>
  <c r="D1253" i="9"/>
  <c r="C1253" i="9"/>
  <c r="B1253" i="9"/>
  <c r="P1252" i="9"/>
  <c r="O1252" i="9"/>
  <c r="N1252" i="9"/>
  <c r="M1252" i="9"/>
  <c r="L1252" i="9"/>
  <c r="K1252" i="9"/>
  <c r="J1252" i="9"/>
  <c r="I1252" i="9"/>
  <c r="H1252" i="9"/>
  <c r="G1252" i="9"/>
  <c r="F1252" i="9"/>
  <c r="E1252" i="9"/>
  <c r="D1252" i="9"/>
  <c r="C1252" i="9"/>
  <c r="B1252" i="9"/>
  <c r="P1251" i="9"/>
  <c r="O1251" i="9"/>
  <c r="N1251" i="9"/>
  <c r="M1251" i="9"/>
  <c r="L1251" i="9"/>
  <c r="K1251" i="9"/>
  <c r="J1251" i="9"/>
  <c r="I1251" i="9"/>
  <c r="H1251" i="9"/>
  <c r="G1251" i="9"/>
  <c r="F1251" i="9"/>
  <c r="E1251" i="9"/>
  <c r="D1251" i="9"/>
  <c r="C1251" i="9"/>
  <c r="B1251" i="9"/>
  <c r="P1250" i="9"/>
  <c r="O1250" i="9"/>
  <c r="N1250" i="9"/>
  <c r="M1250" i="9"/>
  <c r="L1250" i="9"/>
  <c r="K1250" i="9"/>
  <c r="J1250" i="9"/>
  <c r="I1250" i="9"/>
  <c r="H1250" i="9"/>
  <c r="G1250" i="9"/>
  <c r="F1250" i="9"/>
  <c r="E1250" i="9"/>
  <c r="D1250" i="9"/>
  <c r="C1250" i="9"/>
  <c r="B1250" i="9"/>
  <c r="P1249" i="9"/>
  <c r="O1249" i="9"/>
  <c r="N1249" i="9"/>
  <c r="M1249" i="9"/>
  <c r="L1249" i="9"/>
  <c r="K1249" i="9"/>
  <c r="J1249" i="9"/>
  <c r="I1249" i="9"/>
  <c r="H1249" i="9"/>
  <c r="G1249" i="9"/>
  <c r="F1249" i="9"/>
  <c r="E1249" i="9"/>
  <c r="D1249" i="9"/>
  <c r="C1249" i="9"/>
  <c r="B1249" i="9"/>
  <c r="P1248" i="9"/>
  <c r="O1248" i="9"/>
  <c r="N1248" i="9"/>
  <c r="M1248" i="9"/>
  <c r="L1248" i="9"/>
  <c r="K1248" i="9"/>
  <c r="J1248" i="9"/>
  <c r="I1248" i="9"/>
  <c r="H1248" i="9"/>
  <c r="G1248" i="9"/>
  <c r="F1248" i="9"/>
  <c r="E1248" i="9"/>
  <c r="D1248" i="9"/>
  <c r="C1248" i="9"/>
  <c r="B1248" i="9"/>
  <c r="P1247" i="9"/>
  <c r="O1247" i="9"/>
  <c r="N1247" i="9"/>
  <c r="M1247" i="9"/>
  <c r="L1247" i="9"/>
  <c r="K1247" i="9"/>
  <c r="J1247" i="9"/>
  <c r="I1247" i="9"/>
  <c r="H1247" i="9"/>
  <c r="G1247" i="9"/>
  <c r="F1247" i="9"/>
  <c r="E1247" i="9"/>
  <c r="D1247" i="9"/>
  <c r="C1247" i="9"/>
  <c r="B1247" i="9"/>
  <c r="P1246" i="9"/>
  <c r="O1246" i="9"/>
  <c r="N1246" i="9"/>
  <c r="M1246" i="9"/>
  <c r="L1246" i="9"/>
  <c r="K1246" i="9"/>
  <c r="J1246" i="9"/>
  <c r="I1246" i="9"/>
  <c r="H1246" i="9"/>
  <c r="G1246" i="9"/>
  <c r="F1246" i="9"/>
  <c r="E1246" i="9"/>
  <c r="D1246" i="9"/>
  <c r="C1246" i="9"/>
  <c r="B1246" i="9"/>
  <c r="P1245" i="9"/>
  <c r="O1245" i="9"/>
  <c r="N1245" i="9"/>
  <c r="M1245" i="9"/>
  <c r="L1245" i="9"/>
  <c r="K1245" i="9"/>
  <c r="J1245" i="9"/>
  <c r="I1245" i="9"/>
  <c r="H1245" i="9"/>
  <c r="G1245" i="9"/>
  <c r="F1245" i="9"/>
  <c r="E1245" i="9"/>
  <c r="D1245" i="9"/>
  <c r="C1245" i="9"/>
  <c r="B1245" i="9"/>
  <c r="P1244" i="9"/>
  <c r="O1244" i="9"/>
  <c r="N1244" i="9"/>
  <c r="M1244" i="9"/>
  <c r="L1244" i="9"/>
  <c r="K1244" i="9"/>
  <c r="J1244" i="9"/>
  <c r="I1244" i="9"/>
  <c r="H1244" i="9"/>
  <c r="G1244" i="9"/>
  <c r="F1244" i="9"/>
  <c r="E1244" i="9"/>
  <c r="D1244" i="9"/>
  <c r="C1244" i="9"/>
  <c r="B1244" i="9"/>
  <c r="P1243" i="9"/>
  <c r="O1243" i="9"/>
  <c r="N1243" i="9"/>
  <c r="M1243" i="9"/>
  <c r="L1243" i="9"/>
  <c r="K1243" i="9"/>
  <c r="J1243" i="9"/>
  <c r="I1243" i="9"/>
  <c r="H1243" i="9"/>
  <c r="G1243" i="9"/>
  <c r="F1243" i="9"/>
  <c r="E1243" i="9"/>
  <c r="D1243" i="9"/>
  <c r="C1243" i="9"/>
  <c r="B1243" i="9"/>
  <c r="P1242" i="9"/>
  <c r="O1242" i="9"/>
  <c r="N1242" i="9"/>
  <c r="M1242" i="9"/>
  <c r="L1242" i="9"/>
  <c r="K1242" i="9"/>
  <c r="J1242" i="9"/>
  <c r="I1242" i="9"/>
  <c r="H1242" i="9"/>
  <c r="G1242" i="9"/>
  <c r="F1242" i="9"/>
  <c r="E1242" i="9"/>
  <c r="D1242" i="9"/>
  <c r="C1242" i="9"/>
  <c r="B1242" i="9"/>
  <c r="P1241" i="9"/>
  <c r="O1241" i="9"/>
  <c r="N1241" i="9"/>
  <c r="M1241" i="9"/>
  <c r="L1241" i="9"/>
  <c r="K1241" i="9"/>
  <c r="J1241" i="9"/>
  <c r="I1241" i="9"/>
  <c r="H1241" i="9"/>
  <c r="G1241" i="9"/>
  <c r="F1241" i="9"/>
  <c r="E1241" i="9"/>
  <c r="D1241" i="9"/>
  <c r="C1241" i="9"/>
  <c r="B1241" i="9"/>
  <c r="P1240" i="9"/>
  <c r="O1240" i="9"/>
  <c r="N1240" i="9"/>
  <c r="M1240" i="9"/>
  <c r="L1240" i="9"/>
  <c r="K1240" i="9"/>
  <c r="J1240" i="9"/>
  <c r="I1240" i="9"/>
  <c r="H1240" i="9"/>
  <c r="G1240" i="9"/>
  <c r="F1240" i="9"/>
  <c r="E1240" i="9"/>
  <c r="D1240" i="9"/>
  <c r="C1240" i="9"/>
  <c r="B1240" i="9"/>
  <c r="P1239" i="9"/>
  <c r="O1239" i="9"/>
  <c r="N1239" i="9"/>
  <c r="M1239" i="9"/>
  <c r="L1239" i="9"/>
  <c r="K1239" i="9"/>
  <c r="J1239" i="9"/>
  <c r="I1239" i="9"/>
  <c r="H1239" i="9"/>
  <c r="G1239" i="9"/>
  <c r="F1239" i="9"/>
  <c r="E1239" i="9"/>
  <c r="D1239" i="9"/>
  <c r="C1239" i="9"/>
  <c r="B1239" i="9"/>
  <c r="P1238" i="9"/>
  <c r="O1238" i="9"/>
  <c r="N1238" i="9"/>
  <c r="M1238" i="9"/>
  <c r="L1238" i="9"/>
  <c r="K1238" i="9"/>
  <c r="J1238" i="9"/>
  <c r="I1238" i="9"/>
  <c r="H1238" i="9"/>
  <c r="G1238" i="9"/>
  <c r="F1238" i="9"/>
  <c r="E1238" i="9"/>
  <c r="D1238" i="9"/>
  <c r="C1238" i="9"/>
  <c r="B1238" i="9"/>
  <c r="P1237" i="9"/>
  <c r="O1237" i="9"/>
  <c r="N1237" i="9"/>
  <c r="M1237" i="9"/>
  <c r="L1237" i="9"/>
  <c r="K1237" i="9"/>
  <c r="J1237" i="9"/>
  <c r="I1237" i="9"/>
  <c r="H1237" i="9"/>
  <c r="G1237" i="9"/>
  <c r="F1237" i="9"/>
  <c r="E1237" i="9"/>
  <c r="D1237" i="9"/>
  <c r="C1237" i="9"/>
  <c r="B1237" i="9"/>
  <c r="P1236" i="9"/>
  <c r="O1236" i="9"/>
  <c r="N1236" i="9"/>
  <c r="M1236" i="9"/>
  <c r="L1236" i="9"/>
  <c r="K1236" i="9"/>
  <c r="J1236" i="9"/>
  <c r="I1236" i="9"/>
  <c r="H1236" i="9"/>
  <c r="G1236" i="9"/>
  <c r="F1236" i="9"/>
  <c r="E1236" i="9"/>
  <c r="D1236" i="9"/>
  <c r="C1236" i="9"/>
  <c r="B1236" i="9"/>
  <c r="P1235" i="9"/>
  <c r="O1235" i="9"/>
  <c r="N1235" i="9"/>
  <c r="M1235" i="9"/>
  <c r="L1235" i="9"/>
  <c r="K1235" i="9"/>
  <c r="J1235" i="9"/>
  <c r="I1235" i="9"/>
  <c r="H1235" i="9"/>
  <c r="G1235" i="9"/>
  <c r="F1235" i="9"/>
  <c r="E1235" i="9"/>
  <c r="D1235" i="9"/>
  <c r="C1235" i="9"/>
  <c r="B1235" i="9"/>
  <c r="P1234" i="9"/>
  <c r="O1234" i="9"/>
  <c r="N1234" i="9"/>
  <c r="M1234" i="9"/>
  <c r="L1234" i="9"/>
  <c r="K1234" i="9"/>
  <c r="J1234" i="9"/>
  <c r="I1234" i="9"/>
  <c r="H1234" i="9"/>
  <c r="G1234" i="9"/>
  <c r="F1234" i="9"/>
  <c r="E1234" i="9"/>
  <c r="D1234" i="9"/>
  <c r="C1234" i="9"/>
  <c r="B1234" i="9"/>
  <c r="P1233" i="9"/>
  <c r="O1233" i="9"/>
  <c r="N1233" i="9"/>
  <c r="M1233" i="9"/>
  <c r="L1233" i="9"/>
  <c r="K1233" i="9"/>
  <c r="J1233" i="9"/>
  <c r="I1233" i="9"/>
  <c r="H1233" i="9"/>
  <c r="G1233" i="9"/>
  <c r="F1233" i="9"/>
  <c r="E1233" i="9"/>
  <c r="D1233" i="9"/>
  <c r="C1233" i="9"/>
  <c r="B1233" i="9"/>
  <c r="P1232" i="9"/>
  <c r="O1232" i="9"/>
  <c r="N1232" i="9"/>
  <c r="M1232" i="9"/>
  <c r="L1232" i="9"/>
  <c r="K1232" i="9"/>
  <c r="J1232" i="9"/>
  <c r="I1232" i="9"/>
  <c r="H1232" i="9"/>
  <c r="G1232" i="9"/>
  <c r="F1232" i="9"/>
  <c r="E1232" i="9"/>
  <c r="D1232" i="9"/>
  <c r="C1232" i="9"/>
  <c r="B1232" i="9"/>
  <c r="P1231" i="9"/>
  <c r="O1231" i="9"/>
  <c r="N1231" i="9"/>
  <c r="M1231" i="9"/>
  <c r="L1231" i="9"/>
  <c r="K1231" i="9"/>
  <c r="J1231" i="9"/>
  <c r="I1231" i="9"/>
  <c r="H1231" i="9"/>
  <c r="G1231" i="9"/>
  <c r="F1231" i="9"/>
  <c r="E1231" i="9"/>
  <c r="D1231" i="9"/>
  <c r="C1231" i="9"/>
  <c r="B1231" i="9"/>
  <c r="P1230" i="9"/>
  <c r="O1230" i="9"/>
  <c r="N1230" i="9"/>
  <c r="M1230" i="9"/>
  <c r="L1230" i="9"/>
  <c r="K1230" i="9"/>
  <c r="J1230" i="9"/>
  <c r="I1230" i="9"/>
  <c r="H1230" i="9"/>
  <c r="G1230" i="9"/>
  <c r="F1230" i="9"/>
  <c r="E1230" i="9"/>
  <c r="D1230" i="9"/>
  <c r="C1230" i="9"/>
  <c r="B1230" i="9"/>
  <c r="P1229" i="9"/>
  <c r="O1229" i="9"/>
  <c r="N1229" i="9"/>
  <c r="M1229" i="9"/>
  <c r="L1229" i="9"/>
  <c r="K1229" i="9"/>
  <c r="J1229" i="9"/>
  <c r="I1229" i="9"/>
  <c r="H1229" i="9"/>
  <c r="G1229" i="9"/>
  <c r="F1229" i="9"/>
  <c r="E1229" i="9"/>
  <c r="D1229" i="9"/>
  <c r="C1229" i="9"/>
  <c r="B1229" i="9"/>
  <c r="P1228" i="9"/>
  <c r="O1228" i="9"/>
  <c r="N1228" i="9"/>
  <c r="M1228" i="9"/>
  <c r="L1228" i="9"/>
  <c r="K1228" i="9"/>
  <c r="J1228" i="9"/>
  <c r="I1228" i="9"/>
  <c r="H1228" i="9"/>
  <c r="G1228" i="9"/>
  <c r="F1228" i="9"/>
  <c r="E1228" i="9"/>
  <c r="D1228" i="9"/>
  <c r="C1228" i="9"/>
  <c r="B1228" i="9"/>
  <c r="P1227" i="9"/>
  <c r="O1227" i="9"/>
  <c r="N1227" i="9"/>
  <c r="M1227" i="9"/>
  <c r="L1227" i="9"/>
  <c r="K1227" i="9"/>
  <c r="J1227" i="9"/>
  <c r="I1227" i="9"/>
  <c r="H1227" i="9"/>
  <c r="G1227" i="9"/>
  <c r="F1227" i="9"/>
  <c r="E1227" i="9"/>
  <c r="D1227" i="9"/>
  <c r="C1227" i="9"/>
  <c r="B1227" i="9"/>
  <c r="P1226" i="9"/>
  <c r="O1226" i="9"/>
  <c r="N1226" i="9"/>
  <c r="M1226" i="9"/>
  <c r="L1226" i="9"/>
  <c r="K1226" i="9"/>
  <c r="J1226" i="9"/>
  <c r="I1226" i="9"/>
  <c r="H1226" i="9"/>
  <c r="G1226" i="9"/>
  <c r="F1226" i="9"/>
  <c r="E1226" i="9"/>
  <c r="D1226" i="9"/>
  <c r="C1226" i="9"/>
  <c r="B1226" i="9"/>
  <c r="P1225" i="9"/>
  <c r="O1225" i="9"/>
  <c r="N1225" i="9"/>
  <c r="M1225" i="9"/>
  <c r="L1225" i="9"/>
  <c r="K1225" i="9"/>
  <c r="J1225" i="9"/>
  <c r="I1225" i="9"/>
  <c r="H1225" i="9"/>
  <c r="G1225" i="9"/>
  <c r="F1225" i="9"/>
  <c r="E1225" i="9"/>
  <c r="D1225" i="9"/>
  <c r="C1225" i="9"/>
  <c r="B1225" i="9"/>
  <c r="P1224" i="9"/>
  <c r="O1224" i="9"/>
  <c r="N1224" i="9"/>
  <c r="M1224" i="9"/>
  <c r="L1224" i="9"/>
  <c r="K1224" i="9"/>
  <c r="J1224" i="9"/>
  <c r="I1224" i="9"/>
  <c r="H1224" i="9"/>
  <c r="G1224" i="9"/>
  <c r="F1224" i="9"/>
  <c r="E1224" i="9"/>
  <c r="D1224" i="9"/>
  <c r="C1224" i="9"/>
  <c r="B1224" i="9"/>
  <c r="P1223" i="9"/>
  <c r="O1223" i="9"/>
  <c r="N1223" i="9"/>
  <c r="M1223" i="9"/>
  <c r="L1223" i="9"/>
  <c r="K1223" i="9"/>
  <c r="J1223" i="9"/>
  <c r="I1223" i="9"/>
  <c r="H1223" i="9"/>
  <c r="G1223" i="9"/>
  <c r="F1223" i="9"/>
  <c r="E1223" i="9"/>
  <c r="D1223" i="9"/>
  <c r="C1223" i="9"/>
  <c r="B1223" i="9"/>
  <c r="P1222" i="9"/>
  <c r="O1222" i="9"/>
  <c r="N1222" i="9"/>
  <c r="M1222" i="9"/>
  <c r="L1222" i="9"/>
  <c r="K1222" i="9"/>
  <c r="J1222" i="9"/>
  <c r="I1222" i="9"/>
  <c r="H1222" i="9"/>
  <c r="G1222" i="9"/>
  <c r="F1222" i="9"/>
  <c r="E1222" i="9"/>
  <c r="D1222" i="9"/>
  <c r="C1222" i="9"/>
  <c r="B1222" i="9"/>
  <c r="P1221" i="9"/>
  <c r="O1221" i="9"/>
  <c r="N1221" i="9"/>
  <c r="M1221" i="9"/>
  <c r="L1221" i="9"/>
  <c r="K1221" i="9"/>
  <c r="J1221" i="9"/>
  <c r="I1221" i="9"/>
  <c r="H1221" i="9"/>
  <c r="G1221" i="9"/>
  <c r="F1221" i="9"/>
  <c r="E1221" i="9"/>
  <c r="D1221" i="9"/>
  <c r="C1221" i="9"/>
  <c r="B1221" i="9"/>
  <c r="P1220" i="9"/>
  <c r="O1220" i="9"/>
  <c r="N1220" i="9"/>
  <c r="M1220" i="9"/>
  <c r="L1220" i="9"/>
  <c r="K1220" i="9"/>
  <c r="J1220" i="9"/>
  <c r="I1220" i="9"/>
  <c r="H1220" i="9"/>
  <c r="G1220" i="9"/>
  <c r="F1220" i="9"/>
  <c r="E1220" i="9"/>
  <c r="D1220" i="9"/>
  <c r="C1220" i="9"/>
  <c r="B1220" i="9"/>
  <c r="P1219" i="9"/>
  <c r="O1219" i="9"/>
  <c r="N1219" i="9"/>
  <c r="M1219" i="9"/>
  <c r="L1219" i="9"/>
  <c r="K1219" i="9"/>
  <c r="J1219" i="9"/>
  <c r="I1219" i="9"/>
  <c r="H1219" i="9"/>
  <c r="G1219" i="9"/>
  <c r="F1219" i="9"/>
  <c r="E1219" i="9"/>
  <c r="D1219" i="9"/>
  <c r="C1219" i="9"/>
  <c r="B1219" i="9"/>
  <c r="P1218" i="9"/>
  <c r="O1218" i="9"/>
  <c r="N1218" i="9"/>
  <c r="M1218" i="9"/>
  <c r="L1218" i="9"/>
  <c r="K1218" i="9"/>
  <c r="J1218" i="9"/>
  <c r="I1218" i="9"/>
  <c r="H1218" i="9"/>
  <c r="G1218" i="9"/>
  <c r="F1218" i="9"/>
  <c r="E1218" i="9"/>
  <c r="D1218" i="9"/>
  <c r="C1218" i="9"/>
  <c r="B1218" i="9"/>
  <c r="P1217" i="9"/>
  <c r="O1217" i="9"/>
  <c r="N1217" i="9"/>
  <c r="M1217" i="9"/>
  <c r="L1217" i="9"/>
  <c r="K1217" i="9"/>
  <c r="J1217" i="9"/>
  <c r="I1217" i="9"/>
  <c r="H1217" i="9"/>
  <c r="G1217" i="9"/>
  <c r="F1217" i="9"/>
  <c r="E1217" i="9"/>
  <c r="D1217" i="9"/>
  <c r="C1217" i="9"/>
  <c r="B1217" i="9"/>
  <c r="P1216" i="9"/>
  <c r="O1216" i="9"/>
  <c r="N1216" i="9"/>
  <c r="M1216" i="9"/>
  <c r="L1216" i="9"/>
  <c r="K1216" i="9"/>
  <c r="J1216" i="9"/>
  <c r="I1216" i="9"/>
  <c r="H1216" i="9"/>
  <c r="G1216" i="9"/>
  <c r="F1216" i="9"/>
  <c r="E1216" i="9"/>
  <c r="D1216" i="9"/>
  <c r="C1216" i="9"/>
  <c r="B1216" i="9"/>
  <c r="P1215" i="9"/>
  <c r="O1215" i="9"/>
  <c r="N1215" i="9"/>
  <c r="M1215" i="9"/>
  <c r="L1215" i="9"/>
  <c r="K1215" i="9"/>
  <c r="J1215" i="9"/>
  <c r="I1215" i="9"/>
  <c r="H1215" i="9"/>
  <c r="G1215" i="9"/>
  <c r="F1215" i="9"/>
  <c r="E1215" i="9"/>
  <c r="D1215" i="9"/>
  <c r="C1215" i="9"/>
  <c r="B1215" i="9"/>
  <c r="P1214" i="9"/>
  <c r="O1214" i="9"/>
  <c r="N1214" i="9"/>
  <c r="M1214" i="9"/>
  <c r="L1214" i="9"/>
  <c r="K1214" i="9"/>
  <c r="J1214" i="9"/>
  <c r="I1214" i="9"/>
  <c r="H1214" i="9"/>
  <c r="G1214" i="9"/>
  <c r="F1214" i="9"/>
  <c r="E1214" i="9"/>
  <c r="D1214" i="9"/>
  <c r="C1214" i="9"/>
  <c r="B1214" i="9"/>
  <c r="P1213" i="9"/>
  <c r="O1213" i="9"/>
  <c r="N1213" i="9"/>
  <c r="M1213" i="9"/>
  <c r="L1213" i="9"/>
  <c r="K1213" i="9"/>
  <c r="J1213" i="9"/>
  <c r="I1213" i="9"/>
  <c r="H1213" i="9"/>
  <c r="G1213" i="9"/>
  <c r="F1213" i="9"/>
  <c r="E1213" i="9"/>
  <c r="D1213" i="9"/>
  <c r="C1213" i="9"/>
  <c r="B1213" i="9"/>
  <c r="P1212" i="9"/>
  <c r="O1212" i="9"/>
  <c r="N1212" i="9"/>
  <c r="M1212" i="9"/>
  <c r="L1212" i="9"/>
  <c r="K1212" i="9"/>
  <c r="J1212" i="9"/>
  <c r="I1212" i="9"/>
  <c r="H1212" i="9"/>
  <c r="G1212" i="9"/>
  <c r="F1212" i="9"/>
  <c r="E1212" i="9"/>
  <c r="D1212" i="9"/>
  <c r="C1212" i="9"/>
  <c r="B1212" i="9"/>
  <c r="P1211" i="9"/>
  <c r="O1211" i="9"/>
  <c r="N1211" i="9"/>
  <c r="M1211" i="9"/>
  <c r="L1211" i="9"/>
  <c r="K1211" i="9"/>
  <c r="J1211" i="9"/>
  <c r="I1211" i="9"/>
  <c r="H1211" i="9"/>
  <c r="G1211" i="9"/>
  <c r="F1211" i="9"/>
  <c r="E1211" i="9"/>
  <c r="D1211" i="9"/>
  <c r="C1211" i="9"/>
  <c r="B1211" i="9"/>
  <c r="P1210" i="9"/>
  <c r="O1210" i="9"/>
  <c r="N1210" i="9"/>
  <c r="M1210" i="9"/>
  <c r="L1210" i="9"/>
  <c r="K1210" i="9"/>
  <c r="J1210" i="9"/>
  <c r="I1210" i="9"/>
  <c r="H1210" i="9"/>
  <c r="G1210" i="9"/>
  <c r="F1210" i="9"/>
  <c r="E1210" i="9"/>
  <c r="D1210" i="9"/>
  <c r="C1210" i="9"/>
  <c r="B1210" i="9"/>
  <c r="P1209" i="9"/>
  <c r="O1209" i="9"/>
  <c r="N1209" i="9"/>
  <c r="M1209" i="9"/>
  <c r="L1209" i="9"/>
  <c r="K1209" i="9"/>
  <c r="J1209" i="9"/>
  <c r="I1209" i="9"/>
  <c r="H1209" i="9"/>
  <c r="G1209" i="9"/>
  <c r="F1209" i="9"/>
  <c r="E1209" i="9"/>
  <c r="D1209" i="9"/>
  <c r="C1209" i="9"/>
  <c r="B1209" i="9"/>
  <c r="P1208" i="9"/>
  <c r="O1208" i="9"/>
  <c r="N1208" i="9"/>
  <c r="M1208" i="9"/>
  <c r="L1208" i="9"/>
  <c r="K1208" i="9"/>
  <c r="J1208" i="9"/>
  <c r="I1208" i="9"/>
  <c r="H1208" i="9"/>
  <c r="G1208" i="9"/>
  <c r="F1208" i="9"/>
  <c r="E1208" i="9"/>
  <c r="D1208" i="9"/>
  <c r="C1208" i="9"/>
  <c r="B1208" i="9"/>
  <c r="P1207" i="9"/>
  <c r="O1207" i="9"/>
  <c r="N1207" i="9"/>
  <c r="M1207" i="9"/>
  <c r="L1207" i="9"/>
  <c r="K1207" i="9"/>
  <c r="J1207" i="9"/>
  <c r="I1207" i="9"/>
  <c r="H1207" i="9"/>
  <c r="G1207" i="9"/>
  <c r="F1207" i="9"/>
  <c r="E1207" i="9"/>
  <c r="D1207" i="9"/>
  <c r="C1207" i="9"/>
  <c r="B1207" i="9"/>
  <c r="P1206" i="9"/>
  <c r="O1206" i="9"/>
  <c r="N1206" i="9"/>
  <c r="M1206" i="9"/>
  <c r="L1206" i="9"/>
  <c r="K1206" i="9"/>
  <c r="J1206" i="9"/>
  <c r="I1206" i="9"/>
  <c r="H1206" i="9"/>
  <c r="G1206" i="9"/>
  <c r="F1206" i="9"/>
  <c r="E1206" i="9"/>
  <c r="D1206" i="9"/>
  <c r="C1206" i="9"/>
  <c r="B1206" i="9"/>
  <c r="P1205" i="9"/>
  <c r="O1205" i="9"/>
  <c r="N1205" i="9"/>
  <c r="M1205" i="9"/>
  <c r="L1205" i="9"/>
  <c r="K1205" i="9"/>
  <c r="J1205" i="9"/>
  <c r="I1205" i="9"/>
  <c r="H1205" i="9"/>
  <c r="G1205" i="9"/>
  <c r="F1205" i="9"/>
  <c r="E1205" i="9"/>
  <c r="D1205" i="9"/>
  <c r="C1205" i="9"/>
  <c r="B1205" i="9"/>
  <c r="P1204" i="9"/>
  <c r="O1204" i="9"/>
  <c r="N1204" i="9"/>
  <c r="M1204" i="9"/>
  <c r="L1204" i="9"/>
  <c r="K1204" i="9"/>
  <c r="J1204" i="9"/>
  <c r="I1204" i="9"/>
  <c r="H1204" i="9"/>
  <c r="G1204" i="9"/>
  <c r="F1204" i="9"/>
  <c r="E1204" i="9"/>
  <c r="D1204" i="9"/>
  <c r="C1204" i="9"/>
  <c r="B1204" i="9"/>
  <c r="P1203" i="9"/>
  <c r="O1203" i="9"/>
  <c r="N1203" i="9"/>
  <c r="M1203" i="9"/>
  <c r="L1203" i="9"/>
  <c r="K1203" i="9"/>
  <c r="J1203" i="9"/>
  <c r="I1203" i="9"/>
  <c r="H1203" i="9"/>
  <c r="G1203" i="9"/>
  <c r="F1203" i="9"/>
  <c r="E1203" i="9"/>
  <c r="D1203" i="9"/>
  <c r="C1203" i="9"/>
  <c r="B1203" i="9"/>
  <c r="P1202" i="9"/>
  <c r="O1202" i="9"/>
  <c r="N1202" i="9"/>
  <c r="M1202" i="9"/>
  <c r="L1202" i="9"/>
  <c r="K1202" i="9"/>
  <c r="J1202" i="9"/>
  <c r="I1202" i="9"/>
  <c r="H1202" i="9"/>
  <c r="G1202" i="9"/>
  <c r="F1202" i="9"/>
  <c r="E1202" i="9"/>
  <c r="D1202" i="9"/>
  <c r="C1202" i="9"/>
  <c r="B1202" i="9"/>
  <c r="P1201" i="9"/>
  <c r="O1201" i="9"/>
  <c r="N1201" i="9"/>
  <c r="M1201" i="9"/>
  <c r="L1201" i="9"/>
  <c r="K1201" i="9"/>
  <c r="J1201" i="9"/>
  <c r="I1201" i="9"/>
  <c r="H1201" i="9"/>
  <c r="G1201" i="9"/>
  <c r="F1201" i="9"/>
  <c r="E1201" i="9"/>
  <c r="D1201" i="9"/>
  <c r="C1201" i="9"/>
  <c r="B1201" i="9"/>
  <c r="P1200" i="9"/>
  <c r="O1200" i="9"/>
  <c r="N1200" i="9"/>
  <c r="M1200" i="9"/>
  <c r="L1200" i="9"/>
  <c r="K1200" i="9"/>
  <c r="J1200" i="9"/>
  <c r="I1200" i="9"/>
  <c r="H1200" i="9"/>
  <c r="G1200" i="9"/>
  <c r="F1200" i="9"/>
  <c r="E1200" i="9"/>
  <c r="D1200" i="9"/>
  <c r="C1200" i="9"/>
  <c r="B1200" i="9"/>
  <c r="P1199" i="9"/>
  <c r="O1199" i="9"/>
  <c r="N1199" i="9"/>
  <c r="M1199" i="9"/>
  <c r="L1199" i="9"/>
  <c r="K1199" i="9"/>
  <c r="J1199" i="9"/>
  <c r="I1199" i="9"/>
  <c r="H1199" i="9"/>
  <c r="G1199" i="9"/>
  <c r="F1199" i="9"/>
  <c r="E1199" i="9"/>
  <c r="D1199" i="9"/>
  <c r="C1199" i="9"/>
  <c r="B1199" i="9"/>
  <c r="P1198" i="9"/>
  <c r="O1198" i="9"/>
  <c r="N1198" i="9"/>
  <c r="M1198" i="9"/>
  <c r="L1198" i="9"/>
  <c r="K1198" i="9"/>
  <c r="J1198" i="9"/>
  <c r="I1198" i="9"/>
  <c r="H1198" i="9"/>
  <c r="G1198" i="9"/>
  <c r="F1198" i="9"/>
  <c r="E1198" i="9"/>
  <c r="D1198" i="9"/>
  <c r="C1198" i="9"/>
  <c r="B1198" i="9"/>
  <c r="P1197" i="9"/>
  <c r="O1197" i="9"/>
  <c r="N1197" i="9"/>
  <c r="M1197" i="9"/>
  <c r="L1197" i="9"/>
  <c r="K1197" i="9"/>
  <c r="J1197" i="9"/>
  <c r="I1197" i="9"/>
  <c r="H1197" i="9"/>
  <c r="G1197" i="9"/>
  <c r="F1197" i="9"/>
  <c r="E1197" i="9"/>
  <c r="D1197" i="9"/>
  <c r="C1197" i="9"/>
  <c r="B1197" i="9"/>
  <c r="P1196" i="9"/>
  <c r="O1196" i="9"/>
  <c r="N1196" i="9"/>
  <c r="M1196" i="9"/>
  <c r="L1196" i="9"/>
  <c r="K1196" i="9"/>
  <c r="J1196" i="9"/>
  <c r="I1196" i="9"/>
  <c r="H1196" i="9"/>
  <c r="G1196" i="9"/>
  <c r="F1196" i="9"/>
  <c r="E1196" i="9"/>
  <c r="D1196" i="9"/>
  <c r="C1196" i="9"/>
  <c r="B1196" i="9"/>
  <c r="P1195" i="9"/>
  <c r="O1195" i="9"/>
  <c r="N1195" i="9"/>
  <c r="M1195" i="9"/>
  <c r="L1195" i="9"/>
  <c r="K1195" i="9"/>
  <c r="J1195" i="9"/>
  <c r="I1195" i="9"/>
  <c r="H1195" i="9"/>
  <c r="G1195" i="9"/>
  <c r="F1195" i="9"/>
  <c r="E1195" i="9"/>
  <c r="D1195" i="9"/>
  <c r="C1195" i="9"/>
  <c r="B1195" i="9"/>
  <c r="P1194" i="9"/>
  <c r="O1194" i="9"/>
  <c r="N1194" i="9"/>
  <c r="M1194" i="9"/>
  <c r="L1194" i="9"/>
  <c r="K1194" i="9"/>
  <c r="J1194" i="9"/>
  <c r="I1194" i="9"/>
  <c r="H1194" i="9"/>
  <c r="G1194" i="9"/>
  <c r="F1194" i="9"/>
  <c r="E1194" i="9"/>
  <c r="D1194" i="9"/>
  <c r="C1194" i="9"/>
  <c r="B1194" i="9"/>
  <c r="P1193" i="9"/>
  <c r="O1193" i="9"/>
  <c r="N1193" i="9"/>
  <c r="M1193" i="9"/>
  <c r="L1193" i="9"/>
  <c r="K1193" i="9"/>
  <c r="J1193" i="9"/>
  <c r="I1193" i="9"/>
  <c r="H1193" i="9"/>
  <c r="G1193" i="9"/>
  <c r="F1193" i="9"/>
  <c r="E1193" i="9"/>
  <c r="D1193" i="9"/>
  <c r="C1193" i="9"/>
  <c r="B1193" i="9"/>
  <c r="P1192" i="9"/>
  <c r="O1192" i="9"/>
  <c r="N1192" i="9"/>
  <c r="M1192" i="9"/>
  <c r="L1192" i="9"/>
  <c r="K1192" i="9"/>
  <c r="J1192" i="9"/>
  <c r="I1192" i="9"/>
  <c r="H1192" i="9"/>
  <c r="G1192" i="9"/>
  <c r="F1192" i="9"/>
  <c r="E1192" i="9"/>
  <c r="D1192" i="9"/>
  <c r="C1192" i="9"/>
  <c r="B1192" i="9"/>
  <c r="P1191" i="9"/>
  <c r="O1191" i="9"/>
  <c r="N1191" i="9"/>
  <c r="M1191" i="9"/>
  <c r="L1191" i="9"/>
  <c r="K1191" i="9"/>
  <c r="J1191" i="9"/>
  <c r="I1191" i="9"/>
  <c r="H1191" i="9"/>
  <c r="G1191" i="9"/>
  <c r="F1191" i="9"/>
  <c r="E1191" i="9"/>
  <c r="D1191" i="9"/>
  <c r="C1191" i="9"/>
  <c r="B1191" i="9"/>
  <c r="P1190" i="9"/>
  <c r="O1190" i="9"/>
  <c r="N1190" i="9"/>
  <c r="M1190" i="9"/>
  <c r="L1190" i="9"/>
  <c r="K1190" i="9"/>
  <c r="J1190" i="9"/>
  <c r="I1190" i="9"/>
  <c r="H1190" i="9"/>
  <c r="G1190" i="9"/>
  <c r="F1190" i="9"/>
  <c r="E1190" i="9"/>
  <c r="D1190" i="9"/>
  <c r="C1190" i="9"/>
  <c r="B1190" i="9"/>
  <c r="P1189" i="9"/>
  <c r="O1189" i="9"/>
  <c r="N1189" i="9"/>
  <c r="M1189" i="9"/>
  <c r="L1189" i="9"/>
  <c r="K1189" i="9"/>
  <c r="J1189" i="9"/>
  <c r="I1189" i="9"/>
  <c r="H1189" i="9"/>
  <c r="G1189" i="9"/>
  <c r="F1189" i="9"/>
  <c r="E1189" i="9"/>
  <c r="D1189" i="9"/>
  <c r="C1189" i="9"/>
  <c r="B1189" i="9"/>
  <c r="P1188" i="9"/>
  <c r="O1188" i="9"/>
  <c r="N1188" i="9"/>
  <c r="M1188" i="9"/>
  <c r="L1188" i="9"/>
  <c r="K1188" i="9"/>
  <c r="J1188" i="9"/>
  <c r="I1188" i="9"/>
  <c r="H1188" i="9"/>
  <c r="G1188" i="9"/>
  <c r="F1188" i="9"/>
  <c r="E1188" i="9"/>
  <c r="D1188" i="9"/>
  <c r="C1188" i="9"/>
  <c r="B1188" i="9"/>
  <c r="P1187" i="9"/>
  <c r="O1187" i="9"/>
  <c r="N1187" i="9"/>
  <c r="M1187" i="9"/>
  <c r="L1187" i="9"/>
  <c r="K1187" i="9"/>
  <c r="J1187" i="9"/>
  <c r="I1187" i="9"/>
  <c r="H1187" i="9"/>
  <c r="G1187" i="9"/>
  <c r="F1187" i="9"/>
  <c r="E1187" i="9"/>
  <c r="D1187" i="9"/>
  <c r="C1187" i="9"/>
  <c r="B1187" i="9"/>
  <c r="P1186" i="9"/>
  <c r="O1186" i="9"/>
  <c r="N1186" i="9"/>
  <c r="M1186" i="9"/>
  <c r="L1186" i="9"/>
  <c r="K1186" i="9"/>
  <c r="J1186" i="9"/>
  <c r="I1186" i="9"/>
  <c r="H1186" i="9"/>
  <c r="G1186" i="9"/>
  <c r="F1186" i="9"/>
  <c r="E1186" i="9"/>
  <c r="D1186" i="9"/>
  <c r="C1186" i="9"/>
  <c r="B1186" i="9"/>
  <c r="P1185" i="9"/>
  <c r="O1185" i="9"/>
  <c r="N1185" i="9"/>
  <c r="M1185" i="9"/>
  <c r="L1185" i="9"/>
  <c r="K1185" i="9"/>
  <c r="J1185" i="9"/>
  <c r="I1185" i="9"/>
  <c r="H1185" i="9"/>
  <c r="G1185" i="9"/>
  <c r="F1185" i="9"/>
  <c r="E1185" i="9"/>
  <c r="D1185" i="9"/>
  <c r="C1185" i="9"/>
  <c r="B1185" i="9"/>
  <c r="P1184" i="9"/>
  <c r="O1184" i="9"/>
  <c r="N1184" i="9"/>
  <c r="M1184" i="9"/>
  <c r="L1184" i="9"/>
  <c r="K1184" i="9"/>
  <c r="J1184" i="9"/>
  <c r="I1184" i="9"/>
  <c r="H1184" i="9"/>
  <c r="G1184" i="9"/>
  <c r="F1184" i="9"/>
  <c r="E1184" i="9"/>
  <c r="D1184" i="9"/>
  <c r="C1184" i="9"/>
  <c r="B1184" i="9"/>
  <c r="P1183" i="9"/>
  <c r="O1183" i="9"/>
  <c r="N1183" i="9"/>
  <c r="M1183" i="9"/>
  <c r="L1183" i="9"/>
  <c r="K1183" i="9"/>
  <c r="J1183" i="9"/>
  <c r="I1183" i="9"/>
  <c r="H1183" i="9"/>
  <c r="G1183" i="9"/>
  <c r="F1183" i="9"/>
  <c r="E1183" i="9"/>
  <c r="D1183" i="9"/>
  <c r="C1183" i="9"/>
  <c r="B1183" i="9"/>
  <c r="P1182" i="9"/>
  <c r="O1182" i="9"/>
  <c r="N1182" i="9"/>
  <c r="M1182" i="9"/>
  <c r="L1182" i="9"/>
  <c r="K1182" i="9"/>
  <c r="J1182" i="9"/>
  <c r="I1182" i="9"/>
  <c r="H1182" i="9"/>
  <c r="G1182" i="9"/>
  <c r="F1182" i="9"/>
  <c r="E1182" i="9"/>
  <c r="D1182" i="9"/>
  <c r="C1182" i="9"/>
  <c r="B1182" i="9"/>
  <c r="P1181" i="9"/>
  <c r="O1181" i="9"/>
  <c r="N1181" i="9"/>
  <c r="M1181" i="9"/>
  <c r="L1181" i="9"/>
  <c r="K1181" i="9"/>
  <c r="J1181" i="9"/>
  <c r="I1181" i="9"/>
  <c r="H1181" i="9"/>
  <c r="G1181" i="9"/>
  <c r="F1181" i="9"/>
  <c r="E1181" i="9"/>
  <c r="D1181" i="9"/>
  <c r="C1181" i="9"/>
  <c r="B1181" i="9"/>
  <c r="P1180" i="9"/>
  <c r="O1180" i="9"/>
  <c r="N1180" i="9"/>
  <c r="M1180" i="9"/>
  <c r="L1180" i="9"/>
  <c r="K1180" i="9"/>
  <c r="J1180" i="9"/>
  <c r="I1180" i="9"/>
  <c r="H1180" i="9"/>
  <c r="G1180" i="9"/>
  <c r="F1180" i="9"/>
  <c r="E1180" i="9"/>
  <c r="D1180" i="9"/>
  <c r="C1180" i="9"/>
  <c r="B1180" i="9"/>
  <c r="P1179" i="9"/>
  <c r="O1179" i="9"/>
  <c r="N1179" i="9"/>
  <c r="M1179" i="9"/>
  <c r="L1179" i="9"/>
  <c r="K1179" i="9"/>
  <c r="J1179" i="9"/>
  <c r="I1179" i="9"/>
  <c r="H1179" i="9"/>
  <c r="G1179" i="9"/>
  <c r="F1179" i="9"/>
  <c r="E1179" i="9"/>
  <c r="D1179" i="9"/>
  <c r="C1179" i="9"/>
  <c r="B1179" i="9"/>
  <c r="P1178" i="9"/>
  <c r="O1178" i="9"/>
  <c r="N1178" i="9"/>
  <c r="M1178" i="9"/>
  <c r="L1178" i="9"/>
  <c r="K1178" i="9"/>
  <c r="J1178" i="9"/>
  <c r="I1178" i="9"/>
  <c r="H1178" i="9"/>
  <c r="G1178" i="9"/>
  <c r="F1178" i="9"/>
  <c r="E1178" i="9"/>
  <c r="D1178" i="9"/>
  <c r="C1178" i="9"/>
  <c r="B1178" i="9"/>
  <c r="P1177" i="9"/>
  <c r="O1177" i="9"/>
  <c r="N1177" i="9"/>
  <c r="M1177" i="9"/>
  <c r="L1177" i="9"/>
  <c r="K1177" i="9"/>
  <c r="J1177" i="9"/>
  <c r="I1177" i="9"/>
  <c r="H1177" i="9"/>
  <c r="G1177" i="9"/>
  <c r="F1177" i="9"/>
  <c r="E1177" i="9"/>
  <c r="D1177" i="9"/>
  <c r="C1177" i="9"/>
  <c r="B1177" i="9"/>
  <c r="P1176" i="9"/>
  <c r="O1176" i="9"/>
  <c r="N1176" i="9"/>
  <c r="M1176" i="9"/>
  <c r="L1176" i="9"/>
  <c r="K1176" i="9"/>
  <c r="J1176" i="9"/>
  <c r="I1176" i="9"/>
  <c r="H1176" i="9"/>
  <c r="G1176" i="9"/>
  <c r="F1176" i="9"/>
  <c r="E1176" i="9"/>
  <c r="D1176" i="9"/>
  <c r="C1176" i="9"/>
  <c r="B1176" i="9"/>
  <c r="P1175" i="9"/>
  <c r="O1175" i="9"/>
  <c r="N1175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P1174" i="9"/>
  <c r="O1174" i="9"/>
  <c r="N1174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P1173" i="9"/>
  <c r="O1173" i="9"/>
  <c r="N1173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P1172" i="9"/>
  <c r="O1172" i="9"/>
  <c r="N1172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P1171" i="9"/>
  <c r="O1171" i="9"/>
  <c r="N1171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P1170" i="9"/>
  <c r="O1170" i="9"/>
  <c r="N1170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P1169" i="9"/>
  <c r="O1169" i="9"/>
  <c r="N1169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P1168" i="9"/>
  <c r="O1168" i="9"/>
  <c r="N1168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P1167" i="9"/>
  <c r="O1167" i="9"/>
  <c r="N1167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P1166" i="9"/>
  <c r="O1166" i="9"/>
  <c r="N1166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P1165" i="9"/>
  <c r="O1165" i="9"/>
  <c r="N1165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P1164" i="9"/>
  <c r="O1164" i="9"/>
  <c r="N1164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P1163" i="9"/>
  <c r="O1163" i="9"/>
  <c r="N1163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P1162" i="9"/>
  <c r="O1162" i="9"/>
  <c r="N1162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P1161" i="9"/>
  <c r="O1161" i="9"/>
  <c r="N1161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P1160" i="9"/>
  <c r="O1160" i="9"/>
  <c r="N1160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P1159" i="9"/>
  <c r="O1159" i="9"/>
  <c r="N1159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P1158" i="9"/>
  <c r="O1158" i="9"/>
  <c r="N1158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P1157" i="9"/>
  <c r="O1157" i="9"/>
  <c r="N1157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P1156" i="9"/>
  <c r="O1156" i="9"/>
  <c r="N1156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P1155" i="9"/>
  <c r="O1155" i="9"/>
  <c r="N1155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P1154" i="9"/>
  <c r="O1154" i="9"/>
  <c r="N1154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P1153" i="9"/>
  <c r="O1153" i="9"/>
  <c r="N1153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P1152" i="9"/>
  <c r="O1152" i="9"/>
  <c r="N1152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P1151" i="9"/>
  <c r="O1151" i="9"/>
  <c r="N1151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P1150" i="9"/>
  <c r="O1150" i="9"/>
  <c r="N1150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P1149" i="9"/>
  <c r="O1149" i="9"/>
  <c r="N1149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P1148" i="9"/>
  <c r="O1148" i="9"/>
  <c r="N1148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P1147" i="9"/>
  <c r="O1147" i="9"/>
  <c r="N1147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P1146" i="9"/>
  <c r="O1146" i="9"/>
  <c r="N1146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P1145" i="9"/>
  <c r="O1145" i="9"/>
  <c r="N1145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P1144" i="9"/>
  <c r="O1144" i="9"/>
  <c r="N1144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P1143" i="9"/>
  <c r="O1143" i="9"/>
  <c r="N1143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P1142" i="9"/>
  <c r="O1142" i="9"/>
  <c r="N1142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P1141" i="9"/>
  <c r="O1141" i="9"/>
  <c r="N1141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P1140" i="9"/>
  <c r="O1140" i="9"/>
  <c r="N1140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P1139" i="9"/>
  <c r="O1139" i="9"/>
  <c r="N1139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P1138" i="9"/>
  <c r="O1138" i="9"/>
  <c r="N1138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P1137" i="9"/>
  <c r="O1137" i="9"/>
  <c r="N1137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P1136" i="9"/>
  <c r="O1136" i="9"/>
  <c r="N1136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P1135" i="9"/>
  <c r="O1135" i="9"/>
  <c r="N1135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P1134" i="9"/>
  <c r="O1134" i="9"/>
  <c r="N1134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P1133" i="9"/>
  <c r="O1133" i="9"/>
  <c r="N1133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P1132" i="9"/>
  <c r="O1132" i="9"/>
  <c r="N1132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P1131" i="9"/>
  <c r="O1131" i="9"/>
  <c r="N1131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P1130" i="9"/>
  <c r="O1130" i="9"/>
  <c r="N1130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P1129" i="9"/>
  <c r="O1129" i="9"/>
  <c r="N1129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P1128" i="9"/>
  <c r="O1128" i="9"/>
  <c r="N1128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P1127" i="9"/>
  <c r="O1127" i="9"/>
  <c r="N1127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P1126" i="9"/>
  <c r="O1126" i="9"/>
  <c r="N1126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P1125" i="9"/>
  <c r="O1125" i="9"/>
  <c r="N1125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P1124" i="9"/>
  <c r="O1124" i="9"/>
  <c r="N1124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P1123" i="9"/>
  <c r="O1123" i="9"/>
  <c r="N1123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P1122" i="9"/>
  <c r="O1122" i="9"/>
  <c r="N1122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P1121" i="9"/>
  <c r="O1121" i="9"/>
  <c r="N1121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P1120" i="9"/>
  <c r="O1120" i="9"/>
  <c r="N1120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P1119" i="9"/>
  <c r="O1119" i="9"/>
  <c r="N1119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P1118" i="9"/>
  <c r="O1118" i="9"/>
  <c r="N1118" i="9"/>
  <c r="M1118" i="9"/>
  <c r="L1118" i="9"/>
  <c r="K1118" i="9"/>
  <c r="J1118" i="9"/>
  <c r="H1118" i="9"/>
  <c r="G1118" i="9"/>
  <c r="F1118" i="9"/>
  <c r="E1118" i="9"/>
  <c r="D1118" i="9"/>
  <c r="C1118" i="9"/>
  <c r="B1118" i="9"/>
  <c r="P1117" i="9"/>
  <c r="O1117" i="9"/>
  <c r="N1117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P1116" i="9"/>
  <c r="O1116" i="9"/>
  <c r="N1116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P1115" i="9"/>
  <c r="O1115" i="9"/>
  <c r="N1115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P1114" i="9"/>
  <c r="O1114" i="9"/>
  <c r="N1114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P1113" i="9"/>
  <c r="O1113" i="9"/>
  <c r="N1113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P1112" i="9"/>
  <c r="O1112" i="9"/>
  <c r="N1112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P1111" i="9"/>
  <c r="O1111" i="9"/>
  <c r="N1111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P1110" i="9"/>
  <c r="O1110" i="9"/>
  <c r="N1110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P1109" i="9"/>
  <c r="O1109" i="9"/>
  <c r="N1109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P1108" i="9"/>
  <c r="O1108" i="9"/>
  <c r="N1108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P1107" i="9"/>
  <c r="O1107" i="9"/>
  <c r="N1107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P1106" i="9"/>
  <c r="O1106" i="9"/>
  <c r="N1106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P1105" i="9"/>
  <c r="O1105" i="9"/>
  <c r="N1105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P1104" i="9"/>
  <c r="O1104" i="9"/>
  <c r="N1104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P1103" i="9"/>
  <c r="O1103" i="9"/>
  <c r="N1103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P1102" i="9"/>
  <c r="O1102" i="9"/>
  <c r="N1102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P1101" i="9"/>
  <c r="O1101" i="9"/>
  <c r="N1101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P1100" i="9"/>
  <c r="O1100" i="9"/>
  <c r="N1100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P1099" i="9"/>
  <c r="O1099" i="9"/>
  <c r="N1099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P1098" i="9"/>
  <c r="O1098" i="9"/>
  <c r="N1098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P1097" i="9"/>
  <c r="O1097" i="9"/>
  <c r="N1097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P1096" i="9"/>
  <c r="O1096" i="9"/>
  <c r="N1096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P1095" i="9"/>
  <c r="O1095" i="9"/>
  <c r="N1095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P1094" i="9"/>
  <c r="O1094" i="9"/>
  <c r="N1094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P1093" i="9"/>
  <c r="O1093" i="9"/>
  <c r="N1093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P1092" i="9"/>
  <c r="O1092" i="9"/>
  <c r="N1092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P1091" i="9"/>
  <c r="O1091" i="9"/>
  <c r="N1091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P1090" i="9"/>
  <c r="O1090" i="9"/>
  <c r="N1090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P1089" i="9"/>
  <c r="O1089" i="9"/>
  <c r="N1089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P1088" i="9"/>
  <c r="O1088" i="9"/>
  <c r="N1088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P1087" i="9"/>
  <c r="O1087" i="9"/>
  <c r="N1087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P1086" i="9"/>
  <c r="O1086" i="9"/>
  <c r="N1086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P1085" i="9"/>
  <c r="O1085" i="9"/>
  <c r="N1085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P1084" i="9"/>
  <c r="O1084" i="9"/>
  <c r="N1084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P1083" i="9"/>
  <c r="O1083" i="9"/>
  <c r="N1083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P1082" i="9"/>
  <c r="O1082" i="9"/>
  <c r="N1082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P1081" i="9"/>
  <c r="O1081" i="9"/>
  <c r="N1081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P1080" i="9"/>
  <c r="O1080" i="9"/>
  <c r="N1080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P1079" i="9"/>
  <c r="O1079" i="9"/>
  <c r="N1079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P1078" i="9"/>
  <c r="O1078" i="9"/>
  <c r="N1078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P1077" i="9"/>
  <c r="O1077" i="9"/>
  <c r="N1077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P1076" i="9"/>
  <c r="O1076" i="9"/>
  <c r="N1076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P1075" i="9"/>
  <c r="O1075" i="9"/>
  <c r="N1075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P1074" i="9"/>
  <c r="O1074" i="9"/>
  <c r="N1074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P1073" i="9"/>
  <c r="O1073" i="9"/>
  <c r="N1073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P1072" i="9"/>
  <c r="O1072" i="9"/>
  <c r="N1072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P1071" i="9"/>
  <c r="O1071" i="9"/>
  <c r="N1071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P1070" i="9"/>
  <c r="O1070" i="9"/>
  <c r="N1070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P1069" i="9"/>
  <c r="O1069" i="9"/>
  <c r="N1069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P1068" i="9"/>
  <c r="O1068" i="9"/>
  <c r="N1068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P1067" i="9"/>
  <c r="O1067" i="9"/>
  <c r="N1067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P1066" i="9"/>
  <c r="O1066" i="9"/>
  <c r="N1066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P1065" i="9"/>
  <c r="O1065" i="9"/>
  <c r="N1065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P1064" i="9"/>
  <c r="O1064" i="9"/>
  <c r="N1064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P1063" i="9"/>
  <c r="O1063" i="9"/>
  <c r="N1063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P1062" i="9"/>
  <c r="O1062" i="9"/>
  <c r="N1062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P1061" i="9"/>
  <c r="O1061" i="9"/>
  <c r="N1061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P1060" i="9"/>
  <c r="O1060" i="9"/>
  <c r="N1060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P1059" i="9"/>
  <c r="O1059" i="9"/>
  <c r="N1059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P1058" i="9"/>
  <c r="O1058" i="9"/>
  <c r="N1058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P1057" i="9"/>
  <c r="O1057" i="9"/>
  <c r="N1057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P1056" i="9"/>
  <c r="O1056" i="9"/>
  <c r="N1056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P1055" i="9"/>
  <c r="O1055" i="9"/>
  <c r="N1055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P1054" i="9"/>
  <c r="O1054" i="9"/>
  <c r="N1054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P1053" i="9"/>
  <c r="O1053" i="9"/>
  <c r="N1053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P1052" i="9"/>
  <c r="O1052" i="9"/>
  <c r="N1052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P1051" i="9"/>
  <c r="O1051" i="9"/>
  <c r="N1051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P1050" i="9"/>
  <c r="O1050" i="9"/>
  <c r="N1050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P1049" i="9"/>
  <c r="O1049" i="9"/>
  <c r="N1049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P1048" i="9"/>
  <c r="O1048" i="9"/>
  <c r="N1048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P1047" i="9"/>
  <c r="O1047" i="9"/>
  <c r="N1047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P1046" i="9"/>
  <c r="O1046" i="9"/>
  <c r="N1046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P1045" i="9"/>
  <c r="O1045" i="9"/>
  <c r="N1045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P1044" i="9"/>
  <c r="O1044" i="9"/>
  <c r="N1044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P1043" i="9"/>
  <c r="O1043" i="9"/>
  <c r="N1043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P1042" i="9"/>
  <c r="O1042" i="9"/>
  <c r="N1042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P1041" i="9"/>
  <c r="O1041" i="9"/>
  <c r="N1041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P1040" i="9"/>
  <c r="O1040" i="9"/>
  <c r="N1040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P1039" i="9"/>
  <c r="O1039" i="9"/>
  <c r="N1039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P1038" i="9"/>
  <c r="O1038" i="9"/>
  <c r="N1038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P1037" i="9"/>
  <c r="O1037" i="9"/>
  <c r="N1037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P1036" i="9"/>
  <c r="O1036" i="9"/>
  <c r="N1036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P1035" i="9"/>
  <c r="O1035" i="9"/>
  <c r="N1035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P1034" i="9"/>
  <c r="O1034" i="9"/>
  <c r="N1034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P1033" i="9"/>
  <c r="O1033" i="9"/>
  <c r="N1033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P1032" i="9"/>
  <c r="O1032" i="9"/>
  <c r="N1032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P1031" i="9"/>
  <c r="O1031" i="9"/>
  <c r="N1031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P1030" i="9"/>
  <c r="O1030" i="9"/>
  <c r="N1030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P1029" i="9"/>
  <c r="O1029" i="9"/>
  <c r="N1029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P1028" i="9"/>
  <c r="O1028" i="9"/>
  <c r="N1028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P1027" i="9"/>
  <c r="O1027" i="9"/>
  <c r="N1027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P1026" i="9"/>
  <c r="O1026" i="9"/>
  <c r="N1026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P1025" i="9"/>
  <c r="O1025" i="9"/>
  <c r="N1025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P1024" i="9"/>
  <c r="O1024" i="9"/>
  <c r="N1024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P1023" i="9"/>
  <c r="O1023" i="9"/>
  <c r="N1023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P1022" i="9"/>
  <c r="O1022" i="9"/>
  <c r="N1022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P1021" i="9"/>
  <c r="O1021" i="9"/>
  <c r="N1021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P1020" i="9"/>
  <c r="O1020" i="9"/>
  <c r="N1020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P1019" i="9"/>
  <c r="O1019" i="9"/>
  <c r="N1019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P1018" i="9"/>
  <c r="O1018" i="9"/>
  <c r="N1018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P1017" i="9"/>
  <c r="O1017" i="9"/>
  <c r="N1017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P1016" i="9"/>
  <c r="O1016" i="9"/>
  <c r="N1016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P1015" i="9"/>
  <c r="O1015" i="9"/>
  <c r="N1015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P1014" i="9"/>
  <c r="O1014" i="9"/>
  <c r="N1014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P1013" i="9"/>
  <c r="O1013" i="9"/>
  <c r="N1013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P1012" i="9"/>
  <c r="O1012" i="9"/>
  <c r="N1012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P1011" i="9"/>
  <c r="O1011" i="9"/>
  <c r="N1011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P1010" i="9"/>
  <c r="O1010" i="9"/>
  <c r="N1010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P1009" i="9"/>
  <c r="O1009" i="9"/>
  <c r="N1009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P1008" i="9"/>
  <c r="O1008" i="9"/>
  <c r="N1008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P1007" i="9"/>
  <c r="O1007" i="9"/>
  <c r="N1007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P1006" i="9"/>
  <c r="O1006" i="9"/>
  <c r="N1006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P1005" i="9"/>
  <c r="O1005" i="9"/>
  <c r="N1005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P1004" i="9"/>
  <c r="O1004" i="9"/>
  <c r="N1004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P1003" i="9"/>
  <c r="O1003" i="9"/>
  <c r="N1003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P1002" i="9"/>
  <c r="O1002" i="9"/>
  <c r="N1002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P1001" i="9"/>
  <c r="O1001" i="9"/>
  <c r="N1001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P1000" i="9"/>
  <c r="O1000" i="9"/>
  <c r="N1000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P999" i="9"/>
  <c r="O999" i="9"/>
  <c r="N999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P998" i="9"/>
  <c r="O998" i="9"/>
  <c r="N998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P997" i="9"/>
  <c r="O997" i="9"/>
  <c r="N997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P996" i="9"/>
  <c r="O996" i="9"/>
  <c r="N996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P995" i="9"/>
  <c r="O995" i="9"/>
  <c r="N995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P994" i="9"/>
  <c r="O994" i="9"/>
  <c r="N994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P993" i="9"/>
  <c r="O993" i="9"/>
  <c r="N993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P992" i="9"/>
  <c r="O992" i="9"/>
  <c r="N992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P991" i="9"/>
  <c r="O991" i="9"/>
  <c r="N991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P990" i="9"/>
  <c r="O990" i="9"/>
  <c r="N990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P989" i="9"/>
  <c r="O989" i="9"/>
  <c r="N989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P988" i="9"/>
  <c r="O988" i="9"/>
  <c r="N988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P987" i="9"/>
  <c r="O987" i="9"/>
  <c r="N987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P986" i="9"/>
  <c r="O986" i="9"/>
  <c r="N986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P985" i="9"/>
  <c r="O985" i="9"/>
  <c r="N985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P984" i="9"/>
  <c r="O984" i="9"/>
  <c r="N984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P983" i="9"/>
  <c r="O983" i="9"/>
  <c r="N983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P982" i="9"/>
  <c r="O982" i="9"/>
  <c r="N982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P981" i="9"/>
  <c r="O981" i="9"/>
  <c r="N981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P980" i="9"/>
  <c r="O980" i="9"/>
  <c r="N980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P979" i="9"/>
  <c r="O979" i="9"/>
  <c r="N979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P978" i="9"/>
  <c r="O978" i="9"/>
  <c r="N978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P977" i="9"/>
  <c r="O977" i="9"/>
  <c r="N977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P976" i="9"/>
  <c r="O976" i="9"/>
  <c r="N976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P975" i="9"/>
  <c r="O975" i="9"/>
  <c r="N975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P974" i="9"/>
  <c r="O974" i="9"/>
  <c r="N974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P973" i="9"/>
  <c r="O973" i="9"/>
  <c r="N973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P972" i="9"/>
  <c r="O972" i="9"/>
  <c r="N972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P971" i="9"/>
  <c r="O971" i="9"/>
  <c r="N971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P970" i="9"/>
  <c r="O970" i="9"/>
  <c r="N970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P969" i="9"/>
  <c r="O969" i="9"/>
  <c r="N969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P968" i="9"/>
  <c r="O968" i="9"/>
  <c r="N968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P967" i="9"/>
  <c r="O967" i="9"/>
  <c r="N967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P966" i="9"/>
  <c r="O966" i="9"/>
  <c r="N966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P965" i="9"/>
  <c r="O965" i="9"/>
  <c r="N965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P964" i="9"/>
  <c r="O964" i="9"/>
  <c r="N964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P963" i="9"/>
  <c r="O963" i="9"/>
  <c r="N963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P962" i="9"/>
  <c r="O962" i="9"/>
  <c r="N962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P961" i="9"/>
  <c r="O961" i="9"/>
  <c r="N961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P960" i="9"/>
  <c r="O960" i="9"/>
  <c r="N960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P959" i="9"/>
  <c r="O959" i="9"/>
  <c r="N959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P958" i="9"/>
  <c r="O958" i="9"/>
  <c r="N958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P957" i="9"/>
  <c r="O957" i="9"/>
  <c r="N957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P956" i="9"/>
  <c r="O956" i="9"/>
  <c r="N956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P955" i="9"/>
  <c r="O955" i="9"/>
  <c r="N955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P954" i="9"/>
  <c r="O954" i="9"/>
  <c r="N954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P953" i="9"/>
  <c r="O953" i="9"/>
  <c r="N953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P952" i="9"/>
  <c r="O952" i="9"/>
  <c r="N952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P951" i="9"/>
  <c r="O951" i="9"/>
  <c r="N951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P950" i="9"/>
  <c r="O950" i="9"/>
  <c r="N950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P949" i="9"/>
  <c r="O949" i="9"/>
  <c r="N949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P948" i="9"/>
  <c r="O948" i="9"/>
  <c r="N948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P947" i="9"/>
  <c r="O947" i="9"/>
  <c r="N947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P946" i="9"/>
  <c r="O946" i="9"/>
  <c r="N946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P945" i="9"/>
  <c r="O945" i="9"/>
  <c r="N945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P944" i="9"/>
  <c r="O944" i="9"/>
  <c r="N944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P943" i="9"/>
  <c r="O943" i="9"/>
  <c r="N943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P942" i="9"/>
  <c r="O942" i="9"/>
  <c r="N942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P941" i="9"/>
  <c r="O941" i="9"/>
  <c r="N941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P940" i="9"/>
  <c r="O940" i="9"/>
  <c r="N940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P939" i="9"/>
  <c r="O939" i="9"/>
  <c r="N939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P938" i="9"/>
  <c r="O938" i="9"/>
  <c r="N938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P937" i="9"/>
  <c r="O937" i="9"/>
  <c r="N937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P936" i="9"/>
  <c r="O936" i="9"/>
  <c r="N936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P935" i="9"/>
  <c r="O935" i="9"/>
  <c r="N935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P934" i="9"/>
  <c r="O934" i="9"/>
  <c r="N934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P933" i="9"/>
  <c r="O933" i="9"/>
  <c r="N933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P932" i="9"/>
  <c r="O932" i="9"/>
  <c r="N932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P931" i="9"/>
  <c r="O931" i="9"/>
  <c r="N931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P930" i="9"/>
  <c r="O930" i="9"/>
  <c r="N930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P929" i="9"/>
  <c r="O929" i="9"/>
  <c r="N929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P928" i="9"/>
  <c r="O928" i="9"/>
  <c r="N928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P927" i="9"/>
  <c r="O927" i="9"/>
  <c r="N927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P926" i="9"/>
  <c r="O926" i="9"/>
  <c r="N926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P925" i="9"/>
  <c r="O925" i="9"/>
  <c r="N925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P924" i="9"/>
  <c r="O924" i="9"/>
  <c r="N924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P923" i="9"/>
  <c r="O923" i="9"/>
  <c r="N923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P922" i="9"/>
  <c r="O922" i="9"/>
  <c r="N922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P921" i="9"/>
  <c r="O921" i="9"/>
  <c r="N921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P920" i="9"/>
  <c r="O920" i="9"/>
  <c r="N920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P919" i="9"/>
  <c r="O919" i="9"/>
  <c r="N919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P918" i="9"/>
  <c r="O918" i="9"/>
  <c r="N918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P917" i="9"/>
  <c r="O917" i="9"/>
  <c r="N917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P916" i="9"/>
  <c r="O916" i="9"/>
  <c r="N916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P915" i="9"/>
  <c r="O915" i="9"/>
  <c r="N915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P914" i="9"/>
  <c r="O914" i="9"/>
  <c r="N914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P913" i="9"/>
  <c r="O913" i="9"/>
  <c r="N913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P912" i="9"/>
  <c r="O912" i="9"/>
  <c r="N912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P911" i="9"/>
  <c r="O911" i="9"/>
  <c r="N911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P910" i="9"/>
  <c r="O910" i="9"/>
  <c r="N910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P909" i="9"/>
  <c r="O909" i="9"/>
  <c r="N909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P908" i="9"/>
  <c r="O908" i="9"/>
  <c r="N908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P907" i="9"/>
  <c r="O907" i="9"/>
  <c r="N907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P906" i="9"/>
  <c r="O906" i="9"/>
  <c r="N906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P904" i="9"/>
  <c r="O904" i="9"/>
  <c r="N904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P903" i="9"/>
  <c r="O903" i="9"/>
  <c r="N903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P902" i="9"/>
  <c r="O902" i="9"/>
  <c r="N902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P901" i="9"/>
  <c r="O901" i="9"/>
  <c r="N901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P900" i="9"/>
  <c r="O900" i="9"/>
  <c r="N900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P899" i="9"/>
  <c r="O899" i="9"/>
  <c r="N899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P898" i="9"/>
  <c r="O898" i="9"/>
  <c r="N898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P897" i="9"/>
  <c r="O897" i="9"/>
  <c r="N897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P896" i="9"/>
  <c r="O896" i="9"/>
  <c r="N896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P895" i="9"/>
  <c r="O895" i="9"/>
  <c r="N895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P894" i="9"/>
  <c r="O894" i="9"/>
  <c r="N894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P893" i="9"/>
  <c r="O893" i="9"/>
  <c r="N893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P892" i="9"/>
  <c r="O892" i="9"/>
  <c r="N892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P891" i="9"/>
  <c r="O891" i="9"/>
  <c r="N891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P890" i="9"/>
  <c r="O890" i="9"/>
  <c r="N890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P889" i="9"/>
  <c r="O889" i="9"/>
  <c r="N889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P888" i="9"/>
  <c r="O888" i="9"/>
  <c r="N888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P887" i="9"/>
  <c r="O887" i="9"/>
  <c r="N887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P886" i="9"/>
  <c r="O886" i="9"/>
  <c r="N886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P885" i="9"/>
  <c r="O885" i="9"/>
  <c r="N885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P884" i="9"/>
  <c r="O884" i="9"/>
  <c r="N884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P883" i="9"/>
  <c r="O883" i="9"/>
  <c r="N883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P882" i="9"/>
  <c r="O882" i="9"/>
  <c r="N882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P881" i="9"/>
  <c r="O881" i="9"/>
  <c r="N881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P880" i="9"/>
  <c r="O880" i="9"/>
  <c r="N880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P879" i="9"/>
  <c r="O879" i="9"/>
  <c r="N879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P878" i="9"/>
  <c r="O878" i="9"/>
  <c r="N878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P877" i="9"/>
  <c r="O877" i="9"/>
  <c r="N877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P876" i="9"/>
  <c r="O876" i="9"/>
  <c r="N876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P875" i="9"/>
  <c r="O875" i="9"/>
  <c r="N875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P874" i="9"/>
  <c r="O874" i="9"/>
  <c r="N874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P873" i="9"/>
  <c r="O873" i="9"/>
  <c r="N873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P872" i="9"/>
  <c r="O872" i="9"/>
  <c r="N872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P871" i="9"/>
  <c r="O871" i="9"/>
  <c r="N871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P870" i="9"/>
  <c r="O870" i="9"/>
  <c r="N870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P869" i="9"/>
  <c r="O869" i="9"/>
  <c r="N869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P868" i="9"/>
  <c r="O868" i="9"/>
  <c r="N868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P867" i="9"/>
  <c r="O867" i="9"/>
  <c r="N867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P866" i="9"/>
  <c r="O866" i="9"/>
  <c r="N866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P865" i="9"/>
  <c r="O865" i="9"/>
  <c r="N865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P864" i="9"/>
  <c r="O864" i="9"/>
  <c r="N864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P863" i="9"/>
  <c r="O863" i="9"/>
  <c r="N863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P862" i="9"/>
  <c r="O862" i="9"/>
  <c r="N862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P861" i="9"/>
  <c r="O861" i="9"/>
  <c r="N861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P860" i="9"/>
  <c r="O860" i="9"/>
  <c r="N860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P859" i="9"/>
  <c r="O859" i="9"/>
  <c r="N859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P858" i="9"/>
  <c r="O858" i="9"/>
  <c r="N858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P857" i="9"/>
  <c r="O857" i="9"/>
  <c r="N857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P856" i="9"/>
  <c r="O856" i="9"/>
  <c r="N856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P855" i="9"/>
  <c r="O855" i="9"/>
  <c r="N855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P854" i="9"/>
  <c r="O854" i="9"/>
  <c r="N854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P853" i="9"/>
  <c r="O853" i="9"/>
  <c r="N853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P852" i="9"/>
  <c r="O852" i="9"/>
  <c r="N852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P851" i="9"/>
  <c r="O851" i="9"/>
  <c r="N851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P850" i="9"/>
  <c r="O850" i="9"/>
  <c r="N850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P849" i="9"/>
  <c r="O849" i="9"/>
  <c r="N849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P848" i="9"/>
  <c r="O848" i="9"/>
  <c r="N848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P847" i="9"/>
  <c r="O847" i="9"/>
  <c r="N847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P846" i="9"/>
  <c r="O846" i="9"/>
  <c r="N846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P845" i="9"/>
  <c r="O845" i="9"/>
  <c r="N845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P844" i="9"/>
  <c r="O844" i="9"/>
  <c r="N844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P843" i="9"/>
  <c r="O843" i="9"/>
  <c r="N843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P842" i="9"/>
  <c r="O842" i="9"/>
  <c r="N842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P841" i="9"/>
  <c r="O841" i="9"/>
  <c r="N841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P840" i="9"/>
  <c r="O840" i="9"/>
  <c r="N840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P839" i="9"/>
  <c r="O839" i="9"/>
  <c r="N839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P838" i="9"/>
  <c r="O838" i="9"/>
  <c r="N838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P837" i="9"/>
  <c r="O837" i="9"/>
  <c r="N837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P836" i="9"/>
  <c r="O836" i="9"/>
  <c r="N836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P835" i="9"/>
  <c r="O835" i="9"/>
  <c r="N835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P834" i="9"/>
  <c r="O834" i="9"/>
  <c r="N834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P833" i="9"/>
  <c r="O833" i="9"/>
  <c r="N833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P832" i="9"/>
  <c r="O832" i="9"/>
  <c r="N832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P831" i="9"/>
  <c r="O831" i="9"/>
  <c r="N831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P830" i="9"/>
  <c r="O830" i="9"/>
  <c r="N830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P829" i="9"/>
  <c r="O829" i="9"/>
  <c r="N829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P828" i="9"/>
  <c r="O828" i="9"/>
  <c r="N828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P827" i="9"/>
  <c r="O827" i="9"/>
  <c r="N827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P826" i="9"/>
  <c r="O826" i="9"/>
  <c r="N826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P825" i="9"/>
  <c r="O825" i="9"/>
  <c r="N825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P824" i="9"/>
  <c r="O824" i="9"/>
  <c r="N824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P823" i="9"/>
  <c r="O823" i="9"/>
  <c r="N823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P822" i="9"/>
  <c r="O822" i="9"/>
  <c r="N822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P821" i="9"/>
  <c r="O821" i="9"/>
  <c r="N821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P820" i="9"/>
  <c r="O820" i="9"/>
  <c r="N820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P819" i="9"/>
  <c r="O819" i="9"/>
  <c r="N819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P818" i="9"/>
  <c r="O818" i="9"/>
  <c r="N818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P817" i="9"/>
  <c r="O817" i="9"/>
  <c r="N817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P816" i="9"/>
  <c r="O816" i="9"/>
  <c r="N816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P815" i="9"/>
  <c r="O815" i="9"/>
  <c r="N815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P814" i="9"/>
  <c r="O814" i="9"/>
  <c r="N814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P813" i="9"/>
  <c r="O813" i="9"/>
  <c r="N813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P812" i="9"/>
  <c r="O812" i="9"/>
  <c r="N812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P811" i="9"/>
  <c r="O811" i="9"/>
  <c r="N811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P810" i="9"/>
  <c r="O810" i="9"/>
  <c r="N810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P809" i="9"/>
  <c r="O809" i="9"/>
  <c r="N809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P808" i="9"/>
  <c r="O808" i="9"/>
  <c r="N808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P807" i="9"/>
  <c r="O807" i="9"/>
  <c r="N807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P806" i="9"/>
  <c r="O806" i="9"/>
  <c r="N806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P805" i="9"/>
  <c r="O805" i="9"/>
  <c r="N805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P804" i="9"/>
  <c r="O804" i="9"/>
  <c r="N804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P803" i="9"/>
  <c r="O803" i="9"/>
  <c r="N803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P802" i="9"/>
  <c r="O802" i="9"/>
  <c r="N802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P801" i="9"/>
  <c r="O801" i="9"/>
  <c r="N801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P800" i="9"/>
  <c r="O800" i="9"/>
  <c r="N800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P799" i="9"/>
  <c r="O799" i="9"/>
  <c r="N799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P798" i="9"/>
  <c r="O798" i="9"/>
  <c r="N798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P797" i="9"/>
  <c r="O797" i="9"/>
  <c r="N797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P796" i="9"/>
  <c r="O796" i="9"/>
  <c r="N796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P795" i="9"/>
  <c r="O795" i="9"/>
  <c r="N795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P794" i="9"/>
  <c r="O794" i="9"/>
  <c r="N794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P793" i="9"/>
  <c r="O793" i="9"/>
  <c r="N793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P792" i="9"/>
  <c r="O792" i="9"/>
  <c r="N792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P791" i="9"/>
  <c r="O791" i="9"/>
  <c r="N791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P790" i="9"/>
  <c r="O790" i="9"/>
  <c r="N790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P789" i="9"/>
  <c r="O789" i="9"/>
  <c r="N789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P788" i="9"/>
  <c r="O788" i="9"/>
  <c r="N788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P787" i="9"/>
  <c r="O787" i="9"/>
  <c r="N787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P786" i="9"/>
  <c r="O786" i="9"/>
  <c r="N786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P785" i="9"/>
  <c r="O785" i="9"/>
  <c r="N785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P784" i="9"/>
  <c r="O784" i="9"/>
  <c r="N784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P783" i="9"/>
  <c r="O783" i="9"/>
  <c r="N783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P782" i="9"/>
  <c r="O782" i="9"/>
  <c r="N782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P781" i="9"/>
  <c r="O781" i="9"/>
  <c r="N781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P780" i="9"/>
  <c r="O780" i="9"/>
  <c r="N780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P779" i="9"/>
  <c r="O779" i="9"/>
  <c r="N779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P778" i="9"/>
  <c r="O778" i="9"/>
  <c r="N778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P776" i="9"/>
  <c r="O776" i="9"/>
  <c r="N776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P775" i="9"/>
  <c r="O775" i="9"/>
  <c r="N775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P774" i="9"/>
  <c r="O774" i="9"/>
  <c r="N774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P773" i="9"/>
  <c r="O773" i="9"/>
  <c r="N773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P772" i="9"/>
  <c r="O772" i="9"/>
  <c r="N772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P771" i="9"/>
  <c r="O771" i="9"/>
  <c r="N771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P770" i="9"/>
  <c r="O770" i="9"/>
  <c r="N770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P769" i="9"/>
  <c r="O769" i="9"/>
  <c r="N769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P768" i="9"/>
  <c r="O768" i="9"/>
  <c r="N768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P767" i="9"/>
  <c r="O767" i="9"/>
  <c r="N767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P766" i="9"/>
  <c r="O766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P765" i="9"/>
  <c r="O765" i="9"/>
  <c r="N765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P764" i="9"/>
  <c r="O764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P763" i="9"/>
  <c r="O763" i="9"/>
  <c r="N763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P762" i="9"/>
  <c r="O762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P761" i="9"/>
  <c r="O761" i="9"/>
  <c r="N761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P760" i="9"/>
  <c r="O760" i="9"/>
  <c r="N760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P759" i="9"/>
  <c r="O759" i="9"/>
  <c r="N759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P758" i="9"/>
  <c r="O758" i="9"/>
  <c r="N758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P757" i="9"/>
  <c r="O757" i="9"/>
  <c r="N757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P756" i="9"/>
  <c r="O756" i="9"/>
  <c r="N756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P755" i="9"/>
  <c r="O755" i="9"/>
  <c r="N755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P754" i="9"/>
  <c r="O754" i="9"/>
  <c r="N754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P753" i="9"/>
  <c r="O753" i="9"/>
  <c r="N753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P752" i="9"/>
  <c r="O752" i="9"/>
  <c r="N752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P751" i="9"/>
  <c r="O751" i="9"/>
  <c r="N751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P750" i="9"/>
  <c r="O750" i="9"/>
  <c r="N750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P749" i="9"/>
  <c r="O749" i="9"/>
  <c r="N749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P748" i="9"/>
  <c r="O748" i="9"/>
  <c r="N748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P747" i="9"/>
  <c r="O747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P746" i="9"/>
  <c r="O746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P745" i="9"/>
  <c r="O745" i="9"/>
  <c r="N745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P744" i="9"/>
  <c r="O744" i="9"/>
  <c r="N744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P743" i="9"/>
  <c r="O743" i="9"/>
  <c r="N743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P742" i="9"/>
  <c r="O742" i="9"/>
  <c r="N742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P741" i="9"/>
  <c r="O741" i="9"/>
  <c r="N741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P740" i="9"/>
  <c r="O740" i="9"/>
  <c r="N740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P739" i="9"/>
  <c r="O739" i="9"/>
  <c r="N739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P738" i="9"/>
  <c r="O738" i="9"/>
  <c r="N738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P737" i="9"/>
  <c r="O737" i="9"/>
  <c r="N737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P736" i="9"/>
  <c r="O736" i="9"/>
  <c r="N736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P735" i="9"/>
  <c r="O735" i="9"/>
  <c r="N735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P734" i="9"/>
  <c r="O734" i="9"/>
  <c r="N734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P733" i="9"/>
  <c r="O733" i="9"/>
  <c r="N733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P732" i="9"/>
  <c r="O732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P731" i="9"/>
  <c r="O731" i="9"/>
  <c r="N731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P730" i="9"/>
  <c r="O730" i="9"/>
  <c r="N730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P729" i="9"/>
  <c r="O729" i="9"/>
  <c r="N729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P728" i="9"/>
  <c r="O728" i="9"/>
  <c r="N728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P727" i="9"/>
  <c r="O727" i="9"/>
  <c r="N727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P726" i="9"/>
  <c r="O726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P725" i="9"/>
  <c r="O725" i="9"/>
  <c r="N725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P724" i="9"/>
  <c r="O724" i="9"/>
  <c r="N724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P723" i="9"/>
  <c r="O723" i="9"/>
  <c r="N723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P722" i="9"/>
  <c r="O722" i="9"/>
  <c r="N722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P721" i="9"/>
  <c r="O721" i="9"/>
  <c r="N721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P720" i="9"/>
  <c r="O720" i="9"/>
  <c r="N720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P719" i="9"/>
  <c r="O719" i="9"/>
  <c r="N719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P718" i="9"/>
  <c r="O718" i="9"/>
  <c r="N718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P717" i="9"/>
  <c r="O717" i="9"/>
  <c r="N717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P716" i="9"/>
  <c r="O716" i="9"/>
  <c r="N716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P715" i="9"/>
  <c r="O715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P714" i="9"/>
  <c r="O714" i="9"/>
  <c r="N714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P713" i="9"/>
  <c r="O713" i="9"/>
  <c r="N713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P712" i="9"/>
  <c r="O712" i="9"/>
  <c r="N712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P711" i="9"/>
  <c r="O711" i="9"/>
  <c r="N711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P710" i="9"/>
  <c r="O710" i="9"/>
  <c r="N710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P709" i="9"/>
  <c r="O709" i="9"/>
  <c r="N709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P708" i="9"/>
  <c r="O708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P707" i="9"/>
  <c r="O707" i="9"/>
  <c r="N707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P706" i="9"/>
  <c r="O706" i="9"/>
  <c r="N706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P705" i="9"/>
  <c r="O705" i="9"/>
  <c r="N705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P704" i="9"/>
  <c r="O704" i="9"/>
  <c r="N704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P703" i="9"/>
  <c r="O703" i="9"/>
  <c r="N703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P702" i="9"/>
  <c r="O702" i="9"/>
  <c r="N702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P701" i="9"/>
  <c r="O701" i="9"/>
  <c r="N701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P700" i="9"/>
  <c r="O700" i="9"/>
  <c r="N700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P699" i="9"/>
  <c r="O699" i="9"/>
  <c r="N699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P698" i="9"/>
  <c r="O698" i="9"/>
  <c r="N698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P697" i="9"/>
  <c r="O697" i="9"/>
  <c r="N697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P696" i="9"/>
  <c r="O696" i="9"/>
  <c r="N696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P695" i="9"/>
  <c r="O695" i="9"/>
  <c r="N695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P694" i="9"/>
  <c r="O694" i="9"/>
  <c r="N694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P693" i="9"/>
  <c r="O693" i="9"/>
  <c r="N693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P692" i="9"/>
  <c r="O692" i="9"/>
  <c r="N692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P691" i="9"/>
  <c r="O691" i="9"/>
  <c r="N691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P690" i="9"/>
  <c r="O690" i="9"/>
  <c r="N690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P689" i="9"/>
  <c r="O689" i="9"/>
  <c r="N689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P688" i="9"/>
  <c r="O688" i="9"/>
  <c r="N688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P687" i="9"/>
  <c r="O687" i="9"/>
  <c r="N687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P686" i="9"/>
  <c r="O686" i="9"/>
  <c r="N686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P685" i="9"/>
  <c r="O685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P684" i="9"/>
  <c r="O684" i="9"/>
  <c r="N684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P683" i="9"/>
  <c r="O683" i="9"/>
  <c r="N683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P682" i="9"/>
  <c r="O682" i="9"/>
  <c r="N682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P681" i="9"/>
  <c r="O681" i="9"/>
  <c r="N681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P680" i="9"/>
  <c r="O680" i="9"/>
  <c r="N680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P679" i="9"/>
  <c r="O679" i="9"/>
  <c r="N679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P678" i="9"/>
  <c r="O678" i="9"/>
  <c r="N678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P677" i="9"/>
  <c r="O677" i="9"/>
  <c r="N677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P676" i="9"/>
  <c r="O676" i="9"/>
  <c r="N676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P675" i="9"/>
  <c r="O675" i="9"/>
  <c r="N675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P674" i="9"/>
  <c r="O674" i="9"/>
  <c r="N674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P673" i="9"/>
  <c r="O673" i="9"/>
  <c r="N673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P672" i="9"/>
  <c r="O672" i="9"/>
  <c r="N672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P671" i="9"/>
  <c r="O671" i="9"/>
  <c r="N671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P670" i="9"/>
  <c r="O670" i="9"/>
  <c r="N670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P669" i="9"/>
  <c r="O669" i="9"/>
  <c r="N669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P668" i="9"/>
  <c r="O668" i="9"/>
  <c r="N668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P667" i="9"/>
  <c r="O667" i="9"/>
  <c r="N667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P666" i="9"/>
  <c r="O666" i="9"/>
  <c r="N666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P665" i="9"/>
  <c r="O665" i="9"/>
  <c r="N665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P664" i="9"/>
  <c r="O664" i="9"/>
  <c r="N664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P663" i="9"/>
  <c r="O663" i="9"/>
  <c r="N663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P662" i="9"/>
  <c r="O662" i="9"/>
  <c r="N662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P661" i="9"/>
  <c r="O661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P660" i="9"/>
  <c r="O660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P659" i="9"/>
  <c r="O659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P658" i="9"/>
  <c r="O658" i="9"/>
  <c r="N658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P657" i="9"/>
  <c r="O657" i="9"/>
  <c r="N657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P656" i="9"/>
  <c r="O656" i="9"/>
  <c r="N656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P655" i="9"/>
  <c r="O655" i="9"/>
  <c r="N655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P654" i="9"/>
  <c r="O654" i="9"/>
  <c r="N654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P653" i="9"/>
  <c r="O653" i="9"/>
  <c r="N653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P652" i="9"/>
  <c r="O652" i="9"/>
  <c r="N652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P651" i="9"/>
  <c r="O651" i="9"/>
  <c r="N651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P650" i="9"/>
  <c r="O650" i="9"/>
  <c r="N650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P649" i="9"/>
  <c r="O649" i="9"/>
  <c r="N649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P648" i="9"/>
  <c r="O648" i="9"/>
  <c r="N648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P647" i="9"/>
  <c r="O647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P646" i="9"/>
  <c r="O646" i="9"/>
  <c r="N646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P645" i="9"/>
  <c r="O645" i="9"/>
  <c r="N645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P644" i="9"/>
  <c r="O644" i="9"/>
  <c r="N644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P643" i="9"/>
  <c r="O643" i="9"/>
  <c r="N643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P642" i="9"/>
  <c r="O642" i="9"/>
  <c r="N642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P641" i="9"/>
  <c r="O641" i="9"/>
  <c r="N641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P640" i="9"/>
  <c r="O640" i="9"/>
  <c r="N640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P639" i="9"/>
  <c r="O639" i="9"/>
  <c r="N639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P638" i="9"/>
  <c r="O638" i="9"/>
  <c r="N638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P637" i="9"/>
  <c r="O637" i="9"/>
  <c r="N637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P636" i="9"/>
  <c r="O636" i="9"/>
  <c r="N636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P635" i="9"/>
  <c r="O635" i="9"/>
  <c r="N635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P634" i="9"/>
  <c r="O634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P633" i="9"/>
  <c r="O633" i="9"/>
  <c r="N633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P632" i="9"/>
  <c r="O632" i="9"/>
  <c r="N632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P631" i="9"/>
  <c r="O631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P630" i="9"/>
  <c r="O630" i="9"/>
  <c r="N630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P629" i="9"/>
  <c r="O629" i="9"/>
  <c r="N629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P628" i="9"/>
  <c r="O628" i="9"/>
  <c r="N628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P627" i="9"/>
  <c r="O627" i="9"/>
  <c r="N627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P626" i="9"/>
  <c r="O626" i="9"/>
  <c r="N626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P625" i="9"/>
  <c r="O625" i="9"/>
  <c r="N625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P624" i="9"/>
  <c r="O624" i="9"/>
  <c r="N624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P623" i="9"/>
  <c r="O623" i="9"/>
  <c r="N623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P622" i="9"/>
  <c r="O622" i="9"/>
  <c r="N622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P621" i="9"/>
  <c r="O621" i="9"/>
  <c r="N621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P620" i="9"/>
  <c r="O620" i="9"/>
  <c r="N620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P619" i="9"/>
  <c r="O619" i="9"/>
  <c r="N619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P618" i="9"/>
  <c r="O618" i="9"/>
  <c r="N618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P617" i="9"/>
  <c r="O617" i="9"/>
  <c r="N617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P616" i="9"/>
  <c r="O616" i="9"/>
  <c r="N616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P615" i="9"/>
  <c r="O615" i="9"/>
  <c r="N615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P614" i="9"/>
  <c r="O614" i="9"/>
  <c r="N614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P613" i="9"/>
  <c r="O613" i="9"/>
  <c r="N613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P612" i="9"/>
  <c r="O612" i="9"/>
  <c r="N612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P611" i="9"/>
  <c r="O611" i="9"/>
  <c r="N611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P610" i="9"/>
  <c r="O610" i="9"/>
  <c r="N610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P609" i="9"/>
  <c r="O609" i="9"/>
  <c r="N609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P608" i="9"/>
  <c r="O608" i="9"/>
  <c r="N608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P607" i="9"/>
  <c r="O607" i="9"/>
  <c r="N607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P606" i="9"/>
  <c r="O606" i="9"/>
  <c r="N606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P605" i="9"/>
  <c r="O605" i="9"/>
  <c r="N605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P604" i="9"/>
  <c r="O604" i="9"/>
  <c r="N604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P603" i="9"/>
  <c r="O603" i="9"/>
  <c r="N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P602" i="9"/>
  <c r="O602" i="9"/>
  <c r="N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P601" i="9"/>
  <c r="O601" i="9"/>
  <c r="N601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P600" i="9"/>
  <c r="O600" i="9"/>
  <c r="N600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P599" i="9"/>
  <c r="O599" i="9"/>
  <c r="N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P597" i="9"/>
  <c r="O597" i="9"/>
  <c r="N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P596" i="9"/>
  <c r="O596" i="9"/>
  <c r="N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P595" i="9"/>
  <c r="O595" i="9"/>
  <c r="N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P594" i="9"/>
  <c r="O594" i="9"/>
  <c r="N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P593" i="9"/>
  <c r="O593" i="9"/>
  <c r="N593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P592" i="9"/>
  <c r="O592" i="9"/>
  <c r="N592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P590" i="9"/>
  <c r="O590" i="9"/>
  <c r="N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P589" i="9"/>
  <c r="O589" i="9"/>
  <c r="N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P588" i="9"/>
  <c r="O588" i="9"/>
  <c r="N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P587" i="9"/>
  <c r="O587" i="9"/>
  <c r="N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P586" i="9"/>
  <c r="O586" i="9"/>
  <c r="N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P585" i="9"/>
  <c r="O585" i="9"/>
  <c r="N585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P584" i="9"/>
  <c r="O584" i="9"/>
  <c r="N584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P583" i="9"/>
  <c r="O583" i="9"/>
  <c r="N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P582" i="9"/>
  <c r="O582" i="9"/>
  <c r="N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P581" i="9"/>
  <c r="O581" i="9"/>
  <c r="N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P577" i="9"/>
  <c r="O577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P576" i="9"/>
  <c r="O576" i="9"/>
  <c r="N576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P575" i="9"/>
  <c r="O575" i="9"/>
  <c r="N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P574" i="9"/>
  <c r="O574" i="9"/>
  <c r="N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P573" i="9"/>
  <c r="O573" i="9"/>
  <c r="N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P572" i="9"/>
  <c r="O572" i="9"/>
  <c r="N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P571" i="9"/>
  <c r="O571" i="9"/>
  <c r="N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P570" i="9"/>
  <c r="O570" i="9"/>
  <c r="N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P569" i="9"/>
  <c r="O569" i="9"/>
  <c r="N569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P568" i="9"/>
  <c r="O568" i="9"/>
  <c r="N568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P567" i="9"/>
  <c r="O567" i="9"/>
  <c r="N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P566" i="9"/>
  <c r="O566" i="9"/>
  <c r="N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P561" i="9"/>
  <c r="O561" i="9"/>
  <c r="N561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P560" i="9"/>
  <c r="O560" i="9"/>
  <c r="N560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P559" i="9"/>
  <c r="O559" i="9"/>
  <c r="N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P558" i="9"/>
  <c r="O558" i="9"/>
  <c r="N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P557" i="9"/>
  <c r="O557" i="9"/>
  <c r="N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P556" i="9"/>
  <c r="O556" i="9"/>
  <c r="N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P555" i="9"/>
  <c r="O555" i="9"/>
  <c r="N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P553" i="9"/>
  <c r="O553" i="9"/>
  <c r="N553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P552" i="9"/>
  <c r="O552" i="9"/>
  <c r="N552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P551" i="9"/>
  <c r="O551" i="9"/>
  <c r="N551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P550" i="9"/>
  <c r="O550" i="9"/>
  <c r="N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P549" i="9"/>
  <c r="O549" i="9"/>
  <c r="N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P548" i="9"/>
  <c r="O548" i="9"/>
  <c r="N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P547" i="9"/>
  <c r="O547" i="9"/>
  <c r="N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P546" i="9"/>
  <c r="O546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P545" i="9"/>
  <c r="O545" i="9"/>
  <c r="N545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P544" i="9"/>
  <c r="O544" i="9"/>
  <c r="N544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P543" i="9"/>
  <c r="O543" i="9"/>
  <c r="N543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P542" i="9"/>
  <c r="O542" i="9"/>
  <c r="N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P541" i="9"/>
  <c r="O541" i="9"/>
  <c r="N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P540" i="9"/>
  <c r="O540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P539" i="9"/>
  <c r="O539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P538" i="9"/>
  <c r="O538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P536" i="9"/>
  <c r="O536" i="9"/>
  <c r="N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P534" i="9"/>
  <c r="O534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P533" i="9"/>
  <c r="O533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P532" i="9"/>
  <c r="O532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P531" i="9"/>
  <c r="O531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P530" i="9"/>
  <c r="O530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P529" i="9"/>
  <c r="O529" i="9"/>
  <c r="N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P528" i="9"/>
  <c r="O528" i="9"/>
  <c r="N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P527" i="9"/>
  <c r="O527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P526" i="9"/>
  <c r="O526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P525" i="9"/>
  <c r="O525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P524" i="9"/>
  <c r="O524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P523" i="9"/>
  <c r="O523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P521" i="9"/>
  <c r="O521" i="9"/>
  <c r="N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P519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P517" i="9"/>
  <c r="O517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P515" i="9"/>
  <c r="O515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P511" i="9"/>
  <c r="O511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P510" i="9"/>
  <c r="O510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P502" i="9"/>
  <c r="O502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P501" i="9"/>
  <c r="O501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P500" i="9"/>
  <c r="O500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P499" i="9"/>
  <c r="O499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P498" i="9"/>
  <c r="O498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P497" i="9"/>
  <c r="O497" i="9"/>
  <c r="N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P496" i="9"/>
  <c r="O496" i="9"/>
  <c r="N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P495" i="9"/>
  <c r="O495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P494" i="9"/>
  <c r="O494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P493" i="9"/>
  <c r="O493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P492" i="9"/>
  <c r="O492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P491" i="9"/>
  <c r="O491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P490" i="9"/>
  <c r="O490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P488" i="9"/>
  <c r="O488" i="9"/>
  <c r="N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P487" i="9"/>
  <c r="O487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P486" i="9"/>
  <c r="O486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P485" i="9"/>
  <c r="O485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P481" i="9"/>
  <c r="O481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P480" i="9"/>
  <c r="O480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P472" i="9"/>
  <c r="O472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P469" i="9"/>
  <c r="O469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P468" i="9"/>
  <c r="O468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P467" i="9"/>
  <c r="O467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P465" i="9"/>
  <c r="O465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P464" i="9"/>
  <c r="O464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P457" i="9"/>
  <c r="O457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P456" i="9"/>
  <c r="O456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P450" i="9"/>
  <c r="O450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P449" i="9"/>
  <c r="O449" i="9"/>
  <c r="N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P448" i="9"/>
  <c r="O448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P441" i="9"/>
  <c r="O441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P433" i="9"/>
  <c r="O433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P432" i="9"/>
  <c r="O432" i="9"/>
  <c r="N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P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P425" i="9"/>
  <c r="O425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P424" i="9"/>
  <c r="O424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P417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P416" i="9"/>
  <c r="O416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P414" i="9"/>
  <c r="O414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P413" i="9"/>
  <c r="O413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P409" i="9"/>
  <c r="O409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P408" i="9"/>
  <c r="O408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P407" i="9"/>
  <c r="O407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P406" i="9"/>
  <c r="O406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P402" i="9"/>
  <c r="O402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P401" i="9"/>
  <c r="O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P377" i="9"/>
  <c r="O377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P305" i="9"/>
  <c r="O305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D35" i="6"/>
  <c r="H35" i="6" s="1"/>
  <c r="H34" i="6"/>
  <c r="H33" i="6"/>
  <c r="AM32" i="6"/>
  <c r="AL32" i="6"/>
  <c r="Z32" i="6"/>
  <c r="H32" i="6"/>
  <c r="D32" i="6"/>
  <c r="AM31" i="6"/>
  <c r="AL31" i="6"/>
  <c r="Z31" i="6"/>
  <c r="H31" i="6"/>
  <c r="D31" i="6"/>
  <c r="D30" i="6"/>
  <c r="H30" i="6" s="1"/>
  <c r="D29" i="6"/>
  <c r="H29" i="6" s="1"/>
  <c r="D28" i="6"/>
  <c r="H27" i="6"/>
  <c r="AM26" i="6"/>
  <c r="AL26" i="6"/>
  <c r="Z26" i="6"/>
  <c r="H26" i="6"/>
  <c r="D26" i="6"/>
  <c r="AM25" i="6"/>
  <c r="AL25" i="6"/>
  <c r="H25" i="6"/>
  <c r="D25" i="6"/>
  <c r="H24" i="6"/>
  <c r="Z23" i="6"/>
  <c r="H23" i="6"/>
  <c r="D23" i="6"/>
  <c r="Z22" i="6"/>
  <c r="D22" i="6"/>
  <c r="H22" i="6" s="1"/>
  <c r="H21" i="6"/>
  <c r="H20" i="6"/>
  <c r="D20" i="6"/>
  <c r="H19" i="6"/>
  <c r="D19" i="6"/>
  <c r="D18" i="6"/>
  <c r="H18" i="6" s="1"/>
  <c r="H17" i="6"/>
  <c r="D17" i="6"/>
  <c r="AL16" i="6"/>
  <c r="AA16" i="6"/>
  <c r="D16" i="6"/>
  <c r="H16" i="6" s="1"/>
  <c r="AM15" i="6"/>
  <c r="AL15" i="6"/>
  <c r="Z15" i="6"/>
  <c r="D15" i="6"/>
  <c r="H15" i="6" s="1"/>
  <c r="AM14" i="6"/>
  <c r="AL14" i="6"/>
  <c r="Z14" i="6"/>
  <c r="H14" i="6"/>
  <c r="D14" i="6"/>
  <c r="AM13" i="6"/>
  <c r="AL13" i="6"/>
  <c r="Z13" i="6"/>
  <c r="D13" i="6"/>
  <c r="H13" i="6" s="1"/>
  <c r="H12" i="6"/>
  <c r="D12" i="6"/>
  <c r="H11" i="6"/>
  <c r="D11" i="6"/>
  <c r="AM10" i="6"/>
  <c r="AL10" i="6"/>
  <c r="D10" i="6"/>
  <c r="AM9" i="6"/>
  <c r="AL9" i="6"/>
  <c r="D9" i="6"/>
  <c r="H9" i="6" s="1"/>
  <c r="H8" i="6"/>
  <c r="D8" i="6"/>
  <c r="Z7" i="6"/>
  <c r="D7" i="6"/>
  <c r="H7" i="6" s="1"/>
  <c r="AM6" i="6"/>
  <c r="AL6" i="6"/>
  <c r="Z6" i="6"/>
  <c r="H6" i="6"/>
  <c r="D6" i="6"/>
  <c r="Z5" i="6"/>
  <c r="D5" i="6"/>
  <c r="H5" i="6" s="1"/>
  <c r="AM4" i="6"/>
  <c r="AL4" i="6"/>
  <c r="Z4" i="6"/>
  <c r="H4" i="6"/>
  <c r="D4" i="6"/>
  <c r="AM3" i="6"/>
  <c r="AL3" i="6"/>
  <c r="AA3" i="6"/>
  <c r="Z3" i="6"/>
  <c r="H3" i="6"/>
  <c r="D3" i="6"/>
  <c r="AL2" i="6"/>
  <c r="AA2" i="6"/>
  <c r="H2" i="6"/>
  <c r="D2" i="6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P287" i="4"/>
  <c r="O287" i="4"/>
  <c r="N287" i="4"/>
  <c r="M287" i="4"/>
  <c r="L287" i="4"/>
  <c r="K287" i="4"/>
  <c r="J287" i="4"/>
  <c r="I287" i="4"/>
  <c r="H287" i="4"/>
  <c r="G287" i="4"/>
  <c r="E287" i="4"/>
  <c r="D287" i="4"/>
  <c r="C287" i="4"/>
  <c r="P286" i="4"/>
  <c r="O286" i="4"/>
  <c r="N286" i="4"/>
  <c r="M286" i="4"/>
  <c r="L286" i="4"/>
  <c r="K286" i="4"/>
  <c r="J286" i="4"/>
  <c r="I286" i="4"/>
  <c r="H286" i="4"/>
  <c r="G286" i="4"/>
  <c r="E286" i="4"/>
  <c r="D286" i="4"/>
  <c r="C286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T905" i="3"/>
  <c r="S905" i="3"/>
  <c r="R905" i="3"/>
  <c r="Q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T904" i="3"/>
  <c r="S904" i="3"/>
  <c r="R904" i="3"/>
  <c r="Q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T903" i="3"/>
  <c r="S903" i="3"/>
  <c r="R903" i="3"/>
  <c r="Q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T902" i="3"/>
  <c r="S902" i="3"/>
  <c r="R902" i="3"/>
  <c r="Q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T901" i="3"/>
  <c r="S901" i="3"/>
  <c r="R901" i="3"/>
  <c r="Q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T900" i="3"/>
  <c r="S900" i="3"/>
  <c r="R900" i="3"/>
  <c r="Q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T899" i="3"/>
  <c r="S899" i="3"/>
  <c r="R899" i="3"/>
  <c r="Q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T898" i="3"/>
  <c r="S898" i="3"/>
  <c r="R898" i="3"/>
  <c r="Q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T897" i="3"/>
  <c r="S897" i="3"/>
  <c r="R897" i="3"/>
  <c r="Q897" i="3"/>
  <c r="N897" i="3"/>
  <c r="M897" i="3"/>
  <c r="L897" i="3"/>
  <c r="K897" i="3"/>
  <c r="J897" i="3"/>
  <c r="I897" i="3"/>
  <c r="H897" i="3"/>
  <c r="B897" i="3" s="1"/>
  <c r="G897" i="3"/>
  <c r="F897" i="3"/>
  <c r="E897" i="3"/>
  <c r="D897" i="3"/>
  <c r="T896" i="3"/>
  <c r="S896" i="3"/>
  <c r="R896" i="3"/>
  <c r="Q896" i="3"/>
  <c r="N896" i="3"/>
  <c r="M896" i="3"/>
  <c r="L896" i="3"/>
  <c r="K896" i="3"/>
  <c r="J896" i="3"/>
  <c r="I896" i="3"/>
  <c r="H896" i="3"/>
  <c r="B896" i="3" s="1"/>
  <c r="G896" i="3"/>
  <c r="F896" i="3"/>
  <c r="E896" i="3"/>
  <c r="D896" i="3"/>
  <c r="T895" i="3"/>
  <c r="S895" i="3"/>
  <c r="R895" i="3"/>
  <c r="Q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T894" i="3"/>
  <c r="S894" i="3"/>
  <c r="R894" i="3"/>
  <c r="Q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T893" i="3"/>
  <c r="S893" i="3"/>
  <c r="R893" i="3"/>
  <c r="Q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T891" i="3"/>
  <c r="S891" i="3"/>
  <c r="R891" i="3"/>
  <c r="Q891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T888" i="3"/>
  <c r="S888" i="3"/>
  <c r="R888" i="3"/>
  <c r="Q888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T886" i="3"/>
  <c r="S886" i="3"/>
  <c r="R886" i="3"/>
  <c r="Q886" i="3"/>
  <c r="N886" i="3"/>
  <c r="M886" i="3"/>
  <c r="L886" i="3"/>
  <c r="K886" i="3"/>
  <c r="J886" i="3"/>
  <c r="I886" i="3"/>
  <c r="H886" i="3"/>
  <c r="B886" i="3" s="1"/>
  <c r="G886" i="3"/>
  <c r="F886" i="3"/>
  <c r="E886" i="3"/>
  <c r="D886" i="3"/>
  <c r="T885" i="3"/>
  <c r="S885" i="3"/>
  <c r="R885" i="3"/>
  <c r="Q885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T883" i="3"/>
  <c r="S883" i="3"/>
  <c r="R883" i="3"/>
  <c r="Q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T881" i="3"/>
  <c r="S881" i="3"/>
  <c r="R881" i="3"/>
  <c r="Q881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T879" i="3"/>
  <c r="S879" i="3"/>
  <c r="R879" i="3"/>
  <c r="Q879" i="3"/>
  <c r="P879" i="3"/>
  <c r="O879" i="3"/>
  <c r="N879" i="3"/>
  <c r="M879" i="3"/>
  <c r="L879" i="3"/>
  <c r="K879" i="3"/>
  <c r="J879" i="3"/>
  <c r="I879" i="3"/>
  <c r="H879" i="3"/>
  <c r="B879" i="3" s="1"/>
  <c r="G879" i="3"/>
  <c r="F879" i="3"/>
  <c r="E879" i="3"/>
  <c r="D879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T877" i="3"/>
  <c r="S877" i="3"/>
  <c r="R877" i="3"/>
  <c r="Q877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T876" i="3"/>
  <c r="S876" i="3"/>
  <c r="R876" i="3"/>
  <c r="Q876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T875" i="3"/>
  <c r="S875" i="3"/>
  <c r="R875" i="3"/>
  <c r="Q875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T873" i="3"/>
  <c r="S873" i="3"/>
  <c r="R873" i="3"/>
  <c r="Q873" i="3"/>
  <c r="P873" i="3"/>
  <c r="O873" i="3"/>
  <c r="N873" i="3"/>
  <c r="M873" i="3"/>
  <c r="L873" i="3"/>
  <c r="K873" i="3"/>
  <c r="J873" i="3"/>
  <c r="I873" i="3"/>
  <c r="H873" i="3"/>
  <c r="B873" i="3" s="1"/>
  <c r="G873" i="3"/>
  <c r="F873" i="3"/>
  <c r="E873" i="3"/>
  <c r="D873" i="3"/>
  <c r="T872" i="3"/>
  <c r="S872" i="3"/>
  <c r="R872" i="3"/>
  <c r="Q872" i="3"/>
  <c r="P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T871" i="3"/>
  <c r="S871" i="3"/>
  <c r="R871" i="3"/>
  <c r="Q871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T869" i="3"/>
  <c r="S869" i="3"/>
  <c r="R869" i="3"/>
  <c r="Q869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T868" i="3"/>
  <c r="S868" i="3"/>
  <c r="R868" i="3"/>
  <c r="Q868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H867" i="3"/>
  <c r="B867" i="3" s="1"/>
  <c r="G867" i="3"/>
  <c r="F867" i="3"/>
  <c r="E867" i="3"/>
  <c r="D867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T865" i="3"/>
  <c r="S865" i="3"/>
  <c r="R865" i="3"/>
  <c r="Q865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T864" i="3"/>
  <c r="S864" i="3"/>
  <c r="R864" i="3"/>
  <c r="Q864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H863" i="3"/>
  <c r="B863" i="3" s="1"/>
  <c r="G863" i="3"/>
  <c r="F863" i="3"/>
  <c r="E863" i="3"/>
  <c r="D863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T861" i="3"/>
  <c r="S861" i="3"/>
  <c r="R861" i="3"/>
  <c r="Q861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T860" i="3"/>
  <c r="S860" i="3"/>
  <c r="R860" i="3"/>
  <c r="Q860" i="3"/>
  <c r="P860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T859" i="3"/>
  <c r="S859" i="3"/>
  <c r="R859" i="3"/>
  <c r="Q859" i="3"/>
  <c r="P859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T857" i="3"/>
  <c r="S857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T856" i="3"/>
  <c r="S856" i="3"/>
  <c r="R856" i="3"/>
  <c r="Q856" i="3"/>
  <c r="P856" i="3"/>
  <c r="O856" i="3"/>
  <c r="N856" i="3"/>
  <c r="M856" i="3"/>
  <c r="L856" i="3"/>
  <c r="K856" i="3"/>
  <c r="J856" i="3"/>
  <c r="I856" i="3"/>
  <c r="H856" i="3"/>
  <c r="B856" i="3" s="1"/>
  <c r="G856" i="3"/>
  <c r="F856" i="3"/>
  <c r="E856" i="3"/>
  <c r="D856" i="3"/>
  <c r="T855" i="3"/>
  <c r="S855" i="3"/>
  <c r="R855" i="3"/>
  <c r="Q855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T853" i="3"/>
  <c r="S853" i="3"/>
  <c r="R853" i="3"/>
  <c r="Q853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T852" i="3"/>
  <c r="S852" i="3"/>
  <c r="R852" i="3"/>
  <c r="Q852" i="3"/>
  <c r="P852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T851" i="3"/>
  <c r="S851" i="3"/>
  <c r="R851" i="3"/>
  <c r="Q851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T848" i="3"/>
  <c r="S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T845" i="3"/>
  <c r="S845" i="3"/>
  <c r="R845" i="3"/>
  <c r="Q845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T844" i="3"/>
  <c r="S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H843" i="3"/>
  <c r="B843" i="3" s="1"/>
  <c r="G843" i="3"/>
  <c r="F843" i="3"/>
  <c r="E843" i="3"/>
  <c r="D843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T841" i="3"/>
  <c r="S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T839" i="3"/>
  <c r="S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T837" i="3"/>
  <c r="S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T836" i="3"/>
  <c r="S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T835" i="3"/>
  <c r="S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T832" i="3"/>
  <c r="S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B830" i="3" s="1"/>
  <c r="G830" i="3"/>
  <c r="F830" i="3"/>
  <c r="E830" i="3"/>
  <c r="D830" i="3"/>
  <c r="T829" i="3"/>
  <c r="S829" i="3"/>
  <c r="R829" i="3"/>
  <c r="Q829" i="3"/>
  <c r="P829" i="3"/>
  <c r="O829" i="3"/>
  <c r="N829" i="3"/>
  <c r="M829" i="3"/>
  <c r="L829" i="3"/>
  <c r="K829" i="3"/>
  <c r="J829" i="3"/>
  <c r="I829" i="3"/>
  <c r="H829" i="3"/>
  <c r="B829" i="3" s="1"/>
  <c r="G829" i="3"/>
  <c r="F829" i="3"/>
  <c r="E829" i="3"/>
  <c r="D829" i="3"/>
  <c r="T828" i="3"/>
  <c r="S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T827" i="3"/>
  <c r="S827" i="3"/>
  <c r="R827" i="3"/>
  <c r="Q827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T826" i="3"/>
  <c r="S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T825" i="3"/>
  <c r="S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T824" i="3"/>
  <c r="S824" i="3"/>
  <c r="R824" i="3"/>
  <c r="Q824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T823" i="3"/>
  <c r="S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T821" i="3"/>
  <c r="S821" i="3"/>
  <c r="R821" i="3"/>
  <c r="Q821" i="3"/>
  <c r="P821" i="3"/>
  <c r="O821" i="3"/>
  <c r="N821" i="3"/>
  <c r="M821" i="3"/>
  <c r="L821" i="3"/>
  <c r="K821" i="3"/>
  <c r="J821" i="3"/>
  <c r="I821" i="3"/>
  <c r="H821" i="3"/>
  <c r="B821" i="3" s="1"/>
  <c r="G821" i="3"/>
  <c r="F821" i="3"/>
  <c r="E821" i="3"/>
  <c r="D821" i="3"/>
  <c r="T820" i="3"/>
  <c r="S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T819" i="3"/>
  <c r="S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T816" i="3"/>
  <c r="S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T815" i="3"/>
  <c r="S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B814" i="3" s="1"/>
  <c r="G814" i="3"/>
  <c r="F814" i="3"/>
  <c r="E814" i="3"/>
  <c r="D814" i="3"/>
  <c r="T813" i="3"/>
  <c r="S813" i="3"/>
  <c r="R813" i="3"/>
  <c r="Q813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T812" i="3"/>
  <c r="S812" i="3"/>
  <c r="R812" i="3"/>
  <c r="Q812" i="3"/>
  <c r="P812" i="3"/>
  <c r="O812" i="3"/>
  <c r="N812" i="3"/>
  <c r="M812" i="3"/>
  <c r="L812" i="3"/>
  <c r="K812" i="3"/>
  <c r="J812" i="3"/>
  <c r="I812" i="3"/>
  <c r="H812" i="3"/>
  <c r="B812" i="3" s="1"/>
  <c r="G812" i="3"/>
  <c r="F812" i="3"/>
  <c r="E812" i="3"/>
  <c r="D812" i="3"/>
  <c r="T811" i="3"/>
  <c r="S811" i="3"/>
  <c r="R811" i="3"/>
  <c r="Q811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T809" i="3"/>
  <c r="S809" i="3"/>
  <c r="R809" i="3"/>
  <c r="Q809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T808" i="3"/>
  <c r="S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T807" i="3"/>
  <c r="S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T805" i="3"/>
  <c r="S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T804" i="3"/>
  <c r="S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T803" i="3"/>
  <c r="S803" i="3"/>
  <c r="R803" i="3"/>
  <c r="Q803" i="3"/>
  <c r="P803" i="3"/>
  <c r="O803" i="3"/>
  <c r="N803" i="3"/>
  <c r="M803" i="3"/>
  <c r="L803" i="3"/>
  <c r="K803" i="3"/>
  <c r="J803" i="3"/>
  <c r="I803" i="3"/>
  <c r="H803" i="3"/>
  <c r="B803" i="3" s="1"/>
  <c r="G803" i="3"/>
  <c r="F803" i="3"/>
  <c r="E803" i="3"/>
  <c r="D803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B802" i="3" s="1"/>
  <c r="G802" i="3"/>
  <c r="F802" i="3"/>
  <c r="E802" i="3"/>
  <c r="D802" i="3"/>
  <c r="T801" i="3"/>
  <c r="S801" i="3"/>
  <c r="R801" i="3"/>
  <c r="Q801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T799" i="3"/>
  <c r="S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B798" i="3" s="1"/>
  <c r="G798" i="3"/>
  <c r="F798" i="3"/>
  <c r="E798" i="3"/>
  <c r="D798" i="3"/>
  <c r="T797" i="3"/>
  <c r="S797" i="3"/>
  <c r="R797" i="3"/>
  <c r="Q797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T796" i="3"/>
  <c r="S796" i="3"/>
  <c r="R796" i="3"/>
  <c r="Q796" i="3"/>
  <c r="P796" i="3"/>
  <c r="O796" i="3"/>
  <c r="N796" i="3"/>
  <c r="M796" i="3"/>
  <c r="L796" i="3"/>
  <c r="K796" i="3"/>
  <c r="J796" i="3"/>
  <c r="I796" i="3"/>
  <c r="H796" i="3"/>
  <c r="B796" i="3" s="1"/>
  <c r="G796" i="3"/>
  <c r="F796" i="3"/>
  <c r="E796" i="3"/>
  <c r="D796" i="3"/>
  <c r="T795" i="3"/>
  <c r="S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B794" i="3" s="1"/>
  <c r="G794" i="3"/>
  <c r="F794" i="3"/>
  <c r="E794" i="3"/>
  <c r="D794" i="3"/>
  <c r="T793" i="3"/>
  <c r="S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T792" i="3"/>
  <c r="S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T791" i="3"/>
  <c r="S791" i="3"/>
  <c r="R791" i="3"/>
  <c r="Q791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T789" i="3"/>
  <c r="S789" i="3"/>
  <c r="R789" i="3"/>
  <c r="Q789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T787" i="3"/>
  <c r="S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B786" i="3" s="1"/>
  <c r="G786" i="3"/>
  <c r="F786" i="3"/>
  <c r="E786" i="3"/>
  <c r="D786" i="3"/>
  <c r="T785" i="3"/>
  <c r="S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T784" i="3"/>
  <c r="S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T783" i="3"/>
  <c r="S783" i="3"/>
  <c r="R783" i="3"/>
  <c r="Q783" i="3"/>
  <c r="P783" i="3"/>
  <c r="O783" i="3"/>
  <c r="N783" i="3"/>
  <c r="M783" i="3"/>
  <c r="L783" i="3"/>
  <c r="K783" i="3"/>
  <c r="J783" i="3"/>
  <c r="I783" i="3"/>
  <c r="H783" i="3"/>
  <c r="B783" i="3" s="1"/>
  <c r="G783" i="3"/>
  <c r="F783" i="3"/>
  <c r="E783" i="3"/>
  <c r="D783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B782" i="3" s="1"/>
  <c r="G782" i="3"/>
  <c r="F782" i="3"/>
  <c r="E782" i="3"/>
  <c r="D782" i="3"/>
  <c r="T781" i="3"/>
  <c r="S781" i="3"/>
  <c r="R781" i="3"/>
  <c r="Q781" i="3"/>
  <c r="P781" i="3"/>
  <c r="O781" i="3"/>
  <c r="N781" i="3"/>
  <c r="M781" i="3"/>
  <c r="L781" i="3"/>
  <c r="K781" i="3"/>
  <c r="J781" i="3"/>
  <c r="I781" i="3"/>
  <c r="H781" i="3"/>
  <c r="B781" i="3" s="1"/>
  <c r="G781" i="3"/>
  <c r="F781" i="3"/>
  <c r="E781" i="3"/>
  <c r="D781" i="3"/>
  <c r="T780" i="3"/>
  <c r="S780" i="3"/>
  <c r="R780" i="3"/>
  <c r="Q780" i="3"/>
  <c r="P780" i="3"/>
  <c r="O780" i="3"/>
  <c r="N780" i="3"/>
  <c r="M780" i="3"/>
  <c r="L780" i="3"/>
  <c r="K780" i="3"/>
  <c r="J780" i="3"/>
  <c r="I780" i="3"/>
  <c r="H780" i="3"/>
  <c r="B780" i="3" s="1"/>
  <c r="G780" i="3"/>
  <c r="F780" i="3"/>
  <c r="E780" i="3"/>
  <c r="D780" i="3"/>
  <c r="T779" i="3"/>
  <c r="S779" i="3"/>
  <c r="R779" i="3"/>
  <c r="Q779" i="3"/>
  <c r="P779" i="3"/>
  <c r="O779" i="3"/>
  <c r="N779" i="3"/>
  <c r="M779" i="3"/>
  <c r="L779" i="3"/>
  <c r="K779" i="3"/>
  <c r="J779" i="3"/>
  <c r="I779" i="3"/>
  <c r="H779" i="3"/>
  <c r="B779" i="3" s="1"/>
  <c r="G779" i="3"/>
  <c r="F779" i="3"/>
  <c r="E779" i="3"/>
  <c r="D779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B778" i="3" s="1"/>
  <c r="G778" i="3"/>
  <c r="F778" i="3"/>
  <c r="E778" i="3"/>
  <c r="D778" i="3"/>
  <c r="T777" i="3"/>
  <c r="S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T776" i="3"/>
  <c r="S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T775" i="3"/>
  <c r="S775" i="3"/>
  <c r="R775" i="3"/>
  <c r="Q775" i="3"/>
  <c r="P775" i="3"/>
  <c r="O775" i="3"/>
  <c r="N775" i="3"/>
  <c r="M775" i="3"/>
  <c r="L775" i="3"/>
  <c r="K775" i="3"/>
  <c r="J775" i="3"/>
  <c r="I775" i="3"/>
  <c r="H775" i="3"/>
  <c r="B775" i="3" s="1"/>
  <c r="G775" i="3"/>
  <c r="F775" i="3"/>
  <c r="E775" i="3"/>
  <c r="D775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T772" i="3"/>
  <c r="S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T771" i="3"/>
  <c r="S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B770" i="3" s="1"/>
  <c r="G770" i="3"/>
  <c r="F770" i="3"/>
  <c r="E770" i="3"/>
  <c r="D770" i="3"/>
  <c r="T769" i="3"/>
  <c r="S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T768" i="3"/>
  <c r="S768" i="3"/>
  <c r="R768" i="3"/>
  <c r="Q768" i="3"/>
  <c r="P768" i="3"/>
  <c r="O768" i="3"/>
  <c r="N768" i="3"/>
  <c r="M768" i="3"/>
  <c r="L768" i="3"/>
  <c r="K768" i="3"/>
  <c r="J768" i="3"/>
  <c r="I768" i="3"/>
  <c r="H768" i="3"/>
  <c r="B768" i="3" s="1"/>
  <c r="G768" i="3"/>
  <c r="F768" i="3"/>
  <c r="E768" i="3"/>
  <c r="D768" i="3"/>
  <c r="T767" i="3"/>
  <c r="S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T765" i="3"/>
  <c r="S765" i="3"/>
  <c r="R765" i="3"/>
  <c r="Q765" i="3"/>
  <c r="P765" i="3"/>
  <c r="O765" i="3"/>
  <c r="N765" i="3"/>
  <c r="M765" i="3"/>
  <c r="L765" i="3"/>
  <c r="K765" i="3"/>
  <c r="J765" i="3"/>
  <c r="I765" i="3"/>
  <c r="H765" i="3"/>
  <c r="B765" i="3" s="1"/>
  <c r="G765" i="3"/>
  <c r="F765" i="3"/>
  <c r="E765" i="3"/>
  <c r="D765" i="3"/>
  <c r="T764" i="3"/>
  <c r="S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T763" i="3"/>
  <c r="S763" i="3"/>
  <c r="R763" i="3"/>
  <c r="Q763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T761" i="3"/>
  <c r="S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T760" i="3"/>
  <c r="S760" i="3"/>
  <c r="R760" i="3"/>
  <c r="Q760" i="3"/>
  <c r="P760" i="3"/>
  <c r="O760" i="3"/>
  <c r="N760" i="3"/>
  <c r="M760" i="3"/>
  <c r="L760" i="3"/>
  <c r="K760" i="3"/>
  <c r="J760" i="3"/>
  <c r="I760" i="3"/>
  <c r="H760" i="3"/>
  <c r="B760" i="3" s="1"/>
  <c r="G760" i="3"/>
  <c r="F760" i="3"/>
  <c r="E760" i="3"/>
  <c r="D760" i="3"/>
  <c r="T759" i="3"/>
  <c r="S759" i="3"/>
  <c r="R759" i="3"/>
  <c r="Q759" i="3"/>
  <c r="P759" i="3"/>
  <c r="O759" i="3"/>
  <c r="N759" i="3"/>
  <c r="M759" i="3"/>
  <c r="L759" i="3"/>
  <c r="K759" i="3"/>
  <c r="J759" i="3"/>
  <c r="I759" i="3"/>
  <c r="H759" i="3"/>
  <c r="B759" i="3" s="1"/>
  <c r="G759" i="3"/>
  <c r="F759" i="3"/>
  <c r="E759" i="3"/>
  <c r="D759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B758" i="3" s="1"/>
  <c r="G758" i="3"/>
  <c r="F758" i="3"/>
  <c r="E758" i="3"/>
  <c r="D758" i="3"/>
  <c r="T757" i="3"/>
  <c r="S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T756" i="3"/>
  <c r="S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T755" i="3"/>
  <c r="S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T752" i="3"/>
  <c r="S752" i="3"/>
  <c r="R752" i="3"/>
  <c r="Q752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T751" i="3"/>
  <c r="S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T749" i="3"/>
  <c r="S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T748" i="3"/>
  <c r="S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T747" i="3"/>
  <c r="S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H745" i="3"/>
  <c r="B745" i="3" s="1"/>
  <c r="G745" i="3"/>
  <c r="F745" i="3"/>
  <c r="E745" i="3"/>
  <c r="D745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B743" i="3" s="1"/>
  <c r="G743" i="3"/>
  <c r="F743" i="3"/>
  <c r="E743" i="3"/>
  <c r="D743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B732" i="3" s="1"/>
  <c r="G732" i="3"/>
  <c r="F732" i="3"/>
  <c r="E732" i="3"/>
  <c r="D732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B721" i="3" s="1"/>
  <c r="G721" i="3"/>
  <c r="F721" i="3"/>
  <c r="E721" i="3"/>
  <c r="D721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B703" i="3" s="1"/>
  <c r="G703" i="3"/>
  <c r="F703" i="3"/>
  <c r="E703" i="3"/>
  <c r="D703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B701" i="3" s="1"/>
  <c r="G701" i="3"/>
  <c r="F701" i="3"/>
  <c r="E701" i="3"/>
  <c r="D701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B696" i="3" s="1"/>
  <c r="G696" i="3"/>
  <c r="F696" i="3"/>
  <c r="E696" i="3"/>
  <c r="D696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B684" i="3" s="1"/>
  <c r="G684" i="3"/>
  <c r="F684" i="3"/>
  <c r="E684" i="3"/>
  <c r="D684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B678" i="3" s="1"/>
  <c r="G678" i="3"/>
  <c r="F678" i="3"/>
  <c r="E678" i="3"/>
  <c r="D678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B673" i="3" s="1"/>
  <c r="G673" i="3"/>
  <c r="F673" i="3"/>
  <c r="E673" i="3"/>
  <c r="D673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B666" i="3" s="1"/>
  <c r="G666" i="3"/>
  <c r="F666" i="3"/>
  <c r="E666" i="3"/>
  <c r="D666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B647" i="3" s="1"/>
  <c r="G647" i="3"/>
  <c r="F647" i="3"/>
  <c r="E647" i="3"/>
  <c r="D647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B642" i="3" s="1"/>
  <c r="G642" i="3"/>
  <c r="F642" i="3"/>
  <c r="E642" i="3"/>
  <c r="D642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B641" i="3" s="1"/>
  <c r="G641" i="3"/>
  <c r="F641" i="3"/>
  <c r="E641" i="3"/>
  <c r="D641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B638" i="3" s="1"/>
  <c r="G638" i="3"/>
  <c r="F638" i="3"/>
  <c r="E638" i="3"/>
  <c r="D638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B637" i="3" s="1"/>
  <c r="G637" i="3"/>
  <c r="F637" i="3"/>
  <c r="E637" i="3"/>
  <c r="D637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B636" i="3" s="1"/>
  <c r="G636" i="3"/>
  <c r="F636" i="3"/>
  <c r="E636" i="3"/>
  <c r="D636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B635" i="3" s="1"/>
  <c r="G635" i="3"/>
  <c r="F635" i="3"/>
  <c r="E635" i="3"/>
  <c r="D635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B633" i="3" s="1"/>
  <c r="G633" i="3"/>
  <c r="F633" i="3"/>
  <c r="E633" i="3"/>
  <c r="D633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B631" i="3" s="1"/>
  <c r="G631" i="3"/>
  <c r="F631" i="3"/>
  <c r="E631" i="3"/>
  <c r="D631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B630" i="3" s="1"/>
  <c r="G630" i="3"/>
  <c r="F630" i="3"/>
  <c r="E630" i="3"/>
  <c r="D630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T625" i="3"/>
  <c r="S625" i="3"/>
  <c r="R625" i="3"/>
  <c r="Q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B622" i="3" s="1"/>
  <c r="G622" i="3"/>
  <c r="F622" i="3"/>
  <c r="E622" i="3"/>
  <c r="D622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B610" i="3" s="1"/>
  <c r="G610" i="3"/>
  <c r="F610" i="3"/>
  <c r="E610" i="3"/>
  <c r="D610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B592" i="3" s="1"/>
  <c r="G592" i="3"/>
  <c r="F592" i="3"/>
  <c r="E592" i="3"/>
  <c r="D592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B591" i="3" s="1"/>
  <c r="G591" i="3"/>
  <c r="F591" i="3"/>
  <c r="E591" i="3"/>
  <c r="D591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B581" i="3" s="1"/>
  <c r="G581" i="3"/>
  <c r="F581" i="3"/>
  <c r="E581" i="3"/>
  <c r="D581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B579" i="3" s="1"/>
  <c r="G579" i="3"/>
  <c r="F579" i="3"/>
  <c r="E579" i="3"/>
  <c r="D579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B576" i="3" s="1"/>
  <c r="G576" i="3"/>
  <c r="F576" i="3"/>
  <c r="E576" i="3"/>
  <c r="D576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B575" i="3" s="1"/>
  <c r="G575" i="3"/>
  <c r="F575" i="3"/>
  <c r="E575" i="3"/>
  <c r="D575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B564" i="3" s="1"/>
  <c r="G564" i="3"/>
  <c r="F564" i="3"/>
  <c r="E564" i="3"/>
  <c r="D564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T551" i="3"/>
  <c r="S551" i="3"/>
  <c r="R551" i="3"/>
  <c r="Q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 s="1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 s="1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 s="1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B533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 s="1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 s="1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B530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B529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 s="1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 s="1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 s="1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 s="1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 s="1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 s="1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 s="1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 s="1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 s="1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 s="1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 s="1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 s="1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 s="1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 s="1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 s="1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 s="1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 s="1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 s="1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 s="1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 s="1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 s="1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 s="1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 s="1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 s="1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 s="1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 s="1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 s="1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 s="1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 s="1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 s="1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 s="1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 s="1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 s="1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 s="1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 s="1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B493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 s="1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 s="1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 s="1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 s="1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 s="1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 s="1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 s="1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 s="1"/>
  <c r="T484" i="3"/>
  <c r="S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 s="1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 s="1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 s="1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 s="1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 s="1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B479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 s="1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B477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 s="1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 s="1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 s="1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 s="1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 s="1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 s="1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 s="1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 s="1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 s="1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 s="1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B466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 s="1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 s="1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B463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 s="1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 s="1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 s="1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 s="1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 s="1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 s="1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 s="1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 s="1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 s="1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 s="1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 s="1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 s="1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 s="1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 s="1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 s="1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 s="1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 s="1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 s="1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B444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 s="1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 s="1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B441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B440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 s="1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 s="1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 s="1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 s="1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 s="1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 s="1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 s="1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 s="1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B431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 s="1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 s="1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 s="1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 s="1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 s="1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 s="1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 s="1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 s="1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 s="1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 s="1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B420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B419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 s="1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 s="1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 s="1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 s="1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 s="1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 s="1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 s="1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 s="1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 s="1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 s="1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 s="1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B407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 s="1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 s="1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 s="1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 s="1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B402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 s="1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 s="1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B399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 s="1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 s="1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 s="1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 s="1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 s="1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 s="1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 s="1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B391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 s="1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 s="1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 s="1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B387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 s="1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 s="1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B384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 s="1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 s="1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 s="1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 s="1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 s="1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 s="1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B377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 s="1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 s="1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 s="1"/>
  <c r="T373" i="3"/>
  <c r="S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 s="1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 s="1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 s="1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 s="1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 s="1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 s="1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 s="1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 s="1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 s="1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 s="1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 s="1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 s="1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 s="1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 s="1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 s="1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 s="1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 s="1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 s="1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 s="1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 s="1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B353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 s="1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 s="1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 s="1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 s="1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 s="1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 s="1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 s="1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 s="1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B344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 s="1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B342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 s="1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 s="1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 s="1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B338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 s="1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 s="1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 s="1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 s="1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B333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B332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 s="1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B330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B329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 s="1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 s="1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 s="1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 s="1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 s="1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 s="1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 s="1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 s="1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B320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 s="1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 s="1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 s="1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 s="1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 s="1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 s="1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 s="1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 s="1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 s="1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 s="1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 s="1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 s="1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 s="1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 s="1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 s="1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 s="1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 s="1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 s="1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 s="1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 s="1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 s="1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B298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 s="1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 s="1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 s="1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 s="1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 s="1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B292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 s="1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 s="1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 s="1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 s="1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 s="1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 s="1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 s="1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B284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 s="1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 s="1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 s="1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 s="1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 s="1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 s="1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 s="1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 s="1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 s="1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B274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 s="1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 s="1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 s="1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 s="1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 s="1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 s="1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 s="1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 s="1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 s="1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 s="1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 s="1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 s="1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 s="1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 s="1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 s="1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 s="1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 s="1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 s="1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 s="1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 s="1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 s="1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 s="1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 s="1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 s="1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 s="1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 s="1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 s="1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 s="1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 s="1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 s="1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B243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 s="1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 s="1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 s="1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 s="1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 s="1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 s="1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 s="1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 s="1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 s="1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 s="1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 s="1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 s="1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 s="1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 s="1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 s="1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 s="1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 s="1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 s="1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B224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 s="1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 s="1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 s="1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 s="1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 s="1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 s="1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 s="1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 s="1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 s="1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 s="1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 s="1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 s="1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 s="1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 s="1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 s="1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 s="1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 s="1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 s="1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 s="1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 s="1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 s="1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 s="1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 s="1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 s="1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 s="1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 s="1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 s="1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B196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 s="1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 s="1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3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 s="1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 s="1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 s="1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 s="1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 s="1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 s="1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 s="1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 s="1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 s="1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 s="1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 s="1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 s="1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 s="1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B179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 s="1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 s="1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 s="1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 s="1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 s="1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 s="1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 s="1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 s="1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 s="1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 s="1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 s="1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 s="1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 s="1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 s="1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 s="1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 s="1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 s="1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 s="1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 s="1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 s="1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 s="1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 s="1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 s="1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 s="1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 s="1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 s="1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 s="1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 s="1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 s="1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 s="1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 s="1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 s="1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 s="1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 s="1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 s="1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 s="1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 s="1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 s="1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 s="1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 s="1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 s="1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 s="1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 s="1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 s="1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 s="1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 s="1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 s="1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 s="1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 s="1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 s="1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 s="1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 s="1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 s="1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 s="1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 s="1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 s="1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 s="1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 s="1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 s="1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 s="1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 s="1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 s="1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 s="1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 s="1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 s="1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 s="1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 s="1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 s="1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 s="1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 s="1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 s="1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 s="1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 s="1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 s="1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 s="1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 s="1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 s="1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 s="1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 s="1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 s="1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 s="1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 s="1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 s="1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 s="1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 s="1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 s="1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 s="1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 s="1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 s="1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 s="1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 s="1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 s="1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 s="1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 s="1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 s="1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 s="1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 s="1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 s="1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 s="1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 s="1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 s="1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 s="1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 s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 s="1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 s="1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 s="1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 s="1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 s="1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 s="1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 s="1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 s="1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 s="1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 s="1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 s="1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60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 s="1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 s="1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 s="1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 s="1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 s="1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 s="1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 s="1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 s="1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 s="1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 s="1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 s="1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 s="1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 s="1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 s="1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 s="1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 s="1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 s="1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 s="1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 s="1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 s="1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 s="1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 s="1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 s="1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 s="1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 s="1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 s="1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 s="1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 s="1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 s="1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 s="1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 s="1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 s="1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 s="1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25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 s="1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 s="1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 s="1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 s="1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 s="1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 s="1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 s="1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 s="1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 s="1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 s="1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 s="1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 s="1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 s="1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 s="1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 s="1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 s="1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8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 s="1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 s="1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 s="1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 s="1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 s="1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 s="1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545" i="3" l="1"/>
  <c r="B580" i="3"/>
  <c r="B656" i="3"/>
  <c r="B664" i="3"/>
  <c r="B677" i="3"/>
  <c r="B623" i="3"/>
  <c r="B790" i="3"/>
  <c r="B893" i="3"/>
  <c r="B894" i="3"/>
  <c r="B714" i="3"/>
  <c r="B870" i="3"/>
  <c r="B883" i="3"/>
  <c r="B598" i="3"/>
  <c r="B628" i="3"/>
  <c r="B838" i="3"/>
  <c r="B887" i="3"/>
  <c r="B667" i="3"/>
  <c r="B688" i="3"/>
  <c r="B692" i="3"/>
  <c r="B799" i="3"/>
  <c r="B877" i="3"/>
  <c r="B573" i="3"/>
  <c r="B542" i="3"/>
  <c r="B555" i="3"/>
  <c r="B559" i="3"/>
  <c r="B615" i="3"/>
  <c r="B634" i="3"/>
  <c r="B772" i="3"/>
  <c r="B810" i="3"/>
  <c r="B815" i="3"/>
  <c r="B819" i="3"/>
  <c r="B860" i="3"/>
  <c r="B869" i="3"/>
  <c r="B905" i="3"/>
  <c r="B624" i="3"/>
  <c r="B862" i="3"/>
  <c r="B871" i="3"/>
  <c r="B885" i="3"/>
  <c r="B890" i="3"/>
  <c r="B620" i="3"/>
  <c r="B588" i="3"/>
  <c r="B597" i="3"/>
  <c r="B601" i="3"/>
  <c r="B627" i="3"/>
  <c r="B704" i="3"/>
  <c r="B716" i="3"/>
  <c r="B739" i="3"/>
  <c r="B771" i="3"/>
  <c r="B731" i="3"/>
  <c r="B762" i="3"/>
  <c r="B608" i="3"/>
  <c r="B625" i="3"/>
  <c r="B769" i="3"/>
  <c r="B766" i="3"/>
  <c r="B540" i="3"/>
  <c r="B582" i="3"/>
  <c r="B646" i="3"/>
  <c r="B661" i="3"/>
  <c r="B717" i="3"/>
  <c r="B728" i="3"/>
  <c r="B734" i="3"/>
  <c r="B558" i="3"/>
  <c r="B574" i="3"/>
  <c r="B607" i="3"/>
  <c r="B725" i="3"/>
  <c r="B776" i="3"/>
  <c r="B791" i="3"/>
  <c r="B848" i="3"/>
  <c r="B556" i="3"/>
  <c r="B568" i="3"/>
  <c r="B572" i="3"/>
  <c r="B577" i="3"/>
  <c r="B584" i="3"/>
  <c r="B715" i="3"/>
  <c r="B761" i="3"/>
  <c r="B876" i="3"/>
  <c r="B560" i="3"/>
  <c r="B614" i="3"/>
  <c r="B616" i="3"/>
  <c r="B645" i="3"/>
  <c r="B649" i="3"/>
  <c r="B726" i="3"/>
  <c r="B784" i="3"/>
  <c r="B842" i="3"/>
  <c r="B849" i="3"/>
  <c r="B866" i="3"/>
  <c r="B868" i="3"/>
  <c r="B602" i="3"/>
  <c r="B679" i="3"/>
  <c r="B683" i="3"/>
  <c r="B807" i="3"/>
  <c r="B816" i="3"/>
  <c r="B831" i="3"/>
  <c r="B841" i="3"/>
  <c r="B864" i="3"/>
  <c r="B583" i="3"/>
  <c r="B587" i="3"/>
  <c r="B599" i="3"/>
  <c r="B720" i="3"/>
  <c r="B727" i="3"/>
  <c r="B729" i="3"/>
  <c r="B749" i="3"/>
  <c r="B753" i="3"/>
  <c r="B699" i="3"/>
  <c r="B702" i="3"/>
  <c r="B548" i="3"/>
  <c r="B553" i="3"/>
  <c r="B612" i="3"/>
  <c r="B690" i="3"/>
  <c r="B547" i="3"/>
  <c r="B600" i="3"/>
  <c r="B665" i="3"/>
  <c r="B674" i="3"/>
  <c r="B705" i="3"/>
  <c r="B709" i="3"/>
  <c r="B787" i="3"/>
  <c r="B850" i="3"/>
  <c r="B606" i="3"/>
  <c r="B648" i="3"/>
  <c r="B691" i="3"/>
  <c r="B695" i="3"/>
  <c r="B738" i="3"/>
  <c r="B740" i="3"/>
  <c r="B754" i="3"/>
  <c r="B811" i="3"/>
  <c r="B837" i="3"/>
  <c r="B847" i="3"/>
  <c r="B785" i="3"/>
  <c r="B793" i="3"/>
  <c r="B825" i="3"/>
  <c r="B832" i="3"/>
  <c r="B541" i="3"/>
  <c r="B557" i="3"/>
  <c r="B565" i="3"/>
  <c r="B632" i="3"/>
  <c r="B708" i="3"/>
  <c r="B792" i="3"/>
  <c r="B804" i="3"/>
  <c r="B808" i="3"/>
  <c r="B817" i="3"/>
  <c r="B824" i="3"/>
  <c r="B861" i="3"/>
  <c r="B595" i="3"/>
  <c r="B605" i="3"/>
  <c r="B643" i="3"/>
  <c r="B724" i="3"/>
  <c r="B813" i="3"/>
  <c r="B846" i="3"/>
  <c r="B858" i="3"/>
  <c r="B878" i="3"/>
  <c r="B888" i="3"/>
  <c r="B898" i="3"/>
  <c r="B899" i="3"/>
  <c r="B901" i="3"/>
  <c r="B902" i="3"/>
  <c r="B549" i="3"/>
  <c r="B554" i="3"/>
  <c r="B687" i="3"/>
  <c r="B774" i="3"/>
  <c r="B596" i="3"/>
  <c r="B655" i="3"/>
  <c r="B676" i="3"/>
  <c r="B571" i="3"/>
  <c r="B578" i="3"/>
  <c r="B621" i="3"/>
  <c r="B668" i="3"/>
  <c r="B672" i="3"/>
  <c r="B539" i="3"/>
  <c r="B563" i="3"/>
  <c r="B585" i="3"/>
  <c r="B639" i="3"/>
  <c r="B651" i="3"/>
  <c r="B681" i="3"/>
  <c r="B685" i="3"/>
  <c r="B698" i="3"/>
  <c r="B700" i="3"/>
  <c r="B706" i="3"/>
  <c r="B730" i="3"/>
  <c r="B757" i="3"/>
  <c r="B795" i="3"/>
  <c r="B797" i="3"/>
  <c r="B801" i="3"/>
  <c r="B827" i="3"/>
  <c r="B840" i="3"/>
  <c r="B851" i="3"/>
  <c r="B855" i="3"/>
  <c r="B859" i="3"/>
  <c r="B880" i="3"/>
  <c r="B882" i="3"/>
  <c r="B891" i="3"/>
  <c r="B618" i="3"/>
  <c r="B629" i="3"/>
  <c r="B650" i="3"/>
  <c r="B654" i="3"/>
  <c r="B657" i="3"/>
  <c r="B680" i="3"/>
  <c r="B735" i="3"/>
  <c r="B742" i="3"/>
  <c r="B773" i="3"/>
  <c r="B777" i="3"/>
  <c r="B822" i="3"/>
  <c r="B826" i="3"/>
  <c r="B834" i="3"/>
  <c r="B845" i="3"/>
  <c r="B857" i="3"/>
  <c r="B892" i="3"/>
  <c r="B567" i="3"/>
  <c r="B589" i="3"/>
  <c r="B617" i="3"/>
  <c r="B751" i="3"/>
  <c r="B833" i="3"/>
  <c r="B844" i="3"/>
  <c r="B853" i="3"/>
  <c r="B875" i="3"/>
  <c r="B889" i="3"/>
  <c r="B746" i="3"/>
  <c r="B750" i="3"/>
  <c r="B852" i="3"/>
  <c r="B538" i="3"/>
  <c r="B551" i="3"/>
  <c r="B552" i="3"/>
  <c r="B609" i="3"/>
  <c r="B644" i="3"/>
  <c r="B670" i="3"/>
  <c r="B689" i="3"/>
  <c r="B733" i="3"/>
  <c r="B744" i="3"/>
  <c r="B748" i="3"/>
  <c r="B752" i="3"/>
  <c r="B788" i="3"/>
  <c r="B800" i="3"/>
  <c r="B839" i="3"/>
  <c r="B854" i="3"/>
  <c r="B550" i="3"/>
  <c r="B561" i="3"/>
  <c r="B566" i="3"/>
  <c r="B570" i="3"/>
  <c r="B626" i="3"/>
  <c r="B640" i="3"/>
  <c r="B663" i="3"/>
  <c r="B675" i="3"/>
  <c r="B682" i="3"/>
  <c r="B686" i="3"/>
  <c r="B713" i="3"/>
  <c r="B723" i="3"/>
  <c r="B805" i="3"/>
  <c r="B809" i="3"/>
  <c r="B820" i="3"/>
  <c r="B828" i="3"/>
  <c r="B865" i="3"/>
  <c r="B872" i="3"/>
  <c r="B881" i="3"/>
  <c r="B895" i="3"/>
  <c r="B903" i="3"/>
  <c r="B904" i="3"/>
  <c r="B737" i="3"/>
  <c r="B652" i="3"/>
  <c r="B659" i="3"/>
  <c r="B763" i="3"/>
  <c r="Z2" i="6"/>
  <c r="AM2" i="6"/>
  <c r="B537" i="3"/>
  <c r="B546" i="3"/>
  <c r="B562" i="3"/>
  <c r="B569" i="3"/>
  <c r="B590" i="3"/>
  <c r="B653" i="3"/>
  <c r="B712" i="3"/>
  <c r="B718" i="3"/>
  <c r="B722" i="3"/>
  <c r="B741" i="3"/>
  <c r="B756" i="3"/>
  <c r="B767" i="3"/>
  <c r="I28" i="6"/>
  <c r="H28" i="6"/>
  <c r="B593" i="3"/>
  <c r="B671" i="3"/>
  <c r="B710" i="3"/>
  <c r="B836" i="3"/>
  <c r="B594" i="3"/>
  <c r="B613" i="3"/>
  <c r="B662" i="3"/>
  <c r="B693" i="3"/>
  <c r="B697" i="3"/>
  <c r="B884" i="3"/>
  <c r="Z16" i="6"/>
  <c r="AM16" i="6"/>
  <c r="B543" i="3"/>
  <c r="B603" i="3"/>
  <c r="B755" i="3"/>
  <c r="B660" i="3"/>
  <c r="B669" i="3"/>
  <c r="B711" i="3"/>
  <c r="B736" i="3"/>
  <c r="B874" i="3"/>
  <c r="B544" i="3"/>
  <c r="B586" i="3"/>
  <c r="B604" i="3"/>
  <c r="B619" i="3"/>
  <c r="B694" i="3"/>
  <c r="B707" i="3"/>
  <c r="B747" i="3"/>
  <c r="B823" i="3"/>
  <c r="B835" i="3"/>
  <c r="B900" i="3"/>
  <c r="B611" i="3"/>
  <c r="B658" i="3"/>
  <c r="B719" i="3"/>
  <c r="B764" i="3"/>
  <c r="B789" i="3"/>
  <c r="B806" i="3"/>
  <c r="B818" i="3"/>
</calcChain>
</file>

<file path=xl/sharedStrings.xml><?xml version="1.0" encoding="utf-8"?>
<sst xmlns="http://schemas.openxmlformats.org/spreadsheetml/2006/main" count="16579" uniqueCount="2741">
  <si>
    <t>Nombre</t>
  </si>
  <si>
    <t>Maika Blázquez (Madrid)</t>
  </si>
  <si>
    <t>A</t>
  </si>
  <si>
    <t>Ramon Ferrando(Valencia)</t>
  </si>
  <si>
    <t>B</t>
  </si>
  <si>
    <t>Lisandro Russian (Madrid,Cáceres, Toledo, Talavera y Logroño)</t>
  </si>
  <si>
    <t>Adolfo Carlos Hinojar Gutierrez</t>
  </si>
  <si>
    <t>Iván Sánchez (Levante y Albacete)</t>
  </si>
  <si>
    <t>Mercè Cabrera (Cataluña y Baleares)</t>
  </si>
  <si>
    <t>Ainhoa Moreno Bravo</t>
  </si>
  <si>
    <t>Alejandra Jara Maquilón</t>
  </si>
  <si>
    <t>Alicia Suárez Calvo</t>
  </si>
  <si>
    <t>Ana Gabriela Jover Espla</t>
  </si>
  <si>
    <t>Luis Alberto Rodríguez (Andalucía y Badajoz)</t>
  </si>
  <si>
    <t>C</t>
  </si>
  <si>
    <t>Antonio Rodríguez Rivero</t>
  </si>
  <si>
    <t>Belén Clemente Cuartero</t>
  </si>
  <si>
    <t>Concepcion Rodríguez Izquierdo</t>
  </si>
  <si>
    <t>Desirée Méndez Brenderbache</t>
  </si>
  <si>
    <t>MBM18</t>
  </si>
  <si>
    <t>Esteban Scola Pliego</t>
  </si>
  <si>
    <t>MBM114</t>
  </si>
  <si>
    <t>Esther García López</t>
  </si>
  <si>
    <t>Itziar Álvarez Palacios</t>
  </si>
  <si>
    <t>Javier Gavilanes Plasencia</t>
  </si>
  <si>
    <t>Joaquín Alacio Casero</t>
  </si>
  <si>
    <t>LAA27</t>
  </si>
  <si>
    <t>José María Hernández Hernández</t>
  </si>
  <si>
    <t>Julio López Moya</t>
  </si>
  <si>
    <t>Karla Natali Montaño Rueda</t>
  </si>
  <si>
    <t>ISL119</t>
  </si>
  <si>
    <t>María José Lesmas Navarro</t>
  </si>
  <si>
    <t>María Rey Marcos</t>
  </si>
  <si>
    <t>Martín Eduardo Marcano Acuña</t>
  </si>
  <si>
    <t>MBM164</t>
  </si>
  <si>
    <t>Paloma Martín- Aragón Martín</t>
  </si>
  <si>
    <t>Paula Martínez-Ruiz De Apocada</t>
  </si>
  <si>
    <t>ISL75</t>
  </si>
  <si>
    <t>Pedro Masegosa Zapata</t>
  </si>
  <si>
    <t>MCC31</t>
  </si>
  <si>
    <t>Raimon García Chillerón</t>
  </si>
  <si>
    <t>LAA72</t>
  </si>
  <si>
    <t>Vicente Mira Escartí</t>
  </si>
  <si>
    <t>Lisandro Russian (Madrid, Cáceres, Toledo, Talavera Y Logroño)</t>
  </si>
  <si>
    <t>Lisandro Russian (Madrid, Cáceres, Toledo, Talavera y Logroño)</t>
  </si>
  <si>
    <t xml:space="preserve">ACTUALIZACIÓN A  </t>
  </si>
  <si>
    <t>código visitador</t>
  </si>
  <si>
    <t>ACTUALIZADO A</t>
  </si>
  <si>
    <t>NOMBRE VISITADOR</t>
  </si>
  <si>
    <t>MES</t>
  </si>
  <si>
    <t>SUCURSAL</t>
  </si>
  <si>
    <t>NOMBRE ORL/CAMPAÑA</t>
  </si>
  <si>
    <t>CLIENTE</t>
  </si>
  <si>
    <t>PR</t>
  </si>
  <si>
    <t>Visitador</t>
  </si>
  <si>
    <t>mes</t>
  </si>
  <si>
    <t>CÓD</t>
  </si>
  <si>
    <t>N Factura</t>
  </si>
  <si>
    <t>FECHA</t>
  </si>
  <si>
    <t>Centro</t>
  </si>
  <si>
    <t>ORL</t>
  </si>
  <si>
    <t>DNI/CIF</t>
  </si>
  <si>
    <t>Dirección</t>
  </si>
  <si>
    <t>Número de Cuenta</t>
  </si>
  <si>
    <t>Importe Factura</t>
  </si>
  <si>
    <t>MONEDERO</t>
  </si>
  <si>
    <t>Paciente 1</t>
  </si>
  <si>
    <t>Paciente 2</t>
  </si>
  <si>
    <t>Paciente 3</t>
  </si>
  <si>
    <t>Paciente 4</t>
  </si>
  <si>
    <t>Paciente 5</t>
  </si>
  <si>
    <t>Paciente 6</t>
  </si>
  <si>
    <t>Paciente 7</t>
  </si>
  <si>
    <t>Paciente 8</t>
  </si>
  <si>
    <t>Paciente 9</t>
  </si>
  <si>
    <t>Paciente 10</t>
  </si>
  <si>
    <t>Paciente 11</t>
  </si>
  <si>
    <t>Codigo pac 1</t>
  </si>
  <si>
    <t>Codigo pac 2</t>
  </si>
  <si>
    <t>Codigo pac 3</t>
  </si>
  <si>
    <t>Codigo pac 4</t>
  </si>
  <si>
    <t>Codigo pac 5</t>
  </si>
  <si>
    <t>Codigo pac 6</t>
  </si>
  <si>
    <t>Codigo pac 7</t>
  </si>
  <si>
    <t>Codigo pac 8</t>
  </si>
  <si>
    <t>Codigo pac 9</t>
  </si>
  <si>
    <t>Codigo pac 10</t>
  </si>
  <si>
    <t>Codigo pac 11</t>
  </si>
  <si>
    <t>Codigo pac 12</t>
  </si>
  <si>
    <t>SALDO</t>
  </si>
  <si>
    <t>AA</t>
  </si>
  <si>
    <t>ISL91/202601</t>
  </si>
  <si>
    <t>Albacete</t>
  </si>
  <si>
    <t>48738329-H</t>
  </si>
  <si>
    <t>C/ San Carlos, 13, 2ºC. Murcia Murcia 30003</t>
  </si>
  <si>
    <t>ES32 0182 0159 1802 0159 0822</t>
  </si>
  <si>
    <t>JOSE JUAN AROCA PEREZ 2</t>
  </si>
  <si>
    <t>ISL91/202602</t>
  </si>
  <si>
    <t>Murcia</t>
  </si>
  <si>
    <t>JESUS MORENO LOPEZ 2</t>
  </si>
  <si>
    <t>RAMON  ANDREU ANDREU 2</t>
  </si>
  <si>
    <t>ISL136/202601</t>
  </si>
  <si>
    <t>Orihuela</t>
  </si>
  <si>
    <t>Oreana Carolina Camacaro González</t>
  </si>
  <si>
    <t>Z1176020-N</t>
  </si>
  <si>
    <t>Av Alegría Elche 3194</t>
  </si>
  <si>
    <t>ES85 0182 5334 9102 0244 2847</t>
  </si>
  <si>
    <t>CHRISTOPHER HUGH IBBETSON 2</t>
  </si>
  <si>
    <t>MBM11/202601</t>
  </si>
  <si>
    <t>Getafe</t>
  </si>
  <si>
    <t>50423783D</t>
  </si>
  <si>
    <t>Calle Antonio Toledano 17 Madrid 28028</t>
  </si>
  <si>
    <t>ES57 1465 0170 1617 1665 5224</t>
  </si>
  <si>
    <t>PILAR GIMENEZ HERNANDEZ 1</t>
  </si>
  <si>
    <t>MBM186/202601</t>
  </si>
  <si>
    <t>Torrejón de Ardoz</t>
  </si>
  <si>
    <t>Ana Marta Abad Pascual</t>
  </si>
  <si>
    <t>02621409F</t>
  </si>
  <si>
    <t>C/ Blas Cabrera,1-13 Boadilla del Monte 28660 Madrid</t>
  </si>
  <si>
    <t>ES03 2100 6171 6913 0055 3458</t>
  </si>
  <si>
    <t>FELICIDAD MORENA GONZALEZ 2</t>
  </si>
  <si>
    <t>MBM109/202601</t>
  </si>
  <si>
    <t>Leganés</t>
  </si>
  <si>
    <t>08016820D</t>
  </si>
  <si>
    <t>Calle Eduardo Haro Tecglen 9, 3C Madrid 28055 Madrid</t>
  </si>
  <si>
    <t>ES30 0049 1995 3226 1000 8664</t>
  </si>
  <si>
    <t>ALMUDENA ARROGANTE AHIJADO 1</t>
  </si>
  <si>
    <t>Kiko Ortega (Galicia)</t>
  </si>
  <si>
    <t>RPG51/202601</t>
  </si>
  <si>
    <t>Ourense</t>
  </si>
  <si>
    <t>34984373Q</t>
  </si>
  <si>
    <t>C/ Hernan Cortés, 49 bajo, Orense 32005</t>
  </si>
  <si>
    <t>ES78 1465 0100 9117 0725 4110</t>
  </si>
  <si>
    <t>MARCELINO QUINTAS SUAREZ 1</t>
  </si>
  <si>
    <t xml:space="preserve">
VICENTE RODRIGUEZ BLANCO 1</t>
  </si>
  <si>
    <t>C2025519115544494</t>
  </si>
  <si>
    <t>Mercé Cabrera</t>
  </si>
  <si>
    <t>MCC75/202601</t>
  </si>
  <si>
    <t>Barcelona- Córcega</t>
  </si>
  <si>
    <t>Camilo Rodríguez van Strahle</t>
  </si>
  <si>
    <t>60193846V</t>
  </si>
  <si>
    <t>C/ Villarroel 164. 4-1 Barcelona 08036</t>
  </si>
  <si>
    <t>ES63 1583 0001 1490 7361 6983</t>
  </si>
  <si>
    <t>JOSEFINA  MILANES LOPEZ 1</t>
  </si>
  <si>
    <t>MCC75/202602</t>
  </si>
  <si>
    <t>Hospitalet de Llobregat</t>
  </si>
  <si>
    <t>JOSE COSTAL 2</t>
  </si>
  <si>
    <t>MARIA ELENA BLESA 2</t>
  </si>
  <si>
    <t>Ramón Ferrando</t>
  </si>
  <si>
    <t>RFV33/202601</t>
  </si>
  <si>
    <t>Valencia- Cádiz</t>
  </si>
  <si>
    <t>72758187X</t>
  </si>
  <si>
    <t>Avda. José Roca Coll 1, bloque B, 7ºC Valencia 46014</t>
  </si>
  <si>
    <t>ES54 0186 5001 6605 1022 5542</t>
  </si>
  <si>
    <t>PILAR TORTAJADA BELTRAN 2</t>
  </si>
  <si>
    <t>MARIA DEL CARMEN VILLANUEVA PEREZ 2</t>
  </si>
  <si>
    <t>MND 1</t>
  </si>
  <si>
    <t>MBM128/202601</t>
  </si>
  <si>
    <t>Madrid- Juan Bravo</t>
  </si>
  <si>
    <t>03542635Z</t>
  </si>
  <si>
    <t>Calle de Santa Virgilia, 7 Madrid 28033</t>
  </si>
  <si>
    <t>ES48 0081 5229 7400 0134 6243</t>
  </si>
  <si>
    <t>JUAN CARLOS DEL VALLE AGUSTIN 2</t>
  </si>
  <si>
    <t>MBM114/202601</t>
  </si>
  <si>
    <t>Madrid- Monforte de Lemos</t>
  </si>
  <si>
    <t>Esther Garcia López</t>
  </si>
  <si>
    <t>47281242G</t>
  </si>
  <si>
    <t>Modesto Lafuente 56 3 centro derecha madrid madrid 28003</t>
  </si>
  <si>
    <t>ES55 0073 0100 5608 5784 6807</t>
  </si>
  <si>
    <t>MARIA ISABEL GONZALEZ GONZALEZ 2</t>
  </si>
  <si>
    <t>MBM03/202601</t>
  </si>
  <si>
    <t>Alejandro Harguindey Antolí-Candela</t>
  </si>
  <si>
    <t>05204071 E </t>
  </si>
  <si>
    <t>C/Norte 35, Urb. Sto.Domingo  Algete Madrid 28120</t>
  </si>
  <si>
    <t>ES40 0049 6038 1725 1612 1753</t>
  </si>
  <si>
    <t>MARGARITA CABALLERO CALVO 1</t>
  </si>
  <si>
    <t>MBM186/202602</t>
  </si>
  <si>
    <t>CARMEN GONZALEZ RODRIGUEZ-CARRETERO 2</t>
  </si>
  <si>
    <t>ISL91/202603</t>
  </si>
  <si>
    <t>CARLOS ENRIQUE POZUELO SOLER 2</t>
  </si>
  <si>
    <t>ISL122/202601</t>
  </si>
  <si>
    <t>HONESTITAS SALUD, SLP</t>
  </si>
  <si>
    <t>B72501026</t>
  </si>
  <si>
    <t>Calle Baldomero Ferrer 1 Murcia Murcia 30009</t>
  </si>
  <si>
    <t>ES78 0049 7187 7121 1002 4017</t>
  </si>
  <si>
    <t>JUAN ANTONIO PUIG TRULLEN 2</t>
  </si>
  <si>
    <t>JULIA LOPEZ LOPEZ 2</t>
  </si>
  <si>
    <t>ISL122/202602</t>
  </si>
  <si>
    <t>HANS PETER DECKER 2</t>
  </si>
  <si>
    <t>ISL122/202603</t>
  </si>
  <si>
    <t>San Javier</t>
  </si>
  <si>
    <t>GARETH JOHN PETER SOCKETT 2</t>
  </si>
  <si>
    <t>RPG51/202602</t>
  </si>
  <si>
    <t>DOLORES FERNANDEZ SUAREZ 1</t>
  </si>
  <si>
    <t>FRANCISCO JAVIER REGUEIRO CACHEIRO 2</t>
  </si>
  <si>
    <t>ISL75/202601</t>
  </si>
  <si>
    <t>05693024H</t>
  </si>
  <si>
    <t>C/Zumaque, 4 Albacete 2008 Albacete</t>
  </si>
  <si>
    <t>ES88 0049 5548 3129 9503 4673</t>
  </si>
  <si>
    <t>ANTONIO GABALDON CANTERO 1</t>
  </si>
  <si>
    <t>LRM125/202601</t>
  </si>
  <si>
    <t>Talavera</t>
  </si>
  <si>
    <t>28969286G</t>
  </si>
  <si>
    <t>Calle Medruelo Número 1 TRUJILLO 10290</t>
  </si>
  <si>
    <t>ES65 2103 7686 9400 3000 5071</t>
  </si>
  <si>
    <t>CAROLINA CORONADO ROPERO 2</t>
  </si>
  <si>
    <t>RFV22/202601</t>
  </si>
  <si>
    <t>23916664E</t>
  </si>
  <si>
    <t>Avenida cortes valencianas 28, 11A Valencia 46015</t>
  </si>
  <si>
    <t>ES72 0182 6081 2502 0157 3601</t>
  </si>
  <si>
    <t>FRANCISCO JESÚS DE FRÍAS LUJÁN 1</t>
  </si>
  <si>
    <t>CARMEN LORENTE MUÑOZ 2</t>
  </si>
  <si>
    <t>ISL119/202601</t>
  </si>
  <si>
    <t>Valencia- Parra</t>
  </si>
  <si>
    <t>33474586H</t>
  </si>
  <si>
    <t>Calle Bilbao, 40 46009 Valencia Valencia</t>
  </si>
  <si>
    <t>ES87 0186 0091 2305 0825 7560</t>
  </si>
  <si>
    <t>MONTSERRAT  ORIOL GIMENEZ 2</t>
  </si>
  <si>
    <t>Antonio Rodriguez Rivero</t>
  </si>
  <si>
    <t>JESUS CARLOS BRIZ PINDAO 2</t>
  </si>
  <si>
    <t>MGE-78,MGE-280,MGE-257,MGE-259,MGE-92,MGE-37,MGE-248,C202492618534356,C20241017112117100,MGE-61</t>
  </si>
  <si>
    <t>MGE-280</t>
  </si>
  <si>
    <t>MGE-257</t>
  </si>
  <si>
    <t>MGE-259</t>
  </si>
  <si>
    <t>MGE-92</t>
  </si>
  <si>
    <t>MGE-37</t>
  </si>
  <si>
    <t>MGE-248</t>
  </si>
  <si>
    <t>C202492618534356</t>
  </si>
  <si>
    <t>C20241017112117100</t>
  </si>
  <si>
    <t>MGE-61</t>
  </si>
  <si>
    <t>MBM186/202603</t>
  </si>
  <si>
    <t>MARIA ISABEL BURGOS GUERRERO 1</t>
  </si>
  <si>
    <t>LAA72/202601</t>
  </si>
  <si>
    <t>Jerez de la Frontera</t>
  </si>
  <si>
    <t>31245309Q</t>
  </si>
  <si>
    <t>C/ VIRGEN DE LA ESTRELLA Nº 1 3A JEREZ DE LA FRONTERA CÁDIZ 11405</t>
  </si>
  <si>
    <t>ES64 0049 4563 3226 1002 5443</t>
  </si>
  <si>
    <t>FRANCISCO JAVIER FERNANDEZ ORTEGA 1</t>
  </si>
  <si>
    <t>LAA77/202601</t>
  </si>
  <si>
    <t>Sevilla- Montoto</t>
  </si>
  <si>
    <t>48904508 E</t>
  </si>
  <si>
    <t>Calle Brasil n°12 2 a Sevilla 41013 Sevilla</t>
  </si>
  <si>
    <t>ES63 0128 0705 1201 0004 9801</t>
  </si>
  <si>
    <t>MARIA PAULA ROSALES SALAMANCA 2</t>
  </si>
  <si>
    <t>ISL122/202604</t>
  </si>
  <si>
    <t>MARIA  RUIZ JIMENEZ 1</t>
  </si>
  <si>
    <t>FRANCISCO MARTINEZ MADRID 2</t>
  </si>
  <si>
    <t>JOSE ALMAGRO MARMOL 1</t>
  </si>
  <si>
    <t>MANUEL FERNANDEZ GALLEGO 2</t>
  </si>
  <si>
    <t>RFV24/202601</t>
  </si>
  <si>
    <t>53606685X</t>
  </si>
  <si>
    <t>Carrer d'Azcàrraga 37, 1era València 46008 Valencia</t>
  </si>
  <si>
    <t>ES04 0182 4383 9002 0163 7140</t>
  </si>
  <si>
    <t>RAUL SORIA PINEL 2</t>
  </si>
  <si>
    <t>RFV15/202601</t>
  </si>
  <si>
    <t>Jean Franco Intrapendente Martini</t>
  </si>
  <si>
    <t>Y2299471Z</t>
  </si>
  <si>
    <t>C/ Vicente Chuliá Campos 1. B 6 C, Valencia 46026 Valencia</t>
  </si>
  <si>
    <t>SE07 9780 0000 0978 3836 0058</t>
  </si>
  <si>
    <t>IDALINA MUNNO 1</t>
  </si>
  <si>
    <t>ANTONIA HERNANDEZ GUERRERO 2</t>
  </si>
  <si>
    <t>GRACIELA CERON CORTAZAR 1</t>
  </si>
  <si>
    <t>C202541112259462</t>
  </si>
  <si>
    <t>MBM03/202602</t>
  </si>
  <si>
    <t>PILAR SANCHO HERNANDEZ 1</t>
  </si>
  <si>
    <t>LAA27/202601</t>
  </si>
  <si>
    <t>30249172D</t>
  </si>
  <si>
    <t>C/ Milano perlado nº 34 Sevilla 41020</t>
  </si>
  <si>
    <t>ES65 2100 3916 9001 0006 0143</t>
  </si>
  <si>
    <t>CONCEPCION QUINTERO MORENO 2</t>
  </si>
  <si>
    <t>LAA27/202602</t>
  </si>
  <si>
    <t>Madrid- Costa Rica</t>
  </si>
  <si>
    <t>ANTONIO HUALDE MIGUEL 2</t>
  </si>
  <si>
    <t>LRM246/202601</t>
  </si>
  <si>
    <t>María del Rocío Lobato</t>
  </si>
  <si>
    <t>45106044P</t>
  </si>
  <si>
    <t>CALLE SOL, DEL 1 TALAVERA DE LA REINA 45600</t>
  </si>
  <si>
    <t>ES05 2100 4264 2322 0022 3885</t>
  </si>
  <si>
    <t>JULIA ROBLEDO MARTIN 2</t>
  </si>
  <si>
    <t>CENTRO</t>
  </si>
  <si>
    <t>CodORL</t>
  </si>
  <si>
    <t>nombre medico</t>
  </si>
  <si>
    <t>Cod Paciente</t>
  </si>
  <si>
    <t>n de audifonos</t>
  </si>
  <si>
    <t>pvp</t>
  </si>
  <si>
    <t>Maika</t>
  </si>
  <si>
    <t>Audioplan</t>
  </si>
  <si>
    <t>Esteban Scola</t>
  </si>
  <si>
    <t>Antonia Flores Arranz</t>
  </si>
  <si>
    <t>pte</t>
  </si>
  <si>
    <t>Dionisio Fernandez Suarez</t>
  </si>
  <si>
    <t>Alicia Arrieta Juarez</t>
  </si>
  <si>
    <t>Elena Leon Suarez</t>
  </si>
  <si>
    <t>Carmen Olmo</t>
  </si>
  <si>
    <t>Guillermo Sanjuan De La Moreta</t>
  </si>
  <si>
    <t>Jose Luis Sanchez Sanchez</t>
  </si>
  <si>
    <t>Alejandro Zuazua</t>
  </si>
  <si>
    <t>Francisco de la Fuente Fuertes</t>
  </si>
  <si>
    <t>Entregado a Alejandro</t>
  </si>
  <si>
    <t>Ferrocarril</t>
  </si>
  <si>
    <t>Esther Garcia</t>
  </si>
  <si>
    <t>Carlos Haro Haro</t>
  </si>
  <si>
    <t>entregado a ester</t>
  </si>
  <si>
    <t>Joaquin Alacio</t>
  </si>
  <si>
    <t>Maria Azucena Zazo Hernandez</t>
  </si>
  <si>
    <t>entregado a J A</t>
  </si>
  <si>
    <t>Mes</t>
  </si>
  <si>
    <t>Mercè Cabrera (Cataluña Y Baleares)</t>
  </si>
  <si>
    <t>Alcorcón</t>
  </si>
  <si>
    <t>Madrid- La Oca</t>
  </si>
  <si>
    <t>Barcelona- Fabra i Puig</t>
  </si>
  <si>
    <t>Fuenlabrada</t>
  </si>
  <si>
    <t>Sevilla- Ciencias</t>
  </si>
  <si>
    <t>Madrid- Moratalaz</t>
  </si>
  <si>
    <t>Móstoles</t>
  </si>
  <si>
    <t>Madrid- Canillas</t>
  </si>
  <si>
    <t xml:space="preserve"> </t>
  </si>
  <si>
    <t>Alicante</t>
  </si>
  <si>
    <t>Almería</t>
  </si>
  <si>
    <t>Toledo</t>
  </si>
  <si>
    <t>FERROCARRIL</t>
  </si>
  <si>
    <t xml:space="preserve">Alejandra Carrasco </t>
  </si>
  <si>
    <t>J V Martin Aldea</t>
  </si>
  <si>
    <t>Carmen Muñoz Chamorro</t>
  </si>
  <si>
    <t>Elisardo Dobarrio</t>
  </si>
  <si>
    <t>Fernando José Suarez</t>
  </si>
  <si>
    <t>Rosa Amador</t>
  </si>
  <si>
    <t>Antonio Fraile Azpieta</t>
  </si>
  <si>
    <t>Gloria Bernal</t>
  </si>
  <si>
    <t>Enrique Cabrero</t>
  </si>
  <si>
    <t>AUDIOPLAN</t>
  </si>
  <si>
    <t>M Albarranz</t>
  </si>
  <si>
    <t>F Moreno</t>
  </si>
  <si>
    <t>Iván Muerte</t>
  </si>
  <si>
    <t>P Prieto</t>
  </si>
  <si>
    <t>Daniela Pérez</t>
  </si>
  <si>
    <t>E Delgado</t>
  </si>
  <si>
    <t>Gema Gundin</t>
  </si>
  <si>
    <t>P Morales</t>
  </si>
  <si>
    <t>Mercè Cabrera (Cataluña)</t>
  </si>
  <si>
    <t>Sant Boi</t>
  </si>
  <si>
    <t>Guillermo Fernández</t>
  </si>
  <si>
    <t>Josep Soriano</t>
  </si>
  <si>
    <t>Candido Roca</t>
  </si>
  <si>
    <t>Andrea Sánchez</t>
  </si>
  <si>
    <t>María Carmen Benito</t>
  </si>
  <si>
    <t>PARLA</t>
  </si>
  <si>
    <t>Ramón Martinez Carranza</t>
  </si>
  <si>
    <t xml:space="preserve">Tomasa García Ruiz </t>
  </si>
  <si>
    <t>Jonathan Esteban</t>
  </si>
  <si>
    <t>Jose Luis Arcones</t>
  </si>
  <si>
    <t>Alejandra Carrasco</t>
  </si>
  <si>
    <t>Sagrario Oviedo Sánchez</t>
  </si>
  <si>
    <t>Concepcion Martin Gª</t>
  </si>
  <si>
    <t>Justo Martinez Garcia</t>
  </si>
  <si>
    <t>Cristina Povedano</t>
  </si>
  <si>
    <t>Jose Luis Mingote Calderón</t>
  </si>
  <si>
    <t>M Carmen Gómez Caliz</t>
  </si>
  <si>
    <t>José Calvo Sánchez</t>
  </si>
  <si>
    <t>Rafael Vera</t>
  </si>
  <si>
    <t>Monserrat Pallares</t>
  </si>
  <si>
    <t>Isabel Granada</t>
  </si>
  <si>
    <t>Catalina Pulpillo</t>
  </si>
  <si>
    <t>Esther Montiel</t>
  </si>
  <si>
    <t>Cándido Barbosa Rodríguez</t>
  </si>
  <si>
    <t>Ramón Martínez Carranza.</t>
  </si>
  <si>
    <t>Paulina González González</t>
  </si>
  <si>
    <t>Purificación Hermoso Ortega</t>
  </si>
  <si>
    <t>Angeles Ruiz</t>
  </si>
  <si>
    <t>Alejandro Zazua</t>
  </si>
  <si>
    <t>Concepcion Sanchez Garcia</t>
  </si>
  <si>
    <t>Julia Gimenez</t>
  </si>
  <si>
    <t>Aurora Baena</t>
  </si>
  <si>
    <t>Teresa Salazar Rincón</t>
  </si>
  <si>
    <t>MANUEL NAVARRO</t>
  </si>
  <si>
    <t>Klaus Recher</t>
  </si>
  <si>
    <t>CONCEPCIÓN VIBALDA</t>
  </si>
  <si>
    <t>MERCEDES CASPE</t>
  </si>
  <si>
    <t>JOSE ANTONIO RODRIGUEZ</t>
  </si>
  <si>
    <t>PERE ESTIVILL</t>
  </si>
  <si>
    <t>Carlos Gonzalez Perez</t>
  </si>
  <si>
    <t>MBM193</t>
  </si>
  <si>
    <t>Rafael Escobar Manzano</t>
  </si>
  <si>
    <t>OLGA MALAGA</t>
  </si>
  <si>
    <t>MERCEDES SANTIAGO</t>
  </si>
  <si>
    <t>Guadalupe Coello</t>
  </si>
  <si>
    <t>Luis Caamaño Jimenez</t>
  </si>
  <si>
    <t>Manuel Gutierrez Trigueros</t>
  </si>
  <si>
    <t>Luis López jimenez</t>
  </si>
  <si>
    <t>Entregado</t>
  </si>
  <si>
    <t>Antonio Fernéndez Quesada</t>
  </si>
  <si>
    <t>Pasan a Tanzania</t>
  </si>
  <si>
    <t>Dinero por asignar</t>
  </si>
  <si>
    <t>Maria Carmen Caro</t>
  </si>
  <si>
    <t>Victoria Panadero Lanchas</t>
  </si>
  <si>
    <t>Pasa a su saldo</t>
  </si>
  <si>
    <t>Isabel Camarena Cano</t>
  </si>
  <si>
    <t>Falta recoger el informe</t>
  </si>
  <si>
    <t>Alvaro Carrillo</t>
  </si>
  <si>
    <t>Inmaculada Córdoba Ruiz de Gúzman</t>
  </si>
  <si>
    <t xml:space="preserve">Guillermo SanJuan </t>
  </si>
  <si>
    <t>Natividad Ordás</t>
  </si>
  <si>
    <t>Mar Martínez</t>
  </si>
  <si>
    <t>Enedina Marcos</t>
  </si>
  <si>
    <t xml:space="preserve">Teodoro Ríos </t>
  </si>
  <si>
    <t>Antonio Martínez</t>
  </si>
  <si>
    <t>Angelica León</t>
  </si>
  <si>
    <t>Emilio Pere López</t>
  </si>
  <si>
    <t>Patrick Kullen</t>
  </si>
  <si>
    <t>Teodora Monje</t>
  </si>
  <si>
    <t>Manuela Calderón</t>
  </si>
  <si>
    <t>Juan Miguel Fernández</t>
  </si>
  <si>
    <t xml:space="preserve">Esther Montiel </t>
  </si>
  <si>
    <t>Adela Rodriguez</t>
  </si>
  <si>
    <t>Almudena de Fuentes</t>
  </si>
  <si>
    <t>Ángles Sierra Ortega</t>
  </si>
  <si>
    <t>Alejandro Harguindey</t>
  </si>
  <si>
    <t>Cecilio de Pedro</t>
  </si>
  <si>
    <t>Casimiro Muñoz Fontan</t>
  </si>
  <si>
    <t>Maite Castro Nevado</t>
  </si>
  <si>
    <t>Gema Gundin Rivas</t>
  </si>
  <si>
    <t>Angeles Albertos Fernandez</t>
  </si>
  <si>
    <t>Francisca Burgos Garrido</t>
  </si>
  <si>
    <t>Gladis Margarita Quijada</t>
  </si>
  <si>
    <t>Valentin Prieto</t>
  </si>
  <si>
    <t>Pedro Antonio Mogollón Cruz</t>
  </si>
  <si>
    <t>Mes nombre</t>
  </si>
  <si>
    <t>FECHA DE ALTA</t>
  </si>
  <si>
    <t>RECOMPRAVACIÓN</t>
  </si>
  <si>
    <t>Captación</t>
  </si>
  <si>
    <t>Captación 2</t>
  </si>
  <si>
    <t>Orl</t>
  </si>
  <si>
    <t>PACIENTE</t>
  </si>
  <si>
    <t>Fecha Compra</t>
  </si>
  <si>
    <t>Diagnóstico</t>
  </si>
  <si>
    <t>Nº de Audífonos</t>
  </si>
  <si>
    <t>Detalle</t>
  </si>
  <si>
    <t>PVP</t>
  </si>
  <si>
    <t>ALTA</t>
  </si>
  <si>
    <t>ENERO</t>
  </si>
  <si>
    <t>COMPRA</t>
  </si>
  <si>
    <t>03 ORL</t>
  </si>
  <si>
    <t>06 ORL</t>
  </si>
  <si>
    <t>DR. ANTONIO RODRÍGUEZ RIVERO</t>
  </si>
  <si>
    <t>MAIKA BLÁZQUEZ (MADRID)</t>
  </si>
  <si>
    <t>ANTONIA RAMOS SORIANO</t>
  </si>
  <si>
    <t>CONFORT</t>
  </si>
  <si>
    <t>DRA. MARÍA GARROTE GARROTE</t>
  </si>
  <si>
    <t>JUANA GONZALEZ MARTIN</t>
  </si>
  <si>
    <t>QUIET</t>
  </si>
  <si>
    <t>01 MARKETING ON LINE</t>
  </si>
  <si>
    <t>04 AUDIFONO,ES</t>
  </si>
  <si>
    <t>DRA. ELVYLINS VARGAS YGLESIA</t>
  </si>
  <si>
    <t>ROCIO GARCIA ARANDA</t>
  </si>
  <si>
    <t>DR. JORGE BENITO JIMÉNEZ</t>
  </si>
  <si>
    <t>LUIS ALBERTO RODRÍGUEZ (ANDALUCÍA Y BADAJOZ)</t>
  </si>
  <si>
    <t>ANTONIO RAMOS JIMENEZ</t>
  </si>
  <si>
    <t>DRA. LUCIA PRIETO SÁNCHEZ DE LA PUERTA</t>
  </si>
  <si>
    <t>CARMEN PALACIO CASAUS</t>
  </si>
  <si>
    <t>ISIDORA POSADA DE LA FUENTE</t>
  </si>
  <si>
    <t>Alfaz del Pi</t>
  </si>
  <si>
    <t>DR. LINO ENGUIDANOS HERNANDORENA</t>
  </si>
  <si>
    <t>IVÁN SÁNCHEZ (LEVANTE Y ALBACETE)</t>
  </si>
  <si>
    <t>MANUEL RODRIGUEZ BUGALLO</t>
  </si>
  <si>
    <t>DR. FRANCISCO PASTOR BEVIÁ</t>
  </si>
  <si>
    <t>CARMEN OROVAY BARBER</t>
  </si>
  <si>
    <t>AVANCED</t>
  </si>
  <si>
    <t>DRA. ELISABETH AMARILLO ESPITIA</t>
  </si>
  <si>
    <t>MARIA DE LA GRANADA CAMPOS MARTIN</t>
  </si>
  <si>
    <t>NO REUERDA ORL</t>
  </si>
  <si>
    <t>MANUELA ALVAREZ FEITO</t>
  </si>
  <si>
    <t>Palencia</t>
  </si>
  <si>
    <t>DR. MANUEL ACUÑA GARCÍA</t>
  </si>
  <si>
    <t>PATRICIA SOLACHE (CASTILLA Y LEÓN)</t>
  </si>
  <si>
    <t>LUCIANA GARCIA BLANCO</t>
  </si>
  <si>
    <t>Ponferrada</t>
  </si>
  <si>
    <t>DRA. MÓNICA GRANDA ROSALES</t>
  </si>
  <si>
    <t>SANTIAGO GARCÍA DE LAMO (FINALIZÓ 1-01-24)</t>
  </si>
  <si>
    <t>MONTSERRAT RODRIGUEZ VAZQUEZ</t>
  </si>
  <si>
    <t>DR. JAIME SANABRIA BRASSART</t>
  </si>
  <si>
    <t>MARIA SOLEDAD LUENGO GONZALEZ</t>
  </si>
  <si>
    <t>DR. IGNACIO ALBALADEJO DEVIS</t>
  </si>
  <si>
    <t>JOSEFA LOPEZ LOPEZ</t>
  </si>
  <si>
    <t>DR. LUÍS MARTÍNEZ BERNABEU</t>
  </si>
  <si>
    <t>JOSE LUIS TORRES RUIZ</t>
  </si>
  <si>
    <t>Valladolid</t>
  </si>
  <si>
    <t>DRA. PATRICIA VIVEROS DIEZ</t>
  </si>
  <si>
    <t>BEATRIZ GOMEZ DE LA FUENTA</t>
  </si>
  <si>
    <t>DRA. VICTORIA GARCÍA PECES</t>
  </si>
  <si>
    <t>INDALECIO QUIROS NIETO</t>
  </si>
  <si>
    <t>ROSARIO SANABRIA QUINTANA</t>
  </si>
  <si>
    <t>DRA. ITHZEL MARIA VILLARREAL PATIÑO</t>
  </si>
  <si>
    <t>MELCHOR ALVAREZ ALVAREZ</t>
  </si>
  <si>
    <t>DRA. MARÍA SANTILLÁN SÁNCHEZ</t>
  </si>
  <si>
    <t>MILAGROS COGOLLUDO REMON</t>
  </si>
  <si>
    <t>DR. CÉSAR CHARLES MARTÍNEZ</t>
  </si>
  <si>
    <t>PRESENTACION GOMEZ LAVELA</t>
  </si>
  <si>
    <t>DR. OSCAR ALEMÁN LÓPEZ</t>
  </si>
  <si>
    <t>ANTONIO GARCIA DIAZ</t>
  </si>
  <si>
    <t>DRA. CRISTINA VADUVA</t>
  </si>
  <si>
    <t>PILAR SOBRINO SEGOVIA</t>
  </si>
  <si>
    <t>Logroño</t>
  </si>
  <si>
    <t>DR. FERNANDO SALAZAR BARCELONA</t>
  </si>
  <si>
    <t>MARCOS BURGOS ADAN</t>
  </si>
  <si>
    <t>DR. JULIO LÓPEZ MOYA</t>
  </si>
  <si>
    <t>RAMON EIROA CANALES</t>
  </si>
  <si>
    <t>Salamanca</t>
  </si>
  <si>
    <t>DR. MARÍA JESÚS CORNEJO DOMÍNGUEZ</t>
  </si>
  <si>
    <t>MARIA LUISA ROMERO PRIETO</t>
  </si>
  <si>
    <t>DR. MIGUEL ALBERTO RODRÍGUEZ PÉREZ</t>
  </si>
  <si>
    <t>IGNACIO MANUEL BAREA CABEZAS</t>
  </si>
  <si>
    <t>DRA. ANTONIA CARRANZA CALLEJA</t>
  </si>
  <si>
    <t>MARIA PILAR COCA MARTINEZ</t>
  </si>
  <si>
    <t>PRO</t>
  </si>
  <si>
    <t>Boiro</t>
  </si>
  <si>
    <t>DR. ERNESTO VARELA MARTÍNEZ</t>
  </si>
  <si>
    <t>ROBERTO PEREIRA (GALICIA)</t>
  </si>
  <si>
    <t>JOAQUIN ROMERO LORENZO</t>
  </si>
  <si>
    <t>SOCIAL</t>
  </si>
  <si>
    <t>DR. ANTONIO BUENO RÍOS</t>
  </si>
  <si>
    <t>MARIANO ECHEVARRIA CABALLERO</t>
  </si>
  <si>
    <t>DR. EMILIO SAURA SÁNCHEZ-PARRA</t>
  </si>
  <si>
    <t>JOSE SOLER SANCHEZ</t>
  </si>
  <si>
    <t>DR. HUGO LARA SÁNCHEZ</t>
  </si>
  <si>
    <t>ANTONIO JIMENEZ ARROYO</t>
  </si>
  <si>
    <t>Vigo</t>
  </si>
  <si>
    <t>DRA. PILAR CASTRO RUIZ</t>
  </si>
  <si>
    <t>PEDRO IGLESIAS CONDE</t>
  </si>
  <si>
    <t>DR. Alejandro Harguindey Antoli-Candela</t>
  </si>
  <si>
    <t>MARIA TERESA DEL POZO SOBRINO</t>
  </si>
  <si>
    <t>Terrassa</t>
  </si>
  <si>
    <t>DR. JOAQUIM BROTO SUMALLA</t>
  </si>
  <si>
    <t>ORIOL LLORENS (CATALUÑA Y BALEARES)</t>
  </si>
  <si>
    <t>RICARDO PEREZ ABELLA</t>
  </si>
  <si>
    <t>DRA. LORENA SANZ LÓPEZ</t>
  </si>
  <si>
    <t>SANTIAGO LLORENTE GONZALEZ</t>
  </si>
  <si>
    <t>DR. DARÍO AGUDELO GARCÍA</t>
  </si>
  <si>
    <t>MANEL PEIDRO VIDAL</t>
  </si>
  <si>
    <t>MARÍA AGUSTINA SEVILLA GARCÍA</t>
  </si>
  <si>
    <t>JOSE LUIS CABRERA PEREZ</t>
  </si>
  <si>
    <t>DR. LUIS FLORENCIO ALBA</t>
  </si>
  <si>
    <t>MANUEL DE LA FUENTE DIAZ</t>
  </si>
  <si>
    <t>DR. FRANCISCO ANTONIO PÉREZ FERNÁNDEZ</t>
  </si>
  <si>
    <t>RAFAELA QUIROS MARMOL</t>
  </si>
  <si>
    <t>DR. EDUARDO LEHRER CORIAT</t>
  </si>
  <si>
    <t>JAVIER TALISA</t>
  </si>
  <si>
    <t>Cáceres</t>
  </si>
  <si>
    <t>DR. RAED MAQUED EL MAQUED</t>
  </si>
  <si>
    <t>LISANDRO RUSSIAN (MADRID,CÁCERES, TOLEDO, TALAVERA Y LOGROÑO)</t>
  </si>
  <si>
    <t>NARCISO CORDERO DELGADO</t>
  </si>
  <si>
    <t>DRA. MARINA MADRIGAL REVUELTA</t>
  </si>
  <si>
    <t>JEZABEL GONZALEZ DIEZ</t>
  </si>
  <si>
    <t>RAUL GALLEGO PRIETO</t>
  </si>
  <si>
    <t>A Estrada</t>
  </si>
  <si>
    <t>DR. CARLOS VIDAL REDONDO</t>
  </si>
  <si>
    <t>JOSE SOUTO UZAL</t>
  </si>
  <si>
    <t>DR. ADOLFO TOLEDANO MUÑOZ</t>
  </si>
  <si>
    <t>MARIA ASUNCION SANCHEZ DE LA TORRE</t>
  </si>
  <si>
    <t>DR. VICENTE MARTÍNEZ SANTOS</t>
  </si>
  <si>
    <t>CARMEN VICENTE BADAS</t>
  </si>
  <si>
    <t>DR. JOSÉ GUSTAVO BARROSO BRAOJOS</t>
  </si>
  <si>
    <t>PALOMA GUERRERO GOMEZ</t>
  </si>
  <si>
    <t>FRANCISCO PEREZ DE CAMINO</t>
  </si>
  <si>
    <t>Madrid- Galileo</t>
  </si>
  <si>
    <t>DRA. MARÍA TERESA HERRERA MERA</t>
  </si>
  <si>
    <t>MARIA CRISTINA GARCIA COMAS</t>
  </si>
  <si>
    <t>JESUS PASCUAL OLIVA</t>
  </si>
  <si>
    <t>DRA. VANIA NOVOA JUIZ</t>
  </si>
  <si>
    <t>JOSE VICENTE VALERA</t>
  </si>
  <si>
    <t>MANUEL MARTINEZ ODERO</t>
  </si>
  <si>
    <t>RAMONA LOPEZ HERNANDEZ</t>
  </si>
  <si>
    <t>Zaragoza</t>
  </si>
  <si>
    <t>DR. JESÚS JOSÉ FRAILE RODRIGO</t>
  </si>
  <si>
    <t>LAURA GUTIERREZ LOPEZ</t>
  </si>
  <si>
    <t>DRA. ALICIA MATEO ESPINOSA</t>
  </si>
  <si>
    <t>BARTOLOME LARA CALERO</t>
  </si>
  <si>
    <t>NOEMI ESTRELLA BABASASA</t>
  </si>
  <si>
    <t>OTILIA MESURO FELIZ</t>
  </si>
  <si>
    <t>DANIEL ALPUENTE MILLANES</t>
  </si>
  <si>
    <t>DRA. PALOMA PINACHO MARTÍNEZ</t>
  </si>
  <si>
    <t>BARTOLOMEO FABIO MARRA</t>
  </si>
  <si>
    <t>JOSE ALBERTO LOPEZ MONTERO</t>
  </si>
  <si>
    <t>A Coruña</t>
  </si>
  <si>
    <t>7 ORL</t>
  </si>
  <si>
    <t>DRA. MERCEDES ÁLVAREZ-BUYLLA BLANCO</t>
  </si>
  <si>
    <t>MARIA DE LOS ANGELES MARIA CARRIL</t>
  </si>
  <si>
    <t>AO</t>
  </si>
  <si>
    <t>OMNIA HI,RU560-DRWC,RIE,CHMPN</t>
  </si>
  <si>
    <t>DR. GARCÍA DOMÍNGUEZ</t>
  </si>
  <si>
    <t>MERCEDES BLAZQUEZ RODILLA</t>
  </si>
  <si>
    <t>MARIA ANGELES ESPEJO SILVA</t>
  </si>
  <si>
    <t>DR. JESUS-MARIA GRASA PÉREZ</t>
  </si>
  <si>
    <t>MARIA SOLER PADILLA</t>
  </si>
  <si>
    <t>ANTONIO PORRES DIAZ</t>
  </si>
  <si>
    <t>DR. JESÚS MIGUEL INIESTA TURPÍN</t>
  </si>
  <si>
    <t>KAMILIA BOUFAIDA</t>
  </si>
  <si>
    <t>TOMAS LOPEZ GARCIA</t>
  </si>
  <si>
    <t>ESTEBAN MOLINA MARTINEZ</t>
  </si>
  <si>
    <t>ELISEA VELASCO HERREROS</t>
  </si>
  <si>
    <t>DR. JOSÉ MANUEL GARCÍA SOLANS-ESTERAS</t>
  </si>
  <si>
    <t>VICTORIANO CABRERA GONZALEZ</t>
  </si>
  <si>
    <t>Carballo</t>
  </si>
  <si>
    <t>DR. JOSÉ EUGENIO ESTRADA GROMAZ</t>
  </si>
  <si>
    <t>MAGDALENA FERREÑO MARTINEZ</t>
  </si>
  <si>
    <t>Lalín</t>
  </si>
  <si>
    <t>DR. EDUARDO CABANAS RODRÍGUEZ</t>
  </si>
  <si>
    <t>JOSE LUIS GUTIERREZ VICTOR</t>
  </si>
  <si>
    <t>DR. JAVIER GARCÍA DOMÍNGUEZ</t>
  </si>
  <si>
    <t>LUIS ALVAREZ MARTIN</t>
  </si>
  <si>
    <t>TERESA ERMOCIDA LONGO</t>
  </si>
  <si>
    <t>DR. FRANCISCO GARCÍA PURRIÑOS</t>
  </si>
  <si>
    <t>JUAN GARCIA PEREZ</t>
  </si>
  <si>
    <t>CRISTINA GERBOLES FREIXAS</t>
  </si>
  <si>
    <t>DR. GERARDO MONEDERO RODRIGO</t>
  </si>
  <si>
    <t>ANGEL VEGA RUBIO</t>
  </si>
  <si>
    <t>Mª JESUS ALARCON MENCHEN</t>
  </si>
  <si>
    <t>DR. Eviatar Friedlander</t>
  </si>
  <si>
    <t>ISABEL MARTIN GOMEZ</t>
  </si>
  <si>
    <t>Madrid- Monforte De Lemos</t>
  </si>
  <si>
    <t>DR. FERNANDO CRISTÓBAL</t>
  </si>
  <si>
    <t>MARIA VISITACION RIOJA SANCHEZ</t>
  </si>
  <si>
    <t>DRA. PAULA HERNÁNDEZ RUÍZ</t>
  </si>
  <si>
    <t>IRVIN DOAK</t>
  </si>
  <si>
    <t>DR. PEDRO BLANCO PÉREZ,</t>
  </si>
  <si>
    <t>GLORIA GARCIA MARCOS</t>
  </si>
  <si>
    <t>GASPAR FLAVIA NOTARIO</t>
  </si>
  <si>
    <t>CONCHA AYALA ALONSO</t>
  </si>
  <si>
    <t>JOSE MARTINEZ FAGOAGA</t>
  </si>
  <si>
    <t>DR. ENRIQUE MELCOM DIEZ</t>
  </si>
  <si>
    <t>ALBERTO CUESTA TARRIO</t>
  </si>
  <si>
    <t>DR. JUAN PABLO PELEGRÍN HERNÁNDEZ</t>
  </si>
  <si>
    <t>ENCARNACION MARTINEZ CONESA</t>
  </si>
  <si>
    <t>SHEILA MARGARET BROOKES</t>
  </si>
  <si>
    <t>DR. CARLOS MIGUEL SALVADOR MARTÍNEZ</t>
  </si>
  <si>
    <t>AGUSTIN DE LA HERA VILLEGAS</t>
  </si>
  <si>
    <t>DR. IGNACIO LLOPEZ CARRATALÁ</t>
  </si>
  <si>
    <t>RAMON FERRANDO(VALENCIA)</t>
  </si>
  <si>
    <t>FERNANDO CUERVO ARGUDIN</t>
  </si>
  <si>
    <t>DRA. ISABEL POLO TOMÁS</t>
  </si>
  <si>
    <t>JUAN CORTES Zaragoza</t>
  </si>
  <si>
    <t>DRA. Mª ISABEL CASTRO CANELADA</t>
  </si>
  <si>
    <t>RAUL FRESNEDA SANTILLANA</t>
  </si>
  <si>
    <t>ISABEL MARTIN JARDIN</t>
  </si>
  <si>
    <t>DRA. PALOMA MARTÍN- ARAGÓN MARTIÍ</t>
  </si>
  <si>
    <t>JOSE MIGUEL RUBIO ALVAREZ</t>
  </si>
  <si>
    <t>SANTIAGO FERNANDEZ SANCHEZ</t>
  </si>
  <si>
    <t>TEODORA LARGO BARBANCHO</t>
  </si>
  <si>
    <t>DRA. ROSARIO GARCIA MONESCILLO</t>
  </si>
  <si>
    <t>BRYAN LONDOÑO PEREZ</t>
  </si>
  <si>
    <t>DR. JESÚS RAMOS FERNÁNDEZ</t>
  </si>
  <si>
    <t>CONSTANZA GARCIA PEDROSO</t>
  </si>
  <si>
    <t>DR. JOAQUÍN ALACIO CASERO</t>
  </si>
  <si>
    <t>JOSEFINA PRADO ALCANTARA</t>
  </si>
  <si>
    <t>CONCEPCION BAYONA AYALA</t>
  </si>
  <si>
    <t>DR. IGNACIO PLA GIL</t>
  </si>
  <si>
    <t>JOSE GIL ALCAINA</t>
  </si>
  <si>
    <t>DR. FÉLIX RUÍZ DE LA CUESTA JUSTE</t>
  </si>
  <si>
    <t>MAXIMO FRENCH CAVALLI</t>
  </si>
  <si>
    <t>DR. DANIEL MORENO JIMENEZ</t>
  </si>
  <si>
    <t>JOSE GARROSA MARTIN</t>
  </si>
  <si>
    <t>DR. CARLOS BARAJAS DEL ROSAL</t>
  </si>
  <si>
    <t>KAPI</t>
  </si>
  <si>
    <t>AURELIO ROSALES NOGUERA</t>
  </si>
  <si>
    <t>MARIA RAMONA PERONA CEBRIAN</t>
  </si>
  <si>
    <t>DR. JUAN JAVIER ÁLVAREZ LÓPEZ</t>
  </si>
  <si>
    <t>MANUEL LOPEZ LOPEZ</t>
  </si>
  <si>
    <t>DR. ÁNGEL MUÑOZ HERRERA</t>
  </si>
  <si>
    <t>ASUNCION ALONSO FERNANDEZ</t>
  </si>
  <si>
    <t>VICTOR MONTERREAL BLAZQUEZ</t>
  </si>
  <si>
    <t>DRA. MONTSERRAT PORTELL SORIANO</t>
  </si>
  <si>
    <t>GUADALUPE PEREZ GOMEZ</t>
  </si>
  <si>
    <t>Lugo</t>
  </si>
  <si>
    <t>DR. PEDRO JUIZ LÓPEZ</t>
  </si>
  <si>
    <t>MARIA DOLORES CASTRO SANCHEZ</t>
  </si>
  <si>
    <t>MARIA GENOVEVA MOREIRA CARRO</t>
  </si>
  <si>
    <t>MARIA ARANTZAZU SANZ ERICE</t>
  </si>
  <si>
    <t>DRA. BÁRBARA CASTILLO ÁVILA</t>
  </si>
  <si>
    <t>MANUEL GARCIA CORDERO</t>
  </si>
  <si>
    <t>DRA. MARÍA REY MARCOS</t>
  </si>
  <si>
    <t>FRANCISCO CID QUIROGA</t>
  </si>
  <si>
    <t>MARIA JOSE PEREZ FERRER</t>
  </si>
  <si>
    <t>DRA. DIANA LISBETH</t>
  </si>
  <si>
    <t>GERMAN ALVAREZ VEGA</t>
  </si>
  <si>
    <t>DRA. PATRICIA EZCURRA HERNÁNDEZ</t>
  </si>
  <si>
    <t>SOLEDAD MAQUEDA GARCIA</t>
  </si>
  <si>
    <t>MARIA TERESA LOPEZ URIEL</t>
  </si>
  <si>
    <t>NURIA ROGEL RODRIGUEZ</t>
  </si>
  <si>
    <t>DR. JOSÉ ANTONIO DÍAZ MANZANO</t>
  </si>
  <si>
    <t>ANTONIO ZAMBUDIO BURILLO</t>
  </si>
  <si>
    <t>CATALINA ROMERO HUESCAR</t>
  </si>
  <si>
    <t>MARIA JOSEFA ALBERO JAEN</t>
  </si>
  <si>
    <t>MIGUEL ANGEL SANTOS RUIZ</t>
  </si>
  <si>
    <t>DR. MIGUEL MAYO YÁÑEZ</t>
  </si>
  <si>
    <t>JOSE MANUEL CAL VALE</t>
  </si>
  <si>
    <t>RS NEXIA NX560S-DRWC,BRNZ,RS NEXIA NX560S-DRWC,BRNZ</t>
  </si>
  <si>
    <t>FEBRERO</t>
  </si>
  <si>
    <t>MARIA REYES MUÑOZ RAMOS</t>
  </si>
  <si>
    <t>ESPERANZA CARRION PALOMO</t>
  </si>
  <si>
    <t>JOSE ANTONIO SANTOS CASTRO</t>
  </si>
  <si>
    <t>ROSA ALBALADEJO</t>
  </si>
  <si>
    <t>BARBARA BLANCO SUAREZ</t>
  </si>
  <si>
    <t>DR. JORGE PRADA PENDOLERO</t>
  </si>
  <si>
    <t>MARIA DEL CARMEN BLAZQUEZ SANCHEZ</t>
  </si>
  <si>
    <t>ANTONIO ELIAS BELTRAN RINCON</t>
  </si>
  <si>
    <t>DRA. SALWA LARAQUI HOSSINI</t>
  </si>
  <si>
    <t>ISABEL SANTANA PRADAS</t>
  </si>
  <si>
    <t>MARIA DOLORES IVORRA BROTONS</t>
  </si>
  <si>
    <t>Cuenca</t>
  </si>
  <si>
    <t>DR. RAFAEL MARTÍNEZ GARCERAN</t>
  </si>
  <si>
    <t>PEDRO JOSE MARTINEZ HERREROS</t>
  </si>
  <si>
    <t>VICTORIA MAVRU</t>
  </si>
  <si>
    <t>SANTIAGO RODRIGUEZ PRIETO</t>
  </si>
  <si>
    <t>DRA. CAYETANA LÓPEZ LADRÓN GARCÍA DE LA BORBOLLA</t>
  </si>
  <si>
    <t>ANGELA MARTINEZ MARIN</t>
  </si>
  <si>
    <t>DR. JOAQUÍN GUERRA GÓMEZ</t>
  </si>
  <si>
    <t>FIDEL CALVELO CANCELA</t>
  </si>
  <si>
    <t>DR. JOSE JOAQUÍN GUTIÉRREZ BARQUÍN</t>
  </si>
  <si>
    <t>LOTARIO ARROYO DE LAS HERAS</t>
  </si>
  <si>
    <t>MILAGROS GALLARDO CRUZ</t>
  </si>
  <si>
    <t>JOSE LUIS BURGO LOPEZ</t>
  </si>
  <si>
    <t>TEODORO VALBUENA CABEZUDO</t>
  </si>
  <si>
    <t>DR. JAVIER LAFARGA VÁZQUEZ</t>
  </si>
  <si>
    <t>MANUELA REBOLLO ESPINOSA</t>
  </si>
  <si>
    <t>DR. FRANCISCO J, REDONDO DEL BARCO</t>
  </si>
  <si>
    <t>MARIA DEL MAR GALLARDO DELGADO</t>
  </si>
  <si>
    <t>FLORENCIO MUÑOZ HERNANDEZ</t>
  </si>
  <si>
    <t>DRA. NATHALIE FAGES CÁRCELES</t>
  </si>
  <si>
    <t>PEDRO ROSELL BROCAL</t>
  </si>
  <si>
    <t>ANTONIO GARCIA MUÑOZ</t>
  </si>
  <si>
    <t>DR. GABRIEL ÁLVAREZ CURRO</t>
  </si>
  <si>
    <t>SOFIA LEON QUISPE</t>
  </si>
  <si>
    <t>CARMEN GARCIA LOPEZ</t>
  </si>
  <si>
    <t>CAROLINA VEGA TEJERO</t>
  </si>
  <si>
    <t>MARIANO LOPEZ LOSAÑEZ</t>
  </si>
  <si>
    <t>DRA. ITZIAR ÁLVAREZ PALACIOS</t>
  </si>
  <si>
    <t>PILAR RODRIGUEZ CHICHARRO</t>
  </si>
  <si>
    <t>DR. ESTEBAN SCOLA PLIEGO</t>
  </si>
  <si>
    <t>ENRIQUE GARCIAMOCHALES DEL OLMO</t>
  </si>
  <si>
    <t>JOSE CARAVACA ESPEJO</t>
  </si>
  <si>
    <t>DR. FIORELLA MARCINO MOREIRA</t>
  </si>
  <si>
    <t>DAVID ESCRIBANO ROS</t>
  </si>
  <si>
    <t>DRA. AINHOA MORENO BRAVO</t>
  </si>
  <si>
    <t>MIGUEL MORALEDA SOLANO</t>
  </si>
  <si>
    <t>DR. ANTONIO GUSTAVO LIROLA DELGADO</t>
  </si>
  <si>
    <t>DOLORES PEREIRA FERREIRO</t>
  </si>
  <si>
    <t>DR. LUIS MEGÍAS GÁMIZ</t>
  </si>
  <si>
    <t>ANGEL LUIS GARCIMARTIN GUSTIN</t>
  </si>
  <si>
    <t>JUAN SIMON GONZALO ARRIBA</t>
  </si>
  <si>
    <t>MARIA TRINIDAD MONZON REJON</t>
  </si>
  <si>
    <t>DR. ADOLFO CARLOS HINOJAR GUTIERREZ</t>
  </si>
  <si>
    <t>JUAN AVEZUELA CHAPINAL</t>
  </si>
  <si>
    <t>MERCEDES RAIMIL GONZALEZ</t>
  </si>
  <si>
    <t>ISABEL BERMEJO VELASCO</t>
  </si>
  <si>
    <t>DRA. MARÍA PÉREZ SEPÚLVEDA</t>
  </si>
  <si>
    <t>JOSE CARLOS REGO FERNANDEZ</t>
  </si>
  <si>
    <t>MARIA DEL MAR HERNANDEZ BELTRAN</t>
  </si>
  <si>
    <t>DR. JAVIER ALONSO ORTEGA</t>
  </si>
  <si>
    <t>JACINTO CENTENO DELGADO</t>
  </si>
  <si>
    <t>JUDITH NANSY HAANSTAD</t>
  </si>
  <si>
    <t>RAFAEL GARCIA BELCHI</t>
  </si>
  <si>
    <t>DR. JORGE ALFARO GARCÍA</t>
  </si>
  <si>
    <t>PILAR JUDEZ MUÑOZ</t>
  </si>
  <si>
    <t>JUAN ANTONIO SIRVENT SANTAMARIA</t>
  </si>
  <si>
    <t>MANUEL CRISTIANO ROMERO</t>
  </si>
  <si>
    <t>AURORA PERNAUTE ALVAREZ</t>
  </si>
  <si>
    <t>MARIA ANGELES GARCIA TORRES</t>
  </si>
  <si>
    <t>MANUEL MARTINEZ GUTIERREZ</t>
  </si>
  <si>
    <t>CARMEN MARTINEZ PUJANTE</t>
  </si>
  <si>
    <t>DR. Rafael Alfonso Hurtado Ruzza</t>
  </si>
  <si>
    <t>BERNARDINO RIVAS RIVAS</t>
  </si>
  <si>
    <t>DR. ANTONIO GANDÚL MERCHÁN</t>
  </si>
  <si>
    <t>ANGEL ARGENTA BRAOJOS</t>
  </si>
  <si>
    <t>DR. MIGUEL ANTONIO SHEPHERD GONZÁLEZ</t>
  </si>
  <si>
    <t>VIOLETA DEL CARMEN RUIZ DE MARTINEZ</t>
  </si>
  <si>
    <t>FELICIDAD MIGALLON MIGALLON</t>
  </si>
  <si>
    <t>DR. MANUEL GONZÁLEZ JULIAO</t>
  </si>
  <si>
    <t>CASILDA RODRIGUEZ PEREZ</t>
  </si>
  <si>
    <t>DRA. MARÍA GIL MELCÓN</t>
  </si>
  <si>
    <t>ANGEL ROSADO SANCHEZ</t>
  </si>
  <si>
    <t>DR. PEDRO SEGUÍ MOYA</t>
  </si>
  <si>
    <t>CORTES GARCIA MORENO</t>
  </si>
  <si>
    <t>DRA. MARTA SANDOVAL PUIG</t>
  </si>
  <si>
    <t>RENALDO ALBERTO VELAZQUEZ CHACON</t>
  </si>
  <si>
    <t>MAGDALENA PEÑA RODRIGUEZ</t>
  </si>
  <si>
    <t>EDELMIRA ANTON RODRIGUEZ</t>
  </si>
  <si>
    <t>DOLORES CARBALLEDO FERNANDEZ</t>
  </si>
  <si>
    <t>DR. LAURA YEGUAS RAMÍREZ</t>
  </si>
  <si>
    <t>MANUEL HERNANDEZ JODRA</t>
  </si>
  <si>
    <t>Oviedo</t>
  </si>
  <si>
    <t>DR. FEDERICO ARRUTIA DIEZ</t>
  </si>
  <si>
    <t>ANGELES MARTINEZ (OVIEDO Y GIJÓN)</t>
  </si>
  <si>
    <t>ANSELMO FUENTES FERNANDEZ</t>
  </si>
  <si>
    <t>ORLANDO DOS ANJOS LEITES ALVES</t>
  </si>
  <si>
    <t>JOSE MANUEL ALCAZAR MONFORT</t>
  </si>
  <si>
    <t>DR. EVIANS GÓMEZ DE LA ROSA</t>
  </si>
  <si>
    <t>CARMEN BALLESTE PANTIN</t>
  </si>
  <si>
    <t>JACINTO RODRIGUEZ CAMISON</t>
  </si>
  <si>
    <t>DRA. PAULA AVILES MAÑOSO</t>
  </si>
  <si>
    <t>CARMEN GUTIERREZ FERNANDEZ</t>
  </si>
  <si>
    <t>DR. JESÚS ATALAYA DÍAZ</t>
  </si>
  <si>
    <t>JESUS RODRIGUEZ LASTRA</t>
  </si>
  <si>
    <t>AVELINO AGUIRRE DURANA</t>
  </si>
  <si>
    <t>MARIA DEL OLMO COBEÑA</t>
  </si>
  <si>
    <t>MARIA DEL CARMEN MINGUILLON HERNANDEZ</t>
  </si>
  <si>
    <t>DRA. Mª FERNANDA ESCALA PEDREROS</t>
  </si>
  <si>
    <t>EDUARDO GARCIA GARCIMARTIN</t>
  </si>
  <si>
    <t>ALVARO RUIZ GARCIA</t>
  </si>
  <si>
    <t>DR. ANDRÉS BARRIOS RECIO</t>
  </si>
  <si>
    <t>MARIE CLAUDE JACQUEMIN</t>
  </si>
  <si>
    <t>DRA. Mª LUISA CALERO RAMOS</t>
  </si>
  <si>
    <t>JOSE ANTONIO PACHECO CAPA</t>
  </si>
  <si>
    <t>MAITE NORIEGA SANCHIS</t>
  </si>
  <si>
    <t>DRA. MARTA MORATO</t>
  </si>
  <si>
    <t>LUIS BALLESTEROS MENENDEZ</t>
  </si>
  <si>
    <t>DR. ISABEL VAAMONDE SANCHEZ ANDRADE</t>
  </si>
  <si>
    <t>JULIA RODRIGUEZ VAZQUEZ</t>
  </si>
  <si>
    <t>DRA. CONCEPCIÓN PESCADOR MESONERO</t>
  </si>
  <si>
    <t>BENITO FERNANDEZ ALONSO</t>
  </si>
  <si>
    <t>DR. FÉLIX RODRÍGUEZ PAZ</t>
  </si>
  <si>
    <t>MARIA CARMEN PRIMOLA MARTINEZ</t>
  </si>
  <si>
    <t>ANTONIA TORNEL MARTINEZ</t>
  </si>
  <si>
    <t>DR. JAVIER HERRERO AGUSTÍN</t>
  </si>
  <si>
    <t>ANTONIA PEREZ OLIVA</t>
  </si>
  <si>
    <t>DR. JULIO KNASTER DEL OLMO</t>
  </si>
  <si>
    <t>FELIX BLANCO GARZA</t>
  </si>
  <si>
    <t>APOLONIA FERNANDEZ CAÑADAS MORENO PALANCAS</t>
  </si>
  <si>
    <t>DR. GUILLERMO SAN JUAN DE LA MORETA</t>
  </si>
  <si>
    <t>JAVIER LARRU CABRERO</t>
  </si>
  <si>
    <t>JESUS ANGEL ARROYO VILLEGAS</t>
  </si>
  <si>
    <t>DR. CARLOS FRADE GONZÁLEZ</t>
  </si>
  <si>
    <t>JOSE REY IGLESIAS</t>
  </si>
  <si>
    <t>DR. CARLOS VELÁSQUEZ FERMÍN</t>
  </si>
  <si>
    <t>EMILIO SANCHEZ FERNANDEZ</t>
  </si>
  <si>
    <t>FELICIDAD JIMENEZ LOPEZ</t>
  </si>
  <si>
    <t>DRA. MARÍA ESTEFANÍA HERNÁNDEZ GARCÍA</t>
  </si>
  <si>
    <t>MARIA GOMEZ ALMENAR</t>
  </si>
  <si>
    <t>DRA. ANA RUIZ FORNELLS NOREÑA</t>
  </si>
  <si>
    <t>JULIAN RODRIGUEZ VERA</t>
  </si>
  <si>
    <t>DRA. CRISTINA IBAÑEZ MUÑOZ</t>
  </si>
  <si>
    <t>LUIS FERNANDO RODRIGUEZ IMAZ</t>
  </si>
  <si>
    <t>SALVADORA BEJAR BLANCO</t>
  </si>
  <si>
    <t>FRANCISCO UCLES MORENO</t>
  </si>
  <si>
    <t>MANUEL VAZQUEZ ALVAREZ</t>
  </si>
  <si>
    <t>PEDRO BLASCO MARIN</t>
  </si>
  <si>
    <t>DR. ENRIQUE VIVIENTE RODRÍGUEZ</t>
  </si>
  <si>
    <t>ANGELES PEREZ SOLER</t>
  </si>
  <si>
    <t>DRA. MARÍA LÓPEZ ROBLES</t>
  </si>
  <si>
    <t>LIDIA SOLER GARCIA</t>
  </si>
  <si>
    <t>ROGELIO FRADE BELLO</t>
  </si>
  <si>
    <t>JOSE LUIS BENITO BERNAL ANDRES</t>
  </si>
  <si>
    <t>PAUL ALAN CANFIELD</t>
  </si>
  <si>
    <t>DRA. MARINA CARRASCO LLATAS</t>
  </si>
  <si>
    <t>MARIA ISABEL RUIZ RUEDA</t>
  </si>
  <si>
    <t>JUAN ARIAS FERNANDEZ</t>
  </si>
  <si>
    <t>CARMEN DEVESA SANCHEZ</t>
  </si>
  <si>
    <t>JOSE GOMEZ RISUEÑO</t>
  </si>
  <si>
    <t>León</t>
  </si>
  <si>
    <t>DR. IGNACIO ÁLVAREZ ÁLVAREZ</t>
  </si>
  <si>
    <t>ANTONIO FERRERAS CID</t>
  </si>
  <si>
    <t>DR. CARLOS ARMIÑO MEGIDO</t>
  </si>
  <si>
    <t>MARIA GUADALUPE CASTELO CHAPA</t>
  </si>
  <si>
    <t>ANGEL GIL HERRANZ</t>
  </si>
  <si>
    <t>JOHN SHARP</t>
  </si>
  <si>
    <t>ISABEL LOPEZ MIGUEL</t>
  </si>
  <si>
    <t>DR. MIGUEL RODRIGUEZ PÉREZ</t>
  </si>
  <si>
    <t>MARIA DE LAS NIEVES ESPINOSA PEREZ</t>
  </si>
  <si>
    <t>JUAN ANTONIO BURGUILLO SANCHEZ</t>
  </si>
  <si>
    <t>DR. CARLOS LÓPEZ AZANZA</t>
  </si>
  <si>
    <t>MARIA DEL CARMEN JUAN CANTON</t>
  </si>
  <si>
    <t>MARINA BELLAS LAMELA</t>
  </si>
  <si>
    <t>HORTENSIA BAÑOS MONTERO</t>
  </si>
  <si>
    <t>LUIS QUILES VALVERDE</t>
  </si>
  <si>
    <t>ANTONIO CAROL ESTELA</t>
  </si>
  <si>
    <t>FERNANDO REY NOYA</t>
  </si>
  <si>
    <t>BARTOLOME PUIG CORREAS</t>
  </si>
  <si>
    <t>JUANA LOPEZ VAZQUEZ</t>
  </si>
  <si>
    <t>GLORIA PEREZ TUEROS</t>
  </si>
  <si>
    <t>DR. RAÚL RUBIO YANGÜAS</t>
  </si>
  <si>
    <t>ENRIQUE MARTIN VAZQUEZ</t>
  </si>
  <si>
    <t>JULIA GUTIERREZ BARROSO</t>
  </si>
  <si>
    <t>JULIAN MEDINA RUIZ</t>
  </si>
  <si>
    <t>DR. JAVIER OLARIETA SOTO</t>
  </si>
  <si>
    <t>ROSA MARIA DE LA PEÑA POLO</t>
  </si>
  <si>
    <t>CARLOS ALONSO DEL OLMO</t>
  </si>
  <si>
    <t>JAVIER ACEVEDO GARCIA</t>
  </si>
  <si>
    <t>PILAR DIAZ RODRIGUEZ</t>
  </si>
  <si>
    <t>ANGEL RUBIO MORENO</t>
  </si>
  <si>
    <t>TERESA REY VELASCO</t>
  </si>
  <si>
    <t>DR. IGNACIO SIERRA ARBIDE</t>
  </si>
  <si>
    <t>ANGEL RODRIGUEZ APARICIO</t>
  </si>
  <si>
    <t>MARIA ISABEL SANTOS SANCHEZ</t>
  </si>
  <si>
    <t>FRANCISCA CASTRO RICO</t>
  </si>
  <si>
    <t>DR. ANTONIO GALINDO FERNÁNDEZ</t>
  </si>
  <si>
    <t>JACQUELINE SUTHERLAND</t>
  </si>
  <si>
    <t>JOSE TUDELA CRUZ</t>
  </si>
  <si>
    <t>DRA. ADELA PÉREZ-CARO RÍOS</t>
  </si>
  <si>
    <t>MARIA IGLESIAS CAMPO</t>
  </si>
  <si>
    <t>DRA. MÓNICA RODRÍGUEZ</t>
  </si>
  <si>
    <t>CONCEPCION LAFUENTE ANDREU</t>
  </si>
  <si>
    <t>DRA. CRISTINA MUÑOZ PINTO</t>
  </si>
  <si>
    <t>EDUARDO FERNANDEZ RODRIGUEZ</t>
  </si>
  <si>
    <t>PERFECTA CABANILLAS CORONADO</t>
  </si>
  <si>
    <t>DR. JONATHAN ESTEBAN SÁNCHEZ</t>
  </si>
  <si>
    <t>DOMINGO VICENTE SAHAGUN</t>
  </si>
  <si>
    <t>ENRIQUE RICO DEL ALAMO</t>
  </si>
  <si>
    <t>SATURNINA CABRERA MATEOS</t>
  </si>
  <si>
    <t>DR. SERGIO Zaragoza GUIJO</t>
  </si>
  <si>
    <t>ANTONIO MORENO SANCHEZ</t>
  </si>
  <si>
    <t>ISIDRO MADRID MATEO</t>
  </si>
  <si>
    <t>DRA. MAR LASSO DE LA VEGA ZAMORA</t>
  </si>
  <si>
    <t>Mª DEL PILAR MOLINA LOPEZ</t>
  </si>
  <si>
    <t>JUAN JOSE JUSDADO RUIZ CAPILLAS</t>
  </si>
  <si>
    <t>IVAN AGUILAR PEREZ</t>
  </si>
  <si>
    <t>DR. MARIO HIGUERA RAPA</t>
  </si>
  <si>
    <t>JOAQUINA SANCHEZ COZAR</t>
  </si>
  <si>
    <t>ANUNCIACION CORRAL PRADA</t>
  </si>
  <si>
    <t>DR. GUILLERMO SEVERÁ FERRANDIZ</t>
  </si>
  <si>
    <t>ANA ISABEL TEROL TEROL</t>
  </si>
  <si>
    <t>JUAN DE LA CRUZ JEREZ</t>
  </si>
  <si>
    <t>MARIA DEL CARMEN OTERO FERNANDEZ</t>
  </si>
  <si>
    <t>DR. ANTONIO FRAILE AZPEITIA</t>
  </si>
  <si>
    <t>MARIA CRISTINA CURT TOMAS</t>
  </si>
  <si>
    <t>DRA. LAURA GARRIDO GARCÍA</t>
  </si>
  <si>
    <t>CECILIA RIBAO GARCIAVERDUGO</t>
  </si>
  <si>
    <t>LUCIA LOPEZ PADRON</t>
  </si>
  <si>
    <t>DRA. ANA QUINTANA SANJUAN</t>
  </si>
  <si>
    <t>JOSE FERNANDEZ TESOURO</t>
  </si>
  <si>
    <t>DRA. ESTEFANÍA BERROCAL POSTIGO</t>
  </si>
  <si>
    <t>DOLORES BLANCO RUIZ</t>
  </si>
  <si>
    <t>EULOGIO DELGADO MENGUIANO</t>
  </si>
  <si>
    <t>Vilanova</t>
  </si>
  <si>
    <t>DRA. CRISTINA MOLINA MARTÍNEZ</t>
  </si>
  <si>
    <t>ELOISA ALONSO TERRADOS</t>
  </si>
  <si>
    <t>MARZO</t>
  </si>
  <si>
    <t>CONCEPCION PALLAS LOPEZ</t>
  </si>
  <si>
    <t>MARIA PILAR MESANZA DUARTE</t>
  </si>
  <si>
    <t>DRA. BEATRIZ ARANA FERNÁNDEZ</t>
  </si>
  <si>
    <t>ROSELA DEOCAREZA DIOLATA</t>
  </si>
  <si>
    <t>DRA. CRISTINA ESTHER TORREGROSA CARRASQUER</t>
  </si>
  <si>
    <t>MARIA CESPEDES MADRID</t>
  </si>
  <si>
    <t>BENJAMIN DEL REY DEL REY</t>
  </si>
  <si>
    <t>ESTHER GARCIA PINTO</t>
  </si>
  <si>
    <t>FIDEL HARO GUERRA</t>
  </si>
  <si>
    <t>DR. RAIMON GARCÍA CHILLERÓN</t>
  </si>
  <si>
    <t>MONICA MIRA DOMENECH</t>
  </si>
  <si>
    <t>SALUD QUILIS VIGRANA</t>
  </si>
  <si>
    <t>DR. JAVIER GARCÍA GÓMEZ</t>
  </si>
  <si>
    <t>MARIA RAFAEL BLANCO</t>
  </si>
  <si>
    <t>EUSEBIO MORENO VICARIO</t>
  </si>
  <si>
    <t>DRA. CELIA LENDORIO OTERO</t>
  </si>
  <si>
    <t>MANUEL GARRIDO GARRIDO</t>
  </si>
  <si>
    <t>Santiago De Compostela</t>
  </si>
  <si>
    <t>JOSE NOVO SALGADO</t>
  </si>
  <si>
    <t>EDUARDO TERAN LERIDA</t>
  </si>
  <si>
    <t>DR. JOSEP MARIA ORRIT ARENAS</t>
  </si>
  <si>
    <t>MANUELA MUÑINO GARCIA</t>
  </si>
  <si>
    <t>CANDIDO FATELA DOMINGUEZ</t>
  </si>
  <si>
    <t>TERESA MENDEZ MENDEZ</t>
  </si>
  <si>
    <t>DR. JESÚS GARCÍA AHIJADO</t>
  </si>
  <si>
    <t>FLORENTINO LLORENTE SANCHEZ</t>
  </si>
  <si>
    <t>DRA. ELENA DE DIOS ORAN</t>
  </si>
  <si>
    <t>RAFAEL ARCAS SANTIAGO</t>
  </si>
  <si>
    <t>MARIA MAGDALENA BUFORN LLORET</t>
  </si>
  <si>
    <t>MARIA FUERTES AGUNDEZ</t>
  </si>
  <si>
    <t>LETICIA VILLAR UZQUIZA</t>
  </si>
  <si>
    <t>MARIA MUÑOZ LOZANO</t>
  </si>
  <si>
    <t>DRA. SOCORRO TEDÍN GARCÍA</t>
  </si>
  <si>
    <t>JOSE SOTO GONZALEZ</t>
  </si>
  <si>
    <t>DR. SANTIAGO MORENO PAREDES</t>
  </si>
  <si>
    <t>JUAN MIRANDA GARFELLA</t>
  </si>
  <si>
    <t>DRA. JOSEFA OLMEDO MARTÍNEZ</t>
  </si>
  <si>
    <t>MARIA CRUZ RUIZ MARTIN</t>
  </si>
  <si>
    <t>DR. ÁLVARO SÁNCHEZ ÁLVAREZ</t>
  </si>
  <si>
    <t>MARIA JESUS SANGRADOR BALLESTEROS</t>
  </si>
  <si>
    <t>MARIA PROVIDENCIA DELGADO DURAN</t>
  </si>
  <si>
    <t>DR. JOSÉ GARCÍA MORILLAS</t>
  </si>
  <si>
    <t>KRIJN JOHAN VAN BALEN</t>
  </si>
  <si>
    <t>DR. JESÚS CROVATO ROJAS</t>
  </si>
  <si>
    <t>MANUEL RUPERTO FERNANDEZ FERNANDEZ</t>
  </si>
  <si>
    <t>ANGELA JIMENEZ TAVIRA</t>
  </si>
  <si>
    <t>DR. ÓSCAR ALFONSO ARENAS BRITEZ</t>
  </si>
  <si>
    <t>PASCUAL DIAZ GONZALEZ</t>
  </si>
  <si>
    <t>MARIA DEL MAR MORALES CELDRAN</t>
  </si>
  <si>
    <t>AYA ZOUHAIR</t>
  </si>
  <si>
    <t>BEGOÑA GAÑETE IGLESIAS</t>
  </si>
  <si>
    <t>ISABEL FRACES FRACES</t>
  </si>
  <si>
    <t>DRA. KAREN ROJAS CRESPO</t>
  </si>
  <si>
    <t>FRANCISCO ALEMAÑY ARMENGOL</t>
  </si>
  <si>
    <t>DRA. DOLORES ROMERO PANADRRO</t>
  </si>
  <si>
    <t>ANTONIO DELGADO CACERES</t>
  </si>
  <si>
    <t>MARIA DE LA LUZ MARIN MARIN</t>
  </si>
  <si>
    <t>ENRIQUE BULLEJOS PLEITE</t>
  </si>
  <si>
    <t>PEDRO JOSE RAMOS QUIROS</t>
  </si>
  <si>
    <t>ELISA MARTINEZ VELASCO</t>
  </si>
  <si>
    <t>SANTOS RODRIGUEZ LOPEZ</t>
  </si>
  <si>
    <t>DR. MOHAMED AL RIFAL AL MASTI</t>
  </si>
  <si>
    <t>JOSE FERNANDEZ FERNANDEZ</t>
  </si>
  <si>
    <t>DR. FRANCISCO ALÉS CONEJO</t>
  </si>
  <si>
    <t>CARMEN FERNANDEZ RODRIGUEZ</t>
  </si>
  <si>
    <t>DRA. ESTRELLA PALLAS PALLAS</t>
  </si>
  <si>
    <t>ENRIQUE LOIS EROSA</t>
  </si>
  <si>
    <t>DR. FRANCISCO JAVIER CERDÁN BAEZA</t>
  </si>
  <si>
    <t>FERMIN RODRIGUEZ SANCHEZ</t>
  </si>
  <si>
    <t>MARIA DEL CARMEN CABALEIRO VAZQUEZ</t>
  </si>
  <si>
    <t>DRA. INMACULADA SANCHO MARTÍN</t>
  </si>
  <si>
    <t>SAGRARIO MORA MORA</t>
  </si>
  <si>
    <t>CARMEN PEREZ GONZALEZ</t>
  </si>
  <si>
    <t>DRA. JEREMY FLORES TRUJILLO</t>
  </si>
  <si>
    <t>MARCOS MEDINA COLLADO</t>
  </si>
  <si>
    <t>MARIA DEL PILAR LARA VALERO</t>
  </si>
  <si>
    <t>JUDITH EAKIN</t>
  </si>
  <si>
    <t>ISABEL BELLO MEIJIDO</t>
  </si>
  <si>
    <t>JOSE MARIA HERRERA PEREZ</t>
  </si>
  <si>
    <t>JUAN CARLOS RAMOS LUQUE</t>
  </si>
  <si>
    <t>DRA. Mª JOSÉ GÁMIZ MAROTO</t>
  </si>
  <si>
    <t>FRANCISCO PEREZ HERNANDEZ</t>
  </si>
  <si>
    <t>MICAELA SORIANO MARTINEZ</t>
  </si>
  <si>
    <t>ISABEL TORRES RODRIGUEZ</t>
  </si>
  <si>
    <t>MARIA CRISTINA GARCIA SOMOZA</t>
  </si>
  <si>
    <t>DRA. NURIA SALAS BARRIO</t>
  </si>
  <si>
    <t>CARMEN RAMOS FERNANDEZ</t>
  </si>
  <si>
    <t>FULGENCIO FERNANDEZ FERNANDEZ</t>
  </si>
  <si>
    <t>JAIME BELCHI MOLINA</t>
  </si>
  <si>
    <t>MANUEL CANO BERNAL</t>
  </si>
  <si>
    <t>DRA. AIDA AVIÑOA ARIAS</t>
  </si>
  <si>
    <t>VICENTE HERNANDEZ MARMOL</t>
  </si>
  <si>
    <t>LUCIA ARCEGA CRUZ</t>
  </si>
  <si>
    <t>DR. JOSÉ CARLOS CASQUEIRO SÁNCHEZ</t>
  </si>
  <si>
    <t>CARLOS SIERRA CALATRAVA</t>
  </si>
  <si>
    <t>EMILIO DE LA TORRE MARHUENDA</t>
  </si>
  <si>
    <t>JOSE FERNANDEZ GARCIA</t>
  </si>
  <si>
    <t>JOSE MARIA SANDOVAL GARCIA</t>
  </si>
  <si>
    <t>EDUARDO MARTIN CASTIÑEIRA</t>
  </si>
  <si>
    <t>DR. LUIS MIGUEL RINCÓN ESTEBAN</t>
  </si>
  <si>
    <t>MANUEL GARCIA SANCHEZ</t>
  </si>
  <si>
    <t>DR. PEDRO HUESO GUTIERREZ</t>
  </si>
  <si>
    <t>FERNANDO PASCUA MARTIN</t>
  </si>
  <si>
    <t>DRA. MARÍA EMILIA GARCÍA RUÍZ</t>
  </si>
  <si>
    <t>JENNIFER SANCHEZ HERNANDEZ</t>
  </si>
  <si>
    <t>PEDRO LLORET LLORET</t>
  </si>
  <si>
    <t>RAFAELA AVILA TENZA</t>
  </si>
  <si>
    <t>ELENA ALCARAZ PASTOR</t>
  </si>
  <si>
    <t>JULIAN DE REY BOTELLA</t>
  </si>
  <si>
    <t>MARINA BAUTISTA CARRASCO</t>
  </si>
  <si>
    <t>Badajoz</t>
  </si>
  <si>
    <t>DR. TOMAS MOGOLLON CANO CORTES</t>
  </si>
  <si>
    <t>ROSALYN LEAY</t>
  </si>
  <si>
    <t>Girona</t>
  </si>
  <si>
    <t>DR. JORDI LLUANSI PANELLA</t>
  </si>
  <si>
    <t>MARIA CARME ROVIRA ALZINA</t>
  </si>
  <si>
    <t>DRA. CARMEN JUAN IVARS</t>
  </si>
  <si>
    <t>MARIA BEGOÑA GOMEZ MARTIN</t>
  </si>
  <si>
    <t>RUFINO HUERTAS HUERTAS</t>
  </si>
  <si>
    <t>LUPICINIO MARTINEZ ARROYO</t>
  </si>
  <si>
    <t>DR. GUSTAVO CÓRDOVA RAMOS</t>
  </si>
  <si>
    <t>MARIA DEL CARMEN CUESTA CATALAN</t>
  </si>
  <si>
    <t>DR. ENRIQUE LÓPEZ MESEGUER</t>
  </si>
  <si>
    <t>MARIA AMPARO ORTE JIMENEZ</t>
  </si>
  <si>
    <t>DR. GABRIEL MARTÍNEZ CAPOCCINI</t>
  </si>
  <si>
    <t>ALFONSO CARRIL GUERRA</t>
  </si>
  <si>
    <t>MARIA VICTORIA RIVADULLA GARCIA</t>
  </si>
  <si>
    <t>PERE CARRERES MARTI</t>
  </si>
  <si>
    <t>DRA. STEPHANY RODRÍGUEZ MATA</t>
  </si>
  <si>
    <t>PEDRO ADAN GONZALEZ</t>
  </si>
  <si>
    <t>DR. HECTOR VALLES VARELA</t>
  </si>
  <si>
    <t>ROSA SEBASTIAN TREMPS</t>
  </si>
  <si>
    <t>DR. PEDRO MASEGOSA ZAPATA</t>
  </si>
  <si>
    <t>JAVIER PINZA GARCIA</t>
  </si>
  <si>
    <t>EDUARDO FELIPE MURO ALONSO</t>
  </si>
  <si>
    <t>DR. FELIPE LÓPEZ HERNÁNDEZ</t>
  </si>
  <si>
    <t>MARIA MOYANO ORDOÑEZ</t>
  </si>
  <si>
    <t>MARIA DIONISIA DIEZ DE LA MATA</t>
  </si>
  <si>
    <t>MARIA ARLENE GUTIERREZ RODRIGUEZ</t>
  </si>
  <si>
    <t>ELISA DIAZ SANZ</t>
  </si>
  <si>
    <t>DR. MANUEL GUTIERREZ TRIGUERO</t>
  </si>
  <si>
    <t>ISABEL MORRO BARRIGA</t>
  </si>
  <si>
    <t>ROSA FRANCISCA POSADA RODRIGUEZ</t>
  </si>
  <si>
    <t>DRA. XENIA MOTA ROJAS</t>
  </si>
  <si>
    <t>BEGOÑA PACIOS SOBRIN</t>
  </si>
  <si>
    <t>ANTONIO GARCIA CORRALES</t>
  </si>
  <si>
    <t>RICARDO RAMON GARCIA SIMON</t>
  </si>
  <si>
    <t>ANTONIO PAJUELO PAREDES</t>
  </si>
  <si>
    <t>JOSE LUIS JUZGADO MARTIN</t>
  </si>
  <si>
    <t>GLADIS FRIAS LIRIA</t>
  </si>
  <si>
    <t>FRANCISCO JOSE CLARES SANCHEZ</t>
  </si>
  <si>
    <t>MARIA DOLORES LOPEZ SERRABONA</t>
  </si>
  <si>
    <t>FRANCISCO MUÑOZ TIRADO</t>
  </si>
  <si>
    <t>DRA. MARÍA SCOLA TORRES</t>
  </si>
  <si>
    <t>PATRICK GRIFFIN</t>
  </si>
  <si>
    <t>PORFIRIO CARCHENILLA JIMENEZ</t>
  </si>
  <si>
    <t>CATALINA RINCON ALONSO</t>
  </si>
  <si>
    <t>DRA. ROCÍO GONZÁLEZ MÁRQUEZ</t>
  </si>
  <si>
    <t>JUAN PEDRO TRENADO DIAZ</t>
  </si>
  <si>
    <t>MARCELO YUSTE GARCIA</t>
  </si>
  <si>
    <t>JUANA GUTIERREZ GONZALEZ</t>
  </si>
  <si>
    <t>DR. RAIMUNDO GÓMEZ-BLASI</t>
  </si>
  <si>
    <t>RICARDO AGREDA</t>
  </si>
  <si>
    <t>DR. CARLOS FÉLIX ASENSIO NIETO</t>
  </si>
  <si>
    <t>ANTONIO DIAZ MUÑOZ</t>
  </si>
  <si>
    <t>GLORIA BERGARA SAN MARTIN</t>
  </si>
  <si>
    <t>DRA. MARIA ROSARIO FERRANDIZ GARCÍA</t>
  </si>
  <si>
    <t>JUAN GONZALEZ COSTELA</t>
  </si>
  <si>
    <t>JUAN JOSE POMARES PEREZ</t>
  </si>
  <si>
    <t>MARIA LUZ SANCHEZ SANTANA</t>
  </si>
  <si>
    <t>DR. JESÚS HERRANZ GONZÁLEZ-BOTAS</t>
  </si>
  <si>
    <t>JOSE MANUEL MARTINEZ COLLAZO</t>
  </si>
  <si>
    <t>HORTENSIA SERRANO BLAZCO</t>
  </si>
  <si>
    <t>MANUEL JIMENEZ MUÑOZ</t>
  </si>
  <si>
    <t>DRA. ESTHER MONTIEL DIEZ</t>
  </si>
  <si>
    <t>JOSE INOCENTE GUILLEN ESCRIBANO</t>
  </si>
  <si>
    <t>EPIFANIO PEDRAZA HERRANZ</t>
  </si>
  <si>
    <t>ADOLFO ARAGONES CABRERIZO</t>
  </si>
  <si>
    <t>MANUEL MAIRE RODRIGUEZ</t>
  </si>
  <si>
    <t>JOSE JUAN OJEDA QUINTANA</t>
  </si>
  <si>
    <t>ISABEL FREIRE RIVEIRO</t>
  </si>
  <si>
    <t>ANA SERRANO TORRES</t>
  </si>
  <si>
    <t>MARIA BEGOÑA MARTINEZ SANTIAGO</t>
  </si>
  <si>
    <t>PILAR QUIROS PINEL</t>
  </si>
  <si>
    <t>MARIA ANTONIA GOMEZ ESPEJO</t>
  </si>
  <si>
    <t>NATALIA GISSETH PULIDO FONSECA</t>
  </si>
  <si>
    <t>ENRIQUE SANCHEZ MUÑOZ</t>
  </si>
  <si>
    <t>HERMINIO SUAREZ GOMARIZ</t>
  </si>
  <si>
    <t>DR. JAVIER GARCÍA-DUEÑAS GONZÁLEZ</t>
  </si>
  <si>
    <t>JUANA MORENO NARRO</t>
  </si>
  <si>
    <t>CECILIA ORTIZ MOCHALES</t>
  </si>
  <si>
    <t>MANUELA GONZALEZ GOMEZ</t>
  </si>
  <si>
    <t>DR. RAIMUNDO ANDRES NAVARRO MEDIANO</t>
  </si>
  <si>
    <t>ROSA MARIA CHAVES MESEGAR</t>
  </si>
  <si>
    <t>ROSALIA CHOZAS MARTIN</t>
  </si>
  <si>
    <t>DRA. MARÍA JESÚS GIL PÉREZ</t>
  </si>
  <si>
    <t>FRANCISCO JAVIER PEÑA PEÑA</t>
  </si>
  <si>
    <t>JOSE MARTINEZ VICEN</t>
  </si>
  <si>
    <t>LUCILA PEDROCHE OLIVARES</t>
  </si>
  <si>
    <t>ARANZAZU GONZALEZ GOMEZ</t>
  </si>
  <si>
    <t>ARGIMIRO CABO DEVESA</t>
  </si>
  <si>
    <t>DRA. VILMA SANDOVAL PACHECO</t>
  </si>
  <si>
    <t>NOELIA BELTRAN ALONSO</t>
  </si>
  <si>
    <t>DRA. Mª TERESA ALMELA ROJO</t>
  </si>
  <si>
    <t>JOSE MARIA MARMOL MARTINEZ</t>
  </si>
  <si>
    <t>MARIA JOSEFA RODRIGUEZ LEAL</t>
  </si>
  <si>
    <t>DR. FERNANDO GARCÍA ALCÁNTARA</t>
  </si>
  <si>
    <t>JOSE VIZCAINO RUBIO</t>
  </si>
  <si>
    <t>DRA. MILAGROS MARCOS ORDOÑEZ</t>
  </si>
  <si>
    <t>DOROTEA MARTINEZ SASTRE</t>
  </si>
  <si>
    <t>JOSE LUIS VICENTE-ARCHE COLOMA</t>
  </si>
  <si>
    <t>PILAR HERNANDEZ DEL CASTILLO</t>
  </si>
  <si>
    <t>MARIA MONTAÑA MONTES MAESTRE</t>
  </si>
  <si>
    <t>ABRIL</t>
  </si>
  <si>
    <t>FRANCISCO ANTONIO RODRIGUEZ GEY</t>
  </si>
  <si>
    <t>DR. LUIS JOSÉ DOMÍNGUEZ UGIDOS</t>
  </si>
  <si>
    <t>LISANDRO JOSE MARIA IBAN IBAN</t>
  </si>
  <si>
    <t>JOSE LUIS ROMERO SANCHEZ</t>
  </si>
  <si>
    <t>DRA. MARÍA TERESA GARCÍA IRIARTE</t>
  </si>
  <si>
    <t>JESUS GUTIERREZ MOSCOSO</t>
  </si>
  <si>
    <t>JUAN FERNANDO RAMOS TELLO</t>
  </si>
  <si>
    <t>DR. FRANCISCO JOSÉ AGUADO MARTÍNEZ</t>
  </si>
  <si>
    <t>MANUELA PONCE ALFONSO</t>
  </si>
  <si>
    <t>JOSE MARIA RUA RODRIGUEZ</t>
  </si>
  <si>
    <t>PILAR GARCIA-MORATO PARDO</t>
  </si>
  <si>
    <t>DR. JUAN RIESTRA AYORA</t>
  </si>
  <si>
    <t>AURORA SERRANO MORALES</t>
  </si>
  <si>
    <t>SANTOS GARCIA GARCIA</t>
  </si>
  <si>
    <t>TERESA UBACH BALLBE</t>
  </si>
  <si>
    <t>REGINE GOOSSENS IMMERS</t>
  </si>
  <si>
    <t>JUAN JOSE DE LA CONCHA</t>
  </si>
  <si>
    <t>MARIANO BENITO MARTIN</t>
  </si>
  <si>
    <t>ELENA ESTELLA IZQUIERDO</t>
  </si>
  <si>
    <t>MANUEL REQUEIJO PORTO</t>
  </si>
  <si>
    <t>DR. ANDRÉS SOTO VARELA</t>
  </si>
  <si>
    <t>JOSEFINA FERNANDEZ FERRADANS</t>
  </si>
  <si>
    <t>DRA. ANA PÉREZ DEL NOTARIO</t>
  </si>
  <si>
    <t>LUIS GARCIA PEREZ</t>
  </si>
  <si>
    <t>DR. FRANKLIN S, MARIÑO SÁNCHEZ</t>
  </si>
  <si>
    <t>JOSE LUIS PIZARROSO ZARCO</t>
  </si>
  <si>
    <t>DRA. CARLOTA SEVIL SERRANO</t>
  </si>
  <si>
    <t>ISABEL TORRES GUTIERREZ</t>
  </si>
  <si>
    <t>VICTORIA VERGEL FERNANDEZ</t>
  </si>
  <si>
    <t>DR. FRANCISCO JOSÉ ESTRADA MOLINA</t>
  </si>
  <si>
    <t>ANTONIA GAMERO CAMACHO</t>
  </si>
  <si>
    <t>DRA. ISABEL GONZÁLEZ GUIJARRO</t>
  </si>
  <si>
    <t>FRANCISCO BLANCO BLANCO</t>
  </si>
  <si>
    <t>CRISTIAN VALERO MUÑOZ</t>
  </si>
  <si>
    <t>JORGE RACERO GUISADO</t>
  </si>
  <si>
    <t>DR. JESÚS AARÓN MARTÍNEZ ALONSO</t>
  </si>
  <si>
    <t>CONCEPCION GONZALEZ ALFAGEME</t>
  </si>
  <si>
    <t>ENCARNACION LUJAN RODENAS</t>
  </si>
  <si>
    <t>ENRIQUE FERREIRA VILLAR</t>
  </si>
  <si>
    <t>OLGA SANTALICES CID</t>
  </si>
  <si>
    <t>FRANCISCO TORNERO FERNANDEZ</t>
  </si>
  <si>
    <t>DR. FRANCISCO RAMOS PUERTO</t>
  </si>
  <si>
    <t>ANTONIA GOMEZ NOYA</t>
  </si>
  <si>
    <t>EVANGELINA GALEGO GARCIA</t>
  </si>
  <si>
    <t>ANGELES POLO CHACON</t>
  </si>
  <si>
    <t>SONIA GARCIA ALVAREZ</t>
  </si>
  <si>
    <t>ROSA MARIA SANCHEZ MARTIN</t>
  </si>
  <si>
    <t>DOLORES CASADO FERNANDEZ</t>
  </si>
  <si>
    <t>MANUEL ROJAS MORENO</t>
  </si>
  <si>
    <t>DAFROSINA GONZALEZ SANCHEZ</t>
  </si>
  <si>
    <t>ALFREDO PRADOS GARCIA</t>
  </si>
  <si>
    <t>JUAN SOLIS CAMBA</t>
  </si>
  <si>
    <t>DRA. LAURA RUANO DE PABLO</t>
  </si>
  <si>
    <t>ANA DE LA CASA GIL</t>
  </si>
  <si>
    <t>MARIA LUISA CARRILLO MARTIN</t>
  </si>
  <si>
    <t>CARMEN GOMEZ GOMEZ</t>
  </si>
  <si>
    <t>EDNA PATRICIA BAKER</t>
  </si>
  <si>
    <t>JOSE MANUEL ARIAS ALONSO</t>
  </si>
  <si>
    <t>CIPRIANO ESTEBAN CAÑADA</t>
  </si>
  <si>
    <t>LUIS ANGEL MARTIN FRAILE</t>
  </si>
  <si>
    <t>VALQUIRIA GONZALO BRAGA</t>
  </si>
  <si>
    <t>DRA. ANNA SUMARROCA TROUBOUL</t>
  </si>
  <si>
    <t>JOSE VAZQUEZ DIAZ</t>
  </si>
  <si>
    <t>BERNARDINO HERNANDEZ FRAILE</t>
  </si>
  <si>
    <t>FELICIDAD GONZALEZ CASADO</t>
  </si>
  <si>
    <t>CESAR MARTINEZ HERRADA</t>
  </si>
  <si>
    <t>DR. ÁLVARO PÉREZ LLINARES</t>
  </si>
  <si>
    <t>JOSE ESPERT SILVESTRE</t>
  </si>
  <si>
    <t>MARIA DEL CARMEN DE LA CALLE MORATINOS</t>
  </si>
  <si>
    <t>MANUELA GONZALEZ JIMENO</t>
  </si>
  <si>
    <t>JANICE EILEEN HALE</t>
  </si>
  <si>
    <t>DR. JULIE MÚÑOZ FREITEZ</t>
  </si>
  <si>
    <t>RAMON BRUNO PARDO</t>
  </si>
  <si>
    <t>DELFINA COSTAS VELAZQUEZ</t>
  </si>
  <si>
    <t>CARMEN AMALIA SANCHEZ TOSAL</t>
  </si>
  <si>
    <t>MILAGROS JIMENEZ LERIA</t>
  </si>
  <si>
    <t>MARIA CONSOLACION VALVERDE FUENTES</t>
  </si>
  <si>
    <t>TOMAS MARTIN CORRAL</t>
  </si>
  <si>
    <t>DR. ALFONSO MARCO GARRIDO</t>
  </si>
  <si>
    <t>CATALINA LACARCEL ROS</t>
  </si>
  <si>
    <t>GENEROSA MIRANDA PEREZ</t>
  </si>
  <si>
    <t>FRANCISCA SIMON CIRIACO</t>
  </si>
  <si>
    <t>ALEJANDRO SEGURA SALGADO</t>
  </si>
  <si>
    <t>MARIA JESUS SERRANO BENITO</t>
  </si>
  <si>
    <t>ADELA FRIGOLS</t>
  </si>
  <si>
    <t>MANUEL SANCHEZ GALLEGO</t>
  </si>
  <si>
    <t>SANTIAGO FULGENCIO SAEZ MESEGUER</t>
  </si>
  <si>
    <t>ANTONIO ACEBES PARRA</t>
  </si>
  <si>
    <t>CARLOS SAN MIGUEL SANCHEZ</t>
  </si>
  <si>
    <t>DRA. ANA FERNÁNDEZ RODRÍGUEZ</t>
  </si>
  <si>
    <t>MARIA BEGOÑA GARCIA MARTIN</t>
  </si>
  <si>
    <t>LUIS LAGOS ALONSO</t>
  </si>
  <si>
    <t>ISABEL MUNERA DAVIA</t>
  </si>
  <si>
    <t>JUANA FRANCISCA GALBAN FRANCO</t>
  </si>
  <si>
    <t>JULIO RAMON FERNADEZ SAN ANDRES</t>
  </si>
  <si>
    <t>ANNA CARRERAS JORDI</t>
  </si>
  <si>
    <t>DRA. MARÍA K LLANO ESPINOSA</t>
  </si>
  <si>
    <t>HUGUETTE DOULMET</t>
  </si>
  <si>
    <t>DR. GARIKOITZ CALZADA URIONDO</t>
  </si>
  <si>
    <t>MIRIAN MANGADO ETAYO</t>
  </si>
  <si>
    <t>MANUEL LOPEZ DIAZ</t>
  </si>
  <si>
    <t>JOSE MANUEL ANTONIO VILLALAIN ARAUZ</t>
  </si>
  <si>
    <t>DR. JAVIER GAVILANES PLASENCIA</t>
  </si>
  <si>
    <t>MANUEL MONDEJAR SALCEDO</t>
  </si>
  <si>
    <t>VICENTE MONBLANCH MONZO</t>
  </si>
  <si>
    <t>MARIA CONCEPCION RODRIGO ALBARRAN</t>
  </si>
  <si>
    <t>DRA. ISABEL MENACHES GUARDIOLA</t>
  </si>
  <si>
    <t>MARIA DOLORES GARRIGOS VILA</t>
  </si>
  <si>
    <t>FOIX CERVERA ESTEVE</t>
  </si>
  <si>
    <t>ANGEL LUIS ALVAREZ MORAIS</t>
  </si>
  <si>
    <t>ILDEFONSO PALACIOS GARNICA</t>
  </si>
  <si>
    <t>MANUELA GONZALEZ VALERA LOPEZ</t>
  </si>
  <si>
    <t>LUISA GUTIERREZ RILLO</t>
  </si>
  <si>
    <t>THOMAS HENRY SPERRING</t>
  </si>
  <si>
    <t>ELVIRA SILVAN DEL CAMPO</t>
  </si>
  <si>
    <t>DR. FRANCISCO JAVIER MOLLA RUDIEZ</t>
  </si>
  <si>
    <t>MANUEL GOMEZ FERRERAS</t>
  </si>
  <si>
    <t>BEATRIZ FERNANDEZ-CRUZ CIFUENTES</t>
  </si>
  <si>
    <t>DR. RICARDO GONZÁLEZ-ORUS</t>
  </si>
  <si>
    <t>BLAS RODRIGUEZ GOMEZ</t>
  </si>
  <si>
    <t>DR. JESÚS SAN ROMÁN CARBAJO</t>
  </si>
  <si>
    <t>JOSE CARLOS RODRIGUEZ DOMINGUEZ</t>
  </si>
  <si>
    <t>MONTSERRAT GONZALEZ RODRIGUEZ</t>
  </si>
  <si>
    <t>DR. JEAN FRANCO INTRAPRENDENTE MARTINI</t>
  </si>
  <si>
    <t>CESAR ALBERTO GOMEZ GILBERT</t>
  </si>
  <si>
    <t>DR. ENRIQUE ROMERO VAN ABELEEN</t>
  </si>
  <si>
    <t>JORDI COLS TORRENTS</t>
  </si>
  <si>
    <t>ROSARIO SERRANO ANDRES</t>
  </si>
  <si>
    <t>PEDRO MENGUAL BLANQUER</t>
  </si>
  <si>
    <t>DR. GABRIEL PEDRMONTE SARRIAS</t>
  </si>
  <si>
    <t>JOSEFINA LOPEZ CARNE</t>
  </si>
  <si>
    <t>MARIA DOLORES GONZALEZ VILAR</t>
  </si>
  <si>
    <t>LOLA VELAZQUEZ MARTIN</t>
  </si>
  <si>
    <t>DRA. ALICIA SUÁREZ CALVO</t>
  </si>
  <si>
    <t>PILAR CARUANA UVEDA</t>
  </si>
  <si>
    <t>MARIA DEL CARMEN MENARGUEZ ALCARAZ</t>
  </si>
  <si>
    <t>LUIS MORENO OTERO</t>
  </si>
  <si>
    <t>MARIA LUISA PARDO NOGALES</t>
  </si>
  <si>
    <t>PILAR MARTINEZ MORCILLO</t>
  </si>
  <si>
    <t>DRA. ADRIANA PARDO MAZA</t>
  </si>
  <si>
    <t>ENRIQUE MARTINEZ TABASCO</t>
  </si>
  <si>
    <t>LICINIO MARTIN BURGOS</t>
  </si>
  <si>
    <t>MARIA DEL CARMEN SANCHEZ-BUENO MUÑOZ</t>
  </si>
  <si>
    <t>ANGELES MARTIN CASAL</t>
  </si>
  <si>
    <t>JUAN ANTONIO JUBERIAS BARRIO</t>
  </si>
  <si>
    <t>DR. IGNACIO ARISTEGUI TORRANO</t>
  </si>
  <si>
    <t>MAGDALENA DE VEGA HERRERO</t>
  </si>
  <si>
    <t>GONZALO FERRANDEZ MORALES</t>
  </si>
  <si>
    <t>PABLO ALVAREZ ALVAREZ</t>
  </si>
  <si>
    <t>VICTORIANO VILA GALEANO</t>
  </si>
  <si>
    <t>DR. JOSÉ MARÍA LABORDA MARGOLLES</t>
  </si>
  <si>
    <t>JUAN RODRIGUEZ SORIA</t>
  </si>
  <si>
    <t>CARMEN CASTRO ACEVEDO</t>
  </si>
  <si>
    <t>MARIA DEL CARMEN SIRVENT CORREA</t>
  </si>
  <si>
    <t>MARIA JESUS GARCIA-POZUELO ALHAMBRA</t>
  </si>
  <si>
    <t>MARIA DEL MAR CHOCANO REVILLA</t>
  </si>
  <si>
    <t>JUDIT DANIELA JACOME GALVAN</t>
  </si>
  <si>
    <t>NICOLAS SANCHEZ SOTO</t>
  </si>
  <si>
    <t>DR. LUIS MIGUEL MENÉNDRZ COLINO</t>
  </si>
  <si>
    <t>ELENA CARRASCO RODRIGUEZ</t>
  </si>
  <si>
    <t>CUSTODIA GALINDO MARTINEZ</t>
  </si>
  <si>
    <t>MARIA CARMEN PEREZ PASTOR MUÑOZ</t>
  </si>
  <si>
    <t>CARLOS ALONSO GARRE</t>
  </si>
  <si>
    <t>DOLORES TORO BENITEZ</t>
  </si>
  <si>
    <t>ALEJANDRO SANCHEZ ORO APARICIO</t>
  </si>
  <si>
    <t>PAULA ANTA SEN</t>
  </si>
  <si>
    <t>DRA. MARTA ALCARAZ FUENTES</t>
  </si>
  <si>
    <t>HILDA FUENMAYOR TORO</t>
  </si>
  <si>
    <t>VICTORIA Ourense FERNANDEZ</t>
  </si>
  <si>
    <t>MARIA LUZ AMARO GARCIA</t>
  </si>
  <si>
    <t>JOSE LUIS RAMIREZ ALFARO</t>
  </si>
  <si>
    <t>ENCARNACION NAVARRO GARCIA</t>
  </si>
  <si>
    <t>MARIA EUGENIA SOAGE VILLANUEVA</t>
  </si>
  <si>
    <t>MARIA JIMENEZ GUILLEN</t>
  </si>
  <si>
    <t>DR. ANSELMO PADÍN SEARA</t>
  </si>
  <si>
    <t>RAMONA MARIA REYNOSO SALDIVAR</t>
  </si>
  <si>
    <t>MARIA DE LAS MERCEDES HARO FERNANDEZ</t>
  </si>
  <si>
    <t>FRANCISCO JOSE QUESADA MIRALLES</t>
  </si>
  <si>
    <t>ISABEL HERNANDEZ ORELLANA</t>
  </si>
  <si>
    <t>LUIS FERNANDO JIMENEZ</t>
  </si>
  <si>
    <t>MERCEDES SECO FERNANDEZ</t>
  </si>
  <si>
    <t>DRA. SARA TANBOURA LÓPEZ</t>
  </si>
  <si>
    <t>ANGELA JIMENEZ HERNANDEZ</t>
  </si>
  <si>
    <t>ROSARIO VICENTE RODENAS</t>
  </si>
  <si>
    <t>GRETHE MUNCH IBSEN</t>
  </si>
  <si>
    <t>PEDRO CORNEJO CORRELLA</t>
  </si>
  <si>
    <t>MARIA PILAR AYLLON HEREDERO</t>
  </si>
  <si>
    <t>JAIME BLASCO RODRIGUEZ</t>
  </si>
  <si>
    <t>JOSE ANGEL OLIVA BAZAN</t>
  </si>
  <si>
    <t>DR. JOSÉ ANTONIO CASTRO CUERPO</t>
  </si>
  <si>
    <t>MARIA CONSOLACION ANTON GREGORIO</t>
  </si>
  <si>
    <t>JESUS VELAY CASTRO</t>
  </si>
  <si>
    <t>DRA. DANIELA CAROLINA LAGUADO BULGHERONI</t>
  </si>
  <si>
    <t>JESUS DOMINGUEZ SERRANO</t>
  </si>
  <si>
    <t>MARIA JESUS TATAY MANZANARES</t>
  </si>
  <si>
    <t>ENCARNACION GOMEZ SANCHEZ</t>
  </si>
  <si>
    <t>ISABEL TORREJON SANCHEZ</t>
  </si>
  <si>
    <t>DRA. HELENA MORENO PARDO</t>
  </si>
  <si>
    <t>VIRGINIA POMBO GARCIA</t>
  </si>
  <si>
    <t>DR. MIGUEL VACA GONZÁLEZ</t>
  </si>
  <si>
    <t>ANICETA GARCIA PEREZ</t>
  </si>
  <si>
    <t>MARIA DE LOS SANTOS DEL RIO ARROYO</t>
  </si>
  <si>
    <t>AMPARO BELLES MENENDEZ</t>
  </si>
  <si>
    <t>PEDRO GALVEZ AGUILAR</t>
  </si>
  <si>
    <t>MARIA ROSARIO GARCIA REVUELTA</t>
  </si>
  <si>
    <t>JOSE ZAPATA LOPEZ</t>
  </si>
  <si>
    <t>MAYO</t>
  </si>
  <si>
    <t>MARIA OBDULIA REDONDO ANDRES</t>
  </si>
  <si>
    <t>DR. JOSÉ TISNER NIETO</t>
  </si>
  <si>
    <t>ELVIRA ANDRADE VEIGA</t>
  </si>
  <si>
    <t>CARMEN SIADA RODRIGUEZ</t>
  </si>
  <si>
    <t>DR. ALEJANDRO HARGUINDéY ANTOLI-CANDéLA</t>
  </si>
  <si>
    <t>MARIA DEL ROCIO TIO ALONSO</t>
  </si>
  <si>
    <t>PEDRO JIMENEZ HERNANDEZ</t>
  </si>
  <si>
    <t>DIEGO MARQUINA TRASOBARES</t>
  </si>
  <si>
    <t>MARGARITA VIDAL VALLS</t>
  </si>
  <si>
    <t>PURIFICACION BERENGUER PEREZ</t>
  </si>
  <si>
    <t>MARIA ANTONIA RAMIREZ MURO</t>
  </si>
  <si>
    <t>SANTOS GABRIEL ARENAS RUIZ</t>
  </si>
  <si>
    <t>FEIJOO SANCHEZ PIO</t>
  </si>
  <si>
    <t>JOSE SANCHEZ HERNANDEZ</t>
  </si>
  <si>
    <t>DR. OSCAR A, SÁNCHEZ VALENZUELA</t>
  </si>
  <si>
    <t>ARSENIO NUÑEZ NUÑEZ</t>
  </si>
  <si>
    <t>JUANA MANSILLA SANZ</t>
  </si>
  <si>
    <t>MARIA ROSA CANDELA ALBEROLA</t>
  </si>
  <si>
    <t>ISABEL VAAMONDE SANCHEZ ANDRADE</t>
  </si>
  <si>
    <t>RAMONA LEONOR SEGADE SOUTO</t>
  </si>
  <si>
    <t>PASCUAL LERIN CABREJAS</t>
  </si>
  <si>
    <t>MARIA ANGELES ANDRES REY</t>
  </si>
  <si>
    <t>DRA. DANIELA TERÁN GUAMÁN</t>
  </si>
  <si>
    <t>MANUELA MORANO MORON</t>
  </si>
  <si>
    <t>HAKOB MALAKYAN</t>
  </si>
  <si>
    <t>DR. MANUEL CAÑETE DOMÍNGUEZ</t>
  </si>
  <si>
    <t>JOSE MARIA GALAN REBOLLO</t>
  </si>
  <si>
    <t>DR. GERARDO MARTIN SIGUENZA</t>
  </si>
  <si>
    <t>MANUELA GALVAN GARCIA</t>
  </si>
  <si>
    <t>MANUEL ALONSO ORTIZ</t>
  </si>
  <si>
    <t>CARMEN CABACA VAQUERO</t>
  </si>
  <si>
    <t>JAMES PAUL ILLIDGE</t>
  </si>
  <si>
    <t>DRA. CARMEN VALLÉS RODRÍGUEZ</t>
  </si>
  <si>
    <t>MARI CRUZ PEREZ SERRANO</t>
  </si>
  <si>
    <t>ENRIQUETA ESCOBAR FERNANDEZ</t>
  </si>
  <si>
    <t>VICTOR ALVAREZ GARCIA</t>
  </si>
  <si>
    <t>BASILIA MATEOS GONZALEZ</t>
  </si>
  <si>
    <t>DRA. REBECA BARRIOS GONZALO</t>
  </si>
  <si>
    <t>SANTIAGO MONZON FLORIDO</t>
  </si>
  <si>
    <t>DRA. DIANA HERNÁN PÉREZ</t>
  </si>
  <si>
    <t>CONSUELO GARCIAPARDO AGUIRRE</t>
  </si>
  <si>
    <t>FLORENTINA PAZ PAZ</t>
  </si>
  <si>
    <t>LUIS ALFONSO GALINDO MURILLO</t>
  </si>
  <si>
    <t>DRA. BEATRIZ RODRÍGUEZ GONZÁLEZ HERRERO</t>
  </si>
  <si>
    <t>JOHN DALTON MCCABE</t>
  </si>
  <si>
    <t>JESUS RODRIGUEZ CALATRAVA</t>
  </si>
  <si>
    <t>ANA MARIA DELGADO MOLINA</t>
  </si>
  <si>
    <t>MERCEDES MEDRANO BLANCO</t>
  </si>
  <si>
    <t>RAMON PASCUAL GARRIDO</t>
  </si>
  <si>
    <t>YOLANDA RODRIGUEZ SOBRIN</t>
  </si>
  <si>
    <t>AURORA RUIZ RUIZ</t>
  </si>
  <si>
    <t>DRA. ROCÍO CORRALES MILLÁN</t>
  </si>
  <si>
    <t>VICENTE DASI FUSTER</t>
  </si>
  <si>
    <t>DANIEL MORENO RODENAS</t>
  </si>
  <si>
    <t>DR. MANUEL ESTEVEZ GARCÍA</t>
  </si>
  <si>
    <t>ALBINA GOMEZ CASTRO</t>
  </si>
  <si>
    <t>MARIA GOMEZ RUBIO</t>
  </si>
  <si>
    <t>SANTIAGO HERNANDEZ GARCIA</t>
  </si>
  <si>
    <t>DR. RAFAEL PÉREZ GONZÁLEZ</t>
  </si>
  <si>
    <t>ERNESTINA FERNANDEZ GARCIA</t>
  </si>
  <si>
    <t>EUFEMIA PANIAGUA CABALLERO</t>
  </si>
  <si>
    <t>EUGENIO BLANCO HERAS</t>
  </si>
  <si>
    <t>CARMEN SOTO BERENGUER</t>
  </si>
  <si>
    <t>CARMEN FERNANDEZ DORADO</t>
  </si>
  <si>
    <t>ILDEFONSA MELLADO GONZALEZ</t>
  </si>
  <si>
    <t>ROSALIA GIL AMARO</t>
  </si>
  <si>
    <t>JOSEP BENET ROSELL</t>
  </si>
  <si>
    <t>ANGEL MELLADO CERRO</t>
  </si>
  <si>
    <t>ISABEL RODRIGUEZ VAZQUEZ</t>
  </si>
  <si>
    <t>MARIA JOSE PASTOR GUIJARRO</t>
  </si>
  <si>
    <t>JOSEFA SANDOVAL MOLINA</t>
  </si>
  <si>
    <t>MANUELA VAZQUEZ BLANCO</t>
  </si>
  <si>
    <t>MARIA TERESA APARICIO MARCOS</t>
  </si>
  <si>
    <t>DR. MIGUEL OLIVENCIA PÉREZ</t>
  </si>
  <si>
    <t>MARIA BRAULIA MORALES MOLINA</t>
  </si>
  <si>
    <t>RAFAEL PEREZ SANCHEZ</t>
  </si>
  <si>
    <t>DRA. MARÍA JOSÉ NAYA GÁLVEZ</t>
  </si>
  <si>
    <t>MERCEDES JIMENEZ AGUARON</t>
  </si>
  <si>
    <t>DR. JOAQUÍN PÉREZ RULL</t>
  </si>
  <si>
    <t>ARACELI MARTOS MARTINEZ</t>
  </si>
  <si>
    <t>JUAN ANTONIO CANO ALMOHALLA</t>
  </si>
  <si>
    <t>JOSE MANUEL SERRANO PICON</t>
  </si>
  <si>
    <t>MARIA DEL PILAR GARCIA DE PERALTA</t>
  </si>
  <si>
    <t>JOSE LUIS TONDA MARTINEZ</t>
  </si>
  <si>
    <t>BEATRIZ CORTES LOPEZ</t>
  </si>
  <si>
    <t>CELIA ARRIBAS SANZ</t>
  </si>
  <si>
    <t>CONSUELO ALONSO PEREZ</t>
  </si>
  <si>
    <t>MARIA DOLORES MOLINA RUBIO</t>
  </si>
  <si>
    <t>DR. ISABEL VAAMONDE SANCHEZ ANDRADR</t>
  </si>
  <si>
    <t>MARIA FERNANDEZ LESTON</t>
  </si>
  <si>
    <t>MERCEDES CASTILLO VERA</t>
  </si>
  <si>
    <t>DRA. ISABEL PENSADO BANET</t>
  </si>
  <si>
    <t>MANUELA CALO MARTINEZ</t>
  </si>
  <si>
    <t>Gijón</t>
  </si>
  <si>
    <t>RAQUEL DE LA HUERTA ALONSO</t>
  </si>
  <si>
    <t>ISABEL PEREZ RUBIO</t>
  </si>
  <si>
    <t>DOMINGO GONZALEZ INIESTA</t>
  </si>
  <si>
    <t>MANUEL SABUCEDO FREIJOS</t>
  </si>
  <si>
    <t>ASUNCION ALVAREZ VEGA</t>
  </si>
  <si>
    <t>ANTONIA SANMARTIN GARCIA</t>
  </si>
  <si>
    <t>DR. FRANCISCO ROPERO ROMERO</t>
  </si>
  <si>
    <t>CARMEN ESCAMILLA GARCIA</t>
  </si>
  <si>
    <t>FRANCISCO JAVIER SANZ SANZ</t>
  </si>
  <si>
    <t>DRA. SARA REDA DEL BARRIO</t>
  </si>
  <si>
    <t>MARIA BERMEJO DOLERA</t>
  </si>
  <si>
    <t>MANUEL ROMERO PALO</t>
  </si>
  <si>
    <t>Culleredo</t>
  </si>
  <si>
    <t>MARIA DE LOS ANGELES MALLO FRAGA</t>
  </si>
  <si>
    <t>CARMEN UREÑA MONTERO</t>
  </si>
  <si>
    <t>DRA. IRIS QUERO CAMPOS</t>
  </si>
  <si>
    <t>ESPERANZA LOPEZ SIERRA</t>
  </si>
  <si>
    <t>DANIEL ASOREY RIAL</t>
  </si>
  <si>
    <t>CARMEN DIAZ GARCIA</t>
  </si>
  <si>
    <t>ANGEL RAMOS RUIZ</t>
  </si>
  <si>
    <t>FELIPE ALONSO CUBILLO</t>
  </si>
  <si>
    <t>DRA. VICTORIA RIVERO DE JESÚS</t>
  </si>
  <si>
    <t>MARIA TERESA MATILLA GARCIA</t>
  </si>
  <si>
    <t>DR. ENRIC CISA LLUIS</t>
  </si>
  <si>
    <t>ENCARNACIO MEZQUITA ANDRES</t>
  </si>
  <si>
    <t>ISABEL FERNANDEZ DOMINGUEZ</t>
  </si>
  <si>
    <t>MARIA ISABEL VELASCO DEL REY</t>
  </si>
  <si>
    <t>MANUELA MERINO JAEN</t>
  </si>
  <si>
    <t>JOSE MARCHENA GALLEGO</t>
  </si>
  <si>
    <t>ABIDA BIBI</t>
  </si>
  <si>
    <t>HERMINIA SERRANO GAMIZ</t>
  </si>
  <si>
    <t>DRA. NURIA PÉREZ MARTÍN</t>
  </si>
  <si>
    <t>ESTHER GARCIA TRIJUEQUE</t>
  </si>
  <si>
    <t>DR. XAVIER URRACA CONTRERAS</t>
  </si>
  <si>
    <t>BARTOMEU ESPUNYA COROMINA</t>
  </si>
  <si>
    <t>CARMEN PINO GUZMAN</t>
  </si>
  <si>
    <t>PLACIDO VAZQUEZ DIEGUEZ</t>
  </si>
  <si>
    <t>DOLORES VIDAL HURTADO</t>
  </si>
  <si>
    <t>ROBERT DAVID HAYNES</t>
  </si>
  <si>
    <t>ANGELIQUE EMMANUELLE ROCHER</t>
  </si>
  <si>
    <t>GHISLAINE BERTHE GIRODO CHIKITOU</t>
  </si>
  <si>
    <t>JOSE ANGEL GARCIA MARQUES</t>
  </si>
  <si>
    <t>NIEVES GONZALEZ DIAZ</t>
  </si>
  <si>
    <t>DRA. ESTEFANÍA LOZANO REINA</t>
  </si>
  <si>
    <t>MARIA DOLORES ALONSO HERRERO</t>
  </si>
  <si>
    <t>DR. MANUEL GARCÍA LÓPEZ</t>
  </si>
  <si>
    <t>JESUS MARIANO ARROYO DE LA TORRE</t>
  </si>
  <si>
    <t>MARIA PILAR GOMEZ FERNANDEZ</t>
  </si>
  <si>
    <t>MATILDE BURUNAT GARCIA</t>
  </si>
  <si>
    <t>DRA. IRENE MONJAS CANOVAS</t>
  </si>
  <si>
    <t>VICENTE SASTRE SISCAR</t>
  </si>
  <si>
    <t>LUIS ALMONACID ALMENDROS</t>
  </si>
  <si>
    <t>ENRIQUE RODRIGUEZ RODRIGUEZ</t>
  </si>
  <si>
    <t>JOSE JAVIER MATEO ZARZA</t>
  </si>
  <si>
    <t>ANDREA GARCIA BERNAL</t>
  </si>
  <si>
    <t>EUSEBIO ESTEBAN SOLANO</t>
  </si>
  <si>
    <t>LUIS VIRGILIO FERNANDEZ GARNES</t>
  </si>
  <si>
    <t>MARI CARMEN MARTINEZ CONTRERAS</t>
  </si>
  <si>
    <t>MANUEL SERAFIN RODRIGUEZ RIVERA</t>
  </si>
  <si>
    <t>EUSEBIO FERNANDEZ CASASOLA</t>
  </si>
  <si>
    <t>RAMON TENA CENTELLES</t>
  </si>
  <si>
    <t>ENRIQUE PEREZ VILAS</t>
  </si>
  <si>
    <t>MANUEL FERNANDEZ GONZALEZ</t>
  </si>
  <si>
    <t>REYES MARTIN DE PRADO</t>
  </si>
  <si>
    <t>TEODORA OLMOS OLMOS</t>
  </si>
  <si>
    <t>DRA. MARÍA DEL MAR MEDINA GONZÁLEZ</t>
  </si>
  <si>
    <t>JOSE MARIA RANSANZ BERMEJO</t>
  </si>
  <si>
    <t>JORGE TAMARIT RODRIGUEZ</t>
  </si>
  <si>
    <t>FRANCISCA FERNANDEZ CABRERA</t>
  </si>
  <si>
    <t>MONICA CHECA MARTINEZ</t>
  </si>
  <si>
    <t>MERCEDES PARRADO SEOANE</t>
  </si>
  <si>
    <t>DRA. PAULA MARTÍNEZ-RUIZ DE APOCADA</t>
  </si>
  <si>
    <t>ISIDRO QUINTANILLA ALEGRIA</t>
  </si>
  <si>
    <t>NATIVIDAD ALONSO ELVIRA</t>
  </si>
  <si>
    <t>DR. RAFAEL SANZ TRENADO</t>
  </si>
  <si>
    <t>JUAN JOSE GARCIA MARTIN</t>
  </si>
  <si>
    <t>DRA. BERTA ALEGRE EDO</t>
  </si>
  <si>
    <t>VICTOR EWALD DRESBACH ARGENTI</t>
  </si>
  <si>
    <t>MARIA DIOLINDA OTERO MERA</t>
  </si>
  <si>
    <t>MARIA ANGELES UGARTE MARTINEZ</t>
  </si>
  <si>
    <t>MARIA TERESA OLIVAN GONZALEZ</t>
  </si>
  <si>
    <t>BRUNO AGUILAR URQUIJO</t>
  </si>
  <si>
    <t>CAROLINA ARRANZ JIMENEZ</t>
  </si>
  <si>
    <t>DR. JOSÉ RUIZ COELLO MORATALLA</t>
  </si>
  <si>
    <t>ISABEL PEREZ PADILLA</t>
  </si>
  <si>
    <t>ROSA LOPEZ CUADRADO</t>
  </si>
  <si>
    <t>DR. CARLOS DURÁN DÍEZ</t>
  </si>
  <si>
    <t>DAVID ALONSO GARCIA</t>
  </si>
  <si>
    <t>ANA MARIA HERNANDEZ ENRILE</t>
  </si>
  <si>
    <t>DRA. MARÍA DEL MAR MARTÍNEZ RUIZ-COELLO</t>
  </si>
  <si>
    <t>MARIA MERCEDES DE SANTOS SANCHEZ</t>
  </si>
  <si>
    <t>ADVANCED</t>
  </si>
  <si>
    <t>DRA. MARÍA DABLANCO BLANCO</t>
  </si>
  <si>
    <t>SONSOLES MUÑOZ MANCEBO</t>
  </si>
  <si>
    <t>JUAN CARAVACA BOTIAS</t>
  </si>
  <si>
    <t>ROGELIO FANEGA FERNANDEZ</t>
  </si>
  <si>
    <t>JESUS MARIA HERNANDEZ MESONERO</t>
  </si>
  <si>
    <t>ANTONIO RUIZ SOLDAN</t>
  </si>
  <si>
    <t>ALVARO GONZALEZ RODRIGUEZ</t>
  </si>
  <si>
    <t>NURIA MARTINEZ VIDAL</t>
  </si>
  <si>
    <t>DRA. PALOMA MARTIN ARAGON</t>
  </si>
  <si>
    <t>AGUSTIN GARCIA BERMEJO</t>
  </si>
  <si>
    <t>ALICIA MUÑOZ FARALDOS</t>
  </si>
  <si>
    <t>CARIDAD FERNANDEZ NAVARRO</t>
  </si>
  <si>
    <t>ELDA GOMEZ PALMEIRO</t>
  </si>
  <si>
    <t>MARIA JESUS GUTIERREZ DIEZ</t>
  </si>
  <si>
    <t>ANDRES BALLESTER SANCHEZ</t>
  </si>
  <si>
    <t>ISABEL ARTERO BENITEZ</t>
  </si>
  <si>
    <t>TRINIDAD JULIANA GALAN MARTIN</t>
  </si>
  <si>
    <t>ELISA BLANCO VERGARA</t>
  </si>
  <si>
    <t>MIGUEL ANGEL VILORIA MORAN</t>
  </si>
  <si>
    <t>DR. JESÚS EDUARDO RAMÍREZ SALAS</t>
  </si>
  <si>
    <t>PAULA OLMEDO VAQUERO</t>
  </si>
  <si>
    <t>JUNIO</t>
  </si>
  <si>
    <t>JOSE MANUEL MARTOS CAÑETE</t>
  </si>
  <si>
    <t>ELVIRA MARTINEZ SAENZ</t>
  </si>
  <si>
    <t>DRA. LAURA DEL TORO GIL</t>
  </si>
  <si>
    <t>MARIA ISABEL GALAN QUINTANA</t>
  </si>
  <si>
    <t>FUENSANTA VIUDES PUJANTE</t>
  </si>
  <si>
    <t>JUAN IGNACIO MARTINEZ FRANCO</t>
  </si>
  <si>
    <t>CONCHITA SENRA GARCIA</t>
  </si>
  <si>
    <t>JAVIER GILABERT BAUSA</t>
  </si>
  <si>
    <t>JUAN MARIA LOPEZ NAVARRO</t>
  </si>
  <si>
    <t>JUAN VICENTE SANCHEZ RUANO</t>
  </si>
  <si>
    <t>MARIA DOLORES CAAMAÑO FUENTES</t>
  </si>
  <si>
    <t>ANGELES INIESTA SANCHEZ</t>
  </si>
  <si>
    <t>FRANCISCO DE PAULA GARCIA MOLINA</t>
  </si>
  <si>
    <t>DRA. RAQUEL SOLIS VAZQUEZ</t>
  </si>
  <si>
    <t>SOFIA NORIEGA URQUIJO</t>
  </si>
  <si>
    <t>PEDRO SANSEGUNDO DIAZ</t>
  </si>
  <si>
    <t>DR. JUAN RAMÓN PAREDES OSADO</t>
  </si>
  <si>
    <t>RAFAEL SERRANO HEREDIA</t>
  </si>
  <si>
    <t>JULIO ALCOLEA CASTAÑO</t>
  </si>
  <si>
    <t>GINES RODRIGUEZ YAÑEZ</t>
  </si>
  <si>
    <t>MARIA DEL CARMEN MARTIN BALDO</t>
  </si>
  <si>
    <t>ANTONIA ESPINOSA DIAZ</t>
  </si>
  <si>
    <t>DRA. OLGA FERRER ANDINO</t>
  </si>
  <si>
    <t>MARIA DOLORS TOMAS SANTAEULARIA</t>
  </si>
  <si>
    <t>FRANCISCO FELIPE RODRIGUEZ</t>
  </si>
  <si>
    <t>SOLEDAD VILLAYANDRE FRESNO</t>
  </si>
  <si>
    <t>RAFAEL DELGADO HERNANDEZ</t>
  </si>
  <si>
    <t>MARI CARMEN BARBA SANCHEZ</t>
  </si>
  <si>
    <t>PILAR OJESTO BARAJAS</t>
  </si>
  <si>
    <t>CARMEN GOMEZ SERRANO</t>
  </si>
  <si>
    <t>TERESA BARCO SANTOS</t>
  </si>
  <si>
    <t>DR. CARLOS DE PAULA VERNETTA</t>
  </si>
  <si>
    <t>JUAN DE DIOS CAÑETE PEREZ</t>
  </si>
  <si>
    <t>DR. JOSÉ Mª RELANZÓN LOPEZ</t>
  </si>
  <si>
    <t>CARIDAD ARACELI GARCIA BRICEÑO</t>
  </si>
  <si>
    <t>MARIA DEL CARMEN YEPES RODRIGUEZ</t>
  </si>
  <si>
    <t>Vilagarcía De Arousa</t>
  </si>
  <si>
    <t>CONCEPCION TARRIO VAZQUEZ</t>
  </si>
  <si>
    <t>DR. ALBERTO TAUSTE GÓMEZ</t>
  </si>
  <si>
    <t>Mª LUZ SOLIVA LUCAS</t>
  </si>
  <si>
    <t>ANA ROSA SIERRA VALLADARES</t>
  </si>
  <si>
    <t>DR. MIQUEL GUIRAO CANO</t>
  </si>
  <si>
    <t>SEBASTIA CASES MILLAN</t>
  </si>
  <si>
    <t>MARIA RUIZ PLAZA</t>
  </si>
  <si>
    <t>JOSE FELIX MATEO BAÑO</t>
  </si>
  <si>
    <t>DR. MANUEL MATEOS FERNÁNDEZ</t>
  </si>
  <si>
    <t>CONRAD PUJOL MARCO</t>
  </si>
  <si>
    <t>DRA. IRENE MÁRMOL SZMOBATHY</t>
  </si>
  <si>
    <t>MARIA TRINIDAD RECIO GOMEZ</t>
  </si>
  <si>
    <t>FRANCISCA MARTIN RAMOS</t>
  </si>
  <si>
    <t>JOSEFA LOPEZ MARTIN</t>
  </si>
  <si>
    <t>NURIA SEGURA MONTIEL</t>
  </si>
  <si>
    <t>ADRIAN ACEBES SENIN</t>
  </si>
  <si>
    <t>DIGNA FERRERAS IZQUIERDO</t>
  </si>
  <si>
    <t>FERNANDO DE MIGUEL GALLEGO</t>
  </si>
  <si>
    <t>MARIA MARTA ESCRIBANO SAN GERMAN</t>
  </si>
  <si>
    <t>DRA. MARTA MORATO GALÁN</t>
  </si>
  <si>
    <t>ANA MARIA MUNTEANU</t>
  </si>
  <si>
    <t>MARIA PILAR COBO LAVIN</t>
  </si>
  <si>
    <t>ESPERANZA GOMEZ PINA</t>
  </si>
  <si>
    <t>SANTOS ALVAREZ GARCIA</t>
  </si>
  <si>
    <t>DEBORA RODRIGUEZ FERNANDEZ</t>
  </si>
  <si>
    <t>DR. MANUEL GÓMEZ FIÑANA</t>
  </si>
  <si>
    <t>BLAS CORTES GONZALEZ</t>
  </si>
  <si>
    <t>MARIA CARRICONDO RAMOS</t>
  </si>
  <si>
    <t>TEODORA GARCIA RIVERA</t>
  </si>
  <si>
    <t>RAQUEL JIMENEZ BOLIVAR</t>
  </si>
  <si>
    <t>DRA. ESTRELLA GÓMEZ TOMÉ</t>
  </si>
  <si>
    <t>JULIO ORDEN MARIN</t>
  </si>
  <si>
    <t>EMILIO GALLEGO SANTOS</t>
  </si>
  <si>
    <t>FRANCISCO PEDRAZ ANDRES</t>
  </si>
  <si>
    <t>VERONA CHRISTINA BURNETT</t>
  </si>
  <si>
    <t>Plasencia</t>
  </si>
  <si>
    <t>ESTHER GUTIERREZ CAÑADA</t>
  </si>
  <si>
    <t>RAMON BARREIRO BOTANA</t>
  </si>
  <si>
    <t>DRA. DARÁ SÁNCHEZ RUIZ</t>
  </si>
  <si>
    <t>CANDIDA GARRIDO LAGO</t>
  </si>
  <si>
    <t>FELIX COUÑAGO MIGUEZ</t>
  </si>
  <si>
    <t>JOSE VICENTE RAMOS MANZANEQUE</t>
  </si>
  <si>
    <t>FELICIANA HERVAS GILO</t>
  </si>
  <si>
    <t>MARIA JESUS HERRERA RODRIGUEZ</t>
  </si>
  <si>
    <t>ANA BENITEZ GARCIA</t>
  </si>
  <si>
    <t>BERNARDINO SANCHEZ ROMERO</t>
  </si>
  <si>
    <t>BLAS JOSE BRUNETE SOMOLINOS</t>
  </si>
  <si>
    <t>FRANCISCO GIL DIEGO</t>
  </si>
  <si>
    <t>MAGDALENA CRUZ JIMENEZ</t>
  </si>
  <si>
    <t>ROSENDO GALLEGO SANCHEZ</t>
  </si>
  <si>
    <t>MARIA DOLORES GONZALEZ PUJANTE</t>
  </si>
  <si>
    <t>MARIA PAZ GARDON PEREZ</t>
  </si>
  <si>
    <t>DR. JUAN LOSADA CAMPA</t>
  </si>
  <si>
    <t>MARIANO MARCOS CASTROMONTE</t>
  </si>
  <si>
    <t>DRA. GUADALUPE SEQUEIROS SANTIAGO</t>
  </si>
  <si>
    <t>MARIA DEL CARMEN LOPEZ CORREA</t>
  </si>
  <si>
    <t>MARIA ANDINO GONZALO</t>
  </si>
  <si>
    <t>CELEDONIA BEJARANO DELGADO</t>
  </si>
  <si>
    <t>DOMINGO ESPINOSA SAENZ</t>
  </si>
  <si>
    <t>GUADALUPE HOLGADO POLO</t>
  </si>
  <si>
    <t>AGUSTIN ORTIZ MELGUIZO</t>
  </si>
  <si>
    <t>JOSEFA MARIN MORENO</t>
  </si>
  <si>
    <t>JOSE CARLOS HERNANDEZ CASTELL</t>
  </si>
  <si>
    <t>MARIA ISABEL VALLE MORENO OLIVER</t>
  </si>
  <si>
    <t>JUAN MANUEL VARELA LAMAS</t>
  </si>
  <si>
    <t>PILAR PATON SIMON</t>
  </si>
  <si>
    <t>FELISA ANGELA RAFAELE</t>
  </si>
  <si>
    <t>JOSE ANTONIO GARCIA SANZ</t>
  </si>
  <si>
    <t>DR. CRISTINA ALONSO GONZÁLEZ</t>
  </si>
  <si>
    <t>LAURA SOLIS TORO</t>
  </si>
  <si>
    <t>DRA. VICTORIA DUQUE HOLGUERA</t>
  </si>
  <si>
    <t>FELIX GARCIA GARCIA</t>
  </si>
  <si>
    <t>Cambados</t>
  </si>
  <si>
    <t>CARMEN SEÑORANS PAZ</t>
  </si>
  <si>
    <t>VICTORIA BLAZQUEZ</t>
  </si>
  <si>
    <t>ELEAZAR HERVAS OLIVARES</t>
  </si>
  <si>
    <t>JOSE HERRERO DIEZ</t>
  </si>
  <si>
    <t>MARIA CRUZ RODRIGUEZ DIEZ</t>
  </si>
  <si>
    <t>MARIA ESPERANZA BRAVO MARIN</t>
  </si>
  <si>
    <t>PILAR IZQUIERDO MORILLO</t>
  </si>
  <si>
    <t>DR. JOAQUIN GUTIERREZ BARQUIN</t>
  </si>
  <si>
    <t>FELIPE RODRIGUEZ COCA</t>
  </si>
  <si>
    <t>DR. ENRIQUE GÓMEZ ALDAZ</t>
  </si>
  <si>
    <t>FRANCISCO RODRIGUEZ RODRIGUEZ</t>
  </si>
  <si>
    <t>BONIFACIA SANCHEZ SOSA</t>
  </si>
  <si>
    <t>ASUNCION CHECA MAYORDOMO</t>
  </si>
  <si>
    <t>FRANCESC RAMON JUAN RICO</t>
  </si>
  <si>
    <t>DELFINA CONCEPCION GARCIA RAMOS</t>
  </si>
  <si>
    <t>MARIA PUY LUCIA OCHOA ECHAVARRI</t>
  </si>
  <si>
    <t>ALICIA CARLON ORTIZ</t>
  </si>
  <si>
    <t>MARIA LUISA ARGUMANEZ LEO</t>
  </si>
  <si>
    <t>MERCEDES OLIVAR ORGAZ</t>
  </si>
  <si>
    <t>SAMUEL RODELGO CALVO</t>
  </si>
  <si>
    <t>DR. LUIS JIMÉNEZ FERRERES</t>
  </si>
  <si>
    <t>JOSE TABOADA LOBIT</t>
  </si>
  <si>
    <t>JUAN ORCAJADA BARQUEROS</t>
  </si>
  <si>
    <t>MARTA SANCHEZ ROBLES</t>
  </si>
  <si>
    <t>JOHN HOUGHTON WALTON</t>
  </si>
  <si>
    <t>MARIA ISABEL GARCIA MUÑEZ</t>
  </si>
  <si>
    <t>MARIA ROSA MARTIN RODRIGUEZ</t>
  </si>
  <si>
    <t>NARCISA HERNANDEZ HERNANDEZ</t>
  </si>
  <si>
    <t>RAMON MELCHOR MARTIN</t>
  </si>
  <si>
    <t>JUAN RAMON SEGALES PATSI</t>
  </si>
  <si>
    <t>SEVILLA- MONTOTO</t>
  </si>
  <si>
    <t>ANA GARCIA CARDOSO</t>
  </si>
  <si>
    <t>KEY 4 RECARGABLES</t>
  </si>
  <si>
    <t>JOSE DEL VALLE LINDES</t>
  </si>
  <si>
    <t>FLORENCIO MARUGAN JIMENEZ</t>
  </si>
  <si>
    <t>MARIA DOLORES GARCIA AVILA</t>
  </si>
  <si>
    <t>JOSEFA GONZALEZ CASTRO</t>
  </si>
  <si>
    <t>ANGEL ALCALDE LASANTA</t>
  </si>
  <si>
    <t>REMEDIOS FELPETO PRIETO</t>
  </si>
  <si>
    <t>ANA MARIA BIOSCA GARCIA</t>
  </si>
  <si>
    <t>JUAN JOSE MORENO RODRIGUEZ</t>
  </si>
  <si>
    <t>ANTONIO ALVAREZ GARCIA</t>
  </si>
  <si>
    <t>MARIA VICTORIA ALCAZAR FERNANDEZ</t>
  </si>
  <si>
    <t>HALIMA MAIZI</t>
  </si>
  <si>
    <t>MICHAEL BOSWELL</t>
  </si>
  <si>
    <t>CHAFIA BOUHAL</t>
  </si>
  <si>
    <t>LAUREANO MERCADER ALCALAZ</t>
  </si>
  <si>
    <t>VICENTE CABRERA MOYANO</t>
  </si>
  <si>
    <t>DR. GUSTAVO BENAVENTE BERMUDO</t>
  </si>
  <si>
    <t>ARIADNA VALCARCEL ROMERO</t>
  </si>
  <si>
    <t>CARMEN MARIA SOLIS TRIGOS</t>
  </si>
  <si>
    <t>FRANCISCO JAVIER MARTINEZ CANA</t>
  </si>
  <si>
    <t>ANTONIO TARDIO CUELLAR</t>
  </si>
  <si>
    <t>DRA. CELIA LÓPEZ MOLLA</t>
  </si>
  <si>
    <t>MARGOT VELEZ RIVAS</t>
  </si>
  <si>
    <t>DR. JOAQUÍN PÉREZ VILLAR</t>
  </si>
  <si>
    <t>CARMEN PEDREIRA VAZQUEZ</t>
  </si>
  <si>
    <t>RAMON ROCA AUVI</t>
  </si>
  <si>
    <t>AMPARO ANDUJAR RUIZ</t>
  </si>
  <si>
    <t>DR. MANUEL MARTÍ PEÑA</t>
  </si>
  <si>
    <t>CATALINA SOLANO GASPAR</t>
  </si>
  <si>
    <t>MARTA PAULETE PISTON</t>
  </si>
  <si>
    <t>MARIA DOLORES BEARAN POLLAN</t>
  </si>
  <si>
    <t>CRISTINA PIZARRO LOPEZ</t>
  </si>
  <si>
    <t>JOSE ANTONO SANCHEZ PEREZ</t>
  </si>
  <si>
    <t>FRANCISCO ARRABAL PEREGRINA</t>
  </si>
  <si>
    <t>DRA. TERESA RIVERA SCHMITZ</t>
  </si>
  <si>
    <t>ENCARNACION ADRIAN ESPINA</t>
  </si>
  <si>
    <t>ABDELLAH SERGHINI</t>
  </si>
  <si>
    <t>ANGEL PEREZ HIDALGO</t>
  </si>
  <si>
    <t>AMELIA MARTINEZ ALOS</t>
  </si>
  <si>
    <t>DRA. MARGARITA REYES DÍAZ</t>
  </si>
  <si>
    <t>MARILUZ RODRIGUEZ CARRIL</t>
  </si>
  <si>
    <t>ANTONIO GONZALEZ RUIZ</t>
  </si>
  <si>
    <t>MADRID- CANILLAS</t>
  </si>
  <si>
    <t>MARTIN PRIETO ROMAN</t>
  </si>
  <si>
    <t>NEXIA 5 DRWC BLACK</t>
  </si>
  <si>
    <t>YOLANDA DIAZ MARTIN</t>
  </si>
  <si>
    <t>CARMEN CERROLAZA APARICIO</t>
  </si>
  <si>
    <t>MARIONA MERCADE CAMPABADAL</t>
  </si>
  <si>
    <t>JOSE ALVAREZ MARTINEZ</t>
  </si>
  <si>
    <t>DR. ÁNGEL BATUECAS CALETRÍO</t>
  </si>
  <si>
    <t>MARIA JOSE GARCIA BEJARANO</t>
  </si>
  <si>
    <t>MARIA MONTERO CORTES</t>
  </si>
  <si>
    <t>TERESA AVILA ALONSO</t>
  </si>
  <si>
    <t>ANA MARIA ESQUE PEÑARANDA</t>
  </si>
  <si>
    <t>ADELINA MARTINEZ SAMPRON</t>
  </si>
  <si>
    <t>JULIO</t>
  </si>
  <si>
    <t>MARIA LUISA REBOREDO GONZALEZ</t>
  </si>
  <si>
    <t>JOSEFA COSTA FENOR</t>
  </si>
  <si>
    <t>SALAMANCA</t>
  </si>
  <si>
    <t>DRA. MARTA CALVO PÉREZ</t>
  </si>
  <si>
    <t>MARIA DEL CARMEN GARCIA GONZALEZ</t>
  </si>
  <si>
    <t>SEVILLA- CIENCIAS</t>
  </si>
  <si>
    <t>ENCARNI MEMBRIVE CASTILLA</t>
  </si>
  <si>
    <t>DR. JUAN LATORRE LÓPEZ</t>
  </si>
  <si>
    <t>ELISA LOUREIRO PENA</t>
  </si>
  <si>
    <t>EUFEMIA ALBA HERRERO</t>
  </si>
  <si>
    <t>MARINA PENEDO RODRIGUEZ</t>
  </si>
  <si>
    <t>DRA. LAURA GAÑÁN ALBUISECH</t>
  </si>
  <si>
    <t>PEDRO MORALES DELGADO</t>
  </si>
  <si>
    <t>ELISABETH ROMAN BORREGA</t>
  </si>
  <si>
    <t>RICARDO ASENSIO NADAL</t>
  </si>
  <si>
    <t>ANTONIO GONZALVEZ LLORENTE</t>
  </si>
  <si>
    <t>PILAR RIVERA CORIA</t>
  </si>
  <si>
    <t>MARIA DOLORES FERNANDEZ GARCIA</t>
  </si>
  <si>
    <t>REMEDIOS GONZALEZ VAZQUEZ</t>
  </si>
  <si>
    <t>JAVIER GARCIA CUESTA</t>
  </si>
  <si>
    <t>JOAN ESTEBAN BONCOMPTE SAZ</t>
  </si>
  <si>
    <t>BADAJOZ</t>
  </si>
  <si>
    <t>DR. ISIDORO RUBIO CORREA</t>
  </si>
  <si>
    <t>FATIMA GARCIA NUÑEZ</t>
  </si>
  <si>
    <t>ENCARNACION FERNANDEZ ARIAS</t>
  </si>
  <si>
    <t>ERIC JAMES ALLWORTHY</t>
  </si>
  <si>
    <t>MIGUEL ANGEL SARDINA HERNANDEZ</t>
  </si>
  <si>
    <t>ESTEBAN LEIVAS ZAQUER</t>
  </si>
  <si>
    <t>DR. ELADIO SICILIA MALUENDA</t>
  </si>
  <si>
    <t>MIGUEL PRATS ESTEVE</t>
  </si>
  <si>
    <t>GLORIA JIMENEZ SILVAN</t>
  </si>
  <si>
    <t>Manuel Magan Riveira</t>
  </si>
  <si>
    <t>DR. JOSE ANTONIO TORRE EIRIZ</t>
  </si>
  <si>
    <t>NIEVES OTERO SAMPAYO</t>
  </si>
  <si>
    <t>SANTIAGO GONZALEZ ARAGON</t>
  </si>
  <si>
    <t>JUAN SALMERON TORRES</t>
  </si>
  <si>
    <t>ELVIRA LLORET ARACIL</t>
  </si>
  <si>
    <t>SANTOS MANUEL PROTOMARTIR VAQUERO</t>
  </si>
  <si>
    <t>DRA. MARÍA CECILIA SCOLA TORRES</t>
  </si>
  <si>
    <t>CONSTANTINA GARCIA FERNANDEZ</t>
  </si>
  <si>
    <t>BARBARA ANNE ELLIS</t>
  </si>
  <si>
    <t>DAVID ESQUILA MARTIN</t>
  </si>
  <si>
    <t>CARMEN VIRGINIA VERA CABRERA</t>
  </si>
  <si>
    <t>DIVINA FERNANDEZ VIDAL</t>
  </si>
  <si>
    <t>ANA ISABEL COPETE PEREZ</t>
  </si>
  <si>
    <t>ALFREDO VERGARA MONZON</t>
  </si>
  <si>
    <t>DRA. CRISTINA POVEDANO FERNÁNDEZ</t>
  </si>
  <si>
    <t>ELVIRA PEREZ SERRANO</t>
  </si>
  <si>
    <t>LLANOS YANINI LOPEZ</t>
  </si>
  <si>
    <t>TANIA LOPEZ MUÑOZ</t>
  </si>
  <si>
    <t>JUSTO FERNANDEZ TRAPA</t>
  </si>
  <si>
    <t>MARIA DEL CARMEN SANCHEZ HERNANDEZ</t>
  </si>
  <si>
    <t>GUILLERMO JOSE CRUZ GARCIA</t>
  </si>
  <si>
    <t>ASSUMPTA BOIX VILARO</t>
  </si>
  <si>
    <t>CÁCERES</t>
  </si>
  <si>
    <t>MARIA JESUS VELA ANDRADA</t>
  </si>
  <si>
    <t>LOGROÑO</t>
  </si>
  <si>
    <t>LUIS MARIA SAENZ RUIZ</t>
  </si>
  <si>
    <t>MARIA ANGELES CORREDOIRA CORREDOIRA</t>
  </si>
  <si>
    <t>PEDRO GUTIERREZ GONZALEZ</t>
  </si>
  <si>
    <t>DELMIRO FERNANDEZ GONZALEZ</t>
  </si>
  <si>
    <t>MARIA FELISA GONZALEZ FREIR</t>
  </si>
  <si>
    <t>FLORENTINA BLANCO HERNANDEZ</t>
  </si>
  <si>
    <t>DR. AGUSTÍN CAMPOS CATALÁ</t>
  </si>
  <si>
    <t>CARMEN HERVAS MARTINEZ</t>
  </si>
  <si>
    <t>MARIA JOSEFA BLANCO BLANCO</t>
  </si>
  <si>
    <t>EMILIA GARCIA BARRAJON</t>
  </si>
  <si>
    <t>ANTONIO GUTIERREZ FERNADEZ-VELILLA</t>
  </si>
  <si>
    <t>PILAR TORRES MOYA</t>
  </si>
  <si>
    <t>MARIA JOSE REINOSO GARCIA</t>
  </si>
  <si>
    <t>FRANCISCO DE PEDRO MERINO</t>
  </si>
  <si>
    <t>DR. JAIME LEACHE PUEYO</t>
  </si>
  <si>
    <t>CARMELO PUYUELO ARLEGUI</t>
  </si>
  <si>
    <t>JOSEFA GARCIA LLORET</t>
  </si>
  <si>
    <t>JESUS VALENTIN IGLESIAS TEIJEIRO</t>
  </si>
  <si>
    <t>TEOFILO SASTRE HERNANDEZ</t>
  </si>
  <si>
    <t>ANGEL DIAZ FERREIROS</t>
  </si>
  <si>
    <t>ANTONIO TORRENTE VELA</t>
  </si>
  <si>
    <t>SALVADOR GIL MUÑOZ</t>
  </si>
  <si>
    <t>DR. ALBERTO RAPOSO JIMÉNEZ</t>
  </si>
  <si>
    <t>ANDRES JOSE MATEO FRUCTUOSO</t>
  </si>
  <si>
    <t>JOAQUIN JIMENEZ GALAN</t>
  </si>
  <si>
    <t>MARIA FLAVIA FREITAS COELHO</t>
  </si>
  <si>
    <t>DRA. BEATRIZ SANTOS DUQUE</t>
  </si>
  <si>
    <t>ISABEL DUQUE LOPEZ</t>
  </si>
  <si>
    <t>JOSE IGNACIO HURTADO ECHEVARRIA</t>
  </si>
  <si>
    <t>RAMON GARCIA ALMELA</t>
  </si>
  <si>
    <t>MARIA DEL PRADO ARROGANTE PEREZ</t>
  </si>
  <si>
    <t>DRA. VANESA PÉREZ GUILLÉN</t>
  </si>
  <si>
    <t>OTILIA SORIA GOMEZ</t>
  </si>
  <si>
    <t>EDUARDO FERNANDEZ LOPEZ</t>
  </si>
  <si>
    <t>MARIA VICTORIA DE FRUTOS HERNANDEZ</t>
  </si>
  <si>
    <t>CONCEPCION MONTERO GARCIA</t>
  </si>
  <si>
    <t>MARIA ROUCO CUTRIN</t>
  </si>
  <si>
    <t>PASTORA RODRIGUEZ BELLO</t>
  </si>
  <si>
    <t>ANTONIO MONTERO BENJUMEA</t>
  </si>
  <si>
    <t>MERCEDES BRAVO MORENO</t>
  </si>
  <si>
    <t>DR. JOSÉ MONTALT MARCO</t>
  </si>
  <si>
    <t>CARMEN BAVIERA BARTUAL</t>
  </si>
  <si>
    <t>DRA. FE RUBIO ESCOLANO</t>
  </si>
  <si>
    <t>JAIME CABALLERO VELAZQUEZ</t>
  </si>
  <si>
    <t>VALLADOLID</t>
  </si>
  <si>
    <t>TERESITA ALONSO DE LOS RIOS</t>
  </si>
  <si>
    <t>FRANCISCA MUÑOZ GOMEZ</t>
  </si>
  <si>
    <t>DRA. Ana Gabriela Jover Espla</t>
  </si>
  <si>
    <t>CARMEN SORIA BENITO</t>
  </si>
  <si>
    <t>EUGENIO ALEN SANCHEZ</t>
  </si>
  <si>
    <t>POURNAMI DORADO GALVAN</t>
  </si>
  <si>
    <t>DRA. CONCEPCION RODRÍGUEZ IZQUIERDO</t>
  </si>
  <si>
    <t>FERMINA SERRANO FOURNIER</t>
  </si>
  <si>
    <t>ALICIA COLLADO SANCHEZ</t>
  </si>
  <si>
    <t>TEODORA ALCAIDE GONZALEZ</t>
  </si>
  <si>
    <t>JOSE GUILLEN PARDO</t>
  </si>
  <si>
    <t>ALBERTO IGLESIAS PEREZ</t>
  </si>
  <si>
    <t>VIDAL RUFO BRAVO</t>
  </si>
  <si>
    <t>DRA. ANA GIRIBET FERNANDEZ-PACHECO</t>
  </si>
  <si>
    <t>ANDRES MARTINEZ MORENO</t>
  </si>
  <si>
    <t>MANUEL SERVERA RODRIGUEZ</t>
  </si>
  <si>
    <t>CARMEN BUENO FERNANDEZ</t>
  </si>
  <si>
    <t>MARIA SOFIA GOMEZ RODRIGUEZ</t>
  </si>
  <si>
    <t>DR. JOSÉ LUIS BATLLES MEDINA</t>
  </si>
  <si>
    <t>ISABEL RUIZ LOPEZ</t>
  </si>
  <si>
    <t>MARIA DOLORES CADILLO RIVAS</t>
  </si>
  <si>
    <t>BLANCA GARCIA CRIADO</t>
  </si>
  <si>
    <t>JUANA SOBRINO TAPIADOR</t>
  </si>
  <si>
    <t>VICTOR EMILIO FERNANDEZ NAVARRO</t>
  </si>
  <si>
    <t>ETELVINA FERNANDEZ PEREZ</t>
  </si>
  <si>
    <t>VICENTE DIAZ LEDESMA</t>
  </si>
  <si>
    <t>JUANA FRANCO SERRANO</t>
  </si>
  <si>
    <t>ROSALIND LINDA SUTER</t>
  </si>
  <si>
    <t>FRANCISCO GUTIERREZ MARTIN</t>
  </si>
  <si>
    <t>MARIA DOLORES PEREZ GASCON</t>
  </si>
  <si>
    <t>DR. JORGE FREIJANES OTERO</t>
  </si>
  <si>
    <t>YOLANDA LUENGO CASCO</t>
  </si>
  <si>
    <t>JOAQUIN VAZQUEZ OTERO</t>
  </si>
  <si>
    <t>GINES SANCHEZ MARTINEZ</t>
  </si>
  <si>
    <t>INES ROSALIA SANCHEZ MUÑOZ</t>
  </si>
  <si>
    <t>RAFAEL GONZALEZ-FRIAS MARTINEZ</t>
  </si>
  <si>
    <t>CELIA MAYORDOMO VAQUERO</t>
  </si>
  <si>
    <t>ALFIE STUART JASON BROTHERTON</t>
  </si>
  <si>
    <t>DRA. MARÍA LOURDES HERNÁNDEZ DE LOS SANTOS</t>
  </si>
  <si>
    <t>MARIA ANGELES BOMBIN HORTELANO</t>
  </si>
  <si>
    <t>MERCEDES SANCHEZ SERRA</t>
  </si>
  <si>
    <t>RAMON QUEROL MURLA</t>
  </si>
  <si>
    <t>LEÓN</t>
  </si>
  <si>
    <t>JESUS VALDERREY PRIETO</t>
  </si>
  <si>
    <t>TERESA MONTOYA PARRAGA</t>
  </si>
  <si>
    <t>DR. JUAN CARLOS DEL POZO DE DIOS</t>
  </si>
  <si>
    <t>MARIA JOSEFA DEL POZO SANTOS</t>
  </si>
  <si>
    <t>LUCIANO LINDO JIMENEZ</t>
  </si>
  <si>
    <t>JOSE ANTONIO SANTOS ERDOZAIN</t>
  </si>
  <si>
    <t>DIONISIO ROMERO GONZALEZ</t>
  </si>
  <si>
    <t>JESUS MARIA MONTOYA PEÑA</t>
  </si>
  <si>
    <t>JUAN CASARUBIOS GAMO</t>
  </si>
  <si>
    <t>LAURA USEROS BUENO</t>
  </si>
  <si>
    <t>CARLOS HUERTAS NUÑEZ</t>
  </si>
  <si>
    <t>DOLORES SERRANO DIEZ</t>
  </si>
  <si>
    <t>MARIA DEL CARMEN LEON COBOS</t>
  </si>
  <si>
    <t>NATIVIDAD LOPEZ PAUL</t>
  </si>
  <si>
    <t>JUAN GONZALEZ GALLARDO</t>
  </si>
  <si>
    <t>JOSE MARIA TRONCOSO PERERA</t>
  </si>
  <si>
    <t>MANUEL FERNANDEZ ALONSO</t>
  </si>
  <si>
    <t>AURORA CIGUELA GRAELLS</t>
  </si>
  <si>
    <t>FEDERICO FERNANDO SORIANO CHARLO</t>
  </si>
  <si>
    <t>MARIA ASCENSION BLANCO SANCHEZ</t>
  </si>
  <si>
    <t>JUAN CARLOS PEREZ GANGOSO</t>
  </si>
  <si>
    <t>JOSE VICENTE MARTINEZ AMOROS</t>
  </si>
  <si>
    <t>ALFREDO CUADRA GARCIA</t>
  </si>
  <si>
    <t>MANUELA RUA BLANCO</t>
  </si>
  <si>
    <t>DRA. NATALY MONTAÑO RUEDA</t>
  </si>
  <si>
    <t>JOSE JOAQUIN CANTOS FRONTELA</t>
  </si>
  <si>
    <t>PEDRO GARCIA NAVARRO</t>
  </si>
  <si>
    <t>ANTONIO SERRANO CAÑETE</t>
  </si>
  <si>
    <t>VICENTA REY BRIGIDANO</t>
  </si>
  <si>
    <t>SOLEDAD MORRONDO SANZ</t>
  </si>
  <si>
    <t>ORLANDO MONTIEL MORALES</t>
  </si>
  <si>
    <t>VICTORIA HERRANZ LLORENTE</t>
  </si>
  <si>
    <t>AITANA GARCIA CALERO</t>
  </si>
  <si>
    <t>JOSEFA HERRAIZ BLANCO</t>
  </si>
  <si>
    <t>LUIS FLAVIANO SANTOS GIL</t>
  </si>
  <si>
    <t>CONCEPCION BUENO IGLESIAS</t>
  </si>
  <si>
    <t>AGOSTO</t>
  </si>
  <si>
    <t>VICENTE DURAN GUERRA</t>
  </si>
  <si>
    <t>MIGUEL ANGEL LOZA URIZAR</t>
  </si>
  <si>
    <t>JESUS GABRIEL ESCOBAR PIRELA</t>
  </si>
  <si>
    <t>FIDELA BUENO SALINERO</t>
  </si>
  <si>
    <t>JULIANA PALENZUELA FERRADAS</t>
  </si>
  <si>
    <t>DR. MARIO CUETOS AZCONA</t>
  </si>
  <si>
    <t>MARIA EVA DEL POZO PARDO</t>
  </si>
  <si>
    <t>ALBERTO MORENO</t>
  </si>
  <si>
    <t>ELVIRA GARCIA GONZALEZ DE LENA</t>
  </si>
  <si>
    <t>GREGORIO LUCAS ORTEGA</t>
  </si>
  <si>
    <t>AGUSTIN VAÑO LAHOZ</t>
  </si>
  <si>
    <t>CARMEN SEVILLANO BACHILLER</t>
  </si>
  <si>
    <t>JUANA MENDEZ CRUZ</t>
  </si>
  <si>
    <t>JOSE ANTONIO PEREZ LOZANO</t>
  </si>
  <si>
    <t>JULIA SUAREZ GARCIA</t>
  </si>
  <si>
    <t>ANTONIO MURIEL NUÑEZ</t>
  </si>
  <si>
    <t>MOHAMED BOUJAKHROUT</t>
  </si>
  <si>
    <t>DRA. CIFUENTES NAVAS</t>
  </si>
  <si>
    <t>MARIA EUGENIA GIL PIZARRO</t>
  </si>
  <si>
    <t>MARIA ISABEL SENDRA MOLINA</t>
  </si>
  <si>
    <t>DRA. SARA FERNANDRZ CASCÓN</t>
  </si>
  <si>
    <t>LUIS ANDRES MARTINEZ</t>
  </si>
  <si>
    <t>JOSE PAVON CORTES</t>
  </si>
  <si>
    <t>FELISA CUENCA CUADRADO</t>
  </si>
  <si>
    <t>DR. FERRAN BALLESTEROS ALONSO</t>
  </si>
  <si>
    <t>FRANCISCO JAVIER SANCHEZ SIGUENZA</t>
  </si>
  <si>
    <t>ANTONIO CAMPI MENDEZ</t>
  </si>
  <si>
    <t>DR. SERGIO CODINA ALONSO</t>
  </si>
  <si>
    <t>JOSE PUMAR RODRIGUEZ</t>
  </si>
  <si>
    <t>DRA. MARÍA AMPARO ÁLVAREZ DE TOLEDO JEUTE</t>
  </si>
  <si>
    <t>JOSEFA MARIN RAMIREZ</t>
  </si>
  <si>
    <t>DR. JUAN PEDRO RUBIO RODRÍGUEZ</t>
  </si>
  <si>
    <t>ANTONIO GERONIMO LOPEZ LOPEZ</t>
  </si>
  <si>
    <t>ANGEL ROBERTO SANCHEZ PUERTO</t>
  </si>
  <si>
    <t>JOSEFA VILARIÑO GARCIA</t>
  </si>
  <si>
    <t>DRA. AURORA LÓPEZ LLAMES</t>
  </si>
  <si>
    <t>TREVOR JOHN CLAY</t>
  </si>
  <si>
    <t>MARIA DEL CARMEN TORREIRO ARES</t>
  </si>
  <si>
    <t>JAIME MARTINEZ CARIDAD</t>
  </si>
  <si>
    <t>JANINA SECZOWEKA</t>
  </si>
  <si>
    <t>DR. JOSÉ MIGUEL COSTA GONZÁLEZ</t>
  </si>
  <si>
    <t>FRANCISCA VERDAGUER MERINO</t>
  </si>
  <si>
    <t>MALIKA MALIKA BEDJA</t>
  </si>
  <si>
    <t>FRANCISCO JAVIER SANCHEZ GUIRAO</t>
  </si>
  <si>
    <t>DRA. BLANCA MARIA MARTINEZ DURO</t>
  </si>
  <si>
    <t>VIRGINIA GOMEZ PEREZ</t>
  </si>
  <si>
    <t>MARIA LUISA MAGAÑA NARRO</t>
  </si>
  <si>
    <t>GUMERSINDO NICOLAS MOSCARDO</t>
  </si>
  <si>
    <t>PERFECTO RODRIGUEZ BARJA</t>
  </si>
  <si>
    <t>FRANCISCO JAVIER TORRES GONZALEZ</t>
  </si>
  <si>
    <t>Mª CARMEN PEREZ VAZQUEZ</t>
  </si>
  <si>
    <t>BLANCA GARCIA SAMPEDRO</t>
  </si>
  <si>
    <t>GERARDO LORENZO CANCIO</t>
  </si>
  <si>
    <t>BENITA DOMINGUEZ MARTIN</t>
  </si>
  <si>
    <t>CARMEN SALAS GUTIERREZ</t>
  </si>
  <si>
    <t>CARMEN GAGO CABRERA</t>
  </si>
  <si>
    <t>DRA. AINA BRUNET</t>
  </si>
  <si>
    <t>INES QUILEZ ABELLANEDA</t>
  </si>
  <si>
    <t>LORENZO ZURDO PEREZ</t>
  </si>
  <si>
    <t>FELIX RODIL ALVAREZ</t>
  </si>
  <si>
    <t>FRANCISCA MATURANA OLLER</t>
  </si>
  <si>
    <t>DRA. MARÍA JOSEFA HERVÁS NÚÑEZ</t>
  </si>
  <si>
    <t>CONCEPCION RODRIGUEZ HERNANDEZ</t>
  </si>
  <si>
    <t>ADORACION MARTINEZ PEINADO</t>
  </si>
  <si>
    <t>DRA. MARTA MESALLES RUIZ</t>
  </si>
  <si>
    <t>MARI LUZ GARCIA PUYO</t>
  </si>
  <si>
    <t>JOAQUIN PARRA MARTINEZ</t>
  </si>
  <si>
    <t>DRA. VIRGINIA DÍAZ GUERRERO</t>
  </si>
  <si>
    <t>EDUARDO OLIVA GOMEZ</t>
  </si>
  <si>
    <t>ANTONIO GASCON RODRIGUEZ</t>
  </si>
  <si>
    <t>DR. VÍCTOR JOSÉ GONZÁLEZ ARIAS</t>
  </si>
  <si>
    <t>MANUEL MARTINEZ MARTINEZ</t>
  </si>
  <si>
    <t>DR. JOSE ANTONIO SANCIPRIANO HERNÁNDEZ</t>
  </si>
  <si>
    <t>ANDRES ESCUDERO GARCIA</t>
  </si>
  <si>
    <t>CARLOS LUIS ENJOLRAS HERNAEZ</t>
  </si>
  <si>
    <t>MARIA ROSARIO GALLEGO FERNANDEZ</t>
  </si>
  <si>
    <t>Joaquim Chaler Vilaseca</t>
  </si>
  <si>
    <t>CANDELA FRESNEDA MAESTRE</t>
  </si>
  <si>
    <t>JOSE ALBERTO FERNANDEZ RUIZ</t>
  </si>
  <si>
    <t>JUAN TERRONES INBERNOM</t>
  </si>
  <si>
    <t>SEPTIEMBRE</t>
  </si>
  <si>
    <t>ANTONIO MANZANOS ALVAREZ</t>
  </si>
  <si>
    <t>MARIA LUISA ALVAREZ MARTINEZ</t>
  </si>
  <si>
    <t>ELVIRA FERNANDEZ RODRIGUEZ</t>
  </si>
  <si>
    <t>TERESA NISTAL GARCIA</t>
  </si>
  <si>
    <t>MIGUEL ANGEL MORANTE GOMEZ</t>
  </si>
  <si>
    <t>JUAN MANUEL VELEZ ZAMORA</t>
  </si>
  <si>
    <t>AURORA LOZANO ALFARA</t>
  </si>
  <si>
    <t>ROSARIO QUINDOS FERNANDEZ</t>
  </si>
  <si>
    <t>O Barco</t>
  </si>
  <si>
    <t>ENCINA FIDALGO TATO</t>
  </si>
  <si>
    <t>DAVID GONZALEZ ARAUJO</t>
  </si>
  <si>
    <t>orl</t>
  </si>
  <si>
    <t>MARIA DE LA CABEZA MENOR CAYUELA</t>
  </si>
  <si>
    <t>ELENA JIMENEZ PEREZ</t>
  </si>
  <si>
    <t>FRANCISCO VINAGRE FEMIA</t>
  </si>
  <si>
    <t>ISIDRO GONZALEZ SANCHEZ</t>
  </si>
  <si>
    <t>DR. MARTÍN EDUARDO MARCANO ACUÑA</t>
  </si>
  <si>
    <t>JOSEFA TOLOSA GARCIA</t>
  </si>
  <si>
    <t>ANTONIO SALINAS PARRAGA</t>
  </si>
  <si>
    <t>SANTIAGA RODRIGUEZ GONZALO</t>
  </si>
  <si>
    <t>JUAN CERDA MONTES</t>
  </si>
  <si>
    <t>WILSON ESPINOZA OROZCO</t>
  </si>
  <si>
    <t>RAMON FARRE PELEGRI</t>
  </si>
  <si>
    <t>JOSE ANTONIO GARCIA GARCIA</t>
  </si>
  <si>
    <t>MILAGROS GARCIA MARTINEZ</t>
  </si>
  <si>
    <t>4 ORL</t>
  </si>
  <si>
    <t>CONCHA GIL PASCUAL</t>
  </si>
  <si>
    <t>RAFAEL MACIA CASTILLO</t>
  </si>
  <si>
    <t>MARINA GOMEZ DE DIEGO</t>
  </si>
  <si>
    <t>MARIA FELICIDAD OLEA MARTINEZ</t>
  </si>
  <si>
    <t>MARIANO CORREIRA CASCON</t>
  </si>
  <si>
    <t>CAROLINA GARCIA VILLAMAÑAN</t>
  </si>
  <si>
    <t>RAFAEL TORRES AMO</t>
  </si>
  <si>
    <t>AgustIn Aranda Hidalgo</t>
  </si>
  <si>
    <t>Lola Lopez GalAn</t>
  </si>
  <si>
    <t>OLGA MARTINEZ DE LA FUENTE</t>
  </si>
  <si>
    <t>ALBERTO JARABO VILLARROEL</t>
  </si>
  <si>
    <t>ANGELES JIMENEZ SANZ</t>
  </si>
  <si>
    <t>22 AUDIOMETRIA CLINICA</t>
  </si>
  <si>
    <t>GREGORIO GOMEZ MORENO</t>
  </si>
  <si>
    <t>DR. XAVIER GONZÁLEZ COMPTA</t>
  </si>
  <si>
    <t>GUILLERMINA SANZ SANZ</t>
  </si>
  <si>
    <t>SOLEDAD FERNANDEZ JURADO</t>
  </si>
  <si>
    <t>JAVIER LACUEVA GOMEZ</t>
  </si>
  <si>
    <t>DR. JAIME MARTÍN CARRANZA</t>
  </si>
  <si>
    <t>PATROCINIO BARBERO MARIA</t>
  </si>
  <si>
    <t>Filomena Velarde Soto</t>
  </si>
  <si>
    <t>JUAN ENRIQUE PEREZ GONZALEZ</t>
  </si>
  <si>
    <t>JOSE BLANCO PEREZ</t>
  </si>
  <si>
    <t>DRA. BELÉN GARCÍA CARREIRA</t>
  </si>
  <si>
    <t>ENRIQUE DIAZ QUINTELA</t>
  </si>
  <si>
    <t>AGUSTIN ORTEGA SANCHEZ</t>
  </si>
  <si>
    <t>ANGELES TORRES RIVERA</t>
  </si>
  <si>
    <t>BLANCA LIDIA VARGAS Lugo</t>
  </si>
  <si>
    <t>DR. ALEJANDRO DÍAZ UÑA</t>
  </si>
  <si>
    <t>EULALIA ESTEVEZ OZORES</t>
  </si>
  <si>
    <t>MICHAEL JOHN MEYRICK</t>
  </si>
  <si>
    <t>RAFAEL PACHON CAPITAN</t>
  </si>
  <si>
    <t>FELIX SANCHEZ CANO</t>
  </si>
  <si>
    <t>PEDRO JESUS MUÑOZ RINCON</t>
  </si>
  <si>
    <t>CONCEPCION PAZ ABANQUEIRO</t>
  </si>
  <si>
    <t>MARIA DE LAS NIEVES BARRERA MORENO</t>
  </si>
  <si>
    <t>JACINTA GUERRERO HERMOSO</t>
  </si>
  <si>
    <t>TERESINHA LOURENÇO DA SILVA</t>
  </si>
  <si>
    <t>MANUELA PILAR ESTEVEZ HERNANDEZ</t>
  </si>
  <si>
    <t>JESUS PEREZ AMOEDO</t>
  </si>
  <si>
    <t>MARIA AMALIA RODRIGUEZ VALCARCEL</t>
  </si>
  <si>
    <t>DR. ANTONIO JOSÉ FERNÁNDEZ PÉREZ</t>
  </si>
  <si>
    <t>PEDRO JOSE ZAMORA FLORES</t>
  </si>
  <si>
    <t>MARIA JOSEFA PUJANTE PASCUAL</t>
  </si>
  <si>
    <t>ANSELMA CUADRADO BAEZA</t>
  </si>
  <si>
    <t>JOSE RODRIGUEZ ARES</t>
  </si>
  <si>
    <t>MARIA TERESA SORIANO FORNIELES</t>
  </si>
  <si>
    <t>ELISEO SENDON SENDON</t>
  </si>
  <si>
    <t>MARIA CARRASCO ASENSIO</t>
  </si>
  <si>
    <t>ANTONIA HERRERA MARTINEZ</t>
  </si>
  <si>
    <t>MARIA DEL CARMEN GARCIA MORA</t>
  </si>
  <si>
    <t>FERMINA APARICIO CEREZO</t>
  </si>
  <si>
    <t>MARGARITA MELON NESTARES</t>
  </si>
  <si>
    <t>MARIA DEL CARMEN PEREZ PINILLAS</t>
  </si>
  <si>
    <t>GABRIEL JIMENEZ MATILLA</t>
  </si>
  <si>
    <t>DR. DINIS ANTUNES SILVA</t>
  </si>
  <si>
    <t>ANGEL PUENTE OCHOA</t>
  </si>
  <si>
    <t>DR. ABEL GUZMÁN CALVETE</t>
  </si>
  <si>
    <t>SIXTO SANTAMARIA GUILLEN</t>
  </si>
  <si>
    <t>DRA. MARTA SANZ RODRÍGUEZ</t>
  </si>
  <si>
    <t>JOSE LUIS FERNANDEZ SANTORIO</t>
  </si>
  <si>
    <t>ESTEBAN CABANILLAS CIUDAD</t>
  </si>
  <si>
    <t>ESPERANZA PEREZ PEÑA</t>
  </si>
  <si>
    <t>JOSE MARIA PIZARRO MACERA</t>
  </si>
  <si>
    <t>FRANCISCO GARCIA MENGUAL</t>
  </si>
  <si>
    <t>MARIA AZOR SALVADOR</t>
  </si>
  <si>
    <t>DR. DANIEL IVÁN MARTÍN JIMÉNEZ</t>
  </si>
  <si>
    <t>MANUEL DELGADO REINA</t>
  </si>
  <si>
    <t>MARIA FELISA PASCUAL MERINO</t>
  </si>
  <si>
    <t>DR. PEDRO GIL PARAÍSO</t>
  </si>
  <si>
    <t>FELIX MARTINEZ BARRANCO</t>
  </si>
  <si>
    <t>ANGELA FERNANDEZ MONTECINO</t>
  </si>
  <si>
    <t>ANGEL ESCUREDO ESCUREDO</t>
  </si>
  <si>
    <t>JOSE GROBAS FUENTES</t>
  </si>
  <si>
    <t>FRANCISCO LOPEZ CORTES</t>
  </si>
  <si>
    <t>JOSE SERRANO GUERRERO</t>
  </si>
  <si>
    <t>JUAN BLANCO SEVILLA</t>
  </si>
  <si>
    <t>DELFINA MALTENLLAN MARTIN</t>
  </si>
  <si>
    <t>ELEUTERIA CAÑIZARES ALCAÑIZ</t>
  </si>
  <si>
    <t>JESUS FERNANDEZ ESPADA</t>
  </si>
  <si>
    <t>NATIVIDAD DUEÑAS ALVAREZ</t>
  </si>
  <si>
    <t>MARIA LUISA GONZALEZ GONZALEZ</t>
  </si>
  <si>
    <t>JULIA GARCIA ATIENZA</t>
  </si>
  <si>
    <t>SANTIAGO CAMINERO GOMEZ</t>
  </si>
  <si>
    <t>CARMEN SEVILLA BAÑOS</t>
  </si>
  <si>
    <t>Ilza Krasimirova Stefanov ilieva</t>
  </si>
  <si>
    <t>JOSEFA ROCAMORA LAJARA</t>
  </si>
  <si>
    <t>MARIA DE LA PAZ FERNANDEZ GARRIDO</t>
  </si>
  <si>
    <t>OCTUBRE</t>
  </si>
  <si>
    <t>JUANA DURAN FERNANDEZ</t>
  </si>
  <si>
    <t>MARIA ESPERANZA SERRANO SANCHEZ</t>
  </si>
  <si>
    <t>JOSEFINA GONZALEZ ORTE</t>
  </si>
  <si>
    <t>LUIS JOSE OLIVAS POLAN</t>
  </si>
  <si>
    <t>ELKE WALDHEIM</t>
  </si>
  <si>
    <t>CLEMENTE CAMARA SAEZ</t>
  </si>
  <si>
    <t>JOSE MORELLO JIMENEZ</t>
  </si>
  <si>
    <t>DRA. ARACELI GONZÁLEZ DELGADO</t>
  </si>
  <si>
    <t>BLANCA NIEVES OLMOS ESCRIBANO</t>
  </si>
  <si>
    <t>DRA. MIRIAM NATSUKI</t>
  </si>
  <si>
    <t>JOSE FOLGADO ROIG</t>
  </si>
  <si>
    <t>ANGELA MENDEZ PEREZ</t>
  </si>
  <si>
    <t>BELEN ARANGUREN LOPEZ</t>
  </si>
  <si>
    <t>ROSARIO SOTO LOPEZ</t>
  </si>
  <si>
    <t>LUIS POVEDANO RUIZ</t>
  </si>
  <si>
    <t>DR. RODRIGUEZ</t>
  </si>
  <si>
    <t>DOLORES LOPEZ ALBIN</t>
  </si>
  <si>
    <t>FEDERICO FRITZSCH INGLES</t>
  </si>
  <si>
    <t>ALBERTO GIRONES MATA</t>
  </si>
  <si>
    <t>JUANA MARIA DOMINGUEZ MARTINEZ</t>
  </si>
  <si>
    <t>RAFAEL PASTOR VIVERO</t>
  </si>
  <si>
    <t>COREENA SHERRATT</t>
  </si>
  <si>
    <t>DR. JOSÉ RAMIRO DE LEÓN LIMA</t>
  </si>
  <si>
    <t>ALICIA CORDERO BARBERO</t>
  </si>
  <si>
    <t>FRANCISCO SANCHEZ FERNANDEZ</t>
  </si>
  <si>
    <t>JOAQUIN JULIA REAL</t>
  </si>
  <si>
    <t>MANUEL ESCANEZ GARCIA</t>
  </si>
  <si>
    <t>DRA. ESTHER DE LA O CORROCHANO</t>
  </si>
  <si>
    <t>SOFIA LOZANO RUIZ</t>
  </si>
  <si>
    <t>JOSE MANUEL PEREZ PIÑO</t>
  </si>
  <si>
    <t>MARIA PIEDAD FRANCO GONZALEZ</t>
  </si>
  <si>
    <t>LUCILA SANCHEZ MARTINEZ</t>
  </si>
  <si>
    <t>TEODORA GAMBOA GARCIA</t>
  </si>
  <si>
    <t>DR. JOSÉ MIGUEL TEJADA BAUTISTA</t>
  </si>
  <si>
    <t>MANUELA YEBRA SANTOS</t>
  </si>
  <si>
    <t>JULIAN SANCHEZ CASADO</t>
  </si>
  <si>
    <t>ACACIA MOLINA IJALBA</t>
  </si>
  <si>
    <t>EUGENIA PEREZ GILETE</t>
  </si>
  <si>
    <t>DR. GONZALO RUIZ MORALES</t>
  </si>
  <si>
    <t>ISABEL RODRIGUEZ RAMIREZ</t>
  </si>
  <si>
    <t>DR. ANDRÉS PAULINO HERRERA</t>
  </si>
  <si>
    <t>ANGEL MARIA MARTINEZ RODRIGUEZ</t>
  </si>
  <si>
    <t>PALMIRA FIZ MARTIN</t>
  </si>
  <si>
    <t>MANUEL PEREZ SANCHEZ</t>
  </si>
  <si>
    <t>LILIANA URIBE FONSECA</t>
  </si>
  <si>
    <t>MARIA ANTONIA GARCIA GOMEZ</t>
  </si>
  <si>
    <t>DRA. ELENA MOLINA FERNÁNDEZ</t>
  </si>
  <si>
    <t>MANUEL CUBERO CASCAJOSA</t>
  </si>
  <si>
    <t>ISAAC SANCHEZ LOZANO</t>
  </si>
  <si>
    <t>GUILLERMO ROJAS FERNANDEZ</t>
  </si>
  <si>
    <t>MANUEL CURRAS PARDO</t>
  </si>
  <si>
    <t>CONCEPCION BAEZA CHILLIDA</t>
  </si>
  <si>
    <t>ROSA BLANCA DEL CANTO FERNANDEZ</t>
  </si>
  <si>
    <t>DR. Jean Franco Intraprendente Martini</t>
  </si>
  <si>
    <t>HERMINIO GONZALEZ GONZALEZ</t>
  </si>
  <si>
    <t>AZUCENA ANDRES RUESTA</t>
  </si>
  <si>
    <t>MILAGROS LOPEZ DEL AMO</t>
  </si>
  <si>
    <t>AVELINO MACHIN PERDICES</t>
  </si>
  <si>
    <t>MATILDE ARIZA SANTOS</t>
  </si>
  <si>
    <t>ENCARNACION ROA GARCIA</t>
  </si>
  <si>
    <t>FRANCISCO JORGE MARTIN</t>
  </si>
  <si>
    <t>DR. SANTIAGO ESTÉVEZ ALONSO</t>
  </si>
  <si>
    <t>ANTONIO MARTIN HERNANDEZ</t>
  </si>
  <si>
    <t>MANUEL NIEVAS PINO</t>
  </si>
  <si>
    <t>DR. PABLO VERGÉS FORT</t>
  </si>
  <si>
    <t>JOSE LIÑAN RUIZ</t>
  </si>
  <si>
    <t>DRA. Mª SOLEDAD FRÍAS MOYA-ANGELER</t>
  </si>
  <si>
    <t>REMEDIOS PEYRO GREGORI</t>
  </si>
  <si>
    <t>EMILIO VALLES MARTINEZ</t>
  </si>
  <si>
    <t>ATILANO IZQUIERDO MARTIN</t>
  </si>
  <si>
    <t>JOSE ANGEL MUÑOZ GOMEZ</t>
  </si>
  <si>
    <t>ANTONIO MARTIN LABRADOR</t>
  </si>
  <si>
    <t>JUAN JOSE AROZARENA POVES</t>
  </si>
  <si>
    <t>MARTIN LOPEZ SOTO</t>
  </si>
  <si>
    <t>RAMON FERNANDEZ FERNANDEZ</t>
  </si>
  <si>
    <t>CARMEN INMACULADA MARTINEZ BOTIAS</t>
  </si>
  <si>
    <t>JOSEFA CORTES VAZQUEZ</t>
  </si>
  <si>
    <t>NICASIO BERNAL CRUZ</t>
  </si>
  <si>
    <t>JESUS GOMEZ GOMEZ</t>
  </si>
  <si>
    <t>MANUEL ANGEL FERNANDEZ GONZALEZ</t>
  </si>
  <si>
    <t>BENITA RIVERA CIPRIAN</t>
  </si>
  <si>
    <t>JUAN ROMERO VILLAFRANCA</t>
  </si>
  <si>
    <t>MARCUS KUSTER</t>
  </si>
  <si>
    <t>ANTONIO ALVAREZ ESTEVEZ</t>
  </si>
  <si>
    <t>JOSE LUIS CARO FRANCO</t>
  </si>
  <si>
    <t>DR. GIANMARCO NARCISO MARTÍNEZ</t>
  </si>
  <si>
    <t>MANUEL ARRIETA LOPEZ-DE LA VIEJA</t>
  </si>
  <si>
    <t>MARIA ANGELES HURTADO PAREJO</t>
  </si>
  <si>
    <t>LUIS HOYOS ORTIZ</t>
  </si>
  <si>
    <t>ISABEL CAMPOS SANCHEZ</t>
  </si>
  <si>
    <t>JOSEFA SANCHEZ SALDAÑA</t>
  </si>
  <si>
    <t>JOSEFA GUTIERREZ PORCUNA</t>
  </si>
  <si>
    <t>ANGEL FERNANDEZ MEDINA</t>
  </si>
  <si>
    <t>LUCIA CABEZAS TORIL</t>
  </si>
  <si>
    <t>LUIS ALFONSO GONZALEZ TEJO</t>
  </si>
  <si>
    <t>ANTONIA ARCE MIRALLES</t>
  </si>
  <si>
    <t>AURORA ZAMORA BERNAL</t>
  </si>
  <si>
    <t>ANDERS STENSTROM</t>
  </si>
  <si>
    <t>RUT ORTEGA IGLESIAS</t>
  </si>
  <si>
    <t>JAVIER FONDEVILA BLANCO</t>
  </si>
  <si>
    <t>MARIA DEL CARMEN NOVOA SALGADO</t>
  </si>
  <si>
    <t>MARCELINO RAMOS ALIA</t>
  </si>
  <si>
    <t>ANTONIO RUIZ ESTRADA</t>
  </si>
  <si>
    <t>FRANCISCO PLAZA GALAN</t>
  </si>
  <si>
    <t>MARIA DEL PILAR PEREA GOMEZ</t>
  </si>
  <si>
    <t>DR. ÁLVARO CARRILLO SOTOS</t>
  </si>
  <si>
    <t>PABLO RUBIO RUBIO</t>
  </si>
  <si>
    <t>MARIA LUZ CAROLINA PEREZ NIETO</t>
  </si>
  <si>
    <t>NELIDA RODRIGUEZ GONZALEZ</t>
  </si>
  <si>
    <t>DOLORES RIBERA NAYA</t>
  </si>
  <si>
    <t>EDUARDO BOSCA SANCHIS</t>
  </si>
  <si>
    <t>MANUEL GARCIA PASCUAL</t>
  </si>
  <si>
    <t>JOSE LUIS MARTINEZ DE LA CUEVA</t>
  </si>
  <si>
    <t>FOUNE DIABY</t>
  </si>
  <si>
    <t>MARIA LUZ PUERTAS ALVAREZ</t>
  </si>
  <si>
    <t>ENCARNACION BARROSO CALLES</t>
  </si>
  <si>
    <t>DRA. MARÍA GABRIELA BOSCO MORALES</t>
  </si>
  <si>
    <t>FELIX SAIZ UTANDA</t>
  </si>
  <si>
    <t>ANTONIA SANCHEZ LARA</t>
  </si>
  <si>
    <t>JESUS MARIA GONZALEZ BENGOECHEA</t>
  </si>
  <si>
    <t>RAQUEL SAENZ BLANCO</t>
  </si>
  <si>
    <t>BENITA RUIZ LOPEZ</t>
  </si>
  <si>
    <t>JOSE GABRIEL LOZANO CARBONELL</t>
  </si>
  <si>
    <t>CRISTINA COSTAS SOTELINO</t>
  </si>
  <si>
    <t>DRA. OLALLA CASTRO MACIA</t>
  </si>
  <si>
    <t>ROSA FRANCISCO DURAN</t>
  </si>
  <si>
    <t>MARGARITA GUIRADO VALERA</t>
  </si>
  <si>
    <t>Mª ANGELES HERNANDEZ GARCIA</t>
  </si>
  <si>
    <t>DR. GUILLERMO PLAZA MAYOR</t>
  </si>
  <si>
    <t>CONSTANTINO RIOS GALLEGO</t>
  </si>
  <si>
    <t>MARIA JOSEFA BLAZQUEZ RODRIGUEZ</t>
  </si>
  <si>
    <t>ANGELA LUIS NIEVA</t>
  </si>
  <si>
    <t>AVELINA MARTA TORRES RODRIGUEZ</t>
  </si>
  <si>
    <t>ENRIQUE RODRIGUEZ RUIZ</t>
  </si>
  <si>
    <t>DR. MIGUEL LUCAS HERRERA</t>
  </si>
  <si>
    <t>JOSE PALAZON MUÑOZ</t>
  </si>
  <si>
    <t>JOAQUIN DAMIAN GARCIA-SOLDADO</t>
  </si>
  <si>
    <t>JOSE ANTONIO GARCIA ARENAS</t>
  </si>
  <si>
    <t>DRA. PALOMA ÁLVAREZ HERNANDRZ</t>
  </si>
  <si>
    <t>ROSARIO MARTIN COLLADO</t>
  </si>
  <si>
    <t>CARMEN CARRION MARIN</t>
  </si>
  <si>
    <t>JOSE JIMENEZ TOVAR</t>
  </si>
  <si>
    <t>DR. FRANCISCO JAVIER AGUILAR VERA</t>
  </si>
  <si>
    <t>ENRIQUE GALLARDO GONZALEZ</t>
  </si>
  <si>
    <t>PABLO LEON VAZQUEZ</t>
  </si>
  <si>
    <t>JULIAN CARRETERO FERNANDEZ</t>
  </si>
  <si>
    <t>JESUS PALLAS ROS</t>
  </si>
  <si>
    <t>DRA. MIREIA GOLET FORS</t>
  </si>
  <si>
    <t>ANA MARIA ARRUEBO CASAJUS</t>
  </si>
  <si>
    <t>Antonia Zuhero Rodriguez</t>
  </si>
  <si>
    <t>JOAN SEGURA ROVIRALTA</t>
  </si>
  <si>
    <t>ANGELES BALLESTEROS RODRIGUEZ</t>
  </si>
  <si>
    <t>CRISTINA GARCIA LOYGORRI</t>
  </si>
  <si>
    <t>MARIA JOSEFA ESTEBAN LOPEZ</t>
  </si>
  <si>
    <t>MARIA SANCHEZ SALINAS</t>
  </si>
  <si>
    <t>FRANCISCO LOPEZ SEGURA</t>
  </si>
  <si>
    <t>SATURNINO SUSMOZAS SANCHEZ CAMACHO</t>
  </si>
  <si>
    <t>JUAN MIGUEL NICOLAS CUARTERO</t>
  </si>
  <si>
    <t>MARIA LUZ CALERO MARCOS</t>
  </si>
  <si>
    <t>CARLOS SANZ ALONSO</t>
  </si>
  <si>
    <t>PEPA LOPEZ PORTERO</t>
  </si>
  <si>
    <t>ANGEL PEREZ REYES</t>
  </si>
  <si>
    <t>DRA. ALEJANDRA JARA MAQUILON</t>
  </si>
  <si>
    <t>PEDRO GARIJO MARTINEZ</t>
  </si>
  <si>
    <t>FRANCISCO PERAL RIBELLES</t>
  </si>
  <si>
    <t>JOSE VICENTE DOMENECH GARCIA</t>
  </si>
  <si>
    <t>GUADALUPE SANCHEZ CINTERO</t>
  </si>
  <si>
    <t>Esther Carbajo Balsa</t>
  </si>
  <si>
    <t>CONCEPCION MARTIN ROSADO</t>
  </si>
  <si>
    <t>JOSE RAMON MORENO RODRIGUEZ</t>
  </si>
  <si>
    <t>MARIA DOLORES ABIA</t>
  </si>
  <si>
    <t>JESUS ZAMORANO DONOSO</t>
  </si>
  <si>
    <t>MARIA ELENA GAVIRIA PARADA</t>
  </si>
  <si>
    <t>ANTONIO SANCHEZ GOMEZ</t>
  </si>
  <si>
    <t>DRA. MARÍA AGUSTINA SEVILLA GARCÍA</t>
  </si>
  <si>
    <t>MARIA ANGELES PASCUAL SANCHEZ</t>
  </si>
  <si>
    <t>MIRIAM CAÑAVERAS MARTINEZ</t>
  </si>
  <si>
    <t>JOSE ANTONIO RIOS TOBAJAS</t>
  </si>
  <si>
    <t>MANUELA PEREZ RUIZ</t>
  </si>
  <si>
    <t>EMILIANO PRIETO PEREZ</t>
  </si>
  <si>
    <t>ELISA MOLINA EDO</t>
  </si>
  <si>
    <t>JOSEFA MENENDEZ PEREZ</t>
  </si>
  <si>
    <t>HENEDINA RIVAS GARCIA</t>
  </si>
  <si>
    <t>CONCHA SANCHEZ PINA</t>
  </si>
  <si>
    <t>ANTONIO MUÑOZ Carballo</t>
  </si>
  <si>
    <t>MERCEDES FERNANDEZ PEREZ</t>
  </si>
  <si>
    <t>MARIA JOSEFA MARTINEZ BARCELO</t>
  </si>
  <si>
    <t>BENIGNO IGLESIAS BLANCO</t>
  </si>
  <si>
    <t>LUZ LOPEZ RODRIGUEZ</t>
  </si>
  <si>
    <t>SANTIAGO DE FRUTOS LOPEZ</t>
  </si>
  <si>
    <t>Noviembre</t>
  </si>
  <si>
    <t>DR. JOAQUIN ALACIO CASERO</t>
  </si>
  <si>
    <t>ROBERTO LOPEZ GONZALEZ</t>
  </si>
  <si>
    <t>SATURNINO GARCIA ALONSO</t>
  </si>
  <si>
    <t>MARIA ANGELES PALACIOS BOZAL</t>
  </si>
  <si>
    <t>PIO RODRIGUEZ GIRON</t>
  </si>
  <si>
    <t>RAMONA MARTIN VIVAS</t>
  </si>
  <si>
    <t>DRA. MIRIAM GONZÁLEZ GARCÍA</t>
  </si>
  <si>
    <t>FRANCISCA CAMPOS ROLDAN</t>
  </si>
  <si>
    <t>Badajoz Europa</t>
  </si>
  <si>
    <t>DR. PEDRO FRANCISCO MARTÍNEZ GUISADO</t>
  </si>
  <si>
    <t>MARIA JESUS NUÑEZ ROMAN</t>
  </si>
  <si>
    <t>DR. ÁLVARO SÁNCHEZ DE ARRIBA</t>
  </si>
  <si>
    <t>RAMON JIMENEZ LOZANO</t>
  </si>
  <si>
    <t>DANIEL CHARLES FRANCOIS</t>
  </si>
  <si>
    <t>ESTRELLA LOPEZ PRIETO</t>
  </si>
  <si>
    <t>EMILIANA SIERRA GONZALEZ</t>
  </si>
  <si>
    <t>MANUEL SALVADO VAZQUEZ</t>
  </si>
  <si>
    <t>DR. JAVIER PADILLA CABALLERO</t>
  </si>
  <si>
    <t>ANGELES RODRIGUEZ ALVAREZ</t>
  </si>
  <si>
    <t>PORFIRIA DIAZ PEREZ</t>
  </si>
  <si>
    <t>JOSE FLORES GALISTEO</t>
  </si>
  <si>
    <t>JUAN ANTONIO GARCIA SANZ</t>
  </si>
  <si>
    <t>MARIA FERNANDEZ ARREDONDO</t>
  </si>
  <si>
    <t>DRA. LILIANA FILIPA INVENCIO DA COSTA</t>
  </si>
  <si>
    <t>IRENE SANCHEZ CAMARGO</t>
  </si>
  <si>
    <t>EMILIANO SANCHEZ JIMENEZ</t>
  </si>
  <si>
    <t>04 AUDIFONO.ES</t>
  </si>
  <si>
    <t>BENIGNA SANCHEZ GARCIA</t>
  </si>
  <si>
    <t>ELISA FERNANDEZ NUEZ</t>
  </si>
  <si>
    <t>DRA. ESTHER MACON LIQUETE</t>
  </si>
  <si>
    <t>MARISA ROBLEDO CREGO</t>
  </si>
  <si>
    <t>DR. MERCEDES CEBALLOS CAUTO</t>
  </si>
  <si>
    <t>PEDRO MARQUEZ ESCUDERO</t>
  </si>
  <si>
    <t>EMERITA OUVIAÑO LLANO</t>
  </si>
  <si>
    <t>CARLOS JESUS DELGADO JUAN</t>
  </si>
  <si>
    <t>ANTONIA DEL POZO DIAZ</t>
  </si>
  <si>
    <t>JOSE MARTINEZ CABALLERO</t>
  </si>
  <si>
    <t>MIGUEL SANCHEZ BENITEZ</t>
  </si>
  <si>
    <t>FRANCISCO PEREZ BAQUERO</t>
  </si>
  <si>
    <t>JULIO ANDONEGUI SARASOLA</t>
  </si>
  <si>
    <t>AIDIFONO.ES</t>
  </si>
  <si>
    <t>MARCOS MOREIRA GEIJO</t>
  </si>
  <si>
    <t>ANTONIA PEREA DE LAS HERAS</t>
  </si>
  <si>
    <t>ARTURO SIERRA GOMEZ</t>
  </si>
  <si>
    <t>JOSE RUIZ ROS</t>
  </si>
  <si>
    <t>MARIA DEL CARMEN TOBAJAS GALLEGO</t>
  </si>
  <si>
    <t>JOSEFINA ESPAÑA VILCHES</t>
  </si>
  <si>
    <t>CARMEN ROMERO-HOMBREBUENO PLAZA</t>
  </si>
  <si>
    <t>DRA. DESIREÉ MÉNDEZ BRENDERBACHE</t>
  </si>
  <si>
    <t>JESUS GONZÁLEZ PEREZ</t>
  </si>
  <si>
    <t>ANA BASTARRECHE SAGUES</t>
  </si>
  <si>
    <t>ROSA GARZON CAYETANO</t>
  </si>
  <si>
    <t>CEFERINO RODRIGUEZ PEREZ</t>
  </si>
  <si>
    <t>JUAN MANUEL RODRIGUEZ IGLESIAS</t>
  </si>
  <si>
    <t>ROSALIA GASCON MARTIN</t>
  </si>
  <si>
    <t>CARLOS MIGUEL DIAZ PAREJO</t>
  </si>
  <si>
    <t>JESUS REDOMERO COSTERO</t>
  </si>
  <si>
    <t>FRANCISCO CANDIL DEL OLMO</t>
  </si>
  <si>
    <t>DR. JUAN DE DIOS DE LA CALZADA</t>
  </si>
  <si>
    <t>SABINO MOÑIVAS MENDEZ</t>
  </si>
  <si>
    <t>MARIA LUZ NAVAIS GAMERO</t>
  </si>
  <si>
    <t>DRA. CECILIA PÉREZ MARTÍNEZ</t>
  </si>
  <si>
    <t>FRANCISCO POYATO ROMERO</t>
  </si>
  <si>
    <t>MARIA PILAR DIAZ CIDONCHA</t>
  </si>
  <si>
    <t>CONCEPCION MARTINEZ MAYOR</t>
  </si>
  <si>
    <t>DR. PABLO GARCÍA GONZÁLEZ</t>
  </si>
  <si>
    <t>PILAR ULLOA VELAZQUEZ</t>
  </si>
  <si>
    <t>JOSEFA RAMOS PEREZ</t>
  </si>
  <si>
    <t>MARIA ELISA VALENTIN SANCHEZ</t>
  </si>
  <si>
    <t>JOSEFA GARCIA RUIZ</t>
  </si>
  <si>
    <t>DR. PABLO TORRICO ROMÁN</t>
  </si>
  <si>
    <t>JULIANA VIVAS BARRERA</t>
  </si>
  <si>
    <t>MARIA FUENSANTA ESPINOSA MOLINA</t>
  </si>
  <si>
    <t>DRA. ESTEFANIA MIRANDA SÁNCHEZ</t>
  </si>
  <si>
    <t>TOMAS MIRASIERRA LEANDRO</t>
  </si>
  <si>
    <t>MARTIN VIA GASA</t>
  </si>
  <si>
    <t>JOSE MARIA RODRIGUEZ GARCIA</t>
  </si>
  <si>
    <t>MANUEL JUAN LOSADA CRESPO</t>
  </si>
  <si>
    <t>MIGUEL ANGEL VAZQUEZ ANAYA</t>
  </si>
  <si>
    <t>MATILDE PERONA PEREZ</t>
  </si>
  <si>
    <t>VERONICA MORALES LOPEZ</t>
  </si>
  <si>
    <t>PILAR FERNANDEZ DE HEREDIA GARCES</t>
  </si>
  <si>
    <t>MARTHA LILIA CAYOTOPA ESPINOZA</t>
  </si>
  <si>
    <t>DRA. MARTA COLMENERO RUIZ</t>
  </si>
  <si>
    <t>CONCEPCION RUIZ TOLEDO</t>
  </si>
  <si>
    <t>MARIA DEL CARMEN LOPEZ BERLANAS</t>
  </si>
  <si>
    <t>ANTONIA LOPEZ SANCHEZ</t>
  </si>
  <si>
    <t>ANA ROSALES BLANCO</t>
  </si>
  <si>
    <t>ERINO RUSCA</t>
  </si>
  <si>
    <t>MARIA TERESA BERNA MARÍ</t>
  </si>
  <si>
    <t>JUAN CARMELO HERRAEZ CASANOVA</t>
  </si>
  <si>
    <t>MARÍA DEL ROSARIO GONZÁLEZ SEBASTIÁN</t>
  </si>
  <si>
    <t>MARIA DEL PILAR GARCIA RIVAS</t>
  </si>
  <si>
    <t>DR. JOSÉ MARÍA RELANZÓN LÓPEZ</t>
  </si>
  <si>
    <t>MARIA SOLEDAD RELANZON LOPEZ</t>
  </si>
  <si>
    <t>ANA BATANERO DIAZ</t>
  </si>
  <si>
    <t>ANA MARIA BALMORI AISA</t>
  </si>
  <si>
    <t>MANUEL ARLANDIS PALAU</t>
  </si>
  <si>
    <t>RICARDO BACIGALUPE RUBIN</t>
  </si>
  <si>
    <t>DOLORES QUEVEDO ANDRADE</t>
  </si>
  <si>
    <t>ANTONIO FERNANDEZ DEL RIO</t>
  </si>
  <si>
    <t>MARIA DEL CARMEN FERNANDEZ DEL RIO</t>
  </si>
  <si>
    <t>JACINTO CRUZ RUS</t>
  </si>
  <si>
    <t>JAIME REMON HIGUERA</t>
  </si>
  <si>
    <t>ELENA BARON MOLINA</t>
  </si>
  <si>
    <t>FRANCISCO RUIZ VENTURA</t>
  </si>
  <si>
    <t>VALENTIN GARRIDO FERNANDEZ</t>
  </si>
  <si>
    <t>LUIS FERNANDO JUANES MARTIN</t>
  </si>
  <si>
    <t>ISABEL GRANADO FERRERA</t>
  </si>
  <si>
    <t>CONCEPCION QUINTAS SOBRADO</t>
  </si>
  <si>
    <t>JULIA FERNANDEZ SOUTO</t>
  </si>
  <si>
    <t>ESPERANZA MOLINA</t>
  </si>
  <si>
    <t>PEPA CANO JOVER</t>
  </si>
  <si>
    <t>ANGEL FRANCISCO FERNANDEZ SALINAS</t>
  </si>
  <si>
    <t>FRANCISCA ORTEGA GONZALO</t>
  </si>
  <si>
    <t>DR. ALEJANDRO HARGUINDEY ANTOLI-CANDELA</t>
  </si>
  <si>
    <t>NATIVIDAD DOMINGO HERRANZ</t>
  </si>
  <si>
    <t>IMRANE ZEROUAL DAANIN</t>
  </si>
  <si>
    <t>CARMEN MERAYO GALBAN</t>
  </si>
  <si>
    <t>MIGUEL ANGEL RAMOS RODRIGUEZ</t>
  </si>
  <si>
    <t>CONCHA MORENO CRUZ</t>
  </si>
  <si>
    <t>DRA. OLGA ALDECOA JIMÉNEZ</t>
  </si>
  <si>
    <t>JOSE JIMENO SANTOS</t>
  </si>
  <si>
    <t>SOUAD AKABOUR</t>
  </si>
  <si>
    <t>ISABEL COCA VALDERAS</t>
  </si>
  <si>
    <t>FRANCISCO BASTIDA RUIZ</t>
  </si>
  <si>
    <t>DRA. ESTHER SEBASTIÁN GIL</t>
  </si>
  <si>
    <t>JOSE LUIS ALONSO RODRIGUEZ</t>
  </si>
  <si>
    <t>MARIA PAZ ENRIQUEZ RODRIGUEZ</t>
  </si>
  <si>
    <t>JUAN CARLOS BLANCO DOALLO</t>
  </si>
  <si>
    <t>JOSE ANTONIO SANTOS ROMÁN</t>
  </si>
  <si>
    <t>Francisco Cerro Mellado</t>
  </si>
  <si>
    <t>ISABEL MILLAN MORGADO</t>
  </si>
  <si>
    <t>JOSE MARIA HERNANDEZ HERNANDEZ</t>
  </si>
  <si>
    <t>CECILIO DIAZ RAMIREZ</t>
  </si>
  <si>
    <t>MARIA ASCENSION PEREZ ROMERO</t>
  </si>
  <si>
    <t>DR. CARLOS FELIX ASENSIO NIETO</t>
  </si>
  <si>
    <t>JOSE JAVIER GARCIA CABAÑAS</t>
  </si>
  <si>
    <t>PURIFICACION CALLE PLAZA</t>
  </si>
  <si>
    <t>MARIA DE LA CRUZ PAZ TUBIO</t>
  </si>
  <si>
    <t>MARIA MILAGROS OLGA GONZALEZ LAHERA</t>
  </si>
  <si>
    <t>ANA MARIA OQUILLAS PINEDA</t>
  </si>
  <si>
    <t>ANTHONY DAVISON</t>
  </si>
  <si>
    <t>JACINTO PARDO RODRIGUEZ</t>
  </si>
  <si>
    <t>JOSE MARIA ESPINOSA BALAGUER</t>
  </si>
  <si>
    <t>MARIA DEL SAGRARIO BENITO LOZANO</t>
  </si>
  <si>
    <t>TANIA RODRIGUEZ NOGUEIRAS</t>
  </si>
  <si>
    <t>DR. ANTONIO SÁNCHEZ DEL HOYO</t>
  </si>
  <si>
    <t>ARMANDO EZQUERRO MARRODAN</t>
  </si>
  <si>
    <t>CARMEN PEREZ BARRIENTOS</t>
  </si>
  <si>
    <t>DOSINDA MEIJIDE SANCHEZ</t>
  </si>
  <si>
    <t>MARIA LOPEZ NIETO</t>
  </si>
  <si>
    <t>MARIA ELOISA DEL ROSARIO MINGUEZ ALARCON</t>
  </si>
  <si>
    <t>MARIA DE LA ENCARNACIÓN ALÍA GARCIA</t>
  </si>
  <si>
    <t>ELISA BOMBIN OCHOA</t>
  </si>
  <si>
    <t>EMILIA MENDEZ DE LA MUELA</t>
  </si>
  <si>
    <t>LUIS FERNANDO COSTA ALVES [NICOLASA ROJAS ROMERO]</t>
  </si>
  <si>
    <t>JOSE CARLOS BLASCO MAÑAS</t>
  </si>
  <si>
    <t>ARACELI REVUELTA DE PRADO</t>
  </si>
  <si>
    <t>RAFAELA CONTRERAS MUÑOZ</t>
  </si>
  <si>
    <t>DR. RAFAEL RUIZ FITO</t>
  </si>
  <si>
    <t>AARON LARA PEREZ</t>
  </si>
  <si>
    <t>DR. LUIS FIDEL NIETO</t>
  </si>
  <si>
    <t>AURELIA VEGA CONEJERO</t>
  </si>
  <si>
    <t>DRA. Mª TERESA CUESTA GONZÁLEZ</t>
  </si>
  <si>
    <t>JOSE VICENTE MINGUET RODRIGO</t>
  </si>
  <si>
    <t>EDWIN PATRICIO ARIAS AREVALO</t>
  </si>
  <si>
    <t>INOCENCIO CISNEROS MARQUINA</t>
  </si>
  <si>
    <t>OSCAR TORRES VAZQUEZ</t>
  </si>
  <si>
    <t>DRA. CARMEN MIRANDA JORGE</t>
  </si>
  <si>
    <t>DINA PEREZ LADO</t>
  </si>
  <si>
    <t>MARIA JOSEFA ROJAS MORENO</t>
  </si>
  <si>
    <t>LUIS MIGUEL DEL RIO MORENO</t>
  </si>
  <si>
    <t>DRA. MAR LASSO</t>
  </si>
  <si>
    <t>PALOMA JIMENEZ LOPEZ</t>
  </si>
  <si>
    <t>FRANCISCA MANRRIQUE ORTIZ</t>
  </si>
  <si>
    <t>CRESCENCIO MARTIN GOMEZ</t>
  </si>
  <si>
    <t>ISABEL BARBERO HIGUERA</t>
  </si>
  <si>
    <t>JAVIER FREIRIA PEREIRA</t>
  </si>
  <si>
    <t>DR. JUAN JOSÉ SANZ GONZÁLEZ</t>
  </si>
  <si>
    <t>JOAN ESTRUCH GIBERT</t>
  </si>
  <si>
    <t>VICENTE CRESPO RAMIREZ</t>
  </si>
  <si>
    <t>ANA MARIA LAGO RAMON</t>
  </si>
  <si>
    <t>MARIAN QUERALT SOLLOA</t>
  </si>
  <si>
    <t>Mª CARMEN MONTERO MARTINEZ</t>
  </si>
  <si>
    <t>BERTA ARAUJO CERRADELO</t>
  </si>
  <si>
    <t>MARIA ANGELES FERNANDEZ RODRIGUEZ</t>
  </si>
  <si>
    <t>RAQUEL ELISA CARBONI</t>
  </si>
  <si>
    <t>DRA. CRISTINA GARCÍA GARCÍA</t>
  </si>
  <si>
    <t>CLARA SUEÑOS BARAJAS</t>
  </si>
  <si>
    <t>LUCIO RODRIGUEZ MAESTRO</t>
  </si>
  <si>
    <t>ANTONIA CIRUJEDA BOLAÑOS</t>
  </si>
  <si>
    <t>MARIA ISABEL GOMEZ GARCIA</t>
  </si>
  <si>
    <t>SALVADOR CARRILLO SILVENTE</t>
  </si>
  <si>
    <t>DRA. OREANA CAROLINA CAMACARO GONZÁLEZ</t>
  </si>
  <si>
    <t>DAVID STEPHAN LIGHTBOUND</t>
  </si>
  <si>
    <t>VICENTE JAVIER CASES MONSERRAT</t>
  </si>
  <si>
    <t>RAFAELA FUENTES DIAZ</t>
  </si>
  <si>
    <t>ASCENSION MARTIN RAMIREZ</t>
  </si>
  <si>
    <t>MARIA DESAMPARADOS SANCHIS PERALES</t>
  </si>
  <si>
    <t>VENERANDA FERNANDEZ POTES</t>
  </si>
  <si>
    <t>DR. MÁXIMO RAFAEL GARCÍA RODRÍGUEZ</t>
  </si>
  <si>
    <t>FLORENTINO PASTOR INIESTA</t>
  </si>
  <si>
    <t>ROSARIO GAGO PEREZ</t>
  </si>
  <si>
    <t>MIGUEL ANGEL ESCUDERO MARTINEZ</t>
  </si>
  <si>
    <t>RITA PALOMINO MATEOS</t>
  </si>
  <si>
    <t>ANTONIO ACERO DIAZ</t>
  </si>
  <si>
    <t>OBDULIA SANCHEZ SANCHEZ</t>
  </si>
  <si>
    <t>Diciembre</t>
  </si>
  <si>
    <t>MARIA TERESA CLEMENTE MAGAN</t>
  </si>
  <si>
    <t>RAFAEL MELLINAS BOTELLA</t>
  </si>
  <si>
    <t>CRISTINA PADILLA RUIZ</t>
  </si>
  <si>
    <t>PEDRO GUERRA PULIDO</t>
  </si>
  <si>
    <t>MARGARITA VALLEJO APARICIO</t>
  </si>
  <si>
    <t>DRA. MARIA ÁNGELES MATE BAYON</t>
  </si>
  <si>
    <t>ADRIAN ESTEVEZ MONETRO</t>
  </si>
  <si>
    <t>JUAN JOSE FERRER FERRER</t>
  </si>
  <si>
    <t>JUAN REINA VELEZ</t>
  </si>
  <si>
    <t>DRA. LUISA PAYÁ PÉREZ</t>
  </si>
  <si>
    <t>Mª DEL CARMEN CARRILLO PEREZ</t>
  </si>
  <si>
    <t>JUAN FRANCISCO NAVARRO SEVILLA</t>
  </si>
  <si>
    <t>MARIA DEL ROSARIO SAEZ GRAU</t>
  </si>
  <si>
    <t>MARIA DEL ROSARIO RODRIGO DOMINGUEZ</t>
  </si>
  <si>
    <t>DR. GUILLERMO SEVERA FERRANDIZ</t>
  </si>
  <si>
    <t>MARIA PILAR ORTIZ ELGUEZABAL</t>
  </si>
  <si>
    <t>CARMEN FRANCES BODI</t>
  </si>
  <si>
    <t>FUENSANTA MARTINEZ JARA</t>
  </si>
  <si>
    <t>Mª ENCARNACION CLIMENT GINER</t>
  </si>
  <si>
    <t>ALICIA DE ANA DE LA MUÑOZA</t>
  </si>
  <si>
    <t>ANDRES PACHECO PEREIRA</t>
  </si>
  <si>
    <t>MARIA DE NAZARET DE SILVA FERREIRA</t>
  </si>
  <si>
    <t>DRA. PATRICIA GARCÍA VICENTE</t>
  </si>
  <si>
    <t>TERESA PEREZ MATAMOROS</t>
  </si>
  <si>
    <t>MANUEL RODRIGUEZ CUEVAS</t>
  </si>
  <si>
    <t>FRANCISCA JAEN FLORES</t>
  </si>
  <si>
    <t>ELISABETH POVEDANO MACIAS</t>
  </si>
  <si>
    <t>RENOVACIÓN</t>
  </si>
  <si>
    <t>CONSTANCIA LOPEZ LOPEZ</t>
  </si>
  <si>
    <t>CONSTANTINO RUIZ MOYA</t>
  </si>
  <si>
    <t>ISIDRO LOPEZ NAVARRO</t>
  </si>
  <si>
    <t>DRA. PAULA MORALES CHACCHI</t>
  </si>
  <si>
    <t>FRANCISCO FERNANDEZ BLANCA</t>
  </si>
  <si>
    <t>MANUEL SPITZER LUENGO</t>
  </si>
  <si>
    <t>JOSE MARIA CAMACHO GARCIA</t>
  </si>
  <si>
    <t>MARIA DEL PILAR CASARES BULLIDO</t>
  </si>
  <si>
    <t>ESTRELLA GARCIA DIAZ</t>
  </si>
  <si>
    <t>MARIA ANGELES FERNANDEZ VILLANUEVA</t>
  </si>
  <si>
    <t>LUCIA OLMOS ROBREDO</t>
  </si>
  <si>
    <t>JUSTINO LÓPEZ DAVALOS RUESGA</t>
  </si>
  <si>
    <t>MARÍA DEL CARMEN IGLESIAS GONZÁLEZ</t>
  </si>
  <si>
    <t>JOSE ANTONIO SOMALO GARCÍA</t>
  </si>
  <si>
    <t>DR. FRANCISCO J. REDONDO DEL BARCO</t>
  </si>
  <si>
    <t>PILAR VILLASANTE FERNÁNDEZ-MONTES</t>
  </si>
  <si>
    <t>ROSARIO HERNÁNDEZ CENTENO</t>
  </si>
  <si>
    <t>JOSE GUZMÁN ROJAS</t>
  </si>
  <si>
    <t>ENCARNACION GARCIA JIMENEZ</t>
  </si>
  <si>
    <t>DR. IVAN MENDEZ- BENEGASSI SILVA</t>
  </si>
  <si>
    <t>JUAN CARLOS GARCIA VALENCIA</t>
  </si>
  <si>
    <t>FERNANDO PEREZ ALONSO</t>
  </si>
  <si>
    <t>NURIA DEL PESO RUIZ</t>
  </si>
  <si>
    <t>ALBERTO CALVO MEIJIDE</t>
  </si>
  <si>
    <t>PALOMA MONTOTO SIMÓN</t>
  </si>
  <si>
    <t>MARIA JUANA MOHEDANO TERRON</t>
  </si>
  <si>
    <t>PEDRO TREVILLA VARA DE REY</t>
  </si>
  <si>
    <t>ANGELA SANCHEZ GOMEZ</t>
  </si>
  <si>
    <t>JOSE LUIS NIETO LOMA</t>
  </si>
  <si>
    <t>NICOLE CAMPAGNE BOUDET</t>
  </si>
  <si>
    <t>Obras Gladstone SL [JOSE LUIS REDONDO LOPEZ]</t>
  </si>
  <si>
    <t>DR. JAVIER GARCÍA DOMINGUEZ</t>
  </si>
  <si>
    <t>FRANCISCO VICENTE VALLE</t>
  </si>
  <si>
    <t>JOSE LUIS LOPEZ MEJUTO</t>
  </si>
  <si>
    <t>SILVIA LAGARDE DE LA IGLESIA-CARUNCHO</t>
  </si>
  <si>
    <t>JOAQUIN SANTISTEBAN GIMENO</t>
  </si>
  <si>
    <t>SERGIO REGULES DIAZ</t>
  </si>
  <si>
    <t>DIEGO SANCHEZ MECA</t>
  </si>
  <si>
    <t>CARMEN GARCIA HARO</t>
  </si>
  <si>
    <t>PALOMA RATES FERNANDEZ</t>
  </si>
  <si>
    <t>LIBRADA MARTINEZ VIDAL</t>
  </si>
  <si>
    <t>ANDRES DE SANTIAGO HERNANDEZ</t>
  </si>
  <si>
    <t>MARIO RAMIREZ DE HARO</t>
  </si>
  <si>
    <t>TRINITARIO MONTERO MONTERO</t>
  </si>
  <si>
    <t>DR. IVÁN MUERTE MORENO</t>
  </si>
  <si>
    <t>JOSE LUIS BRAVO RODRIGUEZ</t>
  </si>
  <si>
    <t>EMILIO RHODES DE DIEGO</t>
  </si>
  <si>
    <t>DR. COLOMA GRAU VAN LAAK</t>
  </si>
  <si>
    <t>JOSE ANTONIO ASTORGA PLAZA</t>
  </si>
  <si>
    <t>FRANCISCO GARCIA ALMAZAN</t>
  </si>
  <si>
    <t>MILAGROS RODRIGUEZ MARZO</t>
  </si>
  <si>
    <t>DR. OSCAR A. SÁNCHEZ VALENZUELA</t>
  </si>
  <si>
    <t>JOSE GAYO MORAN</t>
  </si>
  <si>
    <t>DR. ALFONSO SANTAMARÍA GADEA</t>
  </si>
  <si>
    <t>NIEVES IBARRA FERNANDEZ</t>
  </si>
  <si>
    <t>FRANCISCO JAVIER DIAZ ASPE</t>
  </si>
  <si>
    <t>ARGENTINA HONORATO SANTOS</t>
  </si>
  <si>
    <t>IGNACIO MANUEL BONILLA MOYA</t>
  </si>
  <si>
    <t>MARIA CONCEPCION LOPEZ MARTIN</t>
  </si>
  <si>
    <t>JOSE BLANCO FERNANDEZ</t>
  </si>
  <si>
    <t>MARIA TERESA NAVARRO DELGADO</t>
  </si>
  <si>
    <t>MARIANO ALVAREZ OLIVA</t>
  </si>
  <si>
    <t>MIHAELA DIANDRA ASAFTEI</t>
  </si>
  <si>
    <t>DRA Mª AGUSTINA SEVILLA GARCÍA</t>
  </si>
  <si>
    <t>NEREA ALZOLA ALVAREZ</t>
  </si>
  <si>
    <t>JUANA VIRTUDES CANDEL TURPIN</t>
  </si>
  <si>
    <t>ELVIRA SANTA CRUZ QUIROZ</t>
  </si>
  <si>
    <t>ISABEL SANCHEZ ALMAGRO</t>
  </si>
  <si>
    <t>JESUS RUIZ FRUTOS</t>
  </si>
  <si>
    <t>ANA ALICIA GUADALUPE MARTINEZ ESCRIBANO</t>
  </si>
  <si>
    <t>BERNARDINO MARTINEZ CRESPO</t>
  </si>
  <si>
    <t>SANTA CRUZ PUCHE GARCIA</t>
  </si>
  <si>
    <t>KONSTANTINOS GKRITZELIS</t>
  </si>
  <si>
    <t>CHRISTOPHER ANTHONY STANLEY</t>
  </si>
  <si>
    <t>CARMEN REQUEJO RODRIGUEZ</t>
  </si>
  <si>
    <t>DR. GONZALO DORADO GUTIÉRREZ</t>
  </si>
  <si>
    <t>CONCEPCION RODRIGUEZ QUINTAS</t>
  </si>
  <si>
    <t>MANUEL FEIJOO RODRIGUEZ</t>
  </si>
  <si>
    <t>DRA. CANDELAS ÁLVAREZ NUÑO</t>
  </si>
  <si>
    <t>MARÍA PAOLA BARRIUSO CALDERON</t>
  </si>
  <si>
    <t>JOSE ANGEL CONESA OTON</t>
  </si>
  <si>
    <t>ANA MARIA FRUCTUOSO MARTINEZ</t>
  </si>
  <si>
    <t>DR. FRANCISCO JAVIER LAGE FERNÁNDEZ</t>
  </si>
  <si>
    <t>MARIA DE LOS ANGELES LOPEZ PENA</t>
  </si>
  <si>
    <t>DR. ULISES BIDÓN GÓMEZ</t>
  </si>
  <si>
    <t>ISABEL PEREZ SANCHEZ</t>
  </si>
  <si>
    <t>JUAN MANUEL SANCHEZ FERNANDEZ</t>
  </si>
  <si>
    <t>JUAN GOMEZ FLORES</t>
  </si>
  <si>
    <t>DR. JUAN MAZA SOLANO</t>
  </si>
  <si>
    <t>LUIS GONZALEZ TAMARIT</t>
  </si>
  <si>
    <t>FRANCISCO LOPEZ ROSILLO</t>
  </si>
  <si>
    <t>DRA. MARIA DEL ROCIO LOBATO PEREZ</t>
  </si>
  <si>
    <t>ELIAS URDIALES GONZALEZ</t>
  </si>
  <si>
    <t>ANA MARIA VEGA BERMUDEZ</t>
  </si>
  <si>
    <t>JUAN JOSE PEREZ BALLESTEROS</t>
  </si>
  <si>
    <t>DRA. MARTA ABAD PASCUAL</t>
  </si>
  <si>
    <t>FELIX GABRIEL PALACIOS GUERRERO</t>
  </si>
  <si>
    <t>LUIS BURGOS LOPEZ</t>
  </si>
  <si>
    <t>JOSE MONTESINOS SAEZ</t>
  </si>
  <si>
    <t>VALENTIN SANCHEZ DIAZ</t>
  </si>
  <si>
    <t>ISABEL FENOLLOSA LOPEZ</t>
  </si>
  <si>
    <t>JOSÉ ALÓS FERNÁNDEZ</t>
  </si>
  <si>
    <t>MARIA BLANCA RODRIGUEZ RODRIGUEZ</t>
  </si>
  <si>
    <t>TEODORA IRENE TERAN MARTIN</t>
  </si>
  <si>
    <t>DRA. MARÍA CONSOLACIÓN MARTÍN PASCUAL</t>
  </si>
  <si>
    <t>JULIAN HERRERO ALVAREZ</t>
  </si>
  <si>
    <t>MARIA DOLORES GARCIA ACUÑA</t>
  </si>
  <si>
    <t>ALFREDO CARMONA MIGUEL</t>
  </si>
  <si>
    <t>CARMEN VALENCIA POZAS</t>
  </si>
  <si>
    <t>MARIA SOLEDAD RUIZ POZUELO</t>
  </si>
  <si>
    <t>AGUSTIN MORENO NIEVES</t>
  </si>
  <si>
    <t>JUAN CARLOS MONTES MERINO</t>
  </si>
  <si>
    <t>DR. ANTONIO MEDINILLA VALLEJO</t>
  </si>
  <si>
    <t>ANA BARRANTE CLARO</t>
  </si>
  <si>
    <t>DRA. ELISA PARDO SALGADO</t>
  </si>
  <si>
    <t>CELIA PAZO GARCIA</t>
  </si>
  <si>
    <t>FRANCISCO JAVIER COSCOLLUELA FERRER</t>
  </si>
  <si>
    <t>LAURA VIZCAINO CARBAJOSA</t>
  </si>
  <si>
    <t>FELISA RODRIGUEZ FERNANDEZ</t>
  </si>
  <si>
    <t>VICTORIANO SANTOS MORO</t>
  </si>
  <si>
    <t>JOSE LANDETE ORTIZ</t>
  </si>
  <si>
    <t>CARLOS PACHON VEIRA</t>
  </si>
  <si>
    <t>DORITA CRESPO CRESPO</t>
  </si>
  <si>
    <t>HOLANDINA GARCIA GARCIA</t>
  </si>
  <si>
    <t>BERNARDO GONZALEZ SANTOS</t>
  </si>
  <si>
    <t>ISABEL SOLANILLA LUEZA</t>
  </si>
  <si>
    <t>FERNANDA MARTINEZ ALFAYA</t>
  </si>
  <si>
    <t>GUADALUPE RUBIO ROS</t>
  </si>
  <si>
    <t>MARIA DEL CARMEN VAZQUEZ BASCOY</t>
  </si>
  <si>
    <t>JOSE LUIS LAMELA BANEIRA</t>
  </si>
  <si>
    <t>JOSE ANTONIO MORAN GARCIA</t>
  </si>
  <si>
    <t>JUAN VEGA RODRIGUEZ</t>
  </si>
  <si>
    <t>VICTOR SALAS ROMERO</t>
  </si>
  <si>
    <t>CIPRIANA REVILLA SANCHEZ</t>
  </si>
  <si>
    <t>EVA MARIA PEREZ MOREIRA</t>
  </si>
  <si>
    <t>MARIA LUISA OLIVENZA PIÑERO</t>
  </si>
  <si>
    <t>SOLEDAD SOLIS JIMENEZ</t>
  </si>
  <si>
    <t>EDUARDO CAMPOS MONTAÑEZ</t>
  </si>
  <si>
    <t>CARMEN VALLE BARBERO</t>
  </si>
  <si>
    <t>MARIA DE LA PAZ RIVERO RODRIGUEZ</t>
  </si>
  <si>
    <t>CARMELO CASTROVIEJO MARTINEZ</t>
  </si>
  <si>
    <t>DR. LEÓN FERNÁNDEZ CAMESELLE</t>
  </si>
  <si>
    <t>SARA PEREZ DOMINGUEZ</t>
  </si>
  <si>
    <t>ANTONIA DURAN MEDINA</t>
  </si>
  <si>
    <t>FRANCISCO JAVIER BARRIOBERO FELIPE</t>
  </si>
  <si>
    <t>ALBERTO FERNANDEZ GONZALEZ</t>
  </si>
  <si>
    <t>ASUNCION JIMENO BARRANCO</t>
  </si>
  <si>
    <t>PEDRO ANTONIO ALONSO MARTIN</t>
  </si>
  <si>
    <t>ANA NIETO-GUERRERO LOZANO</t>
  </si>
  <si>
    <t>LOURDES BERROGAIN RINCON</t>
  </si>
  <si>
    <t>JOSEFA GORDILLO JIMENEZ</t>
  </si>
  <si>
    <t>ROSA CASA BARROSO</t>
  </si>
  <si>
    <t>AVELINO HOLGADO JIMENEZ</t>
  </si>
  <si>
    <t>JOSE ANTONIO CALVO LOPEZ</t>
  </si>
  <si>
    <t>REMEDIOS CARRASCO CASTRO</t>
  </si>
  <si>
    <t>LIDIA ABELLA BALADO</t>
  </si>
  <si>
    <t>04 TIENDA</t>
  </si>
  <si>
    <t>07 BOCA/BOCA</t>
  </si>
  <si>
    <t>SEBASTIAN DIONIS VERGEL</t>
  </si>
  <si>
    <t>MANUEL GRANERO BOTELLA</t>
  </si>
  <si>
    <t>SATURNINO GALAN DIAZ</t>
  </si>
  <si>
    <t>DR. JULIO PEÑARROCHA</t>
  </si>
  <si>
    <t>VIRGILIA REBOLLO VILLALOBOS</t>
  </si>
  <si>
    <t>ISABEL NOGUERA CARRILLO</t>
  </si>
  <si>
    <t>GERMAN MELLADO GARRIDO</t>
  </si>
  <si>
    <t>ANTONIO VILAR ALVAREZ</t>
  </si>
  <si>
    <t/>
  </si>
  <si>
    <t>(en blanco)</t>
  </si>
  <si>
    <t>Total general</t>
  </si>
  <si>
    <t>SUM of NUM AUDIFONOS</t>
  </si>
  <si>
    <t>Alberto Moreno (Madrid)</t>
  </si>
  <si>
    <t>Ignacio Berdejo (Zaragoza)</t>
  </si>
  <si>
    <t>SUM of TOTAL AUDIFONOS SIN IVA</t>
  </si>
  <si>
    <t>Álvaro Mollá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</si>
</sst>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\-yyyy"/>
    <numFmt numFmtId="165" formatCode="d/mm/yyyy"/>
    <numFmt numFmtId="166" formatCode="d/m/yyyy"/>
    <numFmt numFmtId="167" formatCode="d/m/yyyy\ h:mm"/>
    <numFmt numFmtId="168" formatCode="dd/mm/yyyy\ h:mm"/>
    <numFmt numFmtId="169" formatCode="#,##0.00&quot;€&quot;"/>
    <numFmt numFmtId="170" formatCode="dd/mm/yyyy"/>
    <numFmt numFmtId="171" formatCode="0;0;;@"/>
    <numFmt numFmtId="172" formatCode="#,##0.00\ [$€-1]"/>
    <numFmt numFmtId="173" formatCode="d&quot; de &quot;m"/>
  </numFmts>
  <fonts count="39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2"/>
      <color theme="1"/>
      <name val="Cambria"/>
      <family val="1"/>
    </font>
    <font>
      <b/>
      <sz val="9"/>
      <color rgb="FFFF0000"/>
      <name val="Arial"/>
      <family val="2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FF0000"/>
      <name val="Cambria"/>
      <family val="1"/>
    </font>
    <font>
      <sz val="12"/>
      <color rgb="FF1F1F1F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u/>
      <sz val="12"/>
      <color theme="1"/>
      <name val="Cambria"/>
      <family val="1"/>
    </font>
    <font>
      <sz val="12"/>
      <color rgb="FF3C4043"/>
      <name val="Cambria"/>
      <family val="1"/>
    </font>
    <font>
      <sz val="12"/>
      <color rgb="FF5F6368"/>
      <name val="Cambria"/>
      <family val="1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11"/>
      <color rgb="FF000000"/>
      <name val="Arial"/>
      <family val="2"/>
    </font>
    <font>
      <sz val="12"/>
      <color rgb="FF313131"/>
      <name val="-apple-system"/>
    </font>
    <font>
      <sz val="12"/>
      <color rgb="FF313131"/>
      <name val="Arial"/>
      <family val="2"/>
    </font>
    <font>
      <sz val="11"/>
      <color rgb="FF000000"/>
      <name val="&quot;Aptos Narrow&quot;"/>
    </font>
    <font>
      <sz val="12"/>
      <color rgb="FF000000"/>
      <name val="Arial"/>
      <family val="2"/>
    </font>
    <font>
      <sz val="12"/>
      <color rgb="FF000000"/>
      <name val="&quot;Aptos Narrow&quot;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8000"/>
      <name val="Arial"/>
      <family val="2"/>
    </font>
    <font>
      <sz val="10"/>
      <color rgb="FF0B3040"/>
      <name val="Arial"/>
      <family val="2"/>
    </font>
    <font>
      <sz val="10"/>
      <color rgb="FF777777"/>
      <name val="Arial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u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0" borderId="1" xfId="0" applyFont="1" applyBorder="1"/>
    <xf numFmtId="0" fontId="2" fillId="0" borderId="0" xfId="0" applyFont="1"/>
    <xf numFmtId="0" fontId="4" fillId="0" borderId="0" xfId="0" applyFont="1"/>
    <xf numFmtId="0" fontId="7" fillId="0" borderId="0" xfId="0" applyFont="1"/>
    <xf numFmtId="0" fontId="3" fillId="4" borderId="1" xfId="0" applyFont="1" applyFill="1" applyBorder="1" applyAlignment="1">
      <alignment wrapText="1"/>
    </xf>
    <xf numFmtId="0" fontId="8" fillId="3" borderId="0" xfId="0" applyFont="1" applyFill="1"/>
    <xf numFmtId="0" fontId="6" fillId="3" borderId="0" xfId="0" applyFont="1" applyFill="1"/>
    <xf numFmtId="0" fontId="9" fillId="0" borderId="0" xfId="0" applyFont="1"/>
    <xf numFmtId="0" fontId="2" fillId="4" borderId="0" xfId="0" applyFont="1" applyFill="1" applyAlignment="1">
      <alignment wrapText="1"/>
    </xf>
    <xf numFmtId="164" fontId="1" fillId="0" borderId="0" xfId="0" applyNumberFormat="1" applyFont="1"/>
    <xf numFmtId="0" fontId="3" fillId="5" borderId="0" xfId="0" applyFont="1" applyFill="1" applyAlignment="1">
      <alignment wrapText="1"/>
    </xf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4" fontId="4" fillId="0" borderId="0" xfId="0" applyNumberFormat="1" applyFont="1"/>
    <xf numFmtId="170" fontId="1" fillId="0" borderId="0" xfId="0" applyNumberFormat="1" applyFont="1"/>
    <xf numFmtId="170" fontId="4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170" fontId="2" fillId="0" borderId="0" xfId="0" applyNumberFormat="1" applyFont="1"/>
    <xf numFmtId="171" fontId="4" fillId="0" borderId="0" xfId="0" applyNumberFormat="1" applyFont="1"/>
    <xf numFmtId="171" fontId="1" fillId="0" borderId="0" xfId="0" applyNumberFormat="1" applyFont="1"/>
    <xf numFmtId="172" fontId="4" fillId="0" borderId="0" xfId="0" applyNumberFormat="1" applyFont="1"/>
    <xf numFmtId="0" fontId="10" fillId="2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170" fontId="8" fillId="3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166" fontId="8" fillId="3" borderId="0" xfId="0" applyNumberFormat="1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8" fillId="2" borderId="0" xfId="0" applyFont="1" applyFill="1"/>
    <xf numFmtId="0" fontId="8" fillId="5" borderId="0" xfId="0" applyFont="1" applyFill="1"/>
    <xf numFmtId="0" fontId="8" fillId="0" borderId="0" xfId="0" applyFont="1"/>
    <xf numFmtId="0" fontId="8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7" fillId="3" borderId="0" xfId="0" applyFont="1" applyFill="1"/>
    <xf numFmtId="0" fontId="7" fillId="6" borderId="0" xfId="0" applyFont="1" applyFill="1"/>
    <xf numFmtId="0" fontId="8" fillId="2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6" borderId="0" xfId="0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165" fontId="8" fillId="3" borderId="0" xfId="0" applyNumberFormat="1" applyFont="1" applyFill="1" applyAlignment="1">
      <alignment horizontal="left"/>
    </xf>
    <xf numFmtId="0" fontId="14" fillId="3" borderId="0" xfId="0" applyFont="1" applyFill="1"/>
    <xf numFmtId="0" fontId="10" fillId="3" borderId="0" xfId="0" applyFont="1" applyFill="1" applyAlignment="1">
      <alignment horizontal="left"/>
    </xf>
    <xf numFmtId="0" fontId="12" fillId="3" borderId="0" xfId="0" applyFont="1" applyFill="1" applyAlignment="1">
      <alignment vertical="top"/>
    </xf>
    <xf numFmtId="0" fontId="1" fillId="3" borderId="0" xfId="0" applyFont="1" applyFill="1"/>
    <xf numFmtId="0" fontId="8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/>
    </xf>
    <xf numFmtId="0" fontId="10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 wrapText="1"/>
    </xf>
    <xf numFmtId="0" fontId="10" fillId="3" borderId="0" xfId="0" applyFont="1" applyFill="1"/>
    <xf numFmtId="0" fontId="13" fillId="3" borderId="0" xfId="0" applyFont="1" applyFill="1" applyAlignment="1">
      <alignment horizontal="left" vertical="center"/>
    </xf>
    <xf numFmtId="0" fontId="15" fillId="2" borderId="0" xfId="0" applyFont="1" applyFill="1" applyAlignment="1">
      <alignment vertical="top"/>
    </xf>
    <xf numFmtId="0" fontId="15" fillId="2" borderId="0" xfId="0" applyFont="1" applyFill="1" applyAlignment="1">
      <alignment horizontal="left" vertical="top"/>
    </xf>
    <xf numFmtId="0" fontId="16" fillId="3" borderId="0" xfId="0" applyFont="1" applyFill="1"/>
    <xf numFmtId="0" fontId="16" fillId="3" borderId="0" xfId="0" applyFont="1" applyFill="1" applyAlignment="1">
      <alignment horizontal="left"/>
    </xf>
    <xf numFmtId="0" fontId="15" fillId="3" borderId="0" xfId="0" applyFont="1" applyFill="1" applyAlignment="1">
      <alignment vertical="top"/>
    </xf>
    <xf numFmtId="0" fontId="4" fillId="3" borderId="0" xfId="0" applyFont="1" applyFill="1"/>
    <xf numFmtId="0" fontId="16" fillId="2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65" fontId="8" fillId="3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left" vertical="center"/>
    </xf>
    <xf numFmtId="172" fontId="8" fillId="3" borderId="0" xfId="0" applyNumberFormat="1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173" fontId="19" fillId="3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8" fillId="8" borderId="0" xfId="0" applyFont="1" applyFill="1" applyAlignment="1">
      <alignment horizontal="left" vertical="center"/>
    </xf>
    <xf numFmtId="166" fontId="8" fillId="8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170" fontId="8" fillId="8" borderId="0" xfId="0" applyNumberFormat="1" applyFont="1" applyFill="1" applyAlignment="1">
      <alignment horizontal="left" vertical="center"/>
    </xf>
    <xf numFmtId="165" fontId="8" fillId="8" borderId="0" xfId="0" applyNumberFormat="1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20" fillId="2" borderId="2" xfId="0" applyFont="1" applyFill="1" applyBorder="1"/>
    <xf numFmtId="0" fontId="2" fillId="2" borderId="0" xfId="0" applyFont="1" applyFill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21" fillId="0" borderId="0" xfId="0" applyFont="1"/>
    <xf numFmtId="49" fontId="21" fillId="0" borderId="0" xfId="0" applyNumberFormat="1" applyFont="1"/>
    <xf numFmtId="0" fontId="22" fillId="0" borderId="0" xfId="0" applyFont="1"/>
    <xf numFmtId="0" fontId="2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49" fontId="22" fillId="0" borderId="0" xfId="0" applyNumberFormat="1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 vertical="top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49" fontId="26" fillId="3" borderId="0" xfId="0" applyNumberFormat="1" applyFont="1" applyFill="1"/>
    <xf numFmtId="0" fontId="24" fillId="0" borderId="0" xfId="0" applyFont="1" applyAlignment="1">
      <alignment horizontal="left"/>
    </xf>
    <xf numFmtId="0" fontId="1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27" fillId="0" borderId="0" xfId="0" applyFont="1"/>
    <xf numFmtId="0" fontId="28" fillId="0" borderId="0" xfId="0" applyFont="1"/>
    <xf numFmtId="1" fontId="1" fillId="0" borderId="0" xfId="0" applyNumberFormat="1" applyFont="1"/>
    <xf numFmtId="2" fontId="4" fillId="0" borderId="0" xfId="0" applyNumberFormat="1" applyFont="1"/>
    <xf numFmtId="0" fontId="4" fillId="0" borderId="1" xfId="0" applyFont="1" applyBorder="1"/>
    <xf numFmtId="0" fontId="20" fillId="2" borderId="1" xfId="0" applyFont="1" applyFill="1" applyBorder="1"/>
    <xf numFmtId="0" fontId="23" fillId="0" borderId="1" xfId="0" applyFont="1" applyBorder="1"/>
    <xf numFmtId="49" fontId="26" fillId="3" borderId="1" xfId="0" applyNumberFormat="1" applyFont="1" applyFill="1" applyBorder="1"/>
    <xf numFmtId="4" fontId="29" fillId="9" borderId="0" xfId="0" applyNumberFormat="1" applyFont="1" applyFill="1" applyAlignment="1">
      <alignment horizontal="left"/>
    </xf>
    <xf numFmtId="4" fontId="30" fillId="9" borderId="0" xfId="0" applyNumberFormat="1" applyFont="1" applyFill="1" applyAlignment="1">
      <alignment horizontal="left"/>
    </xf>
    <xf numFmtId="0" fontId="30" fillId="9" borderId="0" xfId="0" applyFont="1" applyFill="1" applyAlignment="1">
      <alignment horizontal="left"/>
    </xf>
    <xf numFmtId="4" fontId="30" fillId="10" borderId="0" xfId="0" applyNumberFormat="1" applyFont="1" applyFill="1" applyAlignment="1">
      <alignment horizontal="left"/>
    </xf>
    <xf numFmtId="4" fontId="30" fillId="0" borderId="1" xfId="0" applyNumberFormat="1" applyFont="1" applyBorder="1" applyAlignment="1">
      <alignment horizontal="left"/>
    </xf>
    <xf numFmtId="0" fontId="29" fillId="0" borderId="0" xfId="0" applyFont="1"/>
    <xf numFmtId="4" fontId="29" fillId="11" borderId="3" xfId="0" applyNumberFormat="1" applyFont="1" applyFill="1" applyBorder="1" applyAlignment="1">
      <alignment horizontal="left"/>
    </xf>
    <xf numFmtId="3" fontId="30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5" fillId="0" borderId="0" xfId="0" applyFont="1"/>
    <xf numFmtId="3" fontId="29" fillId="9" borderId="0" xfId="0" applyNumberFormat="1" applyFont="1" applyFill="1" applyAlignment="1">
      <alignment horizontal="right"/>
    </xf>
    <xf numFmtId="4" fontId="29" fillId="9" borderId="0" xfId="0" applyNumberFormat="1" applyFont="1" applyFill="1"/>
    <xf numFmtId="165" fontId="29" fillId="9" borderId="0" xfId="0" applyNumberFormat="1" applyFont="1" applyFill="1" applyAlignment="1">
      <alignment horizontal="right"/>
    </xf>
    <xf numFmtId="170" fontId="29" fillId="0" borderId="0" xfId="0" applyNumberFormat="1" applyFont="1" applyAlignment="1">
      <alignment horizontal="right"/>
    </xf>
    <xf numFmtId="3" fontId="29" fillId="0" borderId="0" xfId="0" applyNumberFormat="1" applyFont="1"/>
    <xf numFmtId="0" fontId="29" fillId="0" borderId="0" xfId="0" applyFont="1" applyAlignment="1">
      <alignment horizontal="right"/>
    </xf>
    <xf numFmtId="4" fontId="29" fillId="0" borderId="0" xfId="0" applyNumberFormat="1" applyFont="1"/>
    <xf numFmtId="4" fontId="29" fillId="0" borderId="0" xfId="0" applyNumberFormat="1" applyFont="1" applyAlignment="1">
      <alignment horizontal="right"/>
    </xf>
    <xf numFmtId="165" fontId="29" fillId="12" borderId="0" xfId="0" applyNumberFormat="1" applyFont="1" applyFill="1" applyAlignment="1">
      <alignment horizontal="right"/>
    </xf>
    <xf numFmtId="3" fontId="29" fillId="0" borderId="0" xfId="0" applyNumberFormat="1" applyFont="1" applyAlignment="1">
      <alignment horizontal="right"/>
    </xf>
    <xf numFmtId="3" fontId="5" fillId="0" borderId="0" xfId="0" applyNumberFormat="1" applyFont="1"/>
    <xf numFmtId="49" fontId="29" fillId="0" borderId="0" xfId="0" applyNumberFormat="1" applyFont="1"/>
    <xf numFmtId="4" fontId="29" fillId="10" borderId="0" xfId="0" applyNumberFormat="1" applyFont="1" applyFill="1"/>
    <xf numFmtId="0" fontId="30" fillId="0" borderId="0" xfId="0" applyFont="1"/>
    <xf numFmtId="165" fontId="29" fillId="0" borderId="0" xfId="0" applyNumberFormat="1" applyFont="1" applyAlignment="1">
      <alignment horizontal="right"/>
    </xf>
    <xf numFmtId="2" fontId="29" fillId="0" borderId="0" xfId="0" applyNumberFormat="1" applyFont="1" applyAlignment="1">
      <alignment horizontal="right"/>
    </xf>
    <xf numFmtId="165" fontId="29" fillId="13" borderId="0" xfId="0" applyNumberFormat="1" applyFont="1" applyFill="1" applyAlignment="1">
      <alignment horizontal="right"/>
    </xf>
    <xf numFmtId="170" fontId="30" fillId="0" borderId="0" xfId="0" applyNumberFormat="1" applyFont="1" applyAlignment="1">
      <alignment horizontal="righ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49" fontId="30" fillId="0" borderId="0" xfId="0" applyNumberFormat="1" applyFont="1"/>
    <xf numFmtId="4" fontId="30" fillId="0" borderId="0" xfId="0" applyNumberFormat="1" applyFont="1" applyAlignment="1">
      <alignment horizontal="right"/>
    </xf>
    <xf numFmtId="0" fontId="31" fillId="0" borderId="0" xfId="0" applyFont="1"/>
    <xf numFmtId="0" fontId="32" fillId="0" borderId="0" xfId="0" applyFont="1"/>
    <xf numFmtId="170" fontId="32" fillId="0" borderId="0" xfId="0" applyNumberFormat="1" applyFont="1" applyAlignment="1">
      <alignment horizontal="right"/>
    </xf>
    <xf numFmtId="3" fontId="32" fillId="0" borderId="0" xfId="0" applyNumberFormat="1" applyFont="1"/>
    <xf numFmtId="3" fontId="31" fillId="0" borderId="0" xfId="0" applyNumberFormat="1" applyFont="1" applyAlignment="1">
      <alignment horizontal="right"/>
    </xf>
    <xf numFmtId="49" fontId="31" fillId="0" borderId="0" xfId="0" applyNumberFormat="1" applyFont="1"/>
    <xf numFmtId="4" fontId="31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170" fontId="29" fillId="13" borderId="0" xfId="0" applyNumberFormat="1" applyFont="1" applyFill="1" applyAlignment="1">
      <alignment horizontal="right"/>
    </xf>
    <xf numFmtId="166" fontId="29" fillId="13" borderId="0" xfId="0" applyNumberFormat="1" applyFont="1" applyFill="1" applyAlignment="1">
      <alignment horizontal="right"/>
    </xf>
    <xf numFmtId="165" fontId="30" fillId="13" borderId="0" xfId="0" applyNumberFormat="1" applyFont="1" applyFill="1" applyAlignment="1">
      <alignment horizontal="right"/>
    </xf>
    <xf numFmtId="0" fontId="33" fillId="3" borderId="0" xfId="0" applyFont="1" applyFill="1"/>
    <xf numFmtId="0" fontId="30" fillId="0" borderId="0" xfId="0" applyFont="1" applyAlignment="1">
      <alignment horizontal="right"/>
    </xf>
    <xf numFmtId="170" fontId="29" fillId="12" borderId="0" xfId="0" applyNumberFormat="1" applyFont="1" applyFill="1" applyAlignment="1">
      <alignment horizontal="right"/>
    </xf>
    <xf numFmtId="0" fontId="34" fillId="0" borderId="0" xfId="0" applyFont="1"/>
    <xf numFmtId="166" fontId="29" fillId="12" borderId="0" xfId="0" applyNumberFormat="1" applyFont="1" applyFill="1" applyAlignment="1">
      <alignment horizontal="right"/>
    </xf>
    <xf numFmtId="49" fontId="35" fillId="0" borderId="0" xfId="0" applyNumberFormat="1" applyFont="1"/>
    <xf numFmtId="0" fontId="29" fillId="0" borderId="0" xfId="0" applyFont="1" applyAlignment="1">
      <alignment horizontal="left"/>
    </xf>
    <xf numFmtId="49" fontId="29" fillId="0" borderId="1" xfId="0" applyNumberFormat="1" applyFont="1" applyBorder="1"/>
    <xf numFmtId="165" fontId="5" fillId="9" borderId="0" xfId="0" applyNumberFormat="1" applyFont="1" applyFill="1"/>
    <xf numFmtId="165" fontId="5" fillId="0" borderId="0" xfId="0" applyNumberFormat="1" applyFont="1"/>
    <xf numFmtId="170" fontId="5" fillId="9" borderId="0" xfId="0" applyNumberFormat="1" applyFont="1" applyFill="1"/>
    <xf numFmtId="170" fontId="5" fillId="0" borderId="0" xfId="0" applyNumberFormat="1" applyFont="1"/>
    <xf numFmtId="0" fontId="36" fillId="3" borderId="0" xfId="0" applyFont="1" applyFill="1"/>
    <xf numFmtId="3" fontId="30" fillId="9" borderId="0" xfId="0" applyNumberFormat="1" applyFont="1" applyFill="1" applyAlignment="1">
      <alignment horizontal="right"/>
    </xf>
    <xf numFmtId="4" fontId="30" fillId="9" borderId="0" xfId="0" applyNumberFormat="1" applyFont="1" applyFill="1"/>
    <xf numFmtId="165" fontId="37" fillId="9" borderId="0" xfId="0" applyNumberFormat="1" applyFont="1" applyFill="1"/>
    <xf numFmtId="0" fontId="37" fillId="0" borderId="0" xfId="0" applyFont="1"/>
    <xf numFmtId="165" fontId="30" fillId="0" borderId="0" xfId="0" applyNumberFormat="1" applyFont="1" applyAlignment="1">
      <alignment horizontal="right"/>
    </xf>
    <xf numFmtId="3" fontId="37" fillId="0" borderId="0" xfId="0" applyNumberFormat="1" applyFont="1"/>
    <xf numFmtId="165" fontId="37" fillId="0" borderId="0" xfId="0" applyNumberFormat="1" applyFont="1"/>
    <xf numFmtId="3" fontId="29" fillId="14" borderId="0" xfId="0" applyNumberFormat="1" applyFont="1" applyFill="1" applyAlignment="1">
      <alignment horizontal="right"/>
    </xf>
    <xf numFmtId="4" fontId="29" fillId="14" borderId="0" xfId="0" applyNumberFormat="1" applyFont="1" applyFill="1"/>
    <xf numFmtId="165" fontId="29" fillId="14" borderId="0" xfId="0" applyNumberFormat="1" applyFont="1" applyFill="1" applyAlignment="1">
      <alignment horizontal="right"/>
    </xf>
    <xf numFmtId="4" fontId="5" fillId="14" borderId="0" xfId="0" applyNumberFormat="1" applyFont="1" applyFill="1"/>
    <xf numFmtId="165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9" fontId="5" fillId="0" borderId="0" xfId="0" applyNumberFormat="1" applyFont="1"/>
    <xf numFmtId="4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65" fontId="5" fillId="14" borderId="0" xfId="0" applyNumberFormat="1" applyFont="1" applyFill="1"/>
    <xf numFmtId="166" fontId="5" fillId="0" borderId="0" xfId="0" applyNumberFormat="1" applyFont="1" applyAlignment="1">
      <alignment horizontal="right"/>
    </xf>
    <xf numFmtId="4" fontId="5" fillId="10" borderId="0" xfId="0" applyNumberFormat="1" applyFont="1" applyFill="1"/>
    <xf numFmtId="3" fontId="29" fillId="15" borderId="0" xfId="0" applyNumberFormat="1" applyFont="1" applyFill="1" applyAlignment="1">
      <alignment horizontal="right"/>
    </xf>
    <xf numFmtId="4" fontId="29" fillId="15" borderId="0" xfId="0" applyNumberFormat="1" applyFont="1" applyFill="1"/>
    <xf numFmtId="165" fontId="29" fillId="15" borderId="0" xfId="0" applyNumberFormat="1" applyFont="1" applyFill="1" applyAlignment="1">
      <alignment horizontal="right"/>
    </xf>
    <xf numFmtId="0" fontId="38" fillId="0" borderId="0" xfId="0" applyFont="1"/>
    <xf numFmtId="165" fontId="29" fillId="15" borderId="0" xfId="0" applyNumberFormat="1" applyFont="1" applyFill="1"/>
    <xf numFmtId="165" fontId="29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8" fillId="3" borderId="0" xfId="0" applyFont="1" applyFill="1" applyAlignment="1">
      <alignment horizontal="left" vertical="center"/>
    </xf>
    <xf numFmtId="0" fontId="0" fillId="0" borderId="0" xfId="0"/>
    <xf numFmtId="0" fontId="12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5">
    <dxf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16.953814236113" refreshedVersion="8" recordCount="914" xr:uid="{00000000-000A-0000-FFFF-FFFF00000000}">
  <cacheSource type="worksheet">
    <worksheetSource ref="A1:P1000" sheet="ventas 2026"/>
  </cacheSource>
  <cacheFields count="16">
    <cacheField name="ACTUALIZADO A" numFmtId="0">
      <sharedItems containsNonDate="0" containsDate="1" containsString="0" containsBlank="1" minDate="2026-04-01T00:00:00" maxDate="2026-04-02T00:00:00"/>
    </cacheField>
    <cacheField name="AÑO" numFmtId="0">
      <sharedItems containsString="0" containsBlank="1" containsNumber="1" containsInteger="1" minValue="68" maxValue="2026"/>
    </cacheField>
    <cacheField name="MES" numFmtId="0">
      <sharedItems containsString="0" containsBlank="1" containsNumber="1" containsInteger="1" minValue="1" maxValue="3" count="4">
        <n v="1"/>
        <n v="2"/>
        <n v="3"/>
        <m/>
      </sharedItems>
    </cacheField>
    <cacheField name="RECOMPRA" numFmtId="0">
      <sharedItems containsBlank="1"/>
    </cacheField>
    <cacheField name="SUCURSAL" numFmtId="0">
      <sharedItems containsBlank="1" count="44">
        <s v="Valencia- Parra"/>
        <s v="Cáceres"/>
        <s v="Valladolid"/>
        <s v="Getafe"/>
        <s v="Madrid- La Oca"/>
        <s v="Sevilla- Ciencias"/>
        <s v="Madrid- Juan Bravo"/>
        <s v="Zaragoza- León XIII"/>
        <s v="Fuenlabrada"/>
        <s v="Sevilla- Montoto"/>
        <s v="Alicante"/>
        <s v="Murcia"/>
        <s v="Toledo"/>
        <s v="Ourense"/>
        <s v="Lugo"/>
        <s v="Madrid- Canillas"/>
        <s v="Leganés"/>
        <s v="Alcorcón"/>
        <s v="Logroño"/>
        <s v="Barcelona- Córcega"/>
        <s v="Orihuela"/>
        <s v="Madrid- Moratalaz"/>
        <s v="Albacete"/>
        <s v="Badajoz"/>
        <s v="Almería"/>
        <s v="Madrid- Monforte de Lemos"/>
        <s v="El Albir (Benidorm)"/>
        <s v="San Javier"/>
        <s v="Hospitalet de Llobregat"/>
        <s v="Madrid- Costa Rica"/>
        <s v="Jerez de la Frontera"/>
        <s v="Torrejón de Ardoz"/>
        <s v="Ponferrada"/>
        <s v="Vilanova"/>
        <s v="León"/>
        <s v="Talavera"/>
        <s v="Salamanca"/>
        <s v="Valencia- Cádiz"/>
        <s v="Móstoles"/>
        <s v="Zaragoza- Santander"/>
        <s v="Vitoria"/>
        <s v="Santiago de Compostela"/>
        <s v="Madrid- Galileo"/>
        <m/>
      </sharedItems>
    </cacheField>
    <cacheField name="FECHA DE VENTA" numFmtId="0">
      <sharedItems containsNonDate="0" containsDate="1" containsString="0" containsBlank="1" minDate="2026-01-02T00:00:00" maxDate="2026-04-01T00:00:00"/>
    </cacheField>
    <cacheField name="FECHA DE ALTA DE CLIENTE" numFmtId="0">
      <sharedItems containsNonDate="0" containsDate="1" containsString="0" containsBlank="1" minDate="2019-05-20T00:00:00" maxDate="2026-04-01T00:00:00"/>
    </cacheField>
    <cacheField name="Clínica" numFmtId="0">
      <sharedItems containsBlank="1"/>
    </cacheField>
    <cacheField name="CÓDIGO DE CLIENTE" numFmtId="0">
      <sharedItems containsBlank="1"/>
    </cacheField>
    <cacheField name="CLIENTE" numFmtId="0">
      <sharedItems containsBlank="1" count="484">
        <s v="HEINZ WIEST"/>
        <s v="JUAN MANUEL CORCHERO HIGUERO"/>
        <s v="GAUDENCIO GARCIA REGUERO"/>
        <s v="ANTONIO CALVETE OLIVA"/>
        <s v="AMELIA DIAZ VAZQUEZ"/>
        <s v="REMEDIOS  VECINO PRIETO"/>
        <s v="CONCEPCION  ORTIZ SANTIAGO"/>
        <s v="MARIA ROSA ALONSO GONZÁLEZ"/>
        <s v="JOSE LUIS RODRIGUEZ SIERRA"/>
        <s v="MARIA DEL CARMEN GARCIA ROYO"/>
        <s v="MIGUEL ÁNGEL GASCA SANCHO"/>
        <s v="Mª CARMEN DELGADO ANTON"/>
        <s v="SONIA SUAREZ FERNANDEZ"/>
        <s v="TERESA VENTURA RODRIGUEZ"/>
        <s v="JUAN JESÚS MAYA TORREJÓN"/>
        <s v="MARIA ISABEL GUERRERO CASTRO"/>
        <s v="CARMEN DIOS CAAMAÑO"/>
        <s v="JESUS MORENO LOPEZ"/>
        <s v="MIGUEL FONTANILLA RABANEDA"/>
        <s v="PEDRO DOMINGO NAVARRO DIAZ"/>
        <s v="Dolores  Sanz Contreras"/>
        <s v="MARIA JOSEFA DE MELCHOR DIEZ"/>
        <s v="CONCEPCION FERNANDEZ LOPEZ"/>
        <s v="ESTHER CAMINO BLANCO"/>
        <s v="EMILIO CAMACHO BALLERO"/>
        <s v="ANDRES BARREIRO LOIS"/>
        <s v="MANUELA LLAMAS DE PAZ"/>
        <s v="ROSA DE LA FLOR GONZÁLEZ"/>
        <s v="LUCAS ROMERO MILLAN"/>
        <s v="PEDRO BARROSO PEREZ"/>
        <s v="MANUEL MANJON CABELLO"/>
        <s v="VANESA SACRISTAN  HERNÁNDEZ"/>
        <s v="VISITACION RODRIGUEZ PEÑARANDA"/>
        <s v="ESPERANZA ÁLVAREZ MUÑOZ"/>
        <s v="SEVERIANA MARIN GOMEZ"/>
        <s v="SUSANA PERUCHO  MARTINEZ"/>
        <s v="JOSE ANTONIO SANCHEZ TORRECILLA"/>
        <s v="CATALINA RAMOS MARIN"/>
        <s v="CLAUDIA MORENO CEBRIAN"/>
        <s v="FRANCISCA HERNANDEZ LORENTE"/>
        <s v="CHRISTOPHER HUGH IBBETSON"/>
        <s v="JULIA LOPEZ LOPEZ"/>
        <s v="MARIA DE LOS ANGELES CABAL NUÑEZ DE HOYO"/>
        <s v="PILAR TORREJÓN ALONSO"/>
        <s v="FERMINA ISABEL PIZARRO VALLE"/>
        <s v="TOMÁS JAVIER MARTÍNEZ MORENO"/>
        <s v="ANTONIA MUÑOZ DURAN"/>
        <s v="JAVIER ALGABA GIL"/>
        <s v="Maria Isabel  Espinosa Martinez"/>
        <s v="JERONIMO MACIA MAS"/>
        <s v="JOSE JUAN AROCA PEREZ"/>
        <s v="MANUEL LOZANO PADILLA"/>
        <s v="JOSÉ EDUARDO DE LA FUENTE FERNANDEZ"/>
        <s v="MARIA ROSA FELIU CASADO"/>
        <s v="MAURIZIO CENCIARELLI"/>
        <s v="DAVID SOCORRO FERRER"/>
        <s v="PABLO GOMEZ SEOANE"/>
        <s v="EMILIO RUIZ-ROSO CASTAÑO"/>
        <s v="MARIA INMACULADA BENAVENTE POZO"/>
        <s v="DIEGO LOPEZ CAYUELA"/>
        <s v="MARIA DOLORES PIMIENTA ROJAS"/>
        <s v="AMADOR  FRIAS GONZALEZ"/>
        <s v="CARMEN MANCHA MACIAS"/>
        <s v="KAREN GHANDALYAN"/>
        <s v="MARIA SAGRARIO  TARANCON DE DIEGO"/>
        <s v="ANTONIA LOPEZ NIETO"/>
        <s v="JOSE PLAZA BLAZQUEZ"/>
        <s v="BERNABE  SANCHIS SANZ"/>
        <s v="CRISTOBAL SOBREVELA LOPEZ"/>
        <s v="MARCOS JUSTO ROMAGUERA"/>
        <s v="DAMIAN DIAZ DOMINGUEZ"/>
        <s v="MARIA MERCEDES LÓPEZ CANTOS"/>
        <s v="Maria Pilar Sanchez Sanchez"/>
        <s v="EVA VARELA TOJO"/>
        <s v="JULIA MARIA ARQUEROS AMAT"/>
        <s v="FRANCISCA MATA PEREZ"/>
        <s v="Primitivo Garcia Ruiz"/>
        <s v="Ana Maria Cano Rafael"/>
        <s v="MARIA LUISA GRANADOS MAGUILLA"/>
        <s v="PEDRO ESPINOSA SAN NICOLAS"/>
        <s v="TERESA CASTILLO GARCIA"/>
        <s v="PAULA RUIZ ORTEGA"/>
        <s v="JOSEFA GOMEZ DE ENTERRIA SANCHEZ"/>
        <s v="MARGARITA CORTAZAR VIANCO"/>
        <s v="JOSE LUIS MARQUINEZ IBAÑEZ"/>
        <s v="GREGORIO ANDRES MURILLO BARTOLOME"/>
        <s v="FRANCISCO  DOMINGUEZ DONADO"/>
        <s v="RAMON  ANDREU ANDREU"/>
        <s v="MANEL ALCAIDE VILLANUEVA"/>
        <s v="NIEVES  ORDAS FIDALGO"/>
        <s v="MICHELE CUNY"/>
        <s v="MARCELINO QUINTAS SUAREZ"/>
        <s v="MARIA ANGELES HERNANDEZ VAZQUEZ"/>
        <s v="herminia CORDERO RODRIGUEZ"/>
        <s v="JOSE LUIS MESA RAMIREZ"/>
        <s v="Pilar Rojas Sánchez"/>
        <s v="EMILIA MARTINEZ MARTINEZ"/>
        <s v="ALMUDENA ARROGANTE AHIJADO"/>
        <s v="ISABEL YAÑEZ YAÑEZ"/>
        <s v="ROSA MARIA BELINCHON PARIS"/>
        <s v="MARIA GEMA MARTIN JIMENEZ"/>
        <s v="JESICA DE LOS SANTOS MARTINEZ"/>
        <s v="LAURA JARA GONZALEZ"/>
        <s v="FELICIDAD MORENA GONZALEZ"/>
        <s v="MAGDALENA MENDIETA ESTUDILLO"/>
        <s v="PATRICIA ESTEVEZ"/>
        <s v="VICENTE RODRIGUEZ BLANCO"/>
        <s v="FERNANDO MARTINEZ  LUQUE"/>
        <s v="ESTRELLA BURGOS IBAÑEZ"/>
        <s v="JOSE PUERTO MARQUES"/>
        <s v="EMILIA DEL CARMEN IGLESIAS FERNANDEZ"/>
        <s v="JULIAN MARTINEZ ALMENDARIZ"/>
        <s v="PILAR GIMENEZ HERNANDEZ"/>
        <s v="FELISA RODRIGUEZ DE CASTRO"/>
        <s v="Vicente Camacho Gonzalez"/>
        <s v="ELOY JAVIER GONZALEZ PALOMINO"/>
        <s v="PURIFICACION HOLGADO RODRIGUEZ"/>
        <s v="ADELAIDA ALVAREZ GONZALEZ"/>
        <s v="ELEUTERIO FERNANDEZ DE PRADO"/>
        <s v="JOSE LOPEZ PEREZ"/>
        <s v="SUCESO MORENO LOPEZ"/>
        <s v="ANTONIO MARTINEZ FERNANDEZ"/>
        <s v="VICTORINA PÉREZ GÓMEZ"/>
        <s v="TOMAS PICAZO TABERNA"/>
        <s v="CRESCENCIA MORETA MORALEDA"/>
        <s v="INES RAQUEL MADRID ROSA"/>
        <s v="MARIA ANGELES GONZALEZ SAMALEA"/>
        <s v="LEONOR PEREIRA LOPEZ"/>
        <s v="ISABEL MAISO SAENZ"/>
        <s v="Benito Martínez Rodríguez"/>
        <s v="MARIA LUISA MERCEDES HERNANDEZ NOTARIO"/>
        <s v="ANDRES MONTERO MALDONADO"/>
        <s v="JESUS ORTEGA SOLIS"/>
        <s v="MARÍA DOLORES GUERRA GONZALEZ"/>
        <s v="FELIX ÁNGEL GÓMEZ MORENO"/>
        <s v="LEONILDE DO ESPIRITU SANTO"/>
        <s v="CATALINA EXPOSITO ALVES"/>
        <s v="MARCELO PEREZ PANIZO"/>
        <s v="FRANCISCO CARBAJO FERNÁNDEZ"/>
        <s v="MARIA TERESA CASTRO RODRIGUEZ"/>
        <s v="OREN ALMENDRO NEVADO"/>
        <s v="MARÍA PILAR GONZÁLEZ LÓPEZ"/>
        <s v="CARMEN FERNANDEZ HEREDIA"/>
        <s v="ARACELI HEREDIA SANCHEZ"/>
        <s v="Ana Llamazares Gonzalez"/>
        <s v="PEDRO JOSE MEDINA GARCIA"/>
        <s v="MERCEDES GARCIA MARTINEZ"/>
        <s v="FRANCISCO LOPEZ ZAMBUDIO"/>
        <s v="DAVID GALVEZ BERMUDO"/>
        <s v="FERNANDO DIAZ ROLDAN"/>
        <s v="GARETH JOHN PETER SOCKETT"/>
        <s v="MARIA JOSEFA CARRO VALDES-HEVIA"/>
        <s v="PABLO GARCÍA PÉREZ"/>
        <s v="MONICA JIMENEZ ANGULO"/>
        <s v="CASIMIRA MORENO SANDEZ"/>
        <s v="MARGARITA CABALLERO CALVO"/>
        <s v="ANTONIO MOYA GARRIDO"/>
        <s v="CECILIA PINA DE YLLANA"/>
        <s v="ENRIQUE JIMENEZ TELO"/>
        <s v="BORJA GONZALEZ DE RABAGO"/>
        <s v="MARIA JESUS FERNANDEZ EGUÍLUZ"/>
        <s v="CAROLINA CORONADO ROPERO"/>
        <s v="JOSE ANTONIO QUINTANA LOPEZ"/>
        <s v="ANGEL MUÑOZ JIMENEZ"/>
        <s v="ANTONIO MARTINEZ BENAVIDES"/>
        <s v="DOLORES FERNANDEZ SUAREZ"/>
        <s v="MARIA DEL CARMEN MORENO DIAZ"/>
        <s v="BEATRIZ MORENO TALAVERA"/>
        <s v="MANUELA GOMEZ FERNANDEZ"/>
        <s v="MARIA DEL CARMEN MANZANO GOMEZ"/>
        <s v="ABDESSLEM TAHROUCHT EDDEAIF"/>
        <s v="MARIA SANTOS ZORZANO AROSTEGUI"/>
        <s v="RAFAEL DIEZ GARCÍA"/>
        <s v="CLAUDIA ATENEA PEREZ PACHECO"/>
        <s v="ANA MARIA  HERRERO MARTIN"/>
        <s v="FRANCISCO JAVIER  FREIJIDO BREA"/>
        <s v="ISABEL PALACIN LEAL"/>
        <s v="ALFONSO GONZALEZ-NICOLAS JUNCOS"/>
        <s v="CARMEN SANCHEZ HERNANDEZ"/>
        <s v="ALEXANDRA CALLEJA CHAMORRO"/>
        <s v="FRANCISCO VINUESA LIMA"/>
        <s v="SUSANA ASENSI GARCIA"/>
        <s v="VICTOR HUGO BOTHELO CAPUCHO SIMOES"/>
        <s v="MICHAEL BASSEM NWELATTI"/>
        <s v="ADELARDO  MORTE CARRILLO"/>
        <s v="FRANCISCA CORRALES MORENO"/>
        <s v="BASILIO MARTINEZ ANDRADE"/>
        <s v="CIRIACO  JABATO AMADO"/>
        <s v="JOSEFA PEREZ PEREZ"/>
        <s v="MARIA PILAR MORENO ORTEGA"/>
        <s v="ASUNCION SOLER ORTS"/>
        <s v="MARIFE SANCHEZ FOUZ"/>
        <s v="VICTORIA GOMEZ CORTES"/>
        <s v="JOSE ANTONIO MARTINEZ ANDRES"/>
        <s v="MARIA INMACULADA  GOMEZ MARTIN"/>
        <s v="JOSE MANUEL ROMERO ALVAREZ"/>
        <s v="HANS PETER DECKER"/>
        <s v="JESUSA BARREIRO MARTINEZ"/>
        <s v="MANUEL ZAMORA CASTRO"/>
        <s v="MARIA ENCARNACION GONZALEZ GALLEGO ESPINOSA"/>
        <s v="ANTONIO GABALDON CANTERO"/>
        <s v="MARGARITA GONZALEZ MARTIN"/>
        <s v="Erundina Herrero Calvo"/>
        <s v="SOFIA MARTINEZ PONCE"/>
        <s v="FRANCISCO JAVIER TRILLA MOCHALES"/>
        <s v="Maria del Carmen Delhom Costa"/>
        <s v="JUAN FIDEL SOTO MARTINEZ"/>
        <s v="MARIA CONCEPCION GONZALEZ SUAREZ"/>
        <s v="TOMAS  DIAZ DE LA CAMPA GARCIA"/>
        <s v="JOSE FRANCISCO GALVEZ INIESTA"/>
        <s v="MARINA VARGAS SERRANO"/>
        <s v="JUAN CARLOS  DEL VALLE AGUSTIN"/>
        <s v="TEOFILO CAPELLAN ALONSO"/>
        <s v="JAVIER GARCIA VILLALON"/>
        <s v="Angeles Llorens Fantova"/>
        <s v="MARIA ELISA CEBREIRO FERNANDEZ"/>
        <s v="CARLOS ENRIQUE POZUELO SOLER"/>
        <s v="Eduardo Segura Paez"/>
        <s v="HORST HERMANN KUDERA"/>
        <s v="ELENA CARRASCO RODRÍGUEZ"/>
        <s v="MARIA ANGELES NEGRO VALLECILLO"/>
        <s v="ANTONIO MARTINEZ NAVARRO"/>
        <s v="ENCARNA GOMEZ LORENTE"/>
        <s v="JOSE ANTONIO SERRA AGULLO"/>
        <s v="EUSEBIO DURAN POLAINO"/>
        <s v="JOSE ANTONIO SANCHEZ LORCA"/>
        <s v="MANUELA  PERTIERRA ALVAREZ"/>
        <s v="IVAN  DE LA OSSA RODRIGUEZ"/>
        <s v="JUAN ANTONIO PUIG TRULLEN"/>
        <s v="FRANCISCO JAVIER PÉREZ PÉREZ"/>
        <s v="MANUEL MARTINEZ MARTINEZ"/>
        <s v="MARIA ISABEL GONZALEZ GONZALEZ"/>
        <s v="MARIA DEL MAR MARIN BIELSA"/>
        <s v="CARMEN MAYOR PIQUERAS"/>
        <s v="RAFAEL PEREZ-OLLEROS RODRÍGUEZ"/>
        <s v="JOSE LUIS PEREZ MOLINA"/>
        <s v="CESAREO SANCHEZ MARTIN"/>
        <s v="HEINZ OTTO NEESER"/>
        <s v="ANA ASCENSION GARCIA RUIZ"/>
        <s v="ADOLFO JESUS CARVAJAL RAMOS"/>
        <s v="CARMEN GONZALEZ RODRIGUEZ-CARRETERO"/>
        <s v="Fernando  Gregorio-Lastra Moreda"/>
        <s v="MARIA DEL PRADO BARRANTES BORRELLA"/>
        <s v="JOSE LUIS ABARCA PONCE"/>
        <s v="MARIA DOLORES JIMENEZ DE LA POZA"/>
        <s v="PURIFICACIÓN GOMEZ GARCIA"/>
        <s v="MARIA DEL PILAR CHOZAS SERRANO"/>
        <s v="SONIA ARACIL BOIX"/>
        <s v="ANTONIO AGUILAR LAUSÍN"/>
        <s v="LUIS REDONDO NARGANES"/>
        <s v="MARTIN AGUADO BLAZQUEZ"/>
        <s v="FRANCISCA GARCIA LOPEZ"/>
        <s v="MARIA PILAR MARTINEZ GARCERAN"/>
        <s v="MARIA  MATEO HERNANDEZ"/>
        <s v="RICARDO MARTINEZ CABAÑAS ESPAÑOL"/>
        <s v="RUTH ESTEVE MARTINEZ"/>
        <s v="MARIA PILAR DIAZ LOPEZ"/>
        <s v="MARIA CARMEN PINA DE YLLANA"/>
        <s v="FRANCISCO LAZARO NICOLAS"/>
        <s v="MARIA TERESA ORBAÑANOS LARROUY"/>
        <s v="JOSE LUIS DOMINGUEZ ALONSO"/>
        <s v="JANET RICHARDSON"/>
        <s v="FRANCISCO JAVIER REGUEIRO CACHEIRO"/>
        <s v="JUANA COSMEN ALBELDA"/>
        <s v="ASCENSION GALERA CAMPOS"/>
        <s v="Maria Sagrario Velez Segura"/>
        <s v="MARIA GLORIA LANGARICA LOZANO"/>
        <s v="MARÍA CARMEN LUJAN MOLINA"/>
        <s v="MICHAEL ALBERT CUNNINGHAM"/>
        <s v="DAVID GARCIA DIAZ"/>
        <s v="BENITA GARCIA RUIZ"/>
        <s v="EVA  FONT ROMA"/>
        <s v="TOMASA LOPEZ BLANCO"/>
        <s v="PILAR  GARCIA VALDE-CASAS VALVERDE"/>
        <s v="MARIA LUISA GARCIA GARCIA"/>
        <s v="ANA MARIA  RAMIRO LANCHAS"/>
        <s v="CLAUDIA MARIA ARAUJO DE OLIVEIRA"/>
        <s v="PAQUI ALPRESA GAMEZ"/>
        <s v="MARIA ANGELES HERNANDO GONZALEZ"/>
        <s v="GERMANIA AMERICA VEGA QUINDE"/>
        <s v="JUAN GOMEZ CAPUZ"/>
        <s v="RAUL PASTOR MIRALLES"/>
        <s v="RAFAEL CORTINA UREÑA"/>
        <s v="Maria Milagros Sanchez Maestre"/>
        <s v="Carmen Flores Atanet"/>
        <s v="Carmen Quiros Cachero"/>
        <s v="MARIA GUADALUPE MORA PEÑA"/>
        <s v="FELIPE MENDOZA PIZARRO"/>
        <s v="FREDY HERNANDEZ PAQUIRACHI"/>
        <s v="JOSE MARIA DIEGO CASTELAO ALBELA"/>
        <s v="MARIA PILAR RODRIGUEZ FERNANDEZ"/>
        <s v="FELIX DE LA FUENTE SANTERO"/>
        <s v="ROSARIO DORADO JIMENEZ"/>
        <s v="RICARDO PARRADO SANTOS"/>
        <s v="CARMEN ROLO PEREZ"/>
        <s v="LUIS CARABOT ALVAREZ"/>
        <s v="CARLOS DURO MELERO"/>
        <s v="JOSE GALLEGO ALBURQUERQUE"/>
        <s v="CARMEN PEREZ ORTEGA"/>
        <s v="MANUEL MEILAN TEIJEIRO"/>
        <s v="MARIA JOSE  GALVIN CAÑERO"/>
        <s v="HILARIO VICENTE DAZA"/>
        <s v="BRAULIA GOMEZ BERMEJO"/>
        <s v="BERNARDINA  FERNANDEZ POSADA"/>
        <s v="CARMEN LORENTE MUÑOZ"/>
        <s v="JULIO HARO SANCHEZ"/>
        <s v="ROSA MARIA CABALLERO GARCIA"/>
        <s v="MARIA PAULA ROSALES SALAMANCA"/>
        <s v="JOSE ROYANO MORUJO"/>
        <s v="GLORIA PILAR GOMEZ MARIN"/>
        <s v="JESUS CARLOS BRIZ PINDAO"/>
        <s v="ARMANDO VIDAL VILLMARÍN"/>
        <s v="MARIA JESÚS MANJÓN CABIDA"/>
        <s v="JOSE MARIA RUIZ VEGA"/>
        <s v="JOSEFA PUERTAS FENOLLAR"/>
        <s v="MARIA CONCEPCION GARROTE HERNANDEZ"/>
        <s v="MARIA DEL CARMEN DE CASTRO MOLINERO"/>
        <s v="MARCELINA RODRIGUEZ CASARES"/>
        <s v="RUFINO JOSE EZQUERRO JULVE"/>
        <s v="JOSE MANUEL RODERA PEREZ [CARLA RODERA MARTINEZ]"/>
        <s v="MARIA  RUIZ JIMENEZ"/>
        <s v="JOAQUIN CARRASCO TAGLE"/>
        <s v="FRANCISCO JAVIER FERNANDEZ ORTEGA"/>
        <s v="MONTSERRAT  ORIOL GIMENEZ"/>
        <s v="JESUS CAÑAS MURILLO"/>
        <s v="NOEMI LEON BOLIVAR"/>
        <s v="Juan Simon Alija"/>
        <s v="Adrián Quesada Sáenz de Jubera"/>
        <s v="MARIA LUZ FERNANDEZ DE ORO"/>
        <s v="MARIA LUISA GARVÍN MARTÍN"/>
        <s v="MARIA ISABEL GARCIA TRABAS"/>
        <s v="MARIA LUISA ARROYO HERNÁNDEZ"/>
        <s v="ISABEL PULIDO COLLADO"/>
        <s v="JESUS SANCHEZ SANCHEZ"/>
        <s v="JOAN PEREZ LLEDO"/>
        <s v="ANTONIA GONZALEZ HERNANDEZ"/>
        <s v="BELEN VAZQUEZ FALCON"/>
        <s v="IVAN CVETANOV CVETANOV"/>
        <s v="JESUS  LOPEZ ROMOJARO"/>
        <s v="ROSARIO SUAREZ LLAMAS"/>
        <s v="EUSTAQUIO MARTIN RODRIGUEZ"/>
        <s v="JOSEFA SANCHEZ LILLO"/>
        <s v="MANUEL ARIAS FERNANDEZ"/>
        <s v="MARIA ISABEL BURGOS GUERRERO"/>
        <s v="RAMIRO SANDONIS ZORITA"/>
        <s v="JOSÉ GARCÍA AMORÓS"/>
        <s v="VICTORIANA GOMEZ DIAZ"/>
        <s v="FRANCISCA MENA BERMEJO"/>
        <s v="ALFREDO  ANGUERA TEJEDOR"/>
        <s v="AGUSTINA  ROAS PLATA"/>
        <s v="TREVOR HOWARD BYLES"/>
        <s v="JACINTO AJENJO BARBADO"/>
        <s v="YANA BRUNEEL"/>
        <s v="NIDIA ROSA MUÑOZ BEDOLLA"/>
        <s v="VICENTE REAL BENLLOCH"/>
        <s v="ALEXANDER RINCON OCAMPO"/>
        <s v="CARMEN FERNANDEZ GURRICHARRI"/>
        <s v="Elina Encarnación Carro Alvarez"/>
        <s v="MERCEDES ROS LOPEZ"/>
        <s v="Roberto Alonso Fernandez"/>
        <s v="BENITA CONDE SUAREZ"/>
        <s v="EVELIA ARIAS MORENO"/>
        <s v="SUSANA ROPERO SANCHEZ"/>
        <s v="MABEL HERRERA DONOSO"/>
        <s v="RAFAEL RODRIGO CÁMARA"/>
        <s v="CARMEN DIEZ MIGUEL"/>
        <s v="GERMAN  ENCINAS SANCHEZ"/>
        <s v="JOSE FARO BARREIROS"/>
        <s v="AGUSTINA BECERRO MARTIN [JORGE ENRIQUE ESPINOSA DIAZ]"/>
        <s v="JUAN GARCIA SANTAMARIA"/>
        <s v="SOLEDAD ESPINOSA CASTELLANO"/>
        <s v="FRANCISCO POLICARPO VERAS"/>
        <s v="ALVARO LADRON DE GUEVARA CUESTA"/>
        <s v="TOMAS DEL CAMPO LOPEZ"/>
        <s v="CARMEN ESTEBAN MARTÍNEZ"/>
        <s v="PORFILIO ALBA PONCELAS"/>
        <s v="ALMUDENA HAURIE MENA"/>
        <s v="PILAR SANCHO HERNANDEZ"/>
        <s v="FRANCISCO MOTOS VELEZ"/>
        <s v="LUIS RAMON MATAIX"/>
        <s v="MANUEL COBOS SANCHEZ"/>
        <s v="ANA CRISTINA   MENDEZ ARIAS"/>
        <s v="SILVIA REVUELTO GONZALEZ"/>
        <s v="Mª MAR MENDOZA MARTINEZ"/>
        <s v="ROMUALDO GRAJERA GUERRA"/>
        <s v="VICENT  FERRANDIS MAS"/>
        <s v="REMEDIOS LUZ MENDOZA MARTINEZ"/>
        <s v="RAUL PENA ALPIN"/>
        <s v="MARIA JESUS ZAPATA QUIRANT"/>
        <s v="LUIS MANUEL SEGURA DE LA VALLINA"/>
        <s v="Benito Angel  Valero Conejo"/>
        <s v="CARMEN CAÑO PADILLA"/>
        <s v="AZUCENA BUJEDO MARTINEZ"/>
        <s v="MANUELA ROCES GARCIA"/>
        <s v="JAVIER CASADO LEON"/>
        <s v="JOSEFA GARCIA MARTINEZ"/>
        <s v="CARLOS CORNA BUSTOS"/>
        <s v="PRUDENCIO ACEVEDO MARTINEZ"/>
        <s v="CELESTINA FERNANDEZ FERNANDEZ"/>
        <s v="BELEN DE LA CUADRA GUERRERO"/>
        <s v="MATILDE MARTINEZ LOPEZ"/>
        <s v="MARIA DEL PILAR ALEMAN VERA"/>
        <s v="IDALINA MUNNO"/>
        <s v="JUAN JOSE RICO BORREGUERO"/>
        <s v="VICTOR PUENTES FENOLLOSA"/>
        <s v="LUCIA RUIZ HORCHE"/>
        <s v="ANDREA ROSA BOZADA"/>
        <s v="ADRIANA  SAILEMA SAILEMA"/>
        <s v="MARIANO GARCIA MAESO"/>
        <s v="MERCEDES    DE JUAN GINES"/>
        <s v="SOCORRO JIMENEZ LLORENTES"/>
        <s v="ENCARNACION CAMPILLO SOTO"/>
        <s v="VICTORIA CAMPOS SANTOS"/>
        <s v="VICTORIA LOPEZ DE LA FRANCA GONZALEZ"/>
        <s v="JOSE LUIS ESCOBAR ARROYO"/>
        <s v="IVAN MARTINEZ MILLAN"/>
        <s v="JOAQUIN MUÑOZ COUTO"/>
        <s v="Juan Andrés Armesto Fernandez"/>
        <s v="TERESA GONZALEZ PRECIADO"/>
        <s v="ENCARNACIÓN GONZALEZ HERNANDEZ"/>
        <s v="JULIA ROBLEDO MARTIN"/>
        <s v="CLARA CORTES LAVIÓS"/>
        <s v="FERNANDO  CAMUÑAS LAZARO"/>
        <s v="CARMEN  CUESTA GARCIA"/>
        <s v="ANTONIO MUÑOZ VIVANCOS"/>
        <s v="MARIA ANGELES ROMEO MALO"/>
        <s v="JOAQUIN MARTIN ALMECIJA"/>
        <s v="MARI CARMEN GARCIA GERPE"/>
        <s v="ANTONIO ANTON PEINADO"/>
        <s v="MARIA ELENA RODRIGUEZ ALULEMA"/>
        <s v="MAGDALENA  LOPEZ MORENA"/>
        <s v="FRANCISCO JESÚS DE FRÍAS LUJÁN"/>
        <s v="JESUS ANGEL ORTIZ GONZALEZ"/>
        <s v="ANTONIO PULDAIN BENEYTEZ"/>
        <s v="JUANA CHICA PECHARROMAN"/>
        <s v="ASUNCION PASTOR TORREGROSA"/>
        <s v="ANGEL VICTORIANO GOMEZ"/>
        <s v="JERONIMA MARISCAL RAMIREZ"/>
        <s v="MARIA CONCEPCION  CASARIEGO CARBALLÉS"/>
        <s v="JOSE CAMIÑA FERNANDEZ"/>
        <s v="FRANCISCO MARTINEZ MADRID"/>
        <s v="MARGARITA SANCHEZ DE SANDE"/>
        <s v="JUAN  RUIZ PEREZ"/>
        <s v="María Josefa  Calvo Aguado"/>
        <s v="ISABEL  HERNANDEZ PEREZ"/>
        <s v="JOSE MATIAS ALONSO CASTILLO"/>
        <s v="MARÍA LÓPEZ SACRISTÁN"/>
        <s v="AVELINO GONZÁLEZ MARTÍNEZ"/>
        <s v="ANA MARÍA  MUNARRIZ PÉREZ"/>
        <s v="RUTH VIVAS FERMIN"/>
        <s v="MIGUEL ANGEL  CASTILLEJO LOPEZ"/>
        <s v="RAUL SORIA PINEL"/>
        <s v="ENCARNA  DIAZ HORTELANO"/>
        <s v="MAONNG LI"/>
        <s v="JUAN  DUARTE CARAVACA"/>
        <s v="MARIA ROSA SÁNCHEZ-MONGE LAGUNA DE RINS"/>
        <s v="LUIS IBAÑEZ GALLEGO"/>
        <s v="INMACULADA RIVES PIC"/>
        <s v="SOLANGE LAMIN"/>
        <s v="LIBOR  SECKA"/>
        <s v="JOSE ALMAGRO MARMOL"/>
        <s v="MARIA CARMONA AVILES"/>
        <s v="ELENA  GONZALEZ GONZALEZ"/>
        <s v="JOSEFA ISABEL MARIN GARCIA"/>
        <s v="TERESA LERIA RUBIO"/>
        <s v="Natividad Martinez Torre"/>
        <s v="JOELLE MANTELET"/>
        <s v="PEDRO  SAEZ GARCIA"/>
        <s v="PALMIRA MUELA AZORIN"/>
        <s v="MARIA PILAR FERNANDEZ-PACHECO PEREZ"/>
        <s v="ESPERANZA IZQUIERDO LUIS"/>
        <s v="TERESA CHAMORRO LÓPEZ"/>
        <s v="MANUEL FERNANDEZ GALLEGO"/>
        <s v="Carmen Guinarte Perez"/>
        <s v="FRANCISCO SERRANO RODRIGUEZ DE GUZMAN"/>
        <s v="MARIA LOURDES  FRIAS VITORES"/>
        <s v="MARIA DEL CARMEN GARCIA RUA"/>
        <s v="JULIA CASTELLANOS ZALDIBAR"/>
        <s v="MARGARITA MARIN YECORA"/>
        <s v="ANTONIO HUALDE MIGUEL"/>
        <s v="ANGUSTIAS RODRIGUEZ DIEZ"/>
        <s v="DEMETRIO GOMEZ DE LOS RIOS"/>
        <s v="HARRISON AVENDAÑO CORREAL"/>
        <m/>
      </sharedItems>
    </cacheField>
    <cacheField name="NUM AUDIFONOS" numFmtId="0">
      <sharedItems containsString="0" containsBlank="1" containsNumber="1" containsInteger="1" minValue="-1" maxValue="2"/>
    </cacheField>
    <cacheField name="TOTAL AUDIFONOS SIN IVA" numFmtId="0">
      <sharedItems containsString="0" containsBlank="1" containsNumber="1" minValue="-1631.82" maxValue="5363.64"/>
    </cacheField>
    <cacheField name="CANAL" numFmtId="0">
      <sharedItems containsBlank="1"/>
    </cacheField>
    <cacheField name="SUBCANAL" numFmtId="0">
      <sharedItems containsBlank="1"/>
    </cacheField>
    <cacheField name="NOMBRE ORL/CAMPAÑA" numFmtId="0">
      <sharedItems containsBlank="1" count="223">
        <s v="Dra, Fe Rubio Escolano"/>
        <s v="Dr, Andrés Paulino Herrera"/>
        <s v="Dr, Carlos Miguel Salvador Martínez"/>
        <s v="Dra, Marta Colmenero Ruiz"/>
        <s v="Dr, Andreas Schilling Borghesi"/>
        <s v="Dr, José Joaquín Gutiérrez Barquín"/>
        <s v="No recuerda ORL"/>
        <s v="Dr, Joaquín Alacio Casero"/>
        <s v="Dr, Jaime Leache Pueyo"/>
        <s v="Dra, Estefania Miranda Sánchez"/>
        <s v="Dra, María Luisa Calero Ramos"/>
        <s v="Dra, Cristina Muñoz Pinto"/>
        <s v="Dra, Paula Morales Chacchi"/>
        <s v="Dra, Marta García Jiménez"/>
        <s v="Dra, Concepcion Rodríguez Izquierdo"/>
        <s v="Dra, Alejandra Jara Maquilón"/>
        <s v="Dr, Francisco Javier Aguilar Vera"/>
        <s v="Dra, Diana Hernán Pérez"/>
        <s v="Dra, Alejandra Alvarado Namen"/>
        <s v="Dr, Carlos Barajas del Rosal"/>
        <s v="Dra, Ithzel Maria Villarreal Patiño"/>
        <s v="Dr, Pedro Juiz López"/>
        <s v="Dr, Félix Rodríguez Paz"/>
        <s v="Dr, José Gustavo Barroso Braojos"/>
        <s v="Dr, Javier García Domínguez"/>
        <s v="Dr, Raed Maqued El Maqued"/>
        <s v="Dra, Patricia García Vicente"/>
        <s v="Dra, Laura del Toro Gil"/>
        <s v="Dr, Jesús Miguel Iniesta Turpín"/>
        <s v="Dra, Cristina Ibañez Muñoz"/>
        <s v="Dra, María del Mar Martínez Ruiz-coello"/>
        <s v="Dr, Javier García Gómez"/>
        <s v="Dr, Jesus-Maria Grasa Pérez"/>
        <s v="Dra, Oreana Carolina Camacaro González"/>
        <s v="Dra, María Agustina Sevilla García"/>
        <s v="Dra, María Garrote Garrote"/>
        <s v="Dra, Daniela Carolina Laguado Bulgheroni"/>
        <s v="Dr, Pedro Gil Paraíso"/>
        <s v="Dr, Ignacio Aristegui Torrano"/>
        <s v="Dra, Estefanía Berrocal Postigo"/>
        <s v="Dr, Guillermo Severá Ferrándiz"/>
        <s v="Dr, Juan Javier Álvarez López"/>
        <s v="Dr, Carlos Velásquez Fermín"/>
        <s v="Dra, Ana Quintana Sanjuan"/>
        <s v="Dra, Esther Macon Liquete"/>
        <s v="Dra, Elisheba Haro Hernández"/>
        <s v="Dr, Álvaro Sánchez Álvarez"/>
        <s v="Dr, Francisco López Navas"/>
        <s v="Dra, Victoria García Peces"/>
        <s v="Dra, Luisa Payá Pérez"/>
        <s v="Dr, Manuel García López"/>
        <s v="Dra, María Emilia García Ruiz"/>
        <s v="Dr, Vladimir Rubio Segarra"/>
        <s v="Dr, Carlos de Paula Vernetta"/>
        <s v="Dr, Rafael Fernández Liesa"/>
        <s v="Dr, Andrés Barrios Recio"/>
        <s v="Dra, Beatriz Rodríguez González Herrero"/>
        <s v="Dr, Lino Enguidanos Hernandorena"/>
        <s v="Dra, Nesly Illely González Sánchez"/>
        <s v="Dr, Jesús Crovato Rojas"/>
        <s v="Dra, Karen Rojas Crespo"/>
        <s v="Dra, Anastasiya Audiyuk Martynyuk"/>
        <s v="Dr, Albert Pla Esperanzi"/>
        <s v="Dr, Raimundo Andres Navarro Mediano"/>
        <s v="Dr, Fernando Salazar Barcelona"/>
        <s v="Dr, Garikoitz Calzada Uriondo"/>
        <s v="Dra, Isabel Polo Tomás"/>
        <s v="Dr, Enrique Romero Van Abeleen"/>
        <s v="Dra, Laura Ruano De Pablo"/>
        <s v="Dr, Antonio Bueno Ríos"/>
        <s v="Dra, María Rey Marcos"/>
        <s v="Dra, Maria Del Carmen Salom Coveñas"/>
        <s v="Dra, Mónica Rueda Vega"/>
        <s v="Dr, Antonio José Fernández Pérez"/>
        <s v="Dra, Desirée Méndez Brenderbache"/>
        <s v="Dr. Jonathan Esteban Sánchez"/>
        <s v="Dra, Nuria Arnaiz Canora"/>
        <s v="Dra, Marta Abad Pascual"/>
        <s v="Dr, Adolfo Toledano Muñoz"/>
        <s v="Dr, Daniel Briones Crespo"/>
        <s v="Dr, Antonio Rodríguez Rivero"/>
        <s v="Dra, Bárbara Serrano Calleja"/>
        <s v="Dr, Manuel Tucciarone"/>
        <s v="Dra, María Sol Marcos Salazar"/>
        <s v="Dr, Enrique López Meseguer"/>
        <s v="Dr, Jesús Ramos Fernández"/>
        <s v="Dr, Juan Pablo Pelegrín Hernández"/>
        <s v="Dra, Blanca Mateos Serrano"/>
        <s v="Dra, Xenia Mota Rojas"/>
        <s v="Dr, Pablo Luis Vega Gajón"/>
        <s v="Dra, Marta Álvarez Cendrero"/>
        <s v="Dr, Tomas Mogollon Cano Cortes"/>
        <s v="Dra, María Eva Ruiz de Gauna Martín"/>
        <s v="Dra, Rebeca Barrios Gonzalo"/>
        <s v="Dra, Diana Lysbeth Lourido Piedrahita"/>
        <s v="Dra, Mónica Granda Rosales"/>
        <s v="Dr, Jonathan Esteban Sánchez"/>
        <s v="Dr, Javier Padilla Cabello"/>
        <s v="Dr, Rafael Pérez González"/>
        <s v="Dr, Dinis Antunes Silva"/>
        <s v="Dra, Laura Guillamon Vivancos"/>
        <s v="Dra, María del Mar Medina González"/>
        <s v="Dr, Carlos Félix Asensio Nieto"/>
        <s v="Dr, Isidoro Rubio Correa"/>
        <s v="Dr, Alejandro Harguindey Antoli-Candela"/>
        <s v="Dra, Aida Aviñoa Arias"/>
        <s v="Dr, Pedro Seguí Moya"/>
        <s v="Dr, Julio López Moya"/>
        <s v="Dra, Ainhoa Moreno Bravo"/>
        <s v="Dra, Patricia Ezcurra Hernández"/>
        <s v="Dr, Gustavo Benavente Bermudo"/>
        <s v="Dra, Andrea Cifuentes Navas"/>
        <s v="Dra, María Teresa Almela Rojo"/>
        <s v="Dr, Fabio Fernández Mateos"/>
        <s v="Dr, Antonio Medinilla Vallejo"/>
        <s v="Dra, Alba Molina Moreno"/>
        <s v="Dra, Paula Hernández Ruíz"/>
        <s v="Dr, José María Palacios García"/>
        <s v="Dra, Laura Isabel del Amo Martínez"/>
        <s v="Dr, Sonia García Díaz"/>
        <s v="Dra, Noelia García García"/>
        <s v="Dr, Luis Jiménez Ferreres"/>
        <s v="Dr, Alberto Raposo Jiménez"/>
        <s v="Dr, Alfonso María Pérez Sánchez"/>
        <s v="Dr, Pedro Masegosa Zapata"/>
        <s v="Dr, Carlos Durán Díez"/>
        <s v="Dra, Cristina Peña Cifuentes"/>
        <s v="Dr, Abel Guzmán Calvete"/>
        <s v="Dra, Ana Ruiz Fornells Noreña"/>
        <s v="Dra, Elvylins Vargas Yglesia"/>
        <s v="Dra, Karla Natali Montaño Rueda"/>
        <s v="Dr, Luis Miguel Menéndez Colino"/>
        <s v="Dra, Ana Fernández Rodríguez"/>
        <s v="Dra, Ainhoa García-Lliberos de Miguel"/>
        <s v="Dr, Francisco Pastor Beviá"/>
        <s v="Dr, José María Laborda Margolles"/>
        <s v="Dra, Helena Moreno Pardo"/>
        <s v="Dra, Marina Madrigal Revuelta"/>
        <s v="Dr, Alfonso Plaza López"/>
        <s v="Dra, Esther García González"/>
        <s v="Dra, María Teresa Herrera Mera"/>
        <s v="Dr, José García Morillas"/>
        <s v="Dra, María José Gámiz Maroto"/>
        <s v="Dr, David Castro Gutiérrez de Agüero"/>
        <s v="Dr, Rafael Sanz Trenado"/>
        <s v="Dr, Héctor Vallés Varela"/>
        <s v="Dra, Ana Giribet Fernández-Pacheco"/>
        <s v="Dr, Ángel Onofre Pérez Coll_x000a_"/>
        <s v="Dr, Esteban Scola Pliego"/>
        <s v="Dra, María López Robles"/>
        <s v="Dr, Enrique Viviente Rodríguez"/>
        <s v="Dra, Paloma Pinacho Martínez"/>
        <s v="Dr, Javier García-Dueñas González"/>
        <s v="Dr, Máximo Rafael García Rodríguez"/>
        <s v="Dr, Alfonso Capitan Guarnizo"/>
        <s v="Dra, María Montserrat Asensi Díaz"/>
        <s v="Dr, Enrique García Zamora"/>
        <s v="Dr, Vicente Mira Escartí"/>
        <s v="Dr, Juan Pedro Benaixa"/>
        <s v="Dr. María Del Pilar Gómez Tapiador"/>
        <s v="Dr, Manuel Martí Peña"/>
        <s v="Dr, Francisco Ropero Romero"/>
        <s v="Dr, Julio César Ariza Lizcano"/>
        <s v="Dr, Luis Miguel Rincón Esteban"/>
        <s v="Dra, María Cecilia Scola Torres"/>
        <s v="Dr, Martín Eduardo Marcano Acuña"/>
        <s v="Dr, César Charles Martínez"/>
        <s v="Dra, Mar Lasso de la Vega Zamora"/>
        <s v="Dr, Mercedes Ceballos Cauto"/>
        <s v="Dra, Raquel Solís Vázquez"/>
        <s v="Dr, Guillermo Plaza Mayor"/>
        <s v="Dr, Guillermo San Juan de la Moreta"/>
        <s v="Dr, Doctor Tomas Jesús Hunrubia Parra"/>
        <s v="Dra, María José Lesmas Navarro"/>
        <s v="Dr, Richard Chávez León"/>
        <s v="Dra. Isabel Bustillo García"/>
        <s v="Dra. Falening Melissa de la Rosa Astacio"/>
        <s v="Dra, Pilar Beladiez Romero"/>
        <s v="Dra, Inmaculada Sancho Martín"/>
        <s v="Dra, Elisabeth Amarillo Espitia"/>
        <s v="Dra, Paloma Martín-Aragón Martín"/>
        <s v="Dr. Isidoro Rubio Correa"/>
        <s v="Dra, Isabel Menaches Guardiola"/>
        <s v="Dr, Víctor José González Arias"/>
        <s v="Dr, Antonio Galindo Fernández"/>
        <s v="Dra, Angela Gastañaga Echevarría"/>
        <s v="Dr, Iván Muerte Moreno"/>
        <s v="Dr, Guillermo Sierra Galera"/>
        <s v="Dra, Cristina García García"/>
        <s v="Dra, Patricia Viveros Diez"/>
        <s v="Dra, Nuria Salas Barrio"/>
        <s v="Dr, Oscar Alemán López"/>
        <s v="Dr, Ramón Martínez Carranza"/>
        <s v="Dra, Esther De La O Corrochano"/>
        <s v="Dr, Miguel Lucas Herrera"/>
        <s v="Dr, Eduardo Martín Sanz"/>
        <s v="Dr, José María Anda Fernández"/>
        <s v="Dr, Luis Martínez Bernabeu"/>
        <s v="Dr, Ángel Muñoz Herrera"/>
        <s v="Dr, Ángel Onofre Pérez Coll"/>
        <s v="Dra, Laura Yeguas Ramírez"/>
        <s v="Dr, Miguel García Teno"/>
        <s v="Dr, Jean Franco Intraprendente Martini"/>
        <s v="Dr, José Manuel Tamarit Conejeros"/>
        <s v="Dra, Catalina Riera Sala"/>
        <s v="Dr, Juanjo Góngora Lencina"/>
        <s v="Dr, Álvaro Sánchez de Arriba"/>
        <s v="Dra, María Del Rocío Lobato Pérez"/>
        <s v="Dr, Daniel Alberto Finol Toro"/>
        <s v="Dr, Gabriel Martínez Capoccini"/>
        <s v="Dra, Cristina Herrero Fernández"/>
        <s v="Dr, Jesús Atalaya Díaz"/>
        <s v="Dra, Sara Zaldivar Saiz Maza"/>
        <s v="Dra, Maria Rosario Ferrandiz García"/>
        <s v="Dr, Miguel Ángel Fernández Andrade"/>
        <s v="Dr, Raimon García Chillerón"/>
        <s v="Dra, Salwa Laraqui Hossini"/>
        <s v="Dr, José Manuel García Solans-Esteras"/>
        <s v="Dr. Luis Jiménez Ferreres"/>
        <s v="Dra, Ana Giribet Fernandez-Pacheco"/>
        <s v="Dra, Elena Martín Bejerano"/>
        <s v="Dr, Jose Maria Hernandez Hernandez"/>
        <m/>
      </sharedItems>
    </cacheField>
    <cacheField name="NOMBRE VISITADOR" numFmtId="0">
      <sharedItems containsBlank="1" count="11">
        <s v="Ramon Ferrando(Valencia)"/>
        <s v="Lisandro Russian (Madrid, Cáceres, Toledo, Talavera y Logroño)"/>
        <s v="Alberto Moreno (Madrid)"/>
        <s v="Maika Blázquez (Madrid)"/>
        <s v="Luis Alberto Rodríguez (Andalucía y Badajoz)"/>
        <s v="Mercè Cabrera (Cataluña y Baleares)"/>
        <s v="Iván Sánchez (Levante y Albacete)"/>
        <s v="Ignacio Berdejo (Zaragoza)"/>
        <s v="Kiko Ortega (Galicia)"/>
        <s v="Álvaro Mollá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d v="2026-04-01T00:00:00"/>
    <n v="2026"/>
    <x v="0"/>
    <s v="NO"/>
    <x v="0"/>
    <d v="2026-01-02T00:00:00"/>
    <d v="2025-11-05T00:00:00"/>
    <s v="Valencia- Parra"/>
    <s v="C202511592157270489"/>
    <x v="0"/>
    <n v="2"/>
    <n v="4536.3599999999997"/>
    <s v="03 ORL"/>
    <s v="06 ORL"/>
    <x v="0"/>
    <x v="0"/>
  </r>
  <r>
    <m/>
    <n v="2026"/>
    <x v="0"/>
    <s v="NO"/>
    <x v="1"/>
    <d v="2026-01-02T00:00:00"/>
    <d v="2025-12-01T00:00:00"/>
    <s v="Cáceres"/>
    <s v="C202512110551976531"/>
    <x v="1"/>
    <n v="2"/>
    <n v="3636.36"/>
    <s v="03 ORL"/>
    <s v="06 ORL"/>
    <x v="1"/>
    <x v="1"/>
  </r>
  <r>
    <m/>
    <n v="2026"/>
    <x v="0"/>
    <s v="NO"/>
    <x v="2"/>
    <d v="2026-01-05T00:00:00"/>
    <d v="2025-11-03T00:00:00"/>
    <s v="Valladolid"/>
    <s v="VLL-474"/>
    <x v="2"/>
    <n v="2"/>
    <n v="3522.73"/>
    <s v="03 ORL"/>
    <s v="06 ORL"/>
    <x v="2"/>
    <x v="2"/>
  </r>
  <r>
    <m/>
    <n v="2026"/>
    <x v="0"/>
    <s v="NO"/>
    <x v="3"/>
    <d v="2026-01-05T00:00:00"/>
    <d v="2025-11-14T00:00:00"/>
    <s v="Getafe"/>
    <s v="C202511141135536493"/>
    <x v="3"/>
    <n v="1"/>
    <n v="2180.91"/>
    <s v="03 ORL"/>
    <s v="06 ORL"/>
    <x v="3"/>
    <x v="3"/>
  </r>
  <r>
    <m/>
    <n v="2026"/>
    <x v="0"/>
    <s v="NO"/>
    <x v="4"/>
    <d v="2026-01-07T00:00:00"/>
    <d v="2025-11-17T00:00:00"/>
    <s v="La Oca"/>
    <s v="C202511171016459133"/>
    <x v="4"/>
    <n v="2"/>
    <n v="2718.18"/>
    <s v="03 ORL"/>
    <s v="06 ORL"/>
    <x v="4"/>
    <x v="3"/>
  </r>
  <r>
    <m/>
    <n v="2026"/>
    <x v="0"/>
    <s v="NO"/>
    <x v="4"/>
    <d v="2026-01-08T00:00:00"/>
    <d v="2025-12-09T00:00:00"/>
    <s v="La Oca"/>
    <s v="C202512911304031492"/>
    <x v="5"/>
    <n v="2"/>
    <n v="2718.18"/>
    <s v="03 ORL"/>
    <s v="06 ORL"/>
    <x v="5"/>
    <x v="3"/>
  </r>
  <r>
    <m/>
    <n v="2026"/>
    <x v="0"/>
    <s v="NO"/>
    <x v="5"/>
    <d v="2026-01-08T00:00:00"/>
    <d v="2025-11-20T00:00:00"/>
    <s v="Sevilla Este"/>
    <s v="C202511201556282288"/>
    <x v="6"/>
    <n v="2"/>
    <n v="4120"/>
    <s v="03 ORL"/>
    <s v="06 ORL"/>
    <x v="6"/>
    <x v="4"/>
  </r>
  <r>
    <m/>
    <n v="2026"/>
    <x v="0"/>
    <s v="NO"/>
    <x v="3"/>
    <d v="2026-01-08T00:00:00"/>
    <d v="2025-11-27T00:00:00"/>
    <s v="Getafe"/>
    <s v="C202511271003718318"/>
    <x v="7"/>
    <n v="2"/>
    <n v="4136.3599999999997"/>
    <s v="03 ORL"/>
    <s v="06 ORL"/>
    <x v="3"/>
    <x v="3"/>
  </r>
  <r>
    <m/>
    <n v="2026"/>
    <x v="0"/>
    <s v="SI"/>
    <x v="6"/>
    <d v="2026-01-08T00:00:00"/>
    <d v="2023-05-12T00:00:00"/>
    <s v="Juan Bravo"/>
    <s v="JBR-1800"/>
    <x v="8"/>
    <n v="1"/>
    <n v="1543.52"/>
    <s v="04 TIENDA"/>
    <s v="10 REVISIÓN POST-VENTA"/>
    <x v="7"/>
    <x v="3"/>
  </r>
  <r>
    <m/>
    <n v="2026"/>
    <x v="0"/>
    <s v="NO"/>
    <x v="4"/>
    <d v="2026-01-09T00:00:00"/>
    <d v="2025-11-24T00:00:00"/>
    <s v="La Oca"/>
    <s v="C202511241158254265"/>
    <x v="9"/>
    <n v="2"/>
    <n v="3631.82"/>
    <s v="03 ORL"/>
    <s v="06 ORL"/>
    <x v="7"/>
    <x v="3"/>
  </r>
  <r>
    <m/>
    <n v="2026"/>
    <x v="0"/>
    <s v="NO"/>
    <x v="7"/>
    <d v="2026-01-09T00:00:00"/>
    <d v="2025-10-02T00:00:00"/>
    <s v="Zaragoza"/>
    <s v="C202510711221228"/>
    <x v="10"/>
    <n v="2"/>
    <n v="3424.55"/>
    <s v="03 ORL"/>
    <s v="06 ORL"/>
    <x v="8"/>
    <x v="5"/>
  </r>
  <r>
    <m/>
    <n v="2026"/>
    <x v="0"/>
    <s v="NO"/>
    <x v="8"/>
    <d v="2026-01-09T00:00:00"/>
    <d v="2025-12-15T00:00:00"/>
    <s v="Fuenlabrada"/>
    <s v="C202512151217324826"/>
    <x v="11"/>
    <n v="1"/>
    <n v="2180.91"/>
    <s v="03 ORL"/>
    <s v="06 ORL"/>
    <x v="9"/>
    <x v="3"/>
  </r>
  <r>
    <m/>
    <n v="2026"/>
    <x v="0"/>
    <s v="NO"/>
    <x v="9"/>
    <d v="2026-01-12T00:00:00"/>
    <d v="2024-11-27T00:00:00"/>
    <s v="Montoto"/>
    <s v="C2024112910652762"/>
    <x v="12"/>
    <n v="1"/>
    <n v="2072.73"/>
    <s v="03 ORL"/>
    <s v="06 ORL"/>
    <x v="10"/>
    <x v="4"/>
  </r>
  <r>
    <m/>
    <n v="2026"/>
    <x v="0"/>
    <s v="NO"/>
    <x v="10"/>
    <d v="2026-01-12T00:00:00"/>
    <d v="2025-12-15T00:00:00"/>
    <s v="Alicante"/>
    <s v="C202512158433763329"/>
    <x v="13"/>
    <n v="2"/>
    <n v="2718.18"/>
    <s v="03 ORL"/>
    <s v="06 ORL"/>
    <x v="11"/>
    <x v="6"/>
  </r>
  <r>
    <m/>
    <n v="2026"/>
    <x v="0"/>
    <s v="NO"/>
    <x v="3"/>
    <d v="2026-01-12T00:00:00"/>
    <d v="2025-11-05T00:00:00"/>
    <s v="Getafe"/>
    <s v="C202511594452200485"/>
    <x v="14"/>
    <n v="1"/>
    <n v="2481.8200000000002"/>
    <s v="03 ORL"/>
    <s v="06 ORL"/>
    <x v="12"/>
    <x v="3"/>
  </r>
  <r>
    <m/>
    <n v="2026"/>
    <x v="0"/>
    <s v="NO"/>
    <x v="1"/>
    <d v="2026-01-13T00:00:00"/>
    <d v="2025-12-05T00:00:00"/>
    <s v="Cáceres"/>
    <s v="C202512594841242568"/>
    <x v="15"/>
    <n v="1"/>
    <n v="2745"/>
    <s v="03 ORL"/>
    <s v="06 ORL"/>
    <x v="13"/>
    <x v="1"/>
  </r>
  <r>
    <m/>
    <n v="2026"/>
    <x v="0"/>
    <s v="NO"/>
    <x v="8"/>
    <d v="2026-01-13T00:00:00"/>
    <d v="2025-12-17T00:00:00"/>
    <s v="Fuenlabrada"/>
    <s v="C202512179181772442"/>
    <x v="16"/>
    <n v="1"/>
    <n v="2180.91"/>
    <s v="03 ORL"/>
    <s v="06 ORL"/>
    <x v="14"/>
    <x v="3"/>
  </r>
  <r>
    <m/>
    <n v="2026"/>
    <x v="0"/>
    <s v="NO"/>
    <x v="11"/>
    <d v="2026-01-13T00:00:00"/>
    <d v="2025-12-12T00:00:00"/>
    <s v="Murcia"/>
    <s v="C202512121136583127"/>
    <x v="17"/>
    <n v="2"/>
    <n v="2580.77"/>
    <s v="03 ORL"/>
    <s v="06 ORL"/>
    <x v="15"/>
    <x v="6"/>
  </r>
  <r>
    <m/>
    <n v="2026"/>
    <x v="0"/>
    <s v="NO"/>
    <x v="9"/>
    <d v="2026-01-14T00:00:00"/>
    <d v="2025-11-24T00:00:00"/>
    <s v="Montoto"/>
    <s v="C202511241120341965"/>
    <x v="18"/>
    <n v="2"/>
    <n v="3631.82"/>
    <s v="01 MARKETING ON LINE"/>
    <s v="04 AUDIFONO,ES"/>
    <x v="16"/>
    <x v="4"/>
  </r>
  <r>
    <m/>
    <n v="2026"/>
    <x v="0"/>
    <s v="NO"/>
    <x v="4"/>
    <d v="2026-01-14T00:00:00"/>
    <d v="2025-12-11T00:00:00"/>
    <s v="La Oca"/>
    <s v="C202512111114179041"/>
    <x v="19"/>
    <n v="2"/>
    <n v="2581.8200000000002"/>
    <s v="03 ORL"/>
    <s v="06 ORL"/>
    <x v="17"/>
    <x v="3"/>
  </r>
  <r>
    <m/>
    <n v="2026"/>
    <x v="0"/>
    <s v="NO"/>
    <x v="12"/>
    <d v="2026-01-14T00:00:00"/>
    <d v="2025-12-23T00:00:00"/>
    <s v="Toledo"/>
    <s v="C202512231029369451"/>
    <x v="20"/>
    <n v="1"/>
    <n v="1550.23"/>
    <s v="03 ORL"/>
    <s v="06 ORL"/>
    <x v="18"/>
    <x v="1"/>
  </r>
  <r>
    <m/>
    <n v="2026"/>
    <x v="0"/>
    <s v="NO"/>
    <x v="4"/>
    <d v="2026-01-14T00:00:00"/>
    <d v="2025-12-09T00:00:00"/>
    <s v="La Oca"/>
    <s v="C202512911118838876"/>
    <x v="21"/>
    <n v="2"/>
    <n v="3631.82"/>
    <s v="03 ORL"/>
    <s v="06 ORL"/>
    <x v="5"/>
    <x v="3"/>
  </r>
  <r>
    <m/>
    <n v="2026"/>
    <x v="0"/>
    <s v="NO"/>
    <x v="6"/>
    <d v="2026-01-14T00:00:00"/>
    <d v="2025-12-18T00:00:00"/>
    <s v="Juan Bravo"/>
    <s v="C202512181052238972"/>
    <x v="22"/>
    <n v="2"/>
    <n v="3929.55"/>
    <s v="03 ORL"/>
    <s v="06 ORL"/>
    <x v="19"/>
    <x v="1"/>
  </r>
  <r>
    <m/>
    <n v="2026"/>
    <x v="0"/>
    <s v="NO"/>
    <x v="13"/>
    <d v="2026-01-14T00:00:00"/>
    <d v="2025-11-24T00:00:00"/>
    <s v="Orense"/>
    <s v="C202511241525371421"/>
    <x v="23"/>
    <n v="2"/>
    <n v="3631.82"/>
    <s v="03 ORL"/>
    <s v="06 ORL"/>
    <x v="6"/>
    <x v="2"/>
  </r>
  <r>
    <m/>
    <n v="2026"/>
    <x v="0"/>
    <s v="NO"/>
    <x v="8"/>
    <d v="2026-01-15T00:00:00"/>
    <d v="2025-12-17T00:00:00"/>
    <s v="Fuenlabrada"/>
    <s v="C202512171612178703"/>
    <x v="24"/>
    <n v="2"/>
    <n v="4536.3599999999997"/>
    <s v="03 ORL"/>
    <s v="06 ORL"/>
    <x v="20"/>
    <x v="3"/>
  </r>
  <r>
    <m/>
    <n v="2026"/>
    <x v="0"/>
    <s v="NO"/>
    <x v="14"/>
    <d v="2026-01-15T00:00:00"/>
    <d v="2025-12-03T00:00:00"/>
    <s v="Lugo"/>
    <s v="C202512318124615792"/>
    <x v="25"/>
    <n v="2"/>
    <n v="3929.09"/>
    <s v="03 ORL"/>
    <s v="06 ORL"/>
    <x v="21"/>
    <x v="2"/>
  </r>
  <r>
    <m/>
    <n v="2026"/>
    <x v="0"/>
    <s v="NO"/>
    <x v="4"/>
    <d v="2026-01-15T00:00:00"/>
    <d v="2025-11-20T00:00:00"/>
    <s v="La Oca"/>
    <s v="C202511201642289976"/>
    <x v="26"/>
    <n v="2"/>
    <n v="2581.8200000000002"/>
    <s v="03 ORL"/>
    <s v="06 ORL"/>
    <x v="22"/>
    <x v="3"/>
  </r>
  <r>
    <m/>
    <n v="2026"/>
    <x v="0"/>
    <s v="NO"/>
    <x v="15"/>
    <d v="2026-01-15T00:00:00"/>
    <d v="2025-11-27T00:00:00"/>
    <s v="Canillas"/>
    <s v="C202511271715586820"/>
    <x v="27"/>
    <n v="2"/>
    <n v="2718.18"/>
    <s v="03 ORL"/>
    <s v="06 ORL"/>
    <x v="23"/>
    <x v="3"/>
  </r>
  <r>
    <m/>
    <n v="2026"/>
    <x v="0"/>
    <s v="NO"/>
    <x v="6"/>
    <d v="2026-01-16T00:00:00"/>
    <d v="2025-12-19T00:00:00"/>
    <s v="Juan Bravo"/>
    <s v="C202512191021357942"/>
    <x v="28"/>
    <n v="1"/>
    <n v="2180.91"/>
    <s v="03 ORL"/>
    <s v="06 ORL"/>
    <x v="24"/>
    <x v="3"/>
  </r>
  <r>
    <m/>
    <n v="2026"/>
    <x v="0"/>
    <s v="NO"/>
    <x v="1"/>
    <d v="2026-01-16T00:00:00"/>
    <d v="2025-12-16T00:00:00"/>
    <s v="Cáceres"/>
    <s v="C202512161810167638"/>
    <x v="29"/>
    <n v="2"/>
    <n v="3583.64"/>
    <s v="03 ORL"/>
    <s v="06 ORL"/>
    <x v="25"/>
    <x v="1"/>
  </r>
  <r>
    <m/>
    <n v="2026"/>
    <x v="0"/>
    <s v="NO"/>
    <x v="16"/>
    <d v="2026-01-16T00:00:00"/>
    <d v="2025-12-01T00:00:00"/>
    <s v="Leganés"/>
    <s v="C202512112053437517"/>
    <x v="30"/>
    <n v="2"/>
    <n v="2581.8200000000002"/>
    <s v="03 ORL"/>
    <s v="06 ORL"/>
    <x v="26"/>
    <x v="3"/>
  </r>
  <r>
    <m/>
    <n v="2026"/>
    <x v="0"/>
    <s v="NO"/>
    <x v="17"/>
    <d v="2026-01-16T00:00:00"/>
    <d v="2025-12-01T00:00:00"/>
    <s v="Alcorcón"/>
    <s v="C202512183458643917"/>
    <x v="31"/>
    <n v="1"/>
    <n v="2180.91"/>
    <s v="03 ORL"/>
    <s v="06 ORL"/>
    <x v="27"/>
    <x v="3"/>
  </r>
  <r>
    <m/>
    <n v="2026"/>
    <x v="0"/>
    <s v="NO"/>
    <x v="4"/>
    <d v="2026-01-16T00:00:00"/>
    <d v="2025-11-25T00:00:00"/>
    <s v="La Oca"/>
    <s v="C202511251148389618"/>
    <x v="32"/>
    <n v="2"/>
    <n v="2718.18"/>
    <s v="03 ORL"/>
    <s v="06 ORL"/>
    <x v="22"/>
    <x v="3"/>
  </r>
  <r>
    <m/>
    <n v="2026"/>
    <x v="0"/>
    <s v="NO"/>
    <x v="11"/>
    <d v="2026-01-16T00:00:00"/>
    <d v="2025-11-20T00:00:00"/>
    <s v="Murcia"/>
    <s v="C202511201717376391"/>
    <x v="33"/>
    <n v="1"/>
    <n v="1631.73"/>
    <s v="03 ORL"/>
    <s v="06 ORL"/>
    <x v="28"/>
    <x v="6"/>
  </r>
  <r>
    <m/>
    <n v="2026"/>
    <x v="0"/>
    <s v="NO"/>
    <x v="18"/>
    <d v="2026-01-16T00:00:00"/>
    <d v="2025-09-29T00:00:00"/>
    <s v="Logroño"/>
    <s v="C202510110530975"/>
    <x v="34"/>
    <n v="2"/>
    <n v="3604.55"/>
    <s v="03 ORL"/>
    <s v="06 ORL"/>
    <x v="29"/>
    <x v="1"/>
  </r>
  <r>
    <m/>
    <n v="2026"/>
    <x v="0"/>
    <s v="NO"/>
    <x v="17"/>
    <d v="2026-01-16T00:00:00"/>
    <d v="2025-11-18T00:00:00"/>
    <s v="Alcorcón"/>
    <s v="C202511181813490985"/>
    <x v="35"/>
    <n v="2"/>
    <n v="4136.3599999999997"/>
    <s v="03 ORL"/>
    <s v="06 ORL"/>
    <x v="30"/>
    <x v="3"/>
  </r>
  <r>
    <m/>
    <n v="2026"/>
    <x v="0"/>
    <s v="NO"/>
    <x v="9"/>
    <d v="2026-01-16T00:00:00"/>
    <d v="2025-12-19T00:00:00"/>
    <s v="Montoto"/>
    <s v="C202512191110453673"/>
    <x v="36"/>
    <n v="2"/>
    <n v="2718.19"/>
    <s v="03 ORL"/>
    <s v="06 ORL"/>
    <x v="6"/>
    <x v="4"/>
  </r>
  <r>
    <m/>
    <n v="2026"/>
    <x v="0"/>
    <s v="NO"/>
    <x v="6"/>
    <d v="2026-01-19T00:00:00"/>
    <d v="2025-06-06T00:00:00"/>
    <s v="Juan Bravo"/>
    <s v="C202561217436304"/>
    <x v="37"/>
    <n v="1"/>
    <n v="1631.82"/>
    <s v="03 ORL"/>
    <s v="06 ORL"/>
    <x v="19"/>
    <x v="1"/>
  </r>
  <r>
    <m/>
    <n v="2026"/>
    <x v="0"/>
    <s v="NO"/>
    <x v="1"/>
    <d v="2026-01-19T00:00:00"/>
    <d v="2025-12-15T00:00:00"/>
    <s v="Cáceres"/>
    <s v="C202512151041598226"/>
    <x v="38"/>
    <n v="2"/>
    <n v="4500"/>
    <s v="03 ORL"/>
    <s v="06 ORL"/>
    <x v="31"/>
    <x v="1"/>
  </r>
  <r>
    <m/>
    <n v="2026"/>
    <x v="0"/>
    <s v="NO"/>
    <x v="19"/>
    <d v="2026-01-19T00:00:00"/>
    <d v="2025-09-01T00:00:00"/>
    <s v="Córcega"/>
    <s v="C202594115953981"/>
    <x v="39"/>
    <n v="1"/>
    <n v="2268.14"/>
    <s v="03 ORL"/>
    <s v="06 ORL"/>
    <x v="32"/>
    <x v="5"/>
  </r>
  <r>
    <m/>
    <n v="2026"/>
    <x v="0"/>
    <s v="NO"/>
    <x v="20"/>
    <d v="2026-01-19T00:00:00"/>
    <d v="2025-12-10T00:00:00"/>
    <s v="La Zenia"/>
    <s v="C202512101420127206"/>
    <x v="40"/>
    <n v="2"/>
    <n v="3631.82"/>
    <s v="03 ORL"/>
    <s v="06 ORL"/>
    <x v="33"/>
    <x v="6"/>
  </r>
  <r>
    <m/>
    <n v="2026"/>
    <x v="0"/>
    <s v="NO"/>
    <x v="11"/>
    <d v="2026-01-19T00:00:00"/>
    <d v="2023-02-03T00:00:00"/>
    <s v="Murcia"/>
    <s v="MUR-1258"/>
    <x v="41"/>
    <n v="2"/>
    <n v="2718.18"/>
    <s v="03 ORL"/>
    <s v="06 ORL"/>
    <x v="34"/>
    <x v="6"/>
  </r>
  <r>
    <m/>
    <n v="2026"/>
    <x v="0"/>
    <s v="NO"/>
    <x v="21"/>
    <d v="2026-01-19T00:00:00"/>
    <d v="2025-12-16T00:00:00"/>
    <s v="Moratalaz"/>
    <s v="C202512161155416397"/>
    <x v="42"/>
    <n v="2"/>
    <n v="3377.6"/>
    <s v="03 ORL"/>
    <s v="06 ORL"/>
    <x v="24"/>
    <x v="3"/>
  </r>
  <r>
    <m/>
    <n v="2026"/>
    <x v="0"/>
    <s v="NO"/>
    <x v="3"/>
    <d v="2026-01-19T00:00:00"/>
    <d v="2025-11-17T00:00:00"/>
    <s v="Getafe"/>
    <s v="C202511171120372888"/>
    <x v="43"/>
    <n v="2"/>
    <n v="3631.82"/>
    <s v="03 ORL"/>
    <s v="06 ORL"/>
    <x v="35"/>
    <x v="3"/>
  </r>
  <r>
    <m/>
    <n v="2026"/>
    <x v="0"/>
    <s v="NO"/>
    <x v="1"/>
    <d v="2026-01-20T00:00:00"/>
    <d v="2025-12-16T00:00:00"/>
    <s v="Cáceres"/>
    <s v="C202512161238444364"/>
    <x v="44"/>
    <n v="2"/>
    <n v="4990.91"/>
    <s v="03 ORL"/>
    <s v="06 ORL"/>
    <x v="36"/>
    <x v="1"/>
  </r>
  <r>
    <m/>
    <n v="2026"/>
    <x v="0"/>
    <s v="NO"/>
    <x v="7"/>
    <d v="2026-01-20T00:00:00"/>
    <d v="2025-12-12T00:00:00"/>
    <s v="Zaragoza"/>
    <s v="C202512129125747718"/>
    <x v="45"/>
    <n v="2"/>
    <n v="3618.27"/>
    <s v="03 ORL"/>
    <s v="06 ORL"/>
    <x v="37"/>
    <x v="7"/>
  </r>
  <r>
    <m/>
    <n v="2026"/>
    <x v="0"/>
    <s v="NO"/>
    <x v="21"/>
    <d v="2026-01-20T00:00:00"/>
    <d v="2025-12-05T00:00:00"/>
    <s v="Moratalaz"/>
    <s v="C202512511444323836"/>
    <x v="46"/>
    <n v="2"/>
    <n v="4136.3599999999997"/>
    <s v="03 ORL"/>
    <s v="06 ORL"/>
    <x v="38"/>
    <x v="3"/>
  </r>
  <r>
    <m/>
    <n v="2026"/>
    <x v="0"/>
    <s v="NO"/>
    <x v="9"/>
    <d v="2026-01-20T00:00:00"/>
    <d v="2025-11-27T00:00:00"/>
    <s v="Montoto"/>
    <s v="C202511271216474526"/>
    <x v="47"/>
    <n v="2"/>
    <n v="3630.77"/>
    <s v="03 ORL"/>
    <s v="06 ORL"/>
    <x v="39"/>
    <x v="4"/>
  </r>
  <r>
    <m/>
    <n v="2026"/>
    <x v="0"/>
    <s v="NO"/>
    <x v="12"/>
    <d v="2026-01-20T00:00:00"/>
    <d v="2025-12-04T00:00:00"/>
    <s v="Toledo"/>
    <s v="C202512418122957997"/>
    <x v="48"/>
    <n v="2"/>
    <n v="3631.82"/>
    <s v="03 ORL"/>
    <s v="06 ORL"/>
    <x v="35"/>
    <x v="3"/>
  </r>
  <r>
    <m/>
    <n v="2026"/>
    <x v="0"/>
    <s v="NO"/>
    <x v="10"/>
    <d v="2026-01-20T00:00:00"/>
    <d v="2025-12-09T00:00:00"/>
    <s v="Alicante"/>
    <s v="C202512910126436073"/>
    <x v="49"/>
    <n v="2"/>
    <n v="4536.3599999999997"/>
    <s v="03 ORL"/>
    <s v="06 ORL"/>
    <x v="40"/>
    <x v="6"/>
  </r>
  <r>
    <m/>
    <n v="2026"/>
    <x v="0"/>
    <s v="NO"/>
    <x v="22"/>
    <d v="2026-01-20T00:00:00"/>
    <d v="2025-12-12T00:00:00"/>
    <s v="Albacete"/>
    <s v="C202512121711459148"/>
    <x v="50"/>
    <n v="2"/>
    <n v="2718.18"/>
    <s v="03 ORL"/>
    <s v="06 ORL"/>
    <x v="15"/>
    <x v="6"/>
  </r>
  <r>
    <m/>
    <n v="2026"/>
    <x v="0"/>
    <s v="NO"/>
    <x v="9"/>
    <d v="2026-01-21T00:00:00"/>
    <d v="2025-10-31T00:00:00"/>
    <s v="Montoto"/>
    <s v="C202510311713966723"/>
    <x v="51"/>
    <n v="2"/>
    <n v="3631.82"/>
    <s v="03 ORL"/>
    <s v="06 ORL"/>
    <x v="16"/>
    <x v="4"/>
  </r>
  <r>
    <m/>
    <n v="2026"/>
    <x v="0"/>
    <s v="NO"/>
    <x v="20"/>
    <d v="2026-01-21T00:00:00"/>
    <d v="2025-12-03T00:00:00"/>
    <s v="La Zenia"/>
    <s v="C202512311581610869"/>
    <x v="52"/>
    <n v="2"/>
    <n v="3631.73"/>
    <s v="03 ORL"/>
    <s v="06 ORL"/>
    <x v="41"/>
    <x v="6"/>
  </r>
  <r>
    <m/>
    <n v="2026"/>
    <x v="0"/>
    <s v="NO"/>
    <x v="3"/>
    <d v="2026-01-21T00:00:00"/>
    <d v="2025-12-05T00:00:00"/>
    <s v="Getafe"/>
    <s v="C202512595841880689"/>
    <x v="53"/>
    <n v="2"/>
    <n v="2445.4499999999998"/>
    <s v="03 ORL"/>
    <s v="06 ORL"/>
    <x v="35"/>
    <x v="3"/>
  </r>
  <r>
    <m/>
    <n v="2026"/>
    <x v="0"/>
    <s v="NO"/>
    <x v="10"/>
    <d v="2026-01-22T00:00:00"/>
    <d v="2025-12-16T00:00:00"/>
    <s v="Alicante"/>
    <s v="C202512169525324632"/>
    <x v="54"/>
    <n v="2"/>
    <n v="4136.3599999999997"/>
    <s v="03 ORL"/>
    <s v="06 ORL"/>
    <x v="42"/>
    <x v="6"/>
  </r>
  <r>
    <m/>
    <n v="2026"/>
    <x v="0"/>
    <s v="NO"/>
    <x v="1"/>
    <d v="2026-01-22T00:00:00"/>
    <d v="2025-12-26T00:00:00"/>
    <s v="Cáceres"/>
    <s v="C202512268393761744"/>
    <x v="55"/>
    <n v="2"/>
    <n v="3163.64"/>
    <s v="03 ORL"/>
    <s v="06 ORL"/>
    <x v="36"/>
    <x v="1"/>
  </r>
  <r>
    <m/>
    <n v="2026"/>
    <x v="0"/>
    <s v="NO"/>
    <x v="13"/>
    <d v="2026-01-22T00:00:00"/>
    <d v="2025-12-03T00:00:00"/>
    <s v="Orense"/>
    <s v="C202512392737668984"/>
    <x v="56"/>
    <n v="1"/>
    <n v="2180.91"/>
    <s v="03 ORL"/>
    <s v="06 ORL"/>
    <x v="43"/>
    <x v="2"/>
  </r>
  <r>
    <m/>
    <n v="2026"/>
    <x v="0"/>
    <s v="NO"/>
    <x v="4"/>
    <d v="2026-01-22T00:00:00"/>
    <d v="2025-11-12T00:00:00"/>
    <s v="La Oca"/>
    <s v="C20251210112255528"/>
    <x v="57"/>
    <n v="2"/>
    <n v="2545.4499999999998"/>
    <s v="03 ORL"/>
    <s v="06 ORL"/>
    <x v="44"/>
    <x v="3"/>
  </r>
  <r>
    <m/>
    <n v="2026"/>
    <x v="0"/>
    <s v="NO"/>
    <x v="23"/>
    <d v="2026-01-22T00:00:00"/>
    <d v="2025-11-03T00:00:00"/>
    <s v="Badajoz"/>
    <s v="BJZE-2540"/>
    <x v="58"/>
    <n v="2"/>
    <n v="3263.64"/>
    <s v="03 ORL"/>
    <s v="06 ORL"/>
    <x v="6"/>
    <x v="4"/>
  </r>
  <r>
    <m/>
    <n v="2026"/>
    <x v="0"/>
    <s v="NO"/>
    <x v="24"/>
    <d v="2026-01-22T00:00:00"/>
    <d v="2025-12-16T00:00:00"/>
    <s v="Almería"/>
    <s v="C202512161837483546"/>
    <x v="59"/>
    <n v="2"/>
    <n v="2718.18"/>
    <s v="03 ORL"/>
    <s v="06 ORL"/>
    <x v="45"/>
    <x v="0"/>
  </r>
  <r>
    <m/>
    <n v="2026"/>
    <x v="0"/>
    <s v="NO"/>
    <x v="1"/>
    <d v="2026-01-22T00:00:00"/>
    <d v="2025-12-15T00:00:00"/>
    <s v="Cáceres"/>
    <s v="C202512151640123719"/>
    <x v="60"/>
    <n v="2"/>
    <n v="4227.2700000000004"/>
    <s v="03 ORL"/>
    <s v="06 ORL"/>
    <x v="13"/>
    <x v="1"/>
  </r>
  <r>
    <m/>
    <n v="2026"/>
    <x v="0"/>
    <s v="NO"/>
    <x v="17"/>
    <d v="2026-01-22T00:00:00"/>
    <d v="2025-10-13T00:00:00"/>
    <s v="Alcorcón"/>
    <s v="C202510131556115741"/>
    <x v="61"/>
    <n v="2"/>
    <n v="2718.18"/>
    <s v="03 ORL"/>
    <s v="06 ORL"/>
    <x v="46"/>
    <x v="1"/>
  </r>
  <r>
    <m/>
    <n v="2026"/>
    <x v="0"/>
    <s v="NO"/>
    <x v="9"/>
    <d v="2026-01-22T00:00:00"/>
    <d v="2025-12-11T00:00:00"/>
    <s v="Montoto"/>
    <s v="C202512111353317097"/>
    <x v="62"/>
    <n v="1"/>
    <n v="2357.73"/>
    <s v="03 ORL"/>
    <s v="06 ORL"/>
    <x v="47"/>
    <x v="4"/>
  </r>
  <r>
    <m/>
    <n v="2026"/>
    <x v="0"/>
    <s v="NO"/>
    <x v="20"/>
    <d v="2026-01-22T00:00:00"/>
    <d v="2025-11-20T00:00:00"/>
    <s v="La Zenia"/>
    <s v="C202511201113975005"/>
    <x v="63"/>
    <n v="1"/>
    <n v="2481.8200000000002"/>
    <s v="03 ORL"/>
    <s v="06 ORL"/>
    <x v="42"/>
    <x v="6"/>
  </r>
  <r>
    <m/>
    <n v="2026"/>
    <x v="0"/>
    <s v="NO"/>
    <x v="25"/>
    <d v="2026-01-22T00:00:00"/>
    <d v="2025-12-15T00:00:00"/>
    <s v="La Vaguada"/>
    <s v="C202512159363301430"/>
    <x v="64"/>
    <n v="1"/>
    <n v="2180.91"/>
    <s v="03 ORL"/>
    <s v="06 ORL"/>
    <x v="48"/>
    <x v="3"/>
  </r>
  <r>
    <m/>
    <n v="2026"/>
    <x v="0"/>
    <s v="NO"/>
    <x v="10"/>
    <d v="2026-01-22T00:00:00"/>
    <d v="2025-12-22T00:00:00"/>
    <s v="Alicante"/>
    <s v="C202512221119249267"/>
    <x v="65"/>
    <n v="1"/>
    <n v="2180.91"/>
    <s v="03 ORL"/>
    <s v="06 ORL"/>
    <x v="49"/>
    <x v="6"/>
  </r>
  <r>
    <m/>
    <n v="2026"/>
    <x v="0"/>
    <s v="NO"/>
    <x v="22"/>
    <d v="2026-01-23T00:00:00"/>
    <d v="2025-11-27T00:00:00"/>
    <s v="Albacete"/>
    <s v="C202511271222372314"/>
    <x v="66"/>
    <n v="1"/>
    <n v="2372.73"/>
    <s v="03 ORL"/>
    <s v="22 AUDIOMETRIA CLINICA"/>
    <x v="50"/>
    <x v="6"/>
  </r>
  <r>
    <m/>
    <n v="2026"/>
    <x v="0"/>
    <s v="NO"/>
    <x v="26"/>
    <d v="2026-01-23T00:00:00"/>
    <d v="2025-12-01T00:00:00"/>
    <s v="El Albir (Benidorm)"/>
    <s v="C202512183015487201"/>
    <x v="67"/>
    <n v="2"/>
    <n v="3631.82"/>
    <s v="03 ORL"/>
    <s v="06 ORL"/>
    <x v="51"/>
    <x v="0"/>
  </r>
  <r>
    <m/>
    <n v="2026"/>
    <x v="0"/>
    <s v="NO"/>
    <x v="0"/>
    <d v="2026-01-23T00:00:00"/>
    <d v="2025-11-25T00:00:00"/>
    <s v="Valencia- Parra"/>
    <s v="C202511251235490541"/>
    <x v="68"/>
    <n v="2"/>
    <n v="3631.82"/>
    <s v="03 ORL"/>
    <s v="06 ORL"/>
    <x v="52"/>
    <x v="0"/>
  </r>
  <r>
    <m/>
    <n v="2026"/>
    <x v="0"/>
    <s v="NO"/>
    <x v="0"/>
    <d v="2026-01-23T00:00:00"/>
    <d v="2025-10-20T00:00:00"/>
    <s v="Valencia- Parra"/>
    <s v="C202510201139577779"/>
    <x v="69"/>
    <n v="1"/>
    <n v="2162.73"/>
    <s v="03 ORL"/>
    <s v="06 ORL"/>
    <x v="53"/>
    <x v="0"/>
  </r>
  <r>
    <m/>
    <n v="2026"/>
    <x v="0"/>
    <s v="NO"/>
    <x v="1"/>
    <d v="2026-01-23T00:00:00"/>
    <d v="2025-12-23T00:00:00"/>
    <s v="Cáceres"/>
    <s v="C202512231713186578"/>
    <x v="70"/>
    <n v="2"/>
    <n v="4500"/>
    <s v="03 ORL"/>
    <s v="06 ORL"/>
    <x v="1"/>
    <x v="1"/>
  </r>
  <r>
    <m/>
    <n v="2026"/>
    <x v="0"/>
    <s v="NO"/>
    <x v="7"/>
    <d v="2026-01-24T00:00:00"/>
    <d v="2025-12-12T00:00:00"/>
    <s v="Zaragoza"/>
    <s v="C202512121148341527"/>
    <x v="71"/>
    <n v="2"/>
    <n v="3365.38"/>
    <s v="03 ORL"/>
    <s v="06 ORL"/>
    <x v="54"/>
    <x v="7"/>
  </r>
  <r>
    <m/>
    <n v="2026"/>
    <x v="0"/>
    <s v="NO"/>
    <x v="19"/>
    <d v="2026-01-26T00:00:00"/>
    <d v="2025-11-26T00:00:00"/>
    <s v="Córcega"/>
    <s v="C202511261218486321"/>
    <x v="72"/>
    <n v="2"/>
    <n v="3631.82"/>
    <s v="03 ORL"/>
    <s v="06 ORL"/>
    <x v="32"/>
    <x v="5"/>
  </r>
  <r>
    <m/>
    <n v="2026"/>
    <x v="0"/>
    <s v="NO"/>
    <x v="27"/>
    <d v="2026-01-26T00:00:00"/>
    <d v="2025-12-17T00:00:00"/>
    <s v="San Javier"/>
    <s v="C202512171228417197"/>
    <x v="73"/>
    <n v="2"/>
    <n v="3631.82"/>
    <s v="03 ORL"/>
    <s v="06 ORL"/>
    <x v="55"/>
    <x v="6"/>
  </r>
  <r>
    <m/>
    <n v="2026"/>
    <x v="0"/>
    <s v="NO"/>
    <x v="11"/>
    <d v="2026-01-26T00:00:00"/>
    <d v="2025-12-04T00:00:00"/>
    <s v="Murcia"/>
    <s v="C202512410121341481"/>
    <x v="74"/>
    <n v="2"/>
    <n v="3631.83"/>
    <s v="03 ORL"/>
    <s v="06 ORL"/>
    <x v="56"/>
    <x v="6"/>
  </r>
  <r>
    <m/>
    <n v="2026"/>
    <x v="0"/>
    <s v="NO"/>
    <x v="26"/>
    <d v="2026-01-26T00:00:00"/>
    <d v="2025-12-12T00:00:00"/>
    <s v="El Albir (Benidorm)"/>
    <s v="C202512121026113021"/>
    <x v="75"/>
    <n v="2"/>
    <n v="2718.18"/>
    <s v="03 ORL"/>
    <s v="06 ORL"/>
    <x v="57"/>
    <x v="0"/>
  </r>
  <r>
    <m/>
    <n v="2026"/>
    <x v="0"/>
    <s v="NO"/>
    <x v="12"/>
    <d v="2026-01-26T00:00:00"/>
    <d v="2025-11-26T00:00:00"/>
    <s v="Toledo"/>
    <s v="C202511269485787430"/>
    <x v="76"/>
    <n v="2"/>
    <n v="2718.18"/>
    <s v="03 ORL"/>
    <s v="06 ORL"/>
    <x v="35"/>
    <x v="3"/>
  </r>
  <r>
    <m/>
    <n v="2026"/>
    <x v="0"/>
    <s v="NO"/>
    <x v="19"/>
    <d v="2026-01-26T00:00:00"/>
    <d v="2026-01-07T00:00:00"/>
    <s v="Córcega"/>
    <s v="C202617113410376988"/>
    <x v="77"/>
    <n v="2"/>
    <n v="4536.3599999999997"/>
    <s v="03 ORL"/>
    <s v="06 ORL"/>
    <x v="58"/>
    <x v="5"/>
  </r>
  <r>
    <m/>
    <n v="2026"/>
    <x v="0"/>
    <s v="NO"/>
    <x v="9"/>
    <d v="2026-01-26T00:00:00"/>
    <d v="2025-11-12T00:00:00"/>
    <s v="Montoto"/>
    <s v="C202511121127351007"/>
    <x v="78"/>
    <n v="2"/>
    <n v="3631.82"/>
    <s v="03 ORL"/>
    <s v="06 ORL"/>
    <x v="59"/>
    <x v="4"/>
  </r>
  <r>
    <m/>
    <n v="2026"/>
    <x v="0"/>
    <s v="NO"/>
    <x v="10"/>
    <d v="2026-01-27T00:00:00"/>
    <d v="2025-12-26T00:00:00"/>
    <s v="Alicante"/>
    <s v="C202512261157304222"/>
    <x v="79"/>
    <n v="2"/>
    <n v="2718.18"/>
    <s v="03 ORL"/>
    <s v="06 ORL"/>
    <x v="60"/>
    <x v="6"/>
  </r>
  <r>
    <m/>
    <n v="2026"/>
    <x v="0"/>
    <s v="NO"/>
    <x v="8"/>
    <d v="2026-01-27T00:00:00"/>
    <d v="2025-12-12T00:00:00"/>
    <s v="Fuenlabrada"/>
    <s v="C202512121025258882"/>
    <x v="80"/>
    <n v="1"/>
    <n v="1631.82"/>
    <s v="03 ORL"/>
    <s v="06 ORL"/>
    <x v="61"/>
    <x v="3"/>
  </r>
  <r>
    <m/>
    <n v="2026"/>
    <x v="0"/>
    <s v="NO"/>
    <x v="28"/>
    <d v="2026-01-27T00:00:00"/>
    <d v="2025-11-18T00:00:00"/>
    <s v="Hospitalet"/>
    <s v="C202511181545320772"/>
    <x v="81"/>
    <n v="1"/>
    <n v="2481.8200000000002"/>
    <s v="03 ORL"/>
    <s v="06 ORL"/>
    <x v="62"/>
    <x v="5"/>
  </r>
  <r>
    <m/>
    <n v="2026"/>
    <x v="0"/>
    <s v="NO"/>
    <x v="6"/>
    <d v="2026-01-27T00:00:00"/>
    <d v="2026-01-02T00:00:00"/>
    <s v="Juan Bravo"/>
    <s v="C20261292625074298"/>
    <x v="82"/>
    <n v="2"/>
    <n v="4536.3599999999997"/>
    <s v="03 ORL"/>
    <s v="06 ORL"/>
    <x v="24"/>
    <x v="3"/>
  </r>
  <r>
    <m/>
    <n v="2026"/>
    <x v="0"/>
    <s v="NO"/>
    <x v="8"/>
    <d v="2026-01-27T00:00:00"/>
    <d v="2025-11-27T00:00:00"/>
    <s v="Fuenlabrada"/>
    <s v="C202511279152147211"/>
    <x v="83"/>
    <n v="1"/>
    <n v="2722.73"/>
    <s v="03 ORL"/>
    <s v="06 ORL"/>
    <x v="63"/>
    <x v="3"/>
  </r>
  <r>
    <m/>
    <n v="2026"/>
    <x v="0"/>
    <s v="NO"/>
    <x v="18"/>
    <d v="2026-01-27T00:00:00"/>
    <d v="2025-12-15T00:00:00"/>
    <s v="Logroño"/>
    <s v="C202512158202709477"/>
    <x v="84"/>
    <n v="2"/>
    <n v="4536.3599999999997"/>
    <s v="03 ORL"/>
    <s v="06 ORL"/>
    <x v="64"/>
    <x v="1"/>
  </r>
  <r>
    <m/>
    <n v="2026"/>
    <x v="0"/>
    <s v="NO"/>
    <x v="18"/>
    <d v="2026-01-27T00:00:00"/>
    <d v="2026-01-05T00:00:00"/>
    <s v="Logroño"/>
    <s v="C202615112933324246"/>
    <x v="85"/>
    <n v="2"/>
    <n v="2582.27"/>
    <s v="03 ORL"/>
    <s v="06 ORL"/>
    <x v="65"/>
    <x v="1"/>
  </r>
  <r>
    <m/>
    <n v="2026"/>
    <x v="0"/>
    <s v="NO"/>
    <x v="26"/>
    <d v="2026-01-27T00:00:00"/>
    <d v="2026-01-07T00:00:00"/>
    <s v="El Albir (Benidorm)"/>
    <s v="C20261785351356795"/>
    <x v="86"/>
    <n v="2"/>
    <n v="3631.81"/>
    <s v="03 ORL"/>
    <s v="06 ORL"/>
    <x v="66"/>
    <x v="0"/>
  </r>
  <r>
    <m/>
    <n v="2026"/>
    <x v="0"/>
    <s v="NO"/>
    <x v="11"/>
    <d v="2026-01-27T00:00:00"/>
    <d v="2025-12-19T00:00:00"/>
    <s v="Murcia"/>
    <s v="C202512191124560708"/>
    <x v="87"/>
    <n v="2"/>
    <n v="2718.18"/>
    <s v="03 ORL"/>
    <s v="06 ORL"/>
    <x v="15"/>
    <x v="6"/>
  </r>
  <r>
    <m/>
    <n v="2026"/>
    <x v="0"/>
    <s v="NO"/>
    <x v="19"/>
    <d v="2026-01-27T00:00:00"/>
    <d v="2025-11-14T00:00:00"/>
    <s v="Córcega"/>
    <s v="C202511141556043637"/>
    <x v="88"/>
    <n v="2"/>
    <n v="4536.37"/>
    <s v="03 ORL"/>
    <s v="06 ORL"/>
    <x v="67"/>
    <x v="5"/>
  </r>
  <r>
    <m/>
    <n v="2026"/>
    <x v="0"/>
    <s v="NO"/>
    <x v="4"/>
    <d v="2026-01-27T00:00:00"/>
    <d v="2025-11-03T00:00:00"/>
    <s v="La Oca"/>
    <s v="C202511315038757150"/>
    <x v="89"/>
    <n v="2"/>
    <n v="2718.18"/>
    <s v="03 ORL"/>
    <s v="06 ORL"/>
    <x v="68"/>
    <x v="3"/>
  </r>
  <r>
    <m/>
    <n v="2026"/>
    <x v="0"/>
    <s v="NO"/>
    <x v="29"/>
    <d v="2026-01-27T00:00:00"/>
    <d v="2025-12-05T00:00:00"/>
    <s v="Costa Rica"/>
    <s v="C202512512211094875"/>
    <x v="90"/>
    <n v="2"/>
    <n v="2718.18"/>
    <s v="03 ORL"/>
    <s v="06 ORL"/>
    <x v="69"/>
    <x v="1"/>
  </r>
  <r>
    <m/>
    <n v="2026"/>
    <x v="0"/>
    <s v="NO"/>
    <x v="13"/>
    <d v="2026-01-27T00:00:00"/>
    <d v="2025-12-11T00:00:00"/>
    <s v="Orense"/>
    <s v="C202512111122089926"/>
    <x v="91"/>
    <n v="1"/>
    <n v="2180.91"/>
    <s v="03 ORL"/>
    <s v="06 ORL"/>
    <x v="70"/>
    <x v="2"/>
  </r>
  <r>
    <m/>
    <n v="2026"/>
    <x v="0"/>
    <s v="NO"/>
    <x v="11"/>
    <d v="2026-01-27T00:00:00"/>
    <d v="2026-01-05T00:00:00"/>
    <s v="Murcia"/>
    <s v="C202615105031143656"/>
    <x v="92"/>
    <n v="2"/>
    <n v="2718.18"/>
    <s v="03 ORL"/>
    <s v="06 ORL"/>
    <x v="56"/>
    <x v="6"/>
  </r>
  <r>
    <m/>
    <n v="2026"/>
    <x v="0"/>
    <s v="NO"/>
    <x v="30"/>
    <d v="2026-01-28T00:00:00"/>
    <d v="2026-01-07T00:00:00"/>
    <s v="Jerez"/>
    <s v="C202617145953074840"/>
    <x v="93"/>
    <n v="2"/>
    <n v="2718.18"/>
    <s v="03 ORL"/>
    <s v="06 ORL"/>
    <x v="71"/>
    <x v="4"/>
  </r>
  <r>
    <m/>
    <n v="2026"/>
    <x v="0"/>
    <s v="NO"/>
    <x v="30"/>
    <d v="2026-01-28T00:00:00"/>
    <d v="2025-12-26T00:00:00"/>
    <s v="Jerez"/>
    <s v="C202512261052210691"/>
    <x v="94"/>
    <n v="2"/>
    <n v="4536.3599999999997"/>
    <s v="03 ORL"/>
    <s v="06 ORL"/>
    <x v="24"/>
    <x v="3"/>
  </r>
  <r>
    <m/>
    <n v="2026"/>
    <x v="0"/>
    <s v="NO"/>
    <x v="12"/>
    <d v="2026-01-28T00:00:00"/>
    <d v="2025-11-04T00:00:00"/>
    <s v="Toledo"/>
    <s v="C202511411503852607"/>
    <x v="95"/>
    <n v="2"/>
    <n v="3424.32"/>
    <s v="03 ORL"/>
    <s v="06 ORL"/>
    <x v="72"/>
    <x v="1"/>
  </r>
  <r>
    <m/>
    <n v="2026"/>
    <x v="0"/>
    <s v="NO"/>
    <x v="24"/>
    <d v="2026-01-28T00:00:00"/>
    <d v="2025-12-10T00:00:00"/>
    <s v="Almería"/>
    <s v="C202512101036657690"/>
    <x v="96"/>
    <n v="2"/>
    <n v="4136.3599999999997"/>
    <s v="03 ORL"/>
    <s v="06 ORL"/>
    <x v="73"/>
    <x v="0"/>
  </r>
  <r>
    <m/>
    <n v="2026"/>
    <x v="0"/>
    <s v="NO"/>
    <x v="16"/>
    <d v="2026-01-28T00:00:00"/>
    <d v="2025-12-10T00:00:00"/>
    <s v="Leganés"/>
    <s v="C202512101653481730"/>
    <x v="97"/>
    <n v="1"/>
    <n v="2071.8200000000002"/>
    <s v="03 ORL"/>
    <s v="06 ORL"/>
    <x v="74"/>
    <x v="3"/>
  </r>
  <r>
    <m/>
    <n v="2026"/>
    <x v="0"/>
    <s v="NO"/>
    <x v="3"/>
    <d v="2026-01-28T00:00:00"/>
    <d v="2025-04-10T00:00:00"/>
    <s v="Getafe"/>
    <s v="C2025410161942769"/>
    <x v="98"/>
    <n v="2"/>
    <n v="3631.82"/>
    <s v="03 ORL"/>
    <s v="06 ORL"/>
    <x v="3"/>
    <x v="3"/>
  </r>
  <r>
    <m/>
    <n v="2026"/>
    <x v="0"/>
    <s v="NO"/>
    <x v="4"/>
    <d v="2026-01-28T00:00:00"/>
    <d v="2025-11-25T00:00:00"/>
    <s v="La Oca"/>
    <s v="C202511251257139691"/>
    <x v="99"/>
    <n v="2"/>
    <n v="3631.82"/>
    <s v="03 ORL"/>
    <s v="06 ORL"/>
    <x v="22"/>
    <x v="3"/>
  </r>
  <r>
    <m/>
    <n v="2026"/>
    <x v="0"/>
    <s v="NO"/>
    <x v="3"/>
    <d v="2026-01-28T00:00:00"/>
    <d v="2025-12-17T00:00:00"/>
    <s v="Getafe"/>
    <s v="C202512171551118835"/>
    <x v="100"/>
    <n v="2"/>
    <n v="4136.3599999999997"/>
    <s v="03 ORL"/>
    <s v="06 ORL"/>
    <x v="75"/>
    <x v="3"/>
  </r>
  <r>
    <m/>
    <n v="2026"/>
    <x v="0"/>
    <s v="NO"/>
    <x v="5"/>
    <d v="2026-01-28T00:00:00"/>
    <d v="2025-12-15T00:00:00"/>
    <s v="Sevilla Este"/>
    <s v="C202512151727496906"/>
    <x v="101"/>
    <n v="2"/>
    <n v="3730"/>
    <s v="03 ORL"/>
    <s v="06 ORL"/>
    <x v="6"/>
    <x v="4"/>
  </r>
  <r>
    <m/>
    <n v="2026"/>
    <x v="0"/>
    <s v="NO"/>
    <x v="16"/>
    <d v="2026-01-28T00:00:00"/>
    <d v="2025-12-15T00:00:00"/>
    <s v="Leganés"/>
    <s v="C202512151018164852"/>
    <x v="102"/>
    <n v="2"/>
    <n v="3631.82"/>
    <s v="03 ORL"/>
    <s v="06 ORL"/>
    <x v="76"/>
    <x v="3"/>
  </r>
  <r>
    <m/>
    <n v="2026"/>
    <x v="0"/>
    <s v="NO"/>
    <x v="31"/>
    <d v="2026-01-29T00:00:00"/>
    <d v="2025-11-19T00:00:00"/>
    <s v="Torrejón"/>
    <s v="C202511191019522290"/>
    <x v="103"/>
    <n v="2"/>
    <n v="2718.18"/>
    <s v="03 ORL"/>
    <s v="06 ORL"/>
    <x v="77"/>
    <x v="3"/>
  </r>
  <r>
    <m/>
    <n v="2026"/>
    <x v="0"/>
    <s v="NO"/>
    <x v="10"/>
    <d v="2026-01-29T00:00:00"/>
    <d v="2026-01-02T00:00:00"/>
    <s v="Alicante"/>
    <s v="C202612113440763265"/>
    <x v="104"/>
    <n v="2"/>
    <n v="2582.27"/>
    <s v="03 ORL"/>
    <s v="06 ORL"/>
    <x v="11"/>
    <x v="6"/>
  </r>
  <r>
    <m/>
    <n v="2026"/>
    <x v="0"/>
    <s v="NO"/>
    <x v="17"/>
    <d v="2026-01-29T00:00:00"/>
    <d v="2025-12-22T00:00:00"/>
    <s v="Alcorcón"/>
    <s v="C202512221022206009"/>
    <x v="105"/>
    <n v="2"/>
    <n v="2582.27"/>
    <s v="03 ORL"/>
    <s v="06 ORL"/>
    <x v="78"/>
    <x v="3"/>
  </r>
  <r>
    <m/>
    <n v="2026"/>
    <x v="0"/>
    <s v="NO"/>
    <x v="13"/>
    <d v="2026-01-29T00:00:00"/>
    <d v="2025-12-09T00:00:00"/>
    <s v="Orense"/>
    <s v="C202512910445271491"/>
    <x v="106"/>
    <n v="1"/>
    <n v="2180.91"/>
    <s v="03 ORL"/>
    <s v="06 ORL"/>
    <x v="70"/>
    <x v="2"/>
  </r>
  <r>
    <m/>
    <n v="2026"/>
    <x v="0"/>
    <s v="NO"/>
    <x v="26"/>
    <d v="2026-01-29T00:00:00"/>
    <d v="2025-12-16T00:00:00"/>
    <s v="El Albir (Benidorm)"/>
    <s v="C202512161325384872"/>
    <x v="107"/>
    <n v="2"/>
    <n v="3313.64"/>
    <s v="03 ORL"/>
    <s v="06 ORL"/>
    <x v="51"/>
    <x v="0"/>
  </r>
  <r>
    <m/>
    <n v="2026"/>
    <x v="0"/>
    <s v="NO"/>
    <x v="18"/>
    <d v="2026-01-29T00:00:00"/>
    <d v="2025-11-28T00:00:00"/>
    <s v="Logroño"/>
    <s v="C202511289525253331"/>
    <x v="108"/>
    <n v="2"/>
    <n v="3450.23"/>
    <s v="03 ORL"/>
    <s v="06 ORL"/>
    <x v="29"/>
    <x v="1"/>
  </r>
  <r>
    <m/>
    <n v="2026"/>
    <x v="0"/>
    <s v="NO"/>
    <x v="32"/>
    <d v="2026-01-29T00:00:00"/>
    <d v="2025-02-26T00:00:00"/>
    <s v="Ponferrada"/>
    <s v="PON-886"/>
    <x v="109"/>
    <n v="2"/>
    <n v="3545.45"/>
    <s v="03 ORL"/>
    <s v="06 ORL"/>
    <x v="6"/>
    <x v="2"/>
  </r>
  <r>
    <m/>
    <n v="2026"/>
    <x v="0"/>
    <s v="NO"/>
    <x v="18"/>
    <d v="2026-01-30T00:00:00"/>
    <d v="2026-01-15T00:00:00"/>
    <s v="Logroño"/>
    <s v="C202611511544719"/>
    <x v="110"/>
    <n v="2"/>
    <n v="3631.82"/>
    <s v="03 ORL"/>
    <s v="06 ORL"/>
    <x v="64"/>
    <x v="1"/>
  </r>
  <r>
    <m/>
    <n v="2026"/>
    <x v="0"/>
    <s v="NO"/>
    <x v="18"/>
    <d v="2026-01-30T00:00:00"/>
    <d v="2025-08-20T00:00:00"/>
    <s v="Logroño"/>
    <s v="C2025916183327966"/>
    <x v="111"/>
    <n v="2"/>
    <n v="3631.82"/>
    <s v="03 ORL"/>
    <s v="06 ORL"/>
    <x v="79"/>
    <x v="1"/>
  </r>
  <r>
    <m/>
    <n v="2026"/>
    <x v="0"/>
    <s v="NO"/>
    <x v="3"/>
    <d v="2026-01-30T00:00:00"/>
    <d v="2025-09-08T00:00:00"/>
    <s v="Getafe"/>
    <s v="C2025915112151818"/>
    <x v="112"/>
    <n v="1"/>
    <n v="1631.82"/>
    <s v="03 ORL"/>
    <s v="06 ORL"/>
    <x v="80"/>
    <x v="3"/>
  </r>
  <r>
    <m/>
    <n v="2026"/>
    <x v="0"/>
    <s v="NO"/>
    <x v="2"/>
    <d v="2026-01-30T00:00:00"/>
    <d v="2025-11-26T00:00:00"/>
    <s v="Valladolid"/>
    <s v="VLL-486"/>
    <x v="113"/>
    <n v="2"/>
    <n v="3522.73"/>
    <s v="03 ORL"/>
    <s v="06 ORL"/>
    <x v="6"/>
    <x v="2"/>
  </r>
  <r>
    <m/>
    <n v="2026"/>
    <x v="0"/>
    <s v="NO"/>
    <x v="12"/>
    <d v="2026-01-30T00:00:00"/>
    <d v="2025-12-10T00:00:00"/>
    <s v="Toledo"/>
    <s v="C202512109641544986"/>
    <x v="114"/>
    <n v="2"/>
    <n v="2582.27"/>
    <s v="03 ORL"/>
    <s v="06 ORL"/>
    <x v="81"/>
    <x v="1"/>
  </r>
  <r>
    <m/>
    <n v="2026"/>
    <x v="0"/>
    <s v="NO"/>
    <x v="30"/>
    <d v="2026-01-30T00:00:00"/>
    <d v="2026-01-02T00:00:00"/>
    <s v="Jerez"/>
    <s v="C202612113045186230"/>
    <x v="115"/>
    <n v="2"/>
    <n v="4136.3599999999997"/>
    <s v="03 ORL"/>
    <s v="06 ORL"/>
    <x v="82"/>
    <x v="4"/>
  </r>
  <r>
    <m/>
    <n v="2026"/>
    <x v="0"/>
    <s v="NO"/>
    <x v="1"/>
    <d v="2026-01-30T00:00:00"/>
    <d v="2025-12-29T00:00:00"/>
    <s v="Cáceres"/>
    <s v="C202512298441794190"/>
    <x v="116"/>
    <n v="1"/>
    <n v="1839.09"/>
    <s v="03 ORL"/>
    <s v="06 ORL"/>
    <x v="25"/>
    <x v="1"/>
  </r>
  <r>
    <m/>
    <n v="2026"/>
    <x v="0"/>
    <s v="NO"/>
    <x v="17"/>
    <d v="2026-01-30T00:00:00"/>
    <d v="2026-01-07T00:00:00"/>
    <s v="Alcorcón"/>
    <s v="C202617112022918814"/>
    <x v="117"/>
    <n v="2"/>
    <n v="2718.18"/>
    <s v="03 ORL"/>
    <s v="06 ORL"/>
    <x v="83"/>
    <x v="1"/>
  </r>
  <r>
    <m/>
    <n v="2026"/>
    <x v="0"/>
    <s v="NO"/>
    <x v="18"/>
    <d v="2026-01-30T00:00:00"/>
    <d v="2025-12-10T00:00:00"/>
    <s v="Logroño"/>
    <s v="C202512101635128085"/>
    <x v="118"/>
    <n v="1"/>
    <n v="2294.3200000000002"/>
    <s v="03 ORL"/>
    <s v="06 ORL"/>
    <x v="64"/>
    <x v="1"/>
  </r>
  <r>
    <m/>
    <n v="2026"/>
    <x v="0"/>
    <s v="NO"/>
    <x v="11"/>
    <d v="2026-01-30T00:00:00"/>
    <d v="2026-01-12T00:00:00"/>
    <s v="Murcia"/>
    <s v="C202611210542515387"/>
    <x v="119"/>
    <n v="2"/>
    <n v="3631.82"/>
    <s v="03 ORL"/>
    <s v="06 ORL"/>
    <x v="56"/>
    <x v="6"/>
  </r>
  <r>
    <m/>
    <n v="2026"/>
    <x v="0"/>
    <s v="NO"/>
    <x v="18"/>
    <d v="2026-01-30T00:00:00"/>
    <d v="2025-11-17T00:00:00"/>
    <s v="Logroño"/>
    <s v="C202511179197088208"/>
    <x v="120"/>
    <n v="2"/>
    <n v="3424.32"/>
    <s v="03 ORL"/>
    <s v="06 ORL"/>
    <x v="29"/>
    <x v="1"/>
  </r>
  <r>
    <m/>
    <n v="2026"/>
    <x v="0"/>
    <s v="NO"/>
    <x v="11"/>
    <d v="2026-01-30T00:00:00"/>
    <d v="2026-01-20T00:00:00"/>
    <s v="Murcia"/>
    <s v="C202612010574003793"/>
    <x v="121"/>
    <n v="1"/>
    <n v="2481.8200000000002"/>
    <s v="03 ORL"/>
    <s v="06 ORL"/>
    <x v="84"/>
    <x v="6"/>
  </r>
  <r>
    <m/>
    <n v="2026"/>
    <x v="0"/>
    <s v="NO"/>
    <x v="15"/>
    <d v="2026-01-30T00:00:00"/>
    <d v="2026-01-12T00:00:00"/>
    <s v="Canillas"/>
    <s v="C202611210322038706"/>
    <x v="122"/>
    <n v="2"/>
    <n v="3631.83"/>
    <s v="03 ORL"/>
    <s v="06 ORL"/>
    <x v="23"/>
    <x v="3"/>
  </r>
  <r>
    <m/>
    <n v="2026"/>
    <x v="0"/>
    <s v="NO"/>
    <x v="16"/>
    <d v="2026-01-30T00:00:00"/>
    <d v="2026-01-07T00:00:00"/>
    <s v="Leganés"/>
    <s v="C202617104647911770"/>
    <x v="123"/>
    <n v="2"/>
    <n v="3450"/>
    <s v="03 ORL"/>
    <s v="06 ORL"/>
    <x v="85"/>
    <x v="3"/>
  </r>
  <r>
    <m/>
    <n v="2026"/>
    <x v="0"/>
    <s v="SI"/>
    <x v="3"/>
    <d v="2026-01-30T00:00:00"/>
    <d v="2025-11-11T00:00:00"/>
    <s v="Getafe"/>
    <s v="C202511111644133841"/>
    <x v="124"/>
    <n v="2"/>
    <n v="3450.23"/>
    <s v="03 ORL"/>
    <s v="06 ORL"/>
    <x v="3"/>
    <x v="3"/>
  </r>
  <r>
    <m/>
    <n v="2026"/>
    <x v="0"/>
    <s v="NO"/>
    <x v="11"/>
    <d v="2026-01-30T00:00:00"/>
    <d v="2025-12-26T00:00:00"/>
    <s v="Murcia"/>
    <s v="C202512261643590551"/>
    <x v="125"/>
    <n v="2"/>
    <n v="4136.3599999999997"/>
    <s v="03 ORL"/>
    <s v="06 ORL"/>
    <x v="86"/>
    <x v="6"/>
  </r>
  <r>
    <m/>
    <n v="2026"/>
    <x v="0"/>
    <s v="NO"/>
    <x v="25"/>
    <d v="2026-01-30T00:00:00"/>
    <d v="2026-01-12T00:00:00"/>
    <s v="La Vaguada"/>
    <s v="C202611216253638956"/>
    <x v="126"/>
    <n v="2"/>
    <n v="3631.82"/>
    <s v="03 ORL"/>
    <s v="06 ORL"/>
    <x v="87"/>
    <x v="1"/>
  </r>
  <r>
    <m/>
    <n v="2026"/>
    <x v="0"/>
    <s v="NO"/>
    <x v="32"/>
    <d v="2026-01-30T00:00:00"/>
    <d v="2025-07-24T00:00:00"/>
    <s v="Ponferrada"/>
    <s v="PON-952"/>
    <x v="127"/>
    <n v="2"/>
    <n v="2234.85"/>
    <s v="03 ORL"/>
    <s v="06 ORL"/>
    <x v="88"/>
    <x v="2"/>
  </r>
  <r>
    <m/>
    <n v="2026"/>
    <x v="0"/>
    <s v="NO"/>
    <x v="18"/>
    <d v="2026-01-31T00:00:00"/>
    <d v="2025-12-19T00:00:00"/>
    <s v="Logroño"/>
    <s v="C202512191195736605"/>
    <x v="128"/>
    <n v="2"/>
    <n v="3929.55"/>
    <s v="03 ORL"/>
    <s v="06 ORL"/>
    <x v="89"/>
    <x v="1"/>
  </r>
  <r>
    <m/>
    <n v="2026"/>
    <x v="0"/>
    <s v="NO"/>
    <x v="33"/>
    <d v="2026-01-31T00:00:00"/>
    <d v="2024-10-14T00:00:00"/>
    <s v="Vilanova"/>
    <s v="C202410189243369"/>
    <x v="129"/>
    <n v="2"/>
    <n v="4136.3599999999997"/>
    <s v="03 ORL"/>
    <s v="06 ORL"/>
    <x v="67"/>
    <x v="5"/>
  </r>
  <r>
    <m/>
    <n v="2026"/>
    <x v="1"/>
    <s v="NO"/>
    <x v="1"/>
    <d v="2026-02-02T00:00:00"/>
    <d v="2025-12-09T00:00:00"/>
    <s v="Cáceres"/>
    <s v="C202512912351409581"/>
    <x v="130"/>
    <n v="2"/>
    <n v="4990.91"/>
    <s v="03 ORL"/>
    <s v="06 ORL"/>
    <x v="31"/>
    <x v="1"/>
  </r>
  <r>
    <m/>
    <n v="2026"/>
    <x v="1"/>
    <s v="NO"/>
    <x v="9"/>
    <d v="2026-02-03T00:00:00"/>
    <d v="2026-01-14T00:00:00"/>
    <s v="Montoto"/>
    <s v="C202611413142736675"/>
    <x v="131"/>
    <n v="2"/>
    <n v="3631.82"/>
    <s v="03 ORL"/>
    <s v="06 ORL"/>
    <x v="90"/>
    <x v="4"/>
  </r>
  <r>
    <m/>
    <n v="2026"/>
    <x v="1"/>
    <s v="NO"/>
    <x v="23"/>
    <d v="2026-02-03T00:00:00"/>
    <d v="2025-12-04T00:00:00"/>
    <s v="Badajoz"/>
    <s v="C202512411361286426"/>
    <x v="132"/>
    <n v="2"/>
    <n v="4536.3599999999997"/>
    <s v="03 ORL"/>
    <s v="06 ORL"/>
    <x v="91"/>
    <x v="4"/>
  </r>
  <r>
    <m/>
    <n v="2026"/>
    <x v="1"/>
    <s v="NO"/>
    <x v="12"/>
    <d v="2026-02-03T00:00:00"/>
    <d v="2025-11-05T00:00:00"/>
    <s v="Toledo"/>
    <s v="C202511583355498218"/>
    <x v="133"/>
    <n v="2"/>
    <n v="4136.3599999999997"/>
    <s v="01 MARKETING ON LINE"/>
    <s v="02 GOOGLE"/>
    <x v="92"/>
    <x v="1"/>
  </r>
  <r>
    <m/>
    <n v="2026"/>
    <x v="1"/>
    <s v="SI"/>
    <x v="18"/>
    <d v="2026-02-05T00:00:00"/>
    <d v="2022-10-28T00:00:00"/>
    <s v="Logroño"/>
    <s v="LOG-985"/>
    <x v="134"/>
    <n v="1"/>
    <n v="1590.91"/>
    <s v="04 TIENDA"/>
    <s v="10 REVISIÓN POST-VENTA"/>
    <x v="93"/>
    <x v="1"/>
  </r>
  <r>
    <m/>
    <n v="2026"/>
    <x v="1"/>
    <s v="NO"/>
    <x v="13"/>
    <d v="2026-02-05T00:00:00"/>
    <d v="2026-01-08T00:00:00"/>
    <s v="Orense"/>
    <s v="C20261814759602992"/>
    <x v="135"/>
    <n v="2"/>
    <n v="2718.18"/>
    <s v="03 ORL"/>
    <s v="06 ORL"/>
    <x v="6"/>
    <x v="8"/>
  </r>
  <r>
    <m/>
    <n v="2026"/>
    <x v="1"/>
    <s v="SI"/>
    <x v="32"/>
    <d v="2026-02-05T00:00:00"/>
    <d v="2021-05-20T00:00:00"/>
    <s v="Ponferrada"/>
    <s v="PON-168"/>
    <x v="136"/>
    <n v="2"/>
    <n v="2454.5500000000002"/>
    <s v="03 ORL"/>
    <s v="06 ORL"/>
    <x v="94"/>
    <x v="2"/>
  </r>
  <r>
    <m/>
    <n v="2026"/>
    <x v="1"/>
    <s v="SI"/>
    <x v="32"/>
    <d v="2026-02-05T00:00:00"/>
    <d v="2025-01-14T00:00:00"/>
    <s v="Ponferrada"/>
    <s v="PON-860"/>
    <x v="137"/>
    <n v="1"/>
    <n v="709.09"/>
    <s v="04 TIENDA"/>
    <s v="19 CLIENTE RECOMPRA ESPONTANEA"/>
    <x v="95"/>
    <x v="2"/>
  </r>
  <r>
    <m/>
    <n v="2026"/>
    <x v="1"/>
    <s v="NO"/>
    <x v="3"/>
    <d v="2026-02-06T00:00:00"/>
    <d v="2026-01-09T00:00:00"/>
    <s v="Getafe"/>
    <s v="C202619111440167855"/>
    <x v="138"/>
    <n v="2"/>
    <n v="3631.81"/>
    <s v="03 ORL"/>
    <s v="06 ORL"/>
    <x v="96"/>
    <x v="3"/>
  </r>
  <r>
    <m/>
    <n v="2026"/>
    <x v="1"/>
    <s v="NO"/>
    <x v="4"/>
    <d v="2026-02-06T00:00:00"/>
    <d v="2026-01-12T00:00:00"/>
    <s v="La Oca"/>
    <s v="C202611217114067532"/>
    <x v="139"/>
    <n v="2"/>
    <n v="2718.18"/>
    <s v="03 ORL"/>
    <s v="06 ORL"/>
    <x v="68"/>
    <x v="3"/>
  </r>
  <r>
    <m/>
    <n v="2026"/>
    <x v="1"/>
    <s v="NO"/>
    <x v="15"/>
    <d v="2026-02-06T00:00:00"/>
    <d v="2026-01-15T00:00:00"/>
    <s v="Canillas"/>
    <s v="C202611511232378449"/>
    <x v="140"/>
    <n v="2"/>
    <n v="3930"/>
    <s v="03 ORL"/>
    <s v="06 ORL"/>
    <x v="23"/>
    <x v="3"/>
  </r>
  <r>
    <m/>
    <n v="2026"/>
    <x v="1"/>
    <s v="NO"/>
    <x v="3"/>
    <d v="2026-02-06T00:00:00"/>
    <d v="2025-12-26T00:00:00"/>
    <s v="Getafe"/>
    <s v="C202512261118280164"/>
    <x v="141"/>
    <n v="2"/>
    <n v="3631.82"/>
    <s v="03 ORL"/>
    <s v="06 ORL"/>
    <x v="35"/>
    <x v="3"/>
  </r>
  <r>
    <m/>
    <n v="2026"/>
    <x v="1"/>
    <s v="NO"/>
    <x v="24"/>
    <d v="2026-02-09T00:00:00"/>
    <d v="2026-01-15T00:00:00"/>
    <s v="Almería"/>
    <s v="C202611510395603360"/>
    <x v="142"/>
    <n v="2"/>
    <n v="3631.82"/>
    <s v="03 ORL"/>
    <s v="06 ORL"/>
    <x v="97"/>
    <x v="0"/>
  </r>
  <r>
    <m/>
    <n v="2026"/>
    <x v="1"/>
    <s v="NO"/>
    <x v="5"/>
    <d v="2026-02-09T00:00:00"/>
    <d v="2026-01-08T00:00:00"/>
    <s v="Sevilla Este"/>
    <s v="C20261818914658342"/>
    <x v="143"/>
    <n v="2"/>
    <n v="2718.19"/>
    <s v="03 ORL"/>
    <s v="06 ORL"/>
    <x v="16"/>
    <x v="4"/>
  </r>
  <r>
    <m/>
    <n v="2026"/>
    <x v="1"/>
    <s v="NO"/>
    <x v="34"/>
    <d v="2026-02-10T00:00:00"/>
    <d v="2026-01-13T00:00:00"/>
    <s v="León"/>
    <s v="C202611317321362954"/>
    <x v="144"/>
    <n v="1"/>
    <n v="2045.45"/>
    <s v="01 MARKETING ON LINE"/>
    <s v="04 AUDIFONO,ES"/>
    <x v="98"/>
    <x v="2"/>
  </r>
  <r>
    <m/>
    <n v="2026"/>
    <x v="1"/>
    <s v="NO"/>
    <x v="27"/>
    <d v="2026-02-10T00:00:00"/>
    <d v="2026-01-23T00:00:00"/>
    <s v="San Javier"/>
    <s v="C202612382329680169"/>
    <x v="145"/>
    <n v="2"/>
    <n v="2718.18"/>
    <s v="03 ORL"/>
    <s v="06 ORL"/>
    <x v="99"/>
    <x v="6"/>
  </r>
  <r>
    <m/>
    <n v="2026"/>
    <x v="1"/>
    <s v="NO"/>
    <x v="11"/>
    <d v="2026-02-10T00:00:00"/>
    <d v="2026-01-14T00:00:00"/>
    <s v="Murcia"/>
    <s v="C202611495935635852"/>
    <x v="146"/>
    <n v="2"/>
    <n v="2581.8200000000002"/>
    <s v="03 ORL"/>
    <s v="06 ORL"/>
    <x v="100"/>
    <x v="6"/>
  </r>
  <r>
    <m/>
    <n v="2026"/>
    <x v="1"/>
    <s v="NO"/>
    <x v="11"/>
    <d v="2026-02-10T00:00:00"/>
    <d v="2026-01-15T00:00:00"/>
    <s v="Murcia"/>
    <s v="C202611594434141073"/>
    <x v="147"/>
    <n v="2"/>
    <n v="3631.82"/>
    <s v="03 ORL"/>
    <s v="06 ORL"/>
    <x v="28"/>
    <x v="6"/>
  </r>
  <r>
    <m/>
    <n v="2026"/>
    <x v="1"/>
    <s v="NO"/>
    <x v="9"/>
    <d v="2026-02-10T00:00:00"/>
    <d v="2025-01-27T00:00:00"/>
    <s v="Montoto"/>
    <s v="C2026116117442"/>
    <x v="148"/>
    <n v="1"/>
    <n v="1631.82"/>
    <s v="03 ORL"/>
    <s v="06 ORL"/>
    <x v="16"/>
    <x v="4"/>
  </r>
  <r>
    <m/>
    <n v="2026"/>
    <x v="1"/>
    <s v="NO"/>
    <x v="6"/>
    <d v="2026-02-10T00:00:00"/>
    <d v="2025-12-01T00:00:00"/>
    <s v="Juan Bravo"/>
    <s v="C202512116211113918"/>
    <x v="149"/>
    <n v="2"/>
    <n v="3888.64"/>
    <s v="03 ORL"/>
    <s v="06 ORL"/>
    <x v="101"/>
    <x v="3"/>
  </r>
  <r>
    <m/>
    <n v="2026"/>
    <x v="1"/>
    <s v="NO"/>
    <x v="27"/>
    <d v="2026-02-10T00:00:00"/>
    <d v="2026-01-29T00:00:00"/>
    <s v="San Javier"/>
    <s v="C202612912171931207"/>
    <x v="150"/>
    <n v="2"/>
    <n v="3631.82"/>
    <s v="03 ORL"/>
    <s v="06 ORL"/>
    <x v="34"/>
    <x v="6"/>
  </r>
  <r>
    <m/>
    <n v="2026"/>
    <x v="1"/>
    <s v="NO"/>
    <x v="9"/>
    <d v="2026-02-10T00:00:00"/>
    <d v="2025-12-17T00:00:00"/>
    <s v="Montoto"/>
    <s v="C202512171723206010"/>
    <x v="151"/>
    <n v="2"/>
    <n v="3631.82"/>
    <s v="03 ORL"/>
    <s v="06 ORL"/>
    <x v="16"/>
    <x v="4"/>
  </r>
  <r>
    <m/>
    <n v="2026"/>
    <x v="1"/>
    <s v="NO"/>
    <x v="35"/>
    <d v="2026-02-10T00:00:00"/>
    <d v="2026-01-08T00:00:00"/>
    <s v="Talavera"/>
    <s v="C20261810363892932"/>
    <x v="152"/>
    <n v="2"/>
    <n v="2718.18"/>
    <s v="03 ORL"/>
    <s v="06 ORL"/>
    <x v="102"/>
    <x v="1"/>
  </r>
  <r>
    <m/>
    <n v="2026"/>
    <x v="1"/>
    <s v="NO"/>
    <x v="20"/>
    <d v="2026-02-11T00:00:00"/>
    <d v="2025-12-17T00:00:00"/>
    <s v="La Zenia"/>
    <s v="C202512171774713468"/>
    <x v="153"/>
    <n v="2"/>
    <n v="4136.3599999999997"/>
    <s v="03 ORL"/>
    <s v="06 ORL"/>
    <x v="41"/>
    <x v="6"/>
  </r>
  <r>
    <m/>
    <n v="2026"/>
    <x v="1"/>
    <s v="NO"/>
    <x v="23"/>
    <d v="2026-02-11T00:00:00"/>
    <d v="2025-12-17T00:00:00"/>
    <s v="Badajoz"/>
    <s v="C202512178505738777"/>
    <x v="154"/>
    <n v="2"/>
    <n v="3263.64"/>
    <s v="03 ORL"/>
    <s v="06 ORL"/>
    <x v="103"/>
    <x v="4"/>
  </r>
  <r>
    <m/>
    <n v="2026"/>
    <x v="1"/>
    <s v="NO"/>
    <x v="31"/>
    <d v="2026-02-12T00:00:00"/>
    <d v="2025-10-31T00:00:00"/>
    <s v="Torrejón"/>
    <s v="C202510311214327514"/>
    <x v="155"/>
    <n v="1"/>
    <n v="2481.8200000000002"/>
    <s v="03 ORL"/>
    <s v="06 ORL"/>
    <x v="104"/>
    <x v="3"/>
  </r>
  <r>
    <m/>
    <n v="2026"/>
    <x v="1"/>
    <s v="NO"/>
    <x v="11"/>
    <d v="2026-02-12T00:00:00"/>
    <d v="2026-01-27T00:00:00"/>
    <s v="Murcia"/>
    <s v="C202612791443808408"/>
    <x v="156"/>
    <n v="1"/>
    <n v="1631.82"/>
    <s v="03 ORL"/>
    <s v="06 ORL"/>
    <x v="105"/>
    <x v="6"/>
  </r>
  <r>
    <m/>
    <n v="2026"/>
    <x v="1"/>
    <s v="NO"/>
    <x v="22"/>
    <d v="2026-02-12T00:00:00"/>
    <d v="2026-01-07T00:00:00"/>
    <s v="Albacete"/>
    <s v="C20261711017941690"/>
    <x v="157"/>
    <n v="2"/>
    <n v="4136.3599999999997"/>
    <s v="03 ORL"/>
    <s v="06 ORL"/>
    <x v="106"/>
    <x v="6"/>
  </r>
  <r>
    <m/>
    <n v="2026"/>
    <x v="1"/>
    <s v="NO"/>
    <x v="21"/>
    <d v="2026-02-12T00:00:00"/>
    <d v="2026-01-22T00:00:00"/>
    <s v="Moratalaz"/>
    <s v="C20261221054127267"/>
    <x v="158"/>
    <n v="2"/>
    <n v="3722.73"/>
    <s v="03 ORL"/>
    <s v="06 ORL"/>
    <x v="107"/>
    <x v="3"/>
  </r>
  <r>
    <m/>
    <n v="2026"/>
    <x v="1"/>
    <s v="NO"/>
    <x v="30"/>
    <d v="2026-02-12T00:00:00"/>
    <d v="2026-01-23T00:00:00"/>
    <s v="Jerez"/>
    <s v="C202612312344833330"/>
    <x v="159"/>
    <n v="2"/>
    <n v="2718.18"/>
    <s v="03 ORL"/>
    <s v="06 ORL"/>
    <x v="71"/>
    <x v="4"/>
  </r>
  <r>
    <m/>
    <n v="2026"/>
    <x v="1"/>
    <s v="NO"/>
    <x v="21"/>
    <d v="2026-02-12T00:00:00"/>
    <d v="2026-01-22T00:00:00"/>
    <s v="Moratalaz"/>
    <s v="C202612210645622394"/>
    <x v="160"/>
    <n v="2"/>
    <n v="3722.73"/>
    <s v="03 ORL"/>
    <s v="06 ORL"/>
    <x v="107"/>
    <x v="3"/>
  </r>
  <r>
    <m/>
    <n v="2026"/>
    <x v="1"/>
    <s v="NO"/>
    <x v="35"/>
    <d v="2026-02-12T00:00:00"/>
    <d v="2025-12-17T00:00:00"/>
    <s v="Talavera"/>
    <s v="C202512171752132637"/>
    <x v="161"/>
    <n v="2"/>
    <n v="4136.3599999999997"/>
    <s v="03 ORL"/>
    <s v="06 ORL"/>
    <x v="108"/>
    <x v="1"/>
  </r>
  <r>
    <m/>
    <n v="2026"/>
    <x v="1"/>
    <s v="NO"/>
    <x v="8"/>
    <d v="2026-02-12T00:00:00"/>
    <d v="2025-05-23T00:00:00"/>
    <s v="Fuenlabrada"/>
    <s v="C202552693132758"/>
    <x v="162"/>
    <n v="2"/>
    <n v="3450"/>
    <s v="03 ORL"/>
    <s v="22 AUDIOMETRIA CLINICA"/>
    <x v="78"/>
    <x v="3"/>
  </r>
  <r>
    <m/>
    <n v="2026"/>
    <x v="1"/>
    <s v="NO"/>
    <x v="35"/>
    <d v="2026-02-12T00:00:00"/>
    <d v="2025-12-31T00:00:00"/>
    <s v="Talavera"/>
    <s v="C202512311031454328"/>
    <x v="163"/>
    <n v="2"/>
    <n v="2582.27"/>
    <s v="03 ORL"/>
    <s v="06 ORL"/>
    <x v="109"/>
    <x v="1"/>
  </r>
  <r>
    <m/>
    <n v="2026"/>
    <x v="1"/>
    <s v="NO"/>
    <x v="30"/>
    <d v="2026-02-12T00:00:00"/>
    <d v="2026-01-22T00:00:00"/>
    <s v="Jerez"/>
    <s v="C202612216365615147"/>
    <x v="164"/>
    <n v="1"/>
    <n v="2481.8200000000002"/>
    <s v="03 ORL"/>
    <s v="06 ORL"/>
    <x v="71"/>
    <x v="4"/>
  </r>
  <r>
    <m/>
    <n v="2026"/>
    <x v="1"/>
    <s v="NO"/>
    <x v="13"/>
    <d v="2026-02-12T00:00:00"/>
    <d v="2025-12-29T00:00:00"/>
    <s v="Orense"/>
    <s v="C202512291616562251"/>
    <x v="165"/>
    <n v="1"/>
    <n v="1631.82"/>
    <s v="03 ORL"/>
    <s v="06 ORL"/>
    <x v="70"/>
    <x v="8"/>
  </r>
  <r>
    <m/>
    <n v="2026"/>
    <x v="1"/>
    <s v="NO"/>
    <x v="9"/>
    <d v="2026-02-12T00:00:00"/>
    <d v="2026-01-26T00:00:00"/>
    <s v="Montoto"/>
    <s v="C202612618154308409"/>
    <x v="166"/>
    <n v="1"/>
    <n v="2180.77"/>
    <s v="03 ORL"/>
    <s v="06 ORL"/>
    <x v="110"/>
    <x v="4"/>
  </r>
  <r>
    <m/>
    <n v="2026"/>
    <x v="1"/>
    <s v="NO"/>
    <x v="1"/>
    <d v="2026-02-13T00:00:00"/>
    <d v="2026-01-07T00:00:00"/>
    <s v="Cáceres"/>
    <s v="C20261710421168634"/>
    <x v="167"/>
    <n v="2"/>
    <n v="3940.91"/>
    <s v="03 ORL"/>
    <s v="06 ORL"/>
    <x v="111"/>
    <x v="1"/>
  </r>
  <r>
    <m/>
    <n v="2026"/>
    <x v="1"/>
    <s v="NO"/>
    <x v="1"/>
    <d v="2026-02-13T00:00:00"/>
    <d v="2026-01-23T00:00:00"/>
    <s v="Cáceres"/>
    <s v="C202612317185580520"/>
    <x v="168"/>
    <n v="2"/>
    <n v="3554.55"/>
    <s v="03 ORL"/>
    <s v="06 ORL"/>
    <x v="36"/>
    <x v="1"/>
  </r>
  <r>
    <m/>
    <n v="2026"/>
    <x v="1"/>
    <s v="NO"/>
    <x v="1"/>
    <d v="2026-02-13T00:00:00"/>
    <d v="2026-01-15T00:00:00"/>
    <s v="Cáceres"/>
    <s v="C202611516415571807"/>
    <x v="169"/>
    <n v="2"/>
    <n v="4500"/>
    <s v="03 ORL"/>
    <s v="06 ORL"/>
    <x v="13"/>
    <x v="1"/>
  </r>
  <r>
    <m/>
    <n v="2026"/>
    <x v="1"/>
    <s v="NO"/>
    <x v="27"/>
    <d v="2026-02-13T00:00:00"/>
    <d v="2025-12-24T00:00:00"/>
    <s v="San Javier"/>
    <s v="C202512249291842480"/>
    <x v="170"/>
    <n v="1"/>
    <n v="1631.82"/>
    <s v="03 ORL"/>
    <s v="06 ORL"/>
    <x v="112"/>
    <x v="6"/>
  </r>
  <r>
    <m/>
    <n v="2026"/>
    <x v="1"/>
    <s v="NO"/>
    <x v="18"/>
    <d v="2026-02-13T00:00:00"/>
    <d v="2026-02-04T00:00:00"/>
    <s v="Logroño"/>
    <s v="C20262485022588916"/>
    <x v="171"/>
    <n v="2"/>
    <n v="3631.82"/>
    <s v="03 ORL"/>
    <s v="06 ORL"/>
    <x v="64"/>
    <x v="1"/>
  </r>
  <r>
    <m/>
    <n v="2026"/>
    <x v="1"/>
    <s v="NO"/>
    <x v="8"/>
    <d v="2026-02-13T00:00:00"/>
    <d v="2026-01-14T00:00:00"/>
    <s v="Fuenlabrada"/>
    <s v="C202611417553390982"/>
    <x v="172"/>
    <n v="2"/>
    <n v="3631.82"/>
    <s v="03 ORL"/>
    <s v="06 ORL"/>
    <x v="113"/>
    <x v="3"/>
  </r>
  <r>
    <m/>
    <n v="2026"/>
    <x v="1"/>
    <s v="NO"/>
    <x v="9"/>
    <d v="2026-02-13T00:00:00"/>
    <d v="2025-12-10T00:00:00"/>
    <s v="Montoto"/>
    <s v="C202512109102071586"/>
    <x v="173"/>
    <n v="1"/>
    <n v="2722.73"/>
    <s v="01 MARKETING ON LINE"/>
    <s v="01 WEB AUDICOST"/>
    <x v="114"/>
    <x v="4"/>
  </r>
  <r>
    <m/>
    <n v="2026"/>
    <x v="1"/>
    <s v="NO"/>
    <x v="4"/>
    <d v="2026-02-16T00:00:00"/>
    <d v="2026-01-12T00:00:00"/>
    <s v="La Oca"/>
    <s v="C202611211324742365"/>
    <x v="174"/>
    <n v="2"/>
    <n v="3631.82"/>
    <s v="03 ORL"/>
    <s v="06 ORL"/>
    <x v="5"/>
    <x v="3"/>
  </r>
  <r>
    <m/>
    <n v="2026"/>
    <x v="1"/>
    <s v="NO"/>
    <x v="26"/>
    <d v="2026-02-16T00:00:00"/>
    <d v="2026-01-13T00:00:00"/>
    <s v="El Albir (Benidorm)"/>
    <s v="C202611316565194107"/>
    <x v="175"/>
    <n v="2"/>
    <n v="2718.18"/>
    <s v="04 TIENDA"/>
    <s v="07 BOCA/BOCA"/>
    <x v="51"/>
    <x v="0"/>
  </r>
  <r>
    <m/>
    <n v="2026"/>
    <x v="1"/>
    <s v="NO"/>
    <x v="1"/>
    <d v="2026-02-16T00:00:00"/>
    <d v="2026-01-13T00:00:00"/>
    <s v="Cáceres"/>
    <s v="C20261131866025031"/>
    <x v="176"/>
    <n v="2"/>
    <n v="3940.91"/>
    <s v="03 ORL"/>
    <s v="06 ORL"/>
    <x v="13"/>
    <x v="1"/>
  </r>
  <r>
    <m/>
    <n v="2026"/>
    <x v="1"/>
    <s v="NO"/>
    <x v="4"/>
    <d v="2026-02-16T00:00:00"/>
    <d v="2026-01-14T00:00:00"/>
    <s v="La Oca"/>
    <s v="C202611495954073474"/>
    <x v="177"/>
    <n v="2"/>
    <n v="4136.3599999999997"/>
    <s v="03 ORL"/>
    <s v="06 ORL"/>
    <x v="6"/>
    <x v="3"/>
  </r>
  <r>
    <m/>
    <n v="2026"/>
    <x v="1"/>
    <s v="NO"/>
    <x v="27"/>
    <d v="2026-02-16T00:00:00"/>
    <d v="2026-01-20T00:00:00"/>
    <s v="San Javier"/>
    <s v="C202612015135615894"/>
    <x v="178"/>
    <n v="2"/>
    <n v="2718.18"/>
    <s v="03 ORL"/>
    <s v="06 ORL"/>
    <x v="115"/>
    <x v="6"/>
  </r>
  <r>
    <m/>
    <n v="2026"/>
    <x v="1"/>
    <s v="NO"/>
    <x v="20"/>
    <d v="2026-02-16T00:00:00"/>
    <d v="2026-01-14T00:00:00"/>
    <s v="La Zenia"/>
    <s v="C202611411820969634"/>
    <x v="179"/>
    <n v="1"/>
    <n v="2180.77"/>
    <s v="03 ORL"/>
    <s v="06 ORL"/>
    <x v="116"/>
    <x v="6"/>
  </r>
  <r>
    <m/>
    <n v="2026"/>
    <x v="1"/>
    <s v="NO"/>
    <x v="5"/>
    <d v="2026-02-16T00:00:00"/>
    <d v="2026-01-23T00:00:00"/>
    <s v="Sevilla Este"/>
    <s v="C202612312273722386"/>
    <x v="180"/>
    <n v="2"/>
    <n v="2718.18"/>
    <s v="03 ORL"/>
    <s v="06 ORL"/>
    <x v="117"/>
    <x v="4"/>
  </r>
  <r>
    <m/>
    <n v="2026"/>
    <x v="1"/>
    <s v="NO"/>
    <x v="10"/>
    <d v="2026-02-16T00:00:00"/>
    <d v="2026-01-14T00:00:00"/>
    <s v="Alicante"/>
    <s v="C202611410111286111"/>
    <x v="181"/>
    <n v="1"/>
    <n v="1631.82"/>
    <s v="03 ORL"/>
    <s v="06 ORL"/>
    <x v="118"/>
    <x v="6"/>
  </r>
  <r>
    <m/>
    <n v="2026"/>
    <x v="1"/>
    <s v="NO"/>
    <x v="23"/>
    <d v="2026-02-16T00:00:00"/>
    <d v="2025-12-01T00:00:00"/>
    <s v="Badajoz"/>
    <s v="C202512119361746759"/>
    <x v="182"/>
    <n v="2"/>
    <n v="3635.45"/>
    <s v="03 ORL"/>
    <s v="06 ORL"/>
    <x v="119"/>
    <x v="4"/>
  </r>
  <r>
    <m/>
    <n v="2026"/>
    <x v="1"/>
    <s v="NO"/>
    <x v="9"/>
    <d v="2026-02-16T00:00:00"/>
    <d v="2026-01-21T00:00:00"/>
    <s v="Montoto"/>
    <s v="C20261218466529707"/>
    <x v="183"/>
    <n v="2"/>
    <n v="3643.64"/>
    <s v="03 ORL"/>
    <s v="06 ORL"/>
    <x v="120"/>
    <x v="4"/>
  </r>
  <r>
    <m/>
    <n v="2026"/>
    <x v="1"/>
    <s v="NO"/>
    <x v="29"/>
    <d v="2026-02-16T00:00:00"/>
    <d v="2025-11-28T00:00:00"/>
    <s v="Costa Rica"/>
    <s v="C202511281040236575"/>
    <x v="184"/>
    <n v="2"/>
    <n v="2718.18"/>
    <s v="03 ORL"/>
    <s v="06 ORL"/>
    <x v="121"/>
    <x v="1"/>
  </r>
  <r>
    <m/>
    <n v="2026"/>
    <x v="1"/>
    <s v="NO"/>
    <x v="1"/>
    <d v="2026-02-17T00:00:00"/>
    <d v="2026-01-26T00:00:00"/>
    <s v="Cáceres"/>
    <s v="C202612610453306531"/>
    <x v="185"/>
    <n v="1"/>
    <n v="2101.8200000000002"/>
    <s v="03 ORL"/>
    <s v="06 ORL"/>
    <x v="13"/>
    <x v="1"/>
  </r>
  <r>
    <m/>
    <n v="2026"/>
    <x v="1"/>
    <s v="NO"/>
    <x v="30"/>
    <d v="2026-02-17T00:00:00"/>
    <d v="2025-11-24T00:00:00"/>
    <s v="Jerez"/>
    <s v="C202511241232424683"/>
    <x v="186"/>
    <n v="1"/>
    <n v="2481.8200000000002"/>
    <s v="03 ORL"/>
    <s v="06 ORL"/>
    <x v="82"/>
    <x v="4"/>
  </r>
  <r>
    <m/>
    <n v="2026"/>
    <x v="1"/>
    <s v="NO"/>
    <x v="35"/>
    <d v="2026-02-17T00:00:00"/>
    <d v="2025-04-01T00:00:00"/>
    <s v="Talavera"/>
    <s v="C20251216172816711"/>
    <x v="187"/>
    <n v="2"/>
    <n v="2718.18"/>
    <s v="03 ORL"/>
    <s v="06 ORL"/>
    <x v="109"/>
    <x v="1"/>
  </r>
  <r>
    <m/>
    <n v="2026"/>
    <x v="1"/>
    <s v="NO"/>
    <x v="27"/>
    <d v="2026-02-17T00:00:00"/>
    <d v="2026-01-16T00:00:00"/>
    <s v="San Javier"/>
    <s v="C202611611441608457"/>
    <x v="188"/>
    <n v="2"/>
    <n v="2718.18"/>
    <s v="03 ORL"/>
    <s v="06 ORL"/>
    <x v="122"/>
    <x v="6"/>
  </r>
  <r>
    <m/>
    <n v="2026"/>
    <x v="1"/>
    <s v="NO"/>
    <x v="22"/>
    <d v="2026-02-17T00:00:00"/>
    <d v="2026-01-14T00:00:00"/>
    <s v="Albacete"/>
    <s v="C20261141762719795"/>
    <x v="189"/>
    <n v="1"/>
    <n v="2481.8200000000002"/>
    <s v="03 ORL"/>
    <s v="06 ORL"/>
    <x v="106"/>
    <x v="6"/>
  </r>
  <r>
    <m/>
    <n v="2026"/>
    <x v="1"/>
    <s v="NO"/>
    <x v="10"/>
    <d v="2026-02-17T00:00:00"/>
    <d v="2026-01-13T00:00:00"/>
    <s v="Alicante"/>
    <s v="C202611316359736174"/>
    <x v="190"/>
    <n v="2"/>
    <n v="3631.82"/>
    <s v="03 ORL"/>
    <s v="06 ORL"/>
    <x v="11"/>
    <x v="6"/>
  </r>
  <r>
    <m/>
    <n v="2026"/>
    <x v="1"/>
    <s v="NO"/>
    <x v="3"/>
    <d v="2026-02-18T00:00:00"/>
    <d v="2025-11-25T00:00:00"/>
    <s v="Getafe"/>
    <s v="C202511251623151961"/>
    <x v="191"/>
    <n v="2"/>
    <n v="2718.18"/>
    <s v="03 ORL"/>
    <s v="06 ORL"/>
    <x v="6"/>
    <x v="3"/>
  </r>
  <r>
    <m/>
    <n v="2026"/>
    <x v="1"/>
    <s v="NO"/>
    <x v="1"/>
    <d v="2026-02-18T00:00:00"/>
    <d v="2026-01-27T00:00:00"/>
    <s v="Cáceres"/>
    <s v="C20261279438014227"/>
    <x v="192"/>
    <n v="2"/>
    <n v="4990.91"/>
    <s v="03 ORL"/>
    <s v="06 ORL"/>
    <x v="13"/>
    <x v="1"/>
  </r>
  <r>
    <m/>
    <n v="2026"/>
    <x v="1"/>
    <s v="NO"/>
    <x v="8"/>
    <d v="2026-02-18T00:00:00"/>
    <d v="2024-01-30T00:00:00"/>
    <s v="Fuenlabrada"/>
    <s v="FNL-3357"/>
    <x v="193"/>
    <n v="1"/>
    <n v="2180.91"/>
    <s v="03 ORL"/>
    <s v="06 ORL"/>
    <x v="14"/>
    <x v="3"/>
  </r>
  <r>
    <m/>
    <n v="2026"/>
    <x v="1"/>
    <s v="NO"/>
    <x v="36"/>
    <d v="2026-02-18T00:00:00"/>
    <d v="2026-01-07T00:00:00"/>
    <s v="Salamanca"/>
    <s v="C20261792847389075"/>
    <x v="194"/>
    <n v="2"/>
    <n v="3730"/>
    <s v="03 ORL"/>
    <s v="06 ORL"/>
    <x v="6"/>
    <x v="2"/>
  </r>
  <r>
    <m/>
    <n v="2026"/>
    <x v="1"/>
    <s v="NO"/>
    <x v="9"/>
    <d v="2026-02-18T00:00:00"/>
    <d v="2025-12-23T00:00:00"/>
    <s v="Montoto"/>
    <s v="C202512231741419868"/>
    <x v="195"/>
    <n v="2"/>
    <n v="3631.82"/>
    <s v="03 ORL"/>
    <s v="06 ORL"/>
    <x v="123"/>
    <x v="4"/>
  </r>
  <r>
    <m/>
    <n v="2026"/>
    <x v="1"/>
    <s v="NO"/>
    <x v="20"/>
    <d v="2026-02-18T00:00:00"/>
    <d v="2026-01-28T00:00:00"/>
    <s v="La Zenia"/>
    <s v="C202612811201547926"/>
    <x v="196"/>
    <n v="2"/>
    <n v="3631.82"/>
    <s v="03 ORL"/>
    <s v="06 ORL"/>
    <x v="34"/>
    <x v="6"/>
  </r>
  <r>
    <m/>
    <n v="2026"/>
    <x v="1"/>
    <s v="NO"/>
    <x v="14"/>
    <d v="2026-02-19T00:00:00"/>
    <d v="2026-01-15T00:00:00"/>
    <s v="Lugo"/>
    <s v="C202611515322507357"/>
    <x v="197"/>
    <n v="2"/>
    <n v="2718.18"/>
    <s v="03 ORL"/>
    <s v="06 ORL"/>
    <x v="21"/>
    <x v="8"/>
  </r>
  <r>
    <m/>
    <n v="2026"/>
    <x v="1"/>
    <s v="NO"/>
    <x v="5"/>
    <d v="2026-02-19T00:00:00"/>
    <d v="2026-01-15T00:00:00"/>
    <s v="Sevilla Este"/>
    <s v="C202611513242917232"/>
    <x v="198"/>
    <n v="2"/>
    <n v="3631.82"/>
    <s v="03 ORL"/>
    <s v="06 ORL"/>
    <x v="110"/>
    <x v="4"/>
  </r>
  <r>
    <m/>
    <n v="2026"/>
    <x v="1"/>
    <s v="NO"/>
    <x v="4"/>
    <d v="2026-02-19T00:00:00"/>
    <d v="2026-01-20T00:00:00"/>
    <s v="La Oca"/>
    <s v="C202612010113803169"/>
    <x v="199"/>
    <n v="2"/>
    <n v="2718.18"/>
    <s v="03 ORL"/>
    <s v="06 ORL"/>
    <x v="107"/>
    <x v="3"/>
  </r>
  <r>
    <m/>
    <n v="2026"/>
    <x v="1"/>
    <s v="NO"/>
    <x v="22"/>
    <d v="2026-02-19T00:00:00"/>
    <d v="2026-01-23T00:00:00"/>
    <s v="Albacete"/>
    <s v="C202612312201081452"/>
    <x v="200"/>
    <n v="1"/>
    <n v="1631.82"/>
    <s v="03 ORL"/>
    <s v="06 ORL"/>
    <x v="124"/>
    <x v="6"/>
  </r>
  <r>
    <m/>
    <n v="2026"/>
    <x v="1"/>
    <s v="NO"/>
    <x v="8"/>
    <d v="2026-02-19T00:00:00"/>
    <d v="2026-01-14T00:00:00"/>
    <s v="Fuenlabrada"/>
    <s v="C202611417462554800"/>
    <x v="201"/>
    <n v="1"/>
    <n v="1631.82"/>
    <s v="03 ORL"/>
    <s v="06 ORL"/>
    <x v="14"/>
    <x v="3"/>
  </r>
  <r>
    <m/>
    <n v="2026"/>
    <x v="1"/>
    <s v="NO"/>
    <x v="34"/>
    <d v="2026-02-19T00:00:00"/>
    <d v="2026-02-06T00:00:00"/>
    <s v="León"/>
    <s v="C20262695038079529"/>
    <x v="202"/>
    <n v="2"/>
    <n v="4090.91"/>
    <s v="03 ORL"/>
    <s v="06 ORL"/>
    <x v="125"/>
    <x v="2"/>
  </r>
  <r>
    <m/>
    <n v="2026"/>
    <x v="1"/>
    <s v="NO"/>
    <x v="6"/>
    <d v="2026-02-19T00:00:00"/>
    <d v="2026-01-29T00:00:00"/>
    <s v="Juan Bravo"/>
    <s v="C202612911221958756"/>
    <x v="203"/>
    <n v="2"/>
    <n v="4136.3599999999997"/>
    <s v="03 ORL"/>
    <s v="06 ORL"/>
    <x v="24"/>
    <x v="3"/>
  </r>
  <r>
    <m/>
    <n v="2026"/>
    <x v="1"/>
    <s v="NO"/>
    <x v="31"/>
    <d v="2026-02-20T00:00:00"/>
    <d v="2026-01-09T00:00:00"/>
    <s v="Torrejón"/>
    <s v="C20261985450557701"/>
    <x v="204"/>
    <n v="1"/>
    <n v="1550.23"/>
    <s v="03 ORL"/>
    <s v="06 ORL"/>
    <x v="126"/>
    <x v="3"/>
  </r>
  <r>
    <m/>
    <n v="2026"/>
    <x v="1"/>
    <s v="NO"/>
    <x v="37"/>
    <d v="2026-02-20T00:00:00"/>
    <d v="2025-12-10T00:00:00"/>
    <s v="Valencia- Cádiz"/>
    <s v="C202512101755565346"/>
    <x v="205"/>
    <n v="2"/>
    <n v="2718.19"/>
    <s v="03 ORL"/>
    <s v="06 ORL"/>
    <x v="127"/>
    <x v="0"/>
  </r>
  <r>
    <m/>
    <n v="2026"/>
    <x v="1"/>
    <s v="NO"/>
    <x v="16"/>
    <d v="2026-02-20T00:00:00"/>
    <d v="2026-01-14T00:00:00"/>
    <s v="Leganés"/>
    <s v="C202611495230842894"/>
    <x v="206"/>
    <n v="1"/>
    <n v="1631.82"/>
    <s v="03 ORL"/>
    <s v="06 ORL"/>
    <x v="128"/>
    <x v="3"/>
  </r>
  <r>
    <m/>
    <n v="2026"/>
    <x v="1"/>
    <s v="NO"/>
    <x v="3"/>
    <d v="2026-02-20T00:00:00"/>
    <d v="2025-12-16T00:00:00"/>
    <s v="Getafe"/>
    <s v="C202512161237501240"/>
    <x v="207"/>
    <n v="2"/>
    <n v="4136.3599999999997"/>
    <s v="03 ORL"/>
    <s v="06 ORL"/>
    <x v="68"/>
    <x v="3"/>
  </r>
  <r>
    <m/>
    <n v="2026"/>
    <x v="1"/>
    <s v="NO"/>
    <x v="17"/>
    <d v="2026-02-20T00:00:00"/>
    <d v="2026-01-16T00:00:00"/>
    <s v="Alcorcón"/>
    <s v="C202611612232415334"/>
    <x v="208"/>
    <n v="1"/>
    <n v="1631.82"/>
    <s v="03 ORL"/>
    <s v="22 AUDIOMETRIA CLINICA"/>
    <x v="129"/>
    <x v="3"/>
  </r>
  <r>
    <m/>
    <n v="2026"/>
    <x v="1"/>
    <s v="NO"/>
    <x v="11"/>
    <d v="2026-02-23T00:00:00"/>
    <d v="2026-01-12T00:00:00"/>
    <s v="Murcia"/>
    <s v="C202611214373858803"/>
    <x v="209"/>
    <n v="2"/>
    <n v="2718.18"/>
    <s v="03 ORL"/>
    <s v="06 ORL"/>
    <x v="28"/>
    <x v="6"/>
  </r>
  <r>
    <m/>
    <n v="2026"/>
    <x v="1"/>
    <s v="NO"/>
    <x v="20"/>
    <d v="2026-02-23T00:00:00"/>
    <d v="2026-01-30T00:00:00"/>
    <s v="La Zenia"/>
    <s v="C202613011203270810"/>
    <x v="210"/>
    <n v="2"/>
    <n v="3631.82"/>
    <s v="03 ORL"/>
    <s v="06 ORL"/>
    <x v="41"/>
    <x v="6"/>
  </r>
  <r>
    <m/>
    <n v="2026"/>
    <x v="1"/>
    <s v="NO"/>
    <x v="6"/>
    <d v="2026-02-23T00:00:00"/>
    <d v="2026-01-16T00:00:00"/>
    <s v="Juan Bravo"/>
    <s v="C202611610349790438"/>
    <x v="211"/>
    <n v="2"/>
    <n v="4309.55"/>
    <s v="03 ORL"/>
    <s v="06 ORL"/>
    <x v="130"/>
    <x v="3"/>
  </r>
  <r>
    <m/>
    <n v="2026"/>
    <x v="1"/>
    <s v="NO"/>
    <x v="2"/>
    <d v="2026-02-23T00:00:00"/>
    <d v="2026-01-14T00:00:00"/>
    <s v="Valladolid"/>
    <s v="C20261141044350634"/>
    <x v="212"/>
    <n v="1"/>
    <n v="2307.27"/>
    <s v="03 ORL"/>
    <s v="06 ORL"/>
    <x v="2"/>
    <x v="2"/>
  </r>
  <r>
    <m/>
    <n v="2026"/>
    <x v="1"/>
    <s v="NO"/>
    <x v="1"/>
    <d v="2026-02-23T00:00:00"/>
    <d v="2026-01-28T00:00:00"/>
    <s v="Cáceres"/>
    <s v="C202612817343055326"/>
    <x v="213"/>
    <n v="2"/>
    <n v="3940.91"/>
    <s v="03 ORL"/>
    <s v="06 ORL"/>
    <x v="13"/>
    <x v="1"/>
  </r>
  <r>
    <m/>
    <n v="2026"/>
    <x v="1"/>
    <s v="NO"/>
    <x v="29"/>
    <d v="2026-02-23T00:00:00"/>
    <d v="2025-12-18T00:00:00"/>
    <s v="Costa Rica"/>
    <s v="C202512181349346605"/>
    <x v="214"/>
    <n v="2"/>
    <n v="3631.82"/>
    <s v="03 ORL"/>
    <s v="06 ORL"/>
    <x v="107"/>
    <x v="3"/>
  </r>
  <r>
    <m/>
    <n v="2026"/>
    <x v="1"/>
    <s v="NO"/>
    <x v="13"/>
    <d v="2026-02-23T00:00:00"/>
    <d v="2026-01-14T00:00:00"/>
    <s v="Orense"/>
    <s v="C202611413754509934"/>
    <x v="215"/>
    <n v="1"/>
    <n v="2180.91"/>
    <s v="03 ORL"/>
    <s v="06 ORL"/>
    <x v="43"/>
    <x v="8"/>
  </r>
  <r>
    <m/>
    <n v="2026"/>
    <x v="1"/>
    <s v="NO"/>
    <x v="22"/>
    <d v="2026-02-23T00:00:00"/>
    <d v="2022-12-14T00:00:00"/>
    <s v="Albacete"/>
    <s v="ALB-517"/>
    <x v="216"/>
    <n v="2"/>
    <n v="3631.82"/>
    <s v="03 ORL"/>
    <s v="06 ORL"/>
    <x v="15"/>
    <x v="6"/>
  </r>
  <r>
    <m/>
    <n v="2026"/>
    <x v="1"/>
    <s v="NO"/>
    <x v="12"/>
    <d v="2026-02-23T00:00:00"/>
    <d v="2026-01-30T00:00:00"/>
    <s v="Toledo"/>
    <s v="C202613012740821037"/>
    <x v="217"/>
    <n v="2"/>
    <n v="2718.18"/>
    <s v="03 ORL"/>
    <s v="06 ORL"/>
    <x v="92"/>
    <x v="1"/>
  </r>
  <r>
    <m/>
    <n v="2026"/>
    <x v="1"/>
    <s v="NO"/>
    <x v="20"/>
    <d v="2026-02-23T00:00:00"/>
    <d v="2025-12-29T00:00:00"/>
    <s v="La Zenia"/>
    <s v="C202512291515125355"/>
    <x v="218"/>
    <n v="2"/>
    <n v="4011.82"/>
    <s v="03 ORL"/>
    <s v="06 ORL"/>
    <x v="42"/>
    <x v="6"/>
  </r>
  <r>
    <m/>
    <n v="2026"/>
    <x v="1"/>
    <s v="NO"/>
    <x v="12"/>
    <d v="2026-02-23T00:00:00"/>
    <d v="2023-12-20T00:00:00"/>
    <s v="Toledo"/>
    <s v="TOL-579"/>
    <x v="219"/>
    <n v="1"/>
    <n v="1446.59"/>
    <s v="03 ORL"/>
    <s v="06 ORL"/>
    <x v="131"/>
    <x v="1"/>
  </r>
  <r>
    <m/>
    <n v="2026"/>
    <x v="1"/>
    <s v="NO"/>
    <x v="2"/>
    <d v="2026-02-23T00:00:00"/>
    <d v="2025-12-29T00:00:00"/>
    <s v="Valladolid"/>
    <s v="C202512291733414502"/>
    <x v="220"/>
    <n v="2"/>
    <n v="4431.82"/>
    <s v="03 ORL"/>
    <s v="06 ORL"/>
    <x v="132"/>
    <x v="2"/>
  </r>
  <r>
    <m/>
    <n v="2026"/>
    <x v="1"/>
    <s v="NO"/>
    <x v="37"/>
    <d v="2026-02-23T00:00:00"/>
    <d v="2026-01-12T00:00:00"/>
    <s v="Valencia- Cádiz"/>
    <s v="C202611210232134460"/>
    <x v="221"/>
    <n v="2"/>
    <n v="2718.18"/>
    <s v="03 ORL"/>
    <s v="06 ORL"/>
    <x v="133"/>
    <x v="0"/>
  </r>
  <r>
    <m/>
    <n v="2026"/>
    <x v="1"/>
    <s v="NO"/>
    <x v="0"/>
    <d v="2026-02-24T00:00:00"/>
    <d v="2025-12-15T00:00:00"/>
    <s v="Valencia- Parra"/>
    <s v="C202512159325964174"/>
    <x v="222"/>
    <n v="2"/>
    <n v="4400"/>
    <s v="03 ORL"/>
    <s v="06 ORL"/>
    <x v="6"/>
    <x v="0"/>
  </r>
  <r>
    <m/>
    <n v="2026"/>
    <x v="1"/>
    <s v="NO"/>
    <x v="10"/>
    <d v="2026-02-24T00:00:00"/>
    <d v="2026-01-27T00:00:00"/>
    <s v="Alicante"/>
    <s v="C202612792335023888"/>
    <x v="223"/>
    <n v="1"/>
    <n v="2481.8200000000002"/>
    <s v="03 ORL"/>
    <s v="06 ORL"/>
    <x v="134"/>
    <x v="6"/>
  </r>
  <r>
    <m/>
    <n v="2026"/>
    <x v="1"/>
    <s v="NO"/>
    <x v="26"/>
    <d v="2026-02-24T00:00:00"/>
    <d v="2026-01-21T00:00:00"/>
    <s v="El Albir (Benidorm)"/>
    <s v="C202612111181255673"/>
    <x v="224"/>
    <n v="2"/>
    <n v="4136.3599999999997"/>
    <s v="03 ORL"/>
    <s v="06 ORL"/>
    <x v="135"/>
    <x v="0"/>
  </r>
  <r>
    <m/>
    <n v="2026"/>
    <x v="1"/>
    <s v="NO"/>
    <x v="27"/>
    <d v="2026-02-24T00:00:00"/>
    <d v="2026-02-10T00:00:00"/>
    <s v="San Javier"/>
    <s v="C20262109335839729"/>
    <x v="225"/>
    <n v="2"/>
    <n v="3631.82"/>
    <s v="03 ORL"/>
    <s v="06 ORL"/>
    <x v="99"/>
    <x v="6"/>
  </r>
  <r>
    <m/>
    <n v="2026"/>
    <x v="1"/>
    <s v="NO"/>
    <x v="6"/>
    <d v="2026-02-24T00:00:00"/>
    <d v="2026-01-12T00:00:00"/>
    <s v="Juan Bravo"/>
    <s v="C202611283024414467"/>
    <x v="226"/>
    <n v="2"/>
    <n v="2581.8200000000002"/>
    <s v="03 ORL"/>
    <s v="06 ORL"/>
    <x v="136"/>
    <x v="3"/>
  </r>
  <r>
    <m/>
    <n v="2026"/>
    <x v="1"/>
    <s v="NO"/>
    <x v="26"/>
    <d v="2026-02-24T00:00:00"/>
    <d v="2025-12-10T00:00:00"/>
    <s v="El Albir (Benidorm)"/>
    <s v="C202512101113257912"/>
    <x v="227"/>
    <n v="2"/>
    <n v="2582.27"/>
    <s v="03 ORL"/>
    <s v="06 ORL"/>
    <x v="135"/>
    <x v="0"/>
  </r>
  <r>
    <m/>
    <n v="2026"/>
    <x v="1"/>
    <s v="NO"/>
    <x v="11"/>
    <d v="2026-02-24T00:00:00"/>
    <d v="2026-01-09T00:00:00"/>
    <s v="Murcia"/>
    <s v="C202619101846200563"/>
    <x v="228"/>
    <n v="2"/>
    <n v="2718.18"/>
    <s v="03 ORL"/>
    <s v="06 ORL"/>
    <x v="34"/>
    <x v="6"/>
  </r>
  <r>
    <m/>
    <n v="2026"/>
    <x v="1"/>
    <s v="NO"/>
    <x v="2"/>
    <d v="2026-02-24T00:00:00"/>
    <d v="2025-12-12T00:00:00"/>
    <s v="Valladolid"/>
    <s v="C202512121543130386"/>
    <x v="229"/>
    <n v="2"/>
    <n v="3977.27"/>
    <s v="03 ORL"/>
    <s v="06 ORL"/>
    <x v="137"/>
    <x v="2"/>
  </r>
  <r>
    <m/>
    <n v="2026"/>
    <x v="1"/>
    <s v="NO"/>
    <x v="4"/>
    <d v="2026-02-24T00:00:00"/>
    <d v="2026-01-19T00:00:00"/>
    <s v="La Oca"/>
    <s v="C202611917564591568"/>
    <x v="230"/>
    <n v="2"/>
    <n v="2718.18"/>
    <s v="01 MARKETING ON LINE"/>
    <s v="04 AUDIFONO,ES"/>
    <x v="138"/>
    <x v="3"/>
  </r>
  <r>
    <m/>
    <n v="2026"/>
    <x v="1"/>
    <s v="NO"/>
    <x v="25"/>
    <d v="2026-02-24T00:00:00"/>
    <d v="2026-01-22T00:00:00"/>
    <s v="La Vaguada"/>
    <s v="C202612217385910574"/>
    <x v="231"/>
    <n v="2"/>
    <n v="4136.3599999999997"/>
    <s v="03 ORL"/>
    <s v="06 ORL"/>
    <x v="139"/>
    <x v="3"/>
  </r>
  <r>
    <m/>
    <n v="2026"/>
    <x v="1"/>
    <s v="NO"/>
    <x v="22"/>
    <d v="2026-02-24T00:00:00"/>
    <d v="2026-01-27T00:00:00"/>
    <s v="Albacete"/>
    <s v="C202612716305911990"/>
    <x v="232"/>
    <n v="1"/>
    <n v="2481.8200000000002"/>
    <s v="03 ORL"/>
    <s v="06 ORL"/>
    <x v="106"/>
    <x v="6"/>
  </r>
  <r>
    <m/>
    <n v="2026"/>
    <x v="1"/>
    <s v="NO"/>
    <x v="10"/>
    <d v="2026-02-25T00:00:00"/>
    <d v="2026-01-28T00:00:00"/>
    <s v="Alicante"/>
    <s v="C202612812373235514"/>
    <x v="233"/>
    <n v="2"/>
    <n v="2718.18"/>
    <s v="04 TIENDA"/>
    <s v="07 BOCA/BOCA"/>
    <x v="49"/>
    <x v="6"/>
  </r>
  <r>
    <m/>
    <n v="2026"/>
    <x v="1"/>
    <s v="NO"/>
    <x v="15"/>
    <d v="2026-02-25T00:00:00"/>
    <d v="2026-01-20T00:00:00"/>
    <s v="Canillas"/>
    <s v="C202612015347354164"/>
    <x v="234"/>
    <n v="2"/>
    <n v="3631.82"/>
    <s v="03 ORL"/>
    <s v="06 ORL"/>
    <x v="136"/>
    <x v="3"/>
  </r>
  <r>
    <m/>
    <n v="2026"/>
    <x v="1"/>
    <s v="NO"/>
    <x v="8"/>
    <d v="2026-02-25T00:00:00"/>
    <d v="2026-01-22T00:00:00"/>
    <s v="Fuenlabrada"/>
    <s v="C202612215343637378"/>
    <x v="235"/>
    <n v="2"/>
    <n v="2718.18"/>
    <s v="03 ORL"/>
    <s v="06 ORL"/>
    <x v="129"/>
    <x v="3"/>
  </r>
  <r>
    <m/>
    <n v="2026"/>
    <x v="1"/>
    <s v="NO"/>
    <x v="8"/>
    <d v="2026-02-25T00:00:00"/>
    <d v="2026-02-04T00:00:00"/>
    <s v="Fuenlabrada"/>
    <s v="C2026249239923062"/>
    <x v="236"/>
    <n v="2"/>
    <n v="2718.18"/>
    <s v="03 ORL"/>
    <s v="06 ORL"/>
    <x v="140"/>
    <x v="3"/>
  </r>
  <r>
    <m/>
    <n v="2026"/>
    <x v="1"/>
    <s v="NO"/>
    <x v="20"/>
    <d v="2026-02-25T00:00:00"/>
    <d v="2026-01-28T00:00:00"/>
    <s v="La Zenia"/>
    <s v="C202612885730510878"/>
    <x v="237"/>
    <n v="2"/>
    <n v="4136.3599999999997"/>
    <s v="01 MARKETING ON LINE"/>
    <s v="01 WEB AUDICOST"/>
    <x v="141"/>
    <x v="6"/>
  </r>
  <r>
    <m/>
    <n v="2026"/>
    <x v="1"/>
    <s v="NO"/>
    <x v="24"/>
    <d v="2026-02-25T00:00:00"/>
    <d v="2026-02-16T00:00:00"/>
    <s v="Almería"/>
    <s v="C202621612475543331"/>
    <x v="238"/>
    <n v="1"/>
    <n v="1631.82"/>
    <s v="03 ORL"/>
    <s v="06 ORL"/>
    <x v="142"/>
    <x v="0"/>
  </r>
  <r>
    <m/>
    <n v="2026"/>
    <x v="1"/>
    <s v="NO"/>
    <x v="9"/>
    <d v="2026-02-25T00:00:00"/>
    <d v="2025-10-21T00:00:00"/>
    <s v="Montoto"/>
    <s v="C202510211025173009"/>
    <x v="239"/>
    <n v="1"/>
    <n v="2180.91"/>
    <s v="03 ORL"/>
    <s v="06 ORL"/>
    <x v="143"/>
    <x v="4"/>
  </r>
  <r>
    <m/>
    <n v="2026"/>
    <x v="1"/>
    <s v="NO"/>
    <x v="31"/>
    <d v="2026-02-25T00:00:00"/>
    <d v="2025-11-18T00:00:00"/>
    <s v="Torrejón"/>
    <s v="C202511181118436565"/>
    <x v="240"/>
    <n v="2"/>
    <n v="2718.18"/>
    <s v="03 ORL"/>
    <s v="06 ORL"/>
    <x v="77"/>
    <x v="3"/>
  </r>
  <r>
    <m/>
    <n v="2026"/>
    <x v="1"/>
    <s v="NO"/>
    <x v="36"/>
    <d v="2026-02-25T00:00:00"/>
    <d v="2026-01-21T00:00:00"/>
    <s v="Salamanca"/>
    <s v="C202612118321337950"/>
    <x v="241"/>
    <n v="2"/>
    <n v="3730"/>
    <s v="03 ORL"/>
    <s v="06 ORL"/>
    <x v="6"/>
    <x v="2"/>
  </r>
  <r>
    <m/>
    <n v="2026"/>
    <x v="1"/>
    <s v="NO"/>
    <x v="1"/>
    <d v="2026-02-25T00:00:00"/>
    <d v="2026-01-27T00:00:00"/>
    <s v="Cáceres"/>
    <s v="C202612717262205434"/>
    <x v="242"/>
    <n v="2"/>
    <n v="3454.55"/>
    <s v="01 MARKETING ON LINE"/>
    <s v="04 AUDIFONO,ES"/>
    <x v="144"/>
    <x v="1"/>
  </r>
  <r>
    <m/>
    <n v="2026"/>
    <x v="1"/>
    <s v="NO"/>
    <x v="16"/>
    <d v="2026-02-25T00:00:00"/>
    <d v="2020-07-01T00:00:00"/>
    <s v="Leganés"/>
    <s v="PQL-1344"/>
    <x v="243"/>
    <n v="2"/>
    <n v="2718.18"/>
    <s v="03 ORL"/>
    <s v="06 ORL"/>
    <x v="26"/>
    <x v="3"/>
  </r>
  <r>
    <m/>
    <n v="2026"/>
    <x v="1"/>
    <s v="NO"/>
    <x v="25"/>
    <d v="2026-02-25T00:00:00"/>
    <d v="2026-01-22T00:00:00"/>
    <s v="La Vaguada"/>
    <s v="C202612216648697539"/>
    <x v="244"/>
    <n v="2"/>
    <n v="4136.3599999999997"/>
    <s v="03 ORL"/>
    <s v="06 ORL"/>
    <x v="107"/>
    <x v="3"/>
  </r>
  <r>
    <m/>
    <n v="2026"/>
    <x v="1"/>
    <s v="NO"/>
    <x v="11"/>
    <d v="2026-02-25T00:00:00"/>
    <d v="2026-01-30T00:00:00"/>
    <s v="Murcia"/>
    <s v="C202613082451127538"/>
    <x v="245"/>
    <n v="2"/>
    <n v="2718.18"/>
    <s v="03 ORL"/>
    <s v="06 ORL"/>
    <x v="28"/>
    <x v="6"/>
  </r>
  <r>
    <m/>
    <n v="2026"/>
    <x v="1"/>
    <s v="NO"/>
    <x v="35"/>
    <d v="2026-02-25T00:00:00"/>
    <d v="2026-01-29T00:00:00"/>
    <s v="Talavera"/>
    <s v="C202612917304004894"/>
    <x v="246"/>
    <n v="2"/>
    <n v="3631.82"/>
    <s v="03 ORL"/>
    <s v="06 ORL"/>
    <x v="102"/>
    <x v="1"/>
  </r>
  <r>
    <m/>
    <n v="2026"/>
    <x v="1"/>
    <s v="NO"/>
    <x v="10"/>
    <d v="2026-02-26T00:00:00"/>
    <d v="2026-01-26T00:00:00"/>
    <s v="Alicante"/>
    <s v="C202612613472119982"/>
    <x v="247"/>
    <n v="2"/>
    <n v="2718.18"/>
    <s v="03 ORL"/>
    <s v="06 ORL"/>
    <x v="42"/>
    <x v="6"/>
  </r>
  <r>
    <m/>
    <n v="2026"/>
    <x v="1"/>
    <s v="NO"/>
    <x v="7"/>
    <d v="2026-02-26T00:00:00"/>
    <d v="2026-01-15T00:00:00"/>
    <s v="Zaragoza"/>
    <s v="C202611510254323676"/>
    <x v="248"/>
    <n v="2"/>
    <n v="2936.78"/>
    <s v="03 ORL"/>
    <s v="06 ORL"/>
    <x v="145"/>
    <x v="7"/>
  </r>
  <r>
    <m/>
    <n v="2026"/>
    <x v="1"/>
    <s v="NO"/>
    <x v="27"/>
    <d v="2026-02-26T00:00:00"/>
    <d v="2026-01-26T00:00:00"/>
    <s v="San Javier"/>
    <s v="C202612617528309365"/>
    <x v="249"/>
    <n v="2"/>
    <n v="4536.3599999999997"/>
    <s v="03 ORL"/>
    <s v="06 ORL"/>
    <x v="146"/>
    <x v="6"/>
  </r>
  <r>
    <m/>
    <n v="2026"/>
    <x v="1"/>
    <s v="NO"/>
    <x v="6"/>
    <d v="2026-02-26T00:00:00"/>
    <d v="2026-01-26T00:00:00"/>
    <s v="Juan Bravo"/>
    <s v="C202612694221558027"/>
    <x v="250"/>
    <n v="1"/>
    <n v="2481.8200000000002"/>
    <s v="03 ORL"/>
    <s v="06 ORL"/>
    <x v="24"/>
    <x v="3"/>
  </r>
  <r>
    <m/>
    <n v="2026"/>
    <x v="1"/>
    <s v="NO"/>
    <x v="27"/>
    <d v="2026-02-26T00:00:00"/>
    <d v="2026-01-22T00:00:00"/>
    <s v="San Javier"/>
    <s v="C202612215332992198"/>
    <x v="251"/>
    <n v="2"/>
    <n v="4536.3599999999997"/>
    <s v="03 ORL"/>
    <s v="06 ORL"/>
    <x v="147"/>
    <x v="6"/>
  </r>
  <r>
    <m/>
    <n v="2026"/>
    <x v="1"/>
    <s v="NO"/>
    <x v="27"/>
    <d v="2026-02-26T00:00:00"/>
    <d v="2026-02-13T00:00:00"/>
    <s v="San Javier"/>
    <s v="C202621391629035747"/>
    <x v="252"/>
    <n v="2"/>
    <n v="4536.3599999999997"/>
    <s v="03 ORL"/>
    <s v="06 ORL"/>
    <x v="122"/>
    <x v="6"/>
  </r>
  <r>
    <m/>
    <n v="2026"/>
    <x v="1"/>
    <s v="NO"/>
    <x v="21"/>
    <d v="2026-02-26T00:00:00"/>
    <d v="2026-02-20T00:00:00"/>
    <s v="Moratalaz"/>
    <s v="C202622085534244744"/>
    <x v="253"/>
    <n v="2"/>
    <n v="3631.82"/>
    <s v="03 ORL"/>
    <s v="06 ORL"/>
    <x v="148"/>
    <x v="3"/>
  </r>
  <r>
    <m/>
    <n v="2026"/>
    <x v="1"/>
    <s v="NO"/>
    <x v="10"/>
    <d v="2026-02-26T00:00:00"/>
    <d v="2024-02-26T00:00:00"/>
    <s v="Alicante"/>
    <s v="ALC-3827"/>
    <x v="254"/>
    <n v="2"/>
    <n v="3631.82"/>
    <s v="03 ORL"/>
    <s v="06 ORL"/>
    <x v="11"/>
    <x v="6"/>
  </r>
  <r>
    <m/>
    <n v="2026"/>
    <x v="1"/>
    <s v="NO"/>
    <x v="26"/>
    <d v="2026-02-26T00:00:00"/>
    <d v="2025-12-19T00:00:00"/>
    <s v="El Albir (Benidorm)"/>
    <s v="C202512191013203444"/>
    <x v="255"/>
    <n v="1"/>
    <n v="2071.86"/>
    <s v="03 ORL"/>
    <s v="06 ORL"/>
    <x v="66"/>
    <x v="0"/>
  </r>
  <r>
    <m/>
    <n v="2026"/>
    <x v="1"/>
    <s v="NO"/>
    <x v="26"/>
    <d v="2026-02-26T00:00:00"/>
    <d v="2026-01-05T00:00:00"/>
    <s v="El Albir (Benidorm)"/>
    <s v="C202615125517101826"/>
    <x v="256"/>
    <n v="1"/>
    <n v="2180.91"/>
    <s v="03 ORL"/>
    <s v="06 ORL"/>
    <x v="51"/>
    <x v="0"/>
  </r>
  <r>
    <m/>
    <n v="2026"/>
    <x v="1"/>
    <s v="NO"/>
    <x v="22"/>
    <d v="2026-02-26T00:00:00"/>
    <d v="2026-01-21T00:00:00"/>
    <s v="Albacete"/>
    <s v="C202612111484650878"/>
    <x v="257"/>
    <n v="2"/>
    <n v="4136.3599999999997"/>
    <s v="03 ORL"/>
    <s v="06 ORL"/>
    <x v="106"/>
    <x v="6"/>
  </r>
  <r>
    <m/>
    <n v="2026"/>
    <x v="1"/>
    <s v="NO"/>
    <x v="11"/>
    <d v="2026-02-26T00:00:00"/>
    <d v="2026-01-29T00:00:00"/>
    <s v="Murcia"/>
    <s v="C202612912325824973"/>
    <x v="258"/>
    <n v="2"/>
    <n v="4134.62"/>
    <s v="03 ORL"/>
    <s v="06 ORL"/>
    <x v="149"/>
    <x v="6"/>
  </r>
  <r>
    <m/>
    <n v="2026"/>
    <x v="1"/>
    <s v="NO"/>
    <x v="11"/>
    <d v="2026-02-26T00:00:00"/>
    <d v="2026-02-03T00:00:00"/>
    <s v="Murcia"/>
    <s v="C20262391419663611"/>
    <x v="259"/>
    <n v="2"/>
    <n v="2718.18"/>
    <s v="03 ORL"/>
    <s v="06 ORL"/>
    <x v="150"/>
    <x v="6"/>
  </r>
  <r>
    <m/>
    <n v="2026"/>
    <x v="1"/>
    <s v="NO"/>
    <x v="3"/>
    <d v="2026-02-26T00:00:00"/>
    <d v="2026-02-02T00:00:00"/>
    <s v="Getafe"/>
    <s v="C202622143610588879"/>
    <x v="260"/>
    <n v="2"/>
    <n v="2718.18"/>
    <s v="03 ORL"/>
    <s v="06 ORL"/>
    <x v="151"/>
    <x v="3"/>
  </r>
  <r>
    <m/>
    <n v="2026"/>
    <x v="1"/>
    <s v="NO"/>
    <x v="20"/>
    <d v="2026-02-26T00:00:00"/>
    <d v="2026-02-03T00:00:00"/>
    <s v="La Zenia"/>
    <s v="C2026239206560406"/>
    <x v="261"/>
    <n v="2"/>
    <n v="2718.18"/>
    <s v="03 ORL"/>
    <s v="06 ORL"/>
    <x v="116"/>
    <x v="6"/>
  </r>
  <r>
    <m/>
    <n v="2026"/>
    <x v="1"/>
    <s v="NO"/>
    <x v="13"/>
    <d v="2026-02-26T00:00:00"/>
    <d v="2026-01-16T00:00:00"/>
    <s v="Orense"/>
    <s v="C20261169422835459"/>
    <x v="262"/>
    <n v="2"/>
    <n v="3631.82"/>
    <s v="03 ORL"/>
    <s v="06 ORL"/>
    <x v="70"/>
    <x v="8"/>
  </r>
  <r>
    <m/>
    <n v="2026"/>
    <x v="1"/>
    <s v="NO"/>
    <x v="10"/>
    <d v="2026-02-26T00:00:00"/>
    <d v="2026-02-04T00:00:00"/>
    <s v="Alicante"/>
    <s v="C20262411338089577"/>
    <x v="263"/>
    <n v="2"/>
    <n v="2718.18"/>
    <s v="03 ORL"/>
    <s v="06 ORL"/>
    <x v="11"/>
    <x v="6"/>
  </r>
  <r>
    <m/>
    <n v="2026"/>
    <x v="1"/>
    <s v="NO"/>
    <x v="22"/>
    <d v="2026-02-26T00:00:00"/>
    <d v="2026-01-26T00:00:00"/>
    <s v="Albacete"/>
    <s v="C202612610443744715"/>
    <x v="264"/>
    <n v="1"/>
    <n v="2180.91"/>
    <s v="03 ORL"/>
    <s v="06 ORL"/>
    <x v="152"/>
    <x v="6"/>
  </r>
  <r>
    <m/>
    <n v="2026"/>
    <x v="1"/>
    <s v="NO"/>
    <x v="12"/>
    <d v="2026-02-27T00:00:00"/>
    <d v="2025-12-10T00:00:00"/>
    <s v="Toledo"/>
    <s v="C202512101139559327"/>
    <x v="265"/>
    <n v="2"/>
    <n v="3631.82"/>
    <s v="03 ORL"/>
    <s v="06 ORL"/>
    <x v="131"/>
    <x v="1"/>
  </r>
  <r>
    <m/>
    <n v="2026"/>
    <x v="1"/>
    <s v="NO"/>
    <x v="18"/>
    <d v="2026-02-27T00:00:00"/>
    <d v="2026-01-26T00:00:00"/>
    <s v="Logroño"/>
    <s v="C202612611462701422"/>
    <x v="266"/>
    <n v="2"/>
    <n v="4136.3599999999997"/>
    <s v="03 ORL"/>
    <s v="06 ORL"/>
    <x v="64"/>
    <x v="1"/>
  </r>
  <r>
    <m/>
    <n v="2026"/>
    <x v="1"/>
    <s v="NO"/>
    <x v="22"/>
    <d v="2026-02-27T00:00:00"/>
    <d v="2026-01-20T00:00:00"/>
    <s v="Albacete"/>
    <s v="C202612010227949902"/>
    <x v="267"/>
    <n v="2"/>
    <n v="2918.18"/>
    <s v="03 ORL"/>
    <s v="06 ORL"/>
    <x v="153"/>
    <x v="6"/>
  </r>
  <r>
    <m/>
    <n v="2026"/>
    <x v="1"/>
    <s v="NO"/>
    <x v="20"/>
    <d v="2026-02-27T00:00:00"/>
    <d v="2023-01-31T00:00:00"/>
    <s v="La Zenia"/>
    <s v="LZN-450000442"/>
    <x v="268"/>
    <n v="1"/>
    <n v="1631.82"/>
    <s v="03 ORL"/>
    <s v="06 ORL"/>
    <x v="42"/>
    <x v="6"/>
  </r>
  <r>
    <m/>
    <n v="2026"/>
    <x v="1"/>
    <s v="NO"/>
    <x v="11"/>
    <d v="2026-02-27T00:00:00"/>
    <d v="2026-01-27T00:00:00"/>
    <s v="Murcia"/>
    <s v="C202612716322865727"/>
    <x v="269"/>
    <n v="1"/>
    <n v="1631.82"/>
    <s v="03 ORL"/>
    <s v="06 ORL"/>
    <x v="154"/>
    <x v="6"/>
  </r>
  <r>
    <m/>
    <n v="2026"/>
    <x v="1"/>
    <s v="NO"/>
    <x v="17"/>
    <d v="2026-02-27T00:00:00"/>
    <d v="2024-06-24T00:00:00"/>
    <s v="Alcorcón"/>
    <s v="MAL-867"/>
    <x v="270"/>
    <n v="2"/>
    <n v="3631.82"/>
    <s v="03 ORL"/>
    <s v="06 ORL"/>
    <x v="78"/>
    <x v="3"/>
  </r>
  <r>
    <m/>
    <n v="2026"/>
    <x v="1"/>
    <s v="NO"/>
    <x v="26"/>
    <d v="2026-02-27T00:00:00"/>
    <d v="2026-01-21T00:00:00"/>
    <s v="El Albir (Benidorm)"/>
    <s v="C202612112119316206"/>
    <x v="271"/>
    <n v="2"/>
    <n v="4136.3599999999997"/>
    <s v="03 ORL"/>
    <s v="06 ORL"/>
    <x v="51"/>
    <x v="0"/>
  </r>
  <r>
    <m/>
    <n v="2026"/>
    <x v="1"/>
    <s v="NO"/>
    <x v="32"/>
    <d v="2026-02-27T00:00:00"/>
    <d v="2026-01-20T00:00:00"/>
    <s v="Ponferrada"/>
    <s v="C202612092032571289"/>
    <x v="272"/>
    <n v="2"/>
    <n v="2709.09"/>
    <s v="03 ORL"/>
    <s v="22 AUDIOMETRIA CLINICA"/>
    <x v="6"/>
    <x v="2"/>
  </r>
  <r>
    <m/>
    <n v="2026"/>
    <x v="1"/>
    <s v="NO"/>
    <x v="6"/>
    <d v="2026-02-27T00:00:00"/>
    <d v="2026-01-28T00:00:00"/>
    <s v="Juan Bravo"/>
    <s v="C202612812503320736"/>
    <x v="273"/>
    <n v="2"/>
    <n v="3631.82"/>
    <s v="03 ORL"/>
    <s v="06 ORL"/>
    <x v="24"/>
    <x v="3"/>
  </r>
  <r>
    <m/>
    <n v="2026"/>
    <x v="1"/>
    <s v="NO"/>
    <x v="8"/>
    <d v="2026-02-27T00:00:00"/>
    <d v="2026-01-29T00:00:00"/>
    <s v="Fuenlabrada"/>
    <s v="C202612912135937734"/>
    <x v="274"/>
    <n v="2"/>
    <n v="3636.36"/>
    <s v="03 ORL"/>
    <s v="06 ORL"/>
    <x v="9"/>
    <x v="3"/>
  </r>
  <r>
    <m/>
    <n v="2026"/>
    <x v="1"/>
    <s v="NO"/>
    <x v="6"/>
    <d v="2026-02-27T00:00:00"/>
    <d v="2026-01-26T00:00:00"/>
    <s v="Juan Bravo"/>
    <s v="C202612612247030125"/>
    <x v="275"/>
    <n v="1"/>
    <n v="2180.91"/>
    <s v="03 ORL"/>
    <s v="06 ORL"/>
    <x v="155"/>
    <x v="3"/>
  </r>
  <r>
    <m/>
    <n v="2026"/>
    <x v="1"/>
    <s v="NO"/>
    <x v="11"/>
    <d v="2026-02-27T00:00:00"/>
    <d v="2023-10-10T00:00:00"/>
    <s v="Murcia"/>
    <s v="MUR-1648"/>
    <x v="276"/>
    <n v="1"/>
    <n v="2481.8200000000002"/>
    <s v="03 ORL"/>
    <s v="06 ORL"/>
    <x v="156"/>
    <x v="6"/>
  </r>
  <r>
    <m/>
    <n v="2026"/>
    <x v="1"/>
    <s v="NO"/>
    <x v="30"/>
    <d v="2026-02-27T00:00:00"/>
    <d v="2026-01-23T00:00:00"/>
    <s v="Jerez"/>
    <s v="C202612312493748894"/>
    <x v="277"/>
    <n v="1"/>
    <n v="2481.8200000000002"/>
    <s v="03 ORL"/>
    <s v="06 ORL"/>
    <x v="157"/>
    <x v="4"/>
  </r>
  <r>
    <m/>
    <n v="2026"/>
    <x v="1"/>
    <s v="NO"/>
    <x v="25"/>
    <d v="2026-02-27T00:00:00"/>
    <d v="2025-11-27T00:00:00"/>
    <s v="La Vaguada"/>
    <s v="C202511271747274571"/>
    <x v="278"/>
    <n v="2"/>
    <n v="3631.82"/>
    <s v="03 ORL"/>
    <s v="06 ORL"/>
    <x v="48"/>
    <x v="3"/>
  </r>
  <r>
    <m/>
    <n v="2026"/>
    <x v="1"/>
    <s v="NO"/>
    <x v="21"/>
    <d v="2026-02-27T00:00:00"/>
    <d v="2026-02-18T00:00:00"/>
    <s v="Moratalaz"/>
    <s v="C202621816453016654"/>
    <x v="279"/>
    <n v="2"/>
    <n v="2263.64"/>
    <s v="03 ORL"/>
    <s v="06 ORL"/>
    <x v="148"/>
    <x v="3"/>
  </r>
  <r>
    <m/>
    <n v="2026"/>
    <x v="1"/>
    <s v="NO"/>
    <x v="37"/>
    <d v="2026-02-27T00:00:00"/>
    <d v="2026-01-20T00:00:00"/>
    <s v="Valencia- Cádiz"/>
    <s v="C202612094313079021"/>
    <x v="280"/>
    <n v="2"/>
    <n v="4136.3599999999997"/>
    <s v="03 ORL"/>
    <s v="06 ORL"/>
    <x v="133"/>
    <x v="0"/>
  </r>
  <r>
    <m/>
    <n v="2026"/>
    <x v="1"/>
    <s v="NO"/>
    <x v="37"/>
    <d v="2026-02-27T00:00:00"/>
    <d v="2026-01-08T00:00:00"/>
    <s v="Valencia- Cádiz"/>
    <s v="C202618174141196214"/>
    <x v="281"/>
    <n v="1"/>
    <n v="2481.8200000000002"/>
    <s v="03 ORL"/>
    <s v="06 ORL"/>
    <x v="127"/>
    <x v="0"/>
  </r>
  <r>
    <m/>
    <n v="2026"/>
    <x v="1"/>
    <s v="NO"/>
    <x v="37"/>
    <d v="2026-02-27T00:00:00"/>
    <d v="2026-01-20T00:00:00"/>
    <s v="Valencia- Cádiz"/>
    <s v="C202612010474530470"/>
    <x v="282"/>
    <n v="2"/>
    <n v="4136.3599999999997"/>
    <s v="03 ORL"/>
    <s v="06 ORL"/>
    <x v="6"/>
    <x v="0"/>
  </r>
  <r>
    <m/>
    <n v="68"/>
    <x v="1"/>
    <s v="NO"/>
    <x v="12"/>
    <d v="2026-02-27T00:00:00"/>
    <d v="2026-01-19T00:00:00"/>
    <s v="Toledo"/>
    <s v="C202611910505946252"/>
    <x v="283"/>
    <n v="2"/>
    <n v="2718.18"/>
    <s v="03 ORL"/>
    <s v="06 ORL"/>
    <x v="96"/>
    <x v="3"/>
  </r>
  <r>
    <m/>
    <m/>
    <x v="2"/>
    <s v="NO"/>
    <x v="5"/>
    <m/>
    <d v="2026-03-31T00:00:00"/>
    <s v="Sevilla Este"/>
    <s v="C202622115532416084"/>
    <x v="284"/>
    <n v="2"/>
    <n v="3632"/>
    <s v="03 ORL"/>
    <s v="06 ORL"/>
    <x v="158"/>
    <x v="4"/>
  </r>
  <r>
    <m/>
    <m/>
    <x v="2"/>
    <s v="NO"/>
    <x v="5"/>
    <m/>
    <d v="2026-03-31T00:00:00"/>
    <s v="Sevilla Este"/>
    <s v="C2026221849556447"/>
    <x v="285"/>
    <n v="2"/>
    <n v="3632"/>
    <s v="03 ORL"/>
    <s v="06 ORL"/>
    <x v="159"/>
    <x v="4"/>
  </r>
  <r>
    <m/>
    <n v="2026"/>
    <x v="2"/>
    <s v="NO"/>
    <x v="1"/>
    <d v="2026-03-02T00:00:00"/>
    <d v="2026-01-26T00:00:00"/>
    <s v="Cáceres"/>
    <s v="C202612611314553565"/>
    <x v="286"/>
    <n v="2"/>
    <n v="3668.18"/>
    <s v="03 ORL"/>
    <s v="06 ORL"/>
    <x v="160"/>
    <x v="1"/>
  </r>
  <r>
    <m/>
    <n v="2026"/>
    <x v="2"/>
    <s v="NO"/>
    <x v="1"/>
    <d v="2026-03-02T00:00:00"/>
    <d v="2026-02-02T00:00:00"/>
    <s v="Cáceres"/>
    <s v="C20262293320029948"/>
    <x v="287"/>
    <n v="2"/>
    <n v="3940.91"/>
    <s v="03 ORL"/>
    <s v="06 ORL"/>
    <x v="36"/>
    <x v="1"/>
  </r>
  <r>
    <m/>
    <n v="2026"/>
    <x v="2"/>
    <s v="NO"/>
    <x v="25"/>
    <d v="2026-03-02T00:00:00"/>
    <d v="2026-01-08T00:00:00"/>
    <s v="La Vaguada"/>
    <s v="C202618105216372686"/>
    <x v="288"/>
    <n v="1"/>
    <n v="1631.82"/>
    <s v="03 ORL"/>
    <s v="06 ORL"/>
    <x v="48"/>
    <x v="3"/>
  </r>
  <r>
    <m/>
    <n v="2026"/>
    <x v="2"/>
    <s v="NO"/>
    <x v="4"/>
    <d v="2026-03-02T00:00:00"/>
    <d v="2026-01-19T00:00:00"/>
    <s v="La Oca"/>
    <s v="C202611916431516801"/>
    <x v="289"/>
    <n v="2"/>
    <n v="4136.3599999999997"/>
    <s v="03 ORL"/>
    <s v="22 AUDIOMETRIA CLINICA"/>
    <x v="68"/>
    <x v="3"/>
  </r>
  <r>
    <m/>
    <n v="2026"/>
    <x v="2"/>
    <s v="NO"/>
    <x v="32"/>
    <d v="2026-03-02T00:00:00"/>
    <d v="2025-11-10T00:00:00"/>
    <s v="Ponferrada"/>
    <s v="PON-1022"/>
    <x v="290"/>
    <n v="2"/>
    <n v="3909.09"/>
    <s v="03 ORL"/>
    <s v="06 ORL"/>
    <x v="6"/>
    <x v="2"/>
  </r>
  <r>
    <m/>
    <n v="2026"/>
    <x v="2"/>
    <s v="NO"/>
    <x v="15"/>
    <d v="2026-03-02T00:00:00"/>
    <d v="2026-02-03T00:00:00"/>
    <s v="Canillas"/>
    <s v="C20262311251509611"/>
    <x v="291"/>
    <n v="2"/>
    <n v="2718.18"/>
    <s v="03 ORL"/>
    <s v="06 ORL"/>
    <x v="107"/>
    <x v="3"/>
  </r>
  <r>
    <m/>
    <n v="2026"/>
    <x v="2"/>
    <s v="NO"/>
    <x v="9"/>
    <d v="2026-03-02T00:00:00"/>
    <d v="2025-12-30T00:00:00"/>
    <s v="Montoto"/>
    <s v="C202512308404010215"/>
    <x v="292"/>
    <n v="2"/>
    <n v="2174.5500000000002"/>
    <s v="03 ORL"/>
    <s v="06 ORL"/>
    <x v="24"/>
    <x v="3"/>
  </r>
  <r>
    <m/>
    <n v="2026"/>
    <x v="2"/>
    <s v="NO"/>
    <x v="32"/>
    <d v="2026-03-03T00:00:00"/>
    <d v="2025-11-06T00:00:00"/>
    <s v="Ponferrada"/>
    <s v="PON-1019"/>
    <x v="293"/>
    <n v="2"/>
    <n v="3909.09"/>
    <s v="03 ORL"/>
    <s v="06 ORL"/>
    <x v="95"/>
    <x v="2"/>
  </r>
  <r>
    <m/>
    <n v="2026"/>
    <x v="2"/>
    <s v="NO"/>
    <x v="1"/>
    <d v="2026-03-03T00:00:00"/>
    <d v="2026-01-29T00:00:00"/>
    <s v="Cáceres"/>
    <s v="C202612912533959944"/>
    <x v="294"/>
    <n v="2"/>
    <n v="4818.18"/>
    <s v="03 ORL"/>
    <s v="06 ORL"/>
    <x v="13"/>
    <x v="1"/>
  </r>
  <r>
    <m/>
    <n v="2026"/>
    <x v="2"/>
    <s v="NO"/>
    <x v="1"/>
    <d v="2026-03-03T00:00:00"/>
    <d v="2026-01-27T00:00:00"/>
    <s v="Cáceres"/>
    <s v="C202612713251872039"/>
    <x v="295"/>
    <n v="2"/>
    <n v="4990.91"/>
    <s v="03 ORL"/>
    <s v="06 ORL"/>
    <x v="36"/>
    <x v="1"/>
  </r>
  <r>
    <m/>
    <n v="2026"/>
    <x v="2"/>
    <s v="NO"/>
    <x v="15"/>
    <d v="2026-03-03T00:00:00"/>
    <d v="2026-02-10T00:00:00"/>
    <s v="Canillas"/>
    <s v="C202621016226994416"/>
    <x v="296"/>
    <n v="2"/>
    <n v="4536.3599999999997"/>
    <s v="03 ORL"/>
    <s v="06 ORL"/>
    <x v="6"/>
    <x v="3"/>
  </r>
  <r>
    <m/>
    <n v="2026"/>
    <x v="2"/>
    <s v="NO"/>
    <x v="10"/>
    <d v="2026-03-04T00:00:00"/>
    <d v="2026-01-26T00:00:00"/>
    <s v="Alicante"/>
    <s v="C202612682640857253"/>
    <x v="297"/>
    <n v="1"/>
    <n v="2180.91"/>
    <s v="03 ORL"/>
    <s v="06 ORL"/>
    <x v="134"/>
    <x v="6"/>
  </r>
  <r>
    <m/>
    <n v="2026"/>
    <x v="2"/>
    <s v="NO"/>
    <x v="9"/>
    <d v="2026-03-04T00:00:00"/>
    <d v="2026-02-02T00:00:00"/>
    <s v="Montoto"/>
    <s v="C202622164933142863"/>
    <x v="298"/>
    <n v="2"/>
    <n v="2582.27"/>
    <s v="03 ORL"/>
    <s v="06 ORL"/>
    <x v="161"/>
    <x v="4"/>
  </r>
  <r>
    <m/>
    <n v="2026"/>
    <x v="2"/>
    <s v="NO"/>
    <x v="16"/>
    <d v="2026-03-04T00:00:00"/>
    <d v="2026-02-09T00:00:00"/>
    <s v="Leganés"/>
    <s v="C20262910536173084"/>
    <x v="299"/>
    <n v="2"/>
    <n v="3929.09"/>
    <s v="01 MARKETING ON LINE"/>
    <s v="04 AUDIFONO,ES"/>
    <x v="27"/>
    <x v="3"/>
  </r>
  <r>
    <m/>
    <n v="2026"/>
    <x v="2"/>
    <s v="NO"/>
    <x v="5"/>
    <d v="2026-03-04T00:00:00"/>
    <d v="2026-01-27T00:00:00"/>
    <s v="Sevilla Este"/>
    <s v="C202612710482835479"/>
    <x v="300"/>
    <n v="2"/>
    <n v="2718.19"/>
    <s v="01 MARKETING ON LINE"/>
    <s v="36 CENTRO AUDÍFONOS"/>
    <x v="162"/>
    <x v="4"/>
  </r>
  <r>
    <m/>
    <n v="2026"/>
    <x v="2"/>
    <s v="NO"/>
    <x v="36"/>
    <d v="2026-03-04T00:00:00"/>
    <d v="2026-02-10T00:00:00"/>
    <s v="Salamanca"/>
    <s v="C202621017151617842"/>
    <x v="301"/>
    <n v="2"/>
    <n v="2974.55"/>
    <s v="03 ORL"/>
    <s v="06 ORL"/>
    <x v="163"/>
    <x v="2"/>
  </r>
  <r>
    <m/>
    <n v="2026"/>
    <x v="2"/>
    <s v="NO"/>
    <x v="15"/>
    <d v="2026-03-04T00:00:00"/>
    <d v="2026-02-03T00:00:00"/>
    <s v="Canillas"/>
    <s v="C20262316552057584"/>
    <x v="302"/>
    <n v="2"/>
    <n v="3631.82"/>
    <s v="02 MARKETING OFF LINE"/>
    <s v="18 ESCAPARATE"/>
    <x v="23"/>
    <x v="3"/>
  </r>
  <r>
    <m/>
    <n v="2026"/>
    <x v="2"/>
    <s v="NO"/>
    <x v="21"/>
    <d v="2026-03-04T00:00:00"/>
    <d v="2026-02-11T00:00:00"/>
    <s v="Moratalaz"/>
    <s v="C202621110313220358"/>
    <x v="303"/>
    <n v="2"/>
    <n v="3631.82"/>
    <s v="03 ORL"/>
    <s v="06 ORL"/>
    <x v="164"/>
    <x v="3"/>
  </r>
  <r>
    <m/>
    <n v="2026"/>
    <x v="2"/>
    <s v="NO"/>
    <x v="37"/>
    <d v="2026-03-04T00:00:00"/>
    <d v="2025-06-18T00:00:00"/>
    <s v="Valencia- Cádiz"/>
    <s v="C202571175228315"/>
    <x v="304"/>
    <n v="2"/>
    <n v="4000"/>
    <s v="03 ORL"/>
    <s v="06 ORL"/>
    <x v="165"/>
    <x v="0"/>
  </r>
  <r>
    <m/>
    <n v="2026"/>
    <x v="2"/>
    <s v="NO"/>
    <x v="4"/>
    <d v="2026-03-05T00:00:00"/>
    <d v="2026-02-06T00:00:00"/>
    <s v="La Oca"/>
    <s v="C20262694053947352"/>
    <x v="305"/>
    <n v="2"/>
    <n v="3631.82"/>
    <s v="03 ORL"/>
    <s v="06 ORL"/>
    <x v="166"/>
    <x v="3"/>
  </r>
  <r>
    <m/>
    <n v="2026"/>
    <x v="2"/>
    <s v="NO"/>
    <x v="16"/>
    <d v="2026-03-05T00:00:00"/>
    <d v="2026-01-09T00:00:00"/>
    <s v="Leganés"/>
    <s v="C20261991035083818"/>
    <x v="306"/>
    <n v="1"/>
    <n v="2481.8200000000002"/>
    <s v="03 ORL"/>
    <s v="06 ORL"/>
    <x v="167"/>
    <x v="3"/>
  </r>
  <r>
    <m/>
    <n v="2026"/>
    <x v="2"/>
    <s v="NO"/>
    <x v="9"/>
    <d v="2026-03-05T00:00:00"/>
    <d v="2026-02-17T00:00:00"/>
    <s v="Montoto"/>
    <s v="C202621718165514877"/>
    <x v="307"/>
    <n v="2"/>
    <n v="3631.82"/>
    <s v="03 ORL"/>
    <s v="06 ORL"/>
    <x v="168"/>
    <x v="4"/>
  </r>
  <r>
    <m/>
    <n v="2026"/>
    <x v="2"/>
    <s v="NO"/>
    <x v="23"/>
    <d v="2026-03-05T00:00:00"/>
    <d v="2026-01-26T00:00:00"/>
    <s v="Badajoz"/>
    <s v="C20261261114890876"/>
    <x v="308"/>
    <n v="1"/>
    <n v="1631.82"/>
    <s v="03 ORL"/>
    <s v="06 ORL"/>
    <x v="169"/>
    <x v="4"/>
  </r>
  <r>
    <m/>
    <n v="2026"/>
    <x v="2"/>
    <s v="NO"/>
    <x v="23"/>
    <d v="2026-03-05T00:00:00"/>
    <d v="2026-01-26T00:00:00"/>
    <s v="Badajoz"/>
    <s v="C202612611454602570"/>
    <x v="309"/>
    <n v="1"/>
    <n v="1631.82"/>
    <s v="03 ORL"/>
    <s v="06 ORL"/>
    <x v="169"/>
    <x v="4"/>
  </r>
  <r>
    <m/>
    <n v="2026"/>
    <x v="2"/>
    <s v="NO"/>
    <x v="6"/>
    <d v="2026-03-05T00:00:00"/>
    <d v="2026-01-21T00:00:00"/>
    <s v="Juan Bravo"/>
    <s v="C202612194212888765"/>
    <x v="310"/>
    <n v="2"/>
    <n v="2718.18"/>
    <s v="03 ORL"/>
    <s v="22 AUDIOMETRIA CLINICA"/>
    <x v="80"/>
    <x v="3"/>
  </r>
  <r>
    <m/>
    <n v="2026"/>
    <x v="2"/>
    <s v="NO"/>
    <x v="14"/>
    <d v="2026-03-06T00:00:00"/>
    <d v="2026-02-10T00:00:00"/>
    <s v="Lugo"/>
    <s v="C202621010559256864"/>
    <x v="311"/>
    <n v="2"/>
    <n v="2918.18"/>
    <s v="03 ORL"/>
    <s v="06 ORL"/>
    <x v="21"/>
    <x v="8"/>
  </r>
  <r>
    <m/>
    <n v="2026"/>
    <x v="2"/>
    <s v="NO"/>
    <x v="16"/>
    <d v="2026-03-06T00:00:00"/>
    <d v="2026-01-22T00:00:00"/>
    <s v="Leganés"/>
    <s v="C202612217611917668"/>
    <x v="312"/>
    <n v="1"/>
    <n v="2180.91"/>
    <s v="03 ORL"/>
    <s v="06 ORL"/>
    <x v="170"/>
    <x v="3"/>
  </r>
  <r>
    <m/>
    <n v="2026"/>
    <x v="2"/>
    <s v="NO"/>
    <x v="30"/>
    <d v="2026-03-06T00:00:00"/>
    <d v="2026-02-02T00:00:00"/>
    <s v="Jerez"/>
    <s v="C202622121114157053"/>
    <x v="313"/>
    <n v="2"/>
    <n v="3631.82"/>
    <s v="03 ORL"/>
    <s v="06 ORL"/>
    <x v="71"/>
    <x v="4"/>
  </r>
  <r>
    <m/>
    <n v="2026"/>
    <x v="2"/>
    <s v="NO"/>
    <x v="37"/>
    <d v="2026-03-06T00:00:00"/>
    <d v="2026-01-15T00:00:00"/>
    <s v="Valencia- Cádiz"/>
    <s v="C202611593737313090"/>
    <x v="314"/>
    <n v="2"/>
    <n v="2718.18"/>
    <s v="03 ORL"/>
    <s v="06 ORL"/>
    <x v="127"/>
    <x v="0"/>
  </r>
  <r>
    <m/>
    <n v="2026"/>
    <x v="2"/>
    <s v="NO"/>
    <x v="17"/>
    <d v="2026-03-06T00:00:00"/>
    <d v="2025-09-10T00:00:00"/>
    <s v="Alcorcón"/>
    <s v="C2025912124743909"/>
    <x v="315"/>
    <n v="1"/>
    <n v="1240.9100000000001"/>
    <s v="03 ORL"/>
    <s v="06 ORL"/>
    <x v="78"/>
    <x v="3"/>
  </r>
  <r>
    <m/>
    <n v="2026"/>
    <x v="2"/>
    <s v="NO"/>
    <x v="29"/>
    <d v="2026-03-06T00:00:00"/>
    <d v="2026-01-13T00:00:00"/>
    <s v="Costa Rica"/>
    <s v="C202611317543889810"/>
    <x v="316"/>
    <n v="2"/>
    <n v="2718.18"/>
    <s v="03 ORL"/>
    <s v="06 ORL"/>
    <x v="171"/>
    <x v="3"/>
  </r>
  <r>
    <m/>
    <n v="2026"/>
    <x v="2"/>
    <s v="NO"/>
    <x v="32"/>
    <d v="2026-03-09T00:00:00"/>
    <d v="2026-01-02T00:00:00"/>
    <s v="Ponferrada"/>
    <s v="C202612102311216182"/>
    <x v="317"/>
    <n v="1"/>
    <n v="1909.09"/>
    <s v="03 ORL"/>
    <s v="06 ORL"/>
    <x v="94"/>
    <x v="2"/>
  </r>
  <r>
    <m/>
    <n v="2026"/>
    <x v="2"/>
    <s v="NO"/>
    <x v="18"/>
    <d v="2026-03-09T00:00:00"/>
    <d v="2026-03-02T00:00:00"/>
    <s v="Logroño"/>
    <s v="C202632125733295959"/>
    <x v="318"/>
    <n v="1"/>
    <n v="2481.8200000000002"/>
    <s v="03 ORL"/>
    <s v="06 ORL"/>
    <x v="6"/>
    <x v="1"/>
  </r>
  <r>
    <m/>
    <n v="2026"/>
    <x v="2"/>
    <s v="NO"/>
    <x v="32"/>
    <d v="2026-03-09T00:00:00"/>
    <d v="2026-03-09T00:00:00"/>
    <s v="Ponferrada"/>
    <s v="C202639113431676201"/>
    <x v="319"/>
    <n v="2"/>
    <n v="3909.09"/>
    <s v="03 ORL"/>
    <s v="06 ORL"/>
    <x v="94"/>
    <x v="2"/>
  </r>
  <r>
    <m/>
    <n v="2026"/>
    <x v="2"/>
    <s v="NO"/>
    <x v="11"/>
    <d v="2026-03-09T00:00:00"/>
    <d v="2026-01-15T00:00:00"/>
    <s v="Murcia"/>
    <s v="C202611517324913825"/>
    <x v="320"/>
    <n v="1"/>
    <n v="2481.8200000000002"/>
    <s v="03 ORL"/>
    <s v="06 ORL"/>
    <x v="34"/>
    <x v="6"/>
  </r>
  <r>
    <m/>
    <n v="2026"/>
    <x v="2"/>
    <s v="NO"/>
    <x v="38"/>
    <d v="2026-03-09T00:00:00"/>
    <d v="2026-02-24T00:00:00"/>
    <s v="Móstoles"/>
    <s v="C202622410524405030"/>
    <x v="321"/>
    <n v="2"/>
    <n v="3631.82"/>
    <s v="03 ORL"/>
    <s v="06 ORL"/>
    <x v="172"/>
    <x v="3"/>
  </r>
  <r>
    <m/>
    <n v="2026"/>
    <x v="2"/>
    <s v="NO"/>
    <x v="30"/>
    <d v="2026-03-10T00:00:00"/>
    <d v="2026-02-13T00:00:00"/>
    <s v="Jerez"/>
    <s v="C202621313435342663"/>
    <x v="322"/>
    <n v="1"/>
    <n v="1634.62"/>
    <s v="03 ORL"/>
    <s v="06 ORL"/>
    <x v="157"/>
    <x v="4"/>
  </r>
  <r>
    <m/>
    <n v="2026"/>
    <x v="2"/>
    <s v="NO"/>
    <x v="0"/>
    <d v="2026-03-10T00:00:00"/>
    <d v="2026-01-27T00:00:00"/>
    <s v="Valencia- Parra"/>
    <s v="C202612710171441691"/>
    <x v="323"/>
    <n v="2"/>
    <n v="3631.82"/>
    <s v="03 ORL"/>
    <s v="06 ORL"/>
    <x v="173"/>
    <x v="0"/>
  </r>
  <r>
    <m/>
    <n v="2026"/>
    <x v="2"/>
    <s v="NO"/>
    <x v="1"/>
    <d v="2026-03-11T00:00:00"/>
    <d v="2026-02-05T00:00:00"/>
    <s v="Cáceres"/>
    <s v="C202625111314903698"/>
    <x v="324"/>
    <n v="2"/>
    <n v="4500"/>
    <s v="03 ORL"/>
    <s v="06 ORL"/>
    <x v="160"/>
    <x v="1"/>
  </r>
  <r>
    <m/>
    <n v="2026"/>
    <x v="2"/>
    <s v="NO"/>
    <x v="9"/>
    <d v="2026-03-11T00:00:00"/>
    <d v="2026-02-06T00:00:00"/>
    <s v="Montoto"/>
    <s v="C202626161811777206"/>
    <x v="325"/>
    <n v="2"/>
    <n v="3409.09"/>
    <s v="03 ORL"/>
    <s v="06 ORL"/>
    <x v="174"/>
    <x v="4"/>
  </r>
  <r>
    <m/>
    <n v="2026"/>
    <x v="2"/>
    <s v="NO"/>
    <x v="34"/>
    <d v="2026-03-11T00:00:00"/>
    <d v="2026-03-02T00:00:00"/>
    <s v="León"/>
    <s v="C202632184716530211"/>
    <x v="326"/>
    <n v="2"/>
    <n v="2045.45"/>
    <s v="03 ORL"/>
    <s v="06 ORL"/>
    <x v="95"/>
    <x v="2"/>
  </r>
  <r>
    <m/>
    <n v="2026"/>
    <x v="2"/>
    <s v="NO"/>
    <x v="18"/>
    <d v="2026-03-11T00:00:00"/>
    <d v="2026-02-17T00:00:00"/>
    <s v="Logroño"/>
    <s v="C202621716540384597"/>
    <x v="327"/>
    <n v="2"/>
    <n v="4536.3599999999997"/>
    <s v="03 ORL"/>
    <s v="06 ORL"/>
    <x v="6"/>
    <x v="1"/>
  </r>
  <r>
    <m/>
    <n v="2026"/>
    <x v="2"/>
    <s v="NO"/>
    <x v="4"/>
    <d v="2026-03-11T00:00:00"/>
    <d v="2026-02-04T00:00:00"/>
    <s v="La Oca"/>
    <s v="C202624152054679765"/>
    <x v="328"/>
    <n v="2"/>
    <n v="2718.18"/>
    <s v="03 ORL"/>
    <s v="06 ORL"/>
    <x v="6"/>
    <x v="3"/>
  </r>
  <r>
    <m/>
    <n v="2026"/>
    <x v="2"/>
    <s v="NO"/>
    <x v="35"/>
    <d v="2026-03-11T00:00:00"/>
    <d v="2026-01-23T00:00:00"/>
    <s v="Talavera"/>
    <s v="C202612315311030212"/>
    <x v="329"/>
    <n v="2"/>
    <n v="3450.23"/>
    <s v="03 ORL"/>
    <s v="06 ORL"/>
    <x v="96"/>
    <x v="3"/>
  </r>
  <r>
    <m/>
    <n v="2026"/>
    <x v="2"/>
    <s v="NO"/>
    <x v="3"/>
    <d v="2026-03-11T00:00:00"/>
    <d v="2026-02-09T00:00:00"/>
    <s v="Getafe"/>
    <s v="C202629115751490744"/>
    <x v="330"/>
    <n v="1"/>
    <n v="2180.91"/>
    <s v="03 ORL"/>
    <s v="06 ORL"/>
    <x v="6"/>
    <x v="3"/>
  </r>
  <r>
    <m/>
    <n v="2026"/>
    <x v="2"/>
    <s v="NO"/>
    <x v="3"/>
    <d v="2026-03-11T00:00:00"/>
    <d v="2026-01-28T00:00:00"/>
    <s v="Getafe"/>
    <s v="C202612817105071565"/>
    <x v="331"/>
    <n v="2"/>
    <n v="4136.3599999999997"/>
    <s v="03 ORL"/>
    <s v="06 ORL"/>
    <x v="6"/>
    <x v="3"/>
  </r>
  <r>
    <m/>
    <n v="2026"/>
    <x v="2"/>
    <s v="NO"/>
    <x v="1"/>
    <d v="2026-03-12T00:00:00"/>
    <d v="2026-02-10T00:00:00"/>
    <s v="Cáceres"/>
    <s v="C202621010453855460"/>
    <x v="332"/>
    <n v="2"/>
    <n v="4500"/>
    <s v="03 ORL"/>
    <s v="06 ORL"/>
    <x v="175"/>
    <x v="1"/>
  </r>
  <r>
    <m/>
    <n v="2026"/>
    <x v="2"/>
    <s v="NO"/>
    <x v="17"/>
    <d v="2026-03-12T00:00:00"/>
    <d v="2025-12-22T00:00:00"/>
    <s v="Alcorcón"/>
    <s v="C202512221454137699"/>
    <x v="333"/>
    <n v="2"/>
    <n v="3604.55"/>
    <s v="03 ORL"/>
    <s v="06 ORL"/>
    <x v="176"/>
    <x v="3"/>
  </r>
  <r>
    <m/>
    <n v="2026"/>
    <x v="2"/>
    <s v="NO"/>
    <x v="10"/>
    <d v="2026-03-12T00:00:00"/>
    <d v="2019-05-20T00:00:00"/>
    <s v="Alicante"/>
    <s v="ALC-1920"/>
    <x v="334"/>
    <n v="2"/>
    <n v="3631.82"/>
    <s v="03 ORL"/>
    <s v="06 ORL"/>
    <x v="177"/>
    <x v="6"/>
  </r>
  <r>
    <m/>
    <n v="2026"/>
    <x v="2"/>
    <s v="NO"/>
    <x v="24"/>
    <d v="2026-03-12T00:00:00"/>
    <d v="2026-02-26T00:00:00"/>
    <s v="Almería"/>
    <s v="C202622611224941360"/>
    <x v="335"/>
    <n v="2"/>
    <n v="2718.18"/>
    <s v="03 ORL"/>
    <s v="06 ORL"/>
    <x v="45"/>
    <x v="0"/>
  </r>
  <r>
    <m/>
    <n v="2026"/>
    <x v="2"/>
    <s v="NO"/>
    <x v="23"/>
    <d v="2026-03-12T00:00:00"/>
    <d v="2026-01-28T00:00:00"/>
    <s v="Badajoz"/>
    <s v="C202612812525992196"/>
    <x v="336"/>
    <n v="2"/>
    <n v="3181.82"/>
    <s v="03 ORL"/>
    <s v="06 ORL"/>
    <x v="6"/>
    <x v="4"/>
  </r>
  <r>
    <m/>
    <n v="2026"/>
    <x v="2"/>
    <s v="NO"/>
    <x v="26"/>
    <d v="2026-03-12T00:00:00"/>
    <d v="2026-01-15T00:00:00"/>
    <s v="El Albir (Benidorm)"/>
    <s v="C202611512533720770"/>
    <x v="337"/>
    <n v="2"/>
    <n v="4136.3599999999997"/>
    <s v="03 ORL"/>
    <s v="06 ORL"/>
    <x v="66"/>
    <x v="0"/>
  </r>
  <r>
    <m/>
    <n v="2026"/>
    <x v="2"/>
    <s v="NO"/>
    <x v="8"/>
    <d v="2026-03-12T00:00:00"/>
    <d v="2026-02-03T00:00:00"/>
    <s v="Fuenlabrada"/>
    <s v="C20262316461416241"/>
    <x v="338"/>
    <n v="2"/>
    <n v="3450"/>
    <s v="03 ORL"/>
    <s v="06 ORL"/>
    <x v="35"/>
    <x v="3"/>
  </r>
  <r>
    <m/>
    <n v="2026"/>
    <x v="2"/>
    <s v="NO"/>
    <x v="16"/>
    <d v="2026-03-12T00:00:00"/>
    <d v="2026-02-02T00:00:00"/>
    <s v="Leganés"/>
    <s v="C202622164039316792"/>
    <x v="339"/>
    <n v="2"/>
    <n v="2718.18"/>
    <s v="03 ORL"/>
    <s v="06 ORL"/>
    <x v="85"/>
    <x v="3"/>
  </r>
  <r>
    <m/>
    <n v="2026"/>
    <x v="2"/>
    <s v="NO"/>
    <x v="16"/>
    <d v="2026-03-12T00:00:00"/>
    <d v="2026-02-10T00:00:00"/>
    <s v="Leganés"/>
    <s v="C202621016352397078"/>
    <x v="340"/>
    <n v="1"/>
    <n v="2071.8200000000002"/>
    <s v="03 ORL"/>
    <s v="06 ORL"/>
    <x v="6"/>
    <x v="3"/>
  </r>
  <r>
    <m/>
    <n v="2026"/>
    <x v="2"/>
    <s v="NO"/>
    <x v="4"/>
    <d v="2026-03-12T00:00:00"/>
    <d v="2026-02-16T00:00:00"/>
    <s v="La Oca"/>
    <s v="C20262161005416181"/>
    <x v="341"/>
    <n v="2"/>
    <n v="2718.18"/>
    <s v="03 ORL"/>
    <s v="06 ORL"/>
    <x v="178"/>
    <x v="3"/>
  </r>
  <r>
    <m/>
    <n v="2026"/>
    <x v="2"/>
    <s v="NO"/>
    <x v="13"/>
    <d v="2026-03-12T00:00:00"/>
    <d v="2026-01-23T00:00:00"/>
    <s v="Orense"/>
    <s v="C202612394246602895"/>
    <x v="342"/>
    <n v="2"/>
    <n v="4112.5"/>
    <s v="03 ORL"/>
    <s v="06 ORL"/>
    <x v="6"/>
    <x v="8"/>
  </r>
  <r>
    <m/>
    <n v="2026"/>
    <x v="2"/>
    <s v="NO"/>
    <x v="31"/>
    <d v="2026-03-12T00:00:00"/>
    <d v="2025-12-02T00:00:00"/>
    <s v="Torrejón"/>
    <s v="C202512292241175146"/>
    <x v="343"/>
    <n v="1"/>
    <n v="2481.8200000000002"/>
    <s v="03 ORL"/>
    <s v="06 ORL"/>
    <x v="77"/>
    <x v="3"/>
  </r>
  <r>
    <m/>
    <n v="2026"/>
    <x v="2"/>
    <s v="NO"/>
    <x v="2"/>
    <d v="2026-03-12T00:00:00"/>
    <d v="2026-01-27T00:00:00"/>
    <s v="Valladolid"/>
    <s v="C202612711165063565"/>
    <x v="344"/>
    <n v="2"/>
    <n v="3977.27"/>
    <s v="03 ORL"/>
    <s v="06 ORL"/>
    <x v="2"/>
    <x v="2"/>
  </r>
  <r>
    <m/>
    <n v="2026"/>
    <x v="2"/>
    <s v="NO"/>
    <x v="7"/>
    <d v="2026-03-12T00:00:00"/>
    <d v="2026-02-10T00:00:00"/>
    <s v="Zaragoza"/>
    <s v="C202621015561480898"/>
    <x v="345"/>
    <n v="2"/>
    <n v="3627.27"/>
    <s v="03 ORL"/>
    <s v="06 ORL"/>
    <x v="8"/>
    <x v="7"/>
  </r>
  <r>
    <m/>
    <n v="2026"/>
    <x v="2"/>
    <s v="NO"/>
    <x v="8"/>
    <d v="2026-03-13T00:00:00"/>
    <d v="2026-02-10T00:00:00"/>
    <s v="Fuenlabrada"/>
    <s v="C202621011101747504"/>
    <x v="346"/>
    <n v="2"/>
    <n v="2718.19"/>
    <s v="03 ORL"/>
    <s v="06 ORL"/>
    <x v="179"/>
    <x v="3"/>
  </r>
  <r>
    <m/>
    <n v="2026"/>
    <x v="2"/>
    <s v="NO"/>
    <x v="1"/>
    <d v="2026-03-13T00:00:00"/>
    <d v="2026-02-20T00:00:00"/>
    <s v="Cáceres"/>
    <s v="C202622011432399380"/>
    <x v="347"/>
    <n v="2"/>
    <n v="3345.45"/>
    <s v="03 ORL"/>
    <s v="06 ORL"/>
    <x v="13"/>
    <x v="1"/>
  </r>
  <r>
    <m/>
    <n v="2026"/>
    <x v="2"/>
    <s v="NO"/>
    <x v="8"/>
    <d v="2026-03-13T00:00:00"/>
    <d v="2026-01-09T00:00:00"/>
    <s v="Fuenlabrada"/>
    <s v="C20261995748626997"/>
    <x v="348"/>
    <n v="2"/>
    <n v="2718.18"/>
    <s v="03 ORL"/>
    <s v="06 ORL"/>
    <x v="180"/>
    <x v="3"/>
  </r>
  <r>
    <m/>
    <n v="2026"/>
    <x v="2"/>
    <s v="NO"/>
    <x v="23"/>
    <d v="2026-03-13T00:00:00"/>
    <d v="2026-02-10T00:00:00"/>
    <s v="Badajoz"/>
    <s v="C202621017524846584"/>
    <x v="349"/>
    <n v="2"/>
    <n v="2909.09"/>
    <s v="03 ORL"/>
    <s v="06 ORL"/>
    <x v="181"/>
    <x v="4"/>
  </r>
  <r>
    <m/>
    <n v="2026"/>
    <x v="2"/>
    <s v="NO"/>
    <x v="20"/>
    <d v="2026-03-13T00:00:00"/>
    <d v="2026-02-11T00:00:00"/>
    <s v="La Zenia"/>
    <s v="C202621111234619933"/>
    <x v="350"/>
    <n v="2"/>
    <n v="2718.18"/>
    <s v="03 ORL"/>
    <s v="06 ORL"/>
    <x v="141"/>
    <x v="6"/>
  </r>
  <r>
    <m/>
    <n v="2026"/>
    <x v="2"/>
    <s v="NO"/>
    <x v="16"/>
    <d v="2026-03-13T00:00:00"/>
    <d v="2026-02-04T00:00:00"/>
    <s v="Leganés"/>
    <s v="C202624102735834323"/>
    <x v="351"/>
    <n v="2"/>
    <n v="2718.18"/>
    <s v="03 ORL"/>
    <s v="06 ORL"/>
    <x v="6"/>
    <x v="3"/>
  </r>
  <r>
    <m/>
    <n v="2026"/>
    <x v="2"/>
    <s v="NO"/>
    <x v="10"/>
    <d v="2026-03-13T00:00:00"/>
    <d v="2025-01-10T00:00:00"/>
    <s v="Alicante"/>
    <s v="C2025128164031616"/>
    <x v="352"/>
    <n v="2"/>
    <n v="2718.18"/>
    <s v="03 ORL"/>
    <s v="06 ORL"/>
    <x v="182"/>
    <x v="6"/>
  </r>
  <r>
    <m/>
    <n v="2026"/>
    <x v="2"/>
    <s v="NO"/>
    <x v="9"/>
    <d v="2026-03-13T00:00:00"/>
    <d v="2026-02-10T00:00:00"/>
    <s v="Montoto"/>
    <s v="C202621011441871135"/>
    <x v="353"/>
    <n v="2"/>
    <n v="2581.8200000000002"/>
    <s v="03 ORL"/>
    <s v="06 ORL"/>
    <x v="158"/>
    <x v="4"/>
  </r>
  <r>
    <m/>
    <n v="2026"/>
    <x v="2"/>
    <s v="NO"/>
    <x v="0"/>
    <d v="2026-03-13T00:00:00"/>
    <d v="2026-01-30T00:00:00"/>
    <s v="Valencia- Parra"/>
    <s v="C20261308590460009"/>
    <x v="354"/>
    <n v="2"/>
    <n v="4136.3599999999997"/>
    <s v="03 ORL"/>
    <s v="06 ORL"/>
    <x v="0"/>
    <x v="0"/>
  </r>
  <r>
    <m/>
    <n v="2026"/>
    <x v="2"/>
    <s v="NO"/>
    <x v="38"/>
    <d v="2026-03-16T00:00:00"/>
    <d v="2026-02-10T00:00:00"/>
    <s v="Móstoles"/>
    <s v="C202621016145893070"/>
    <x v="355"/>
    <n v="2"/>
    <n v="2718.18"/>
    <s v="01 MARKETING ON LINE"/>
    <s v="01 WEB AUDICOST"/>
    <x v="183"/>
    <x v="3"/>
  </r>
  <r>
    <m/>
    <n v="2026"/>
    <x v="2"/>
    <s v="NO"/>
    <x v="27"/>
    <d v="2026-03-16T00:00:00"/>
    <d v="2026-01-29T00:00:00"/>
    <s v="San Javier"/>
    <s v="C202612993357512770"/>
    <x v="356"/>
    <n v="2"/>
    <n v="4136.3599999999997"/>
    <s v="03 ORL"/>
    <s v="06 ORL"/>
    <x v="184"/>
    <x v="6"/>
  </r>
  <r>
    <m/>
    <n v="2026"/>
    <x v="2"/>
    <s v="NO"/>
    <x v="34"/>
    <d v="2026-03-16T00:00:00"/>
    <d v="2026-02-25T00:00:00"/>
    <s v="León"/>
    <s v="C202622510583014355"/>
    <x v="357"/>
    <n v="2"/>
    <n v="5363.64"/>
    <s v="03 ORL"/>
    <s v="06 ORL"/>
    <x v="98"/>
    <x v="2"/>
  </r>
  <r>
    <m/>
    <n v="2026"/>
    <x v="2"/>
    <s v="NO"/>
    <x v="11"/>
    <d v="2026-03-16T00:00:00"/>
    <d v="2026-02-09T00:00:00"/>
    <s v="Murcia"/>
    <s v="C20262916846685199"/>
    <x v="358"/>
    <n v="2"/>
    <n v="2718.18"/>
    <s v="03 ORL"/>
    <s v="06 ORL"/>
    <x v="105"/>
    <x v="6"/>
  </r>
  <r>
    <m/>
    <n v="2026"/>
    <x v="2"/>
    <s v="NO"/>
    <x v="34"/>
    <d v="2026-03-16T00:00:00"/>
    <d v="2026-02-05T00:00:00"/>
    <s v="León"/>
    <s v="C202625115344189237"/>
    <x v="359"/>
    <n v="2"/>
    <n v="3846.15"/>
    <s v="03 ORL"/>
    <s v="06 ORL"/>
    <x v="98"/>
    <x v="2"/>
  </r>
  <r>
    <m/>
    <n v="2026"/>
    <x v="2"/>
    <s v="NO"/>
    <x v="26"/>
    <d v="2026-03-16T00:00:00"/>
    <d v="2026-02-02T00:00:00"/>
    <s v="El Albir (Benidorm)"/>
    <s v="C20262281716801642"/>
    <x v="360"/>
    <n v="2"/>
    <n v="4136.3599999999997"/>
    <s v="03 ORL"/>
    <s v="06 ORL"/>
    <x v="51"/>
    <x v="0"/>
  </r>
  <r>
    <m/>
    <n v="2026"/>
    <x v="2"/>
    <s v="NO"/>
    <x v="1"/>
    <d v="2026-03-17T00:00:00"/>
    <d v="2026-02-18T00:00:00"/>
    <s v="Cáceres"/>
    <s v="C202621812563506"/>
    <x v="361"/>
    <n v="2"/>
    <n v="3909.09"/>
    <s v="03 ORL"/>
    <s v="06 ORL"/>
    <x v="160"/>
    <x v="1"/>
  </r>
  <r>
    <m/>
    <n v="2026"/>
    <x v="2"/>
    <s v="NO"/>
    <x v="11"/>
    <d v="2026-03-17T00:00:00"/>
    <d v="2026-02-16T00:00:00"/>
    <s v="Murcia"/>
    <s v="C202621616274682965"/>
    <x v="362"/>
    <n v="2"/>
    <n v="2718.18"/>
    <s v="03 ORL"/>
    <s v="06 ORL"/>
    <x v="28"/>
    <x v="6"/>
  </r>
  <r>
    <m/>
    <n v="2026"/>
    <x v="2"/>
    <s v="NO"/>
    <x v="3"/>
    <d v="2026-03-17T00:00:00"/>
    <d v="2026-01-21T00:00:00"/>
    <s v="Getafe"/>
    <s v="C202612114575178474"/>
    <x v="363"/>
    <n v="2"/>
    <n v="4136.3599999999997"/>
    <s v="03 ORL"/>
    <s v="06 ORL"/>
    <x v="151"/>
    <x v="3"/>
  </r>
  <r>
    <m/>
    <n v="2026"/>
    <x v="2"/>
    <s v="NO"/>
    <x v="15"/>
    <d v="2026-03-17T00:00:00"/>
    <d v="2026-02-17T00:00:00"/>
    <s v="Canillas"/>
    <s v="C202621718623559730"/>
    <x v="364"/>
    <n v="2"/>
    <n v="3929.55"/>
    <s v="03 ORL"/>
    <s v="06 ORL"/>
    <x v="7"/>
    <x v="3"/>
  </r>
  <r>
    <m/>
    <n v="2026"/>
    <x v="2"/>
    <s v="NO"/>
    <x v="4"/>
    <d v="2026-03-17T00:00:00"/>
    <d v="2026-02-18T00:00:00"/>
    <s v="La Oca"/>
    <s v="C202621893610185506"/>
    <x v="365"/>
    <n v="2"/>
    <n v="2718.18"/>
    <s v="03 ORL"/>
    <s v="06 ORL"/>
    <x v="4"/>
    <x v="3"/>
  </r>
  <r>
    <m/>
    <n v="2026"/>
    <x v="2"/>
    <s v="NO"/>
    <x v="8"/>
    <d v="2026-03-17T00:00:00"/>
    <d v="2026-02-17T00:00:00"/>
    <s v="Fuenlabrada"/>
    <s v="C202621710526973724"/>
    <x v="366"/>
    <n v="2"/>
    <n v="2718.18"/>
    <s v="03 ORL"/>
    <s v="06 ORL"/>
    <x v="185"/>
    <x v="3"/>
  </r>
  <r>
    <m/>
    <n v="2026"/>
    <x v="2"/>
    <s v="NO"/>
    <x v="4"/>
    <d v="2026-03-17T00:00:00"/>
    <d v="2026-02-18T00:00:00"/>
    <s v="La Oca"/>
    <s v="C202621893749939587"/>
    <x v="367"/>
    <n v="2"/>
    <n v="2718.18"/>
    <s v="03 ORL"/>
    <s v="06 ORL"/>
    <x v="186"/>
    <x v="3"/>
  </r>
  <r>
    <m/>
    <n v="2026"/>
    <x v="2"/>
    <s v="NO"/>
    <x v="10"/>
    <d v="2026-03-17T00:00:00"/>
    <d v="2026-03-17T00:00:00"/>
    <s v="Alicante"/>
    <s v="C2026317132549990"/>
    <x v="368"/>
    <n v="2"/>
    <n v="2718.18"/>
    <s v="03 ORL"/>
    <s v="06 ORL"/>
    <x v="42"/>
    <x v="6"/>
  </r>
  <r>
    <m/>
    <n v="2026"/>
    <x v="2"/>
    <s v="NO"/>
    <x v="3"/>
    <d v="2026-03-17T00:00:00"/>
    <d v="2026-02-02T00:00:00"/>
    <s v="Getafe"/>
    <s v="C20262213438613479"/>
    <x v="369"/>
    <n v="2"/>
    <n v="2581.8200000000002"/>
    <s v="03 ORL"/>
    <s v="06 ORL"/>
    <x v="107"/>
    <x v="3"/>
  </r>
  <r>
    <m/>
    <n v="2026"/>
    <x v="2"/>
    <s v="NO"/>
    <x v="30"/>
    <d v="2026-03-18T00:00:00"/>
    <d v="2026-02-25T00:00:00"/>
    <s v="Jerez"/>
    <s v="C202622594953676825"/>
    <x v="370"/>
    <n v="1"/>
    <n v="2481.8200000000002"/>
    <s v="03 ORL"/>
    <s v="06 ORL"/>
    <x v="187"/>
    <x v="4"/>
  </r>
  <r>
    <m/>
    <n v="2026"/>
    <x v="2"/>
    <s v="NO"/>
    <x v="8"/>
    <d v="2026-03-18T00:00:00"/>
    <d v="2026-02-20T00:00:00"/>
    <s v="Fuenlabrada"/>
    <s v="C202622092248328206"/>
    <x v="371"/>
    <n v="2"/>
    <n v="2718.18"/>
    <s v="03 ORL"/>
    <s v="06 ORL"/>
    <x v="188"/>
    <x v="3"/>
  </r>
  <r>
    <m/>
    <n v="2026"/>
    <x v="2"/>
    <s v="NO"/>
    <x v="16"/>
    <d v="2026-03-18T00:00:00"/>
    <d v="2026-01-20T00:00:00"/>
    <s v="Leganés"/>
    <s v="C202612092442830153"/>
    <x v="372"/>
    <n v="1"/>
    <n v="2481.8200000000002"/>
    <s v="03 ORL"/>
    <s v="06 ORL"/>
    <x v="167"/>
    <x v="3"/>
  </r>
  <r>
    <m/>
    <n v="2026"/>
    <x v="2"/>
    <s v="NO"/>
    <x v="2"/>
    <d v="2026-03-18T00:00:00"/>
    <d v="2023-09-11T00:00:00"/>
    <s v="Valladolid"/>
    <s v="VLL-61"/>
    <x v="373"/>
    <n v="1"/>
    <n v="1636.36"/>
    <s v="03 ORL"/>
    <s v="06 ORL"/>
    <x v="189"/>
    <x v="2"/>
  </r>
  <r>
    <m/>
    <n v="2026"/>
    <x v="2"/>
    <s v="NO"/>
    <x v="15"/>
    <d v="2026-03-18T00:00:00"/>
    <d v="2026-02-26T00:00:00"/>
    <s v="Canillas"/>
    <s v="C20262261201663579"/>
    <x v="374"/>
    <n v="2"/>
    <n v="2718.18"/>
    <s v="03 ORL"/>
    <s v="06 ORL"/>
    <x v="23"/>
    <x v="3"/>
  </r>
  <r>
    <m/>
    <n v="2026"/>
    <x v="2"/>
    <s v="NO"/>
    <x v="32"/>
    <d v="2026-03-18T00:00:00"/>
    <d v="2026-01-30T00:00:00"/>
    <s v="Ponferrada"/>
    <s v="C202613011434597541"/>
    <x v="375"/>
    <n v="2"/>
    <n v="3909.09"/>
    <s v="03 ORL"/>
    <s v="22 AUDIOMETRIA CLINICA"/>
    <x v="6"/>
    <x v="2"/>
  </r>
  <r>
    <m/>
    <n v="2026"/>
    <x v="2"/>
    <s v="NO"/>
    <x v="6"/>
    <d v="2026-03-18T00:00:00"/>
    <d v="2026-02-25T00:00:00"/>
    <s v="Juan Bravo"/>
    <s v="C202622595331963569"/>
    <x v="376"/>
    <n v="2"/>
    <n v="2718.18"/>
    <s v="03 ORL"/>
    <s v="06 ORL"/>
    <x v="164"/>
    <x v="3"/>
  </r>
  <r>
    <m/>
    <n v="2026"/>
    <x v="2"/>
    <s v="NO"/>
    <x v="3"/>
    <d v="2026-03-18T00:00:00"/>
    <d v="2026-01-14T00:00:00"/>
    <s v="Getafe"/>
    <s v="C202611410423796600"/>
    <x v="377"/>
    <n v="1"/>
    <n v="2180.91"/>
    <s v="03 ORL"/>
    <s v="06 ORL"/>
    <x v="104"/>
    <x v="3"/>
  </r>
  <r>
    <m/>
    <n v="2026"/>
    <x v="2"/>
    <s v="NO"/>
    <x v="11"/>
    <d v="2026-03-18T00:00:00"/>
    <d v="2026-02-16T00:00:00"/>
    <s v="Murcia"/>
    <s v="C202621610292016314"/>
    <x v="378"/>
    <n v="2"/>
    <n v="2717.31"/>
    <s v="03 ORL"/>
    <s v="06 ORL"/>
    <x v="190"/>
    <x v="6"/>
  </r>
  <r>
    <m/>
    <n v="2026"/>
    <x v="2"/>
    <s v="NO"/>
    <x v="10"/>
    <d v="2026-03-18T00:00:00"/>
    <d v="2026-02-16T00:00:00"/>
    <s v="Alicante"/>
    <s v="C202621615224716087"/>
    <x v="379"/>
    <n v="1"/>
    <n v="2481.8200000000002"/>
    <s v="03 ORL"/>
    <s v="06 ORL"/>
    <x v="191"/>
    <x v="6"/>
  </r>
  <r>
    <m/>
    <n v="2026"/>
    <x v="2"/>
    <s v="NO"/>
    <x v="8"/>
    <d v="2026-03-19T00:00:00"/>
    <d v="2026-02-10T00:00:00"/>
    <s v="Fuenlabrada"/>
    <s v="C20262101044647935"/>
    <x v="380"/>
    <n v="2"/>
    <n v="2528.1799999999998"/>
    <s v="03 ORL"/>
    <s v="06 ORL"/>
    <x v="192"/>
    <x v="1"/>
  </r>
  <r>
    <m/>
    <n v="2026"/>
    <x v="2"/>
    <s v="NO"/>
    <x v="32"/>
    <d v="2026-03-19T00:00:00"/>
    <d v="2025-12-19T00:00:00"/>
    <s v="Ponferrada"/>
    <s v="C202512191234333691"/>
    <x v="381"/>
    <n v="1"/>
    <n v="2090.91"/>
    <s v="03 ORL"/>
    <s v="06 ORL"/>
    <x v="95"/>
    <x v="2"/>
  </r>
  <r>
    <m/>
    <n v="2026"/>
    <x v="2"/>
    <s v="NO"/>
    <x v="18"/>
    <d v="2026-03-19T00:00:00"/>
    <d v="2025-11-12T00:00:00"/>
    <s v="Logroño"/>
    <s v="C202511121113594439"/>
    <x v="382"/>
    <n v="1"/>
    <n v="1454.55"/>
    <s v="03 ORL"/>
    <s v="06 ORL"/>
    <x v="6"/>
    <x v="1"/>
  </r>
  <r>
    <m/>
    <n v="2026"/>
    <x v="2"/>
    <s v="NO"/>
    <x v="8"/>
    <d v="2026-03-19T00:00:00"/>
    <d v="2026-02-11T00:00:00"/>
    <s v="Fuenlabrada"/>
    <s v="C202621118050393364"/>
    <x v="383"/>
    <n v="2"/>
    <n v="2718.19"/>
    <s v="03 ORL"/>
    <s v="06 ORL"/>
    <x v="113"/>
    <x v="3"/>
  </r>
  <r>
    <m/>
    <n v="2026"/>
    <x v="2"/>
    <s v="NO"/>
    <x v="1"/>
    <d v="2026-03-20T00:00:00"/>
    <d v="2026-02-04T00:00:00"/>
    <s v="Cáceres"/>
    <s v="C202624192054929412"/>
    <x v="384"/>
    <n v="2"/>
    <n v="4990.91"/>
    <s v="03 ORL"/>
    <s v="06 ORL"/>
    <x v="193"/>
    <x v="1"/>
  </r>
  <r>
    <m/>
    <n v="2026"/>
    <x v="2"/>
    <s v="NO"/>
    <x v="37"/>
    <d v="2026-03-20T00:00:00"/>
    <d v="2026-01-29T00:00:00"/>
    <s v="Valencia- Cádiz"/>
    <s v="C202612993442906741"/>
    <x v="385"/>
    <n v="1"/>
    <n v="2481.8200000000002"/>
    <s v="03 ORL"/>
    <s v="06 ORL"/>
    <x v="6"/>
    <x v="0"/>
  </r>
  <r>
    <m/>
    <n v="2026"/>
    <x v="2"/>
    <s v="NO"/>
    <x v="11"/>
    <d v="2026-03-20T00:00:00"/>
    <d v="2025-03-13T00:00:00"/>
    <s v="Murcia"/>
    <s v="C202611516129372"/>
    <x v="386"/>
    <n v="2"/>
    <n v="2718.19"/>
    <s v="03 ORL"/>
    <s v="06 ORL"/>
    <x v="194"/>
    <x v="6"/>
  </r>
  <r>
    <m/>
    <n v="2026"/>
    <x v="2"/>
    <s v="NO"/>
    <x v="39"/>
    <d v="2026-03-20T00:00:00"/>
    <d v="2026-02-17T00:00:00"/>
    <s v="Zaragoza- Santander"/>
    <s v="C202621716393454417"/>
    <x v="387"/>
    <n v="2"/>
    <n v="3424.55"/>
    <s v="03 ORL"/>
    <s v="06 ORL"/>
    <x v="8"/>
    <x v="7"/>
  </r>
  <r>
    <m/>
    <n v="2026"/>
    <x v="2"/>
    <s v="NO"/>
    <x v="39"/>
    <d v="2026-03-20T00:00:00"/>
    <d v="2026-02-11T00:00:00"/>
    <s v="Zaragoza- Santander"/>
    <s v="C202621117354786888"/>
    <x v="388"/>
    <n v="2"/>
    <n v="3604.55"/>
    <s v="03 ORL"/>
    <s v="06 ORL"/>
    <x v="8"/>
    <x v="7"/>
  </r>
  <r>
    <m/>
    <n v="2026"/>
    <x v="2"/>
    <s v="NO"/>
    <x v="3"/>
    <d v="2026-03-23T00:00:00"/>
    <d v="2026-02-23T00:00:00"/>
    <s v="Getafe"/>
    <s v="C202622382858055948"/>
    <x v="389"/>
    <n v="2"/>
    <n v="2718.18"/>
    <s v="03 ORL"/>
    <s v="06 ORL"/>
    <x v="6"/>
    <x v="3"/>
  </r>
  <r>
    <m/>
    <n v="2026"/>
    <x v="2"/>
    <s v="NO"/>
    <x v="12"/>
    <d v="2026-03-23T00:00:00"/>
    <d v="2026-02-05T00:00:00"/>
    <s v="Toledo"/>
    <s v="C202625181340624"/>
    <x v="390"/>
    <n v="2"/>
    <n v="3450.24"/>
    <s v="03 ORL"/>
    <s v="06 ORL"/>
    <x v="195"/>
    <x v="3"/>
  </r>
  <r>
    <m/>
    <n v="2026"/>
    <x v="2"/>
    <s v="NO"/>
    <x v="40"/>
    <d v="2026-03-23T00:00:00"/>
    <d v="2026-02-05T00:00:00"/>
    <s v="Vitoria"/>
    <s v="VIT-737"/>
    <x v="391"/>
    <n v="2"/>
    <n v="4181.82"/>
    <s v="03 ORL"/>
    <s v="06 ORL"/>
    <x v="196"/>
    <x v="9"/>
  </r>
  <r>
    <m/>
    <n v="2026"/>
    <x v="2"/>
    <s v="NO"/>
    <x v="37"/>
    <d v="2026-03-23T00:00:00"/>
    <d v="2026-02-03T00:00:00"/>
    <s v="Valencia- Cádiz"/>
    <s v="C20262382716053575"/>
    <x v="392"/>
    <n v="2"/>
    <n v="3631.82"/>
    <s v="03 ORL"/>
    <s v="06 ORL"/>
    <x v="197"/>
    <x v="0"/>
  </r>
  <r>
    <m/>
    <n v="2026"/>
    <x v="2"/>
    <s v="SI"/>
    <x v="4"/>
    <d v="2026-03-23T00:00:00"/>
    <d v="2024-11-06T00:00:00"/>
    <s v="La Oca"/>
    <s v="C202411616195766"/>
    <x v="393"/>
    <n v="2"/>
    <n v="2446.91"/>
    <s v="04 TIENDA"/>
    <s v="19 CLIENTE RECOMPRA ESPONTANEA"/>
    <x v="5"/>
    <x v="3"/>
  </r>
  <r>
    <m/>
    <n v="2026"/>
    <x v="2"/>
    <s v="NO"/>
    <x v="36"/>
    <d v="2026-03-23T00:00:00"/>
    <d v="2026-02-05T00:00:00"/>
    <s v="Salamanca"/>
    <s v="C202625124123012239"/>
    <x v="394"/>
    <n v="1"/>
    <n v="1784.55"/>
    <s v="03 ORL"/>
    <s v="06 ORL"/>
    <x v="198"/>
    <x v="2"/>
  </r>
  <r>
    <m/>
    <n v="2026"/>
    <x v="2"/>
    <s v="NO"/>
    <x v="27"/>
    <d v="2026-03-23T00:00:00"/>
    <d v="2026-02-13T00:00:00"/>
    <s v="San Javier"/>
    <s v="C202621317332705391"/>
    <x v="395"/>
    <n v="2"/>
    <n v="3631.82"/>
    <s v="03 ORL"/>
    <s v="06 ORL"/>
    <x v="199"/>
    <x v="6"/>
  </r>
  <r>
    <m/>
    <n v="2026"/>
    <x v="2"/>
    <s v="NO"/>
    <x v="21"/>
    <d v="2026-03-23T00:00:00"/>
    <d v="2026-02-17T00:00:00"/>
    <s v="Moratalaz"/>
    <s v="C202621711017242970"/>
    <x v="396"/>
    <n v="2"/>
    <n v="3450.22"/>
    <s v="03 ORL"/>
    <s v="06 ORL"/>
    <x v="200"/>
    <x v="3"/>
  </r>
  <r>
    <m/>
    <n v="2026"/>
    <x v="2"/>
    <s v="NO"/>
    <x v="18"/>
    <d v="2026-03-23T00:00:00"/>
    <d v="2026-03-09T00:00:00"/>
    <s v="Logroño"/>
    <s v="C20263910389459500"/>
    <x v="397"/>
    <n v="2"/>
    <n v="3631.82"/>
    <s v="03 ORL"/>
    <s v="06 ORL"/>
    <x v="6"/>
    <x v="1"/>
  </r>
  <r>
    <m/>
    <n v="2026"/>
    <x v="2"/>
    <s v="NO"/>
    <x v="34"/>
    <d v="2026-03-23T00:00:00"/>
    <d v="2026-03-12T00:00:00"/>
    <s v="León"/>
    <s v="C202631217351288577"/>
    <x v="398"/>
    <n v="2"/>
    <n v="1909.09"/>
    <s v="03 ORL"/>
    <s v="06 ORL"/>
    <x v="98"/>
    <x v="2"/>
  </r>
  <r>
    <m/>
    <n v="2026"/>
    <x v="2"/>
    <s v="NO"/>
    <x v="30"/>
    <d v="2026-03-24T00:00:00"/>
    <d v="2026-03-04T00:00:00"/>
    <s v="Jerez"/>
    <s v="C202634164844964727"/>
    <x v="399"/>
    <n v="1"/>
    <n v="2722.73"/>
    <s v="03 ORL"/>
    <s v="06 ORL"/>
    <x v="201"/>
    <x v="4"/>
  </r>
  <r>
    <m/>
    <n v="2026"/>
    <x v="2"/>
    <s v="NO"/>
    <x v="11"/>
    <d v="2026-03-24T00:00:00"/>
    <d v="2026-01-05T00:00:00"/>
    <s v="Murcia"/>
    <s v="C20261591023671225"/>
    <x v="400"/>
    <n v="1"/>
    <n v="2180.91"/>
    <s v="04 TIENDA"/>
    <s v="07 BOCA/BOCA"/>
    <x v="6"/>
    <x v="6"/>
  </r>
  <r>
    <m/>
    <n v="2026"/>
    <x v="2"/>
    <s v="NO"/>
    <x v="11"/>
    <d v="2026-03-24T00:00:00"/>
    <d v="2026-02-16T00:00:00"/>
    <s v="Murcia"/>
    <s v="C202621612391370804"/>
    <x v="401"/>
    <n v="2"/>
    <n v="2718.18"/>
    <s v="03 ORL"/>
    <s v="06 ORL"/>
    <x v="84"/>
    <x v="6"/>
  </r>
  <r>
    <m/>
    <n v="2026"/>
    <x v="2"/>
    <s v="NO"/>
    <x v="37"/>
    <d v="2026-03-24T00:00:00"/>
    <d v="2026-02-03T00:00:00"/>
    <s v="Valencia- Cádiz"/>
    <s v="C202623123339316530"/>
    <x v="402"/>
    <n v="1"/>
    <n v="1631.82"/>
    <s v="03 ORL"/>
    <s v="06 ORL"/>
    <x v="202"/>
    <x v="0"/>
  </r>
  <r>
    <m/>
    <n v="2026"/>
    <x v="2"/>
    <s v="NO"/>
    <x v="1"/>
    <d v="2026-03-24T00:00:00"/>
    <d v="2026-02-24T00:00:00"/>
    <s v="Cáceres"/>
    <s v="C202622418504788966"/>
    <x v="403"/>
    <n v="2"/>
    <n v="3678.18"/>
    <s v="03 ORL"/>
    <s v="06 ORL"/>
    <x v="25"/>
    <x v="1"/>
  </r>
  <r>
    <m/>
    <n v="2026"/>
    <x v="2"/>
    <s v="NO"/>
    <x v="0"/>
    <d v="2026-03-24T00:00:00"/>
    <d v="2026-02-10T00:00:00"/>
    <s v="Valencia- Parra"/>
    <s v="C202621011591130907"/>
    <x v="404"/>
    <n v="2"/>
    <n v="2718.18"/>
    <s v="03 ORL"/>
    <s v="06 ORL"/>
    <x v="203"/>
    <x v="0"/>
  </r>
  <r>
    <m/>
    <n v="2026"/>
    <x v="2"/>
    <s v="NO"/>
    <x v="6"/>
    <d v="2026-03-24T00:00:00"/>
    <d v="2026-01-07T00:00:00"/>
    <s v="Juan Bravo"/>
    <s v="C202617182211952993"/>
    <x v="405"/>
    <n v="2"/>
    <n v="3945.95"/>
    <s v="03 ORL"/>
    <s v="06 ORL"/>
    <x v="6"/>
    <x v="3"/>
  </r>
  <r>
    <m/>
    <n v="2026"/>
    <x v="2"/>
    <s v="NO"/>
    <x v="9"/>
    <d v="2026-03-24T00:00:00"/>
    <d v="2026-01-08T00:00:00"/>
    <s v="Montoto"/>
    <s v="C202618111858546960"/>
    <x v="406"/>
    <n v="2"/>
    <n v="4536.3599999999997"/>
    <s v="03 ORL"/>
    <s v="06 ORL"/>
    <x v="143"/>
    <x v="4"/>
  </r>
  <r>
    <m/>
    <n v="2026"/>
    <x v="2"/>
    <s v="NO"/>
    <x v="37"/>
    <d v="2026-03-24T00:00:00"/>
    <d v="2026-01-30T00:00:00"/>
    <s v="Valencia- Cádiz"/>
    <s v="C202613010311166949"/>
    <x v="407"/>
    <n v="1"/>
    <n v="2180.91"/>
    <s v="03 ORL"/>
    <s v="06 ORL"/>
    <x v="204"/>
    <x v="0"/>
  </r>
  <r>
    <m/>
    <n v="2026"/>
    <x v="2"/>
    <s v="NO"/>
    <x v="16"/>
    <d v="2026-03-24T00:00:00"/>
    <d v="2026-02-23T00:00:00"/>
    <s v="Leganés"/>
    <s v="C202622383152566603"/>
    <x v="408"/>
    <n v="2"/>
    <n v="3631.82"/>
    <s v="03 ORL"/>
    <s v="06 ORL"/>
    <x v="128"/>
    <x v="3"/>
  </r>
  <r>
    <m/>
    <n v="2026"/>
    <x v="2"/>
    <s v="NO"/>
    <x v="6"/>
    <d v="2026-03-24T00:00:00"/>
    <d v="2026-02-24T00:00:00"/>
    <s v="Juan Bravo"/>
    <s v="C202622417564128522"/>
    <x v="409"/>
    <n v="2"/>
    <n v="4136.3599999999997"/>
    <s v="03 ORL"/>
    <s v="06 ORL"/>
    <x v="24"/>
    <x v="3"/>
  </r>
  <r>
    <m/>
    <n v="2026"/>
    <x v="2"/>
    <s v="NO"/>
    <x v="8"/>
    <d v="2026-03-25T00:00:00"/>
    <d v="2026-02-10T00:00:00"/>
    <s v="Fuenlabrada"/>
    <s v="C202621016017740583"/>
    <x v="410"/>
    <n v="2"/>
    <n v="2718.18"/>
    <s v="03 ORL"/>
    <s v="06 ORL"/>
    <x v="9"/>
    <x v="3"/>
  </r>
  <r>
    <m/>
    <n v="2026"/>
    <x v="2"/>
    <s v="NO"/>
    <x v="11"/>
    <d v="2026-03-25T00:00:00"/>
    <d v="2026-02-05T00:00:00"/>
    <s v="Murcia"/>
    <s v="C202625152152410682"/>
    <x v="411"/>
    <n v="2"/>
    <n v="2718.19"/>
    <s v="03 ORL"/>
    <s v="06 ORL"/>
    <x v="190"/>
    <x v="6"/>
  </r>
  <r>
    <m/>
    <n v="2026"/>
    <x v="2"/>
    <s v="NO"/>
    <x v="24"/>
    <d v="2026-03-25T00:00:00"/>
    <d v="2026-03-12T00:00:00"/>
    <s v="Almería"/>
    <s v="C202631215153684101"/>
    <x v="412"/>
    <n v="1"/>
    <n v="2481.8200000000002"/>
    <s v="01 MARKETING ON LINE"/>
    <s v="04 AUDIFONO,ES"/>
    <x v="205"/>
    <x v="0"/>
  </r>
  <r>
    <m/>
    <n v="2026"/>
    <x v="2"/>
    <s v="NO"/>
    <x v="8"/>
    <d v="2026-03-25T00:00:00"/>
    <d v="2026-02-20T00:00:00"/>
    <s v="Fuenlabrada"/>
    <s v="C202622011312932276"/>
    <x v="413"/>
    <n v="1"/>
    <n v="2181.73"/>
    <s v="03 ORL"/>
    <s v="06 ORL"/>
    <x v="180"/>
    <x v="3"/>
  </r>
  <r>
    <m/>
    <n v="2026"/>
    <x v="2"/>
    <s v="NO"/>
    <x v="10"/>
    <d v="2026-03-25T00:00:00"/>
    <d v="2026-02-24T00:00:00"/>
    <s v="Alicante"/>
    <s v="C202622412142688311"/>
    <x v="414"/>
    <n v="2"/>
    <n v="3631.82"/>
    <s v="03 ORL"/>
    <s v="06 ORL"/>
    <x v="11"/>
    <x v="6"/>
  </r>
  <r>
    <m/>
    <n v="2026"/>
    <x v="2"/>
    <s v="NO"/>
    <x v="11"/>
    <d v="2026-03-25T00:00:00"/>
    <d v="2026-02-17T00:00:00"/>
    <s v="Murcia"/>
    <s v="C202621794150905684"/>
    <x v="415"/>
    <n v="2"/>
    <n v="4536.3599999999997"/>
    <s v="03 ORL"/>
    <s v="06 ORL"/>
    <x v="28"/>
    <x v="6"/>
  </r>
  <r>
    <m/>
    <n v="2026"/>
    <x v="2"/>
    <s v="NO"/>
    <x v="25"/>
    <d v="2026-03-25T00:00:00"/>
    <d v="2026-03-17T00:00:00"/>
    <s v="La Vaguada"/>
    <s v="C202631792213452520"/>
    <x v="416"/>
    <n v="2"/>
    <n v="2718.18"/>
    <s v="03 ORL"/>
    <s v="06 ORL"/>
    <x v="206"/>
    <x v="1"/>
  </r>
  <r>
    <m/>
    <n v="2026"/>
    <x v="2"/>
    <s v="NO"/>
    <x v="18"/>
    <d v="2026-03-26T00:00:00"/>
    <d v="2026-02-10T00:00:00"/>
    <s v="Logroño"/>
    <s v="C202621094742102979"/>
    <x v="417"/>
    <n v="2"/>
    <n v="4136.3599999999997"/>
    <s v="03 ORL"/>
    <s v="22 AUDIOMETRIA CLINICA"/>
    <x v="6"/>
    <x v="1"/>
  </r>
  <r>
    <m/>
    <n v="2026"/>
    <x v="2"/>
    <s v="NO"/>
    <x v="18"/>
    <d v="2026-03-26T00:00:00"/>
    <d v="2026-03-04T00:00:00"/>
    <s v="Logroño"/>
    <s v="C202634162939043899"/>
    <x v="418"/>
    <n v="2"/>
    <n v="3631.82"/>
    <s v="03 ORL"/>
    <s v="06 ORL"/>
    <x v="6"/>
    <x v="1"/>
  </r>
  <r>
    <m/>
    <n v="2026"/>
    <x v="2"/>
    <s v="NO"/>
    <x v="24"/>
    <d v="2026-03-26T00:00:00"/>
    <d v="2026-03-05T00:00:00"/>
    <s v="Almería"/>
    <s v="C20263511656958322"/>
    <x v="419"/>
    <n v="1"/>
    <n v="1545.45"/>
    <s v="03 ORL"/>
    <s v="06 ORL"/>
    <x v="73"/>
    <x v="0"/>
  </r>
  <r>
    <m/>
    <n v="2026"/>
    <x v="2"/>
    <s v="NO"/>
    <x v="35"/>
    <d v="2026-03-26T00:00:00"/>
    <d v="2025-04-04T00:00:00"/>
    <s v="Talavera"/>
    <s v="C2025411105516909"/>
    <x v="420"/>
    <n v="2"/>
    <n v="2718.18"/>
    <s v="03 ORL"/>
    <s v="06 ORL"/>
    <x v="207"/>
    <x v="1"/>
  </r>
  <r>
    <m/>
    <n v="2026"/>
    <x v="2"/>
    <s v="NO"/>
    <x v="26"/>
    <d v="2026-03-26T00:00:00"/>
    <d v="2026-02-11T00:00:00"/>
    <s v="El Albir (Benidorm)"/>
    <s v="C202621115633636141"/>
    <x v="421"/>
    <n v="2"/>
    <n v="2772.27"/>
    <s v="03 ORL"/>
    <s v="06 ORL"/>
    <x v="66"/>
    <x v="0"/>
  </r>
  <r>
    <m/>
    <n v="2026"/>
    <x v="2"/>
    <s v="NO"/>
    <x v="4"/>
    <d v="2026-03-26T00:00:00"/>
    <d v="2026-02-20T00:00:00"/>
    <s v="La Oca"/>
    <s v="C202622016312913031"/>
    <x v="422"/>
    <n v="1"/>
    <n v="2180.91"/>
    <s v="03 ORL"/>
    <s v="06 ORL"/>
    <x v="4"/>
    <x v="3"/>
  </r>
  <r>
    <m/>
    <n v="2026"/>
    <x v="2"/>
    <s v="NO"/>
    <x v="8"/>
    <d v="2026-03-26T00:00:00"/>
    <d v="2026-02-25T00:00:00"/>
    <s v="Fuenlabrada"/>
    <s v="C202622511557773529"/>
    <x v="423"/>
    <n v="1"/>
    <n v="2180.91"/>
    <s v="03 ORL"/>
    <s v="06 ORL"/>
    <x v="63"/>
    <x v="3"/>
  </r>
  <r>
    <m/>
    <n v="2026"/>
    <x v="2"/>
    <s v="NO"/>
    <x v="26"/>
    <d v="2026-03-26T00:00:00"/>
    <d v="2026-02-06T00:00:00"/>
    <s v="El Albir (Benidorm)"/>
    <s v="C20262616184191590"/>
    <x v="424"/>
    <n v="2"/>
    <n v="2718.18"/>
    <s v="03 ORL"/>
    <s v="06 ORL"/>
    <x v="135"/>
    <x v="0"/>
  </r>
  <r>
    <m/>
    <n v="2026"/>
    <x v="2"/>
    <s v="NO"/>
    <x v="39"/>
    <d v="2026-03-26T00:00:00"/>
    <d v="2025-12-17T00:00:00"/>
    <s v="Zaragoza- Santander"/>
    <s v="C202512171782383625"/>
    <x v="425"/>
    <n v="2"/>
    <n v="3136.36"/>
    <s v="03 ORL"/>
    <s v="06 ORL"/>
    <x v="8"/>
    <x v="7"/>
  </r>
  <r>
    <m/>
    <n v="2026"/>
    <x v="2"/>
    <s v="NO"/>
    <x v="24"/>
    <d v="2026-03-26T00:00:00"/>
    <d v="2026-03-05T00:00:00"/>
    <s v="Almería"/>
    <s v="C202635164147856493"/>
    <x v="426"/>
    <n v="1"/>
    <n v="1631.82"/>
    <s v="03 ORL"/>
    <s v="06 ORL"/>
    <x v="208"/>
    <x v="0"/>
  </r>
  <r>
    <m/>
    <n v="2026"/>
    <x v="2"/>
    <s v="NO"/>
    <x v="41"/>
    <d v="2026-03-26T00:00:00"/>
    <d v="2026-03-05T00:00:00"/>
    <s v="Santiago"/>
    <s v="C20263510319025766"/>
    <x v="427"/>
    <n v="2"/>
    <n v="2918.18"/>
    <s v="03 ORL"/>
    <s v="06 ORL"/>
    <x v="209"/>
    <x v="8"/>
  </r>
  <r>
    <m/>
    <n v="2026"/>
    <x v="2"/>
    <s v="NO"/>
    <x v="26"/>
    <d v="2026-03-26T00:00:00"/>
    <d v="2026-01-21T00:00:00"/>
    <s v="El Albir (Benidorm)"/>
    <s v="C202612111562968731"/>
    <x v="428"/>
    <n v="2"/>
    <n v="3631.82"/>
    <s v="03 ORL"/>
    <s v="06 ORL"/>
    <x v="66"/>
    <x v="0"/>
  </r>
  <r>
    <m/>
    <n v="2026"/>
    <x v="2"/>
    <s v="NO"/>
    <x v="15"/>
    <d v="2026-03-26T00:00:00"/>
    <d v="2026-03-03T00:00:00"/>
    <s v="Canillas"/>
    <s v="C20263391426799994"/>
    <x v="429"/>
    <n v="2"/>
    <n v="2718.18"/>
    <s v="03 ORL"/>
    <s v="06 ORL"/>
    <x v="6"/>
    <x v="3"/>
  </r>
  <r>
    <m/>
    <n v="2026"/>
    <x v="2"/>
    <s v="NO"/>
    <x v="3"/>
    <d v="2026-03-26T00:00:00"/>
    <d v="2026-02-23T00:00:00"/>
    <s v="Getafe"/>
    <s v="C202622311526574591"/>
    <x v="430"/>
    <n v="2"/>
    <n v="2718.19"/>
    <s v="03 ORL"/>
    <s v="06 ORL"/>
    <x v="210"/>
    <x v="3"/>
  </r>
  <r>
    <m/>
    <n v="2026"/>
    <x v="2"/>
    <s v="NO"/>
    <x v="37"/>
    <d v="2026-03-26T00:00:00"/>
    <d v="2026-01-08T00:00:00"/>
    <s v="Valencia- Cádiz"/>
    <s v="C202618113411407364"/>
    <x v="431"/>
    <n v="1"/>
    <n v="2481.8200000000002"/>
    <s v="03 ORL"/>
    <s v="06 ORL"/>
    <x v="165"/>
    <x v="0"/>
  </r>
  <r>
    <m/>
    <n v="2026"/>
    <x v="2"/>
    <s v="NO"/>
    <x v="16"/>
    <d v="2026-03-26T00:00:00"/>
    <d v="2026-02-24T00:00:00"/>
    <s v="Leganés"/>
    <s v="C202622411404039012"/>
    <x v="432"/>
    <n v="2"/>
    <n v="4136.3599999999997"/>
    <s v="03 ORL"/>
    <s v="06 ORL"/>
    <x v="211"/>
    <x v="3"/>
  </r>
  <r>
    <m/>
    <n v="2026"/>
    <x v="2"/>
    <s v="NO"/>
    <x v="42"/>
    <d v="2026-03-26T00:00:00"/>
    <d v="2026-03-12T00:00:00"/>
    <s v="Moncloa"/>
    <s v="C202631217145355254"/>
    <x v="433"/>
    <n v="2"/>
    <n v="2582.27"/>
    <s v="03 ORL"/>
    <s v="06 ORL"/>
    <x v="212"/>
    <x v="3"/>
  </r>
  <r>
    <m/>
    <n v="2026"/>
    <x v="2"/>
    <s v="NO"/>
    <x v="8"/>
    <d v="2026-03-26T00:00:00"/>
    <d v="2026-02-18T00:00:00"/>
    <s v="Fuenlabrada"/>
    <s v="C202621885342242482"/>
    <x v="434"/>
    <n v="2"/>
    <n v="3631.82"/>
    <s v="03 ORL"/>
    <s v="06 ORL"/>
    <x v="180"/>
    <x v="3"/>
  </r>
  <r>
    <m/>
    <n v="2026"/>
    <x v="2"/>
    <s v="NO"/>
    <x v="10"/>
    <d v="2026-03-26T00:00:00"/>
    <d v="2026-02-26T00:00:00"/>
    <s v="Alicante"/>
    <s v="C20262269452713570"/>
    <x v="435"/>
    <n v="2"/>
    <n v="3631.82"/>
    <s v="03 ORL"/>
    <s v="06 ORL"/>
    <x v="213"/>
    <x v="6"/>
  </r>
  <r>
    <m/>
    <n v="2026"/>
    <x v="2"/>
    <s v="NO"/>
    <x v="18"/>
    <d v="2026-03-26T00:00:00"/>
    <d v="2026-02-10T00:00:00"/>
    <s v="Logroño"/>
    <s v="C202621012291805056"/>
    <x v="436"/>
    <n v="2"/>
    <n v="3631.82"/>
    <s v="03 ORL"/>
    <s v="06 ORL"/>
    <x v="64"/>
    <x v="1"/>
  </r>
  <r>
    <m/>
    <n v="2026"/>
    <x v="2"/>
    <s v="NO"/>
    <x v="30"/>
    <d v="2026-03-26T00:00:00"/>
    <d v="2026-02-19T00:00:00"/>
    <s v="Jerez"/>
    <s v="C202621912583028008"/>
    <x v="437"/>
    <n v="2"/>
    <n v="2918.18"/>
    <s v="03 ORL"/>
    <s v="06 ORL"/>
    <x v="214"/>
    <x v="4"/>
  </r>
  <r>
    <m/>
    <n v="2026"/>
    <x v="2"/>
    <s v="NO"/>
    <x v="15"/>
    <d v="2026-03-26T00:00:00"/>
    <d v="2026-03-10T00:00:00"/>
    <s v="Canillas"/>
    <s v="C202631014553821814"/>
    <x v="438"/>
    <n v="2"/>
    <n v="2718.18"/>
    <s v="03 ORL"/>
    <s v="06 ORL"/>
    <x v="6"/>
    <x v="3"/>
  </r>
  <r>
    <m/>
    <n v="2026"/>
    <x v="2"/>
    <s v="NO"/>
    <x v="13"/>
    <d v="2026-03-27T00:00:00"/>
    <d v="2026-03-09T00:00:00"/>
    <s v="Orense"/>
    <s v="C20263985829847689"/>
    <x v="439"/>
    <n v="2"/>
    <n v="2718.18"/>
    <s v="03 ORL"/>
    <s v="06 ORL"/>
    <x v="6"/>
    <x v="8"/>
  </r>
  <r>
    <m/>
    <n v="2026"/>
    <x v="2"/>
    <s v="NO"/>
    <x v="11"/>
    <d v="2026-03-27T00:00:00"/>
    <d v="2026-02-20T00:00:00"/>
    <s v="Murcia"/>
    <s v="C20262209496240831"/>
    <x v="440"/>
    <n v="2"/>
    <n v="4309.55"/>
    <s v="03 ORL"/>
    <s v="06 ORL"/>
    <x v="34"/>
    <x v="6"/>
  </r>
  <r>
    <m/>
    <n v="2026"/>
    <x v="2"/>
    <s v="NO"/>
    <x v="17"/>
    <d v="2026-03-27T00:00:00"/>
    <d v="2026-02-25T00:00:00"/>
    <s v="Alcorcón"/>
    <s v="C202622510242287354"/>
    <x v="441"/>
    <n v="2"/>
    <n v="2718.18"/>
    <s v="03 ORL"/>
    <s v="06 ORL"/>
    <x v="78"/>
    <x v="3"/>
  </r>
  <r>
    <m/>
    <n v="2026"/>
    <x v="2"/>
    <s v="NO"/>
    <x v="30"/>
    <d v="2026-03-27T00:00:00"/>
    <d v="2026-03-13T00:00:00"/>
    <s v="Jerez"/>
    <s v="C202631310381793043"/>
    <x v="442"/>
    <n v="2"/>
    <n v="2918.18"/>
    <s v="03 ORL"/>
    <s v="06 ORL"/>
    <x v="6"/>
    <x v="4"/>
  </r>
  <r>
    <m/>
    <n v="2026"/>
    <x v="2"/>
    <s v="NO"/>
    <x v="12"/>
    <d v="2026-03-27T00:00:00"/>
    <d v="2025-05-14T00:00:00"/>
    <s v="Toledo"/>
    <s v="C202551611222412"/>
    <x v="443"/>
    <n v="2"/>
    <n v="3181.82"/>
    <s v="03 ORL"/>
    <s v="22 AUDIOMETRIA CLINICA"/>
    <x v="35"/>
    <x v="3"/>
  </r>
  <r>
    <m/>
    <n v="2026"/>
    <x v="2"/>
    <s v="NO"/>
    <x v="6"/>
    <d v="2026-03-27T00:00:00"/>
    <d v="2026-03-03T00:00:00"/>
    <s v="Juan Bravo"/>
    <s v="C20263393127841723"/>
    <x v="444"/>
    <n v="1"/>
    <n v="2481.8200000000002"/>
    <s v="03 ORL"/>
    <s v="06 ORL"/>
    <x v="19"/>
    <x v="1"/>
  </r>
  <r>
    <m/>
    <n v="2026"/>
    <x v="2"/>
    <s v="NO"/>
    <x v="22"/>
    <d v="2026-03-27T00:00:00"/>
    <d v="2026-02-19T00:00:00"/>
    <s v="Albacete"/>
    <s v="C202621917412256555"/>
    <x v="445"/>
    <n v="2"/>
    <n v="2918.18"/>
    <s v="03 ORL"/>
    <s v="06 ORL"/>
    <x v="152"/>
    <x v="6"/>
  </r>
  <r>
    <m/>
    <n v="2026"/>
    <x v="2"/>
    <s v="NO"/>
    <x v="15"/>
    <d v="2026-03-27T00:00:00"/>
    <d v="2026-03-04T00:00:00"/>
    <s v="Canillas"/>
    <s v="C20263410838508549"/>
    <x v="446"/>
    <n v="2"/>
    <n v="4536.3599999999997"/>
    <s v="03 ORL"/>
    <s v="06 ORL"/>
    <x v="23"/>
    <x v="3"/>
  </r>
  <r>
    <m/>
    <n v="2026"/>
    <x v="2"/>
    <s v="NO"/>
    <x v="15"/>
    <d v="2026-03-27T00:00:00"/>
    <d v="2026-03-23T00:00:00"/>
    <s v="Canillas"/>
    <s v="C202632393140116305"/>
    <x v="447"/>
    <n v="2"/>
    <n v="3631.73"/>
    <s v="03 ORL"/>
    <s v="06 ORL"/>
    <x v="23"/>
    <x v="3"/>
  </r>
  <r>
    <m/>
    <n v="2026"/>
    <x v="2"/>
    <s v="NO"/>
    <x v="25"/>
    <d v="2026-03-27T00:00:00"/>
    <d v="2026-03-03T00:00:00"/>
    <s v="La Vaguada"/>
    <s v="C2026331215182231"/>
    <x v="448"/>
    <n v="2"/>
    <n v="2718.18"/>
    <s v="03 ORL"/>
    <s v="06 ORL"/>
    <x v="23"/>
    <x v="3"/>
  </r>
  <r>
    <m/>
    <n v="2026"/>
    <x v="2"/>
    <s v="NO"/>
    <x v="42"/>
    <d v="2026-03-27T00:00:00"/>
    <d v="2026-02-25T00:00:00"/>
    <s v="Moncloa"/>
    <s v="C202622592914979233"/>
    <x v="449"/>
    <n v="1"/>
    <n v="2180.91"/>
    <s v="03 ORL"/>
    <s v="06 ORL"/>
    <x v="42"/>
    <x v="6"/>
  </r>
  <r>
    <m/>
    <n v="2026"/>
    <x v="2"/>
    <s v="NO"/>
    <x v="30"/>
    <d v="2026-03-27T00:00:00"/>
    <d v="2026-03-02T00:00:00"/>
    <s v="Jerez"/>
    <s v="C20263285511881800"/>
    <x v="450"/>
    <n v="1"/>
    <n v="2722.73"/>
    <s v="03 ORL"/>
    <s v="06 ORL"/>
    <x v="71"/>
    <x v="4"/>
  </r>
  <r>
    <m/>
    <n v="2026"/>
    <x v="2"/>
    <s v="NO"/>
    <x v="0"/>
    <d v="2026-03-30T00:00:00"/>
    <d v="2026-01-23T00:00:00"/>
    <s v="Valencia- Parra"/>
    <s v="C202612310284907484"/>
    <x v="451"/>
    <n v="2"/>
    <n v="2718.18"/>
    <s v="03 ORL"/>
    <s v="06 ORL"/>
    <x v="215"/>
    <x v="0"/>
  </r>
  <r>
    <m/>
    <n v="2026"/>
    <x v="2"/>
    <s v="NO"/>
    <x v="26"/>
    <d v="2026-03-30T00:00:00"/>
    <d v="2026-01-08T00:00:00"/>
    <s v="El Albir (Benidorm)"/>
    <s v="C202618165718382638"/>
    <x v="452"/>
    <n v="2"/>
    <n v="2582.27"/>
    <s v="03 ORL"/>
    <s v="06 ORL"/>
    <x v="216"/>
    <x v="6"/>
  </r>
  <r>
    <m/>
    <n v="2026"/>
    <x v="2"/>
    <s v="NO"/>
    <x v="10"/>
    <d v="2026-03-30T00:00:00"/>
    <d v="2026-03-09T00:00:00"/>
    <s v="Alicante"/>
    <s v="C202639162646500411"/>
    <x v="453"/>
    <n v="2"/>
    <n v="2718.18"/>
    <s v="03 ORL"/>
    <s v="06 ORL"/>
    <x v="213"/>
    <x v="6"/>
  </r>
  <r>
    <m/>
    <n v="2026"/>
    <x v="2"/>
    <s v="NO"/>
    <x v="2"/>
    <d v="2026-03-30T00:00:00"/>
    <d v="2026-02-26T00:00:00"/>
    <s v="Valladolid"/>
    <s v="C202622611395939003"/>
    <x v="454"/>
    <n v="1"/>
    <n v="2080"/>
    <s v="03 ORL"/>
    <s v="06 ORL"/>
    <x v="132"/>
    <x v="2"/>
  </r>
  <r>
    <m/>
    <n v="2026"/>
    <x v="2"/>
    <s v="NO"/>
    <x v="25"/>
    <d v="2026-03-30T00:00:00"/>
    <d v="2026-02-17T00:00:00"/>
    <s v="La Vaguada"/>
    <s v="C202621717342062690"/>
    <x v="455"/>
    <n v="2"/>
    <n v="2718.18"/>
    <s v="03 ORL"/>
    <s v="06 ORL"/>
    <x v="48"/>
    <x v="3"/>
  </r>
  <r>
    <m/>
    <n v="2026"/>
    <x v="2"/>
    <s v="NO"/>
    <x v="7"/>
    <d v="2026-03-30T00:00:00"/>
    <d v="2026-03-02T00:00:00"/>
    <s v="Zaragoza"/>
    <s v="C20263210129072148"/>
    <x v="456"/>
    <n v="2"/>
    <n v="3627.27"/>
    <s v="03 ORL"/>
    <s v="06 ORL"/>
    <x v="217"/>
    <x v="7"/>
  </r>
  <r>
    <m/>
    <n v="2026"/>
    <x v="2"/>
    <s v="NO"/>
    <x v="20"/>
    <d v="2026-03-30T00:00:00"/>
    <d v="2026-03-16T00:00:00"/>
    <s v="La Zenia"/>
    <s v="C202631610495728359"/>
    <x v="457"/>
    <n v="2"/>
    <n v="3631.82"/>
    <s v="03 ORL"/>
    <s v="06 ORL"/>
    <x v="42"/>
    <x v="6"/>
  </r>
  <r>
    <m/>
    <n v="2026"/>
    <x v="2"/>
    <s v="NO"/>
    <x v="20"/>
    <d v="2026-03-30T00:00:00"/>
    <d v="2025-06-30T00:00:00"/>
    <s v="La Zenia"/>
    <s v="C202571171834930"/>
    <x v="458"/>
    <n v="1"/>
    <n v="1631.82"/>
    <s v="03 ORL"/>
    <s v="06 ORL"/>
    <x v="42"/>
    <x v="6"/>
  </r>
  <r>
    <m/>
    <n v="2026"/>
    <x v="2"/>
    <s v="NO"/>
    <x v="6"/>
    <d v="2026-03-30T00:00:00"/>
    <d v="2026-02-25T00:00:00"/>
    <s v="Juan Bravo"/>
    <s v="C202622510202918352"/>
    <x v="459"/>
    <n v="2"/>
    <n v="4154.22"/>
    <s v="03 ORL"/>
    <s v="06 ORL"/>
    <x v="19"/>
    <x v="1"/>
  </r>
  <r>
    <m/>
    <n v="2026"/>
    <x v="2"/>
    <s v="NO"/>
    <x v="11"/>
    <d v="2026-03-30T00:00:00"/>
    <d v="2026-02-26T00:00:00"/>
    <s v="Murcia"/>
    <s v="C202622617103051096"/>
    <x v="460"/>
    <n v="1"/>
    <n v="1631.82"/>
    <s v="03 ORL"/>
    <s v="06 ORL"/>
    <x v="34"/>
    <x v="6"/>
  </r>
  <r>
    <m/>
    <n v="2026"/>
    <x v="2"/>
    <s v="NO"/>
    <x v="21"/>
    <d v="2026-03-30T00:00:00"/>
    <d v="2026-03-13T00:00:00"/>
    <s v="Moratalaz"/>
    <s v="C202631312144876755"/>
    <x v="461"/>
    <n v="1"/>
    <n v="2357.73"/>
    <s v="03 ORL"/>
    <s v="06 ORL"/>
    <x v="6"/>
    <x v="3"/>
  </r>
  <r>
    <m/>
    <n v="2026"/>
    <x v="2"/>
    <s v="NO"/>
    <x v="15"/>
    <d v="2026-03-30T00:00:00"/>
    <d v="2026-02-16T00:00:00"/>
    <s v="Canillas"/>
    <s v="C202621612332097208"/>
    <x v="462"/>
    <n v="2"/>
    <n v="4136.3599999999997"/>
    <s v="03 ORL"/>
    <s v="06 ORL"/>
    <x v="101"/>
    <x v="3"/>
  </r>
  <r>
    <m/>
    <n v="2026"/>
    <x v="2"/>
    <s v="NO"/>
    <x v="27"/>
    <d v="2026-03-30T00:00:00"/>
    <d v="2026-02-26T00:00:00"/>
    <s v="San Javier"/>
    <s v="C202622610047193666"/>
    <x v="463"/>
    <n v="2"/>
    <n v="2718.18"/>
    <s v="03 ORL"/>
    <s v="06 ORL"/>
    <x v="55"/>
    <x v="6"/>
  </r>
  <r>
    <m/>
    <n v="2026"/>
    <x v="2"/>
    <s v="NO"/>
    <x v="18"/>
    <d v="2026-03-30T00:00:00"/>
    <d v="2026-02-16T00:00:00"/>
    <s v="Logroño"/>
    <s v="C202621692621997748"/>
    <x v="464"/>
    <n v="2"/>
    <n v="4136.3599999999997"/>
    <s v="03 ORL"/>
    <s v="06 ORL"/>
    <x v="6"/>
    <x v="1"/>
  </r>
  <r>
    <m/>
    <n v="2026"/>
    <x v="2"/>
    <s v="NO"/>
    <x v="34"/>
    <d v="2026-03-31T00:00:00"/>
    <d v="2026-02-12T00:00:00"/>
    <s v="León"/>
    <s v="C202621216935172983"/>
    <x v="465"/>
    <n v="1"/>
    <n v="3743.18"/>
    <s v="03 ORL"/>
    <s v="06 ORL"/>
    <x v="104"/>
    <x v="3"/>
  </r>
  <r>
    <m/>
    <n v="2026"/>
    <x v="2"/>
    <s v="NO"/>
    <x v="11"/>
    <d v="2026-03-31T00:00:00"/>
    <d v="2026-02-18T00:00:00"/>
    <s v="Murcia"/>
    <s v="C202621816286922226"/>
    <x v="466"/>
    <n v="2"/>
    <n v="2718.18"/>
    <s v="03 ORL"/>
    <s v="06 ORL"/>
    <x v="190"/>
    <x v="6"/>
  </r>
  <r>
    <m/>
    <n v="2026"/>
    <x v="2"/>
    <s v="NO"/>
    <x v="29"/>
    <d v="2026-03-31T00:00:00"/>
    <d v="2025-11-12T00:00:00"/>
    <s v="Costa Rica"/>
    <s v="C202511121256727364"/>
    <x v="467"/>
    <n v="-1"/>
    <n v="-1631.82"/>
    <s v="03 ORL"/>
    <s v="06 ORL"/>
    <x v="218"/>
    <x v="1"/>
  </r>
  <r>
    <m/>
    <n v="2026"/>
    <x v="2"/>
    <s v="NO"/>
    <x v="22"/>
    <d v="2026-03-31T00:00:00"/>
    <d v="2026-02-24T00:00:00"/>
    <s v="Albacete"/>
    <s v="C202622415411463016"/>
    <x v="468"/>
    <n v="2"/>
    <n v="2818.18"/>
    <s v="03 ORL"/>
    <s v="06 ORL"/>
    <x v="15"/>
    <x v="6"/>
  </r>
  <r>
    <m/>
    <n v="2026"/>
    <x v="2"/>
    <s v="NO"/>
    <x v="11"/>
    <d v="2026-03-31T00:00:00"/>
    <d v="2024-01-17T00:00:00"/>
    <s v="Murcia"/>
    <s v="MUR-1812"/>
    <x v="469"/>
    <n v="1"/>
    <n v="2482.69"/>
    <s v="03 ORL"/>
    <s v="06 ORL"/>
    <x v="219"/>
    <x v="6"/>
  </r>
  <r>
    <m/>
    <n v="2026"/>
    <x v="2"/>
    <s v="NO"/>
    <x v="3"/>
    <d v="2026-03-31T00:00:00"/>
    <d v="2026-02-25T00:00:00"/>
    <s v="Getafe"/>
    <s v="C202622510205223542"/>
    <x v="470"/>
    <n v="2"/>
    <n v="3450"/>
    <s v="03 ORL"/>
    <s v="06 ORL"/>
    <x v="210"/>
    <x v="3"/>
  </r>
  <r>
    <m/>
    <n v="2026"/>
    <x v="2"/>
    <s v="NO"/>
    <x v="16"/>
    <d v="2026-03-31T00:00:00"/>
    <d v="2026-02-17T00:00:00"/>
    <s v="Leganés"/>
    <s v="C202621718264768381"/>
    <x v="471"/>
    <n v="2"/>
    <n v="2718.18"/>
    <s v="03 ORL"/>
    <s v="06 ORL"/>
    <x v="220"/>
    <x v="3"/>
  </r>
  <r>
    <m/>
    <n v="2026"/>
    <x v="2"/>
    <s v="NO"/>
    <x v="11"/>
    <d v="2026-03-31T00:00:00"/>
    <d v="2026-02-03T00:00:00"/>
    <s v="Murcia"/>
    <s v="C202623101617395124"/>
    <x v="472"/>
    <n v="2"/>
    <n v="4136.3599999999997"/>
    <s v="03 ORL"/>
    <s v="22 AUDIOMETRIA CLINICA"/>
    <x v="34"/>
    <x v="6"/>
  </r>
  <r>
    <m/>
    <n v="2026"/>
    <x v="2"/>
    <s v="NO"/>
    <x v="36"/>
    <d v="2026-03-31T00:00:00"/>
    <d v="2026-02-18T00:00:00"/>
    <s v="Salamanca"/>
    <s v="C202621812193368454"/>
    <x v="473"/>
    <n v="2"/>
    <n v="3730"/>
    <s v="03 ORL"/>
    <s v="06 ORL"/>
    <x v="198"/>
    <x v="2"/>
  </r>
  <r>
    <m/>
    <n v="2026"/>
    <x v="2"/>
    <s v="NO"/>
    <x v="16"/>
    <d v="2026-03-31T00:00:00"/>
    <d v="2026-03-09T00:00:00"/>
    <s v="Leganés"/>
    <s v="C2026399930726458"/>
    <x v="474"/>
    <n v="2"/>
    <n v="2718.18"/>
    <s v="03 ORL"/>
    <s v="06 ORL"/>
    <x v="76"/>
    <x v="3"/>
  </r>
  <r>
    <m/>
    <n v="2026"/>
    <x v="2"/>
    <s v="NO"/>
    <x v="18"/>
    <d v="2026-03-31T00:00:00"/>
    <d v="2026-02-09T00:00:00"/>
    <s v="Logroño"/>
    <s v="C2026291005304025"/>
    <x v="475"/>
    <n v="2"/>
    <n v="2718.18"/>
    <s v="03 ORL"/>
    <s v="06 ORL"/>
    <x v="6"/>
    <x v="1"/>
  </r>
  <r>
    <m/>
    <n v="2026"/>
    <x v="2"/>
    <s v="NO"/>
    <x v="2"/>
    <d v="2026-03-31T00:00:00"/>
    <d v="2026-02-05T00:00:00"/>
    <s v="Valladolid"/>
    <s v="C202625165834361107"/>
    <x v="476"/>
    <n v="1"/>
    <n v="2307.27"/>
    <s v="03 ORL"/>
    <s v="06 ORL"/>
    <x v="132"/>
    <x v="2"/>
  </r>
  <r>
    <m/>
    <n v="2026"/>
    <x v="2"/>
    <s v="NO"/>
    <x v="18"/>
    <d v="2026-03-31T00:00:00"/>
    <d v="2025-12-23T00:00:00"/>
    <s v="Logroño"/>
    <s v="C20251223192557630"/>
    <x v="477"/>
    <n v="2"/>
    <n v="4136.3599999999997"/>
    <s v="03 ORL"/>
    <s v="06 ORL"/>
    <x v="6"/>
    <x v="1"/>
  </r>
  <r>
    <m/>
    <n v="2026"/>
    <x v="2"/>
    <s v="NO"/>
    <x v="6"/>
    <d v="2026-03-31T00:00:00"/>
    <d v="2026-01-22T00:00:00"/>
    <s v="Juan Bravo"/>
    <s v="C202612211164410529"/>
    <x v="478"/>
    <n v="2"/>
    <n v="3631.82"/>
    <s v="03 ORL"/>
    <s v="06 ORL"/>
    <x v="19"/>
    <x v="1"/>
  </r>
  <r>
    <m/>
    <n v="2026"/>
    <x v="2"/>
    <s v="NO"/>
    <x v="29"/>
    <d v="2026-03-31T00:00:00"/>
    <d v="2026-02-11T00:00:00"/>
    <s v="Costa Rica"/>
    <s v="C202621193144091134"/>
    <x v="479"/>
    <n v="2"/>
    <n v="2718.18"/>
    <s v="03 ORL"/>
    <s v="22 AUDIOMETRIA CLINICA"/>
    <x v="221"/>
    <x v="4"/>
  </r>
  <r>
    <m/>
    <n v="2026"/>
    <x v="2"/>
    <s v="NO"/>
    <x v="32"/>
    <d v="2026-03-31T00:00:00"/>
    <d v="2025-06-11T00:00:00"/>
    <s v="Ponferrada"/>
    <s v="PON-937"/>
    <x v="480"/>
    <n v="2"/>
    <n v="3181.82"/>
    <s v="03 ORL"/>
    <s v="06 ORL"/>
    <x v="95"/>
    <x v="2"/>
  </r>
  <r>
    <m/>
    <n v="2026"/>
    <x v="2"/>
    <s v="NO"/>
    <x v="8"/>
    <d v="2026-03-31T00:00:00"/>
    <d v="2026-03-02T00:00:00"/>
    <s v="Fuenlabrada"/>
    <s v="C202632103422747350"/>
    <x v="481"/>
    <n v="2"/>
    <n v="2718.18"/>
    <s v="03 ORL"/>
    <s v="06 ORL"/>
    <x v="14"/>
    <x v="3"/>
  </r>
  <r>
    <m/>
    <n v="2026"/>
    <x v="2"/>
    <s v="NO"/>
    <x v="32"/>
    <d v="2026-03-31T00:00:00"/>
    <d v="2026-01-19T00:00:00"/>
    <s v="Ponferrada"/>
    <s v="C202611915584584535"/>
    <x v="482"/>
    <n v="1"/>
    <n v="1909.09"/>
    <s v="03 ORL"/>
    <s v="06 ORL"/>
    <x v="88"/>
    <x v="2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  <r>
    <m/>
    <m/>
    <x v="3"/>
    <m/>
    <x v="43"/>
    <m/>
    <m/>
    <m/>
    <m/>
    <x v="483"/>
    <m/>
    <m/>
    <m/>
    <m/>
    <x v="22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RESUMENMES26" cacheId="46" applyNumberFormats="0" applyBorderFormats="0" applyFontFormats="0" applyPatternFormats="0" applyAlignmentFormats="0" applyWidthHeightFormats="0" dataCaption="" updatedVersion="8" compact="0" compactData="0">
  <location ref="A1:G14" firstHeaderRow="1" firstDataRow="2" firstDataCol="5"/>
  <pivotFields count="16">
    <pivotField name="ACTUALIZADO A" compact="0" numFmtId="170" outline="0" multipleItemSelectionAllowed="1" showAll="0"/>
    <pivotField name="AÑO" compact="0" numFmtId="171" outline="0" multipleItemSelectionAllowed="1" showAll="0"/>
    <pivotField name="MES" axis="axisRow" compact="0" numFmtId="3" outline="0" multipleItemSelectionAllowed="1" showAll="0" sortType="descending">
      <items count="5">
        <item sd="0" x="3"/>
        <item sd="0" x="2"/>
        <item sd="0" x="1"/>
        <item sd="0" x="0"/>
        <item t="default"/>
      </items>
    </pivotField>
    <pivotField name="RECOMPRA" compact="0" outline="0" multipleItemSelectionAllowed="1" showAll="0"/>
    <pivotField name="SUCURSAL" axis="axisRow" compact="0" outline="0" multipleItemSelectionAllowed="1" showAll="0" sortType="ascending">
      <items count="45">
        <item sd="0" x="22"/>
        <item sd="0" x="17"/>
        <item sd="0" x="10"/>
        <item sd="0" x="24"/>
        <item sd="0" x="23"/>
        <item x="19"/>
        <item sd="0" x="1"/>
        <item sd="0" x="26"/>
        <item sd="0" x="8"/>
        <item sd="0" x="3"/>
        <item x="28"/>
        <item sd="0" x="30"/>
        <item sd="0" x="16"/>
        <item sd="0" x="34"/>
        <item sd="0" x="18"/>
        <item sd="0" x="14"/>
        <item sd="0" x="15"/>
        <item sd="0" x="29"/>
        <item sd="0" x="42"/>
        <item sd="0" x="6"/>
        <item sd="0" x="4"/>
        <item sd="0" x="25"/>
        <item sd="0" x="21"/>
        <item sd="0" x="38"/>
        <item sd="0" x="11"/>
        <item sd="0" x="20"/>
        <item sd="0" x="13"/>
        <item sd="0" x="32"/>
        <item sd="0" x="36"/>
        <item sd="0" x="27"/>
        <item sd="0" x="41"/>
        <item sd="0" x="5"/>
        <item x="9"/>
        <item sd="0" x="35"/>
        <item sd="0" x="12"/>
        <item sd="0" x="31"/>
        <item sd="0" x="37"/>
        <item sd="0" x="0"/>
        <item sd="0" x="2"/>
        <item x="33"/>
        <item sd="0" x="40"/>
        <item sd="0" x="7"/>
        <item sd="0" x="39"/>
        <item x="43"/>
        <item t="default"/>
      </items>
    </pivotField>
    <pivotField name="FECHA DE VENTA" compact="0" numFmtId="165" outline="0" multipleItemSelectionAllowed="1" showAll="0"/>
    <pivotField name="FECHA DE ALTA DE CLIENTE" compact="0" numFmtId="165" outline="0" multipleItemSelectionAllowed="1" showAll="0"/>
    <pivotField name="Clínica" compact="0" outline="0" multipleItemSelectionAllowed="1" showAll="0"/>
    <pivotField name="CÓDIGO DE CLIENTE" compact="0" outline="0" multipleItemSelectionAllowed="1" showAll="0"/>
    <pivotField name="CLIENTE" axis="axisRow" compact="0" outline="0" multipleItemSelectionAllowed="1" showAll="0" sortType="ascending">
      <items count="485">
        <item x="170"/>
        <item x="117"/>
        <item x="184"/>
        <item x="239"/>
        <item x="327"/>
        <item x="407"/>
        <item x="349"/>
        <item x="368"/>
        <item x="355"/>
        <item x="179"/>
        <item x="177"/>
        <item x="348"/>
        <item x="97"/>
        <item x="376"/>
        <item x="372"/>
        <item x="61"/>
        <item x="4"/>
        <item x="238"/>
        <item x="381"/>
        <item x="144"/>
        <item x="174"/>
        <item x="448"/>
        <item x="275"/>
        <item x="77"/>
        <item x="406"/>
        <item x="25"/>
        <item x="131"/>
        <item x="163"/>
        <item x="436"/>
        <item x="214"/>
        <item x="480"/>
        <item x="335"/>
        <item x="65"/>
        <item x="46"/>
        <item x="248"/>
        <item x="428"/>
        <item x="3"/>
        <item x="200"/>
        <item x="479"/>
        <item x="164"/>
        <item x="121"/>
        <item x="221"/>
        <item x="156"/>
        <item x="424"/>
        <item x="433"/>
        <item x="143"/>
        <item x="311"/>
        <item x="264"/>
        <item x="435"/>
        <item x="190"/>
        <item x="447"/>
        <item x="392"/>
        <item x="186"/>
        <item x="167"/>
        <item x="399"/>
        <item x="336"/>
        <item x="360"/>
        <item x="270"/>
        <item x="390"/>
        <item x="129"/>
        <item x="67"/>
        <item x="303"/>
        <item x="159"/>
        <item x="302"/>
        <item x="396"/>
        <item x="296"/>
        <item x="216"/>
        <item x="423"/>
        <item x="391"/>
        <item x="365"/>
        <item x="16"/>
        <item x="374"/>
        <item x="356"/>
        <item x="142"/>
        <item x="284"/>
        <item x="240"/>
        <item x="473"/>
        <item x="304"/>
        <item x="62"/>
        <item x="233"/>
        <item x="298"/>
        <item x="285"/>
        <item x="294"/>
        <item x="178"/>
        <item x="161"/>
        <item x="154"/>
        <item x="136"/>
        <item x="37"/>
        <item x="157"/>
        <item x="398"/>
        <item x="236"/>
        <item x="40"/>
        <item x="187"/>
        <item x="421"/>
        <item x="173"/>
        <item x="276"/>
        <item x="38"/>
        <item x="6"/>
        <item x="22"/>
        <item x="124"/>
        <item x="68"/>
        <item x="70"/>
        <item x="148"/>
        <item x="269"/>
        <item x="55"/>
        <item x="481"/>
        <item x="59"/>
        <item x="20"/>
        <item x="165"/>
        <item x="217"/>
        <item x="462"/>
        <item x="219"/>
        <item x="118"/>
        <item x="357"/>
        <item x="115"/>
        <item x="110"/>
        <item x="96"/>
        <item x="24"/>
        <item x="57"/>
        <item x="452"/>
        <item x="222"/>
        <item x="411"/>
        <item x="419"/>
        <item x="158"/>
        <item x="202"/>
        <item x="33"/>
        <item x="470"/>
        <item x="23"/>
        <item x="108"/>
        <item x="224"/>
        <item x="340"/>
        <item x="271"/>
        <item x="73"/>
        <item x="361"/>
        <item x="103"/>
        <item x="287"/>
        <item x="113"/>
        <item x="134"/>
        <item x="291"/>
        <item x="44"/>
        <item x="422"/>
        <item x="241"/>
        <item x="149"/>
        <item x="107"/>
        <item x="185"/>
        <item x="251"/>
        <item x="39"/>
        <item x="75"/>
        <item x="347"/>
        <item x="86"/>
        <item x="138"/>
        <item x="175"/>
        <item x="322"/>
        <item x="229"/>
        <item x="262"/>
        <item x="204"/>
        <item x="431"/>
        <item x="258"/>
        <item x="147"/>
        <item x="440"/>
        <item x="378"/>
        <item x="371"/>
        <item x="474"/>
        <item x="180"/>
        <item x="288"/>
        <item x="150"/>
        <item x="2"/>
        <item x="366"/>
        <item x="279"/>
        <item x="309"/>
        <item x="85"/>
        <item x="196"/>
        <item x="482"/>
        <item x="237"/>
        <item x="0"/>
        <item x="93"/>
        <item x="301"/>
        <item x="218"/>
        <item x="402"/>
        <item x="125"/>
        <item x="457"/>
        <item x="444"/>
        <item x="128"/>
        <item x="176"/>
        <item x="332"/>
        <item x="98"/>
        <item x="227"/>
        <item x="337"/>
        <item x="415"/>
        <item x="351"/>
        <item x="261"/>
        <item x="47"/>
        <item x="394"/>
        <item x="213"/>
        <item x="437"/>
        <item x="49"/>
        <item x="101"/>
        <item x="338"/>
        <item x="432"/>
        <item x="324"/>
        <item x="310"/>
        <item x="17"/>
        <item x="132"/>
        <item x="333"/>
        <item x="197"/>
        <item x="334"/>
        <item x="321"/>
        <item x="426"/>
        <item x="416"/>
        <item x="466"/>
        <item x="460"/>
        <item x="193"/>
        <item x="162"/>
        <item x="225"/>
        <item x="36"/>
        <item x="223"/>
        <item x="439"/>
        <item x="52"/>
        <item x="367"/>
        <item x="209"/>
        <item x="297"/>
        <item x="345"/>
        <item x="50"/>
        <item x="119"/>
        <item x="243"/>
        <item x="260"/>
        <item x="414"/>
        <item x="84"/>
        <item x="94"/>
        <item x="235"/>
        <item x="8"/>
        <item x="319"/>
        <item x="195"/>
        <item x="289"/>
        <item x="313"/>
        <item x="445"/>
        <item x="66"/>
        <item x="109"/>
        <item x="308"/>
        <item x="395"/>
        <item x="82"/>
        <item x="463"/>
        <item x="188"/>
        <item x="314"/>
        <item x="341"/>
        <item x="454"/>
        <item x="442"/>
        <item x="417"/>
        <item x="228"/>
        <item x="211"/>
        <item x="206"/>
        <item x="369"/>
        <item x="280"/>
        <item x="14"/>
        <item x="403"/>
        <item x="1"/>
        <item x="326"/>
        <item x="434"/>
        <item x="263"/>
        <item x="477"/>
        <item x="41"/>
        <item x="74"/>
        <item x="420"/>
        <item x="111"/>
        <item x="305"/>
        <item x="63"/>
        <item x="102"/>
        <item x="135"/>
        <item x="127"/>
        <item x="459"/>
        <item x="28"/>
        <item x="405"/>
        <item x="295"/>
        <item x="456"/>
        <item x="389"/>
        <item x="379"/>
        <item x="249"/>
        <item x="11"/>
        <item x="383"/>
        <item x="363"/>
        <item x="430"/>
        <item x="104"/>
        <item x="88"/>
        <item x="342"/>
        <item x="380"/>
        <item x="472"/>
        <item x="51"/>
        <item x="30"/>
        <item x="230"/>
        <item x="299"/>
        <item x="198"/>
        <item x="226"/>
        <item x="168"/>
        <item x="26"/>
        <item x="393"/>
        <item x="453"/>
        <item x="317"/>
        <item x="91"/>
        <item x="137"/>
        <item x="69"/>
        <item x="155"/>
        <item x="83"/>
        <item x="201"/>
        <item x="478"/>
        <item x="441"/>
        <item x="427"/>
        <item x="253"/>
        <item x="320"/>
        <item x="126"/>
        <item x="92"/>
        <item x="278"/>
        <item x="220"/>
        <item x="425"/>
        <item x="267"/>
        <item x="257"/>
        <item x="461"/>
        <item x="438"/>
        <item x="315"/>
        <item x="207"/>
        <item x="42"/>
        <item x="316"/>
        <item x="205"/>
        <item x="9"/>
        <item x="476"/>
        <item x="169"/>
        <item x="166"/>
        <item x="232"/>
        <item x="401"/>
        <item x="246"/>
        <item x="242"/>
        <item x="133"/>
        <item x="244"/>
        <item x="60"/>
        <item x="429"/>
        <item x="215"/>
        <item x="199"/>
        <item x="100"/>
        <item x="266"/>
        <item x="286"/>
        <item x="194"/>
        <item x="58"/>
        <item x="48"/>
        <item x="343"/>
        <item x="330"/>
        <item x="231"/>
        <item x="15"/>
        <item x="160"/>
        <item x="312"/>
        <item x="388"/>
        <item x="300"/>
        <item x="443"/>
        <item x="151"/>
        <item x="21"/>
        <item x="446"/>
        <item x="475"/>
        <item x="331"/>
        <item x="274"/>
        <item x="329"/>
        <item x="78"/>
        <item x="130"/>
        <item x="328"/>
        <item x="71"/>
        <item x="283"/>
        <item x="307"/>
        <item x="256"/>
        <item x="469"/>
        <item x="141"/>
        <item x="252"/>
        <item x="189"/>
        <item x="290"/>
        <item x="72"/>
        <item x="7"/>
        <item x="53"/>
        <item x="455"/>
        <item x="64"/>
        <item x="265"/>
        <item x="171"/>
        <item x="139"/>
        <item x="259"/>
        <item x="408"/>
        <item x="191"/>
        <item x="210"/>
        <item x="250"/>
        <item x="400"/>
        <item x="54"/>
        <item x="409"/>
        <item x="146"/>
        <item x="358"/>
        <item x="268"/>
        <item x="183"/>
        <item x="90"/>
        <item x="450"/>
        <item x="10"/>
        <item x="18"/>
        <item x="153"/>
        <item x="323"/>
        <item x="465"/>
        <item x="353"/>
        <item x="89"/>
        <item x="325"/>
        <item x="140"/>
        <item x="152"/>
        <item x="56"/>
        <item x="468"/>
        <item x="277"/>
        <item x="105"/>
        <item x="81"/>
        <item x="467"/>
        <item x="29"/>
        <item x="19"/>
        <item x="79"/>
        <item x="145"/>
        <item x="273"/>
        <item x="112"/>
        <item x="95"/>
        <item x="377"/>
        <item x="43"/>
        <item x="375"/>
        <item x="76"/>
        <item x="397"/>
        <item x="245"/>
        <item x="116"/>
        <item x="282"/>
        <item x="172"/>
        <item x="234"/>
        <item x="364"/>
        <item x="344"/>
        <item x="87"/>
        <item x="281"/>
        <item x="387"/>
        <item x="451"/>
        <item x="5"/>
        <item x="386"/>
        <item x="254"/>
        <item x="293"/>
        <item x="359"/>
        <item x="384"/>
        <item x="27"/>
        <item x="99"/>
        <item x="306"/>
        <item x="292"/>
        <item x="339"/>
        <item x="318"/>
        <item x="255"/>
        <item x="449"/>
        <item x="34"/>
        <item x="382"/>
        <item x="410"/>
        <item x="203"/>
        <item x="458"/>
        <item x="370"/>
        <item x="247"/>
        <item x="12"/>
        <item x="120"/>
        <item x="181"/>
        <item x="35"/>
        <item x="362"/>
        <item x="212"/>
        <item x="80"/>
        <item x="471"/>
        <item x="418"/>
        <item x="464"/>
        <item x="13"/>
        <item x="208"/>
        <item x="373"/>
        <item x="45"/>
        <item x="123"/>
        <item x="272"/>
        <item x="350"/>
        <item x="31"/>
        <item x="385"/>
        <item x="114"/>
        <item x="354"/>
        <item x="106"/>
        <item x="182"/>
        <item x="404"/>
        <item x="412"/>
        <item x="192"/>
        <item x="413"/>
        <item x="346"/>
        <item x="122"/>
        <item x="32"/>
        <item x="352"/>
        <item x="483"/>
        <item t="default"/>
      </items>
    </pivotField>
    <pivotField name="NUM AUDIFONOS" dataField="1" compact="0" numFmtId="3" outline="0" multipleItemSelectionAllowed="1" showAll="0"/>
    <pivotField name="TOTAL AUDIFONOS SIN IVA" dataField="1" compact="0" numFmtId="4" outline="0" multipleItemSelectionAllowed="1" showAll="0"/>
    <pivotField name="CANAL" compact="0" outline="0" multipleItemSelectionAllowed="1" showAll="0"/>
    <pivotField name="SUBCANAL" compact="0" outline="0" multipleItemSelectionAllowed="1" showAll="0"/>
    <pivotField name="NOMBRE ORL/CAMPAÑA" axis="axisRow" compact="0" outline="0" multipleItemSelectionAllowed="1" showAll="0" sortType="ascending">
      <items count="224">
        <item sd="0" x="127"/>
        <item sd="0" x="78"/>
        <item sd="0" x="62"/>
        <item sd="0" x="122"/>
        <item sd="0" x="104"/>
        <item sd="0" x="154"/>
        <item x="123"/>
        <item sd="0" x="138"/>
        <item x="46"/>
        <item x="206"/>
        <item sd="0" x="4"/>
        <item sd="0" x="55"/>
        <item sd="0" x="1"/>
        <item sd="0" x="198"/>
        <item sd="0" x="199"/>
        <item sd="0" x="147"/>
        <item x="69"/>
        <item sd="0" x="184"/>
        <item sd="0" x="73"/>
        <item sd="0" x="114"/>
        <item sd="0" x="80"/>
        <item x="19"/>
        <item x="53"/>
        <item sd="0" x="125"/>
        <item x="102"/>
        <item sd="0" x="2"/>
        <item x="42"/>
        <item sd="0" x="166"/>
        <item sd="0" x="208"/>
        <item x="79"/>
        <item sd="0" x="143"/>
        <item sd="0" x="99"/>
        <item x="172"/>
        <item sd="0" x="195"/>
        <item x="156"/>
        <item sd="0" x="84"/>
        <item sd="0" x="67"/>
        <item sd="0" x="150"/>
        <item sd="0" x="148"/>
        <item sd="0" x="113"/>
        <item sd="0" x="22"/>
        <item x="64"/>
        <item sd="0" x="16"/>
        <item sd="0" x="47"/>
        <item sd="0" x="134"/>
        <item sd="0" x="161"/>
        <item sd="0" x="209"/>
        <item x="65"/>
        <item sd="0" x="170"/>
        <item sd="0" x="171"/>
        <item sd="0" x="40"/>
        <item sd="0" x="187"/>
        <item sd="0" x="110"/>
        <item x="145"/>
        <item sd="0" x="38"/>
        <item x="103"/>
        <item sd="0" x="186"/>
        <item sd="0" x="8"/>
        <item sd="0" x="24"/>
        <item sd="0" x="31"/>
        <item sd="0" x="152"/>
        <item sd="0" x="97"/>
        <item sd="0" x="202"/>
        <item sd="0" x="211"/>
        <item sd="0" x="59"/>
        <item sd="0" x="28"/>
        <item sd="0" x="85"/>
        <item sd="0" x="32"/>
        <item sd="0" x="7"/>
        <item sd="0" x="96"/>
        <item sd="0" x="141"/>
        <item sd="0" x="23"/>
        <item sd="0" x="5"/>
        <item x="217"/>
        <item sd="0" x="203"/>
        <item sd="0" x="196"/>
        <item x="221"/>
        <item sd="0" x="135"/>
        <item sd="0" x="117"/>
        <item sd="0" x="41"/>
        <item sd="0" x="86"/>
        <item sd="0" x="158"/>
        <item sd="0" x="205"/>
        <item sd="0" x="162"/>
        <item sd="0" x="107"/>
        <item sd="0" x="57"/>
        <item x="121"/>
        <item sd="0" x="197"/>
        <item sd="0" x="131"/>
        <item sd="0" x="163"/>
        <item sd="0" x="50"/>
        <item sd="0" x="160"/>
        <item sd="0" x="82"/>
        <item sd="0" x="165"/>
        <item sd="0" x="153"/>
        <item sd="0" x="168"/>
        <item sd="0" x="214"/>
        <item sd="0" x="201"/>
        <item sd="0" x="194"/>
        <item sd="0" x="191"/>
        <item x="89"/>
        <item x="37"/>
        <item sd="0" x="21"/>
        <item sd="0" x="124"/>
        <item sd="0" x="106"/>
        <item sd="0" x="25"/>
        <item x="54"/>
        <item sd="0" x="98"/>
        <item x="144"/>
        <item sd="0" x="215"/>
        <item sd="0" x="63"/>
        <item sd="0" x="192"/>
        <item sd="0" x="174"/>
        <item x="119"/>
        <item x="91"/>
        <item sd="0" x="157"/>
        <item sd="0" x="183"/>
        <item x="52"/>
        <item x="181"/>
        <item sd="0" x="75"/>
        <item x="218"/>
        <item sd="0" x="159"/>
        <item sd="0" x="105"/>
        <item sd="0" x="133"/>
        <item x="108"/>
        <item sd="0" x="115"/>
        <item x="18"/>
        <item sd="0" x="15"/>
        <item sd="0" x="132"/>
        <item sd="0" x="219"/>
        <item sd="0" x="146"/>
        <item sd="0" x="43"/>
        <item sd="0" x="128"/>
        <item sd="0" x="61"/>
        <item x="111"/>
        <item sd="0" x="185"/>
        <item x="81"/>
        <item sd="0" x="56"/>
        <item x="87"/>
        <item sd="0" x="204"/>
        <item sd="0" x="14"/>
        <item sd="0" x="188"/>
        <item sd="0" x="210"/>
        <item x="29"/>
        <item sd="0" x="11"/>
        <item sd="0" x="126"/>
        <item sd="0" x="36"/>
        <item sd="0" x="74"/>
        <item sd="0" x="17"/>
        <item sd="0" x="94"/>
        <item sd="0" x="220"/>
        <item sd="0" x="179"/>
        <item sd="0" x="45"/>
        <item sd="0" x="129"/>
        <item sd="0" x="39"/>
        <item sd="0" x="9"/>
        <item sd="0" x="193"/>
        <item sd="0" x="139"/>
        <item sd="0" x="44"/>
        <item sd="0" x="0"/>
        <item sd="0" x="136"/>
        <item sd="0" x="178"/>
        <item sd="0" x="182"/>
        <item sd="0" x="66"/>
        <item sd="0" x="20"/>
        <item sd="0" x="60"/>
        <item sd="0" x="130"/>
        <item sd="0" x="27"/>
        <item sd="0" x="100"/>
        <item sd="0" x="118"/>
        <item sd="0" x="68"/>
        <item sd="0" x="200"/>
        <item sd="0" x="49"/>
        <item sd="0" x="167"/>
        <item sd="0" x="34"/>
        <item sd="0" x="164"/>
        <item sd="0" x="71"/>
        <item sd="0" x="30"/>
        <item sd="0" x="101"/>
        <item x="207"/>
        <item sd="0" x="51"/>
        <item x="92"/>
        <item sd="0" x="35"/>
        <item sd="0" x="142"/>
        <item sd="0" x="173"/>
        <item sd="0" x="149"/>
        <item sd="0" x="10"/>
        <item sd="0" x="155"/>
        <item sd="0" x="70"/>
        <item sd="0" x="213"/>
        <item x="83"/>
        <item sd="0" x="112"/>
        <item sd="0" x="140"/>
        <item sd="0" x="137"/>
        <item sd="0" x="77"/>
        <item sd="0" x="90"/>
        <item sd="0" x="3"/>
        <item sd="0" x="13"/>
        <item sd="0" x="95"/>
        <item x="72"/>
        <item sd="0" x="58"/>
        <item sd="0" x="120"/>
        <item sd="0" x="76"/>
        <item sd="0" x="190"/>
        <item x="33"/>
        <item sd="0" x="180"/>
        <item sd="0" x="151"/>
        <item x="109"/>
        <item sd="0" x="26"/>
        <item sd="0" x="189"/>
        <item sd="0" x="116"/>
        <item sd="0" x="12"/>
        <item sd="0" x="177"/>
        <item sd="0" x="169"/>
        <item x="93"/>
        <item sd="0" x="216"/>
        <item sd="0" x="212"/>
        <item sd="0" x="48"/>
        <item sd="0" x="88"/>
        <item x="176"/>
        <item x="175"/>
        <item sd="0" x="6"/>
        <item sd="0" x="222"/>
        <item t="default"/>
      </items>
    </pivotField>
    <pivotField name="NOMBRE VISITADOR" axis="axisRow" compact="0" outline="0" multipleItemSelectionAllowed="1" showAll="0" sortType="ascending">
      <items count="12">
        <item sd="0" x="2"/>
        <item sd="0" x="9"/>
        <item sd="0" x="7"/>
        <item sd="0" x="6"/>
        <item sd="0" x="8"/>
        <item sd="0" x="1"/>
        <item sd="0" x="4"/>
        <item sd="0" x="3"/>
        <item sd="0" x="5"/>
        <item sd="0" x="0"/>
        <item sd="0" x="10"/>
        <item t="default"/>
      </items>
    </pivotField>
  </pivotFields>
  <rowFields count="5">
    <field x="15"/>
    <field x="2"/>
    <field x="4"/>
    <field x="14"/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 AUDIFONOS" fld="10" baseField="0"/>
    <dataField name="SUM of TOTAL AUDIFONOS SIN IVA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aidifono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A3223"/>
  <sheetViews>
    <sheetView tabSelected="1" workbookViewId="0">
      <selection sqref="A1:XFD1048576"/>
    </sheetView>
  </sheetViews>
  <sheetFormatPr baseColWidth="10" defaultColWidth="12.6640625" defaultRowHeight="15" customHeight="1"/>
  <cols>
    <col min="1" max="53" width="24.6640625" customWidth="1"/>
  </cols>
  <sheetData>
    <row r="1" spans="1:53" ht="16">
      <c r="A1" s="11" t="s">
        <v>45</v>
      </c>
      <c r="B1" s="12" t="s">
        <v>46</v>
      </c>
      <c r="C1" s="8" t="str">
        <f ca="1">IFERROR(__xludf.DUMMYFUNCTION("QUERY(IMPORTRANGE(""1y_3LleCxvzurbj_vKa53p6-h3HGan0CBvsIGq6qCvKU/edit?gid=1277712770#gid=1277712770"",""DATOSANALISIS!C:AM""),""SELECT Col1, Col4, Col5, Col6, Col7, Col8, Col9, Col13, Col14, Col15, Col16, Col18, Col19, Col21, Col29, Col35, Col36, Col37"","&amp;"1)"),"cód ORL")</f>
        <v>cód ORL</v>
      </c>
      <c r="D1" s="5" t="str">
        <f ca="1">IFERROR(__xludf.DUMMYFUNCTION("""COMPUTED_VALUE"""),"TIPO")</f>
        <v>TIPO</v>
      </c>
      <c r="E1" s="5" t="str">
        <f ca="1">IFERROR(__xludf.DUMMYFUNCTION("""COMPUTED_VALUE"""),"Año Estado")</f>
        <v>Año Estado</v>
      </c>
      <c r="F1" s="5" t="str">
        <f ca="1">IFERROR(__xludf.DUMMYFUNCTION("""COMPUTED_VALUE"""),"Mes Estado")</f>
        <v>Mes Estado</v>
      </c>
      <c r="G1" s="3" t="str">
        <f ca="1">IFERROR(__xludf.DUMMYFUNCTION("""COMPUTED_VALUE"""),"SUCURSAL")</f>
        <v>SUCURSAL</v>
      </c>
      <c r="H1" s="3" t="str">
        <f ca="1">IFERROR(__xludf.DUMMYFUNCTION("""COMPUTED_VALUE"""),"COD CLIENTE")</f>
        <v>COD CLIENTE</v>
      </c>
      <c r="I1" s="3" t="str">
        <f ca="1">IFERROR(__xludf.DUMMYFUNCTION("""COMPUTED_VALUE"""),"NOMBRE CLIENTE")</f>
        <v>NOMBRE CLIENTE</v>
      </c>
      <c r="J1" s="3" t="str">
        <f ca="1">IFERROR(__xludf.DUMMYFUNCTION("""COMPUTED_VALUE"""),"FECHA INICIO OPORTUNIDAD")</f>
        <v>FECHA INICIO OPORTUNIDAD</v>
      </c>
      <c r="K1" s="3" t="str">
        <f ca="1">IFERROR(__xludf.DUMMYFUNCTION("""COMPUTED_VALUE"""),"ESTADO OPORTUNIDAD")</f>
        <v>ESTADO OPORTUNIDAD</v>
      </c>
      <c r="L1" s="3" t="str">
        <f ca="1">IFERROR(__xludf.DUMMYFUNCTION("""COMPUTED_VALUE"""),"FECHA ESTADO OPORTUNIDAD")</f>
        <v>FECHA ESTADO OPORTUNIDAD</v>
      </c>
      <c r="M1" s="3" t="str">
        <f ca="1">IFERROR(__xludf.DUMMYFUNCTION("""COMPUTED_VALUE"""),"RECOMPRA")</f>
        <v>RECOMPRA</v>
      </c>
      <c r="N1" s="3" t="str">
        <f ca="1">IFERROR(__xludf.DUMMYFUNCTION("""COMPUTED_VALUE"""),"NUM AUDIFONOS")</f>
        <v>NUM AUDIFONOS</v>
      </c>
      <c r="O1" s="3" t="str">
        <f ca="1">IFERROR(__xludf.DUMMYFUNCTION("""COMPUTED_VALUE"""),"MODELO (AUDIF 1)")</f>
        <v>MODELO (AUDIF 1)</v>
      </c>
      <c r="P1" s="3" t="str">
        <f ca="1">IFERROR(__xludf.DUMMYFUNCTION("""COMPUTED_VALUE"""),"IMPORTE SIN IVA")</f>
        <v>IMPORTE SIN IVA</v>
      </c>
      <c r="Q1" s="3" t="str">
        <f ca="1">IFERROR(__xludf.DUMMYFUNCTION("""COMPUTED_VALUE"""),"VISITADOR")</f>
        <v>VISITADOR</v>
      </c>
      <c r="R1" s="3" t="str">
        <f ca="1">IFERROR(__xludf.DUMMYFUNCTION("""COMPUTED_VALUE"""),"NOMBRE ORL/CAMPAÑA")</f>
        <v>NOMBRE ORL/CAMPAÑA</v>
      </c>
      <c r="S1" s="3" t="str">
        <f ca="1">IFERROR(__xludf.DUMMYFUNCTION("""COMPUTED_VALUE"""),"CANAL")</f>
        <v>CANAL</v>
      </c>
      <c r="T1" s="3" t="str">
        <f ca="1">IFERROR(__xludf.DUMMYFUNCTION("""COMPUTED_VALUE"""),"SUBCANAL")</f>
        <v>SUBCANAL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5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6">
      <c r="A2" s="13">
        <v>46113</v>
      </c>
      <c r="B2" s="14" t="str">
        <f t="shared" ref="B2:B256" ca="1" si="0">IF($C2="","",LEFT(C2,3))</f>
        <v>RFV</v>
      </c>
      <c r="C2" s="2" t="str">
        <f ca="1">IFERROR(__xludf.DUMMYFUNCTION("""COMPUTED_VALUE"""),"RFV29")</f>
        <v>RFV29</v>
      </c>
      <c r="D2" s="1" t="str">
        <f ca="1">IFERROR(__xludf.DUMMYFUNCTION("""COMPUTED_VALUE"""),"PROPIOS")</f>
        <v>PROPIOS</v>
      </c>
      <c r="E2" s="1">
        <f ca="1">IFERROR(__xludf.DUMMYFUNCTION("""COMPUTED_VALUE"""),2026)</f>
        <v>2026</v>
      </c>
      <c r="F2" s="15">
        <f ca="1">IFERROR(__xludf.DUMMYFUNCTION("""COMPUTED_VALUE"""),1)</f>
        <v>1</v>
      </c>
      <c r="G2" s="6" t="str">
        <f ca="1">IFERROR(__xludf.DUMMYFUNCTION("""COMPUTED_VALUE"""),"Valencia- Parra")</f>
        <v>Valencia- Parra</v>
      </c>
      <c r="H2" s="6" t="str">
        <f ca="1">IFERROR(__xludf.DUMMYFUNCTION("""COMPUTED_VALUE"""),"C202511592157270489")</f>
        <v>C202511592157270489</v>
      </c>
      <c r="I2" s="6" t="str">
        <f ca="1">IFERROR(__xludf.DUMMYFUNCTION("""COMPUTED_VALUE"""),"HEINZ WIEST")</f>
        <v>HEINZ WIEST</v>
      </c>
      <c r="J2" s="16">
        <f ca="1">IFERROR(__xludf.DUMMYFUNCTION("""COMPUTED_VALUE"""),45966)</f>
        <v>45966</v>
      </c>
      <c r="K2" s="6" t="str">
        <f ca="1">IFERROR(__xludf.DUMMYFUNCTION("""COMPUTED_VALUE"""),"Factura audífonos")</f>
        <v>Factura audífonos</v>
      </c>
      <c r="L2" s="16">
        <f ca="1">IFERROR(__xludf.DUMMYFUNCTION("""COMPUTED_VALUE"""),46024)</f>
        <v>46024</v>
      </c>
      <c r="M2" s="17" t="str">
        <f ca="1">IFERROR(__xludf.DUMMYFUNCTION("""COMPUTED_VALUE"""),"NO")</f>
        <v>NO</v>
      </c>
      <c r="N2" s="15">
        <f ca="1">IFERROR(__xludf.DUMMYFUNCTION("""COMPUTED_VALUE"""),2)</f>
        <v>2</v>
      </c>
      <c r="O2" s="17" t="str">
        <f ca="1">IFERROR(__xludf.DUMMYFUNCTION("""COMPUTED_VALUE"""),"PRO")</f>
        <v>PRO</v>
      </c>
      <c r="P2" s="18">
        <f ca="1">IFERROR(__xludf.DUMMYFUNCTION("""COMPUTED_VALUE"""),4536.36)</f>
        <v>4536.3599999999997</v>
      </c>
      <c r="Q2" s="6" t="str">
        <f ca="1">IFERROR(__xludf.DUMMYFUNCTION("""COMPUTED_VALUE"""),"Ramon Ferrando")</f>
        <v>Ramon Ferrando</v>
      </c>
      <c r="R2" s="19" t="str">
        <f ca="1">IFERROR(__xludf.DUMMYFUNCTION("""COMPUTED_VALUE"""),"Fe Rubio Escolano")</f>
        <v>Fe Rubio Escolano</v>
      </c>
      <c r="S2" s="20" t="str">
        <f ca="1">IFERROR(__xludf.DUMMYFUNCTION("""COMPUTED_VALUE"""),"03 ORL")</f>
        <v>03 ORL</v>
      </c>
      <c r="T2" s="6" t="str">
        <f ca="1">IFERROR(__xludf.DUMMYFUNCTION("""COMPUTED_VALUE"""),"06 ORL")</f>
        <v>06 ORL</v>
      </c>
      <c r="U2" s="21"/>
      <c r="W2" s="21"/>
      <c r="X2" s="21"/>
    </row>
    <row r="3" spans="1:53" ht="16">
      <c r="A3" s="1"/>
      <c r="B3" s="14" t="str">
        <f t="shared" ca="1" si="0"/>
        <v>LRM</v>
      </c>
      <c r="C3" s="22" t="str">
        <f ca="1">IFERROR(__xludf.DUMMYFUNCTION("""COMPUTED_VALUE"""),"LRM240")</f>
        <v>LRM240</v>
      </c>
      <c r="D3" s="6" t="str">
        <f ca="1">IFERROR(__xludf.DUMMYFUNCTION("""COMPUTED_VALUE"""),"ASOCIADOS")</f>
        <v>ASOCIADOS</v>
      </c>
      <c r="E3" s="6">
        <f ca="1">IFERROR(__xludf.DUMMYFUNCTION("""COMPUTED_VALUE"""),2026)</f>
        <v>2026</v>
      </c>
      <c r="F3" s="15">
        <f ca="1">IFERROR(__xludf.DUMMYFUNCTION("""COMPUTED_VALUE"""),1)</f>
        <v>1</v>
      </c>
      <c r="G3" s="6" t="str">
        <f ca="1">IFERROR(__xludf.DUMMYFUNCTION("""COMPUTED_VALUE"""),"Cáceres")</f>
        <v>Cáceres</v>
      </c>
      <c r="H3" s="6" t="str">
        <f ca="1">IFERROR(__xludf.DUMMYFUNCTION("""COMPUTED_VALUE"""),"C202512110551976531")</f>
        <v>C202512110551976531</v>
      </c>
      <c r="I3" s="6" t="str">
        <f ca="1">IFERROR(__xludf.DUMMYFUNCTION("""COMPUTED_VALUE"""),"JUAN MANUEL CORCHERO HIGUERO")</f>
        <v>JUAN MANUEL CORCHERO HIGUERO</v>
      </c>
      <c r="J3" s="16">
        <f ca="1">IFERROR(__xludf.DUMMYFUNCTION("""COMPUTED_VALUE"""),45992)</f>
        <v>45992</v>
      </c>
      <c r="K3" s="6" t="str">
        <f ca="1">IFERROR(__xludf.DUMMYFUNCTION("""COMPUTED_VALUE"""),"Factura audífonos")</f>
        <v>Factura audífonos</v>
      </c>
      <c r="L3" s="16">
        <f ca="1">IFERROR(__xludf.DUMMYFUNCTION("""COMPUTED_VALUE"""),46024)</f>
        <v>46024</v>
      </c>
      <c r="M3" s="17" t="str">
        <f ca="1">IFERROR(__xludf.DUMMYFUNCTION("""COMPUTED_VALUE"""),"NO")</f>
        <v>NO</v>
      </c>
      <c r="N3" s="15">
        <f ca="1">IFERROR(__xludf.DUMMYFUNCTION("""COMPUTED_VALUE"""),2)</f>
        <v>2</v>
      </c>
      <c r="O3" s="23" t="str">
        <f ca="1">IFERROR(__xludf.DUMMYFUNCTION("""COMPUTED_VALUE"""),"QUIET")</f>
        <v>QUIET</v>
      </c>
      <c r="P3" s="18">
        <f ca="1">IFERROR(__xludf.DUMMYFUNCTION("""COMPUTED_VALUE"""),3636.36)</f>
        <v>3636.36</v>
      </c>
      <c r="Q3" s="6" t="str">
        <f ca="1">IFERROR(__xludf.DUMMYFUNCTION("""COMPUTED_VALUE"""),"Lisandro Russian")</f>
        <v>Lisandro Russian</v>
      </c>
      <c r="R3" s="19" t="str">
        <f ca="1">IFERROR(__xludf.DUMMYFUNCTION("""COMPUTED_VALUE"""),"Andrés Paulino Herrera")</f>
        <v>Andrés Paulino Herrera</v>
      </c>
      <c r="S3" s="20" t="str">
        <f ca="1">IFERROR(__xludf.DUMMYFUNCTION("""COMPUTED_VALUE"""),"03 ORL")</f>
        <v>03 ORL</v>
      </c>
      <c r="T3" s="6" t="str">
        <f ca="1">IFERROR(__xludf.DUMMYFUNCTION("""COMPUTED_VALUE"""),"06 ORL")</f>
        <v>06 ORL</v>
      </c>
      <c r="U3" s="21"/>
      <c r="W3" s="21"/>
      <c r="X3" s="21"/>
    </row>
    <row r="4" spans="1:53" ht="16">
      <c r="A4" s="6"/>
      <c r="B4" s="14" t="str">
        <f t="shared" ca="1" si="0"/>
        <v>PSC</v>
      </c>
      <c r="C4" s="23" t="str">
        <f ca="1">IFERROR(__xludf.DUMMYFUNCTION("""COMPUTED_VALUE"""),"PSC06")</f>
        <v>PSC06</v>
      </c>
      <c r="D4" s="6" t="str">
        <f ca="1">IFERROR(__xludf.DUMMYFUNCTION("""COMPUTED_VALUE"""),"ASOCIADOS")</f>
        <v>ASOCIADOS</v>
      </c>
      <c r="E4" s="6">
        <f ca="1">IFERROR(__xludf.DUMMYFUNCTION("""COMPUTED_VALUE"""),2026)</f>
        <v>2026</v>
      </c>
      <c r="F4" s="15">
        <f ca="1">IFERROR(__xludf.DUMMYFUNCTION("""COMPUTED_VALUE"""),1)</f>
        <v>1</v>
      </c>
      <c r="G4" s="6" t="str">
        <f ca="1">IFERROR(__xludf.DUMMYFUNCTION("""COMPUTED_VALUE"""),"Valladolid")</f>
        <v>Valladolid</v>
      </c>
      <c r="H4" s="6" t="str">
        <f ca="1">IFERROR(__xludf.DUMMYFUNCTION("""COMPUTED_VALUE"""),"VLL-474")</f>
        <v>VLL-474</v>
      </c>
      <c r="I4" s="6" t="str">
        <f ca="1">IFERROR(__xludf.DUMMYFUNCTION("""COMPUTED_VALUE"""),"GAUDENCIO GARCIA REGUERO")</f>
        <v>GAUDENCIO GARCIA REGUERO</v>
      </c>
      <c r="J4" s="16">
        <f ca="1">IFERROR(__xludf.DUMMYFUNCTION("""COMPUTED_VALUE"""),45964)</f>
        <v>45964</v>
      </c>
      <c r="K4" s="6" t="str">
        <f ca="1">IFERROR(__xludf.DUMMYFUNCTION("""COMPUTED_VALUE"""),"Factura audífonos")</f>
        <v>Factura audífonos</v>
      </c>
      <c r="L4" s="16">
        <f ca="1">IFERROR(__xludf.DUMMYFUNCTION("""COMPUTED_VALUE"""),46027)</f>
        <v>46027</v>
      </c>
      <c r="M4" s="17" t="str">
        <f ca="1">IFERROR(__xludf.DUMMYFUNCTION("""COMPUTED_VALUE"""),"NO")</f>
        <v>NO</v>
      </c>
      <c r="N4" s="15">
        <f ca="1">IFERROR(__xludf.DUMMYFUNCTION("""COMPUTED_VALUE"""),2)</f>
        <v>2</v>
      </c>
      <c r="O4" s="17" t="str">
        <f ca="1">IFERROR(__xludf.DUMMYFUNCTION("""COMPUTED_VALUE"""),"CONFORT")</f>
        <v>CONFORT</v>
      </c>
      <c r="P4" s="19">
        <f ca="1">IFERROR(__xludf.DUMMYFUNCTION("""COMPUTED_VALUE"""),3522.73)</f>
        <v>3522.73</v>
      </c>
      <c r="Q4" s="6" t="str">
        <f ca="1">IFERROR(__xludf.DUMMYFUNCTION("""COMPUTED_VALUE"""),"Alberto Moreno")</f>
        <v>Alberto Moreno</v>
      </c>
      <c r="R4" s="19" t="str">
        <f ca="1">IFERROR(__xludf.DUMMYFUNCTION("""COMPUTED_VALUE"""),"Carlos Miguel Salvador Martínez")</f>
        <v>Carlos Miguel Salvador Martínez</v>
      </c>
      <c r="S4" s="20" t="str">
        <f ca="1">IFERROR(__xludf.DUMMYFUNCTION("""COMPUTED_VALUE"""),"03 ORL")</f>
        <v>03 ORL</v>
      </c>
      <c r="T4" s="6" t="str">
        <f ca="1">IFERROR(__xludf.DUMMYFUNCTION("""COMPUTED_VALUE"""),"06 ORL")</f>
        <v>06 ORL</v>
      </c>
      <c r="U4" s="21"/>
      <c r="W4" s="21"/>
      <c r="X4" s="21"/>
      <c r="AE4" s="1"/>
    </row>
    <row r="5" spans="1:53" ht="16">
      <c r="A5" s="6"/>
      <c r="B5" s="14" t="str">
        <f t="shared" ca="1" si="0"/>
        <v>MBM</v>
      </c>
      <c r="C5" s="23" t="str">
        <f ca="1">IFERROR(__xludf.DUMMYFUNCTION("""COMPUTED_VALUE"""),"MBM156")</f>
        <v>MBM156</v>
      </c>
      <c r="D5" s="6" t="str">
        <f ca="1">IFERROR(__xludf.DUMMYFUNCTION("""COMPUTED_VALUE"""),"PROPIOS")</f>
        <v>PROPIOS</v>
      </c>
      <c r="E5" s="6">
        <f ca="1">IFERROR(__xludf.DUMMYFUNCTION("""COMPUTED_VALUE"""),2026)</f>
        <v>2026</v>
      </c>
      <c r="F5" s="24">
        <f ca="1">IFERROR(__xludf.DUMMYFUNCTION("""COMPUTED_VALUE"""),1)</f>
        <v>1</v>
      </c>
      <c r="G5" s="6" t="str">
        <f ca="1">IFERROR(__xludf.DUMMYFUNCTION("""COMPUTED_VALUE"""),"Getafe")</f>
        <v>Getafe</v>
      </c>
      <c r="H5" s="6" t="str">
        <f ca="1">IFERROR(__xludf.DUMMYFUNCTION("""COMPUTED_VALUE"""),"C202511141135536493")</f>
        <v>C202511141135536493</v>
      </c>
      <c r="I5" s="6" t="str">
        <f ca="1">IFERROR(__xludf.DUMMYFUNCTION("""COMPUTED_VALUE"""),"ANTONIO CALVETE OLIVA")</f>
        <v>ANTONIO CALVETE OLIVA</v>
      </c>
      <c r="J5" s="16">
        <f ca="1">IFERROR(__xludf.DUMMYFUNCTION("""COMPUTED_VALUE"""),45975)</f>
        <v>45975</v>
      </c>
      <c r="K5" s="6" t="str">
        <f ca="1">IFERROR(__xludf.DUMMYFUNCTION("""COMPUTED_VALUE"""),"Factura audífonos")</f>
        <v>Factura audífonos</v>
      </c>
      <c r="L5" s="16">
        <f ca="1">IFERROR(__xludf.DUMMYFUNCTION("""COMPUTED_VALUE"""),46027)</f>
        <v>46027</v>
      </c>
      <c r="M5" s="17" t="str">
        <f ca="1">IFERROR(__xludf.DUMMYFUNCTION("""COMPUTED_VALUE"""),"NO")</f>
        <v>NO</v>
      </c>
      <c r="N5" s="15">
        <f ca="1">IFERROR(__xludf.DUMMYFUNCTION("""COMPUTED_VALUE"""),1)</f>
        <v>1</v>
      </c>
      <c r="O5" s="23" t="str">
        <f ca="1">IFERROR(__xludf.DUMMYFUNCTION("""COMPUTED_VALUE"""),"CONFORT")</f>
        <v>CONFORT</v>
      </c>
      <c r="P5" s="19">
        <f ca="1">IFERROR(__xludf.DUMMYFUNCTION("""COMPUTED_VALUE"""),2180.91)</f>
        <v>2180.91</v>
      </c>
      <c r="Q5" s="6" t="str">
        <f ca="1">IFERROR(__xludf.DUMMYFUNCTION("""COMPUTED_VALUE"""),"Maika Blázquez")</f>
        <v>Maika Blázquez</v>
      </c>
      <c r="R5" s="19" t="str">
        <f ca="1">IFERROR(__xludf.DUMMYFUNCTION("""COMPUTED_VALUE"""),"Marta Colmenero Ruiz")</f>
        <v>Marta Colmenero Ruiz</v>
      </c>
      <c r="S5" s="20" t="str">
        <f ca="1">IFERROR(__xludf.DUMMYFUNCTION("""COMPUTED_VALUE"""),"03 ORL")</f>
        <v>03 ORL</v>
      </c>
      <c r="T5" s="6" t="str">
        <f ca="1">IFERROR(__xludf.DUMMYFUNCTION("""COMPUTED_VALUE"""),"06 ORL")</f>
        <v>06 ORL</v>
      </c>
      <c r="U5" s="21"/>
      <c r="W5" s="21"/>
      <c r="X5" s="21"/>
      <c r="AE5" s="1"/>
    </row>
    <row r="6" spans="1:53" ht="16">
      <c r="A6" s="6"/>
      <c r="B6" s="14" t="str">
        <f t="shared" ca="1" si="0"/>
        <v>MBM</v>
      </c>
      <c r="C6" s="23" t="str">
        <f ca="1">IFERROR(__xludf.DUMMYFUNCTION("""COMPUTED_VALUE"""),"MBM07")</f>
        <v>MBM07</v>
      </c>
      <c r="D6" s="1" t="str">
        <f ca="1">IFERROR(__xludf.DUMMYFUNCTION("""COMPUTED_VALUE"""),"PARTICIPADOS")</f>
        <v>PARTICIPADOS</v>
      </c>
      <c r="E6" s="1">
        <f ca="1">IFERROR(__xludf.DUMMYFUNCTION("""COMPUTED_VALUE"""),2026)</f>
        <v>2026</v>
      </c>
      <c r="F6" s="15">
        <f ca="1">IFERROR(__xludf.DUMMYFUNCTION("""COMPUTED_VALUE"""),1)</f>
        <v>1</v>
      </c>
      <c r="G6" s="6" t="str">
        <f ca="1">IFERROR(__xludf.DUMMYFUNCTION("""COMPUTED_VALUE"""),"Madrid- La Oca")</f>
        <v>Madrid- La Oca</v>
      </c>
      <c r="H6" s="6" t="str">
        <f ca="1">IFERROR(__xludf.DUMMYFUNCTION("""COMPUTED_VALUE"""),"C202511171016459133")</f>
        <v>C202511171016459133</v>
      </c>
      <c r="I6" s="6" t="str">
        <f ca="1">IFERROR(__xludf.DUMMYFUNCTION("""COMPUTED_VALUE"""),"AMELIA DIAZ VAZQUEZ")</f>
        <v>AMELIA DIAZ VAZQUEZ</v>
      </c>
      <c r="J6" s="16">
        <f ca="1">IFERROR(__xludf.DUMMYFUNCTION("""COMPUTED_VALUE"""),45978)</f>
        <v>45978</v>
      </c>
      <c r="K6" s="6" t="str">
        <f ca="1">IFERROR(__xludf.DUMMYFUNCTION("""COMPUTED_VALUE"""),"Factura audífonos")</f>
        <v>Factura audífonos</v>
      </c>
      <c r="L6" s="16">
        <f ca="1">IFERROR(__xludf.DUMMYFUNCTION("""COMPUTED_VALUE"""),46029)</f>
        <v>46029</v>
      </c>
      <c r="M6" s="17" t="str">
        <f ca="1">IFERROR(__xludf.DUMMYFUNCTION("""COMPUTED_VALUE"""),"NO")</f>
        <v>NO</v>
      </c>
      <c r="N6" s="15">
        <f ca="1">IFERROR(__xludf.DUMMYFUNCTION("""COMPUTED_VALUE"""),2)</f>
        <v>2</v>
      </c>
      <c r="O6" s="17" t="str">
        <f ca="1">IFERROR(__xludf.DUMMYFUNCTION("""COMPUTED_VALUE"""),"QUIET")</f>
        <v>QUIET</v>
      </c>
      <c r="P6" s="18">
        <f ca="1">IFERROR(__xludf.DUMMYFUNCTION("""COMPUTED_VALUE"""),2718.18)</f>
        <v>2718.18</v>
      </c>
      <c r="Q6" s="6" t="str">
        <f ca="1">IFERROR(__xludf.DUMMYFUNCTION("""COMPUTED_VALUE"""),"Maika Blázquez")</f>
        <v>Maika Blázquez</v>
      </c>
      <c r="R6" s="19" t="str">
        <f ca="1">IFERROR(__xludf.DUMMYFUNCTION("""COMPUTED_VALUE"""),"Andreas Schilling Borghesi")</f>
        <v>Andreas Schilling Borghesi</v>
      </c>
      <c r="S6" s="20" t="str">
        <f ca="1">IFERROR(__xludf.DUMMYFUNCTION("""COMPUTED_VALUE"""),"03 ORL")</f>
        <v>03 ORL</v>
      </c>
      <c r="T6" s="6" t="str">
        <f ca="1">IFERROR(__xludf.DUMMYFUNCTION("""COMPUTED_VALUE"""),"06 ORL")</f>
        <v>06 ORL</v>
      </c>
      <c r="U6" s="21"/>
      <c r="W6" s="21"/>
      <c r="X6" s="21"/>
    </row>
    <row r="7" spans="1:53" ht="16">
      <c r="A7" s="6"/>
      <c r="B7" s="14" t="str">
        <f t="shared" ca="1" si="0"/>
        <v>MBM</v>
      </c>
      <c r="C7" s="22" t="str">
        <f ca="1">IFERROR(__xludf.DUMMYFUNCTION("""COMPUTED_VALUE"""),"MBM52")</f>
        <v>MBM52</v>
      </c>
      <c r="D7" s="1" t="str">
        <f ca="1">IFERROR(__xludf.DUMMYFUNCTION("""COMPUTED_VALUE"""),"PARTICIPADOS")</f>
        <v>PARTICIPADOS</v>
      </c>
      <c r="E7" s="1">
        <f ca="1">IFERROR(__xludf.DUMMYFUNCTION("""COMPUTED_VALUE"""),2026)</f>
        <v>2026</v>
      </c>
      <c r="F7" s="15">
        <f ca="1">IFERROR(__xludf.DUMMYFUNCTION("""COMPUTED_VALUE"""),1)</f>
        <v>1</v>
      </c>
      <c r="G7" s="6" t="str">
        <f ca="1">IFERROR(__xludf.DUMMYFUNCTION("""COMPUTED_VALUE"""),"Madrid- La Oca")</f>
        <v>Madrid- La Oca</v>
      </c>
      <c r="H7" s="6" t="str">
        <f ca="1">IFERROR(__xludf.DUMMYFUNCTION("""COMPUTED_VALUE"""),"C202512911304031492")</f>
        <v>C202512911304031492</v>
      </c>
      <c r="I7" s="6" t="str">
        <f ca="1">IFERROR(__xludf.DUMMYFUNCTION("""COMPUTED_VALUE"""),"REMEDIOS  VECINO PRIETO")</f>
        <v>REMEDIOS  VECINO PRIETO</v>
      </c>
      <c r="J7" s="16">
        <f ca="1">IFERROR(__xludf.DUMMYFUNCTION("""COMPUTED_VALUE"""),46000)</f>
        <v>46000</v>
      </c>
      <c r="K7" s="6" t="str">
        <f ca="1">IFERROR(__xludf.DUMMYFUNCTION("""COMPUTED_VALUE"""),"Factura audífonos")</f>
        <v>Factura audífonos</v>
      </c>
      <c r="L7" s="16">
        <f ca="1">IFERROR(__xludf.DUMMYFUNCTION("""COMPUTED_VALUE"""),46030)</f>
        <v>46030</v>
      </c>
      <c r="M7" s="17" t="str">
        <f ca="1">IFERROR(__xludf.DUMMYFUNCTION("""COMPUTED_VALUE"""),"NO")</f>
        <v>NO</v>
      </c>
      <c r="N7" s="15">
        <f ca="1">IFERROR(__xludf.DUMMYFUNCTION("""COMPUTED_VALUE"""),2)</f>
        <v>2</v>
      </c>
      <c r="O7" s="17" t="str">
        <f ca="1">IFERROR(__xludf.DUMMYFUNCTION("""COMPUTED_VALUE"""),"QUIET")</f>
        <v>QUIET</v>
      </c>
      <c r="P7" s="19">
        <f ca="1">IFERROR(__xludf.DUMMYFUNCTION("""COMPUTED_VALUE"""),2718.18)</f>
        <v>2718.18</v>
      </c>
      <c r="Q7" s="6" t="str">
        <f ca="1">IFERROR(__xludf.DUMMYFUNCTION("""COMPUTED_VALUE"""),"Maika Blázquez")</f>
        <v>Maika Blázquez</v>
      </c>
      <c r="R7" s="19" t="str">
        <f ca="1">IFERROR(__xludf.DUMMYFUNCTION("""COMPUTED_VALUE"""),"José Joaquín Gutiérrez Barquín")</f>
        <v>José Joaquín Gutiérrez Barquín</v>
      </c>
      <c r="S7" s="20" t="str">
        <f ca="1">IFERROR(__xludf.DUMMYFUNCTION("""COMPUTED_VALUE"""),"03 ORL")</f>
        <v>03 ORL</v>
      </c>
      <c r="T7" s="6" t="str">
        <f ca="1">IFERROR(__xludf.DUMMYFUNCTION("""COMPUTED_VALUE"""),"06 ORL")</f>
        <v>06 ORL</v>
      </c>
      <c r="U7" s="21"/>
      <c r="W7" s="21"/>
      <c r="X7" s="21"/>
    </row>
    <row r="8" spans="1:53" ht="16">
      <c r="A8" s="6"/>
      <c r="B8" s="14" t="str">
        <f t="shared" si="0"/>
        <v/>
      </c>
      <c r="C8" s="23"/>
      <c r="D8" s="6" t="str">
        <f ca="1">IFERROR(__xludf.DUMMYFUNCTION("""COMPUTED_VALUE"""),"ASOCIADOS")</f>
        <v>ASOCIADOS</v>
      </c>
      <c r="E8" s="6">
        <f ca="1">IFERROR(__xludf.DUMMYFUNCTION("""COMPUTED_VALUE"""),2026)</f>
        <v>2026</v>
      </c>
      <c r="F8" s="15">
        <f ca="1">IFERROR(__xludf.DUMMYFUNCTION("""COMPUTED_VALUE"""),1)</f>
        <v>1</v>
      </c>
      <c r="G8" s="6" t="str">
        <f ca="1">IFERROR(__xludf.DUMMYFUNCTION("""COMPUTED_VALUE"""),"Sevilla- Ciencias")</f>
        <v>Sevilla- Ciencias</v>
      </c>
      <c r="H8" s="6" t="str">
        <f ca="1">IFERROR(__xludf.DUMMYFUNCTION("""COMPUTED_VALUE"""),"C202511201556282288")</f>
        <v>C202511201556282288</v>
      </c>
      <c r="I8" s="6" t="str">
        <f ca="1">IFERROR(__xludf.DUMMYFUNCTION("""COMPUTED_VALUE"""),"CONCEPCION  ORTIZ SANTIAGO")</f>
        <v>CONCEPCION  ORTIZ SANTIAGO</v>
      </c>
      <c r="J8" s="25">
        <f ca="1">IFERROR(__xludf.DUMMYFUNCTION("""COMPUTED_VALUE"""),45981)</f>
        <v>45981</v>
      </c>
      <c r="K8" s="6" t="str">
        <f ca="1">IFERROR(__xludf.DUMMYFUNCTION("""COMPUTED_VALUE"""),"Factura audífonos")</f>
        <v>Factura audífonos</v>
      </c>
      <c r="L8" s="16">
        <f ca="1">IFERROR(__xludf.DUMMYFUNCTION("""COMPUTED_VALUE"""),46030)</f>
        <v>46030</v>
      </c>
      <c r="M8" s="17" t="str">
        <f ca="1">IFERROR(__xludf.DUMMYFUNCTION("""COMPUTED_VALUE"""),"NO")</f>
        <v>NO</v>
      </c>
      <c r="N8" s="15">
        <f ca="1">IFERROR(__xludf.DUMMYFUNCTION("""COMPUTED_VALUE"""),2)</f>
        <v>2</v>
      </c>
      <c r="O8" s="17" t="str">
        <f ca="1">IFERROR(__xludf.DUMMYFUNCTION("""COMPUTED_VALUE"""),"ADVANCED")</f>
        <v>ADVANCED</v>
      </c>
      <c r="P8" s="18">
        <f ca="1">IFERROR(__xludf.DUMMYFUNCTION("""COMPUTED_VALUE"""),4120)</f>
        <v>4120</v>
      </c>
      <c r="Q8" s="6" t="str">
        <f ca="1">IFERROR(__xludf.DUMMYFUNCTION("""COMPUTED_VALUE"""),"Luis Alberto Rodríguez")</f>
        <v>Luis Alberto Rodríguez</v>
      </c>
      <c r="R8" s="19" t="str">
        <f ca="1">IFERROR(__xludf.DUMMYFUNCTION("""COMPUTED_VALUE"""),"No recuerda ORL")</f>
        <v>No recuerda ORL</v>
      </c>
      <c r="S8" s="20" t="str">
        <f ca="1">IFERROR(__xludf.DUMMYFUNCTION("""COMPUTED_VALUE"""),"03 ORL")</f>
        <v>03 ORL</v>
      </c>
      <c r="T8" s="6" t="str">
        <f ca="1">IFERROR(__xludf.DUMMYFUNCTION("""COMPUTED_VALUE"""),"06 ORL")</f>
        <v>06 ORL</v>
      </c>
      <c r="U8" s="21"/>
      <c r="W8" s="21"/>
      <c r="X8" s="21"/>
    </row>
    <row r="9" spans="1:53" ht="16">
      <c r="A9" s="6"/>
      <c r="B9" s="14" t="str">
        <f t="shared" ca="1" si="0"/>
        <v>MBM</v>
      </c>
      <c r="C9" s="23" t="str">
        <f ca="1">IFERROR(__xludf.DUMMYFUNCTION("""COMPUTED_VALUE"""),"MBM156")</f>
        <v>MBM156</v>
      </c>
      <c r="D9" s="6" t="str">
        <f ca="1">IFERROR(__xludf.DUMMYFUNCTION("""COMPUTED_VALUE"""),"PROPIOS")</f>
        <v>PROPIOS</v>
      </c>
      <c r="E9" s="6">
        <f ca="1">IFERROR(__xludf.DUMMYFUNCTION("""COMPUTED_VALUE"""),2026)</f>
        <v>2026</v>
      </c>
      <c r="F9" s="15">
        <f ca="1">IFERROR(__xludf.DUMMYFUNCTION("""COMPUTED_VALUE"""),1)</f>
        <v>1</v>
      </c>
      <c r="G9" s="6" t="str">
        <f ca="1">IFERROR(__xludf.DUMMYFUNCTION("""COMPUTED_VALUE"""),"Getafe")</f>
        <v>Getafe</v>
      </c>
      <c r="H9" s="6" t="str">
        <f ca="1">IFERROR(__xludf.DUMMYFUNCTION("""COMPUTED_VALUE"""),"C202511271003718318")</f>
        <v>C202511271003718318</v>
      </c>
      <c r="I9" s="1" t="str">
        <f ca="1">IFERROR(__xludf.DUMMYFUNCTION("""COMPUTED_VALUE"""),"MARIA ROSA ALONSO GONZÁLEZ")</f>
        <v>MARIA ROSA ALONSO GONZÁLEZ</v>
      </c>
      <c r="J9" s="16">
        <f ca="1">IFERROR(__xludf.DUMMYFUNCTION("""COMPUTED_VALUE"""),45988)</f>
        <v>45988</v>
      </c>
      <c r="K9" s="6" t="str">
        <f ca="1">IFERROR(__xludf.DUMMYFUNCTION("""COMPUTED_VALUE"""),"Factura audífonos")</f>
        <v>Factura audífonos</v>
      </c>
      <c r="L9" s="16">
        <f ca="1">IFERROR(__xludf.DUMMYFUNCTION("""COMPUTED_VALUE"""),46030)</f>
        <v>46030</v>
      </c>
      <c r="M9" s="17" t="str">
        <f ca="1">IFERROR(__xludf.DUMMYFUNCTION("""COMPUTED_VALUE"""),"NO")</f>
        <v>NO</v>
      </c>
      <c r="N9" s="15">
        <f ca="1">IFERROR(__xludf.DUMMYFUNCTION("""COMPUTED_VALUE"""),2)</f>
        <v>2</v>
      </c>
      <c r="O9" s="23" t="str">
        <f ca="1">IFERROR(__xludf.DUMMYFUNCTION("""COMPUTED_VALUE"""),"ADVANCED")</f>
        <v>ADVANCED</v>
      </c>
      <c r="P9" s="18">
        <f ca="1">IFERROR(__xludf.DUMMYFUNCTION("""COMPUTED_VALUE"""),4136.36)</f>
        <v>4136.3599999999997</v>
      </c>
      <c r="Q9" s="6" t="str">
        <f ca="1">IFERROR(__xludf.DUMMYFUNCTION("""COMPUTED_VALUE"""),"Maika Blázquez")</f>
        <v>Maika Blázquez</v>
      </c>
      <c r="R9" s="19" t="str">
        <f ca="1">IFERROR(__xludf.DUMMYFUNCTION("""COMPUTED_VALUE"""),"Marta Colmenero Ruiz")</f>
        <v>Marta Colmenero Ruiz</v>
      </c>
      <c r="S9" s="20" t="str">
        <f ca="1">IFERROR(__xludf.DUMMYFUNCTION("""COMPUTED_VALUE"""),"03 ORL")</f>
        <v>03 ORL</v>
      </c>
      <c r="T9" s="6" t="str">
        <f ca="1">IFERROR(__xludf.DUMMYFUNCTION("""COMPUTED_VALUE"""),"06 ORL")</f>
        <v>06 ORL</v>
      </c>
      <c r="U9" s="21"/>
      <c r="W9" s="21"/>
      <c r="X9" s="21"/>
    </row>
    <row r="10" spans="1:53" ht="16">
      <c r="A10" s="6"/>
      <c r="B10" s="14" t="str">
        <f t="shared" ca="1" si="0"/>
        <v>MBM</v>
      </c>
      <c r="C10" s="22" t="str">
        <f ca="1">IFERROR(__xludf.DUMMYFUNCTION("""COMPUTED_VALUE"""),"MBM45")</f>
        <v>MBM45</v>
      </c>
      <c r="D10" s="6" t="str">
        <f ca="1">IFERROR(__xludf.DUMMYFUNCTION("""COMPUTED_VALUE"""),"PROPIOS")</f>
        <v>PROPIOS</v>
      </c>
      <c r="E10" s="6">
        <f ca="1">IFERROR(__xludf.DUMMYFUNCTION("""COMPUTED_VALUE"""),2026)</f>
        <v>2026</v>
      </c>
      <c r="F10" s="15">
        <f ca="1">IFERROR(__xludf.DUMMYFUNCTION("""COMPUTED_VALUE"""),1)</f>
        <v>1</v>
      </c>
      <c r="G10" s="6" t="str">
        <f ca="1">IFERROR(__xludf.DUMMYFUNCTION("""COMPUTED_VALUE"""),"Madrid- Juan Bravo")</f>
        <v>Madrid- Juan Bravo</v>
      </c>
      <c r="H10" s="6" t="str">
        <f ca="1">IFERROR(__xludf.DUMMYFUNCTION("""COMPUTED_VALUE"""),"JBR-1800")</f>
        <v>JBR-1800</v>
      </c>
      <c r="I10" s="6" t="str">
        <f ca="1">IFERROR(__xludf.DUMMYFUNCTION("""COMPUTED_VALUE"""),"JOSE LUIS RODRIGUEZ SIERRA")</f>
        <v>JOSE LUIS RODRIGUEZ SIERRA</v>
      </c>
      <c r="J10" s="16">
        <f ca="1">IFERROR(__xludf.DUMMYFUNCTION("""COMPUTED_VALUE"""),45058)</f>
        <v>45058</v>
      </c>
      <c r="K10" s="6" t="str">
        <f ca="1">IFERROR(__xludf.DUMMYFUNCTION("""COMPUTED_VALUE"""),"Factura audífonos")</f>
        <v>Factura audífonos</v>
      </c>
      <c r="L10" s="16">
        <f ca="1">IFERROR(__xludf.DUMMYFUNCTION("""COMPUTED_VALUE"""),46030)</f>
        <v>46030</v>
      </c>
      <c r="M10" s="17" t="str">
        <f ca="1">IFERROR(__xludf.DUMMYFUNCTION("""COMPUTED_VALUE"""),"SI")</f>
        <v>SI</v>
      </c>
      <c r="N10" s="15">
        <f ca="1">IFERROR(__xludf.DUMMYFUNCTION("""COMPUTED_VALUE"""),1)</f>
        <v>1</v>
      </c>
      <c r="O10" s="17" t="str">
        <f ca="1">IFERROR(__xludf.DUMMYFUNCTION("""COMPUTED_VALUE"""),"QUIET")</f>
        <v>QUIET</v>
      </c>
      <c r="P10" s="19">
        <f ca="1">IFERROR(__xludf.DUMMYFUNCTION("""COMPUTED_VALUE"""),1543.52)</f>
        <v>1543.52</v>
      </c>
      <c r="Q10" s="6" t="str">
        <f ca="1">IFERROR(__xludf.DUMMYFUNCTION("""COMPUTED_VALUE"""),"Maika Blázquez")</f>
        <v>Maika Blázquez</v>
      </c>
      <c r="R10" s="19" t="str">
        <f ca="1">IFERROR(__xludf.DUMMYFUNCTION("""COMPUTED_VALUE"""),"Joaquín Alacio Casero")</f>
        <v>Joaquín Alacio Casero</v>
      </c>
      <c r="S10" s="20" t="str">
        <f ca="1">IFERROR(__xludf.DUMMYFUNCTION("""COMPUTED_VALUE"""),"04 TIENDA")</f>
        <v>04 TIENDA</v>
      </c>
      <c r="T10" s="6" t="str">
        <f ca="1">IFERROR(__xludf.DUMMYFUNCTION("""COMPUTED_VALUE"""),"10 REVISIÓN POST-VENTA")</f>
        <v>10 REVISIÓN POST-VENTA</v>
      </c>
      <c r="U10" s="21"/>
      <c r="W10" s="21"/>
      <c r="X10" s="21"/>
    </row>
    <row r="11" spans="1:53" ht="16">
      <c r="A11" s="6"/>
      <c r="B11" s="14" t="str">
        <f t="shared" ca="1" si="0"/>
        <v>MBM</v>
      </c>
      <c r="C11" s="22" t="str">
        <f ca="1">IFERROR(__xludf.DUMMYFUNCTION("""COMPUTED_VALUE"""),"MBM45")</f>
        <v>MBM45</v>
      </c>
      <c r="D11" s="6" t="str">
        <f ca="1">IFERROR(__xludf.DUMMYFUNCTION("""COMPUTED_VALUE"""),"PARTICIPADOS")</f>
        <v>PARTICIPADOS</v>
      </c>
      <c r="E11" s="6">
        <f ca="1">IFERROR(__xludf.DUMMYFUNCTION("""COMPUTED_VALUE"""),2026)</f>
        <v>2026</v>
      </c>
      <c r="F11" s="15">
        <f ca="1">IFERROR(__xludf.DUMMYFUNCTION("""COMPUTED_VALUE"""),1)</f>
        <v>1</v>
      </c>
      <c r="G11" s="6" t="str">
        <f ca="1">IFERROR(__xludf.DUMMYFUNCTION("""COMPUTED_VALUE"""),"Madrid- La Oca")</f>
        <v>Madrid- La Oca</v>
      </c>
      <c r="H11" s="6" t="str">
        <f ca="1">IFERROR(__xludf.DUMMYFUNCTION("""COMPUTED_VALUE"""),"C202511241158254265")</f>
        <v>C202511241158254265</v>
      </c>
      <c r="I11" s="6" t="str">
        <f ca="1">IFERROR(__xludf.DUMMYFUNCTION("""COMPUTED_VALUE"""),"MARIA DEL CARMEN GARCIA ROYO")</f>
        <v>MARIA DEL CARMEN GARCIA ROYO</v>
      </c>
      <c r="J11" s="16">
        <f ca="1">IFERROR(__xludf.DUMMYFUNCTION("""COMPUTED_VALUE"""),45985)</f>
        <v>45985</v>
      </c>
      <c r="K11" s="6" t="str">
        <f ca="1">IFERROR(__xludf.DUMMYFUNCTION("""COMPUTED_VALUE"""),"Factura audífonos")</f>
        <v>Factura audífonos</v>
      </c>
      <c r="L11" s="16">
        <f ca="1">IFERROR(__xludf.DUMMYFUNCTION("""COMPUTED_VALUE"""),46031)</f>
        <v>46031</v>
      </c>
      <c r="M11" s="17" t="str">
        <f ca="1">IFERROR(__xludf.DUMMYFUNCTION("""COMPUTED_VALUE"""),"NO")</f>
        <v>NO</v>
      </c>
      <c r="N11" s="15">
        <f ca="1">IFERROR(__xludf.DUMMYFUNCTION("""COMPUTED_VALUE"""),2)</f>
        <v>2</v>
      </c>
      <c r="O11" s="17" t="str">
        <f ca="1">IFERROR(__xludf.DUMMYFUNCTION("""COMPUTED_VALUE"""),"CONFORT")</f>
        <v>CONFORT</v>
      </c>
      <c r="P11" s="19">
        <f ca="1">IFERROR(__xludf.DUMMYFUNCTION("""COMPUTED_VALUE"""),3631.82)</f>
        <v>3631.82</v>
      </c>
      <c r="Q11" s="6" t="str">
        <f ca="1">IFERROR(__xludf.DUMMYFUNCTION("""COMPUTED_VALUE"""),"Maika Blázquez")</f>
        <v>Maika Blázquez</v>
      </c>
      <c r="R11" s="19" t="str">
        <f ca="1">IFERROR(__xludf.DUMMYFUNCTION("""COMPUTED_VALUE"""),"Joaquín Alacio Casero")</f>
        <v>Joaquín Alacio Casero</v>
      </c>
      <c r="S11" s="20" t="str">
        <f ca="1">IFERROR(__xludf.DUMMYFUNCTION("""COMPUTED_VALUE"""),"03 ORL")</f>
        <v>03 ORL</v>
      </c>
      <c r="T11" s="6" t="str">
        <f ca="1">IFERROR(__xludf.DUMMYFUNCTION("""COMPUTED_VALUE"""),"06 ORL")</f>
        <v>06 ORL</v>
      </c>
      <c r="U11" s="21"/>
      <c r="W11" s="21"/>
      <c r="X11" s="21"/>
      <c r="AE11" s="1"/>
    </row>
    <row r="12" spans="1:53" ht="16">
      <c r="A12" s="6"/>
      <c r="B12" s="14" t="str">
        <f t="shared" ca="1" si="0"/>
        <v>LRM</v>
      </c>
      <c r="C12" s="22" t="str">
        <f ca="1">IFERROR(__xludf.DUMMYFUNCTION("""COMPUTED_VALUE"""),"LRM56")</f>
        <v>LRM56</v>
      </c>
      <c r="D12" s="6" t="str">
        <f ca="1">IFERROR(__xludf.DUMMYFUNCTION("""COMPUTED_VALUE"""),"ASOCIADOS")</f>
        <v>ASOCIADOS</v>
      </c>
      <c r="E12" s="6">
        <f ca="1">IFERROR(__xludf.DUMMYFUNCTION("""COMPUTED_VALUE"""),2026)</f>
        <v>2026</v>
      </c>
      <c r="F12" s="15">
        <f ca="1">IFERROR(__xludf.DUMMYFUNCTION("""COMPUTED_VALUE"""),1)</f>
        <v>1</v>
      </c>
      <c r="G12" s="6" t="str">
        <f ca="1">IFERROR(__xludf.DUMMYFUNCTION("""COMPUTED_VALUE"""),"Zaragoza- León XIII")</f>
        <v>Zaragoza- León XIII</v>
      </c>
      <c r="H12" s="6" t="str">
        <f ca="1">IFERROR(__xludf.DUMMYFUNCTION("""COMPUTED_VALUE"""),"C202510711221228")</f>
        <v>C202510711221228</v>
      </c>
      <c r="I12" s="6" t="str">
        <f ca="1">IFERROR(__xludf.DUMMYFUNCTION("""COMPUTED_VALUE"""),"MIGUEL ÁNGEL GASCA SANCHO")</f>
        <v>MIGUEL ÁNGEL GASCA SANCHO</v>
      </c>
      <c r="J12" s="16">
        <f ca="1">IFERROR(__xludf.DUMMYFUNCTION("""COMPUTED_VALUE"""),45932)</f>
        <v>45932</v>
      </c>
      <c r="K12" s="6" t="str">
        <f ca="1">IFERROR(__xludf.DUMMYFUNCTION("""COMPUTED_VALUE"""),"Factura audífonos")</f>
        <v>Factura audífonos</v>
      </c>
      <c r="L12" s="16">
        <f ca="1">IFERROR(__xludf.DUMMYFUNCTION("""COMPUTED_VALUE"""),46031)</f>
        <v>46031</v>
      </c>
      <c r="M12" s="17" t="str">
        <f ca="1">IFERROR(__xludf.DUMMYFUNCTION("""COMPUTED_VALUE"""),"NO")</f>
        <v>NO</v>
      </c>
      <c r="N12" s="15">
        <f ca="1">IFERROR(__xludf.DUMMYFUNCTION("""COMPUTED_VALUE"""),2)</f>
        <v>2</v>
      </c>
      <c r="O12" s="23" t="str">
        <f ca="1">IFERROR(__xludf.DUMMYFUNCTION("""COMPUTED_VALUE"""),"CONFORT")</f>
        <v>CONFORT</v>
      </c>
      <c r="P12" s="18">
        <f ca="1">IFERROR(__xludf.DUMMYFUNCTION("""COMPUTED_VALUE"""),3424.55)</f>
        <v>3424.55</v>
      </c>
      <c r="Q12" s="6" t="str">
        <f ca="1">IFERROR(__xludf.DUMMYFUNCTION("""COMPUTED_VALUE"""),"Mercè Cabrera")</f>
        <v>Mercè Cabrera</v>
      </c>
      <c r="R12" s="19" t="str">
        <f ca="1">IFERROR(__xludf.DUMMYFUNCTION("""COMPUTED_VALUE"""),"Jaime Leache Pueyo")</f>
        <v>Jaime Leache Pueyo</v>
      </c>
      <c r="S12" s="20" t="str">
        <f ca="1">IFERROR(__xludf.DUMMYFUNCTION("""COMPUTED_VALUE"""),"03 ORL")</f>
        <v>03 ORL</v>
      </c>
      <c r="T12" s="6" t="str">
        <f ca="1">IFERROR(__xludf.DUMMYFUNCTION("""COMPUTED_VALUE"""),"06 ORL")</f>
        <v>06 ORL</v>
      </c>
      <c r="U12" s="21"/>
      <c r="W12" s="21"/>
      <c r="X12" s="21"/>
    </row>
    <row r="13" spans="1:53" ht="16">
      <c r="A13" s="6"/>
      <c r="B13" s="14" t="str">
        <f t="shared" ca="1" si="0"/>
        <v>MBM</v>
      </c>
      <c r="C13" s="23" t="str">
        <f ca="1">IFERROR(__xludf.DUMMYFUNCTION("""COMPUTED_VALUE"""),"MBM113")</f>
        <v>MBM113</v>
      </c>
      <c r="D13" s="6" t="str">
        <f ca="1">IFERROR(__xludf.DUMMYFUNCTION("""COMPUTED_VALUE"""),"PROPIOS")</f>
        <v>PROPIOS</v>
      </c>
      <c r="E13" s="6">
        <f ca="1">IFERROR(__xludf.DUMMYFUNCTION("""COMPUTED_VALUE"""),2026)</f>
        <v>2026</v>
      </c>
      <c r="F13" s="15">
        <f ca="1">IFERROR(__xludf.DUMMYFUNCTION("""COMPUTED_VALUE"""),1)</f>
        <v>1</v>
      </c>
      <c r="G13" s="6" t="str">
        <f ca="1">IFERROR(__xludf.DUMMYFUNCTION("""COMPUTED_VALUE"""),"Fuenlabrada")</f>
        <v>Fuenlabrada</v>
      </c>
      <c r="H13" s="6" t="str">
        <f ca="1">IFERROR(__xludf.DUMMYFUNCTION("""COMPUTED_VALUE"""),"C202512151217324826")</f>
        <v>C202512151217324826</v>
      </c>
      <c r="I13" s="6" t="str">
        <f ca="1">IFERROR(__xludf.DUMMYFUNCTION("""COMPUTED_VALUE"""),"Mª CARMEN DELGADO ANTON")</f>
        <v>Mª CARMEN DELGADO ANTON</v>
      </c>
      <c r="J13" s="16">
        <f ca="1">IFERROR(__xludf.DUMMYFUNCTION("""COMPUTED_VALUE"""),46006)</f>
        <v>46006</v>
      </c>
      <c r="K13" s="6" t="str">
        <f ca="1">IFERROR(__xludf.DUMMYFUNCTION("""COMPUTED_VALUE"""),"Factura audífonos")</f>
        <v>Factura audífonos</v>
      </c>
      <c r="L13" s="16">
        <f ca="1">IFERROR(__xludf.DUMMYFUNCTION("""COMPUTED_VALUE"""),46031)</f>
        <v>46031</v>
      </c>
      <c r="M13" s="17" t="str">
        <f ca="1">IFERROR(__xludf.DUMMYFUNCTION("""COMPUTED_VALUE"""),"NO")</f>
        <v>NO</v>
      </c>
      <c r="N13" s="15">
        <f ca="1">IFERROR(__xludf.DUMMYFUNCTION("""COMPUTED_VALUE"""),1)</f>
        <v>1</v>
      </c>
      <c r="O13" s="17" t="str">
        <f ca="1">IFERROR(__xludf.DUMMYFUNCTION("""COMPUTED_VALUE"""),"CONFORT")</f>
        <v>CONFORT</v>
      </c>
      <c r="P13" s="18">
        <f ca="1">IFERROR(__xludf.DUMMYFUNCTION("""COMPUTED_VALUE"""),2180.91)</f>
        <v>2180.91</v>
      </c>
      <c r="Q13" s="6" t="str">
        <f ca="1">IFERROR(__xludf.DUMMYFUNCTION("""COMPUTED_VALUE"""),"Maika Blázquez")</f>
        <v>Maika Blázquez</v>
      </c>
      <c r="R13" s="19" t="str">
        <f ca="1">IFERROR(__xludf.DUMMYFUNCTION("""COMPUTED_VALUE"""),"Estefania Miranda Sánchez")</f>
        <v>Estefania Miranda Sánchez</v>
      </c>
      <c r="S13" s="20" t="str">
        <f ca="1">IFERROR(__xludf.DUMMYFUNCTION("""COMPUTED_VALUE"""),"03 ORL")</f>
        <v>03 ORL</v>
      </c>
      <c r="T13" s="6" t="str">
        <f ca="1">IFERROR(__xludf.DUMMYFUNCTION("""COMPUTED_VALUE"""),"06 ORL")</f>
        <v>06 ORL</v>
      </c>
      <c r="U13" s="21"/>
      <c r="W13" s="21"/>
      <c r="X13" s="21"/>
    </row>
    <row r="14" spans="1:53" ht="16">
      <c r="A14" s="6"/>
      <c r="B14" s="14" t="str">
        <f t="shared" ca="1" si="0"/>
        <v>LAA</v>
      </c>
      <c r="C14" s="23" t="str">
        <f ca="1">IFERROR(__xludf.DUMMYFUNCTION("""COMPUTED_VALUE"""),"LAA54")</f>
        <v>LAA54</v>
      </c>
      <c r="D14" s="6" t="str">
        <f ca="1">IFERROR(__xludf.DUMMYFUNCTION("""COMPUTED_VALUE"""),"PROPIOS")</f>
        <v>PROPIOS</v>
      </c>
      <c r="E14" s="6">
        <f ca="1">IFERROR(__xludf.DUMMYFUNCTION("""COMPUTED_VALUE"""),2026)</f>
        <v>2026</v>
      </c>
      <c r="F14" s="15">
        <f ca="1">IFERROR(__xludf.DUMMYFUNCTION("""COMPUTED_VALUE"""),1)</f>
        <v>1</v>
      </c>
      <c r="G14" s="6" t="str">
        <f ca="1">IFERROR(__xludf.DUMMYFUNCTION("""COMPUTED_VALUE"""),"Sevilla- Montoto")</f>
        <v>Sevilla- Montoto</v>
      </c>
      <c r="H14" s="6" t="str">
        <f ca="1">IFERROR(__xludf.DUMMYFUNCTION("""COMPUTED_VALUE"""),"C2024112910652762")</f>
        <v>C2024112910652762</v>
      </c>
      <c r="I14" s="6" t="str">
        <f ca="1">IFERROR(__xludf.DUMMYFUNCTION("""COMPUTED_VALUE"""),"SONIA SUAREZ FERNANDEZ")</f>
        <v>SONIA SUAREZ FERNANDEZ</v>
      </c>
      <c r="J14" s="16">
        <f ca="1">IFERROR(__xludf.DUMMYFUNCTION("""COMPUTED_VALUE"""),45623)</f>
        <v>45623</v>
      </c>
      <c r="K14" s="6" t="str">
        <f ca="1">IFERROR(__xludf.DUMMYFUNCTION("""COMPUTED_VALUE"""),"Factura audífonos")</f>
        <v>Factura audífonos</v>
      </c>
      <c r="L14" s="16">
        <f ca="1">IFERROR(__xludf.DUMMYFUNCTION("""COMPUTED_VALUE"""),46034)</f>
        <v>46034</v>
      </c>
      <c r="M14" s="17" t="str">
        <f ca="1">IFERROR(__xludf.DUMMYFUNCTION("""COMPUTED_VALUE"""),"NO")</f>
        <v>NO</v>
      </c>
      <c r="N14" s="15">
        <f ca="1">IFERROR(__xludf.DUMMYFUNCTION("""COMPUTED_VALUE"""),1)</f>
        <v>1</v>
      </c>
      <c r="O14" s="23" t="str">
        <f ca="1">IFERROR(__xludf.DUMMYFUNCTION("""COMPUTED_VALUE"""),"CONFORT")</f>
        <v>CONFORT</v>
      </c>
      <c r="P14" s="18">
        <f ca="1">IFERROR(__xludf.DUMMYFUNCTION("""COMPUTED_VALUE"""),2072.73)</f>
        <v>2072.73</v>
      </c>
      <c r="Q14" s="6" t="str">
        <f ca="1">IFERROR(__xludf.DUMMYFUNCTION("""COMPUTED_VALUE"""),"Luis Alberto Rodríguez")</f>
        <v>Luis Alberto Rodríguez</v>
      </c>
      <c r="R14" s="19" t="str">
        <f ca="1">IFERROR(__xludf.DUMMYFUNCTION("""COMPUTED_VALUE"""),"María Luisa Calero Ramos")</f>
        <v>María Luisa Calero Ramos</v>
      </c>
      <c r="S14" s="20" t="str">
        <f ca="1">IFERROR(__xludf.DUMMYFUNCTION("""COMPUTED_VALUE"""),"03 ORL")</f>
        <v>03 ORL</v>
      </c>
      <c r="T14" s="6" t="str">
        <f ca="1">IFERROR(__xludf.DUMMYFUNCTION("""COMPUTED_VALUE"""),"06 ORL")</f>
        <v>06 ORL</v>
      </c>
      <c r="U14" s="21"/>
      <c r="W14" s="21"/>
      <c r="X14" s="21"/>
    </row>
    <row r="15" spans="1:53" ht="16">
      <c r="A15" s="6"/>
      <c r="B15" s="14" t="str">
        <f t="shared" ca="1" si="0"/>
        <v>ISL</v>
      </c>
      <c r="C15" s="23" t="str">
        <f ca="1">IFERROR(__xludf.DUMMYFUNCTION("""COMPUTED_VALUE"""),"ISL99")</f>
        <v>ISL99</v>
      </c>
      <c r="D15" s="6" t="str">
        <f ca="1">IFERROR(__xludf.DUMMYFUNCTION("""COMPUTED_VALUE"""),"PROPIOS")</f>
        <v>PROPIOS</v>
      </c>
      <c r="E15" s="6">
        <f ca="1">IFERROR(__xludf.DUMMYFUNCTION("""COMPUTED_VALUE"""),2026)</f>
        <v>2026</v>
      </c>
      <c r="F15" s="15">
        <f ca="1">IFERROR(__xludf.DUMMYFUNCTION("""COMPUTED_VALUE"""),1)</f>
        <v>1</v>
      </c>
      <c r="G15" s="6" t="str">
        <f ca="1">IFERROR(__xludf.DUMMYFUNCTION("""COMPUTED_VALUE"""),"Alicante")</f>
        <v>Alicante</v>
      </c>
      <c r="H15" s="6" t="str">
        <f ca="1">IFERROR(__xludf.DUMMYFUNCTION("""COMPUTED_VALUE"""),"C202512158433763329")</f>
        <v>C202512158433763329</v>
      </c>
      <c r="I15" s="6" t="str">
        <f ca="1">IFERROR(__xludf.DUMMYFUNCTION("""COMPUTED_VALUE"""),"TERESA VENTURA RODRIGUEZ")</f>
        <v>TERESA VENTURA RODRIGUEZ</v>
      </c>
      <c r="J15" s="16">
        <f ca="1">IFERROR(__xludf.DUMMYFUNCTION("""COMPUTED_VALUE"""),46006)</f>
        <v>46006</v>
      </c>
      <c r="K15" s="6" t="str">
        <f ca="1">IFERROR(__xludf.DUMMYFUNCTION("""COMPUTED_VALUE"""),"Factura audífonos")</f>
        <v>Factura audífonos</v>
      </c>
      <c r="L15" s="16">
        <f ca="1">IFERROR(__xludf.DUMMYFUNCTION("""COMPUTED_VALUE"""),46034)</f>
        <v>46034</v>
      </c>
      <c r="M15" s="17" t="str">
        <f ca="1">IFERROR(__xludf.DUMMYFUNCTION("""COMPUTED_VALUE"""),"NO")</f>
        <v>NO</v>
      </c>
      <c r="N15" s="15">
        <f ca="1">IFERROR(__xludf.DUMMYFUNCTION("""COMPUTED_VALUE"""),2)</f>
        <v>2</v>
      </c>
      <c r="O15" s="23" t="str">
        <f ca="1">IFERROR(__xludf.DUMMYFUNCTION("""COMPUTED_VALUE"""),"QUIET")</f>
        <v>QUIET</v>
      </c>
      <c r="P15" s="18">
        <f ca="1">IFERROR(__xludf.DUMMYFUNCTION("""COMPUTED_VALUE"""),2718.18)</f>
        <v>2718.18</v>
      </c>
      <c r="Q15" s="6" t="str">
        <f ca="1">IFERROR(__xludf.DUMMYFUNCTION("""COMPUTED_VALUE"""),"Iván Sánchez")</f>
        <v>Iván Sánchez</v>
      </c>
      <c r="R15" s="19" t="str">
        <f ca="1">IFERROR(__xludf.DUMMYFUNCTION("""COMPUTED_VALUE"""),"Cristina Muñoz Pinto")</f>
        <v>Cristina Muñoz Pinto</v>
      </c>
      <c r="S15" s="20" t="str">
        <f ca="1">IFERROR(__xludf.DUMMYFUNCTION("""COMPUTED_VALUE"""),"03 ORL")</f>
        <v>03 ORL</v>
      </c>
      <c r="T15" s="6" t="str">
        <f ca="1">IFERROR(__xludf.DUMMYFUNCTION("""COMPUTED_VALUE"""),"06 ORL")</f>
        <v>06 ORL</v>
      </c>
      <c r="U15" s="21"/>
      <c r="W15" s="21"/>
      <c r="X15" s="21"/>
    </row>
    <row r="16" spans="1:53" ht="16">
      <c r="A16" s="6"/>
      <c r="B16" s="14" t="str">
        <f t="shared" ca="1" si="0"/>
        <v>MBM</v>
      </c>
      <c r="C16" s="23" t="str">
        <f ca="1">IFERROR(__xludf.DUMMYFUNCTION("""COMPUTED_VALUE"""),"MBM219")</f>
        <v>MBM219</v>
      </c>
      <c r="D16" s="6" t="str">
        <f ca="1">IFERROR(__xludf.DUMMYFUNCTION("""COMPUTED_VALUE"""),"PROPIOS")</f>
        <v>PROPIOS</v>
      </c>
      <c r="E16" s="6">
        <f ca="1">IFERROR(__xludf.DUMMYFUNCTION("""COMPUTED_VALUE"""),2026)</f>
        <v>2026</v>
      </c>
      <c r="F16" s="15">
        <f ca="1">IFERROR(__xludf.DUMMYFUNCTION("""COMPUTED_VALUE"""),1)</f>
        <v>1</v>
      </c>
      <c r="G16" s="6" t="str">
        <f ca="1">IFERROR(__xludf.DUMMYFUNCTION("""COMPUTED_VALUE"""),"Getafe")</f>
        <v>Getafe</v>
      </c>
      <c r="H16" s="6" t="str">
        <f ca="1">IFERROR(__xludf.DUMMYFUNCTION("""COMPUTED_VALUE"""),"C202511594452200485")</f>
        <v>C202511594452200485</v>
      </c>
      <c r="I16" s="6" t="str">
        <f ca="1">IFERROR(__xludf.DUMMYFUNCTION("""COMPUTED_VALUE"""),"JUAN JESÚS MAYA TORREJÓN")</f>
        <v>JUAN JESÚS MAYA TORREJÓN</v>
      </c>
      <c r="J16" s="16">
        <f ca="1">IFERROR(__xludf.DUMMYFUNCTION("""COMPUTED_VALUE"""),45966)</f>
        <v>45966</v>
      </c>
      <c r="K16" s="6" t="str">
        <f ca="1">IFERROR(__xludf.DUMMYFUNCTION("""COMPUTED_VALUE"""),"Factura audífonos")</f>
        <v>Factura audífonos</v>
      </c>
      <c r="L16" s="16">
        <f ca="1">IFERROR(__xludf.DUMMYFUNCTION("""COMPUTED_VALUE"""),46034)</f>
        <v>46034</v>
      </c>
      <c r="M16" s="17" t="str">
        <f ca="1">IFERROR(__xludf.DUMMYFUNCTION("""COMPUTED_VALUE"""),"NO")</f>
        <v>NO</v>
      </c>
      <c r="N16" s="15">
        <f ca="1">IFERROR(__xludf.DUMMYFUNCTION("""COMPUTED_VALUE"""),1)</f>
        <v>1</v>
      </c>
      <c r="O16" s="17" t="str">
        <f ca="1">IFERROR(__xludf.DUMMYFUNCTION("""COMPUTED_VALUE"""),"ADVANCED")</f>
        <v>ADVANCED</v>
      </c>
      <c r="P16" s="18">
        <f ca="1">IFERROR(__xludf.DUMMYFUNCTION("""COMPUTED_VALUE"""),2481.82)</f>
        <v>2481.8200000000002</v>
      </c>
      <c r="Q16" s="6" t="str">
        <f ca="1">IFERROR(__xludf.DUMMYFUNCTION("""COMPUTED_VALUE"""),"Maika Blázquez")</f>
        <v>Maika Blázquez</v>
      </c>
      <c r="R16" s="19" t="str">
        <f ca="1">IFERROR(__xludf.DUMMYFUNCTION("""COMPUTED_VALUE"""),"Paula Morales Chacchi")</f>
        <v>Paula Morales Chacchi</v>
      </c>
      <c r="S16" s="20" t="str">
        <f ca="1">IFERROR(__xludf.DUMMYFUNCTION("""COMPUTED_VALUE"""),"03 ORL")</f>
        <v>03 ORL</v>
      </c>
      <c r="T16" s="6" t="str">
        <f ca="1">IFERROR(__xludf.DUMMYFUNCTION("""COMPUTED_VALUE"""),"06 ORL")</f>
        <v>06 ORL</v>
      </c>
      <c r="U16" s="21"/>
      <c r="W16" s="21"/>
      <c r="X16" s="21"/>
      <c r="AE16" s="1"/>
    </row>
    <row r="17" spans="1:31" ht="16">
      <c r="A17" s="6"/>
      <c r="B17" s="14" t="str">
        <f t="shared" ca="1" si="0"/>
        <v>LRM</v>
      </c>
      <c r="C17" s="23" t="str">
        <f ca="1">IFERROR(__xludf.DUMMYFUNCTION("""COMPUTED_VALUE"""),"LRM253")</f>
        <v>LRM253</v>
      </c>
      <c r="D17" s="6" t="str">
        <f ca="1">IFERROR(__xludf.DUMMYFUNCTION("""COMPUTED_VALUE"""),"ASOCIADOS")</f>
        <v>ASOCIADOS</v>
      </c>
      <c r="E17" s="6">
        <f ca="1">IFERROR(__xludf.DUMMYFUNCTION("""COMPUTED_VALUE"""),2026)</f>
        <v>2026</v>
      </c>
      <c r="F17" s="15">
        <f ca="1">IFERROR(__xludf.DUMMYFUNCTION("""COMPUTED_VALUE"""),1)</f>
        <v>1</v>
      </c>
      <c r="G17" s="6" t="str">
        <f ca="1">IFERROR(__xludf.DUMMYFUNCTION("""COMPUTED_VALUE"""),"Cáceres")</f>
        <v>Cáceres</v>
      </c>
      <c r="H17" s="6" t="str">
        <f ca="1">IFERROR(__xludf.DUMMYFUNCTION("""COMPUTED_VALUE"""),"C202512594841242568")</f>
        <v>C202512594841242568</v>
      </c>
      <c r="I17" s="6" t="str">
        <f ca="1">IFERROR(__xludf.DUMMYFUNCTION("""COMPUTED_VALUE"""),"MARIA ISABEL GUERRERO CASTRO")</f>
        <v>MARIA ISABEL GUERRERO CASTRO</v>
      </c>
      <c r="J17" s="16">
        <f ca="1">IFERROR(__xludf.DUMMYFUNCTION("""COMPUTED_VALUE"""),45996)</f>
        <v>45996</v>
      </c>
      <c r="K17" s="6" t="str">
        <f ca="1">IFERROR(__xludf.DUMMYFUNCTION("""COMPUTED_VALUE"""),"Factura audífonos")</f>
        <v>Factura audífonos</v>
      </c>
      <c r="L17" s="16">
        <f ca="1">IFERROR(__xludf.DUMMYFUNCTION("""COMPUTED_VALUE"""),46035)</f>
        <v>46035</v>
      </c>
      <c r="M17" s="23" t="str">
        <f ca="1">IFERROR(__xludf.DUMMYFUNCTION("""COMPUTED_VALUE"""),"NO")</f>
        <v>NO</v>
      </c>
      <c r="N17" s="15">
        <f ca="1">IFERROR(__xludf.DUMMYFUNCTION("""COMPUTED_VALUE"""),1)</f>
        <v>1</v>
      </c>
      <c r="O17" s="17" t="str">
        <f ca="1">IFERROR(__xludf.DUMMYFUNCTION("""COMPUTED_VALUE"""),"PRO")</f>
        <v>PRO</v>
      </c>
      <c r="P17" s="19">
        <f ca="1">IFERROR(__xludf.DUMMYFUNCTION("""COMPUTED_VALUE"""),2745)</f>
        <v>2745</v>
      </c>
      <c r="Q17" s="6" t="str">
        <f ca="1">IFERROR(__xludf.DUMMYFUNCTION("""COMPUTED_VALUE"""),"Lisandro Russian")</f>
        <v>Lisandro Russian</v>
      </c>
      <c r="R17" s="19" t="str">
        <f ca="1">IFERROR(__xludf.DUMMYFUNCTION("""COMPUTED_VALUE"""),"Marta García Jiménez")</f>
        <v>Marta García Jiménez</v>
      </c>
      <c r="S17" s="20" t="str">
        <f ca="1">IFERROR(__xludf.DUMMYFUNCTION("""COMPUTED_VALUE"""),"03 ORL")</f>
        <v>03 ORL</v>
      </c>
      <c r="T17" s="6" t="str">
        <f ca="1">IFERROR(__xludf.DUMMYFUNCTION("""COMPUTED_VALUE"""),"06 ORL")</f>
        <v>06 ORL</v>
      </c>
      <c r="U17" s="21"/>
      <c r="W17" s="21"/>
      <c r="X17" s="21"/>
    </row>
    <row r="18" spans="1:31" ht="16">
      <c r="A18" s="6"/>
      <c r="B18" s="14" t="str">
        <f t="shared" ca="1" si="0"/>
        <v>MBM</v>
      </c>
      <c r="C18" s="23" t="str">
        <f ca="1">IFERROR(__xludf.DUMMYFUNCTION("""COMPUTED_VALUE"""),"MBM104")</f>
        <v>MBM104</v>
      </c>
      <c r="D18" s="6" t="str">
        <f ca="1">IFERROR(__xludf.DUMMYFUNCTION("""COMPUTED_VALUE"""),"PROPIOS")</f>
        <v>PROPIOS</v>
      </c>
      <c r="E18" s="6">
        <f ca="1">IFERROR(__xludf.DUMMYFUNCTION("""COMPUTED_VALUE"""),2026)</f>
        <v>2026</v>
      </c>
      <c r="F18" s="15">
        <f ca="1">IFERROR(__xludf.DUMMYFUNCTION("""COMPUTED_VALUE"""),1)</f>
        <v>1</v>
      </c>
      <c r="G18" s="6" t="str">
        <f ca="1">IFERROR(__xludf.DUMMYFUNCTION("""COMPUTED_VALUE"""),"Fuenlabrada")</f>
        <v>Fuenlabrada</v>
      </c>
      <c r="H18" s="6" t="str">
        <f ca="1">IFERROR(__xludf.DUMMYFUNCTION("""COMPUTED_VALUE"""),"C202512179181772442")</f>
        <v>C202512179181772442</v>
      </c>
      <c r="I18" s="6" t="str">
        <f ca="1">IFERROR(__xludf.DUMMYFUNCTION("""COMPUTED_VALUE"""),"CARMEN DIOS CAAMAÑO")</f>
        <v>CARMEN DIOS CAAMAÑO</v>
      </c>
      <c r="J18" s="16">
        <f ca="1">IFERROR(__xludf.DUMMYFUNCTION("""COMPUTED_VALUE"""),46008)</f>
        <v>46008</v>
      </c>
      <c r="K18" s="6" t="str">
        <f ca="1">IFERROR(__xludf.DUMMYFUNCTION("""COMPUTED_VALUE"""),"Factura audífonos")</f>
        <v>Factura audífonos</v>
      </c>
      <c r="L18" s="16">
        <f ca="1">IFERROR(__xludf.DUMMYFUNCTION("""COMPUTED_VALUE"""),46035)</f>
        <v>46035</v>
      </c>
      <c r="M18" s="17" t="str">
        <f ca="1">IFERROR(__xludf.DUMMYFUNCTION("""COMPUTED_VALUE"""),"NO")</f>
        <v>NO</v>
      </c>
      <c r="N18" s="15">
        <f ca="1">IFERROR(__xludf.DUMMYFUNCTION("""COMPUTED_VALUE"""),1)</f>
        <v>1</v>
      </c>
      <c r="O18" s="17" t="str">
        <f ca="1">IFERROR(__xludf.DUMMYFUNCTION("""COMPUTED_VALUE"""),"CONFORT")</f>
        <v>CONFORT</v>
      </c>
      <c r="P18" s="18">
        <f ca="1">IFERROR(__xludf.DUMMYFUNCTION("""COMPUTED_VALUE"""),2180.91)</f>
        <v>2180.91</v>
      </c>
      <c r="Q18" s="6" t="str">
        <f ca="1">IFERROR(__xludf.DUMMYFUNCTION("""COMPUTED_VALUE"""),"Maika Blázquez")</f>
        <v>Maika Blázquez</v>
      </c>
      <c r="R18" s="19" t="str">
        <f ca="1">IFERROR(__xludf.DUMMYFUNCTION("""COMPUTED_VALUE"""),"Concepcion Rodríguez Izquierdo")</f>
        <v>Concepcion Rodríguez Izquierdo</v>
      </c>
      <c r="S18" s="20" t="str">
        <f ca="1">IFERROR(__xludf.DUMMYFUNCTION("""COMPUTED_VALUE"""),"03 ORL")</f>
        <v>03 ORL</v>
      </c>
      <c r="T18" s="6" t="str">
        <f ca="1">IFERROR(__xludf.DUMMYFUNCTION("""COMPUTED_VALUE"""),"06 ORL")</f>
        <v>06 ORL</v>
      </c>
      <c r="U18" s="21"/>
      <c r="W18" s="21"/>
      <c r="X18" s="21"/>
    </row>
    <row r="19" spans="1:31" ht="16">
      <c r="A19" s="6"/>
      <c r="B19" s="14" t="str">
        <f t="shared" ca="1" si="0"/>
        <v>ISL</v>
      </c>
      <c r="C19" s="23" t="str">
        <f ca="1">IFERROR(__xludf.DUMMYFUNCTION("""COMPUTED_VALUE"""),"ISL91")</f>
        <v>ISL91</v>
      </c>
      <c r="D19" s="6" t="str">
        <f ca="1">IFERROR(__xludf.DUMMYFUNCTION("""COMPUTED_VALUE"""),"PROPIOS")</f>
        <v>PROPIOS</v>
      </c>
      <c r="E19" s="6">
        <f ca="1">IFERROR(__xludf.DUMMYFUNCTION("""COMPUTED_VALUE"""),2026)</f>
        <v>2026</v>
      </c>
      <c r="F19" s="15">
        <f ca="1">IFERROR(__xludf.DUMMYFUNCTION("""COMPUTED_VALUE"""),1)</f>
        <v>1</v>
      </c>
      <c r="G19" s="6" t="str">
        <f ca="1">IFERROR(__xludf.DUMMYFUNCTION("""COMPUTED_VALUE"""),"Murcia")</f>
        <v>Murcia</v>
      </c>
      <c r="H19" s="6" t="str">
        <f ca="1">IFERROR(__xludf.DUMMYFUNCTION("""COMPUTED_VALUE"""),"C202512121136583127")</f>
        <v>C202512121136583127</v>
      </c>
      <c r="I19" s="6" t="str">
        <f ca="1">IFERROR(__xludf.DUMMYFUNCTION("""COMPUTED_VALUE"""),"JESUS MORENO LOPEZ")</f>
        <v>JESUS MORENO LOPEZ</v>
      </c>
      <c r="J19" s="16">
        <f ca="1">IFERROR(__xludf.DUMMYFUNCTION("""COMPUTED_VALUE"""),46003)</f>
        <v>46003</v>
      </c>
      <c r="K19" s="6" t="str">
        <f ca="1">IFERROR(__xludf.DUMMYFUNCTION("""COMPUTED_VALUE"""),"Factura audífonos")</f>
        <v>Factura audífonos</v>
      </c>
      <c r="L19" s="16">
        <f ca="1">IFERROR(__xludf.DUMMYFUNCTION("""COMPUTED_VALUE"""),46035)</f>
        <v>46035</v>
      </c>
      <c r="M19" s="17" t="str">
        <f ca="1">IFERROR(__xludf.DUMMYFUNCTION("""COMPUTED_VALUE"""),"NO")</f>
        <v>NO</v>
      </c>
      <c r="N19" s="15">
        <f ca="1">IFERROR(__xludf.DUMMYFUNCTION("""COMPUTED_VALUE"""),2)</f>
        <v>2</v>
      </c>
      <c r="O19" s="23" t="str">
        <f ca="1">IFERROR(__xludf.DUMMYFUNCTION("""COMPUTED_VALUE"""),"QUIET")</f>
        <v>QUIET</v>
      </c>
      <c r="P19" s="19">
        <f ca="1">IFERROR(__xludf.DUMMYFUNCTION("""COMPUTED_VALUE"""),2580.77)</f>
        <v>2580.77</v>
      </c>
      <c r="Q19" s="6" t="str">
        <f ca="1">IFERROR(__xludf.DUMMYFUNCTION("""COMPUTED_VALUE"""),"Iván Sánchez")</f>
        <v>Iván Sánchez</v>
      </c>
      <c r="R19" s="19" t="str">
        <f ca="1">IFERROR(__xludf.DUMMYFUNCTION("""COMPUTED_VALUE"""),"Alejandra Jara Maquilón")</f>
        <v>Alejandra Jara Maquilón</v>
      </c>
      <c r="S19" s="20" t="str">
        <f ca="1">IFERROR(__xludf.DUMMYFUNCTION("""COMPUTED_VALUE"""),"03 ORL")</f>
        <v>03 ORL</v>
      </c>
      <c r="T19" s="6" t="str">
        <f ca="1">IFERROR(__xludf.DUMMYFUNCTION("""COMPUTED_VALUE"""),"06 ORL")</f>
        <v>06 ORL</v>
      </c>
      <c r="U19" s="21"/>
      <c r="W19" s="21"/>
      <c r="X19" s="21"/>
    </row>
    <row r="20" spans="1:31" ht="16">
      <c r="A20" s="6"/>
      <c r="B20" s="14" t="str">
        <f t="shared" ca="1" si="0"/>
        <v>LAA</v>
      </c>
      <c r="C20" s="23" t="str">
        <f ca="1">IFERROR(__xludf.DUMMYFUNCTION("""COMPUTED_VALUE"""),"LAA13")</f>
        <v>LAA13</v>
      </c>
      <c r="D20" s="6" t="str">
        <f ca="1">IFERROR(__xludf.DUMMYFUNCTION("""COMPUTED_VALUE"""),"PROPIOS")</f>
        <v>PROPIOS</v>
      </c>
      <c r="E20" s="6">
        <f ca="1">IFERROR(__xludf.DUMMYFUNCTION("""COMPUTED_VALUE"""),2026)</f>
        <v>2026</v>
      </c>
      <c r="F20" s="15">
        <f ca="1">IFERROR(__xludf.DUMMYFUNCTION("""COMPUTED_VALUE"""),1)</f>
        <v>1</v>
      </c>
      <c r="G20" s="6" t="str">
        <f ca="1">IFERROR(__xludf.DUMMYFUNCTION("""COMPUTED_VALUE"""),"Sevilla- Montoto")</f>
        <v>Sevilla- Montoto</v>
      </c>
      <c r="H20" s="6" t="str">
        <f ca="1">IFERROR(__xludf.DUMMYFUNCTION("""COMPUTED_VALUE"""),"C202511241120341965")</f>
        <v>C202511241120341965</v>
      </c>
      <c r="I20" s="6" t="str">
        <f ca="1">IFERROR(__xludf.DUMMYFUNCTION("""COMPUTED_VALUE"""),"MIGUEL FONTANILLA RABANEDA")</f>
        <v>MIGUEL FONTANILLA RABANEDA</v>
      </c>
      <c r="J20" s="16">
        <f ca="1">IFERROR(__xludf.DUMMYFUNCTION("""COMPUTED_VALUE"""),45985)</f>
        <v>45985</v>
      </c>
      <c r="K20" s="6" t="str">
        <f ca="1">IFERROR(__xludf.DUMMYFUNCTION("""COMPUTED_VALUE"""),"Factura audífonos")</f>
        <v>Factura audífonos</v>
      </c>
      <c r="L20" s="16">
        <f ca="1">IFERROR(__xludf.DUMMYFUNCTION("""COMPUTED_VALUE"""),46036)</f>
        <v>46036</v>
      </c>
      <c r="M20" s="17" t="str">
        <f ca="1">IFERROR(__xludf.DUMMYFUNCTION("""COMPUTED_VALUE"""),"NO")</f>
        <v>NO</v>
      </c>
      <c r="N20" s="15">
        <f ca="1">IFERROR(__xludf.DUMMYFUNCTION("""COMPUTED_VALUE"""),2)</f>
        <v>2</v>
      </c>
      <c r="O20" s="17" t="str">
        <f ca="1">IFERROR(__xludf.DUMMYFUNCTION("""COMPUTED_VALUE"""),"CONFORT")</f>
        <v>CONFORT</v>
      </c>
      <c r="P20" s="18">
        <f ca="1">IFERROR(__xludf.DUMMYFUNCTION("""COMPUTED_VALUE"""),3631.82)</f>
        <v>3631.82</v>
      </c>
      <c r="Q20" s="6" t="str">
        <f ca="1">IFERROR(__xludf.DUMMYFUNCTION("""COMPUTED_VALUE"""),"Luis Alberto Rodríguez")</f>
        <v>Luis Alberto Rodríguez</v>
      </c>
      <c r="R20" s="19" t="str">
        <f ca="1">IFERROR(__xludf.DUMMYFUNCTION("""COMPUTED_VALUE"""),"Francisco Javier Aguilar Vera")</f>
        <v>Francisco Javier Aguilar Vera</v>
      </c>
      <c r="S20" s="20" t="str">
        <f ca="1">IFERROR(__xludf.DUMMYFUNCTION("""COMPUTED_VALUE"""),"01 MARKETING ON LINE")</f>
        <v>01 MARKETING ON LINE</v>
      </c>
      <c r="T20" s="6" t="str">
        <f ca="1">IFERROR(__xludf.DUMMYFUNCTION("""COMPUTED_VALUE"""),"04 AUDIFONO,ES")</f>
        <v>04 AUDIFONO,ES</v>
      </c>
      <c r="U20" s="21"/>
      <c r="W20" s="21"/>
      <c r="X20" s="21"/>
    </row>
    <row r="21" spans="1:31" ht="16">
      <c r="A21" s="6"/>
      <c r="B21" s="14" t="str">
        <f t="shared" ca="1" si="0"/>
        <v>MBM</v>
      </c>
      <c r="C21" s="23" t="str">
        <f ca="1">IFERROR(__xludf.DUMMYFUNCTION("""COMPUTED_VALUE"""),"MBM110")</f>
        <v>MBM110</v>
      </c>
      <c r="D21" s="6" t="str">
        <f ca="1">IFERROR(__xludf.DUMMYFUNCTION("""COMPUTED_VALUE"""),"PARTICIPADOS")</f>
        <v>PARTICIPADOS</v>
      </c>
      <c r="E21" s="6">
        <f ca="1">IFERROR(__xludf.DUMMYFUNCTION("""COMPUTED_VALUE"""),2026)</f>
        <v>2026</v>
      </c>
      <c r="F21" s="15">
        <f ca="1">IFERROR(__xludf.DUMMYFUNCTION("""COMPUTED_VALUE"""),1)</f>
        <v>1</v>
      </c>
      <c r="G21" s="6" t="str">
        <f ca="1">IFERROR(__xludf.DUMMYFUNCTION("""COMPUTED_VALUE"""),"Madrid- La Oca")</f>
        <v>Madrid- La Oca</v>
      </c>
      <c r="H21" s="6" t="str">
        <f ca="1">IFERROR(__xludf.DUMMYFUNCTION("""COMPUTED_VALUE"""),"C202512111114179041")</f>
        <v>C202512111114179041</v>
      </c>
      <c r="I21" s="6" t="str">
        <f ca="1">IFERROR(__xludf.DUMMYFUNCTION("""COMPUTED_VALUE"""),"PEDRO DOMINGO NAVARRO DIAZ")</f>
        <v>PEDRO DOMINGO NAVARRO DIAZ</v>
      </c>
      <c r="J21" s="16">
        <f ca="1">IFERROR(__xludf.DUMMYFUNCTION("""COMPUTED_VALUE"""),46002)</f>
        <v>46002</v>
      </c>
      <c r="K21" s="6" t="str">
        <f ca="1">IFERROR(__xludf.DUMMYFUNCTION("""COMPUTED_VALUE"""),"Factura audífonos")</f>
        <v>Factura audífonos</v>
      </c>
      <c r="L21" s="16">
        <f ca="1">IFERROR(__xludf.DUMMYFUNCTION("""COMPUTED_VALUE"""),46036)</f>
        <v>46036</v>
      </c>
      <c r="M21" s="17" t="str">
        <f ca="1">IFERROR(__xludf.DUMMYFUNCTION("""COMPUTED_VALUE"""),"NO")</f>
        <v>NO</v>
      </c>
      <c r="N21" s="15">
        <f ca="1">IFERROR(__xludf.DUMMYFUNCTION("""COMPUTED_VALUE"""),2)</f>
        <v>2</v>
      </c>
      <c r="O21" s="23" t="str">
        <f ca="1">IFERROR(__xludf.DUMMYFUNCTION("""COMPUTED_VALUE"""),"QUIET")</f>
        <v>QUIET</v>
      </c>
      <c r="P21" s="19">
        <f ca="1">IFERROR(__xludf.DUMMYFUNCTION("""COMPUTED_VALUE"""),2581.82)</f>
        <v>2581.8200000000002</v>
      </c>
      <c r="Q21" s="6" t="str">
        <f ca="1">IFERROR(__xludf.DUMMYFUNCTION("""COMPUTED_VALUE"""),"Maika Blázquez")</f>
        <v>Maika Blázquez</v>
      </c>
      <c r="R21" s="19" t="str">
        <f ca="1">IFERROR(__xludf.DUMMYFUNCTION("""COMPUTED_VALUE"""),"Diana Hernán Pérez")</f>
        <v>Diana Hernán Pérez</v>
      </c>
      <c r="S21" s="20" t="str">
        <f ca="1">IFERROR(__xludf.DUMMYFUNCTION("""COMPUTED_VALUE"""),"03 ORL")</f>
        <v>03 ORL</v>
      </c>
      <c r="T21" s="6" t="str">
        <f ca="1">IFERROR(__xludf.DUMMYFUNCTION("""COMPUTED_VALUE"""),"06 ORL")</f>
        <v>06 ORL</v>
      </c>
      <c r="U21" s="21"/>
      <c r="W21" s="21"/>
      <c r="X21" s="21"/>
    </row>
    <row r="22" spans="1:31" ht="16">
      <c r="A22" s="6"/>
      <c r="B22" s="14" t="str">
        <f t="shared" ca="1" si="0"/>
        <v>ISL</v>
      </c>
      <c r="C22" s="1" t="str">
        <f ca="1">IFERROR(__xludf.DUMMYFUNCTION("""COMPUTED_VALUE"""),"ISL150")</f>
        <v>ISL150</v>
      </c>
      <c r="D22" s="6" t="str">
        <f ca="1">IFERROR(__xludf.DUMMYFUNCTION("""COMPUTED_VALUE"""),"PROPIOS")</f>
        <v>PROPIOS</v>
      </c>
      <c r="E22" s="6">
        <f ca="1">IFERROR(__xludf.DUMMYFUNCTION("""COMPUTED_VALUE"""),2026)</f>
        <v>2026</v>
      </c>
      <c r="F22" s="15">
        <f ca="1">IFERROR(__xludf.DUMMYFUNCTION("""COMPUTED_VALUE"""),1)</f>
        <v>1</v>
      </c>
      <c r="G22" s="6" t="str">
        <f ca="1">IFERROR(__xludf.DUMMYFUNCTION("""COMPUTED_VALUE"""),"Toledo")</f>
        <v>Toledo</v>
      </c>
      <c r="H22" s="6" t="str">
        <f ca="1">IFERROR(__xludf.DUMMYFUNCTION("""COMPUTED_VALUE"""),"C202512231029369451")</f>
        <v>C202512231029369451</v>
      </c>
      <c r="I22" s="6" t="str">
        <f ca="1">IFERROR(__xludf.DUMMYFUNCTION("""COMPUTED_VALUE"""),"Dolores  Sanz Contreras")</f>
        <v>Dolores  Sanz Contreras</v>
      </c>
      <c r="J22" s="16">
        <f ca="1">IFERROR(__xludf.DUMMYFUNCTION("""COMPUTED_VALUE"""),46014)</f>
        <v>46014</v>
      </c>
      <c r="K22" s="6" t="str">
        <f ca="1">IFERROR(__xludf.DUMMYFUNCTION("""COMPUTED_VALUE"""),"Factura audífonos")</f>
        <v>Factura audífonos</v>
      </c>
      <c r="L22" s="16">
        <f ca="1">IFERROR(__xludf.DUMMYFUNCTION("""COMPUTED_VALUE"""),46036)</f>
        <v>46036</v>
      </c>
      <c r="M22" s="17" t="str">
        <f ca="1">IFERROR(__xludf.DUMMYFUNCTION("""COMPUTED_VALUE"""),"NO")</f>
        <v>NO</v>
      </c>
      <c r="N22" s="15">
        <f ca="1">IFERROR(__xludf.DUMMYFUNCTION("""COMPUTED_VALUE"""),1)</f>
        <v>1</v>
      </c>
      <c r="O22" s="17" t="str">
        <f ca="1">IFERROR(__xludf.DUMMYFUNCTION("""COMPUTED_VALUE"""),"QUIET")</f>
        <v>QUIET</v>
      </c>
      <c r="P22" s="19">
        <f ca="1">IFERROR(__xludf.DUMMYFUNCTION("""COMPUTED_VALUE"""),1550.23)</f>
        <v>1550.23</v>
      </c>
      <c r="Q22" s="6" t="str">
        <f ca="1">IFERROR(__xludf.DUMMYFUNCTION("""COMPUTED_VALUE"""),"Lisandro Russian")</f>
        <v>Lisandro Russian</v>
      </c>
      <c r="R22" s="19" t="str">
        <f ca="1">IFERROR(__xludf.DUMMYFUNCTION("""COMPUTED_VALUE"""),"Alejandra Alvarado Namen")</f>
        <v>Alejandra Alvarado Namen</v>
      </c>
      <c r="S22" s="20" t="str">
        <f ca="1">IFERROR(__xludf.DUMMYFUNCTION("""COMPUTED_VALUE"""),"03 ORL")</f>
        <v>03 ORL</v>
      </c>
      <c r="T22" s="6" t="str">
        <f ca="1">IFERROR(__xludf.DUMMYFUNCTION("""COMPUTED_VALUE"""),"06 ORL")</f>
        <v>06 ORL</v>
      </c>
      <c r="U22" s="21"/>
      <c r="W22" s="21"/>
      <c r="X22" s="21"/>
    </row>
    <row r="23" spans="1:31" ht="16">
      <c r="A23" s="6"/>
      <c r="B23" s="14" t="str">
        <f t="shared" ca="1" si="0"/>
        <v>MBM</v>
      </c>
      <c r="C23" s="23" t="str">
        <f ca="1">IFERROR(__xludf.DUMMYFUNCTION("""COMPUTED_VALUE"""),"MBM52")</f>
        <v>MBM52</v>
      </c>
      <c r="D23" s="6" t="str">
        <f ca="1">IFERROR(__xludf.DUMMYFUNCTION("""COMPUTED_VALUE"""),"PARTICIPADOS")</f>
        <v>PARTICIPADOS</v>
      </c>
      <c r="E23" s="6">
        <f ca="1">IFERROR(__xludf.DUMMYFUNCTION("""COMPUTED_VALUE"""),2026)</f>
        <v>2026</v>
      </c>
      <c r="F23" s="15">
        <f ca="1">IFERROR(__xludf.DUMMYFUNCTION("""COMPUTED_VALUE"""),1)</f>
        <v>1</v>
      </c>
      <c r="G23" s="6" t="str">
        <f ca="1">IFERROR(__xludf.DUMMYFUNCTION("""COMPUTED_VALUE"""),"Madrid- La Oca")</f>
        <v>Madrid- La Oca</v>
      </c>
      <c r="H23" s="6" t="str">
        <f ca="1">IFERROR(__xludf.DUMMYFUNCTION("""COMPUTED_VALUE"""),"C202512911118838876")</f>
        <v>C202512911118838876</v>
      </c>
      <c r="I23" s="6" t="str">
        <f ca="1">IFERROR(__xludf.DUMMYFUNCTION("""COMPUTED_VALUE"""),"MARIA JOSEFA DE MELCHOR DIEZ")</f>
        <v>MARIA JOSEFA DE MELCHOR DIEZ</v>
      </c>
      <c r="J23" s="16">
        <f ca="1">IFERROR(__xludf.DUMMYFUNCTION("""COMPUTED_VALUE"""),46000)</f>
        <v>46000</v>
      </c>
      <c r="K23" s="6" t="str">
        <f ca="1">IFERROR(__xludf.DUMMYFUNCTION("""COMPUTED_VALUE"""),"Factura audífonos")</f>
        <v>Factura audífonos</v>
      </c>
      <c r="L23" s="16">
        <f ca="1">IFERROR(__xludf.DUMMYFUNCTION("""COMPUTED_VALUE"""),46036)</f>
        <v>46036</v>
      </c>
      <c r="M23" s="17" t="str">
        <f ca="1">IFERROR(__xludf.DUMMYFUNCTION("""COMPUTED_VALUE"""),"NO")</f>
        <v>NO</v>
      </c>
      <c r="N23" s="15">
        <f ca="1">IFERROR(__xludf.DUMMYFUNCTION("""COMPUTED_VALUE"""),2)</f>
        <v>2</v>
      </c>
      <c r="O23" s="17" t="str">
        <f ca="1">IFERROR(__xludf.DUMMYFUNCTION("""COMPUTED_VALUE"""),"CONFORT")</f>
        <v>CONFORT</v>
      </c>
      <c r="P23" s="19">
        <f ca="1">IFERROR(__xludf.DUMMYFUNCTION("""COMPUTED_VALUE"""),3631.82)</f>
        <v>3631.82</v>
      </c>
      <c r="Q23" s="6" t="str">
        <f ca="1">IFERROR(__xludf.DUMMYFUNCTION("""COMPUTED_VALUE"""),"Maika Blázquez")</f>
        <v>Maika Blázquez</v>
      </c>
      <c r="R23" s="19" t="str">
        <f ca="1">IFERROR(__xludf.DUMMYFUNCTION("""COMPUTED_VALUE"""),"José Joaquín Gutiérrez Barquín")</f>
        <v>José Joaquín Gutiérrez Barquín</v>
      </c>
      <c r="S23" s="20" t="str">
        <f ca="1">IFERROR(__xludf.DUMMYFUNCTION("""COMPUTED_VALUE"""),"03 ORL")</f>
        <v>03 ORL</v>
      </c>
      <c r="T23" s="6" t="str">
        <f ca="1">IFERROR(__xludf.DUMMYFUNCTION("""COMPUTED_VALUE"""),"06 ORL")</f>
        <v>06 ORL</v>
      </c>
      <c r="U23" s="21"/>
      <c r="W23" s="21"/>
      <c r="X23" s="21"/>
      <c r="AE23" s="1"/>
    </row>
    <row r="24" spans="1:31" ht="16">
      <c r="A24" s="6"/>
      <c r="B24" s="14" t="str">
        <f t="shared" ca="1" si="0"/>
        <v>LRM</v>
      </c>
      <c r="C24" s="23" t="str">
        <f ca="1">IFERROR(__xludf.DUMMYFUNCTION("""COMPUTED_VALUE"""),"LRM239")</f>
        <v>LRM239</v>
      </c>
      <c r="D24" s="6" t="str">
        <f ca="1">IFERROR(__xludf.DUMMYFUNCTION("""COMPUTED_VALUE"""),"PROPIOS")</f>
        <v>PROPIOS</v>
      </c>
      <c r="E24" s="6">
        <f ca="1">IFERROR(__xludf.DUMMYFUNCTION("""COMPUTED_VALUE"""),2026)</f>
        <v>2026</v>
      </c>
      <c r="F24" s="15">
        <f ca="1">IFERROR(__xludf.DUMMYFUNCTION("""COMPUTED_VALUE"""),1)</f>
        <v>1</v>
      </c>
      <c r="G24" s="6" t="str">
        <f ca="1">IFERROR(__xludf.DUMMYFUNCTION("""COMPUTED_VALUE"""),"Madrid- Juan Bravo")</f>
        <v>Madrid- Juan Bravo</v>
      </c>
      <c r="H24" s="6" t="str">
        <f ca="1">IFERROR(__xludf.DUMMYFUNCTION("""COMPUTED_VALUE"""),"C202512181052238972")</f>
        <v>C202512181052238972</v>
      </c>
      <c r="I24" s="6" t="str">
        <f ca="1">IFERROR(__xludf.DUMMYFUNCTION("""COMPUTED_VALUE"""),"CONCEPCION FERNANDEZ LOPEZ")</f>
        <v>CONCEPCION FERNANDEZ LOPEZ</v>
      </c>
      <c r="J24" s="16">
        <f ca="1">IFERROR(__xludf.DUMMYFUNCTION("""COMPUTED_VALUE"""),46009)</f>
        <v>46009</v>
      </c>
      <c r="K24" s="6" t="str">
        <f ca="1">IFERROR(__xludf.DUMMYFUNCTION("""COMPUTED_VALUE"""),"Factura audífonos")</f>
        <v>Factura audífonos</v>
      </c>
      <c r="L24" s="16">
        <f ca="1">IFERROR(__xludf.DUMMYFUNCTION("""COMPUTED_VALUE"""),46036)</f>
        <v>46036</v>
      </c>
      <c r="M24" s="17" t="str">
        <f ca="1">IFERROR(__xludf.DUMMYFUNCTION("""COMPUTED_VALUE"""),"NO")</f>
        <v>NO</v>
      </c>
      <c r="N24" s="15">
        <f ca="1">IFERROR(__xludf.DUMMYFUNCTION("""COMPUTED_VALUE"""),2)</f>
        <v>2</v>
      </c>
      <c r="O24" s="23" t="str">
        <f ca="1">IFERROR(__xludf.DUMMYFUNCTION("""COMPUTED_VALUE"""),"ADVANCED")</f>
        <v>ADVANCED</v>
      </c>
      <c r="P24" s="18">
        <f ca="1">IFERROR(__xludf.DUMMYFUNCTION("""COMPUTED_VALUE"""),3929.55)</f>
        <v>3929.55</v>
      </c>
      <c r="Q24" s="6" t="str">
        <f ca="1">IFERROR(__xludf.DUMMYFUNCTION("""COMPUTED_VALUE"""),"Lisandro Russian")</f>
        <v>Lisandro Russian</v>
      </c>
      <c r="R24" s="19" t="str">
        <f ca="1">IFERROR(__xludf.DUMMYFUNCTION("""COMPUTED_VALUE"""),"Carlos Barajas del Rosal")</f>
        <v>Carlos Barajas del Rosal</v>
      </c>
      <c r="S24" s="20" t="str">
        <f ca="1">IFERROR(__xludf.DUMMYFUNCTION("""COMPUTED_VALUE"""),"03 ORL")</f>
        <v>03 ORL</v>
      </c>
      <c r="T24" s="6" t="str">
        <f ca="1">IFERROR(__xludf.DUMMYFUNCTION("""COMPUTED_VALUE"""),"06 ORL")</f>
        <v>06 ORL</v>
      </c>
      <c r="U24" s="21"/>
      <c r="W24" s="21"/>
      <c r="X24" s="21"/>
    </row>
    <row r="25" spans="1:31" ht="16">
      <c r="A25" s="6"/>
      <c r="B25" s="14" t="str">
        <f t="shared" si="0"/>
        <v/>
      </c>
      <c r="C25" s="23"/>
      <c r="D25" s="6" t="str">
        <f ca="1">IFERROR(__xludf.DUMMYFUNCTION("""COMPUTED_VALUE"""),"PARTICIPADOS")</f>
        <v>PARTICIPADOS</v>
      </c>
      <c r="E25" s="6">
        <f ca="1">IFERROR(__xludf.DUMMYFUNCTION("""COMPUTED_VALUE"""),2026)</f>
        <v>2026</v>
      </c>
      <c r="F25" s="15">
        <f ca="1">IFERROR(__xludf.DUMMYFUNCTION("""COMPUTED_VALUE"""),1)</f>
        <v>1</v>
      </c>
      <c r="G25" s="6" t="str">
        <f ca="1">IFERROR(__xludf.DUMMYFUNCTION("""COMPUTED_VALUE"""),"Ourense")</f>
        <v>Ourense</v>
      </c>
      <c r="H25" s="6" t="str">
        <f ca="1">IFERROR(__xludf.DUMMYFUNCTION("""COMPUTED_VALUE"""),"C202511241525371421")</f>
        <v>C202511241525371421</v>
      </c>
      <c r="I25" s="6" t="str">
        <f ca="1">IFERROR(__xludf.DUMMYFUNCTION("""COMPUTED_VALUE"""),"ESTHER CAMINO BLANCO")</f>
        <v>ESTHER CAMINO BLANCO</v>
      </c>
      <c r="J25" s="16">
        <f ca="1">IFERROR(__xludf.DUMMYFUNCTION("""COMPUTED_VALUE"""),45985)</f>
        <v>45985</v>
      </c>
      <c r="K25" s="6" t="str">
        <f ca="1">IFERROR(__xludf.DUMMYFUNCTION("""COMPUTED_VALUE"""),"Factura audífonos")</f>
        <v>Factura audífonos</v>
      </c>
      <c r="L25" s="16">
        <f ca="1">IFERROR(__xludf.DUMMYFUNCTION("""COMPUTED_VALUE"""),46036)</f>
        <v>46036</v>
      </c>
      <c r="M25" s="17" t="str">
        <f ca="1">IFERROR(__xludf.DUMMYFUNCTION("""COMPUTED_VALUE"""),"NO")</f>
        <v>NO</v>
      </c>
      <c r="N25" s="15">
        <f ca="1">IFERROR(__xludf.DUMMYFUNCTION("""COMPUTED_VALUE"""),2)</f>
        <v>2</v>
      </c>
      <c r="O25" s="17" t="str">
        <f ca="1">IFERROR(__xludf.DUMMYFUNCTION("""COMPUTED_VALUE"""),"CONFORT")</f>
        <v>CONFORT</v>
      </c>
      <c r="P25" s="19">
        <f ca="1">IFERROR(__xludf.DUMMYFUNCTION("""COMPUTED_VALUE"""),3631.82)</f>
        <v>3631.82</v>
      </c>
      <c r="Q25" s="6" t="str">
        <f ca="1">IFERROR(__xludf.DUMMYFUNCTION("""COMPUTED_VALUE"""),"Alberto Moreno")</f>
        <v>Alberto Moreno</v>
      </c>
      <c r="R25" s="19" t="str">
        <f ca="1">IFERROR(__xludf.DUMMYFUNCTION("""COMPUTED_VALUE"""),"No recuerda ORL")</f>
        <v>No recuerda ORL</v>
      </c>
      <c r="S25" s="20" t="str">
        <f ca="1">IFERROR(__xludf.DUMMYFUNCTION("""COMPUTED_VALUE"""),"03 ORL")</f>
        <v>03 ORL</v>
      </c>
      <c r="T25" s="6" t="str">
        <f ca="1">IFERROR(__xludf.DUMMYFUNCTION("""COMPUTED_VALUE"""),"06 ORL")</f>
        <v>06 ORL</v>
      </c>
      <c r="U25" s="21"/>
      <c r="W25" s="21"/>
      <c r="X25" s="21"/>
    </row>
    <row r="26" spans="1:31" ht="16">
      <c r="A26" s="6"/>
      <c r="B26" s="14" t="str">
        <f t="shared" ca="1" si="0"/>
        <v>MBM</v>
      </c>
      <c r="C26" s="23" t="str">
        <f ca="1">IFERROR(__xludf.DUMMYFUNCTION("""COMPUTED_VALUE"""),"MBM124")</f>
        <v>MBM124</v>
      </c>
      <c r="D26" s="6" t="str">
        <f ca="1">IFERROR(__xludf.DUMMYFUNCTION("""COMPUTED_VALUE"""),"PROPIOS")</f>
        <v>PROPIOS</v>
      </c>
      <c r="E26" s="6">
        <f ca="1">IFERROR(__xludf.DUMMYFUNCTION("""COMPUTED_VALUE"""),2026)</f>
        <v>2026</v>
      </c>
      <c r="F26" s="15">
        <f ca="1">IFERROR(__xludf.DUMMYFUNCTION("""COMPUTED_VALUE"""),1)</f>
        <v>1</v>
      </c>
      <c r="G26" s="6" t="str">
        <f ca="1">IFERROR(__xludf.DUMMYFUNCTION("""COMPUTED_VALUE"""),"Fuenlabrada")</f>
        <v>Fuenlabrada</v>
      </c>
      <c r="H26" s="6" t="str">
        <f ca="1">IFERROR(__xludf.DUMMYFUNCTION("""COMPUTED_VALUE"""),"C202512171612178703")</f>
        <v>C202512171612178703</v>
      </c>
      <c r="I26" s="6" t="str">
        <f ca="1">IFERROR(__xludf.DUMMYFUNCTION("""COMPUTED_VALUE"""),"EMILIO CAMACHO BALLERO")</f>
        <v>EMILIO CAMACHO BALLERO</v>
      </c>
      <c r="J26" s="16">
        <f ca="1">IFERROR(__xludf.DUMMYFUNCTION("""COMPUTED_VALUE"""),46008)</f>
        <v>46008</v>
      </c>
      <c r="K26" s="6" t="str">
        <f ca="1">IFERROR(__xludf.DUMMYFUNCTION("""COMPUTED_VALUE"""),"Factura audífonos")</f>
        <v>Factura audífonos</v>
      </c>
      <c r="L26" s="16">
        <f ca="1">IFERROR(__xludf.DUMMYFUNCTION("""COMPUTED_VALUE"""),46037)</f>
        <v>46037</v>
      </c>
      <c r="M26" s="17" t="str">
        <f ca="1">IFERROR(__xludf.DUMMYFUNCTION("""COMPUTED_VALUE"""),"NO")</f>
        <v>NO</v>
      </c>
      <c r="N26" s="15">
        <f ca="1">IFERROR(__xludf.DUMMYFUNCTION("""COMPUTED_VALUE"""),2)</f>
        <v>2</v>
      </c>
      <c r="O26" s="17" t="str">
        <f ca="1">IFERROR(__xludf.DUMMYFUNCTION("""COMPUTED_VALUE"""),"PRO")</f>
        <v>PRO</v>
      </c>
      <c r="P26" s="18">
        <f ca="1">IFERROR(__xludf.DUMMYFUNCTION("""COMPUTED_VALUE"""),4536.36)</f>
        <v>4536.3599999999997</v>
      </c>
      <c r="Q26" s="6" t="str">
        <f ca="1">IFERROR(__xludf.DUMMYFUNCTION("""COMPUTED_VALUE"""),"Maika Blázquez")</f>
        <v>Maika Blázquez</v>
      </c>
      <c r="R26" s="19" t="str">
        <f ca="1">IFERROR(__xludf.DUMMYFUNCTION("""COMPUTED_VALUE"""),"Ithzel Maria Villarreal Patiño")</f>
        <v>Ithzel Maria Villarreal Patiño</v>
      </c>
      <c r="S26" s="20" t="str">
        <f ca="1">IFERROR(__xludf.DUMMYFUNCTION("""COMPUTED_VALUE"""),"03 ORL")</f>
        <v>03 ORL</v>
      </c>
      <c r="T26" s="6" t="str">
        <f ca="1">IFERROR(__xludf.DUMMYFUNCTION("""COMPUTED_VALUE"""),"06 ORL")</f>
        <v>06 ORL</v>
      </c>
      <c r="U26" s="21"/>
      <c r="W26" s="21"/>
      <c r="X26" s="21"/>
    </row>
    <row r="27" spans="1:31" ht="16">
      <c r="A27" s="6"/>
      <c r="B27" s="14" t="str">
        <f t="shared" ca="1" si="0"/>
        <v>RPG</v>
      </c>
      <c r="C27" s="23" t="str">
        <f ca="1">IFERROR(__xludf.DUMMYFUNCTION("""COMPUTED_VALUE"""),"RPG30")</f>
        <v>RPG30</v>
      </c>
      <c r="D27" s="6" t="str">
        <f ca="1">IFERROR(__xludf.DUMMYFUNCTION("""COMPUTED_VALUE"""),"PARTICIPADOS")</f>
        <v>PARTICIPADOS</v>
      </c>
      <c r="E27" s="6">
        <f ca="1">IFERROR(__xludf.DUMMYFUNCTION("""COMPUTED_VALUE"""),2026)</f>
        <v>2026</v>
      </c>
      <c r="F27" s="15">
        <f ca="1">IFERROR(__xludf.DUMMYFUNCTION("""COMPUTED_VALUE"""),1)</f>
        <v>1</v>
      </c>
      <c r="G27" s="6" t="str">
        <f ca="1">IFERROR(__xludf.DUMMYFUNCTION("""COMPUTED_VALUE"""),"Lugo")</f>
        <v>Lugo</v>
      </c>
      <c r="H27" s="6" t="str">
        <f ca="1">IFERROR(__xludf.DUMMYFUNCTION("""COMPUTED_VALUE"""),"C202512318124615792")</f>
        <v>C202512318124615792</v>
      </c>
      <c r="I27" s="6" t="str">
        <f ca="1">IFERROR(__xludf.DUMMYFUNCTION("""COMPUTED_VALUE"""),"ANDRES BARREIRO LOIS")</f>
        <v>ANDRES BARREIRO LOIS</v>
      </c>
      <c r="J27" s="16">
        <f ca="1">IFERROR(__xludf.DUMMYFUNCTION("""COMPUTED_VALUE"""),45994)</f>
        <v>45994</v>
      </c>
      <c r="K27" s="6" t="str">
        <f ca="1">IFERROR(__xludf.DUMMYFUNCTION("""COMPUTED_VALUE"""),"Factura audífonos")</f>
        <v>Factura audífonos</v>
      </c>
      <c r="L27" s="16">
        <f ca="1">IFERROR(__xludf.DUMMYFUNCTION("""COMPUTED_VALUE"""),46037)</f>
        <v>46037</v>
      </c>
      <c r="M27" s="17" t="str">
        <f ca="1">IFERROR(__xludf.DUMMYFUNCTION("""COMPUTED_VALUE"""),"NO")</f>
        <v>NO</v>
      </c>
      <c r="N27" s="15">
        <f ca="1">IFERROR(__xludf.DUMMYFUNCTION("""COMPUTED_VALUE"""),2)</f>
        <v>2</v>
      </c>
      <c r="O27" s="23" t="str">
        <f ca="1">IFERROR(__xludf.DUMMYFUNCTION("""COMPUTED_VALUE"""),"ADVANCED")</f>
        <v>ADVANCED</v>
      </c>
      <c r="P27" s="19">
        <f ca="1">IFERROR(__xludf.DUMMYFUNCTION("""COMPUTED_VALUE"""),3929.09)</f>
        <v>3929.09</v>
      </c>
      <c r="Q27" s="6" t="str">
        <f ca="1">IFERROR(__xludf.DUMMYFUNCTION("""COMPUTED_VALUE"""),"Alberto Moreno")</f>
        <v>Alberto Moreno</v>
      </c>
      <c r="R27" s="19" t="str">
        <f ca="1">IFERROR(__xludf.DUMMYFUNCTION("""COMPUTED_VALUE"""),"Pedro Juiz López")</f>
        <v>Pedro Juiz López</v>
      </c>
      <c r="S27" s="20" t="str">
        <f ca="1">IFERROR(__xludf.DUMMYFUNCTION("""COMPUTED_VALUE"""),"03 ORL")</f>
        <v>03 ORL</v>
      </c>
      <c r="T27" s="6" t="str">
        <f ca="1">IFERROR(__xludf.DUMMYFUNCTION("""COMPUTED_VALUE"""),"06 ORL")</f>
        <v>06 ORL</v>
      </c>
      <c r="U27" s="21"/>
      <c r="W27" s="21"/>
      <c r="X27" s="21"/>
    </row>
    <row r="28" spans="1:31" ht="16">
      <c r="A28" s="6"/>
      <c r="B28" s="14" t="str">
        <f t="shared" ca="1" si="0"/>
        <v>MBM</v>
      </c>
      <c r="C28" s="23" t="str">
        <f ca="1">IFERROR(__xludf.DUMMYFUNCTION("""COMPUTED_VALUE"""),"MBM21")</f>
        <v>MBM21</v>
      </c>
      <c r="D28" s="6" t="str">
        <f ca="1">IFERROR(__xludf.DUMMYFUNCTION("""COMPUTED_VALUE"""),"PARTICIPADOS")</f>
        <v>PARTICIPADOS</v>
      </c>
      <c r="E28" s="6">
        <f ca="1">IFERROR(__xludf.DUMMYFUNCTION("""COMPUTED_VALUE"""),2026)</f>
        <v>2026</v>
      </c>
      <c r="F28" s="15">
        <f ca="1">IFERROR(__xludf.DUMMYFUNCTION("""COMPUTED_VALUE"""),1)</f>
        <v>1</v>
      </c>
      <c r="G28" s="6" t="str">
        <f ca="1">IFERROR(__xludf.DUMMYFUNCTION("""COMPUTED_VALUE"""),"Madrid- La Oca")</f>
        <v>Madrid- La Oca</v>
      </c>
      <c r="H28" s="6" t="str">
        <f ca="1">IFERROR(__xludf.DUMMYFUNCTION("""COMPUTED_VALUE"""),"C202511201642289976")</f>
        <v>C202511201642289976</v>
      </c>
      <c r="I28" s="6" t="str">
        <f ca="1">IFERROR(__xludf.DUMMYFUNCTION("""COMPUTED_VALUE"""),"MANUELA LLAMAS DE PAZ")</f>
        <v>MANUELA LLAMAS DE PAZ</v>
      </c>
      <c r="J28" s="16">
        <f ca="1">IFERROR(__xludf.DUMMYFUNCTION("""COMPUTED_VALUE"""),45981)</f>
        <v>45981</v>
      </c>
      <c r="K28" s="6" t="str">
        <f ca="1">IFERROR(__xludf.DUMMYFUNCTION("""COMPUTED_VALUE"""),"Factura audífonos")</f>
        <v>Factura audífonos</v>
      </c>
      <c r="L28" s="16">
        <f ca="1">IFERROR(__xludf.DUMMYFUNCTION("""COMPUTED_VALUE"""),46037)</f>
        <v>46037</v>
      </c>
      <c r="M28" s="17" t="str">
        <f ca="1">IFERROR(__xludf.DUMMYFUNCTION("""COMPUTED_VALUE"""),"NO")</f>
        <v>NO</v>
      </c>
      <c r="N28" s="15">
        <f ca="1">IFERROR(__xludf.DUMMYFUNCTION("""COMPUTED_VALUE"""),2)</f>
        <v>2</v>
      </c>
      <c r="O28" s="23" t="str">
        <f ca="1">IFERROR(__xludf.DUMMYFUNCTION("""COMPUTED_VALUE"""),"QUIET")</f>
        <v>QUIET</v>
      </c>
      <c r="P28" s="18">
        <f ca="1">IFERROR(__xludf.DUMMYFUNCTION("""COMPUTED_VALUE"""),2581.82)</f>
        <v>2581.8200000000002</v>
      </c>
      <c r="Q28" s="6" t="str">
        <f ca="1">IFERROR(__xludf.DUMMYFUNCTION("""COMPUTED_VALUE"""),"Maika Blázquez")</f>
        <v>Maika Blázquez</v>
      </c>
      <c r="R28" s="19" t="str">
        <f ca="1">IFERROR(__xludf.DUMMYFUNCTION("""COMPUTED_VALUE"""),"Félix Rodríguez Paz")</f>
        <v>Félix Rodríguez Paz</v>
      </c>
      <c r="S28" s="20" t="str">
        <f ca="1">IFERROR(__xludf.DUMMYFUNCTION("""COMPUTED_VALUE"""),"03 ORL")</f>
        <v>03 ORL</v>
      </c>
      <c r="T28" s="6" t="str">
        <f ca="1">IFERROR(__xludf.DUMMYFUNCTION("""COMPUTED_VALUE"""),"06 ORL")</f>
        <v>06 ORL</v>
      </c>
      <c r="U28" s="21"/>
      <c r="W28" s="21"/>
      <c r="X28" s="21"/>
      <c r="AE28" s="1"/>
    </row>
    <row r="29" spans="1:31" ht="16">
      <c r="A29" s="6"/>
      <c r="B29" s="14" t="str">
        <f t="shared" ca="1" si="0"/>
        <v>MBM</v>
      </c>
      <c r="C29" s="23" t="str">
        <f ca="1">IFERROR(__xludf.DUMMYFUNCTION("""COMPUTED_VALUE"""),"MBM50")</f>
        <v>MBM50</v>
      </c>
      <c r="D29" s="6" t="str">
        <f ca="1">IFERROR(__xludf.DUMMYFUNCTION("""COMPUTED_VALUE"""),"PROPIOS")</f>
        <v>PROPIOS</v>
      </c>
      <c r="E29" s="6">
        <f ca="1">IFERROR(__xludf.DUMMYFUNCTION("""COMPUTED_VALUE"""),2026)</f>
        <v>2026</v>
      </c>
      <c r="F29" s="15">
        <f ca="1">IFERROR(__xludf.DUMMYFUNCTION("""COMPUTED_VALUE"""),1)</f>
        <v>1</v>
      </c>
      <c r="G29" s="6" t="str">
        <f ca="1">IFERROR(__xludf.DUMMYFUNCTION("""COMPUTED_VALUE"""),"Madrid- Canillas")</f>
        <v>Madrid- Canillas</v>
      </c>
      <c r="H29" s="6" t="str">
        <f ca="1">IFERROR(__xludf.DUMMYFUNCTION("""COMPUTED_VALUE"""),"C202511271715586820")</f>
        <v>C202511271715586820</v>
      </c>
      <c r="I29" s="6" t="str">
        <f ca="1">IFERROR(__xludf.DUMMYFUNCTION("""COMPUTED_VALUE"""),"ROSA DE LA FLOR GONZÁLEZ")</f>
        <v>ROSA DE LA FLOR GONZÁLEZ</v>
      </c>
      <c r="J29" s="16">
        <f ca="1">IFERROR(__xludf.DUMMYFUNCTION("""COMPUTED_VALUE"""),45988)</f>
        <v>45988</v>
      </c>
      <c r="K29" s="6" t="str">
        <f ca="1">IFERROR(__xludf.DUMMYFUNCTION("""COMPUTED_VALUE"""),"Factura audífonos")</f>
        <v>Factura audífonos</v>
      </c>
      <c r="L29" s="16">
        <f ca="1">IFERROR(__xludf.DUMMYFUNCTION("""COMPUTED_VALUE"""),46037)</f>
        <v>46037</v>
      </c>
      <c r="M29" s="17" t="str">
        <f ca="1">IFERROR(__xludf.DUMMYFUNCTION("""COMPUTED_VALUE"""),"NO")</f>
        <v>NO</v>
      </c>
      <c r="N29" s="15">
        <f ca="1">IFERROR(__xludf.DUMMYFUNCTION("""COMPUTED_VALUE"""),2)</f>
        <v>2</v>
      </c>
      <c r="O29" s="23" t="str">
        <f ca="1">IFERROR(__xludf.DUMMYFUNCTION("""COMPUTED_VALUE"""),"QUIET")</f>
        <v>QUIET</v>
      </c>
      <c r="P29" s="18">
        <f ca="1">IFERROR(__xludf.DUMMYFUNCTION("""COMPUTED_VALUE"""),2718.18)</f>
        <v>2718.18</v>
      </c>
      <c r="Q29" s="6" t="str">
        <f ca="1">IFERROR(__xludf.DUMMYFUNCTION("""COMPUTED_VALUE"""),"Maika Blázquez")</f>
        <v>Maika Blázquez</v>
      </c>
      <c r="R29" s="19" t="str">
        <f ca="1">IFERROR(__xludf.DUMMYFUNCTION("""COMPUTED_VALUE"""),"José Gustavo Barroso Braojos")</f>
        <v>José Gustavo Barroso Braojos</v>
      </c>
      <c r="S29" s="20" t="str">
        <f ca="1">IFERROR(__xludf.DUMMYFUNCTION("""COMPUTED_VALUE"""),"03 ORL")</f>
        <v>03 ORL</v>
      </c>
      <c r="T29" s="6" t="str">
        <f ca="1">IFERROR(__xludf.DUMMYFUNCTION("""COMPUTED_VALUE"""),"06 ORL")</f>
        <v>06 ORL</v>
      </c>
      <c r="U29" s="21"/>
      <c r="W29" s="21"/>
      <c r="X29" s="21"/>
    </row>
    <row r="30" spans="1:31" ht="16">
      <c r="A30" s="6"/>
      <c r="B30" s="14" t="str">
        <f t="shared" ca="1" si="0"/>
        <v>MBM</v>
      </c>
      <c r="C30" s="23" t="str">
        <f ca="1">IFERROR(__xludf.DUMMYFUNCTION("""COMPUTED_VALUE"""),"MBM39")</f>
        <v>MBM39</v>
      </c>
      <c r="D30" s="6" t="str">
        <f ca="1">IFERROR(__xludf.DUMMYFUNCTION("""COMPUTED_VALUE"""),"PROPIOS")</f>
        <v>PROPIOS</v>
      </c>
      <c r="E30" s="6">
        <f ca="1">IFERROR(__xludf.DUMMYFUNCTION("""COMPUTED_VALUE"""),2026)</f>
        <v>2026</v>
      </c>
      <c r="F30" s="15">
        <f ca="1">IFERROR(__xludf.DUMMYFUNCTION("""COMPUTED_VALUE"""),1)</f>
        <v>1</v>
      </c>
      <c r="G30" s="6" t="str">
        <f ca="1">IFERROR(__xludf.DUMMYFUNCTION("""COMPUTED_VALUE"""),"Madrid- Juan Bravo")</f>
        <v>Madrid- Juan Bravo</v>
      </c>
      <c r="H30" s="6" t="str">
        <f ca="1">IFERROR(__xludf.DUMMYFUNCTION("""COMPUTED_VALUE"""),"C202512191021357942")</f>
        <v>C202512191021357942</v>
      </c>
      <c r="I30" s="6" t="str">
        <f ca="1">IFERROR(__xludf.DUMMYFUNCTION("""COMPUTED_VALUE"""),"LUCAS ROMERO MILLAN")</f>
        <v>LUCAS ROMERO MILLAN</v>
      </c>
      <c r="J30" s="16">
        <f ca="1">IFERROR(__xludf.DUMMYFUNCTION("""COMPUTED_VALUE"""),46010)</f>
        <v>46010</v>
      </c>
      <c r="K30" s="6" t="str">
        <f ca="1">IFERROR(__xludf.DUMMYFUNCTION("""COMPUTED_VALUE"""),"Factura audífonos")</f>
        <v>Factura audífonos</v>
      </c>
      <c r="L30" s="16">
        <f ca="1">IFERROR(__xludf.DUMMYFUNCTION("""COMPUTED_VALUE"""),46038)</f>
        <v>46038</v>
      </c>
      <c r="M30" s="23" t="str">
        <f ca="1">IFERROR(__xludf.DUMMYFUNCTION("""COMPUTED_VALUE"""),"NO")</f>
        <v>NO</v>
      </c>
      <c r="N30" s="15">
        <f ca="1">IFERROR(__xludf.DUMMYFUNCTION("""COMPUTED_VALUE"""),1)</f>
        <v>1</v>
      </c>
      <c r="O30" s="23" t="str">
        <f ca="1">IFERROR(__xludf.DUMMYFUNCTION("""COMPUTED_VALUE"""),"CONFORT")</f>
        <v>CONFORT</v>
      </c>
      <c r="P30" s="18">
        <f ca="1">IFERROR(__xludf.DUMMYFUNCTION("""COMPUTED_VALUE"""),2180.91)</f>
        <v>2180.91</v>
      </c>
      <c r="Q30" s="6" t="str">
        <f ca="1">IFERROR(__xludf.DUMMYFUNCTION("""COMPUTED_VALUE"""),"Maika Blázquez")</f>
        <v>Maika Blázquez</v>
      </c>
      <c r="R30" s="19" t="str">
        <f ca="1">IFERROR(__xludf.DUMMYFUNCTION("""COMPUTED_VALUE"""),"Javier García Domínguez")</f>
        <v>Javier García Domínguez</v>
      </c>
      <c r="S30" s="20" t="str">
        <f ca="1">IFERROR(__xludf.DUMMYFUNCTION("""COMPUTED_VALUE"""),"03 ORL")</f>
        <v>03 ORL</v>
      </c>
      <c r="T30" s="6" t="str">
        <f ca="1">IFERROR(__xludf.DUMMYFUNCTION("""COMPUTED_VALUE"""),"06 ORL")</f>
        <v>06 ORL</v>
      </c>
      <c r="U30" s="21"/>
      <c r="W30" s="21"/>
      <c r="X30" s="21"/>
    </row>
    <row r="31" spans="1:31" ht="16">
      <c r="A31" s="6"/>
      <c r="B31" s="14" t="str">
        <f t="shared" ca="1" si="0"/>
        <v>LRM</v>
      </c>
      <c r="C31" s="23" t="str">
        <f ca="1">IFERROR(__xludf.DUMMYFUNCTION("""COMPUTED_VALUE"""),"LRM113")</f>
        <v>LRM113</v>
      </c>
      <c r="D31" s="6" t="str">
        <f ca="1">IFERROR(__xludf.DUMMYFUNCTION("""COMPUTED_VALUE"""),"ASOCIADOS")</f>
        <v>ASOCIADOS</v>
      </c>
      <c r="E31" s="6">
        <f ca="1">IFERROR(__xludf.DUMMYFUNCTION("""COMPUTED_VALUE"""),2026)</f>
        <v>2026</v>
      </c>
      <c r="F31" s="15">
        <f ca="1">IFERROR(__xludf.DUMMYFUNCTION("""COMPUTED_VALUE"""),1)</f>
        <v>1</v>
      </c>
      <c r="G31" s="6" t="str">
        <f ca="1">IFERROR(__xludf.DUMMYFUNCTION("""COMPUTED_VALUE"""),"Cáceres")</f>
        <v>Cáceres</v>
      </c>
      <c r="H31" s="6" t="str">
        <f ca="1">IFERROR(__xludf.DUMMYFUNCTION("""COMPUTED_VALUE"""),"C202512161810167638")</f>
        <v>C202512161810167638</v>
      </c>
      <c r="I31" s="6" t="str">
        <f ca="1">IFERROR(__xludf.DUMMYFUNCTION("""COMPUTED_VALUE"""),"PEDRO BARROSO PEREZ")</f>
        <v>PEDRO BARROSO PEREZ</v>
      </c>
      <c r="J31" s="16">
        <f ca="1">IFERROR(__xludf.DUMMYFUNCTION("""COMPUTED_VALUE"""),46007)</f>
        <v>46007</v>
      </c>
      <c r="K31" s="6" t="str">
        <f ca="1">IFERROR(__xludf.DUMMYFUNCTION("""COMPUTED_VALUE"""),"Factura audífonos")</f>
        <v>Factura audífonos</v>
      </c>
      <c r="L31" s="16">
        <f ca="1">IFERROR(__xludf.DUMMYFUNCTION("""COMPUTED_VALUE"""),46038)</f>
        <v>46038</v>
      </c>
      <c r="M31" s="23" t="str">
        <f ca="1">IFERROR(__xludf.DUMMYFUNCTION("""COMPUTED_VALUE"""),"NO")</f>
        <v>NO</v>
      </c>
      <c r="N31" s="15">
        <f ca="1">IFERROR(__xludf.DUMMYFUNCTION("""COMPUTED_VALUE"""),2)</f>
        <v>2</v>
      </c>
      <c r="O31" s="17" t="str">
        <f ca="1">IFERROR(__xludf.DUMMYFUNCTION("""COMPUTED_VALUE"""),"QUIET")</f>
        <v>QUIET</v>
      </c>
      <c r="P31" s="18">
        <f ca="1">IFERROR(__xludf.DUMMYFUNCTION("""COMPUTED_VALUE"""),3583.64)</f>
        <v>3583.64</v>
      </c>
      <c r="Q31" s="6" t="str">
        <f ca="1">IFERROR(__xludf.DUMMYFUNCTION("""COMPUTED_VALUE"""),"Lisandro Russian")</f>
        <v>Lisandro Russian</v>
      </c>
      <c r="R31" s="19" t="str">
        <f ca="1">IFERROR(__xludf.DUMMYFUNCTION("""COMPUTED_VALUE"""),"Raed Maqued El Maqued")</f>
        <v>Raed Maqued El Maqued</v>
      </c>
      <c r="S31" s="20" t="str">
        <f ca="1">IFERROR(__xludf.DUMMYFUNCTION("""COMPUTED_VALUE"""),"03 ORL")</f>
        <v>03 ORL</v>
      </c>
      <c r="T31" s="6" t="str">
        <f ca="1">IFERROR(__xludf.DUMMYFUNCTION("""COMPUTED_VALUE"""),"06 ORL")</f>
        <v>06 ORL</v>
      </c>
      <c r="U31" s="21"/>
      <c r="W31" s="21"/>
      <c r="X31" s="21"/>
    </row>
    <row r="32" spans="1:31" ht="16">
      <c r="A32" s="6"/>
      <c r="B32" s="14" t="str">
        <f t="shared" ca="1" si="0"/>
        <v>MBM</v>
      </c>
      <c r="C32" s="23" t="str">
        <f ca="1">IFERROR(__xludf.DUMMYFUNCTION("""COMPUTED_VALUE"""),"MBM166")</f>
        <v>MBM166</v>
      </c>
      <c r="D32" s="6" t="str">
        <f ca="1">IFERROR(__xludf.DUMMYFUNCTION("""COMPUTED_VALUE"""),"PROPIOS")</f>
        <v>PROPIOS</v>
      </c>
      <c r="E32" s="6">
        <f ca="1">IFERROR(__xludf.DUMMYFUNCTION("""COMPUTED_VALUE"""),2026)</f>
        <v>2026</v>
      </c>
      <c r="F32" s="15">
        <f ca="1">IFERROR(__xludf.DUMMYFUNCTION("""COMPUTED_VALUE"""),1)</f>
        <v>1</v>
      </c>
      <c r="G32" s="6" t="str">
        <f ca="1">IFERROR(__xludf.DUMMYFUNCTION("""COMPUTED_VALUE"""),"Leganés")</f>
        <v>Leganés</v>
      </c>
      <c r="H32" s="6" t="str">
        <f ca="1">IFERROR(__xludf.DUMMYFUNCTION("""COMPUTED_VALUE"""),"C202512112053437517")</f>
        <v>C202512112053437517</v>
      </c>
      <c r="I32" s="6" t="str">
        <f ca="1">IFERROR(__xludf.DUMMYFUNCTION("""COMPUTED_VALUE"""),"MANUEL MANJON CABELLO")</f>
        <v>MANUEL MANJON CABELLO</v>
      </c>
      <c r="J32" s="16">
        <f ca="1">IFERROR(__xludf.DUMMYFUNCTION("""COMPUTED_VALUE"""),45992)</f>
        <v>45992</v>
      </c>
      <c r="K32" s="6" t="str">
        <f ca="1">IFERROR(__xludf.DUMMYFUNCTION("""COMPUTED_VALUE"""),"Factura audífonos")</f>
        <v>Factura audífonos</v>
      </c>
      <c r="L32" s="16">
        <f ca="1">IFERROR(__xludf.DUMMYFUNCTION("""COMPUTED_VALUE"""),46038)</f>
        <v>46038</v>
      </c>
      <c r="M32" s="17" t="str">
        <f ca="1">IFERROR(__xludf.DUMMYFUNCTION("""COMPUTED_VALUE"""),"NO")</f>
        <v>NO</v>
      </c>
      <c r="N32" s="15">
        <f ca="1">IFERROR(__xludf.DUMMYFUNCTION("""COMPUTED_VALUE"""),2)</f>
        <v>2</v>
      </c>
      <c r="O32" s="17" t="str">
        <f ca="1">IFERROR(__xludf.DUMMYFUNCTION("""COMPUTED_VALUE"""),"QUIET")</f>
        <v>QUIET</v>
      </c>
      <c r="P32" s="19">
        <f ca="1">IFERROR(__xludf.DUMMYFUNCTION("""COMPUTED_VALUE"""),2581.82)</f>
        <v>2581.8200000000002</v>
      </c>
      <c r="Q32" s="6" t="str">
        <f ca="1">IFERROR(__xludf.DUMMYFUNCTION("""COMPUTED_VALUE"""),"Maika Blázquez")</f>
        <v>Maika Blázquez</v>
      </c>
      <c r="R32" s="19" t="str">
        <f ca="1">IFERROR(__xludf.DUMMYFUNCTION("""COMPUTED_VALUE"""),"Patricia García Vicente")</f>
        <v>Patricia García Vicente</v>
      </c>
      <c r="S32" s="20" t="str">
        <f ca="1">IFERROR(__xludf.DUMMYFUNCTION("""COMPUTED_VALUE"""),"03 ORL")</f>
        <v>03 ORL</v>
      </c>
      <c r="T32" s="6" t="str">
        <f ca="1">IFERROR(__xludf.DUMMYFUNCTION("""COMPUTED_VALUE"""),"06 ORL")</f>
        <v>06 ORL</v>
      </c>
      <c r="U32" s="21"/>
      <c r="W32" s="21"/>
      <c r="X32" s="21"/>
    </row>
    <row r="33" spans="1:31" ht="16">
      <c r="A33" s="6"/>
      <c r="B33" s="14" t="str">
        <f t="shared" ca="1" si="0"/>
        <v>MBM</v>
      </c>
      <c r="C33" s="23" t="str">
        <f ca="1">IFERROR(__xludf.DUMMYFUNCTION("""COMPUTED_VALUE"""),"MBM129")</f>
        <v>MBM129</v>
      </c>
      <c r="D33" s="6" t="str">
        <f ca="1">IFERROR(__xludf.DUMMYFUNCTION("""COMPUTED_VALUE"""),"PROPIOS")</f>
        <v>PROPIOS</v>
      </c>
      <c r="E33" s="6">
        <f ca="1">IFERROR(__xludf.DUMMYFUNCTION("""COMPUTED_VALUE"""),2026)</f>
        <v>2026</v>
      </c>
      <c r="F33" s="15">
        <f ca="1">IFERROR(__xludf.DUMMYFUNCTION("""COMPUTED_VALUE"""),1)</f>
        <v>1</v>
      </c>
      <c r="G33" s="6" t="str">
        <f ca="1">IFERROR(__xludf.DUMMYFUNCTION("""COMPUTED_VALUE"""),"Alcorcón")</f>
        <v>Alcorcón</v>
      </c>
      <c r="H33" s="6" t="str">
        <f ca="1">IFERROR(__xludf.DUMMYFUNCTION("""COMPUTED_VALUE"""),"C202512183458643917")</f>
        <v>C202512183458643917</v>
      </c>
      <c r="I33" s="6" t="str">
        <f ca="1">IFERROR(__xludf.DUMMYFUNCTION("""COMPUTED_VALUE"""),"VANESA SACRISTAN  HERNÁNDEZ")</f>
        <v>VANESA SACRISTAN  HERNÁNDEZ</v>
      </c>
      <c r="J33" s="16">
        <f ca="1">IFERROR(__xludf.DUMMYFUNCTION("""COMPUTED_VALUE"""),45992)</f>
        <v>45992</v>
      </c>
      <c r="K33" s="6" t="str">
        <f ca="1">IFERROR(__xludf.DUMMYFUNCTION("""COMPUTED_VALUE"""),"Factura audífonos")</f>
        <v>Factura audífonos</v>
      </c>
      <c r="L33" s="16">
        <f ca="1">IFERROR(__xludf.DUMMYFUNCTION("""COMPUTED_VALUE"""),46038)</f>
        <v>46038</v>
      </c>
      <c r="M33" s="17" t="str">
        <f ca="1">IFERROR(__xludf.DUMMYFUNCTION("""COMPUTED_VALUE"""),"NO")</f>
        <v>NO</v>
      </c>
      <c r="N33" s="15">
        <f ca="1">IFERROR(__xludf.DUMMYFUNCTION("""COMPUTED_VALUE"""),1)</f>
        <v>1</v>
      </c>
      <c r="O33" s="17" t="str">
        <f ca="1">IFERROR(__xludf.DUMMYFUNCTION("""COMPUTED_VALUE"""),"CONFORT")</f>
        <v>CONFORT</v>
      </c>
      <c r="P33" s="18">
        <f ca="1">IFERROR(__xludf.DUMMYFUNCTION("""COMPUTED_VALUE"""),2180.91)</f>
        <v>2180.91</v>
      </c>
      <c r="Q33" s="6" t="str">
        <f ca="1">IFERROR(__xludf.DUMMYFUNCTION("""COMPUTED_VALUE"""),"Maika Blázquez")</f>
        <v>Maika Blázquez</v>
      </c>
      <c r="R33" s="19" t="str">
        <f ca="1">IFERROR(__xludf.DUMMYFUNCTION("""COMPUTED_VALUE"""),"Laura del Toro Gil")</f>
        <v>Laura del Toro Gil</v>
      </c>
      <c r="S33" s="20" t="str">
        <f ca="1">IFERROR(__xludf.DUMMYFUNCTION("""COMPUTED_VALUE"""),"03 ORL")</f>
        <v>03 ORL</v>
      </c>
      <c r="T33" s="6" t="str">
        <f ca="1">IFERROR(__xludf.DUMMYFUNCTION("""COMPUTED_VALUE"""),"06 ORL")</f>
        <v>06 ORL</v>
      </c>
      <c r="U33" s="21"/>
      <c r="W33" s="21"/>
      <c r="X33" s="21"/>
    </row>
    <row r="34" spans="1:31" ht="16">
      <c r="A34" s="6"/>
      <c r="B34" s="14" t="str">
        <f t="shared" ca="1" si="0"/>
        <v>MBM</v>
      </c>
      <c r="C34" s="23" t="str">
        <f ca="1">IFERROR(__xludf.DUMMYFUNCTION("""COMPUTED_VALUE"""),"MBM21")</f>
        <v>MBM21</v>
      </c>
      <c r="D34" s="6" t="str">
        <f ca="1">IFERROR(__xludf.DUMMYFUNCTION("""COMPUTED_VALUE"""),"PARTICIPADOS")</f>
        <v>PARTICIPADOS</v>
      </c>
      <c r="E34" s="6">
        <f ca="1">IFERROR(__xludf.DUMMYFUNCTION("""COMPUTED_VALUE"""),2026)</f>
        <v>2026</v>
      </c>
      <c r="F34" s="15">
        <f ca="1">IFERROR(__xludf.DUMMYFUNCTION("""COMPUTED_VALUE"""),1)</f>
        <v>1</v>
      </c>
      <c r="G34" s="6" t="str">
        <f ca="1">IFERROR(__xludf.DUMMYFUNCTION("""COMPUTED_VALUE"""),"Madrid- La Oca")</f>
        <v>Madrid- La Oca</v>
      </c>
      <c r="H34" s="6" t="str">
        <f ca="1">IFERROR(__xludf.DUMMYFUNCTION("""COMPUTED_VALUE"""),"C202511251148389618")</f>
        <v>C202511251148389618</v>
      </c>
      <c r="I34" s="6" t="str">
        <f ca="1">IFERROR(__xludf.DUMMYFUNCTION("""COMPUTED_VALUE"""),"VISITACION RODRIGUEZ PEÑARANDA")</f>
        <v>VISITACION RODRIGUEZ PEÑARANDA</v>
      </c>
      <c r="J34" s="16">
        <f ca="1">IFERROR(__xludf.DUMMYFUNCTION("""COMPUTED_VALUE"""),45986)</f>
        <v>45986</v>
      </c>
      <c r="K34" s="6" t="str">
        <f ca="1">IFERROR(__xludf.DUMMYFUNCTION("""COMPUTED_VALUE"""),"Factura audífonos")</f>
        <v>Factura audífonos</v>
      </c>
      <c r="L34" s="16">
        <f ca="1">IFERROR(__xludf.DUMMYFUNCTION("""COMPUTED_VALUE"""),46038)</f>
        <v>46038</v>
      </c>
      <c r="M34" s="17" t="str">
        <f ca="1">IFERROR(__xludf.DUMMYFUNCTION("""COMPUTED_VALUE"""),"NO")</f>
        <v>NO</v>
      </c>
      <c r="N34" s="15">
        <f ca="1">IFERROR(__xludf.DUMMYFUNCTION("""COMPUTED_VALUE"""),2)</f>
        <v>2</v>
      </c>
      <c r="O34" s="17" t="str">
        <f ca="1">IFERROR(__xludf.DUMMYFUNCTION("""COMPUTED_VALUE"""),"QUIET")</f>
        <v>QUIET</v>
      </c>
      <c r="P34" s="19">
        <f ca="1">IFERROR(__xludf.DUMMYFUNCTION("""COMPUTED_VALUE"""),2718.18)</f>
        <v>2718.18</v>
      </c>
      <c r="Q34" s="6" t="str">
        <f ca="1">IFERROR(__xludf.DUMMYFUNCTION("""COMPUTED_VALUE"""),"Maika Blázquez")</f>
        <v>Maika Blázquez</v>
      </c>
      <c r="R34" s="19" t="str">
        <f ca="1">IFERROR(__xludf.DUMMYFUNCTION("""COMPUTED_VALUE"""),"Félix Rodríguez Paz")</f>
        <v>Félix Rodríguez Paz</v>
      </c>
      <c r="S34" s="20" t="str">
        <f ca="1">IFERROR(__xludf.DUMMYFUNCTION("""COMPUTED_VALUE"""),"03 ORL")</f>
        <v>03 ORL</v>
      </c>
      <c r="T34" s="6" t="str">
        <f ca="1">IFERROR(__xludf.DUMMYFUNCTION("""COMPUTED_VALUE"""),"06 ORL")</f>
        <v>06 ORL</v>
      </c>
      <c r="U34" s="21"/>
      <c r="W34" s="21"/>
      <c r="X34" s="21"/>
    </row>
    <row r="35" spans="1:31" ht="16">
      <c r="A35" s="6"/>
      <c r="B35" s="14" t="str">
        <f t="shared" ca="1" si="0"/>
        <v>ISL</v>
      </c>
      <c r="C35" s="23" t="str">
        <f ca="1">IFERROR(__xludf.DUMMYFUNCTION("""COMPUTED_VALUE"""),"ISL45")</f>
        <v>ISL45</v>
      </c>
      <c r="D35" s="6" t="str">
        <f ca="1">IFERROR(__xludf.DUMMYFUNCTION("""COMPUTED_VALUE"""),"PROPIOS")</f>
        <v>PROPIOS</v>
      </c>
      <c r="E35" s="6">
        <f ca="1">IFERROR(__xludf.DUMMYFUNCTION("""COMPUTED_VALUE"""),2026)</f>
        <v>2026</v>
      </c>
      <c r="F35" s="15">
        <f ca="1">IFERROR(__xludf.DUMMYFUNCTION("""COMPUTED_VALUE"""),1)</f>
        <v>1</v>
      </c>
      <c r="G35" s="6" t="str">
        <f ca="1">IFERROR(__xludf.DUMMYFUNCTION("""COMPUTED_VALUE"""),"Murcia")</f>
        <v>Murcia</v>
      </c>
      <c r="H35" s="6" t="str">
        <f ca="1">IFERROR(__xludf.DUMMYFUNCTION("""COMPUTED_VALUE"""),"C202511201717376391")</f>
        <v>C202511201717376391</v>
      </c>
      <c r="I35" s="6" t="str">
        <f ca="1">IFERROR(__xludf.DUMMYFUNCTION("""COMPUTED_VALUE"""),"ESPERANZA ÁLVAREZ MUÑOZ")</f>
        <v>ESPERANZA ÁLVAREZ MUÑOZ</v>
      </c>
      <c r="J35" s="16">
        <f ca="1">IFERROR(__xludf.DUMMYFUNCTION("""COMPUTED_VALUE"""),45981)</f>
        <v>45981</v>
      </c>
      <c r="K35" s="6" t="str">
        <f ca="1">IFERROR(__xludf.DUMMYFUNCTION("""COMPUTED_VALUE"""),"Factura audífonos")</f>
        <v>Factura audífonos</v>
      </c>
      <c r="L35" s="16">
        <f ca="1">IFERROR(__xludf.DUMMYFUNCTION("""COMPUTED_VALUE"""),46038)</f>
        <v>46038</v>
      </c>
      <c r="M35" s="17" t="str">
        <f ca="1">IFERROR(__xludf.DUMMYFUNCTION("""COMPUTED_VALUE"""),"NO")</f>
        <v>NO</v>
      </c>
      <c r="N35" s="15">
        <f ca="1">IFERROR(__xludf.DUMMYFUNCTION("""COMPUTED_VALUE"""),1)</f>
        <v>1</v>
      </c>
      <c r="O35" s="17" t="str">
        <f ca="1">IFERROR(__xludf.DUMMYFUNCTION("""COMPUTED_VALUE"""),"QUIET")</f>
        <v>QUIET</v>
      </c>
      <c r="P35" s="18">
        <f ca="1">IFERROR(__xludf.DUMMYFUNCTION("""COMPUTED_VALUE"""),1631.73)</f>
        <v>1631.73</v>
      </c>
      <c r="Q35" s="6" t="str">
        <f ca="1">IFERROR(__xludf.DUMMYFUNCTION("""COMPUTED_VALUE"""),"Iván Sánchez")</f>
        <v>Iván Sánchez</v>
      </c>
      <c r="R35" s="19" t="str">
        <f ca="1">IFERROR(__xludf.DUMMYFUNCTION("""COMPUTED_VALUE"""),"Jesús Miguel Iniesta Turpín")</f>
        <v>Jesús Miguel Iniesta Turpín</v>
      </c>
      <c r="S35" s="20" t="str">
        <f ca="1">IFERROR(__xludf.DUMMYFUNCTION("""COMPUTED_VALUE"""),"03 ORL")</f>
        <v>03 ORL</v>
      </c>
      <c r="T35" s="6" t="str">
        <f ca="1">IFERROR(__xludf.DUMMYFUNCTION("""COMPUTED_VALUE"""),"06 ORL")</f>
        <v>06 ORL</v>
      </c>
      <c r="U35" s="21"/>
      <c r="W35" s="21"/>
      <c r="X35" s="21"/>
    </row>
    <row r="36" spans="1:31" ht="16">
      <c r="A36" s="6"/>
      <c r="B36" s="14" t="str">
        <f t="shared" ca="1" si="0"/>
        <v>LRM</v>
      </c>
      <c r="C36" s="23" t="str">
        <f ca="1">IFERROR(__xludf.DUMMYFUNCTION("""COMPUTED_VALUE"""),"LRM151")</f>
        <v>LRM151</v>
      </c>
      <c r="D36" s="6" t="str">
        <f ca="1">IFERROR(__xludf.DUMMYFUNCTION("""COMPUTED_VALUE"""),"PROPIOS")</f>
        <v>PROPIOS</v>
      </c>
      <c r="E36" s="6">
        <f ca="1">IFERROR(__xludf.DUMMYFUNCTION("""COMPUTED_VALUE"""),2026)</f>
        <v>2026</v>
      </c>
      <c r="F36" s="15">
        <f ca="1">IFERROR(__xludf.DUMMYFUNCTION("""COMPUTED_VALUE"""),1)</f>
        <v>1</v>
      </c>
      <c r="G36" s="6" t="str">
        <f ca="1">IFERROR(__xludf.DUMMYFUNCTION("""COMPUTED_VALUE"""),"Logroño")</f>
        <v>Logroño</v>
      </c>
      <c r="H36" s="6" t="str">
        <f ca="1">IFERROR(__xludf.DUMMYFUNCTION("""COMPUTED_VALUE"""),"C202510110530975")</f>
        <v>C202510110530975</v>
      </c>
      <c r="I36" s="6" t="str">
        <f ca="1">IFERROR(__xludf.DUMMYFUNCTION("""COMPUTED_VALUE"""),"SEVERIANA MARIN GOMEZ")</f>
        <v>SEVERIANA MARIN GOMEZ</v>
      </c>
      <c r="J36" s="16">
        <f ca="1">IFERROR(__xludf.DUMMYFUNCTION("""COMPUTED_VALUE"""),45929)</f>
        <v>45929</v>
      </c>
      <c r="K36" s="6" t="str">
        <f ca="1">IFERROR(__xludf.DUMMYFUNCTION("""COMPUTED_VALUE"""),"Factura audífonos")</f>
        <v>Factura audífonos</v>
      </c>
      <c r="L36" s="16">
        <f ca="1">IFERROR(__xludf.DUMMYFUNCTION("""COMPUTED_VALUE"""),46038)</f>
        <v>46038</v>
      </c>
      <c r="M36" s="17" t="str">
        <f ca="1">IFERROR(__xludf.DUMMYFUNCTION("""COMPUTED_VALUE"""),"NO")</f>
        <v>NO</v>
      </c>
      <c r="N36" s="15">
        <f ca="1">IFERROR(__xludf.DUMMYFUNCTION("""COMPUTED_VALUE"""),2)</f>
        <v>2</v>
      </c>
      <c r="O36" s="17" t="str">
        <f ca="1">IFERROR(__xludf.DUMMYFUNCTION("""COMPUTED_VALUE"""),"CONFORT")</f>
        <v>CONFORT</v>
      </c>
      <c r="P36" s="19">
        <f ca="1">IFERROR(__xludf.DUMMYFUNCTION("""COMPUTED_VALUE"""),3604.55)</f>
        <v>3604.55</v>
      </c>
      <c r="Q36" s="6" t="str">
        <f ca="1">IFERROR(__xludf.DUMMYFUNCTION("""COMPUTED_VALUE"""),"Lisandro Russian")</f>
        <v>Lisandro Russian</v>
      </c>
      <c r="R36" s="19" t="str">
        <f ca="1">IFERROR(__xludf.DUMMYFUNCTION("""COMPUTED_VALUE"""),"Cristina Ibañez Muñoz")</f>
        <v>Cristina Ibañez Muñoz</v>
      </c>
      <c r="S36" s="20" t="str">
        <f ca="1">IFERROR(__xludf.DUMMYFUNCTION("""COMPUTED_VALUE"""),"03 ORL")</f>
        <v>03 ORL</v>
      </c>
      <c r="T36" s="6" t="str">
        <f ca="1">IFERROR(__xludf.DUMMYFUNCTION("""COMPUTED_VALUE"""),"06 ORL")</f>
        <v>06 ORL</v>
      </c>
      <c r="U36" s="21"/>
      <c r="W36" s="21"/>
      <c r="X36" s="21"/>
    </row>
    <row r="37" spans="1:31" ht="16">
      <c r="A37" s="6"/>
      <c r="B37" s="14" t="str">
        <f t="shared" ca="1" si="0"/>
        <v>MBM</v>
      </c>
      <c r="C37" s="23" t="str">
        <f ca="1">IFERROR(__xludf.DUMMYFUNCTION("""COMPUTED_VALUE"""),"MBM145")</f>
        <v>MBM145</v>
      </c>
      <c r="D37" s="6" t="str">
        <f ca="1">IFERROR(__xludf.DUMMYFUNCTION("""COMPUTED_VALUE"""),"PROPIOS")</f>
        <v>PROPIOS</v>
      </c>
      <c r="E37" s="6">
        <f ca="1">IFERROR(__xludf.DUMMYFUNCTION("""COMPUTED_VALUE"""),2026)</f>
        <v>2026</v>
      </c>
      <c r="F37" s="15">
        <f ca="1">IFERROR(__xludf.DUMMYFUNCTION("""COMPUTED_VALUE"""),1)</f>
        <v>1</v>
      </c>
      <c r="G37" s="6" t="str">
        <f ca="1">IFERROR(__xludf.DUMMYFUNCTION("""COMPUTED_VALUE"""),"Alcorcón")</f>
        <v>Alcorcón</v>
      </c>
      <c r="H37" s="6" t="str">
        <f ca="1">IFERROR(__xludf.DUMMYFUNCTION("""COMPUTED_VALUE"""),"C202511181813490985")</f>
        <v>C202511181813490985</v>
      </c>
      <c r="I37" s="6" t="str">
        <f ca="1">IFERROR(__xludf.DUMMYFUNCTION("""COMPUTED_VALUE"""),"SUSANA PERUCHO  MARTINEZ")</f>
        <v>SUSANA PERUCHO  MARTINEZ</v>
      </c>
      <c r="J37" s="16">
        <f ca="1">IFERROR(__xludf.DUMMYFUNCTION("""COMPUTED_VALUE"""),45979)</f>
        <v>45979</v>
      </c>
      <c r="K37" s="6" t="str">
        <f ca="1">IFERROR(__xludf.DUMMYFUNCTION("""COMPUTED_VALUE"""),"Factura audífonos")</f>
        <v>Factura audífonos</v>
      </c>
      <c r="L37" s="16">
        <f ca="1">IFERROR(__xludf.DUMMYFUNCTION("""COMPUTED_VALUE"""),46038)</f>
        <v>46038</v>
      </c>
      <c r="M37" s="17" t="str">
        <f ca="1">IFERROR(__xludf.DUMMYFUNCTION("""COMPUTED_VALUE"""),"NO")</f>
        <v>NO</v>
      </c>
      <c r="N37" s="15">
        <f ca="1">IFERROR(__xludf.DUMMYFUNCTION("""COMPUTED_VALUE"""),2)</f>
        <v>2</v>
      </c>
      <c r="O37" s="23" t="str">
        <f ca="1">IFERROR(__xludf.DUMMYFUNCTION("""COMPUTED_VALUE"""),"ADVANCED")</f>
        <v>ADVANCED</v>
      </c>
      <c r="P37" s="18">
        <f ca="1">IFERROR(__xludf.DUMMYFUNCTION("""COMPUTED_VALUE"""),4136.36)</f>
        <v>4136.3599999999997</v>
      </c>
      <c r="Q37" s="6" t="str">
        <f ca="1">IFERROR(__xludf.DUMMYFUNCTION("""COMPUTED_VALUE"""),"Maika Blázquez")</f>
        <v>Maika Blázquez</v>
      </c>
      <c r="R37" s="19" t="str">
        <f ca="1">IFERROR(__xludf.DUMMYFUNCTION("""COMPUTED_VALUE"""),"María del Mar Martínez Ruiz-coello")</f>
        <v>María del Mar Martínez Ruiz-coello</v>
      </c>
      <c r="S37" s="20" t="str">
        <f ca="1">IFERROR(__xludf.DUMMYFUNCTION("""COMPUTED_VALUE"""),"03 ORL")</f>
        <v>03 ORL</v>
      </c>
      <c r="T37" s="6" t="str">
        <f ca="1">IFERROR(__xludf.DUMMYFUNCTION("""COMPUTED_VALUE"""),"06 ORL")</f>
        <v>06 ORL</v>
      </c>
      <c r="U37" s="21"/>
      <c r="W37" s="21"/>
      <c r="X37" s="21"/>
    </row>
    <row r="38" spans="1:31" ht="16">
      <c r="A38" s="6"/>
      <c r="B38" s="14" t="str">
        <f t="shared" si="0"/>
        <v/>
      </c>
      <c r="C38" s="23"/>
      <c r="D38" s="6" t="str">
        <f ca="1">IFERROR(__xludf.DUMMYFUNCTION("""COMPUTED_VALUE"""),"PROPIOS")</f>
        <v>PROPIOS</v>
      </c>
      <c r="E38" s="6">
        <f ca="1">IFERROR(__xludf.DUMMYFUNCTION("""COMPUTED_VALUE"""),2026)</f>
        <v>2026</v>
      </c>
      <c r="F38" s="15">
        <f ca="1">IFERROR(__xludf.DUMMYFUNCTION("""COMPUTED_VALUE"""),1)</f>
        <v>1</v>
      </c>
      <c r="G38" s="6" t="str">
        <f ca="1">IFERROR(__xludf.DUMMYFUNCTION("""COMPUTED_VALUE"""),"Sevilla- Montoto")</f>
        <v>Sevilla- Montoto</v>
      </c>
      <c r="H38" s="6" t="str">
        <f ca="1">IFERROR(__xludf.DUMMYFUNCTION("""COMPUTED_VALUE"""),"C202512191110453673")</f>
        <v>C202512191110453673</v>
      </c>
      <c r="I38" s="6" t="str">
        <f ca="1">IFERROR(__xludf.DUMMYFUNCTION("""COMPUTED_VALUE"""),"JOSE ANTONIO SANCHEZ TORRECILLA")</f>
        <v>JOSE ANTONIO SANCHEZ TORRECILLA</v>
      </c>
      <c r="J38" s="16">
        <f ca="1">IFERROR(__xludf.DUMMYFUNCTION("""COMPUTED_VALUE"""),46010)</f>
        <v>46010</v>
      </c>
      <c r="K38" s="6" t="str">
        <f ca="1">IFERROR(__xludf.DUMMYFUNCTION("""COMPUTED_VALUE"""),"Factura audífonos")</f>
        <v>Factura audífonos</v>
      </c>
      <c r="L38" s="16">
        <f ca="1">IFERROR(__xludf.DUMMYFUNCTION("""COMPUTED_VALUE"""),46038)</f>
        <v>46038</v>
      </c>
      <c r="M38" s="17" t="str">
        <f ca="1">IFERROR(__xludf.DUMMYFUNCTION("""COMPUTED_VALUE"""),"NO")</f>
        <v>NO</v>
      </c>
      <c r="N38" s="15">
        <f ca="1">IFERROR(__xludf.DUMMYFUNCTION("""COMPUTED_VALUE"""),2)</f>
        <v>2</v>
      </c>
      <c r="O38" s="23" t="str">
        <f ca="1">IFERROR(__xludf.DUMMYFUNCTION("""COMPUTED_VALUE"""),"QUIET")</f>
        <v>QUIET</v>
      </c>
      <c r="P38" s="18">
        <f ca="1">IFERROR(__xludf.DUMMYFUNCTION("""COMPUTED_VALUE"""),2718.19)</f>
        <v>2718.19</v>
      </c>
      <c r="Q38" s="6" t="str">
        <f ca="1">IFERROR(__xludf.DUMMYFUNCTION("""COMPUTED_VALUE"""),"Luis Alberto Rodríguez")</f>
        <v>Luis Alberto Rodríguez</v>
      </c>
      <c r="R38" s="19" t="str">
        <f ca="1">IFERROR(__xludf.DUMMYFUNCTION("""COMPUTED_VALUE"""),"No recuerda ORL")</f>
        <v>No recuerda ORL</v>
      </c>
      <c r="S38" s="20" t="str">
        <f ca="1">IFERROR(__xludf.DUMMYFUNCTION("""COMPUTED_VALUE"""),"03 ORL")</f>
        <v>03 ORL</v>
      </c>
      <c r="T38" s="6" t="str">
        <f ca="1">IFERROR(__xludf.DUMMYFUNCTION("""COMPUTED_VALUE"""),"06 ORL")</f>
        <v>06 ORL</v>
      </c>
      <c r="U38" s="21"/>
      <c r="W38" s="21"/>
      <c r="X38" s="21"/>
      <c r="AE38" s="1"/>
    </row>
    <row r="39" spans="1:31" ht="16">
      <c r="A39" s="6"/>
      <c r="B39" s="14" t="str">
        <f t="shared" ca="1" si="0"/>
        <v>LRM</v>
      </c>
      <c r="C39" s="23" t="str">
        <f ca="1">IFERROR(__xludf.DUMMYFUNCTION("""COMPUTED_VALUE"""),"LRM239")</f>
        <v>LRM239</v>
      </c>
      <c r="D39" s="6" t="str">
        <f ca="1">IFERROR(__xludf.DUMMYFUNCTION("""COMPUTED_VALUE"""),"PROPIOS")</f>
        <v>PROPIOS</v>
      </c>
      <c r="E39" s="6">
        <f ca="1">IFERROR(__xludf.DUMMYFUNCTION("""COMPUTED_VALUE"""),2026)</f>
        <v>2026</v>
      </c>
      <c r="F39" s="15">
        <f ca="1">IFERROR(__xludf.DUMMYFUNCTION("""COMPUTED_VALUE"""),1)</f>
        <v>1</v>
      </c>
      <c r="G39" s="6" t="str">
        <f ca="1">IFERROR(__xludf.DUMMYFUNCTION("""COMPUTED_VALUE"""),"Madrid- Juan Bravo")</f>
        <v>Madrid- Juan Bravo</v>
      </c>
      <c r="H39" s="6" t="str">
        <f ca="1">IFERROR(__xludf.DUMMYFUNCTION("""COMPUTED_VALUE"""),"C202561217436304")</f>
        <v>C202561217436304</v>
      </c>
      <c r="I39" s="6" t="str">
        <f ca="1">IFERROR(__xludf.DUMMYFUNCTION("""COMPUTED_VALUE"""),"CATALINA RAMOS MARIN")</f>
        <v>CATALINA RAMOS MARIN</v>
      </c>
      <c r="J39" s="16">
        <f ca="1">IFERROR(__xludf.DUMMYFUNCTION("""COMPUTED_VALUE"""),45814)</f>
        <v>45814</v>
      </c>
      <c r="K39" s="6" t="str">
        <f ca="1">IFERROR(__xludf.DUMMYFUNCTION("""COMPUTED_VALUE"""),"Factura audífonos")</f>
        <v>Factura audífonos</v>
      </c>
      <c r="L39" s="16">
        <f ca="1">IFERROR(__xludf.DUMMYFUNCTION("""COMPUTED_VALUE"""),46041)</f>
        <v>46041</v>
      </c>
      <c r="M39" s="17" t="str">
        <f ca="1">IFERROR(__xludf.DUMMYFUNCTION("""COMPUTED_VALUE"""),"NO")</f>
        <v>NO</v>
      </c>
      <c r="N39" s="15">
        <f ca="1">IFERROR(__xludf.DUMMYFUNCTION("""COMPUTED_VALUE"""),1)</f>
        <v>1</v>
      </c>
      <c r="O39" s="23" t="str">
        <f ca="1">IFERROR(__xludf.DUMMYFUNCTION("""COMPUTED_VALUE"""),"QUIET")</f>
        <v>QUIET</v>
      </c>
      <c r="P39" s="18">
        <f ca="1">IFERROR(__xludf.DUMMYFUNCTION("""COMPUTED_VALUE"""),1631.82)</f>
        <v>1631.82</v>
      </c>
      <c r="Q39" s="6" t="str">
        <f ca="1">IFERROR(__xludf.DUMMYFUNCTION("""COMPUTED_VALUE"""),"Lisandro Russian")</f>
        <v>Lisandro Russian</v>
      </c>
      <c r="R39" s="19" t="str">
        <f ca="1">IFERROR(__xludf.DUMMYFUNCTION("""COMPUTED_VALUE"""),"Carlos Barajas del Rosal")</f>
        <v>Carlos Barajas del Rosal</v>
      </c>
      <c r="S39" s="20" t="str">
        <f ca="1">IFERROR(__xludf.DUMMYFUNCTION("""COMPUTED_VALUE"""),"03 ORL")</f>
        <v>03 ORL</v>
      </c>
      <c r="T39" s="6" t="str">
        <f ca="1">IFERROR(__xludf.DUMMYFUNCTION("""COMPUTED_VALUE"""),"06 ORL")</f>
        <v>06 ORL</v>
      </c>
      <c r="U39" s="21"/>
      <c r="W39" s="21"/>
      <c r="X39" s="21"/>
    </row>
    <row r="40" spans="1:31" ht="16">
      <c r="A40" s="6"/>
      <c r="B40" s="14" t="str">
        <f t="shared" ca="1" si="0"/>
        <v>LRM</v>
      </c>
      <c r="C40" s="23" t="str">
        <f ca="1">IFERROR(__xludf.DUMMYFUNCTION("""COMPUTED_VALUE"""),"LRM58")</f>
        <v>LRM58</v>
      </c>
      <c r="D40" s="6" t="str">
        <f ca="1">IFERROR(__xludf.DUMMYFUNCTION("""COMPUTED_VALUE"""),"ASOCIADOS")</f>
        <v>ASOCIADOS</v>
      </c>
      <c r="E40" s="6">
        <f ca="1">IFERROR(__xludf.DUMMYFUNCTION("""COMPUTED_VALUE"""),2026)</f>
        <v>2026</v>
      </c>
      <c r="F40" s="15">
        <f ca="1">IFERROR(__xludf.DUMMYFUNCTION("""COMPUTED_VALUE"""),1)</f>
        <v>1</v>
      </c>
      <c r="G40" s="6" t="str">
        <f ca="1">IFERROR(__xludf.DUMMYFUNCTION("""COMPUTED_VALUE"""),"Cáceres")</f>
        <v>Cáceres</v>
      </c>
      <c r="H40" s="6" t="str">
        <f ca="1">IFERROR(__xludf.DUMMYFUNCTION("""COMPUTED_VALUE"""),"C202512151041598226")</f>
        <v>C202512151041598226</v>
      </c>
      <c r="I40" s="6" t="str">
        <f ca="1">IFERROR(__xludf.DUMMYFUNCTION("""COMPUTED_VALUE"""),"CLAUDIA MORENO CEBRIAN")</f>
        <v>CLAUDIA MORENO CEBRIAN</v>
      </c>
      <c r="J40" s="16">
        <f ca="1">IFERROR(__xludf.DUMMYFUNCTION("""COMPUTED_VALUE"""),46006)</f>
        <v>46006</v>
      </c>
      <c r="K40" s="6" t="str">
        <f ca="1">IFERROR(__xludf.DUMMYFUNCTION("""COMPUTED_VALUE"""),"Factura audífonos")</f>
        <v>Factura audífonos</v>
      </c>
      <c r="L40" s="16">
        <f ca="1">IFERROR(__xludf.DUMMYFUNCTION("""COMPUTED_VALUE"""),46041)</f>
        <v>46041</v>
      </c>
      <c r="M40" s="17" t="str">
        <f ca="1">IFERROR(__xludf.DUMMYFUNCTION("""COMPUTED_VALUE"""),"NO")</f>
        <v>NO</v>
      </c>
      <c r="N40" s="15">
        <f ca="1">IFERROR(__xludf.DUMMYFUNCTION("""COMPUTED_VALUE"""),2)</f>
        <v>2</v>
      </c>
      <c r="O40" s="17" t="str">
        <f ca="1">IFERROR(__xludf.DUMMYFUNCTION("""COMPUTED_VALUE"""),"ADVANCED")</f>
        <v>ADVANCED</v>
      </c>
      <c r="P40" s="19">
        <f ca="1">IFERROR(__xludf.DUMMYFUNCTION("""COMPUTED_VALUE"""),4500)</f>
        <v>4500</v>
      </c>
      <c r="Q40" s="6" t="str">
        <f ca="1">IFERROR(__xludf.DUMMYFUNCTION("""COMPUTED_VALUE"""),"Lisandro Russian")</f>
        <v>Lisandro Russian</v>
      </c>
      <c r="R40" s="19" t="str">
        <f ca="1">IFERROR(__xludf.DUMMYFUNCTION("""COMPUTED_VALUE"""),"Javier García Gómez")</f>
        <v>Javier García Gómez</v>
      </c>
      <c r="S40" s="20" t="str">
        <f ca="1">IFERROR(__xludf.DUMMYFUNCTION("""COMPUTED_VALUE"""),"03 ORL")</f>
        <v>03 ORL</v>
      </c>
      <c r="T40" s="6" t="str">
        <f ca="1">IFERROR(__xludf.DUMMYFUNCTION("""COMPUTED_VALUE"""),"06 ORL")</f>
        <v>06 ORL</v>
      </c>
      <c r="U40" s="21"/>
      <c r="W40" s="21"/>
      <c r="X40" s="21"/>
    </row>
    <row r="41" spans="1:31" ht="16">
      <c r="A41" s="6"/>
      <c r="B41" s="14" t="str">
        <f t="shared" ca="1" si="0"/>
        <v>MCC</v>
      </c>
      <c r="C41" s="23" t="str">
        <f ca="1">IFERROR(__xludf.DUMMYFUNCTION("""COMPUTED_VALUE"""),"MCC18")</f>
        <v>MCC18</v>
      </c>
      <c r="D41" s="6" t="str">
        <f ca="1">IFERROR(__xludf.DUMMYFUNCTION("""COMPUTED_VALUE"""),"PARTICIPADOS")</f>
        <v>PARTICIPADOS</v>
      </c>
      <c r="E41" s="6">
        <f ca="1">IFERROR(__xludf.DUMMYFUNCTION("""COMPUTED_VALUE"""),2026)</f>
        <v>2026</v>
      </c>
      <c r="F41" s="15">
        <f ca="1">IFERROR(__xludf.DUMMYFUNCTION("""COMPUTED_VALUE"""),1)</f>
        <v>1</v>
      </c>
      <c r="G41" s="6" t="str">
        <f ca="1">IFERROR(__xludf.DUMMYFUNCTION("""COMPUTED_VALUE"""),"Barcelona- Córcega")</f>
        <v>Barcelona- Córcega</v>
      </c>
      <c r="H41" s="6" t="str">
        <f ca="1">IFERROR(__xludf.DUMMYFUNCTION("""COMPUTED_VALUE"""),"C202594115953981")</f>
        <v>C202594115953981</v>
      </c>
      <c r="I41" s="6" t="str">
        <f ca="1">IFERROR(__xludf.DUMMYFUNCTION("""COMPUTED_VALUE"""),"FRANCISCA HERNANDEZ LORENTE")</f>
        <v>FRANCISCA HERNANDEZ LORENTE</v>
      </c>
      <c r="J41" s="16">
        <f ca="1">IFERROR(__xludf.DUMMYFUNCTION("""COMPUTED_VALUE"""),45901)</f>
        <v>45901</v>
      </c>
      <c r="K41" s="6" t="str">
        <f ca="1">IFERROR(__xludf.DUMMYFUNCTION("""COMPUTED_VALUE"""),"Factura audífonos")</f>
        <v>Factura audífonos</v>
      </c>
      <c r="L41" s="16">
        <f ca="1">IFERROR(__xludf.DUMMYFUNCTION("""COMPUTED_VALUE"""),46041)</f>
        <v>46041</v>
      </c>
      <c r="M41" s="17" t="str">
        <f ca="1">IFERROR(__xludf.DUMMYFUNCTION("""COMPUTED_VALUE"""),"NO")</f>
        <v>NO</v>
      </c>
      <c r="N41" s="15">
        <f ca="1">IFERROR(__xludf.DUMMYFUNCTION("""COMPUTED_VALUE"""),1)</f>
        <v>1</v>
      </c>
      <c r="O41" s="17" t="str">
        <f ca="1">IFERROR(__xludf.DUMMYFUNCTION("""COMPUTED_VALUE"""),"ADVANCED")</f>
        <v>ADVANCED</v>
      </c>
      <c r="P41" s="18">
        <f ca="1">IFERROR(__xludf.DUMMYFUNCTION("""COMPUTED_VALUE"""),2268.14)</f>
        <v>2268.14</v>
      </c>
      <c r="Q41" s="6" t="str">
        <f ca="1">IFERROR(__xludf.DUMMYFUNCTION("""COMPUTED_VALUE"""),"Mercè Cabrera")</f>
        <v>Mercè Cabrera</v>
      </c>
      <c r="R41" s="19" t="str">
        <f ca="1">IFERROR(__xludf.DUMMYFUNCTION("""COMPUTED_VALUE"""),"Jesus-Maria Grasa Pérez")</f>
        <v>Jesus-Maria Grasa Pérez</v>
      </c>
      <c r="S41" s="20" t="str">
        <f ca="1">IFERROR(__xludf.DUMMYFUNCTION("""COMPUTED_VALUE"""),"03 ORL")</f>
        <v>03 ORL</v>
      </c>
      <c r="T41" s="6" t="str">
        <f ca="1">IFERROR(__xludf.DUMMYFUNCTION("""COMPUTED_VALUE"""),"06 ORL")</f>
        <v>06 ORL</v>
      </c>
      <c r="U41" s="21"/>
      <c r="W41" s="21"/>
      <c r="X41" s="21"/>
    </row>
    <row r="42" spans="1:31" ht="16">
      <c r="A42" s="6"/>
      <c r="B42" s="14" t="str">
        <f t="shared" ca="1" si="0"/>
        <v>ISL</v>
      </c>
      <c r="C42" s="23" t="str">
        <f ca="1">IFERROR(__xludf.DUMMYFUNCTION("""COMPUTED_VALUE"""),"ISL136")</f>
        <v>ISL136</v>
      </c>
      <c r="D42" s="6" t="str">
        <f ca="1">IFERROR(__xludf.DUMMYFUNCTION("""COMPUTED_VALUE"""),"PROPIOS")</f>
        <v>PROPIOS</v>
      </c>
      <c r="E42" s="6">
        <f ca="1">IFERROR(__xludf.DUMMYFUNCTION("""COMPUTED_VALUE"""),2026)</f>
        <v>2026</v>
      </c>
      <c r="F42" s="15">
        <f ca="1">IFERROR(__xludf.DUMMYFUNCTION("""COMPUTED_VALUE"""),1)</f>
        <v>1</v>
      </c>
      <c r="G42" s="6" t="str">
        <f ca="1">IFERROR(__xludf.DUMMYFUNCTION("""COMPUTED_VALUE"""),"Orihuela")</f>
        <v>Orihuela</v>
      </c>
      <c r="H42" s="6" t="str">
        <f ca="1">IFERROR(__xludf.DUMMYFUNCTION("""COMPUTED_VALUE"""),"C202512101420127206")</f>
        <v>C202512101420127206</v>
      </c>
      <c r="I42" s="6" t="str">
        <f ca="1">IFERROR(__xludf.DUMMYFUNCTION("""COMPUTED_VALUE"""),"CHRISTOPHER HUGH IBBETSON")</f>
        <v>CHRISTOPHER HUGH IBBETSON</v>
      </c>
      <c r="J42" s="16">
        <f ca="1">IFERROR(__xludf.DUMMYFUNCTION("""COMPUTED_VALUE"""),46001)</f>
        <v>46001</v>
      </c>
      <c r="K42" s="6" t="str">
        <f ca="1">IFERROR(__xludf.DUMMYFUNCTION("""COMPUTED_VALUE"""),"Factura audífonos")</f>
        <v>Factura audífonos</v>
      </c>
      <c r="L42" s="16">
        <f ca="1">IFERROR(__xludf.DUMMYFUNCTION("""COMPUTED_VALUE"""),46041)</f>
        <v>46041</v>
      </c>
      <c r="M42" s="17" t="str">
        <f ca="1">IFERROR(__xludf.DUMMYFUNCTION("""COMPUTED_VALUE"""),"NO")</f>
        <v>NO</v>
      </c>
      <c r="N42" s="15">
        <f ca="1">IFERROR(__xludf.DUMMYFUNCTION("""COMPUTED_VALUE"""),2)</f>
        <v>2</v>
      </c>
      <c r="O42" s="17" t="str">
        <f ca="1">IFERROR(__xludf.DUMMYFUNCTION("""COMPUTED_VALUE"""),"CONFORT")</f>
        <v>CONFORT</v>
      </c>
      <c r="P42" s="19">
        <f ca="1">IFERROR(__xludf.DUMMYFUNCTION("""COMPUTED_VALUE"""),3631.82)</f>
        <v>3631.82</v>
      </c>
      <c r="Q42" s="6" t="str">
        <f ca="1">IFERROR(__xludf.DUMMYFUNCTION("""COMPUTED_VALUE"""),"Iván Sánchez")</f>
        <v>Iván Sánchez</v>
      </c>
      <c r="R42" s="19" t="str">
        <f ca="1">IFERROR(__xludf.DUMMYFUNCTION("""COMPUTED_VALUE"""),"Oreana Carolina Camacaro González")</f>
        <v>Oreana Carolina Camacaro González</v>
      </c>
      <c r="S42" s="20" t="str">
        <f ca="1">IFERROR(__xludf.DUMMYFUNCTION("""COMPUTED_VALUE"""),"03 ORL")</f>
        <v>03 ORL</v>
      </c>
      <c r="T42" s="6" t="str">
        <f ca="1">IFERROR(__xludf.DUMMYFUNCTION("""COMPUTED_VALUE"""),"06 ORL")</f>
        <v>06 ORL</v>
      </c>
      <c r="U42" s="21"/>
      <c r="W42" s="21"/>
      <c r="X42" s="21"/>
    </row>
    <row r="43" spans="1:31" ht="16">
      <c r="A43" s="6"/>
      <c r="B43" s="14" t="str">
        <f t="shared" ca="1" si="0"/>
        <v>ISL</v>
      </c>
      <c r="C43" s="23" t="str">
        <f ca="1">IFERROR(__xludf.DUMMYFUNCTION("""COMPUTED_VALUE"""),"ISL122")</f>
        <v>ISL122</v>
      </c>
      <c r="D43" s="6" t="str">
        <f ca="1">IFERROR(__xludf.DUMMYFUNCTION("""COMPUTED_VALUE"""),"PROPIOS")</f>
        <v>PROPIOS</v>
      </c>
      <c r="E43" s="6">
        <f ca="1">IFERROR(__xludf.DUMMYFUNCTION("""COMPUTED_VALUE"""),2026)</f>
        <v>2026</v>
      </c>
      <c r="F43" s="15">
        <f ca="1">IFERROR(__xludf.DUMMYFUNCTION("""COMPUTED_VALUE"""),1)</f>
        <v>1</v>
      </c>
      <c r="G43" s="6" t="str">
        <f ca="1">IFERROR(__xludf.DUMMYFUNCTION("""COMPUTED_VALUE"""),"Murcia")</f>
        <v>Murcia</v>
      </c>
      <c r="H43" s="6" t="str">
        <f ca="1">IFERROR(__xludf.DUMMYFUNCTION("""COMPUTED_VALUE"""),"MUR-1258")</f>
        <v>MUR-1258</v>
      </c>
      <c r="I43" s="6" t="str">
        <f ca="1">IFERROR(__xludf.DUMMYFUNCTION("""COMPUTED_VALUE"""),"JULIA LOPEZ LOPEZ")</f>
        <v>JULIA LOPEZ LOPEZ</v>
      </c>
      <c r="J43" s="16">
        <f ca="1">IFERROR(__xludf.DUMMYFUNCTION("""COMPUTED_VALUE"""),44960)</f>
        <v>44960</v>
      </c>
      <c r="K43" s="6" t="str">
        <f ca="1">IFERROR(__xludf.DUMMYFUNCTION("""COMPUTED_VALUE"""),"Factura audífonos")</f>
        <v>Factura audífonos</v>
      </c>
      <c r="L43" s="16">
        <f ca="1">IFERROR(__xludf.DUMMYFUNCTION("""COMPUTED_VALUE"""),46041)</f>
        <v>46041</v>
      </c>
      <c r="M43" s="17" t="str">
        <f ca="1">IFERROR(__xludf.DUMMYFUNCTION("""COMPUTED_VALUE"""),"NO")</f>
        <v>NO</v>
      </c>
      <c r="N43" s="15">
        <f ca="1">IFERROR(__xludf.DUMMYFUNCTION("""COMPUTED_VALUE"""),2)</f>
        <v>2</v>
      </c>
      <c r="O43" s="17" t="str">
        <f ca="1">IFERROR(__xludf.DUMMYFUNCTION("""COMPUTED_VALUE"""),"QUIET")</f>
        <v>QUIET</v>
      </c>
      <c r="P43" s="18">
        <f ca="1">IFERROR(__xludf.DUMMYFUNCTION("""COMPUTED_VALUE"""),2718.18)</f>
        <v>2718.18</v>
      </c>
      <c r="Q43" s="6" t="str">
        <f ca="1">IFERROR(__xludf.DUMMYFUNCTION("""COMPUTED_VALUE"""),"Iván Sánchez")</f>
        <v>Iván Sánchez</v>
      </c>
      <c r="R43" s="19" t="str">
        <f ca="1">IFERROR(__xludf.DUMMYFUNCTION("""COMPUTED_VALUE"""),"María Agustina Sevilla García")</f>
        <v>María Agustina Sevilla García</v>
      </c>
      <c r="S43" s="20" t="str">
        <f ca="1">IFERROR(__xludf.DUMMYFUNCTION("""COMPUTED_VALUE"""),"03 ORL")</f>
        <v>03 ORL</v>
      </c>
      <c r="T43" s="6" t="str">
        <f ca="1">IFERROR(__xludf.DUMMYFUNCTION("""COMPUTED_VALUE"""),"06 ORL")</f>
        <v>06 ORL</v>
      </c>
      <c r="U43" s="21"/>
      <c r="W43" s="21"/>
      <c r="X43" s="21"/>
    </row>
    <row r="44" spans="1:31" ht="16">
      <c r="A44" s="6"/>
      <c r="B44" s="14" t="str">
        <f t="shared" ca="1" si="0"/>
        <v>MBM</v>
      </c>
      <c r="C44" s="23" t="str">
        <f ca="1">IFERROR(__xludf.DUMMYFUNCTION("""COMPUTED_VALUE"""),"MBM39")</f>
        <v>MBM39</v>
      </c>
      <c r="D44" s="6" t="str">
        <f ca="1">IFERROR(__xludf.DUMMYFUNCTION("""COMPUTED_VALUE"""),"PROPIOS")</f>
        <v>PROPIOS</v>
      </c>
      <c r="E44" s="6">
        <f ca="1">IFERROR(__xludf.DUMMYFUNCTION("""COMPUTED_VALUE"""),2026)</f>
        <v>2026</v>
      </c>
      <c r="F44" s="15">
        <f ca="1">IFERROR(__xludf.DUMMYFUNCTION("""COMPUTED_VALUE"""),1)</f>
        <v>1</v>
      </c>
      <c r="G44" s="6" t="str">
        <f ca="1">IFERROR(__xludf.DUMMYFUNCTION("""COMPUTED_VALUE"""),"Madrid- Moratalaz")</f>
        <v>Madrid- Moratalaz</v>
      </c>
      <c r="H44" s="6" t="str">
        <f ca="1">IFERROR(__xludf.DUMMYFUNCTION("""COMPUTED_VALUE"""),"C202512161155416397")</f>
        <v>C202512161155416397</v>
      </c>
      <c r="I44" s="6" t="str">
        <f ca="1">IFERROR(__xludf.DUMMYFUNCTION("""COMPUTED_VALUE"""),"MARIA DE LOS ANGELES CABAL NUÑEZ DE HOYO")</f>
        <v>MARIA DE LOS ANGELES CABAL NUÑEZ DE HOYO</v>
      </c>
      <c r="J44" s="16">
        <f ca="1">IFERROR(__xludf.DUMMYFUNCTION("""COMPUTED_VALUE"""),46007)</f>
        <v>46007</v>
      </c>
      <c r="K44" s="6" t="str">
        <f ca="1">IFERROR(__xludf.DUMMYFUNCTION("""COMPUTED_VALUE"""),"Factura audífonos")</f>
        <v>Factura audífonos</v>
      </c>
      <c r="L44" s="16">
        <f ca="1">IFERROR(__xludf.DUMMYFUNCTION("""COMPUTED_VALUE"""),46041)</f>
        <v>46041</v>
      </c>
      <c r="M44" s="17" t="str">
        <f ca="1">IFERROR(__xludf.DUMMYFUNCTION("""COMPUTED_VALUE"""),"NO")</f>
        <v>NO</v>
      </c>
      <c r="N44" s="15">
        <f ca="1">IFERROR(__xludf.DUMMYFUNCTION("""COMPUTED_VALUE"""),2)</f>
        <v>2</v>
      </c>
      <c r="O44" s="17" t="str">
        <f ca="1">IFERROR(__xludf.DUMMYFUNCTION("""COMPUTED_VALUE"""),"CONFORT")</f>
        <v>CONFORT</v>
      </c>
      <c r="P44" s="19">
        <f ca="1">IFERROR(__xludf.DUMMYFUNCTION("""COMPUTED_VALUE"""),3377.6)</f>
        <v>3377.6</v>
      </c>
      <c r="Q44" s="6" t="str">
        <f ca="1">IFERROR(__xludf.DUMMYFUNCTION("""COMPUTED_VALUE"""),"Maika Blázquez")</f>
        <v>Maika Blázquez</v>
      </c>
      <c r="R44" s="19" t="str">
        <f ca="1">IFERROR(__xludf.DUMMYFUNCTION("""COMPUTED_VALUE"""),"Javier García Domínguez")</f>
        <v>Javier García Domínguez</v>
      </c>
      <c r="S44" s="20" t="str">
        <f ca="1">IFERROR(__xludf.DUMMYFUNCTION("""COMPUTED_VALUE"""),"03 ORL")</f>
        <v>03 ORL</v>
      </c>
      <c r="T44" s="6" t="str">
        <f ca="1">IFERROR(__xludf.DUMMYFUNCTION("""COMPUTED_VALUE"""),"06 ORL")</f>
        <v>06 ORL</v>
      </c>
      <c r="U44" s="21"/>
      <c r="W44" s="21"/>
      <c r="X44" s="21"/>
    </row>
    <row r="45" spans="1:31" ht="16">
      <c r="A45" s="6"/>
      <c r="B45" s="14" t="str">
        <f t="shared" ca="1" si="0"/>
        <v>MBM</v>
      </c>
      <c r="C45" s="23" t="str">
        <f ca="1">IFERROR(__xludf.DUMMYFUNCTION("""COMPUTED_VALUE"""),"MBM149")</f>
        <v>MBM149</v>
      </c>
      <c r="D45" s="6" t="str">
        <f ca="1">IFERROR(__xludf.DUMMYFUNCTION("""COMPUTED_VALUE"""),"PROPIOS")</f>
        <v>PROPIOS</v>
      </c>
      <c r="E45" s="6">
        <f ca="1">IFERROR(__xludf.DUMMYFUNCTION("""COMPUTED_VALUE"""),2026)</f>
        <v>2026</v>
      </c>
      <c r="F45" s="15">
        <f ca="1">IFERROR(__xludf.DUMMYFUNCTION("""COMPUTED_VALUE"""),1)</f>
        <v>1</v>
      </c>
      <c r="G45" s="6" t="str">
        <f ca="1">IFERROR(__xludf.DUMMYFUNCTION("""COMPUTED_VALUE"""),"Getafe")</f>
        <v>Getafe</v>
      </c>
      <c r="H45" s="6" t="str">
        <f ca="1">IFERROR(__xludf.DUMMYFUNCTION("""COMPUTED_VALUE"""),"C202511171120372888")</f>
        <v>C202511171120372888</v>
      </c>
      <c r="I45" s="6" t="str">
        <f ca="1">IFERROR(__xludf.DUMMYFUNCTION("""COMPUTED_VALUE"""),"PILAR TORREJÓN ALONSO")</f>
        <v>PILAR TORREJÓN ALONSO</v>
      </c>
      <c r="J45" s="16">
        <f ca="1">IFERROR(__xludf.DUMMYFUNCTION("""COMPUTED_VALUE"""),45978)</f>
        <v>45978</v>
      </c>
      <c r="K45" s="6" t="str">
        <f ca="1">IFERROR(__xludf.DUMMYFUNCTION("""COMPUTED_VALUE"""),"Factura audífonos")</f>
        <v>Factura audífonos</v>
      </c>
      <c r="L45" s="16">
        <f ca="1">IFERROR(__xludf.DUMMYFUNCTION("""COMPUTED_VALUE"""),46041)</f>
        <v>46041</v>
      </c>
      <c r="M45" s="23" t="str">
        <f ca="1">IFERROR(__xludf.DUMMYFUNCTION("""COMPUTED_VALUE"""),"NO")</f>
        <v>NO</v>
      </c>
      <c r="N45" s="15">
        <f ca="1">IFERROR(__xludf.DUMMYFUNCTION("""COMPUTED_VALUE"""),2)</f>
        <v>2</v>
      </c>
      <c r="O45" s="17" t="str">
        <f ca="1">IFERROR(__xludf.DUMMYFUNCTION("""COMPUTED_VALUE"""),"CONFORT")</f>
        <v>CONFORT</v>
      </c>
      <c r="P45" s="18">
        <f ca="1">IFERROR(__xludf.DUMMYFUNCTION("""COMPUTED_VALUE"""),3631.82)</f>
        <v>3631.82</v>
      </c>
      <c r="Q45" s="6" t="str">
        <f ca="1">IFERROR(__xludf.DUMMYFUNCTION("""COMPUTED_VALUE"""),"Maika Blázquez")</f>
        <v>Maika Blázquez</v>
      </c>
      <c r="R45" s="19" t="str">
        <f ca="1">IFERROR(__xludf.DUMMYFUNCTION("""COMPUTED_VALUE"""),"María Garrote Garrote")</f>
        <v>María Garrote Garrote</v>
      </c>
      <c r="S45" s="20" t="str">
        <f ca="1">IFERROR(__xludf.DUMMYFUNCTION("""COMPUTED_VALUE"""),"03 ORL")</f>
        <v>03 ORL</v>
      </c>
      <c r="T45" s="6" t="str">
        <f ca="1">IFERROR(__xludf.DUMMYFUNCTION("""COMPUTED_VALUE"""),"06 ORL")</f>
        <v>06 ORL</v>
      </c>
      <c r="U45" s="21"/>
      <c r="W45" s="21"/>
      <c r="X45" s="21"/>
    </row>
    <row r="46" spans="1:31" ht="16">
      <c r="A46" s="6"/>
      <c r="B46" s="14" t="str">
        <f t="shared" ca="1" si="0"/>
        <v>LRM</v>
      </c>
      <c r="C46" s="23" t="str">
        <f ca="1">IFERROR(__xludf.DUMMYFUNCTION("""COMPUTED_VALUE"""),"LRM153")</f>
        <v>LRM153</v>
      </c>
      <c r="D46" s="6" t="str">
        <f ca="1">IFERROR(__xludf.DUMMYFUNCTION("""COMPUTED_VALUE"""),"ASOCIADOS")</f>
        <v>ASOCIADOS</v>
      </c>
      <c r="E46" s="6">
        <f ca="1">IFERROR(__xludf.DUMMYFUNCTION("""COMPUTED_VALUE"""),2026)</f>
        <v>2026</v>
      </c>
      <c r="F46" s="15">
        <f ca="1">IFERROR(__xludf.DUMMYFUNCTION("""COMPUTED_VALUE"""),1)</f>
        <v>1</v>
      </c>
      <c r="G46" s="6" t="str">
        <f ca="1">IFERROR(__xludf.DUMMYFUNCTION("""COMPUTED_VALUE"""),"Cáceres")</f>
        <v>Cáceres</v>
      </c>
      <c r="H46" s="6" t="str">
        <f ca="1">IFERROR(__xludf.DUMMYFUNCTION("""COMPUTED_VALUE"""),"C202512161238444364")</f>
        <v>C202512161238444364</v>
      </c>
      <c r="I46" s="6" t="str">
        <f ca="1">IFERROR(__xludf.DUMMYFUNCTION("""COMPUTED_VALUE"""),"FERMINA ISABEL PIZARRO VALLE")</f>
        <v>FERMINA ISABEL PIZARRO VALLE</v>
      </c>
      <c r="J46" s="16">
        <f ca="1">IFERROR(__xludf.DUMMYFUNCTION("""COMPUTED_VALUE"""),46007)</f>
        <v>46007</v>
      </c>
      <c r="K46" s="6" t="str">
        <f ca="1">IFERROR(__xludf.DUMMYFUNCTION("""COMPUTED_VALUE"""),"Factura audífonos")</f>
        <v>Factura audífonos</v>
      </c>
      <c r="L46" s="16">
        <f ca="1">IFERROR(__xludf.DUMMYFUNCTION("""COMPUTED_VALUE"""),46042)</f>
        <v>46042</v>
      </c>
      <c r="M46" s="17" t="str">
        <f ca="1">IFERROR(__xludf.DUMMYFUNCTION("""COMPUTED_VALUE"""),"NO")</f>
        <v>NO</v>
      </c>
      <c r="N46" s="15">
        <f ca="1">IFERROR(__xludf.DUMMYFUNCTION("""COMPUTED_VALUE"""),2)</f>
        <v>2</v>
      </c>
      <c r="O46" s="23" t="str">
        <f ca="1">IFERROR(__xludf.DUMMYFUNCTION("""COMPUTED_VALUE"""),"PRO")</f>
        <v>PRO</v>
      </c>
      <c r="P46" s="18">
        <f ca="1">IFERROR(__xludf.DUMMYFUNCTION("""COMPUTED_VALUE"""),4990.91)</f>
        <v>4990.91</v>
      </c>
      <c r="Q46" s="6" t="str">
        <f ca="1">IFERROR(__xludf.DUMMYFUNCTION("""COMPUTED_VALUE"""),"Lisandro Russian")</f>
        <v>Lisandro Russian</v>
      </c>
      <c r="R46" s="19" t="str">
        <f ca="1">IFERROR(__xludf.DUMMYFUNCTION("""COMPUTED_VALUE"""),"Daniela Carolina Laguado Bulgheroni")</f>
        <v>Daniela Carolina Laguado Bulgheroni</v>
      </c>
      <c r="S46" s="20" t="str">
        <f ca="1">IFERROR(__xludf.DUMMYFUNCTION("""COMPUTED_VALUE"""),"03 ORL")</f>
        <v>03 ORL</v>
      </c>
      <c r="T46" s="6" t="str">
        <f ca="1">IFERROR(__xludf.DUMMYFUNCTION("""COMPUTED_VALUE"""),"06 ORL")</f>
        <v>06 ORL</v>
      </c>
      <c r="U46" s="21"/>
      <c r="W46" s="21"/>
      <c r="X46" s="21"/>
    </row>
    <row r="47" spans="1:31" ht="16">
      <c r="A47" s="6"/>
      <c r="B47" s="14" t="str">
        <f t="shared" ca="1" si="0"/>
        <v>MCC</v>
      </c>
      <c r="C47" s="23" t="str">
        <f ca="1">IFERROR(__xludf.DUMMYFUNCTION("""COMPUTED_VALUE"""),"MCC30")</f>
        <v>MCC30</v>
      </c>
      <c r="D47" s="6" t="str">
        <f ca="1">IFERROR(__xludf.DUMMYFUNCTION("""COMPUTED_VALUE"""),"ASOCIADOS")</f>
        <v>ASOCIADOS</v>
      </c>
      <c r="E47" s="6">
        <f ca="1">IFERROR(__xludf.DUMMYFUNCTION("""COMPUTED_VALUE"""),2026)</f>
        <v>2026</v>
      </c>
      <c r="F47" s="15">
        <f ca="1">IFERROR(__xludf.DUMMYFUNCTION("""COMPUTED_VALUE"""),1)</f>
        <v>1</v>
      </c>
      <c r="G47" s="6" t="str">
        <f ca="1">IFERROR(__xludf.DUMMYFUNCTION("""COMPUTED_VALUE"""),"Zaragoza- León XIII")</f>
        <v>Zaragoza- León XIII</v>
      </c>
      <c r="H47" s="6" t="str">
        <f ca="1">IFERROR(__xludf.DUMMYFUNCTION("""COMPUTED_VALUE"""),"C202512129125747718")</f>
        <v>C202512129125747718</v>
      </c>
      <c r="I47" s="6" t="str">
        <f ca="1">IFERROR(__xludf.DUMMYFUNCTION("""COMPUTED_VALUE"""),"TOMÁS JAVIER MARTÍNEZ MORENO")</f>
        <v>TOMÁS JAVIER MARTÍNEZ MORENO</v>
      </c>
      <c r="J47" s="16">
        <f ca="1">IFERROR(__xludf.DUMMYFUNCTION("""COMPUTED_VALUE"""),46003)</f>
        <v>46003</v>
      </c>
      <c r="K47" s="6" t="str">
        <f ca="1">IFERROR(__xludf.DUMMYFUNCTION("""COMPUTED_VALUE"""),"Factura audífonos")</f>
        <v>Factura audífonos</v>
      </c>
      <c r="L47" s="16">
        <f ca="1">IFERROR(__xludf.DUMMYFUNCTION("""COMPUTED_VALUE"""),46042)</f>
        <v>46042</v>
      </c>
      <c r="M47" s="23" t="str">
        <f ca="1">IFERROR(__xludf.DUMMYFUNCTION("""COMPUTED_VALUE"""),"NO")</f>
        <v>NO</v>
      </c>
      <c r="N47" s="15">
        <f ca="1">IFERROR(__xludf.DUMMYFUNCTION("""COMPUTED_VALUE"""),2)</f>
        <v>2</v>
      </c>
      <c r="O47" s="17" t="str">
        <f ca="1">IFERROR(__xludf.DUMMYFUNCTION("""COMPUTED_VALUE"""),"CONFORT")</f>
        <v>CONFORT</v>
      </c>
      <c r="P47" s="18">
        <f ca="1">IFERROR(__xludf.DUMMYFUNCTION("""COMPUTED_VALUE"""),3618.27)</f>
        <v>3618.27</v>
      </c>
      <c r="Q47" s="6" t="str">
        <f ca="1">IFERROR(__xludf.DUMMYFUNCTION("""COMPUTED_VALUE"""),"Ignacio Berdejo")</f>
        <v>Ignacio Berdejo</v>
      </c>
      <c r="R47" s="19" t="str">
        <f ca="1">IFERROR(__xludf.DUMMYFUNCTION("""COMPUTED_VALUE"""),"Pedro Gil Paraíso")</f>
        <v>Pedro Gil Paraíso</v>
      </c>
      <c r="S47" s="20" t="str">
        <f ca="1">IFERROR(__xludf.DUMMYFUNCTION("""COMPUTED_VALUE"""),"03 ORL")</f>
        <v>03 ORL</v>
      </c>
      <c r="T47" s="6" t="str">
        <f ca="1">IFERROR(__xludf.DUMMYFUNCTION("""COMPUTED_VALUE"""),"06 ORL")</f>
        <v>06 ORL</v>
      </c>
      <c r="U47" s="21"/>
      <c r="W47" s="21"/>
      <c r="X47" s="21"/>
    </row>
    <row r="48" spans="1:31" ht="16">
      <c r="A48" s="6"/>
      <c r="B48" s="14" t="str">
        <f t="shared" ca="1" si="0"/>
        <v>MBM</v>
      </c>
      <c r="C48" s="23" t="str">
        <f ca="1">IFERROR(__xludf.DUMMYFUNCTION("""COMPUTED_VALUE"""),"MBM34")</f>
        <v>MBM34</v>
      </c>
      <c r="D48" s="6" t="str">
        <f ca="1">IFERROR(__xludf.DUMMYFUNCTION("""COMPUTED_VALUE"""),"PROPIOS")</f>
        <v>PROPIOS</v>
      </c>
      <c r="E48" s="6">
        <f ca="1">IFERROR(__xludf.DUMMYFUNCTION("""COMPUTED_VALUE"""),2026)</f>
        <v>2026</v>
      </c>
      <c r="F48" s="15">
        <f ca="1">IFERROR(__xludf.DUMMYFUNCTION("""COMPUTED_VALUE"""),1)</f>
        <v>1</v>
      </c>
      <c r="G48" s="6" t="str">
        <f ca="1">IFERROR(__xludf.DUMMYFUNCTION("""COMPUTED_VALUE"""),"Madrid- Moratalaz")</f>
        <v>Madrid- Moratalaz</v>
      </c>
      <c r="H48" s="6" t="str">
        <f ca="1">IFERROR(__xludf.DUMMYFUNCTION("""COMPUTED_VALUE"""),"C202512511444323836")</f>
        <v>C202512511444323836</v>
      </c>
      <c r="I48" s="6" t="str">
        <f ca="1">IFERROR(__xludf.DUMMYFUNCTION("""COMPUTED_VALUE"""),"ANTONIA MUÑOZ DURAN")</f>
        <v>ANTONIA MUÑOZ DURAN</v>
      </c>
      <c r="J48" s="16">
        <f ca="1">IFERROR(__xludf.DUMMYFUNCTION("""COMPUTED_VALUE"""),45996)</f>
        <v>45996</v>
      </c>
      <c r="K48" s="6" t="str">
        <f ca="1">IFERROR(__xludf.DUMMYFUNCTION("""COMPUTED_VALUE"""),"Factura audífonos")</f>
        <v>Factura audífonos</v>
      </c>
      <c r="L48" s="16">
        <f ca="1">IFERROR(__xludf.DUMMYFUNCTION("""COMPUTED_VALUE"""),46042)</f>
        <v>46042</v>
      </c>
      <c r="M48" s="17" t="str">
        <f ca="1">IFERROR(__xludf.DUMMYFUNCTION("""COMPUTED_VALUE"""),"NO")</f>
        <v>NO</v>
      </c>
      <c r="N48" s="15">
        <f ca="1">IFERROR(__xludf.DUMMYFUNCTION("""COMPUTED_VALUE"""),2)</f>
        <v>2</v>
      </c>
      <c r="O48" s="23" t="str">
        <f ca="1">IFERROR(__xludf.DUMMYFUNCTION("""COMPUTED_VALUE"""),"ADVANCED")</f>
        <v>ADVANCED</v>
      </c>
      <c r="P48" s="18">
        <f ca="1">IFERROR(__xludf.DUMMYFUNCTION("""COMPUTED_VALUE"""),4136.36)</f>
        <v>4136.3599999999997</v>
      </c>
      <c r="Q48" s="6" t="str">
        <f ca="1">IFERROR(__xludf.DUMMYFUNCTION("""COMPUTED_VALUE"""),"Maika Blázquez")</f>
        <v>Maika Blázquez</v>
      </c>
      <c r="R48" s="19" t="str">
        <f ca="1">IFERROR(__xludf.DUMMYFUNCTION("""COMPUTED_VALUE"""),"Ignacio Aristegui Torrano")</f>
        <v>Ignacio Aristegui Torrano</v>
      </c>
      <c r="S48" s="20" t="str">
        <f ca="1">IFERROR(__xludf.DUMMYFUNCTION("""COMPUTED_VALUE"""),"03 ORL")</f>
        <v>03 ORL</v>
      </c>
      <c r="T48" s="6" t="str">
        <f ca="1">IFERROR(__xludf.DUMMYFUNCTION("""COMPUTED_VALUE"""),"06 ORL")</f>
        <v>06 ORL</v>
      </c>
      <c r="U48" s="21"/>
      <c r="W48" s="21"/>
      <c r="X48" s="21"/>
    </row>
    <row r="49" spans="1:36" ht="16">
      <c r="A49" s="6"/>
      <c r="B49" s="14" t="str">
        <f t="shared" ca="1" si="0"/>
        <v>LAA</v>
      </c>
      <c r="C49" s="23" t="str">
        <f ca="1">IFERROR(__xludf.DUMMYFUNCTION("""COMPUTED_VALUE"""),"LAA47")</f>
        <v>LAA47</v>
      </c>
      <c r="D49" s="6" t="str">
        <f ca="1">IFERROR(__xludf.DUMMYFUNCTION("""COMPUTED_VALUE"""),"PROPIOS")</f>
        <v>PROPIOS</v>
      </c>
      <c r="E49" s="6">
        <f ca="1">IFERROR(__xludf.DUMMYFUNCTION("""COMPUTED_VALUE"""),2026)</f>
        <v>2026</v>
      </c>
      <c r="F49" s="15">
        <f ca="1">IFERROR(__xludf.DUMMYFUNCTION("""COMPUTED_VALUE"""),1)</f>
        <v>1</v>
      </c>
      <c r="G49" s="6" t="str">
        <f ca="1">IFERROR(__xludf.DUMMYFUNCTION("""COMPUTED_VALUE"""),"Sevilla- Montoto")</f>
        <v>Sevilla- Montoto</v>
      </c>
      <c r="H49" s="6" t="str">
        <f ca="1">IFERROR(__xludf.DUMMYFUNCTION("""COMPUTED_VALUE"""),"C202511271216474526")</f>
        <v>C202511271216474526</v>
      </c>
      <c r="I49" s="6" t="str">
        <f ca="1">IFERROR(__xludf.DUMMYFUNCTION("""COMPUTED_VALUE"""),"JAVIER ALGABA GIL")</f>
        <v>JAVIER ALGABA GIL</v>
      </c>
      <c r="J49" s="16">
        <f ca="1">IFERROR(__xludf.DUMMYFUNCTION("""COMPUTED_VALUE"""),45988)</f>
        <v>45988</v>
      </c>
      <c r="K49" s="6" t="str">
        <f ca="1">IFERROR(__xludf.DUMMYFUNCTION("""COMPUTED_VALUE"""),"Factura audífonos")</f>
        <v>Factura audífonos</v>
      </c>
      <c r="L49" s="16">
        <f ca="1">IFERROR(__xludf.DUMMYFUNCTION("""COMPUTED_VALUE"""),46042)</f>
        <v>46042</v>
      </c>
      <c r="M49" s="17" t="str">
        <f ca="1">IFERROR(__xludf.DUMMYFUNCTION("""COMPUTED_VALUE"""),"NO")</f>
        <v>NO</v>
      </c>
      <c r="N49" s="15">
        <f ca="1">IFERROR(__xludf.DUMMYFUNCTION("""COMPUTED_VALUE"""),2)</f>
        <v>2</v>
      </c>
      <c r="O49" s="17" t="str">
        <f ca="1">IFERROR(__xludf.DUMMYFUNCTION("""COMPUTED_VALUE"""),"CONFORT")</f>
        <v>CONFORT</v>
      </c>
      <c r="P49" s="18">
        <f ca="1">IFERROR(__xludf.DUMMYFUNCTION("""COMPUTED_VALUE"""),3630.77)</f>
        <v>3630.77</v>
      </c>
      <c r="Q49" s="6" t="str">
        <f ca="1">IFERROR(__xludf.DUMMYFUNCTION("""COMPUTED_VALUE"""),"Luis Alberto Rodríguez")</f>
        <v>Luis Alberto Rodríguez</v>
      </c>
      <c r="R49" s="19" t="str">
        <f ca="1">IFERROR(__xludf.DUMMYFUNCTION("""COMPUTED_VALUE"""),"Estefanía Berrocal Postigo")</f>
        <v>Estefanía Berrocal Postigo</v>
      </c>
      <c r="S49" s="20" t="str">
        <f ca="1">IFERROR(__xludf.DUMMYFUNCTION("""COMPUTED_VALUE"""),"03 ORL")</f>
        <v>03 ORL</v>
      </c>
      <c r="T49" s="6" t="str">
        <f ca="1">IFERROR(__xludf.DUMMYFUNCTION("""COMPUTED_VALUE"""),"06 ORL")</f>
        <v>06 ORL</v>
      </c>
      <c r="U49" s="21"/>
      <c r="W49" s="21"/>
      <c r="X49" s="21"/>
    </row>
    <row r="50" spans="1:36" ht="16">
      <c r="A50" s="6"/>
      <c r="B50" s="14" t="str">
        <f t="shared" ca="1" si="0"/>
        <v>MBM</v>
      </c>
      <c r="C50" s="23" t="str">
        <f ca="1">IFERROR(__xludf.DUMMYFUNCTION("""COMPUTED_VALUE"""),"MBM149")</f>
        <v>MBM149</v>
      </c>
      <c r="D50" s="6" t="str">
        <f ca="1">IFERROR(__xludf.DUMMYFUNCTION("""COMPUTED_VALUE"""),"PROPIOS")</f>
        <v>PROPIOS</v>
      </c>
      <c r="E50" s="6">
        <f ca="1">IFERROR(__xludf.DUMMYFUNCTION("""COMPUTED_VALUE"""),2026)</f>
        <v>2026</v>
      </c>
      <c r="F50" s="15">
        <f ca="1">IFERROR(__xludf.DUMMYFUNCTION("""COMPUTED_VALUE"""),1)</f>
        <v>1</v>
      </c>
      <c r="G50" s="6" t="str">
        <f ca="1">IFERROR(__xludf.DUMMYFUNCTION("""COMPUTED_VALUE"""),"Toledo")</f>
        <v>Toledo</v>
      </c>
      <c r="H50" s="6" t="str">
        <f ca="1">IFERROR(__xludf.DUMMYFUNCTION("""COMPUTED_VALUE"""),"C202512418122957997")</f>
        <v>C202512418122957997</v>
      </c>
      <c r="I50" s="6" t="str">
        <f ca="1">IFERROR(__xludf.DUMMYFUNCTION("""COMPUTED_VALUE"""),"Maria Isabel  Espinosa Martinez")</f>
        <v>Maria Isabel  Espinosa Martinez</v>
      </c>
      <c r="J50" s="16">
        <f ca="1">IFERROR(__xludf.DUMMYFUNCTION("""COMPUTED_VALUE"""),45995)</f>
        <v>45995</v>
      </c>
      <c r="K50" s="6" t="str">
        <f ca="1">IFERROR(__xludf.DUMMYFUNCTION("""COMPUTED_VALUE"""),"Factura audífonos")</f>
        <v>Factura audífonos</v>
      </c>
      <c r="L50" s="16">
        <f ca="1">IFERROR(__xludf.DUMMYFUNCTION("""COMPUTED_VALUE"""),46042)</f>
        <v>46042</v>
      </c>
      <c r="M50" s="17" t="str">
        <f ca="1">IFERROR(__xludf.DUMMYFUNCTION("""COMPUTED_VALUE"""),"NO")</f>
        <v>NO</v>
      </c>
      <c r="N50" s="15">
        <f ca="1">IFERROR(__xludf.DUMMYFUNCTION("""COMPUTED_VALUE"""),2)</f>
        <v>2</v>
      </c>
      <c r="O50" s="23" t="str">
        <f ca="1">IFERROR(__xludf.DUMMYFUNCTION("""COMPUTED_VALUE"""),"CONFORT")</f>
        <v>CONFORT</v>
      </c>
      <c r="P50" s="18">
        <f ca="1">IFERROR(__xludf.DUMMYFUNCTION("""COMPUTED_VALUE"""),3631.82)</f>
        <v>3631.82</v>
      </c>
      <c r="Q50" s="6" t="str">
        <f ca="1">IFERROR(__xludf.DUMMYFUNCTION("""COMPUTED_VALUE"""),"Maika Blázquez")</f>
        <v>Maika Blázquez</v>
      </c>
      <c r="R50" s="19" t="str">
        <f ca="1">IFERROR(__xludf.DUMMYFUNCTION("""COMPUTED_VALUE"""),"María Garrote Garrote")</f>
        <v>María Garrote Garrote</v>
      </c>
      <c r="S50" s="20" t="str">
        <f ca="1">IFERROR(__xludf.DUMMYFUNCTION("""COMPUTED_VALUE"""),"03 ORL")</f>
        <v>03 ORL</v>
      </c>
      <c r="T50" s="6" t="str">
        <f ca="1">IFERROR(__xludf.DUMMYFUNCTION("""COMPUTED_VALUE"""),"06 ORL")</f>
        <v>06 ORL</v>
      </c>
      <c r="U50" s="21"/>
      <c r="W50" s="21"/>
      <c r="X50" s="21"/>
    </row>
    <row r="51" spans="1:36" ht="16">
      <c r="A51" s="6"/>
      <c r="B51" s="14" t="str">
        <f t="shared" ca="1" si="0"/>
        <v>ISL</v>
      </c>
      <c r="C51" s="23" t="str">
        <f ca="1">IFERROR(__xludf.DUMMYFUNCTION("""COMPUTED_VALUE"""),"ISL37")</f>
        <v>ISL37</v>
      </c>
      <c r="D51" s="6" t="str">
        <f ca="1">IFERROR(__xludf.DUMMYFUNCTION("""COMPUTED_VALUE"""),"PROPIOS")</f>
        <v>PROPIOS</v>
      </c>
      <c r="E51" s="6">
        <f ca="1">IFERROR(__xludf.DUMMYFUNCTION("""COMPUTED_VALUE"""),2026)</f>
        <v>2026</v>
      </c>
      <c r="F51" s="15">
        <f ca="1">IFERROR(__xludf.DUMMYFUNCTION("""COMPUTED_VALUE"""),1)</f>
        <v>1</v>
      </c>
      <c r="G51" s="6" t="str">
        <f ca="1">IFERROR(__xludf.DUMMYFUNCTION("""COMPUTED_VALUE"""),"Alicante")</f>
        <v>Alicante</v>
      </c>
      <c r="H51" s="6" t="str">
        <f ca="1">IFERROR(__xludf.DUMMYFUNCTION("""COMPUTED_VALUE"""),"C202512910126436073")</f>
        <v>C202512910126436073</v>
      </c>
      <c r="I51" s="6" t="str">
        <f ca="1">IFERROR(__xludf.DUMMYFUNCTION("""COMPUTED_VALUE"""),"JERONIMO MACIA MAS")</f>
        <v>JERONIMO MACIA MAS</v>
      </c>
      <c r="J51" s="16">
        <f ca="1">IFERROR(__xludf.DUMMYFUNCTION("""COMPUTED_VALUE"""),46000)</f>
        <v>46000</v>
      </c>
      <c r="K51" s="6" t="str">
        <f ca="1">IFERROR(__xludf.DUMMYFUNCTION("""COMPUTED_VALUE"""),"Factura audífonos")</f>
        <v>Factura audífonos</v>
      </c>
      <c r="L51" s="16">
        <f ca="1">IFERROR(__xludf.DUMMYFUNCTION("""COMPUTED_VALUE"""),46042)</f>
        <v>46042</v>
      </c>
      <c r="M51" s="17" t="str">
        <f ca="1">IFERROR(__xludf.DUMMYFUNCTION("""COMPUTED_VALUE"""),"NO")</f>
        <v>NO</v>
      </c>
      <c r="N51" s="15">
        <f ca="1">IFERROR(__xludf.DUMMYFUNCTION("""COMPUTED_VALUE"""),2)</f>
        <v>2</v>
      </c>
      <c r="O51" s="17" t="str">
        <f ca="1">IFERROR(__xludf.DUMMYFUNCTION("""COMPUTED_VALUE"""),"PRO")</f>
        <v>PRO</v>
      </c>
      <c r="P51" s="18">
        <f ca="1">IFERROR(__xludf.DUMMYFUNCTION("""COMPUTED_VALUE"""),4536.36)</f>
        <v>4536.3599999999997</v>
      </c>
      <c r="Q51" s="6" t="str">
        <f ca="1">IFERROR(__xludf.DUMMYFUNCTION("""COMPUTED_VALUE"""),"Iván Sánchez")</f>
        <v>Iván Sánchez</v>
      </c>
      <c r="R51" s="19" t="str">
        <f ca="1">IFERROR(__xludf.DUMMYFUNCTION("""COMPUTED_VALUE"""),"Guillermo Severá Ferrándiz")</f>
        <v>Guillermo Severá Ferrándiz</v>
      </c>
      <c r="S51" s="20" t="str">
        <f ca="1">IFERROR(__xludf.DUMMYFUNCTION("""COMPUTED_VALUE"""),"03 ORL")</f>
        <v>03 ORL</v>
      </c>
      <c r="T51" s="6" t="str">
        <f ca="1">IFERROR(__xludf.DUMMYFUNCTION("""COMPUTED_VALUE"""),"06 ORL")</f>
        <v>06 ORL</v>
      </c>
      <c r="U51" s="21"/>
      <c r="W51" s="21"/>
      <c r="X51" s="21"/>
      <c r="AE51" s="1"/>
    </row>
    <row r="52" spans="1:36" ht="16">
      <c r="A52" s="6"/>
      <c r="B52" s="14" t="str">
        <f t="shared" ca="1" si="0"/>
        <v>ISL</v>
      </c>
      <c r="C52" s="23" t="str">
        <f ca="1">IFERROR(__xludf.DUMMYFUNCTION("""COMPUTED_VALUE"""),"ISL91")</f>
        <v>ISL91</v>
      </c>
      <c r="D52" s="6" t="str">
        <f ca="1">IFERROR(__xludf.DUMMYFUNCTION("""COMPUTED_VALUE"""),"PROPIOS")</f>
        <v>PROPIOS</v>
      </c>
      <c r="E52" s="6">
        <f ca="1">IFERROR(__xludf.DUMMYFUNCTION("""COMPUTED_VALUE"""),2026)</f>
        <v>2026</v>
      </c>
      <c r="F52" s="15">
        <f ca="1">IFERROR(__xludf.DUMMYFUNCTION("""COMPUTED_VALUE"""),1)</f>
        <v>1</v>
      </c>
      <c r="G52" s="6" t="str">
        <f ca="1">IFERROR(__xludf.DUMMYFUNCTION("""COMPUTED_VALUE"""),"Albacete")</f>
        <v>Albacete</v>
      </c>
      <c r="H52" s="6" t="str">
        <f ca="1">IFERROR(__xludf.DUMMYFUNCTION("""COMPUTED_VALUE"""),"C202512121711459148")</f>
        <v>C202512121711459148</v>
      </c>
      <c r="I52" s="6" t="str">
        <f ca="1">IFERROR(__xludf.DUMMYFUNCTION("""COMPUTED_VALUE"""),"JOSE JUAN AROCA PEREZ")</f>
        <v>JOSE JUAN AROCA PEREZ</v>
      </c>
      <c r="J52" s="16">
        <f ca="1">IFERROR(__xludf.DUMMYFUNCTION("""COMPUTED_VALUE"""),46003)</f>
        <v>46003</v>
      </c>
      <c r="K52" s="6" t="str">
        <f ca="1">IFERROR(__xludf.DUMMYFUNCTION("""COMPUTED_VALUE"""),"Factura audífonos")</f>
        <v>Factura audífonos</v>
      </c>
      <c r="L52" s="16">
        <f ca="1">IFERROR(__xludf.DUMMYFUNCTION("""COMPUTED_VALUE"""),46042)</f>
        <v>46042</v>
      </c>
      <c r="M52" s="17" t="str">
        <f ca="1">IFERROR(__xludf.DUMMYFUNCTION("""COMPUTED_VALUE"""),"NO")</f>
        <v>NO</v>
      </c>
      <c r="N52" s="15">
        <f ca="1">IFERROR(__xludf.DUMMYFUNCTION("""COMPUTED_VALUE"""),2)</f>
        <v>2</v>
      </c>
      <c r="O52" s="17" t="str">
        <f ca="1">IFERROR(__xludf.DUMMYFUNCTION("""COMPUTED_VALUE"""),"QUIET")</f>
        <v>QUIET</v>
      </c>
      <c r="P52" s="19">
        <f ca="1">IFERROR(__xludf.DUMMYFUNCTION("""COMPUTED_VALUE"""),2718.18)</f>
        <v>2718.18</v>
      </c>
      <c r="Q52" s="6" t="str">
        <f ca="1">IFERROR(__xludf.DUMMYFUNCTION("""COMPUTED_VALUE"""),"Iván Sánchez")</f>
        <v>Iván Sánchez</v>
      </c>
      <c r="R52" s="19" t="str">
        <f ca="1">IFERROR(__xludf.DUMMYFUNCTION("""COMPUTED_VALUE"""),"Alejandra Jara Maquilón")</f>
        <v>Alejandra Jara Maquilón</v>
      </c>
      <c r="S52" s="20" t="str">
        <f ca="1">IFERROR(__xludf.DUMMYFUNCTION("""COMPUTED_VALUE"""),"03 ORL")</f>
        <v>03 ORL</v>
      </c>
      <c r="T52" s="6" t="str">
        <f ca="1">IFERROR(__xludf.DUMMYFUNCTION("""COMPUTED_VALUE"""),"06 ORL")</f>
        <v>06 ORL</v>
      </c>
      <c r="U52" s="21"/>
      <c r="W52" s="21"/>
      <c r="X52" s="21"/>
    </row>
    <row r="53" spans="1:36" ht="16">
      <c r="A53" s="6"/>
      <c r="B53" s="14" t="str">
        <f t="shared" ca="1" si="0"/>
        <v>LAA</v>
      </c>
      <c r="C53" s="23" t="str">
        <f ca="1">IFERROR(__xludf.DUMMYFUNCTION("""COMPUTED_VALUE"""),"LAA13")</f>
        <v>LAA13</v>
      </c>
      <c r="D53" s="6" t="str">
        <f ca="1">IFERROR(__xludf.DUMMYFUNCTION("""COMPUTED_VALUE"""),"PROPIOS")</f>
        <v>PROPIOS</v>
      </c>
      <c r="E53" s="6">
        <f ca="1">IFERROR(__xludf.DUMMYFUNCTION("""COMPUTED_VALUE"""),2026)</f>
        <v>2026</v>
      </c>
      <c r="F53" s="15">
        <f ca="1">IFERROR(__xludf.DUMMYFUNCTION("""COMPUTED_VALUE"""),1)</f>
        <v>1</v>
      </c>
      <c r="G53" s="6" t="str">
        <f ca="1">IFERROR(__xludf.DUMMYFUNCTION("""COMPUTED_VALUE"""),"Sevilla- Montoto")</f>
        <v>Sevilla- Montoto</v>
      </c>
      <c r="H53" s="6" t="str">
        <f ca="1">IFERROR(__xludf.DUMMYFUNCTION("""COMPUTED_VALUE"""),"C202510311713966723")</f>
        <v>C202510311713966723</v>
      </c>
      <c r="I53" s="6" t="str">
        <f ca="1">IFERROR(__xludf.DUMMYFUNCTION("""COMPUTED_VALUE"""),"MANUEL LOZANO PADILLA")</f>
        <v>MANUEL LOZANO PADILLA</v>
      </c>
      <c r="J53" s="16">
        <f ca="1">IFERROR(__xludf.DUMMYFUNCTION("""COMPUTED_VALUE"""),45961)</f>
        <v>45961</v>
      </c>
      <c r="K53" s="6" t="str">
        <f ca="1">IFERROR(__xludf.DUMMYFUNCTION("""COMPUTED_VALUE"""),"Factura audífonos")</f>
        <v>Factura audífonos</v>
      </c>
      <c r="L53" s="16">
        <f ca="1">IFERROR(__xludf.DUMMYFUNCTION("""COMPUTED_VALUE"""),46043)</f>
        <v>46043</v>
      </c>
      <c r="M53" s="17" t="str">
        <f ca="1">IFERROR(__xludf.DUMMYFUNCTION("""COMPUTED_VALUE"""),"NO")</f>
        <v>NO</v>
      </c>
      <c r="N53" s="15">
        <f ca="1">IFERROR(__xludf.DUMMYFUNCTION("""COMPUTED_VALUE"""),2)</f>
        <v>2</v>
      </c>
      <c r="O53" s="17" t="str">
        <f ca="1">IFERROR(__xludf.DUMMYFUNCTION("""COMPUTED_VALUE"""),"CONFORT")</f>
        <v>CONFORT</v>
      </c>
      <c r="P53" s="19">
        <f ca="1">IFERROR(__xludf.DUMMYFUNCTION("""COMPUTED_VALUE"""),3631.82)</f>
        <v>3631.82</v>
      </c>
      <c r="Q53" s="6" t="str">
        <f ca="1">IFERROR(__xludf.DUMMYFUNCTION("""COMPUTED_VALUE"""),"Luis Alberto Rodríguez")</f>
        <v>Luis Alberto Rodríguez</v>
      </c>
      <c r="R53" s="19" t="str">
        <f ca="1">IFERROR(__xludf.DUMMYFUNCTION("""COMPUTED_VALUE"""),"Francisco Javier Aguilar Vera")</f>
        <v>Francisco Javier Aguilar Vera</v>
      </c>
      <c r="S53" s="20" t="str">
        <f ca="1">IFERROR(__xludf.DUMMYFUNCTION("""COMPUTED_VALUE"""),"03 ORL")</f>
        <v>03 ORL</v>
      </c>
      <c r="T53" s="6" t="str">
        <f ca="1">IFERROR(__xludf.DUMMYFUNCTION("""COMPUTED_VALUE"""),"06 ORL")</f>
        <v>06 ORL</v>
      </c>
      <c r="U53" s="21"/>
      <c r="W53" s="21"/>
      <c r="X53" s="21"/>
    </row>
    <row r="54" spans="1:36" ht="16">
      <c r="A54" s="6"/>
      <c r="B54" s="14" t="str">
        <f t="shared" ca="1" si="0"/>
        <v>ISL</v>
      </c>
      <c r="C54" s="23" t="str">
        <f ca="1">IFERROR(__xludf.DUMMYFUNCTION("""COMPUTED_VALUE"""),"ISL58")</f>
        <v>ISL58</v>
      </c>
      <c r="D54" s="6" t="str">
        <f ca="1">IFERROR(__xludf.DUMMYFUNCTION("""COMPUTED_VALUE"""),"PROPIOS")</f>
        <v>PROPIOS</v>
      </c>
      <c r="E54" s="6">
        <f ca="1">IFERROR(__xludf.DUMMYFUNCTION("""COMPUTED_VALUE"""),2026)</f>
        <v>2026</v>
      </c>
      <c r="F54" s="15">
        <f ca="1">IFERROR(__xludf.DUMMYFUNCTION("""COMPUTED_VALUE"""),1)</f>
        <v>1</v>
      </c>
      <c r="G54" s="6" t="str">
        <f ca="1">IFERROR(__xludf.DUMMYFUNCTION("""COMPUTED_VALUE"""),"Orihuela")</f>
        <v>Orihuela</v>
      </c>
      <c r="H54" s="6" t="str">
        <f ca="1">IFERROR(__xludf.DUMMYFUNCTION("""COMPUTED_VALUE"""),"C202512311581610869")</f>
        <v>C202512311581610869</v>
      </c>
      <c r="I54" s="6" t="str">
        <f ca="1">IFERROR(__xludf.DUMMYFUNCTION("""COMPUTED_VALUE"""),"JOSÉ EDUARDO DE LA FUENTE FERNANDEZ")</f>
        <v>JOSÉ EDUARDO DE LA FUENTE FERNANDEZ</v>
      </c>
      <c r="J54" s="16">
        <f ca="1">IFERROR(__xludf.DUMMYFUNCTION("""COMPUTED_VALUE"""),45994)</f>
        <v>45994</v>
      </c>
      <c r="K54" s="6" t="str">
        <f ca="1">IFERROR(__xludf.DUMMYFUNCTION("""COMPUTED_VALUE"""),"Factura audífonos")</f>
        <v>Factura audífonos</v>
      </c>
      <c r="L54" s="16">
        <f ca="1">IFERROR(__xludf.DUMMYFUNCTION("""COMPUTED_VALUE"""),46043)</f>
        <v>46043</v>
      </c>
      <c r="M54" s="17" t="str">
        <f ca="1">IFERROR(__xludf.DUMMYFUNCTION("""COMPUTED_VALUE"""),"NO")</f>
        <v>NO</v>
      </c>
      <c r="N54" s="15">
        <f ca="1">IFERROR(__xludf.DUMMYFUNCTION("""COMPUTED_VALUE"""),2)</f>
        <v>2</v>
      </c>
      <c r="O54" s="17" t="str">
        <f ca="1">IFERROR(__xludf.DUMMYFUNCTION("""COMPUTED_VALUE"""),"CONFORT")</f>
        <v>CONFORT</v>
      </c>
      <c r="P54" s="19">
        <f ca="1">IFERROR(__xludf.DUMMYFUNCTION("""COMPUTED_VALUE"""),3631.73)</f>
        <v>3631.73</v>
      </c>
      <c r="Q54" s="6" t="str">
        <f ca="1">IFERROR(__xludf.DUMMYFUNCTION("""COMPUTED_VALUE"""),"Iván Sánchez")</f>
        <v>Iván Sánchez</v>
      </c>
      <c r="R54" s="19" t="str">
        <f ca="1">IFERROR(__xludf.DUMMYFUNCTION("""COMPUTED_VALUE"""),"Juan Javier Álvarez López")</f>
        <v>Juan Javier Álvarez López</v>
      </c>
      <c r="S54" s="20" t="str">
        <f ca="1">IFERROR(__xludf.DUMMYFUNCTION("""COMPUTED_VALUE"""),"03 ORL")</f>
        <v>03 ORL</v>
      </c>
      <c r="T54" s="6" t="str">
        <f ca="1">IFERROR(__xludf.DUMMYFUNCTION("""COMPUTED_VALUE"""),"06 ORL")</f>
        <v>06 ORL</v>
      </c>
      <c r="U54" s="21"/>
      <c r="W54" s="21"/>
      <c r="X54" s="21"/>
    </row>
    <row r="55" spans="1:36" ht="16">
      <c r="A55" s="6"/>
      <c r="B55" s="14" t="str">
        <f t="shared" ca="1" si="0"/>
        <v>MBM</v>
      </c>
      <c r="C55" s="23" t="str">
        <f ca="1">IFERROR(__xludf.DUMMYFUNCTION("""COMPUTED_VALUE"""),"MBM149")</f>
        <v>MBM149</v>
      </c>
      <c r="D55" s="6" t="str">
        <f ca="1">IFERROR(__xludf.DUMMYFUNCTION("""COMPUTED_VALUE"""),"PROPIOS")</f>
        <v>PROPIOS</v>
      </c>
      <c r="E55" s="6">
        <f ca="1">IFERROR(__xludf.DUMMYFUNCTION("""COMPUTED_VALUE"""),2026)</f>
        <v>2026</v>
      </c>
      <c r="F55" s="15">
        <f ca="1">IFERROR(__xludf.DUMMYFUNCTION("""COMPUTED_VALUE"""),1)</f>
        <v>1</v>
      </c>
      <c r="G55" s="6" t="str">
        <f ca="1">IFERROR(__xludf.DUMMYFUNCTION("""COMPUTED_VALUE"""),"Getafe")</f>
        <v>Getafe</v>
      </c>
      <c r="H55" s="6" t="str">
        <f ca="1">IFERROR(__xludf.DUMMYFUNCTION("""COMPUTED_VALUE"""),"C202512595841880689")</f>
        <v>C202512595841880689</v>
      </c>
      <c r="I55" s="6" t="str">
        <f ca="1">IFERROR(__xludf.DUMMYFUNCTION("""COMPUTED_VALUE"""),"MARIA ROSA FELIU CASADO")</f>
        <v>MARIA ROSA FELIU CASADO</v>
      </c>
      <c r="J55" s="16">
        <f ca="1">IFERROR(__xludf.DUMMYFUNCTION("""COMPUTED_VALUE"""),45996)</f>
        <v>45996</v>
      </c>
      <c r="K55" s="6" t="str">
        <f ca="1">IFERROR(__xludf.DUMMYFUNCTION("""COMPUTED_VALUE"""),"Factura audífonos")</f>
        <v>Factura audífonos</v>
      </c>
      <c r="L55" s="16">
        <f ca="1">IFERROR(__xludf.DUMMYFUNCTION("""COMPUTED_VALUE"""),46043)</f>
        <v>46043</v>
      </c>
      <c r="M55" s="17" t="str">
        <f ca="1">IFERROR(__xludf.DUMMYFUNCTION("""COMPUTED_VALUE"""),"NO")</f>
        <v>NO</v>
      </c>
      <c r="N55" s="15">
        <f ca="1">IFERROR(__xludf.DUMMYFUNCTION("""COMPUTED_VALUE"""),2)</f>
        <v>2</v>
      </c>
      <c r="O55" s="17" t="str">
        <f ca="1">IFERROR(__xludf.DUMMYFUNCTION("""COMPUTED_VALUE"""),"QUIET")</f>
        <v>QUIET</v>
      </c>
      <c r="P55" s="19">
        <f ca="1">IFERROR(__xludf.DUMMYFUNCTION("""COMPUTED_VALUE"""),2445.45)</f>
        <v>2445.4499999999998</v>
      </c>
      <c r="Q55" s="6" t="str">
        <f ca="1">IFERROR(__xludf.DUMMYFUNCTION("""COMPUTED_VALUE"""),"Maika Blázquez")</f>
        <v>Maika Blázquez</v>
      </c>
      <c r="R55" s="19" t="str">
        <f ca="1">IFERROR(__xludf.DUMMYFUNCTION("""COMPUTED_VALUE"""),"María Garrote Garrote")</f>
        <v>María Garrote Garrote</v>
      </c>
      <c r="S55" s="20" t="str">
        <f ca="1">IFERROR(__xludf.DUMMYFUNCTION("""COMPUTED_VALUE"""),"03 ORL")</f>
        <v>03 ORL</v>
      </c>
      <c r="T55" s="6" t="str">
        <f ca="1">IFERROR(__xludf.DUMMYFUNCTION("""COMPUTED_VALUE"""),"06 ORL")</f>
        <v>06 ORL</v>
      </c>
      <c r="U55" s="21"/>
      <c r="W55" s="21"/>
      <c r="X55" s="21"/>
    </row>
    <row r="56" spans="1:36" ht="16">
      <c r="A56" s="6"/>
      <c r="B56" s="14" t="str">
        <f t="shared" ca="1" si="0"/>
        <v>ISL</v>
      </c>
      <c r="C56" s="23" t="str">
        <f ca="1">IFERROR(__xludf.DUMMYFUNCTION("""COMPUTED_VALUE"""),"ISL14")</f>
        <v>ISL14</v>
      </c>
      <c r="D56" s="6" t="str">
        <f ca="1">IFERROR(__xludf.DUMMYFUNCTION("""COMPUTED_VALUE"""),"PROPIOS")</f>
        <v>PROPIOS</v>
      </c>
      <c r="E56" s="6">
        <f ca="1">IFERROR(__xludf.DUMMYFUNCTION("""COMPUTED_VALUE"""),2026)</f>
        <v>2026</v>
      </c>
      <c r="F56" s="15">
        <f ca="1">IFERROR(__xludf.DUMMYFUNCTION("""COMPUTED_VALUE"""),1)</f>
        <v>1</v>
      </c>
      <c r="G56" s="6" t="str">
        <f ca="1">IFERROR(__xludf.DUMMYFUNCTION("""COMPUTED_VALUE"""),"Alicante")</f>
        <v>Alicante</v>
      </c>
      <c r="H56" s="6" t="str">
        <f ca="1">IFERROR(__xludf.DUMMYFUNCTION("""COMPUTED_VALUE"""),"C202512169525324632")</f>
        <v>C202512169525324632</v>
      </c>
      <c r="I56" s="6" t="str">
        <f ca="1">IFERROR(__xludf.DUMMYFUNCTION("""COMPUTED_VALUE"""),"MAURIZIO CENCIARELLI")</f>
        <v>MAURIZIO CENCIARELLI</v>
      </c>
      <c r="J56" s="16">
        <f ca="1">IFERROR(__xludf.DUMMYFUNCTION("""COMPUTED_VALUE"""),46007)</f>
        <v>46007</v>
      </c>
      <c r="K56" s="6" t="str">
        <f ca="1">IFERROR(__xludf.DUMMYFUNCTION("""COMPUTED_VALUE"""),"Factura audífonos")</f>
        <v>Factura audífonos</v>
      </c>
      <c r="L56" s="16">
        <f ca="1">IFERROR(__xludf.DUMMYFUNCTION("""COMPUTED_VALUE"""),46044)</f>
        <v>46044</v>
      </c>
      <c r="M56" s="17" t="str">
        <f ca="1">IFERROR(__xludf.DUMMYFUNCTION("""COMPUTED_VALUE"""),"NO")</f>
        <v>NO</v>
      </c>
      <c r="N56" s="15">
        <f ca="1">IFERROR(__xludf.DUMMYFUNCTION("""COMPUTED_VALUE"""),2)</f>
        <v>2</v>
      </c>
      <c r="O56" s="17" t="str">
        <f ca="1">IFERROR(__xludf.DUMMYFUNCTION("""COMPUTED_VALUE"""),"ADVANCED")</f>
        <v>ADVANCED</v>
      </c>
      <c r="P56" s="18">
        <f ca="1">IFERROR(__xludf.DUMMYFUNCTION("""COMPUTED_VALUE"""),4136.36)</f>
        <v>4136.3599999999997</v>
      </c>
      <c r="Q56" s="6" t="str">
        <f ca="1">IFERROR(__xludf.DUMMYFUNCTION("""COMPUTED_VALUE"""),"Iván Sánchez")</f>
        <v>Iván Sánchez</v>
      </c>
      <c r="R56" s="19" t="str">
        <f ca="1">IFERROR(__xludf.DUMMYFUNCTION("""COMPUTED_VALUE"""),"Carlos Velásquez Fermín")</f>
        <v>Carlos Velásquez Fermín</v>
      </c>
      <c r="S56" s="20" t="str">
        <f ca="1">IFERROR(__xludf.DUMMYFUNCTION("""COMPUTED_VALUE"""),"03 ORL")</f>
        <v>03 ORL</v>
      </c>
      <c r="T56" s="6" t="str">
        <f ca="1">IFERROR(__xludf.DUMMYFUNCTION("""COMPUTED_VALUE"""),"06 ORL")</f>
        <v>06 ORL</v>
      </c>
      <c r="U56" s="21"/>
      <c r="W56" s="21"/>
      <c r="X56" s="21"/>
    </row>
    <row r="57" spans="1:36" ht="16">
      <c r="A57" s="6"/>
      <c r="B57" s="14" t="str">
        <f t="shared" ca="1" si="0"/>
        <v>LRM</v>
      </c>
      <c r="C57" s="23" t="str">
        <f ca="1">IFERROR(__xludf.DUMMYFUNCTION("""COMPUTED_VALUE"""),"LRM153")</f>
        <v>LRM153</v>
      </c>
      <c r="D57" s="6" t="str">
        <f ca="1">IFERROR(__xludf.DUMMYFUNCTION("""COMPUTED_VALUE"""),"ASOCIADOS")</f>
        <v>ASOCIADOS</v>
      </c>
      <c r="E57" s="6">
        <f ca="1">IFERROR(__xludf.DUMMYFUNCTION("""COMPUTED_VALUE"""),2026)</f>
        <v>2026</v>
      </c>
      <c r="F57" s="15">
        <f ca="1">IFERROR(__xludf.DUMMYFUNCTION("""COMPUTED_VALUE"""),1)</f>
        <v>1</v>
      </c>
      <c r="G57" s="6" t="str">
        <f ca="1">IFERROR(__xludf.DUMMYFUNCTION("""COMPUTED_VALUE"""),"Cáceres")</f>
        <v>Cáceres</v>
      </c>
      <c r="H57" s="6" t="str">
        <f ca="1">IFERROR(__xludf.DUMMYFUNCTION("""COMPUTED_VALUE"""),"C202512268393761744")</f>
        <v>C202512268393761744</v>
      </c>
      <c r="I57" s="6" t="str">
        <f ca="1">IFERROR(__xludf.DUMMYFUNCTION("""COMPUTED_VALUE"""),"DAVID SOCORRO FERRER")</f>
        <v>DAVID SOCORRO FERRER</v>
      </c>
      <c r="J57" s="16">
        <f ca="1">IFERROR(__xludf.DUMMYFUNCTION("""COMPUTED_VALUE"""),46017)</f>
        <v>46017</v>
      </c>
      <c r="K57" s="6" t="str">
        <f ca="1">IFERROR(__xludf.DUMMYFUNCTION("""COMPUTED_VALUE"""),"Factura audífonos")</f>
        <v>Factura audífonos</v>
      </c>
      <c r="L57" s="16">
        <f ca="1">IFERROR(__xludf.DUMMYFUNCTION("""COMPUTED_VALUE"""),46044)</f>
        <v>46044</v>
      </c>
      <c r="M57" s="6" t="str">
        <f ca="1">IFERROR(__xludf.DUMMYFUNCTION("""COMPUTED_VALUE"""),"NO")</f>
        <v>NO</v>
      </c>
      <c r="N57" s="15">
        <f ca="1">IFERROR(__xludf.DUMMYFUNCTION("""COMPUTED_VALUE"""),2)</f>
        <v>2</v>
      </c>
      <c r="O57" s="6" t="str">
        <f ca="1">IFERROR(__xludf.DUMMYFUNCTION("""COMPUTED_VALUE"""),"QUIET")</f>
        <v>QUIET</v>
      </c>
      <c r="P57" s="19">
        <f ca="1">IFERROR(__xludf.DUMMYFUNCTION("""COMPUTED_VALUE"""),3163.64)</f>
        <v>3163.64</v>
      </c>
      <c r="Q57" s="6" t="str">
        <f ca="1">IFERROR(__xludf.DUMMYFUNCTION("""COMPUTED_VALUE"""),"Lisandro Russian")</f>
        <v>Lisandro Russian</v>
      </c>
      <c r="R57" s="19" t="str">
        <f ca="1">IFERROR(__xludf.DUMMYFUNCTION("""COMPUTED_VALUE"""),"Daniela Carolina Laguado Bulgheroni")</f>
        <v>Daniela Carolina Laguado Bulgheroni</v>
      </c>
      <c r="S57" s="20" t="str">
        <f ca="1">IFERROR(__xludf.DUMMYFUNCTION("""COMPUTED_VALUE"""),"03 ORL")</f>
        <v>03 ORL</v>
      </c>
      <c r="T57" s="6" t="str">
        <f ca="1">IFERROR(__xludf.DUMMYFUNCTION("""COMPUTED_VALUE"""),"06 ORL")</f>
        <v>06 ORL</v>
      </c>
      <c r="U57" s="21"/>
      <c r="W57" s="21"/>
      <c r="X57" s="21"/>
      <c r="AG57" s="19"/>
      <c r="AJ57" s="19"/>
    </row>
    <row r="58" spans="1:36" ht="16">
      <c r="A58" s="6"/>
      <c r="B58" s="14" t="str">
        <f t="shared" ca="1" si="0"/>
        <v>RPG</v>
      </c>
      <c r="C58" s="23" t="str">
        <f ca="1">IFERROR(__xludf.DUMMYFUNCTION("""COMPUTED_VALUE"""),"RPG37")</f>
        <v>RPG37</v>
      </c>
      <c r="D58" s="6" t="str">
        <f ca="1">IFERROR(__xludf.DUMMYFUNCTION("""COMPUTED_VALUE"""),"PARTICIPADOS")</f>
        <v>PARTICIPADOS</v>
      </c>
      <c r="E58" s="6">
        <f ca="1">IFERROR(__xludf.DUMMYFUNCTION("""COMPUTED_VALUE"""),2026)</f>
        <v>2026</v>
      </c>
      <c r="F58" s="15">
        <f ca="1">IFERROR(__xludf.DUMMYFUNCTION("""COMPUTED_VALUE"""),1)</f>
        <v>1</v>
      </c>
      <c r="G58" s="6" t="str">
        <f ca="1">IFERROR(__xludf.DUMMYFUNCTION("""COMPUTED_VALUE"""),"Ourense")</f>
        <v>Ourense</v>
      </c>
      <c r="H58" s="6" t="str">
        <f ca="1">IFERROR(__xludf.DUMMYFUNCTION("""COMPUTED_VALUE"""),"C202512392737668984")</f>
        <v>C202512392737668984</v>
      </c>
      <c r="I58" s="6" t="str">
        <f ca="1">IFERROR(__xludf.DUMMYFUNCTION("""COMPUTED_VALUE"""),"PABLO GOMEZ SEOANE")</f>
        <v>PABLO GOMEZ SEOANE</v>
      </c>
      <c r="J58" s="16">
        <f ca="1">IFERROR(__xludf.DUMMYFUNCTION("""COMPUTED_VALUE"""),45994)</f>
        <v>45994</v>
      </c>
      <c r="K58" s="6" t="str">
        <f ca="1">IFERROR(__xludf.DUMMYFUNCTION("""COMPUTED_VALUE"""),"Factura audífonos")</f>
        <v>Factura audífonos</v>
      </c>
      <c r="L58" s="16">
        <f ca="1">IFERROR(__xludf.DUMMYFUNCTION("""COMPUTED_VALUE"""),46044)</f>
        <v>46044</v>
      </c>
      <c r="M58" s="6" t="str">
        <f ca="1">IFERROR(__xludf.DUMMYFUNCTION("""COMPUTED_VALUE"""),"NO")</f>
        <v>NO</v>
      </c>
      <c r="N58" s="15">
        <f ca="1">IFERROR(__xludf.DUMMYFUNCTION("""COMPUTED_VALUE"""),1)</f>
        <v>1</v>
      </c>
      <c r="O58" s="6" t="str">
        <f ca="1">IFERROR(__xludf.DUMMYFUNCTION("""COMPUTED_VALUE"""),"CONFORT")</f>
        <v>CONFORT</v>
      </c>
      <c r="P58" s="18">
        <f ca="1">IFERROR(__xludf.DUMMYFUNCTION("""COMPUTED_VALUE"""),2180.91)</f>
        <v>2180.91</v>
      </c>
      <c r="Q58" s="6" t="str">
        <f ca="1">IFERROR(__xludf.DUMMYFUNCTION("""COMPUTED_VALUE"""),"Alberto Moreno")</f>
        <v>Alberto Moreno</v>
      </c>
      <c r="R58" s="19" t="str">
        <f ca="1">IFERROR(__xludf.DUMMYFUNCTION("""COMPUTED_VALUE"""),"Ana Quintana Sanjuan")</f>
        <v>Ana Quintana Sanjuan</v>
      </c>
      <c r="S58" s="20" t="str">
        <f ca="1">IFERROR(__xludf.DUMMYFUNCTION("""COMPUTED_VALUE"""),"03 ORL")</f>
        <v>03 ORL</v>
      </c>
      <c r="T58" s="6" t="str">
        <f ca="1">IFERROR(__xludf.DUMMYFUNCTION("""COMPUTED_VALUE"""),"06 ORL")</f>
        <v>06 ORL</v>
      </c>
      <c r="U58" s="21"/>
      <c r="W58" s="21"/>
      <c r="X58" s="21"/>
      <c r="AE58" s="1"/>
      <c r="AG58" s="19"/>
    </row>
    <row r="59" spans="1:36" ht="16">
      <c r="A59" s="6"/>
      <c r="B59" s="14" t="str">
        <f t="shared" ca="1" si="0"/>
        <v>MBM</v>
      </c>
      <c r="C59" s="23" t="str">
        <f ca="1">IFERROR(__xludf.DUMMYFUNCTION("""COMPUTED_VALUE"""),"MBM115")</f>
        <v>MBM115</v>
      </c>
      <c r="D59" s="6" t="str">
        <f ca="1">IFERROR(__xludf.DUMMYFUNCTION("""COMPUTED_VALUE"""),"PARTICIPADOS")</f>
        <v>PARTICIPADOS</v>
      </c>
      <c r="E59" s="6">
        <f ca="1">IFERROR(__xludf.DUMMYFUNCTION("""COMPUTED_VALUE"""),2026)</f>
        <v>2026</v>
      </c>
      <c r="F59" s="15">
        <f ca="1">IFERROR(__xludf.DUMMYFUNCTION("""COMPUTED_VALUE"""),1)</f>
        <v>1</v>
      </c>
      <c r="G59" s="6" t="str">
        <f ca="1">IFERROR(__xludf.DUMMYFUNCTION("""COMPUTED_VALUE"""),"Madrid- La Oca")</f>
        <v>Madrid- La Oca</v>
      </c>
      <c r="H59" s="6" t="str">
        <f ca="1">IFERROR(__xludf.DUMMYFUNCTION("""COMPUTED_VALUE"""),"C20251210112255528")</f>
        <v>C20251210112255528</v>
      </c>
      <c r="I59" s="6" t="str">
        <f ca="1">IFERROR(__xludf.DUMMYFUNCTION("""COMPUTED_VALUE"""),"EMILIO RUIZ-ROSO CASTAÑO")</f>
        <v>EMILIO RUIZ-ROSO CASTAÑO</v>
      </c>
      <c r="J59" s="16">
        <f ca="1">IFERROR(__xludf.DUMMYFUNCTION("""COMPUTED_VALUE"""),45973)</f>
        <v>45973</v>
      </c>
      <c r="K59" s="6" t="str">
        <f ca="1">IFERROR(__xludf.DUMMYFUNCTION("""COMPUTED_VALUE"""),"Factura audífonos")</f>
        <v>Factura audífonos</v>
      </c>
      <c r="L59" s="16">
        <f ca="1">IFERROR(__xludf.DUMMYFUNCTION("""COMPUTED_VALUE"""),46044)</f>
        <v>46044</v>
      </c>
      <c r="M59" s="6" t="str">
        <f ca="1">IFERROR(__xludf.DUMMYFUNCTION("""COMPUTED_VALUE"""),"NO")</f>
        <v>NO</v>
      </c>
      <c r="N59" s="15">
        <f ca="1">IFERROR(__xludf.DUMMYFUNCTION("""COMPUTED_VALUE"""),2)</f>
        <v>2</v>
      </c>
      <c r="O59" s="6" t="str">
        <f ca="1">IFERROR(__xludf.DUMMYFUNCTION("""COMPUTED_VALUE"""),"QUIET")</f>
        <v>QUIET</v>
      </c>
      <c r="P59" s="18">
        <f ca="1">IFERROR(__xludf.DUMMYFUNCTION("""COMPUTED_VALUE"""),2545.45)</f>
        <v>2545.4499999999998</v>
      </c>
      <c r="Q59" s="6" t="str">
        <f ca="1">IFERROR(__xludf.DUMMYFUNCTION("""COMPUTED_VALUE"""),"Maika Blázquez")</f>
        <v>Maika Blázquez</v>
      </c>
      <c r="R59" s="19" t="str">
        <f ca="1">IFERROR(__xludf.DUMMYFUNCTION("""COMPUTED_VALUE"""),"Esther Macon Liquete")</f>
        <v>Esther Macon Liquete</v>
      </c>
      <c r="S59" s="20" t="str">
        <f ca="1">IFERROR(__xludf.DUMMYFUNCTION("""COMPUTED_VALUE"""),"03 ORL")</f>
        <v>03 ORL</v>
      </c>
      <c r="T59" s="6" t="str">
        <f ca="1">IFERROR(__xludf.DUMMYFUNCTION("""COMPUTED_VALUE"""),"06 ORL")</f>
        <v>06 ORL</v>
      </c>
      <c r="U59" s="21"/>
      <c r="W59" s="21"/>
      <c r="X59" s="21"/>
      <c r="AG59" s="19"/>
      <c r="AJ59" s="19"/>
    </row>
    <row r="60" spans="1:36" ht="16">
      <c r="A60" s="6"/>
      <c r="B60" s="14" t="str">
        <f t="shared" si="0"/>
        <v/>
      </c>
      <c r="C60" s="23"/>
      <c r="D60" s="6" t="str">
        <f ca="1">IFERROR(__xludf.DUMMYFUNCTION("""COMPUTED_VALUE"""),"ASOCIADOS")</f>
        <v>ASOCIADOS</v>
      </c>
      <c r="E60" s="6">
        <f ca="1">IFERROR(__xludf.DUMMYFUNCTION("""COMPUTED_VALUE"""),2026)</f>
        <v>2026</v>
      </c>
      <c r="F60" s="15">
        <f ca="1">IFERROR(__xludf.DUMMYFUNCTION("""COMPUTED_VALUE"""),1)</f>
        <v>1</v>
      </c>
      <c r="G60" s="6" t="str">
        <f ca="1">IFERROR(__xludf.DUMMYFUNCTION("""COMPUTED_VALUE"""),"Badajoz")</f>
        <v>Badajoz</v>
      </c>
      <c r="H60" s="6" t="str">
        <f ca="1">IFERROR(__xludf.DUMMYFUNCTION("""COMPUTED_VALUE"""),"BJZE-2540")</f>
        <v>BJZE-2540</v>
      </c>
      <c r="I60" s="6" t="str">
        <f ca="1">IFERROR(__xludf.DUMMYFUNCTION("""COMPUTED_VALUE"""),"MARIA INMACULADA BENAVENTE POZO")</f>
        <v>MARIA INMACULADA BENAVENTE POZO</v>
      </c>
      <c r="J60" s="16">
        <f ca="1">IFERROR(__xludf.DUMMYFUNCTION("""COMPUTED_VALUE"""),45964)</f>
        <v>45964</v>
      </c>
      <c r="K60" s="6" t="str">
        <f ca="1">IFERROR(__xludf.DUMMYFUNCTION("""COMPUTED_VALUE"""),"Factura audífonos")</f>
        <v>Factura audífonos</v>
      </c>
      <c r="L60" s="16">
        <f ca="1">IFERROR(__xludf.DUMMYFUNCTION("""COMPUTED_VALUE"""),46044)</f>
        <v>46044</v>
      </c>
      <c r="M60" s="6" t="str">
        <f ca="1">IFERROR(__xludf.DUMMYFUNCTION("""COMPUTED_VALUE"""),"NO")</f>
        <v>NO</v>
      </c>
      <c r="N60" s="15">
        <f ca="1">IFERROR(__xludf.DUMMYFUNCTION("""COMPUTED_VALUE"""),2)</f>
        <v>2</v>
      </c>
      <c r="O60" s="6" t="str">
        <f ca="1">IFERROR(__xludf.DUMMYFUNCTION("""COMPUTED_VALUE"""),"QUIET")</f>
        <v>QUIET</v>
      </c>
      <c r="P60" s="19">
        <f ca="1">IFERROR(__xludf.DUMMYFUNCTION("""COMPUTED_VALUE"""),3263.64)</f>
        <v>3263.64</v>
      </c>
      <c r="Q60" s="6" t="str">
        <f ca="1">IFERROR(__xludf.DUMMYFUNCTION("""COMPUTED_VALUE"""),"Luis Alberto Rodríguez")</f>
        <v>Luis Alberto Rodríguez</v>
      </c>
      <c r="R60" s="19" t="str">
        <f ca="1">IFERROR(__xludf.DUMMYFUNCTION("""COMPUTED_VALUE"""),"No recuerda ORL")</f>
        <v>No recuerda ORL</v>
      </c>
      <c r="S60" s="20" t="str">
        <f ca="1">IFERROR(__xludf.DUMMYFUNCTION("""COMPUTED_VALUE"""),"03 ORL")</f>
        <v>03 ORL</v>
      </c>
      <c r="T60" s="6" t="str">
        <f ca="1">IFERROR(__xludf.DUMMYFUNCTION("""COMPUTED_VALUE"""),"06 ORL")</f>
        <v>06 ORL</v>
      </c>
      <c r="U60" s="21"/>
      <c r="W60" s="21"/>
      <c r="X60" s="21"/>
      <c r="AG60" s="19"/>
    </row>
    <row r="61" spans="1:36" ht="16">
      <c r="A61" s="6"/>
      <c r="B61" s="14" t="str">
        <f t="shared" ca="1" si="0"/>
        <v>RFV</v>
      </c>
      <c r="C61" s="23" t="str">
        <f ca="1">IFERROR(__xludf.DUMMYFUNCTION("""COMPUTED_VALUE"""),"RFV47")</f>
        <v>RFV47</v>
      </c>
      <c r="D61" s="6" t="str">
        <f ca="1">IFERROR(__xludf.DUMMYFUNCTION("""COMPUTED_VALUE"""),"PROPIOS")</f>
        <v>PROPIOS</v>
      </c>
      <c r="E61" s="6">
        <f ca="1">IFERROR(__xludf.DUMMYFUNCTION("""COMPUTED_VALUE"""),2026)</f>
        <v>2026</v>
      </c>
      <c r="F61" s="15">
        <f ca="1">IFERROR(__xludf.DUMMYFUNCTION("""COMPUTED_VALUE"""),1)</f>
        <v>1</v>
      </c>
      <c r="G61" s="6" t="str">
        <f ca="1">IFERROR(__xludf.DUMMYFUNCTION("""COMPUTED_VALUE"""),"Almería")</f>
        <v>Almería</v>
      </c>
      <c r="H61" s="6" t="str">
        <f ca="1">IFERROR(__xludf.DUMMYFUNCTION("""COMPUTED_VALUE"""),"C202512161837483546")</f>
        <v>C202512161837483546</v>
      </c>
      <c r="I61" s="6" t="str">
        <f ca="1">IFERROR(__xludf.DUMMYFUNCTION("""COMPUTED_VALUE"""),"DIEGO LOPEZ CAYUELA")</f>
        <v>DIEGO LOPEZ CAYUELA</v>
      </c>
      <c r="J61" s="16">
        <f ca="1">IFERROR(__xludf.DUMMYFUNCTION("""COMPUTED_VALUE"""),46007)</f>
        <v>46007</v>
      </c>
      <c r="K61" s="6" t="str">
        <f ca="1">IFERROR(__xludf.DUMMYFUNCTION("""COMPUTED_VALUE"""),"Factura audífonos")</f>
        <v>Factura audífonos</v>
      </c>
      <c r="L61" s="16">
        <f ca="1">IFERROR(__xludf.DUMMYFUNCTION("""COMPUTED_VALUE"""),46044)</f>
        <v>46044</v>
      </c>
      <c r="M61" s="6" t="str">
        <f ca="1">IFERROR(__xludf.DUMMYFUNCTION("""COMPUTED_VALUE"""),"NO")</f>
        <v>NO</v>
      </c>
      <c r="N61" s="15">
        <f ca="1">IFERROR(__xludf.DUMMYFUNCTION("""COMPUTED_VALUE"""),2)</f>
        <v>2</v>
      </c>
      <c r="O61" s="6" t="str">
        <f ca="1">IFERROR(__xludf.DUMMYFUNCTION("""COMPUTED_VALUE"""),"QUIET")</f>
        <v>QUIET</v>
      </c>
      <c r="P61" s="19">
        <f ca="1">IFERROR(__xludf.DUMMYFUNCTION("""COMPUTED_VALUE"""),2718.18)</f>
        <v>2718.18</v>
      </c>
      <c r="Q61" s="6" t="str">
        <f ca="1">IFERROR(__xludf.DUMMYFUNCTION("""COMPUTED_VALUE"""),"Ramon Ferrando")</f>
        <v>Ramon Ferrando</v>
      </c>
      <c r="R61" s="19" t="str">
        <f ca="1">IFERROR(__xludf.DUMMYFUNCTION("""COMPUTED_VALUE"""),"Elisheba Haro Hernández")</f>
        <v>Elisheba Haro Hernández</v>
      </c>
      <c r="S61" s="20" t="str">
        <f ca="1">IFERROR(__xludf.DUMMYFUNCTION("""COMPUTED_VALUE"""),"03 ORL")</f>
        <v>03 ORL</v>
      </c>
      <c r="T61" s="6" t="str">
        <f ca="1">IFERROR(__xludf.DUMMYFUNCTION("""COMPUTED_VALUE"""),"06 ORL")</f>
        <v>06 ORL</v>
      </c>
      <c r="U61" s="21"/>
      <c r="W61" s="21"/>
      <c r="X61" s="21"/>
      <c r="AG61" s="19"/>
      <c r="AJ61" s="19"/>
    </row>
    <row r="62" spans="1:36" ht="16">
      <c r="A62" s="6"/>
      <c r="B62" s="14" t="str">
        <f t="shared" ca="1" si="0"/>
        <v>LRM</v>
      </c>
      <c r="C62" s="23" t="str">
        <f ca="1">IFERROR(__xludf.DUMMYFUNCTION("""COMPUTED_VALUE"""),"LRM253")</f>
        <v>LRM253</v>
      </c>
      <c r="D62" s="6" t="str">
        <f ca="1">IFERROR(__xludf.DUMMYFUNCTION("""COMPUTED_VALUE"""),"ASOCIADOS")</f>
        <v>ASOCIADOS</v>
      </c>
      <c r="E62" s="6">
        <f ca="1">IFERROR(__xludf.DUMMYFUNCTION("""COMPUTED_VALUE"""),2026)</f>
        <v>2026</v>
      </c>
      <c r="F62" s="15">
        <f ca="1">IFERROR(__xludf.DUMMYFUNCTION("""COMPUTED_VALUE"""),1)</f>
        <v>1</v>
      </c>
      <c r="G62" s="6" t="str">
        <f ca="1">IFERROR(__xludf.DUMMYFUNCTION("""COMPUTED_VALUE"""),"Cáceres")</f>
        <v>Cáceres</v>
      </c>
      <c r="H62" s="6" t="str">
        <f ca="1">IFERROR(__xludf.DUMMYFUNCTION("""COMPUTED_VALUE"""),"C202512151640123719")</f>
        <v>C202512151640123719</v>
      </c>
      <c r="I62" s="6" t="str">
        <f ca="1">IFERROR(__xludf.DUMMYFUNCTION("""COMPUTED_VALUE"""),"MARIA DOLORES PIMIENTA ROJAS")</f>
        <v>MARIA DOLORES PIMIENTA ROJAS</v>
      </c>
      <c r="J62" s="16">
        <f ca="1">IFERROR(__xludf.DUMMYFUNCTION("""COMPUTED_VALUE"""),46006)</f>
        <v>46006</v>
      </c>
      <c r="K62" s="6" t="str">
        <f ca="1">IFERROR(__xludf.DUMMYFUNCTION("""COMPUTED_VALUE"""),"Factura audífonos")</f>
        <v>Factura audífonos</v>
      </c>
      <c r="L62" s="16">
        <f ca="1">IFERROR(__xludf.DUMMYFUNCTION("""COMPUTED_VALUE"""),46044)</f>
        <v>46044</v>
      </c>
      <c r="M62" s="6" t="str">
        <f ca="1">IFERROR(__xludf.DUMMYFUNCTION("""COMPUTED_VALUE"""),"NO")</f>
        <v>NO</v>
      </c>
      <c r="N62" s="15">
        <f ca="1">IFERROR(__xludf.DUMMYFUNCTION("""COMPUTED_VALUE"""),2)</f>
        <v>2</v>
      </c>
      <c r="O62" s="6" t="str">
        <f ca="1">IFERROR(__xludf.DUMMYFUNCTION("""COMPUTED_VALUE"""),"ADVANCED")</f>
        <v>ADVANCED</v>
      </c>
      <c r="P62" s="19">
        <f ca="1">IFERROR(__xludf.DUMMYFUNCTION("""COMPUTED_VALUE"""),4227.27)</f>
        <v>4227.2700000000004</v>
      </c>
      <c r="Q62" s="6" t="str">
        <f ca="1">IFERROR(__xludf.DUMMYFUNCTION("""COMPUTED_VALUE"""),"Lisandro Russian")</f>
        <v>Lisandro Russian</v>
      </c>
      <c r="R62" s="19" t="str">
        <f ca="1">IFERROR(__xludf.DUMMYFUNCTION("""COMPUTED_VALUE"""),"Marta García Jiménez")</f>
        <v>Marta García Jiménez</v>
      </c>
      <c r="S62" s="20" t="str">
        <f ca="1">IFERROR(__xludf.DUMMYFUNCTION("""COMPUTED_VALUE"""),"03 ORL")</f>
        <v>03 ORL</v>
      </c>
      <c r="T62" s="6" t="str">
        <f ca="1">IFERROR(__xludf.DUMMYFUNCTION("""COMPUTED_VALUE"""),"06 ORL")</f>
        <v>06 ORL</v>
      </c>
      <c r="U62" s="21"/>
      <c r="W62" s="21"/>
      <c r="X62" s="21"/>
      <c r="AG62" s="19"/>
      <c r="AJ62" s="19"/>
    </row>
    <row r="63" spans="1:36" ht="16">
      <c r="A63" s="6"/>
      <c r="B63" s="14" t="str">
        <f t="shared" ca="1" si="0"/>
        <v>LRM</v>
      </c>
      <c r="C63" s="23" t="str">
        <f ca="1">IFERROR(__xludf.DUMMYFUNCTION("""COMPUTED_VALUE"""),"LRM07")</f>
        <v>LRM07</v>
      </c>
      <c r="D63" s="6" t="str">
        <f ca="1">IFERROR(__xludf.DUMMYFUNCTION("""COMPUTED_VALUE"""),"PROPIOS")</f>
        <v>PROPIOS</v>
      </c>
      <c r="E63" s="6">
        <f ca="1">IFERROR(__xludf.DUMMYFUNCTION("""COMPUTED_VALUE"""),2026)</f>
        <v>2026</v>
      </c>
      <c r="F63" s="15">
        <f ca="1">IFERROR(__xludf.DUMMYFUNCTION("""COMPUTED_VALUE"""),1)</f>
        <v>1</v>
      </c>
      <c r="G63" s="6" t="str">
        <f ca="1">IFERROR(__xludf.DUMMYFUNCTION("""COMPUTED_VALUE"""),"Alcorcón")</f>
        <v>Alcorcón</v>
      </c>
      <c r="H63" s="6" t="str">
        <f ca="1">IFERROR(__xludf.DUMMYFUNCTION("""COMPUTED_VALUE"""),"C202510131556115741")</f>
        <v>C202510131556115741</v>
      </c>
      <c r="I63" s="6" t="str">
        <f ca="1">IFERROR(__xludf.DUMMYFUNCTION("""COMPUTED_VALUE"""),"AMADOR  FRIAS GONZALEZ")</f>
        <v>AMADOR  FRIAS GONZALEZ</v>
      </c>
      <c r="J63" s="16">
        <f ca="1">IFERROR(__xludf.DUMMYFUNCTION("""COMPUTED_VALUE"""),45943)</f>
        <v>45943</v>
      </c>
      <c r="K63" s="6" t="str">
        <f ca="1">IFERROR(__xludf.DUMMYFUNCTION("""COMPUTED_VALUE"""),"Factura audífonos")</f>
        <v>Factura audífonos</v>
      </c>
      <c r="L63" s="16">
        <f ca="1">IFERROR(__xludf.DUMMYFUNCTION("""COMPUTED_VALUE"""),46044)</f>
        <v>46044</v>
      </c>
      <c r="M63" s="6" t="str">
        <f ca="1">IFERROR(__xludf.DUMMYFUNCTION("""COMPUTED_VALUE"""),"NO")</f>
        <v>NO</v>
      </c>
      <c r="N63" s="15">
        <f ca="1">IFERROR(__xludf.DUMMYFUNCTION("""COMPUTED_VALUE"""),2)</f>
        <v>2</v>
      </c>
      <c r="O63" s="6" t="str">
        <f ca="1">IFERROR(__xludf.DUMMYFUNCTION("""COMPUTED_VALUE"""),"QUIET")</f>
        <v>QUIET</v>
      </c>
      <c r="P63" s="18">
        <f ca="1">IFERROR(__xludf.DUMMYFUNCTION("""COMPUTED_VALUE"""),2718.18)</f>
        <v>2718.18</v>
      </c>
      <c r="Q63" s="6" t="str">
        <f ca="1">IFERROR(__xludf.DUMMYFUNCTION("""COMPUTED_VALUE"""),"Lisandro Russian")</f>
        <v>Lisandro Russian</v>
      </c>
      <c r="R63" s="19" t="str">
        <f ca="1">IFERROR(__xludf.DUMMYFUNCTION("""COMPUTED_VALUE"""),"Álvaro Sánchez Álvarez")</f>
        <v>Álvaro Sánchez Álvarez</v>
      </c>
      <c r="S63" s="20" t="str">
        <f ca="1">IFERROR(__xludf.DUMMYFUNCTION("""COMPUTED_VALUE"""),"03 ORL")</f>
        <v>03 ORL</v>
      </c>
      <c r="T63" s="6" t="str">
        <f ca="1">IFERROR(__xludf.DUMMYFUNCTION("""COMPUTED_VALUE"""),"06 ORL")</f>
        <v>06 ORL</v>
      </c>
      <c r="U63" s="21"/>
      <c r="W63" s="21"/>
      <c r="X63" s="21"/>
      <c r="AE63" s="1"/>
      <c r="AG63" s="18"/>
      <c r="AJ63" s="19"/>
    </row>
    <row r="64" spans="1:36" ht="16">
      <c r="A64" s="6"/>
      <c r="B64" s="14" t="str">
        <f t="shared" ca="1" si="0"/>
        <v>LAA</v>
      </c>
      <c r="C64" s="23" t="str">
        <f ca="1">IFERROR(__xludf.DUMMYFUNCTION("""COMPUTED_VALUE"""),"LAA16")</f>
        <v>LAA16</v>
      </c>
      <c r="D64" s="6" t="str">
        <f ca="1">IFERROR(__xludf.DUMMYFUNCTION("""COMPUTED_VALUE"""),"PROPIOS")</f>
        <v>PROPIOS</v>
      </c>
      <c r="E64" s="6">
        <f ca="1">IFERROR(__xludf.DUMMYFUNCTION("""COMPUTED_VALUE"""),2026)</f>
        <v>2026</v>
      </c>
      <c r="F64" s="15">
        <f ca="1">IFERROR(__xludf.DUMMYFUNCTION("""COMPUTED_VALUE"""),1)</f>
        <v>1</v>
      </c>
      <c r="G64" s="6" t="str">
        <f ca="1">IFERROR(__xludf.DUMMYFUNCTION("""COMPUTED_VALUE"""),"Sevilla- Montoto")</f>
        <v>Sevilla- Montoto</v>
      </c>
      <c r="H64" s="6" t="str">
        <f ca="1">IFERROR(__xludf.DUMMYFUNCTION("""COMPUTED_VALUE"""),"C202512111353317097")</f>
        <v>C202512111353317097</v>
      </c>
      <c r="I64" s="6" t="str">
        <f ca="1">IFERROR(__xludf.DUMMYFUNCTION("""COMPUTED_VALUE"""),"CARMEN MANCHA MACIAS")</f>
        <v>CARMEN MANCHA MACIAS</v>
      </c>
      <c r="J64" s="16">
        <f ca="1">IFERROR(__xludf.DUMMYFUNCTION("""COMPUTED_VALUE"""),46002)</f>
        <v>46002</v>
      </c>
      <c r="K64" s="6" t="str">
        <f ca="1">IFERROR(__xludf.DUMMYFUNCTION("""COMPUTED_VALUE"""),"Factura audífonos")</f>
        <v>Factura audífonos</v>
      </c>
      <c r="L64" s="16">
        <f ca="1">IFERROR(__xludf.DUMMYFUNCTION("""COMPUTED_VALUE"""),46044)</f>
        <v>46044</v>
      </c>
      <c r="M64" s="6" t="str">
        <f ca="1">IFERROR(__xludf.DUMMYFUNCTION("""COMPUTED_VALUE"""),"NO")</f>
        <v>NO</v>
      </c>
      <c r="N64" s="15">
        <f ca="1">IFERROR(__xludf.DUMMYFUNCTION("""COMPUTED_VALUE"""),1)</f>
        <v>1</v>
      </c>
      <c r="O64" s="6" t="str">
        <f ca="1">IFERROR(__xludf.DUMMYFUNCTION("""COMPUTED_VALUE"""),"ADVANCED")</f>
        <v>ADVANCED</v>
      </c>
      <c r="P64" s="19">
        <f ca="1">IFERROR(__xludf.DUMMYFUNCTION("""COMPUTED_VALUE"""),2357.73)</f>
        <v>2357.73</v>
      </c>
      <c r="Q64" s="6" t="str">
        <f ca="1">IFERROR(__xludf.DUMMYFUNCTION("""COMPUTED_VALUE"""),"Luis Alberto Rodríguez")</f>
        <v>Luis Alberto Rodríguez</v>
      </c>
      <c r="R64" s="19" t="str">
        <f ca="1">IFERROR(__xludf.DUMMYFUNCTION("""COMPUTED_VALUE"""),"Francisco López Navas")</f>
        <v>Francisco López Navas</v>
      </c>
      <c r="S64" s="20" t="str">
        <f ca="1">IFERROR(__xludf.DUMMYFUNCTION("""COMPUTED_VALUE"""),"03 ORL")</f>
        <v>03 ORL</v>
      </c>
      <c r="T64" s="6" t="str">
        <f ca="1">IFERROR(__xludf.DUMMYFUNCTION("""COMPUTED_VALUE"""),"06 ORL")</f>
        <v>06 ORL</v>
      </c>
      <c r="U64" s="21"/>
      <c r="W64" s="21"/>
      <c r="X64" s="21"/>
      <c r="AG64" s="19"/>
      <c r="AJ64" s="19"/>
    </row>
    <row r="65" spans="1:36" ht="16">
      <c r="A65" s="6"/>
      <c r="B65" s="14" t="str">
        <f t="shared" ca="1" si="0"/>
        <v>ISL</v>
      </c>
      <c r="C65" s="23" t="str">
        <f ca="1">IFERROR(__xludf.DUMMYFUNCTION("""COMPUTED_VALUE"""),"ISL14")</f>
        <v>ISL14</v>
      </c>
      <c r="D65" s="6" t="str">
        <f ca="1">IFERROR(__xludf.DUMMYFUNCTION("""COMPUTED_VALUE"""),"PROPIOS")</f>
        <v>PROPIOS</v>
      </c>
      <c r="E65" s="6">
        <f ca="1">IFERROR(__xludf.DUMMYFUNCTION("""COMPUTED_VALUE"""),2026)</f>
        <v>2026</v>
      </c>
      <c r="F65" s="15">
        <f ca="1">IFERROR(__xludf.DUMMYFUNCTION("""COMPUTED_VALUE"""),1)</f>
        <v>1</v>
      </c>
      <c r="G65" s="6" t="str">
        <f ca="1">IFERROR(__xludf.DUMMYFUNCTION("""COMPUTED_VALUE"""),"Orihuela")</f>
        <v>Orihuela</v>
      </c>
      <c r="H65" s="6" t="str">
        <f ca="1">IFERROR(__xludf.DUMMYFUNCTION("""COMPUTED_VALUE"""),"C202511201113975005")</f>
        <v>C202511201113975005</v>
      </c>
      <c r="I65" s="6" t="str">
        <f ca="1">IFERROR(__xludf.DUMMYFUNCTION("""COMPUTED_VALUE"""),"KAREN GHANDALYAN")</f>
        <v>KAREN GHANDALYAN</v>
      </c>
      <c r="J65" s="16">
        <f ca="1">IFERROR(__xludf.DUMMYFUNCTION("""COMPUTED_VALUE"""),45981)</f>
        <v>45981</v>
      </c>
      <c r="K65" s="6" t="str">
        <f ca="1">IFERROR(__xludf.DUMMYFUNCTION("""COMPUTED_VALUE"""),"Factura audífonos")</f>
        <v>Factura audífonos</v>
      </c>
      <c r="L65" s="16">
        <f ca="1">IFERROR(__xludf.DUMMYFUNCTION("""COMPUTED_VALUE"""),46044)</f>
        <v>46044</v>
      </c>
      <c r="M65" s="6" t="str">
        <f ca="1">IFERROR(__xludf.DUMMYFUNCTION("""COMPUTED_VALUE"""),"NO")</f>
        <v>NO</v>
      </c>
      <c r="N65" s="15">
        <f ca="1">IFERROR(__xludf.DUMMYFUNCTION("""COMPUTED_VALUE"""),1)</f>
        <v>1</v>
      </c>
      <c r="O65" s="6" t="str">
        <f ca="1">IFERROR(__xludf.DUMMYFUNCTION("""COMPUTED_VALUE"""),"ADVANCED")</f>
        <v>ADVANCED</v>
      </c>
      <c r="P65" s="18">
        <f ca="1">IFERROR(__xludf.DUMMYFUNCTION("""COMPUTED_VALUE"""),2481.82)</f>
        <v>2481.8200000000002</v>
      </c>
      <c r="Q65" s="6" t="str">
        <f ca="1">IFERROR(__xludf.DUMMYFUNCTION("""COMPUTED_VALUE"""),"Iván Sánchez")</f>
        <v>Iván Sánchez</v>
      </c>
      <c r="R65" s="19" t="str">
        <f ca="1">IFERROR(__xludf.DUMMYFUNCTION("""COMPUTED_VALUE"""),"Carlos Velásquez Fermín")</f>
        <v>Carlos Velásquez Fermín</v>
      </c>
      <c r="S65" s="20" t="str">
        <f ca="1">IFERROR(__xludf.DUMMYFUNCTION("""COMPUTED_VALUE"""),"03 ORL")</f>
        <v>03 ORL</v>
      </c>
      <c r="T65" s="6" t="str">
        <f ca="1">IFERROR(__xludf.DUMMYFUNCTION("""COMPUTED_VALUE"""),"06 ORL")</f>
        <v>06 ORL</v>
      </c>
      <c r="U65" s="21"/>
      <c r="W65" s="21"/>
      <c r="X65" s="21"/>
      <c r="AE65" s="1"/>
      <c r="AG65" s="19"/>
    </row>
    <row r="66" spans="1:36" ht="16">
      <c r="A66" s="6"/>
      <c r="B66" s="14" t="str">
        <f t="shared" ca="1" si="0"/>
        <v>MBM</v>
      </c>
      <c r="C66" s="23" t="str">
        <f ca="1">IFERROR(__xludf.DUMMYFUNCTION("""COMPUTED_VALUE"""),"MBM184")</f>
        <v>MBM184</v>
      </c>
      <c r="D66" s="6" t="str">
        <f ca="1">IFERROR(__xludf.DUMMYFUNCTION("""COMPUTED_VALUE"""),"PROPIOS")</f>
        <v>PROPIOS</v>
      </c>
      <c r="E66" s="6">
        <f ca="1">IFERROR(__xludf.DUMMYFUNCTION("""COMPUTED_VALUE"""),2026)</f>
        <v>2026</v>
      </c>
      <c r="F66" s="15">
        <f ca="1">IFERROR(__xludf.DUMMYFUNCTION("""COMPUTED_VALUE"""),1)</f>
        <v>1</v>
      </c>
      <c r="G66" s="6" t="str">
        <f ca="1">IFERROR(__xludf.DUMMYFUNCTION("""COMPUTED_VALUE"""),"Madrid- Monforte de Lemos")</f>
        <v>Madrid- Monforte de Lemos</v>
      </c>
      <c r="H66" s="6" t="str">
        <f ca="1">IFERROR(__xludf.DUMMYFUNCTION("""COMPUTED_VALUE"""),"C202512159363301430")</f>
        <v>C202512159363301430</v>
      </c>
      <c r="I66" s="6" t="str">
        <f ca="1">IFERROR(__xludf.DUMMYFUNCTION("""COMPUTED_VALUE"""),"MARIA SAGRARIO  TARANCON DE DIEGO")</f>
        <v>MARIA SAGRARIO  TARANCON DE DIEGO</v>
      </c>
      <c r="J66" s="16">
        <f ca="1">IFERROR(__xludf.DUMMYFUNCTION("""COMPUTED_VALUE"""),46006)</f>
        <v>46006</v>
      </c>
      <c r="K66" s="6" t="str">
        <f ca="1">IFERROR(__xludf.DUMMYFUNCTION("""COMPUTED_VALUE"""),"Factura audífonos")</f>
        <v>Factura audífonos</v>
      </c>
      <c r="L66" s="16">
        <f ca="1">IFERROR(__xludf.DUMMYFUNCTION("""COMPUTED_VALUE"""),46044)</f>
        <v>46044</v>
      </c>
      <c r="M66" s="6" t="str">
        <f ca="1">IFERROR(__xludf.DUMMYFUNCTION("""COMPUTED_VALUE"""),"NO")</f>
        <v>NO</v>
      </c>
      <c r="N66" s="15">
        <f ca="1">IFERROR(__xludf.DUMMYFUNCTION("""COMPUTED_VALUE"""),1)</f>
        <v>1</v>
      </c>
      <c r="O66" s="6" t="str">
        <f ca="1">IFERROR(__xludf.DUMMYFUNCTION("""COMPUTED_VALUE"""),"CONFORT")</f>
        <v>CONFORT</v>
      </c>
      <c r="P66" s="19">
        <f ca="1">IFERROR(__xludf.DUMMYFUNCTION("""COMPUTED_VALUE"""),2180.91)</f>
        <v>2180.91</v>
      </c>
      <c r="Q66" s="6" t="str">
        <f ca="1">IFERROR(__xludf.DUMMYFUNCTION("""COMPUTED_VALUE"""),"Maika Blázquez")</f>
        <v>Maika Blázquez</v>
      </c>
      <c r="R66" s="19" t="str">
        <f ca="1">IFERROR(__xludf.DUMMYFUNCTION("""COMPUTED_VALUE"""),"Victoria García Peces")</f>
        <v>Victoria García Peces</v>
      </c>
      <c r="S66" s="20" t="str">
        <f ca="1">IFERROR(__xludf.DUMMYFUNCTION("""COMPUTED_VALUE"""),"03 ORL")</f>
        <v>03 ORL</v>
      </c>
      <c r="T66" s="6" t="str">
        <f ca="1">IFERROR(__xludf.DUMMYFUNCTION("""COMPUTED_VALUE"""),"06 ORL")</f>
        <v>06 ORL</v>
      </c>
      <c r="U66" s="21"/>
      <c r="W66" s="21"/>
      <c r="X66" s="21"/>
      <c r="AG66" s="19"/>
      <c r="AJ66" s="19"/>
    </row>
    <row r="67" spans="1:36" ht="16">
      <c r="A67" s="6"/>
      <c r="B67" s="14" t="str">
        <f t="shared" ca="1" si="0"/>
        <v>ISL</v>
      </c>
      <c r="C67" s="23" t="str">
        <f ca="1">IFERROR(__xludf.DUMMYFUNCTION("""COMPUTED_VALUE"""),"ISL113")</f>
        <v>ISL113</v>
      </c>
      <c r="D67" s="6" t="str">
        <f ca="1">IFERROR(__xludf.DUMMYFUNCTION("""COMPUTED_VALUE"""),"PROPIOS")</f>
        <v>PROPIOS</v>
      </c>
      <c r="E67" s="6">
        <f ca="1">IFERROR(__xludf.DUMMYFUNCTION("""COMPUTED_VALUE"""),2026)</f>
        <v>2026</v>
      </c>
      <c r="F67" s="15">
        <f ca="1">IFERROR(__xludf.DUMMYFUNCTION("""COMPUTED_VALUE"""),1)</f>
        <v>1</v>
      </c>
      <c r="G67" s="6" t="str">
        <f ca="1">IFERROR(__xludf.DUMMYFUNCTION("""COMPUTED_VALUE"""),"Alicante")</f>
        <v>Alicante</v>
      </c>
      <c r="H67" s="6" t="str">
        <f ca="1">IFERROR(__xludf.DUMMYFUNCTION("""COMPUTED_VALUE"""),"C202512221119249267")</f>
        <v>C202512221119249267</v>
      </c>
      <c r="I67" s="6" t="str">
        <f ca="1">IFERROR(__xludf.DUMMYFUNCTION("""COMPUTED_VALUE"""),"ANTONIA LOPEZ NIETO")</f>
        <v>ANTONIA LOPEZ NIETO</v>
      </c>
      <c r="J67" s="16">
        <f ca="1">IFERROR(__xludf.DUMMYFUNCTION("""COMPUTED_VALUE"""),46013)</f>
        <v>46013</v>
      </c>
      <c r="K67" s="6" t="str">
        <f ca="1">IFERROR(__xludf.DUMMYFUNCTION("""COMPUTED_VALUE"""),"Factura audífonos")</f>
        <v>Factura audífonos</v>
      </c>
      <c r="L67" s="16">
        <f ca="1">IFERROR(__xludf.DUMMYFUNCTION("""COMPUTED_VALUE"""),46044)</f>
        <v>46044</v>
      </c>
      <c r="M67" s="6" t="str">
        <f ca="1">IFERROR(__xludf.DUMMYFUNCTION("""COMPUTED_VALUE"""),"NO")</f>
        <v>NO</v>
      </c>
      <c r="N67" s="15">
        <f ca="1">IFERROR(__xludf.DUMMYFUNCTION("""COMPUTED_VALUE"""),1)</f>
        <v>1</v>
      </c>
      <c r="O67" s="6" t="str">
        <f ca="1">IFERROR(__xludf.DUMMYFUNCTION("""COMPUTED_VALUE"""),"CONFORT")</f>
        <v>CONFORT</v>
      </c>
      <c r="P67" s="18">
        <f ca="1">IFERROR(__xludf.DUMMYFUNCTION("""COMPUTED_VALUE"""),2180.91)</f>
        <v>2180.91</v>
      </c>
      <c r="Q67" s="6" t="str">
        <f ca="1">IFERROR(__xludf.DUMMYFUNCTION("""COMPUTED_VALUE"""),"Iván Sánchez")</f>
        <v>Iván Sánchez</v>
      </c>
      <c r="R67" s="19" t="str">
        <f ca="1">IFERROR(__xludf.DUMMYFUNCTION("""COMPUTED_VALUE"""),"Luisa Payá Pérez")</f>
        <v>Luisa Payá Pérez</v>
      </c>
      <c r="S67" s="20" t="str">
        <f ca="1">IFERROR(__xludf.DUMMYFUNCTION("""COMPUTED_VALUE"""),"03 ORL")</f>
        <v>03 ORL</v>
      </c>
      <c r="T67" s="6" t="str">
        <f ca="1">IFERROR(__xludf.DUMMYFUNCTION("""COMPUTED_VALUE"""),"06 ORL")</f>
        <v>06 ORL</v>
      </c>
      <c r="U67" s="21"/>
      <c r="W67" s="21"/>
      <c r="X67" s="21"/>
      <c r="AG67" s="18"/>
      <c r="AJ67" s="19"/>
    </row>
    <row r="68" spans="1:36" ht="16">
      <c r="A68" s="6"/>
      <c r="B68" s="14" t="str">
        <f t="shared" ca="1" si="0"/>
        <v>ISL</v>
      </c>
      <c r="C68" s="23" t="str">
        <f ca="1">IFERROR(__xludf.DUMMYFUNCTION("""COMPUTED_VALUE"""),"ISL65")</f>
        <v>ISL65</v>
      </c>
      <c r="D68" s="6" t="str">
        <f ca="1">IFERROR(__xludf.DUMMYFUNCTION("""COMPUTED_VALUE"""),"PROPIOS")</f>
        <v>PROPIOS</v>
      </c>
      <c r="E68" s="6">
        <f ca="1">IFERROR(__xludf.DUMMYFUNCTION("""COMPUTED_VALUE"""),2026)</f>
        <v>2026</v>
      </c>
      <c r="F68" s="15">
        <f ca="1">IFERROR(__xludf.DUMMYFUNCTION("""COMPUTED_VALUE"""),1)</f>
        <v>1</v>
      </c>
      <c r="G68" s="6" t="str">
        <f ca="1">IFERROR(__xludf.DUMMYFUNCTION("""COMPUTED_VALUE"""),"Albacete")</f>
        <v>Albacete</v>
      </c>
      <c r="H68" s="6" t="str">
        <f ca="1">IFERROR(__xludf.DUMMYFUNCTION("""COMPUTED_VALUE"""),"C202511271222372314")</f>
        <v>C202511271222372314</v>
      </c>
      <c r="I68" s="6" t="str">
        <f ca="1">IFERROR(__xludf.DUMMYFUNCTION("""COMPUTED_VALUE"""),"JOSE PLAZA BLAZQUEZ")</f>
        <v>JOSE PLAZA BLAZQUEZ</v>
      </c>
      <c r="J68" s="16">
        <f ca="1">IFERROR(__xludf.DUMMYFUNCTION("""COMPUTED_VALUE"""),45988)</f>
        <v>45988</v>
      </c>
      <c r="K68" s="6" t="str">
        <f ca="1">IFERROR(__xludf.DUMMYFUNCTION("""COMPUTED_VALUE"""),"Factura audífonos")</f>
        <v>Factura audífonos</v>
      </c>
      <c r="L68" s="16">
        <f ca="1">IFERROR(__xludf.DUMMYFUNCTION("""COMPUTED_VALUE"""),46045)</f>
        <v>46045</v>
      </c>
      <c r="M68" s="6" t="str">
        <f ca="1">IFERROR(__xludf.DUMMYFUNCTION("""COMPUTED_VALUE"""),"NO")</f>
        <v>NO</v>
      </c>
      <c r="N68" s="15">
        <f ca="1">IFERROR(__xludf.DUMMYFUNCTION("""COMPUTED_VALUE"""),1)</f>
        <v>1</v>
      </c>
      <c r="O68" s="6" t="str">
        <f ca="1">IFERROR(__xludf.DUMMYFUNCTION("""COMPUTED_VALUE"""),"ADVANCED")</f>
        <v>ADVANCED</v>
      </c>
      <c r="P68" s="18">
        <f ca="1">IFERROR(__xludf.DUMMYFUNCTION("""COMPUTED_VALUE"""),2372.73)</f>
        <v>2372.73</v>
      </c>
      <c r="Q68" s="6" t="str">
        <f ca="1">IFERROR(__xludf.DUMMYFUNCTION("""COMPUTED_VALUE"""),"Iván Sánchez")</f>
        <v>Iván Sánchez</v>
      </c>
      <c r="R68" s="19" t="str">
        <f ca="1">IFERROR(__xludf.DUMMYFUNCTION("""COMPUTED_VALUE"""),"Manuel García López")</f>
        <v>Manuel García López</v>
      </c>
      <c r="S68" s="20" t="str">
        <f ca="1">IFERROR(__xludf.DUMMYFUNCTION("""COMPUTED_VALUE"""),"03 ORL")</f>
        <v>03 ORL</v>
      </c>
      <c r="T68" s="6" t="str">
        <f ca="1">IFERROR(__xludf.DUMMYFUNCTION("""COMPUTED_VALUE"""),"22 AUDIOMETRIA CLINICA")</f>
        <v>22 AUDIOMETRIA CLINICA</v>
      </c>
      <c r="U68" s="21"/>
      <c r="W68" s="21"/>
      <c r="X68" s="21"/>
      <c r="AG68" s="18"/>
      <c r="AJ68" s="19"/>
    </row>
    <row r="69" spans="1:36" ht="16">
      <c r="A69" s="6"/>
      <c r="B69" s="14" t="str">
        <f t="shared" ca="1" si="0"/>
        <v>RFV</v>
      </c>
      <c r="C69" s="23" t="str">
        <f ca="1">IFERROR(__xludf.DUMMYFUNCTION("""COMPUTED_VALUE"""),"RFV38")</f>
        <v>RFV38</v>
      </c>
      <c r="D69" s="6" t="str">
        <f ca="1">IFERROR(__xludf.DUMMYFUNCTION("""COMPUTED_VALUE"""),"PROPIOS")</f>
        <v>PROPIOS</v>
      </c>
      <c r="E69" s="6">
        <f ca="1">IFERROR(__xludf.DUMMYFUNCTION("""COMPUTED_VALUE"""),2026)</f>
        <v>2026</v>
      </c>
      <c r="F69" s="15">
        <f ca="1">IFERROR(__xludf.DUMMYFUNCTION("""COMPUTED_VALUE"""),1)</f>
        <v>1</v>
      </c>
      <c r="G69" s="6" t="str">
        <f ca="1">IFERROR(__xludf.DUMMYFUNCTION("""COMPUTED_VALUE"""),"El Albir (Benidorm)")</f>
        <v>El Albir (Benidorm)</v>
      </c>
      <c r="H69" s="6" t="str">
        <f ca="1">IFERROR(__xludf.DUMMYFUNCTION("""COMPUTED_VALUE"""),"C202512183015487201")</f>
        <v>C202512183015487201</v>
      </c>
      <c r="I69" s="6" t="str">
        <f ca="1">IFERROR(__xludf.DUMMYFUNCTION("""COMPUTED_VALUE"""),"BERNABE  SANCHIS SANZ")</f>
        <v>BERNABE  SANCHIS SANZ</v>
      </c>
      <c r="J69" s="16">
        <f ca="1">IFERROR(__xludf.DUMMYFUNCTION("""COMPUTED_VALUE"""),45992)</f>
        <v>45992</v>
      </c>
      <c r="K69" s="6" t="str">
        <f ca="1">IFERROR(__xludf.DUMMYFUNCTION("""COMPUTED_VALUE"""),"Factura audífonos")</f>
        <v>Factura audífonos</v>
      </c>
      <c r="L69" s="16">
        <f ca="1">IFERROR(__xludf.DUMMYFUNCTION("""COMPUTED_VALUE"""),46045)</f>
        <v>46045</v>
      </c>
      <c r="M69" s="6" t="str">
        <f ca="1">IFERROR(__xludf.DUMMYFUNCTION("""COMPUTED_VALUE"""),"NO")</f>
        <v>NO</v>
      </c>
      <c r="N69" s="15">
        <f ca="1">IFERROR(__xludf.DUMMYFUNCTION("""COMPUTED_VALUE"""),2)</f>
        <v>2</v>
      </c>
      <c r="O69" s="6" t="str">
        <f ca="1">IFERROR(__xludf.DUMMYFUNCTION("""COMPUTED_VALUE"""),"CONFORT")</f>
        <v>CONFORT</v>
      </c>
      <c r="P69" s="18">
        <f ca="1">IFERROR(__xludf.DUMMYFUNCTION("""COMPUTED_VALUE"""),3631.82)</f>
        <v>3631.82</v>
      </c>
      <c r="Q69" s="6" t="str">
        <f ca="1">IFERROR(__xludf.DUMMYFUNCTION("""COMPUTED_VALUE"""),"Ramon Ferrando")</f>
        <v>Ramon Ferrando</v>
      </c>
      <c r="R69" s="19" t="str">
        <f ca="1">IFERROR(__xludf.DUMMYFUNCTION("""COMPUTED_VALUE"""),"María Emilia García Ruiz")</f>
        <v>María Emilia García Ruiz</v>
      </c>
      <c r="S69" s="20" t="str">
        <f ca="1">IFERROR(__xludf.DUMMYFUNCTION("""COMPUTED_VALUE"""),"03 ORL")</f>
        <v>03 ORL</v>
      </c>
      <c r="T69" s="6" t="str">
        <f ca="1">IFERROR(__xludf.DUMMYFUNCTION("""COMPUTED_VALUE"""),"06 ORL")</f>
        <v>06 ORL</v>
      </c>
      <c r="U69" s="21"/>
      <c r="W69" s="21"/>
      <c r="X69" s="21"/>
      <c r="AG69" s="18"/>
    </row>
    <row r="70" spans="1:36" ht="16">
      <c r="A70" s="6"/>
      <c r="B70" s="14" t="str">
        <f t="shared" ca="1" si="0"/>
        <v>RFV</v>
      </c>
      <c r="C70" s="23" t="str">
        <f ca="1">IFERROR(__xludf.DUMMYFUNCTION("""COMPUTED_VALUE"""),"RFV49")</f>
        <v>RFV49</v>
      </c>
      <c r="D70" s="6" t="str">
        <f ca="1">IFERROR(__xludf.DUMMYFUNCTION("""COMPUTED_VALUE"""),"PROPIOS")</f>
        <v>PROPIOS</v>
      </c>
      <c r="E70" s="6">
        <f ca="1">IFERROR(__xludf.DUMMYFUNCTION("""COMPUTED_VALUE"""),2026)</f>
        <v>2026</v>
      </c>
      <c r="F70" s="15">
        <f ca="1">IFERROR(__xludf.DUMMYFUNCTION("""COMPUTED_VALUE"""),1)</f>
        <v>1</v>
      </c>
      <c r="G70" s="6" t="str">
        <f ca="1">IFERROR(__xludf.DUMMYFUNCTION("""COMPUTED_VALUE"""),"Valencia- Parra")</f>
        <v>Valencia- Parra</v>
      </c>
      <c r="H70" s="6" t="str">
        <f ca="1">IFERROR(__xludf.DUMMYFUNCTION("""COMPUTED_VALUE"""),"C202511251235490541")</f>
        <v>C202511251235490541</v>
      </c>
      <c r="I70" s="6" t="str">
        <f ca="1">IFERROR(__xludf.DUMMYFUNCTION("""COMPUTED_VALUE"""),"CRISTOBAL SOBREVELA LOPEZ")</f>
        <v>CRISTOBAL SOBREVELA LOPEZ</v>
      </c>
      <c r="J70" s="16">
        <f ca="1">IFERROR(__xludf.DUMMYFUNCTION("""COMPUTED_VALUE"""),45986)</f>
        <v>45986</v>
      </c>
      <c r="K70" s="6" t="str">
        <f ca="1">IFERROR(__xludf.DUMMYFUNCTION("""COMPUTED_VALUE"""),"Factura audífonos")</f>
        <v>Factura audífonos</v>
      </c>
      <c r="L70" s="16">
        <f ca="1">IFERROR(__xludf.DUMMYFUNCTION("""COMPUTED_VALUE"""),46045)</f>
        <v>46045</v>
      </c>
      <c r="M70" s="6" t="str">
        <f ca="1">IFERROR(__xludf.DUMMYFUNCTION("""COMPUTED_VALUE"""),"NO")</f>
        <v>NO</v>
      </c>
      <c r="N70" s="15">
        <f ca="1">IFERROR(__xludf.DUMMYFUNCTION("""COMPUTED_VALUE"""),2)</f>
        <v>2</v>
      </c>
      <c r="O70" s="6" t="str">
        <f ca="1">IFERROR(__xludf.DUMMYFUNCTION("""COMPUTED_VALUE"""),"CONFORT")</f>
        <v>CONFORT</v>
      </c>
      <c r="P70" s="19">
        <f ca="1">IFERROR(__xludf.DUMMYFUNCTION("""COMPUTED_VALUE"""),3631.82)</f>
        <v>3631.82</v>
      </c>
      <c r="Q70" s="6" t="str">
        <f ca="1">IFERROR(__xludf.DUMMYFUNCTION("""COMPUTED_VALUE"""),"Ramon Ferrando")</f>
        <v>Ramon Ferrando</v>
      </c>
      <c r="R70" s="19" t="str">
        <f ca="1">IFERROR(__xludf.DUMMYFUNCTION("""COMPUTED_VALUE"""),"Vladimir Rubio Segarra")</f>
        <v>Vladimir Rubio Segarra</v>
      </c>
      <c r="S70" s="20" t="str">
        <f ca="1">IFERROR(__xludf.DUMMYFUNCTION("""COMPUTED_VALUE"""),"03 ORL")</f>
        <v>03 ORL</v>
      </c>
      <c r="T70" s="6" t="str">
        <f ca="1">IFERROR(__xludf.DUMMYFUNCTION("""COMPUTED_VALUE"""),"06 ORL")</f>
        <v>06 ORL</v>
      </c>
      <c r="U70" s="21"/>
      <c r="W70" s="21"/>
      <c r="X70" s="21"/>
      <c r="AG70" s="19"/>
      <c r="AJ70" s="19"/>
    </row>
    <row r="71" spans="1:36" ht="16">
      <c r="A71" s="6"/>
      <c r="B71" s="14" t="str">
        <f t="shared" ca="1" si="0"/>
        <v>RFV</v>
      </c>
      <c r="C71" s="23" t="str">
        <f ca="1">IFERROR(__xludf.DUMMYFUNCTION("""COMPUTED_VALUE"""),"RFV39")</f>
        <v>RFV39</v>
      </c>
      <c r="D71" s="6" t="str">
        <f ca="1">IFERROR(__xludf.DUMMYFUNCTION("""COMPUTED_VALUE"""),"PROPIOS")</f>
        <v>PROPIOS</v>
      </c>
      <c r="E71" s="6">
        <f ca="1">IFERROR(__xludf.DUMMYFUNCTION("""COMPUTED_VALUE"""),2026)</f>
        <v>2026</v>
      </c>
      <c r="F71" s="15">
        <f ca="1">IFERROR(__xludf.DUMMYFUNCTION("""COMPUTED_VALUE"""),1)</f>
        <v>1</v>
      </c>
      <c r="G71" s="6" t="str">
        <f ca="1">IFERROR(__xludf.DUMMYFUNCTION("""COMPUTED_VALUE"""),"Valencia- Parra")</f>
        <v>Valencia- Parra</v>
      </c>
      <c r="H71" s="6" t="str">
        <f ca="1">IFERROR(__xludf.DUMMYFUNCTION("""COMPUTED_VALUE"""),"C202510201139577779")</f>
        <v>C202510201139577779</v>
      </c>
      <c r="I71" s="6" t="str">
        <f ca="1">IFERROR(__xludf.DUMMYFUNCTION("""COMPUTED_VALUE"""),"MARCOS JUSTO ROMAGUERA")</f>
        <v>MARCOS JUSTO ROMAGUERA</v>
      </c>
      <c r="J71" s="16">
        <f ca="1">IFERROR(__xludf.DUMMYFUNCTION("""COMPUTED_VALUE"""),45950)</f>
        <v>45950</v>
      </c>
      <c r="K71" s="6" t="str">
        <f ca="1">IFERROR(__xludf.DUMMYFUNCTION("""COMPUTED_VALUE"""),"Factura audífonos")</f>
        <v>Factura audífonos</v>
      </c>
      <c r="L71" s="16">
        <f ca="1">IFERROR(__xludf.DUMMYFUNCTION("""COMPUTED_VALUE"""),46045)</f>
        <v>46045</v>
      </c>
      <c r="M71" s="6" t="str">
        <f ca="1">IFERROR(__xludf.DUMMYFUNCTION("""COMPUTED_VALUE"""),"NO")</f>
        <v>NO</v>
      </c>
      <c r="N71" s="15">
        <f ca="1">IFERROR(__xludf.DUMMYFUNCTION("""COMPUTED_VALUE"""),1)</f>
        <v>1</v>
      </c>
      <c r="O71" s="6" t="str">
        <f ca="1">IFERROR(__xludf.DUMMYFUNCTION("""COMPUTED_VALUE"""),"CONFORT")</f>
        <v>CONFORT</v>
      </c>
      <c r="P71" s="19">
        <f ca="1">IFERROR(__xludf.DUMMYFUNCTION("""COMPUTED_VALUE"""),2162.73)</f>
        <v>2162.73</v>
      </c>
      <c r="Q71" s="6" t="str">
        <f ca="1">IFERROR(__xludf.DUMMYFUNCTION("""COMPUTED_VALUE"""),"Ramon Ferrando")</f>
        <v>Ramon Ferrando</v>
      </c>
      <c r="R71" s="19" t="str">
        <f ca="1">IFERROR(__xludf.DUMMYFUNCTION("""COMPUTED_VALUE"""),"Carlos de Paula Vernetta")</f>
        <v>Carlos de Paula Vernetta</v>
      </c>
      <c r="S71" s="20" t="str">
        <f ca="1">IFERROR(__xludf.DUMMYFUNCTION("""COMPUTED_VALUE"""),"03 ORL")</f>
        <v>03 ORL</v>
      </c>
      <c r="T71" s="6" t="str">
        <f ca="1">IFERROR(__xludf.DUMMYFUNCTION("""COMPUTED_VALUE"""),"06 ORL")</f>
        <v>06 ORL</v>
      </c>
      <c r="U71" s="21"/>
      <c r="W71" s="21"/>
      <c r="X71" s="21"/>
      <c r="AG71" s="19"/>
      <c r="AJ71" s="19"/>
    </row>
    <row r="72" spans="1:36" ht="16">
      <c r="A72" s="6"/>
      <c r="B72" s="14" t="str">
        <f t="shared" ca="1" si="0"/>
        <v>LRM</v>
      </c>
      <c r="C72" s="23" t="str">
        <f ca="1">IFERROR(__xludf.DUMMYFUNCTION("""COMPUTED_VALUE"""),"LRM240")</f>
        <v>LRM240</v>
      </c>
      <c r="D72" s="6" t="str">
        <f ca="1">IFERROR(__xludf.DUMMYFUNCTION("""COMPUTED_VALUE"""),"ASOCIADOS")</f>
        <v>ASOCIADOS</v>
      </c>
      <c r="E72" s="6">
        <f ca="1">IFERROR(__xludf.DUMMYFUNCTION("""COMPUTED_VALUE"""),2026)</f>
        <v>2026</v>
      </c>
      <c r="F72" s="15">
        <f ca="1">IFERROR(__xludf.DUMMYFUNCTION("""COMPUTED_VALUE"""),1)</f>
        <v>1</v>
      </c>
      <c r="G72" s="6" t="str">
        <f ca="1">IFERROR(__xludf.DUMMYFUNCTION("""COMPUTED_VALUE"""),"Cáceres")</f>
        <v>Cáceres</v>
      </c>
      <c r="H72" s="6" t="str">
        <f ca="1">IFERROR(__xludf.DUMMYFUNCTION("""COMPUTED_VALUE"""),"C202512231713186578")</f>
        <v>C202512231713186578</v>
      </c>
      <c r="I72" s="6" t="str">
        <f ca="1">IFERROR(__xludf.DUMMYFUNCTION("""COMPUTED_VALUE"""),"DAMIAN DIAZ DOMINGUEZ")</f>
        <v>DAMIAN DIAZ DOMINGUEZ</v>
      </c>
      <c r="J72" s="16">
        <f ca="1">IFERROR(__xludf.DUMMYFUNCTION("""COMPUTED_VALUE"""),46014)</f>
        <v>46014</v>
      </c>
      <c r="K72" s="6" t="str">
        <f ca="1">IFERROR(__xludf.DUMMYFUNCTION("""COMPUTED_VALUE"""),"Factura audífonos")</f>
        <v>Factura audífonos</v>
      </c>
      <c r="L72" s="16">
        <f ca="1">IFERROR(__xludf.DUMMYFUNCTION("""COMPUTED_VALUE"""),46045)</f>
        <v>46045</v>
      </c>
      <c r="M72" s="6" t="str">
        <f ca="1">IFERROR(__xludf.DUMMYFUNCTION("""COMPUTED_VALUE"""),"NO")</f>
        <v>NO</v>
      </c>
      <c r="N72" s="15">
        <f ca="1">IFERROR(__xludf.DUMMYFUNCTION("""COMPUTED_VALUE"""),2)</f>
        <v>2</v>
      </c>
      <c r="O72" s="6" t="str">
        <f ca="1">IFERROR(__xludf.DUMMYFUNCTION("""COMPUTED_VALUE"""),"ADVANCED")</f>
        <v>ADVANCED</v>
      </c>
      <c r="P72" s="18">
        <f ca="1">IFERROR(__xludf.DUMMYFUNCTION("""COMPUTED_VALUE"""),4500)</f>
        <v>4500</v>
      </c>
      <c r="Q72" s="6" t="str">
        <f ca="1">IFERROR(__xludf.DUMMYFUNCTION("""COMPUTED_VALUE"""),"Lisandro Russian")</f>
        <v>Lisandro Russian</v>
      </c>
      <c r="R72" s="19" t="str">
        <f ca="1">IFERROR(__xludf.DUMMYFUNCTION("""COMPUTED_VALUE"""),"Andrés Paulino Herrera")</f>
        <v>Andrés Paulino Herrera</v>
      </c>
      <c r="S72" s="20" t="str">
        <f ca="1">IFERROR(__xludf.DUMMYFUNCTION("""COMPUTED_VALUE"""),"03 ORL")</f>
        <v>03 ORL</v>
      </c>
      <c r="T72" s="6" t="str">
        <f ca="1">IFERROR(__xludf.DUMMYFUNCTION("""COMPUTED_VALUE"""),"06 ORL")</f>
        <v>06 ORL</v>
      </c>
      <c r="U72" s="21"/>
      <c r="W72" s="21"/>
      <c r="X72" s="21"/>
      <c r="AG72" s="18"/>
      <c r="AJ72" s="19"/>
    </row>
    <row r="73" spans="1:36" ht="16">
      <c r="A73" s="6"/>
      <c r="B73" s="14" t="str">
        <f t="shared" ca="1" si="0"/>
        <v>LRM</v>
      </c>
      <c r="C73" s="23" t="str">
        <f ca="1">IFERROR(__xludf.DUMMYFUNCTION("""COMPUTED_VALUE"""),"LRM114")</f>
        <v>LRM114</v>
      </c>
      <c r="D73" s="6" t="str">
        <f ca="1">IFERROR(__xludf.DUMMYFUNCTION("""COMPUTED_VALUE"""),"ASOCIADOS")</f>
        <v>ASOCIADOS</v>
      </c>
      <c r="E73" s="6">
        <f ca="1">IFERROR(__xludf.DUMMYFUNCTION("""COMPUTED_VALUE"""),2026)</f>
        <v>2026</v>
      </c>
      <c r="F73" s="15">
        <f ca="1">IFERROR(__xludf.DUMMYFUNCTION("""COMPUTED_VALUE"""),1)</f>
        <v>1</v>
      </c>
      <c r="G73" s="6" t="str">
        <f ca="1">IFERROR(__xludf.DUMMYFUNCTION("""COMPUTED_VALUE"""),"Zaragoza- León XIII")</f>
        <v>Zaragoza- León XIII</v>
      </c>
      <c r="H73" s="6" t="str">
        <f ca="1">IFERROR(__xludf.DUMMYFUNCTION("""COMPUTED_VALUE"""),"C202512121148341527")</f>
        <v>C202512121148341527</v>
      </c>
      <c r="I73" s="6" t="str">
        <f ca="1">IFERROR(__xludf.DUMMYFUNCTION("""COMPUTED_VALUE"""),"MARIA MERCEDES LÓPEZ CANTOS")</f>
        <v>MARIA MERCEDES LÓPEZ CANTOS</v>
      </c>
      <c r="J73" s="16">
        <f ca="1">IFERROR(__xludf.DUMMYFUNCTION("""COMPUTED_VALUE"""),46003)</f>
        <v>46003</v>
      </c>
      <c r="K73" s="6" t="str">
        <f ca="1">IFERROR(__xludf.DUMMYFUNCTION("""COMPUTED_VALUE"""),"Factura audífonos")</f>
        <v>Factura audífonos</v>
      </c>
      <c r="L73" s="16">
        <f ca="1">IFERROR(__xludf.DUMMYFUNCTION("""COMPUTED_VALUE"""),46046)</f>
        <v>46046</v>
      </c>
      <c r="M73" s="6" t="str">
        <f ca="1">IFERROR(__xludf.DUMMYFUNCTION("""COMPUTED_VALUE"""),"NO")</f>
        <v>NO</v>
      </c>
      <c r="N73" s="15">
        <f ca="1">IFERROR(__xludf.DUMMYFUNCTION("""COMPUTED_VALUE"""),2)</f>
        <v>2</v>
      </c>
      <c r="O73" s="6" t="str">
        <f ca="1">IFERROR(__xludf.DUMMYFUNCTION("""COMPUTED_VALUE"""),"CONFORT")</f>
        <v>CONFORT</v>
      </c>
      <c r="P73" s="19">
        <f ca="1">IFERROR(__xludf.DUMMYFUNCTION("""COMPUTED_VALUE"""),3365.38)</f>
        <v>3365.38</v>
      </c>
      <c r="Q73" s="6" t="str">
        <f ca="1">IFERROR(__xludf.DUMMYFUNCTION("""COMPUTED_VALUE"""),"Ignacio Berdejo")</f>
        <v>Ignacio Berdejo</v>
      </c>
      <c r="R73" s="19" t="str">
        <f ca="1">IFERROR(__xludf.DUMMYFUNCTION("""COMPUTED_VALUE"""),"Rafael Fernández Liesa")</f>
        <v>Rafael Fernández Liesa</v>
      </c>
      <c r="S73" s="20" t="str">
        <f ca="1">IFERROR(__xludf.DUMMYFUNCTION("""COMPUTED_VALUE"""),"03 ORL")</f>
        <v>03 ORL</v>
      </c>
      <c r="T73" s="6" t="str">
        <f ca="1">IFERROR(__xludf.DUMMYFUNCTION("""COMPUTED_VALUE"""),"06 ORL")</f>
        <v>06 ORL</v>
      </c>
      <c r="U73" s="21"/>
      <c r="W73" s="21"/>
      <c r="X73" s="21"/>
      <c r="AG73" s="19"/>
      <c r="AJ73" s="19"/>
    </row>
    <row r="74" spans="1:36" ht="16">
      <c r="A74" s="6"/>
      <c r="B74" s="14" t="str">
        <f t="shared" ca="1" si="0"/>
        <v>MCC</v>
      </c>
      <c r="C74" s="23" t="str">
        <f ca="1">IFERROR(__xludf.DUMMYFUNCTION("""COMPUTED_VALUE"""),"MCC18")</f>
        <v>MCC18</v>
      </c>
      <c r="D74" s="6" t="str">
        <f ca="1">IFERROR(__xludf.DUMMYFUNCTION("""COMPUTED_VALUE"""),"PARTICIPADOS")</f>
        <v>PARTICIPADOS</v>
      </c>
      <c r="E74" s="6">
        <f ca="1">IFERROR(__xludf.DUMMYFUNCTION("""COMPUTED_VALUE"""),2026)</f>
        <v>2026</v>
      </c>
      <c r="F74" s="15">
        <f ca="1">IFERROR(__xludf.DUMMYFUNCTION("""COMPUTED_VALUE"""),1)</f>
        <v>1</v>
      </c>
      <c r="G74" s="6" t="str">
        <f ca="1">IFERROR(__xludf.DUMMYFUNCTION("""COMPUTED_VALUE"""),"Barcelona- Córcega")</f>
        <v>Barcelona- Córcega</v>
      </c>
      <c r="H74" s="6" t="str">
        <f ca="1">IFERROR(__xludf.DUMMYFUNCTION("""COMPUTED_VALUE"""),"C202511261218486321")</f>
        <v>C202511261218486321</v>
      </c>
      <c r="I74" s="6" t="str">
        <f ca="1">IFERROR(__xludf.DUMMYFUNCTION("""COMPUTED_VALUE"""),"Maria Pilar Sanchez Sanchez")</f>
        <v>Maria Pilar Sanchez Sanchez</v>
      </c>
      <c r="J74" s="16">
        <f ca="1">IFERROR(__xludf.DUMMYFUNCTION("""COMPUTED_VALUE"""),45987)</f>
        <v>45987</v>
      </c>
      <c r="K74" s="6" t="str">
        <f ca="1">IFERROR(__xludf.DUMMYFUNCTION("""COMPUTED_VALUE"""),"Factura audífonos")</f>
        <v>Factura audífonos</v>
      </c>
      <c r="L74" s="16">
        <f ca="1">IFERROR(__xludf.DUMMYFUNCTION("""COMPUTED_VALUE"""),46048)</f>
        <v>46048</v>
      </c>
      <c r="M74" s="6" t="str">
        <f ca="1">IFERROR(__xludf.DUMMYFUNCTION("""COMPUTED_VALUE"""),"NO")</f>
        <v>NO</v>
      </c>
      <c r="N74" s="15">
        <f ca="1">IFERROR(__xludf.DUMMYFUNCTION("""COMPUTED_VALUE"""),2)</f>
        <v>2</v>
      </c>
      <c r="O74" s="6" t="str">
        <f ca="1">IFERROR(__xludf.DUMMYFUNCTION("""COMPUTED_VALUE"""),"CONFORT")</f>
        <v>CONFORT</v>
      </c>
      <c r="P74" s="18">
        <f ca="1">IFERROR(__xludf.DUMMYFUNCTION("""COMPUTED_VALUE"""),3631.82)</f>
        <v>3631.82</v>
      </c>
      <c r="Q74" s="6" t="str">
        <f ca="1">IFERROR(__xludf.DUMMYFUNCTION("""COMPUTED_VALUE"""),"Mercè Cabrera")</f>
        <v>Mercè Cabrera</v>
      </c>
      <c r="R74" s="19" t="str">
        <f ca="1">IFERROR(__xludf.DUMMYFUNCTION("""COMPUTED_VALUE"""),"Jesus-Maria Grasa Pérez")</f>
        <v>Jesus-Maria Grasa Pérez</v>
      </c>
      <c r="S74" s="20" t="str">
        <f ca="1">IFERROR(__xludf.DUMMYFUNCTION("""COMPUTED_VALUE"""),"03 ORL")</f>
        <v>03 ORL</v>
      </c>
      <c r="T74" s="6" t="str">
        <f ca="1">IFERROR(__xludf.DUMMYFUNCTION("""COMPUTED_VALUE"""),"06 ORL")</f>
        <v>06 ORL</v>
      </c>
      <c r="U74" s="21"/>
      <c r="W74" s="21"/>
      <c r="X74" s="21"/>
      <c r="AG74" s="18"/>
      <c r="AJ74" s="19"/>
    </row>
    <row r="75" spans="1:36" ht="16">
      <c r="A75" s="6"/>
      <c r="B75" s="14" t="str">
        <f t="shared" ca="1" si="0"/>
        <v>ISL</v>
      </c>
      <c r="C75" s="23" t="str">
        <f ca="1">IFERROR(__xludf.DUMMYFUNCTION("""COMPUTED_VALUE"""),"ISL06")</f>
        <v>ISL06</v>
      </c>
      <c r="D75" s="6" t="str">
        <f ca="1">IFERROR(__xludf.DUMMYFUNCTION("""COMPUTED_VALUE"""),"PROPIOS")</f>
        <v>PROPIOS</v>
      </c>
      <c r="E75" s="6">
        <f ca="1">IFERROR(__xludf.DUMMYFUNCTION("""COMPUTED_VALUE"""),2026)</f>
        <v>2026</v>
      </c>
      <c r="F75" s="15">
        <f ca="1">IFERROR(__xludf.DUMMYFUNCTION("""COMPUTED_VALUE"""),1)</f>
        <v>1</v>
      </c>
      <c r="G75" s="6" t="str">
        <f ca="1">IFERROR(__xludf.DUMMYFUNCTION("""COMPUTED_VALUE"""),"San Javier")</f>
        <v>San Javier</v>
      </c>
      <c r="H75" s="6" t="str">
        <f ca="1">IFERROR(__xludf.DUMMYFUNCTION("""COMPUTED_VALUE"""),"C202512171228417197")</f>
        <v>C202512171228417197</v>
      </c>
      <c r="I75" s="6" t="str">
        <f ca="1">IFERROR(__xludf.DUMMYFUNCTION("""COMPUTED_VALUE"""),"EVA VARELA TOJO")</f>
        <v>EVA VARELA TOJO</v>
      </c>
      <c r="J75" s="16">
        <f ca="1">IFERROR(__xludf.DUMMYFUNCTION("""COMPUTED_VALUE"""),46008)</f>
        <v>46008</v>
      </c>
      <c r="K75" s="6" t="str">
        <f ca="1">IFERROR(__xludf.DUMMYFUNCTION("""COMPUTED_VALUE"""),"Factura audífonos")</f>
        <v>Factura audífonos</v>
      </c>
      <c r="L75" s="16">
        <f ca="1">IFERROR(__xludf.DUMMYFUNCTION("""COMPUTED_VALUE"""),46048)</f>
        <v>46048</v>
      </c>
      <c r="M75" s="6" t="str">
        <f ca="1">IFERROR(__xludf.DUMMYFUNCTION("""COMPUTED_VALUE"""),"NO")</f>
        <v>NO</v>
      </c>
      <c r="N75" s="15">
        <f ca="1">IFERROR(__xludf.DUMMYFUNCTION("""COMPUTED_VALUE"""),2)</f>
        <v>2</v>
      </c>
      <c r="O75" s="6" t="str">
        <f ca="1">IFERROR(__xludf.DUMMYFUNCTION("""COMPUTED_VALUE"""),"CONFORT")</f>
        <v>CONFORT</v>
      </c>
      <c r="P75" s="18">
        <f ca="1">IFERROR(__xludf.DUMMYFUNCTION("""COMPUTED_VALUE"""),3631.82)</f>
        <v>3631.82</v>
      </c>
      <c r="Q75" s="6" t="str">
        <f ca="1">IFERROR(__xludf.DUMMYFUNCTION("""COMPUTED_VALUE"""),"Iván Sánchez")</f>
        <v>Iván Sánchez</v>
      </c>
      <c r="R75" s="19" t="str">
        <f ca="1">IFERROR(__xludf.DUMMYFUNCTION("""COMPUTED_VALUE"""),"Andrés Barrios Recio")</f>
        <v>Andrés Barrios Recio</v>
      </c>
      <c r="S75" s="20" t="str">
        <f ca="1">IFERROR(__xludf.DUMMYFUNCTION("""COMPUTED_VALUE"""),"03 ORL")</f>
        <v>03 ORL</v>
      </c>
      <c r="T75" s="6" t="str">
        <f ca="1">IFERROR(__xludf.DUMMYFUNCTION("""COMPUTED_VALUE"""),"06 ORL")</f>
        <v>06 ORL</v>
      </c>
      <c r="U75" s="21"/>
      <c r="W75" s="21"/>
      <c r="X75" s="21"/>
      <c r="AG75" s="18"/>
      <c r="AJ75" s="19"/>
    </row>
    <row r="76" spans="1:36" ht="16">
      <c r="A76" s="6"/>
      <c r="B76" s="14" t="str">
        <f t="shared" ca="1" si="0"/>
        <v>ISL</v>
      </c>
      <c r="C76" s="23" t="str">
        <f ca="1">IFERROR(__xludf.DUMMYFUNCTION("""COMPUTED_VALUE"""),"ISL94")</f>
        <v>ISL94</v>
      </c>
      <c r="D76" s="6" t="str">
        <f ca="1">IFERROR(__xludf.DUMMYFUNCTION("""COMPUTED_VALUE"""),"PROPIOS")</f>
        <v>PROPIOS</v>
      </c>
      <c r="E76" s="6">
        <f ca="1">IFERROR(__xludf.DUMMYFUNCTION("""COMPUTED_VALUE"""),2026)</f>
        <v>2026</v>
      </c>
      <c r="F76" s="15">
        <f ca="1">IFERROR(__xludf.DUMMYFUNCTION("""COMPUTED_VALUE"""),1)</f>
        <v>1</v>
      </c>
      <c r="G76" s="6" t="str">
        <f ca="1">IFERROR(__xludf.DUMMYFUNCTION("""COMPUTED_VALUE"""),"Murcia")</f>
        <v>Murcia</v>
      </c>
      <c r="H76" s="6" t="str">
        <f ca="1">IFERROR(__xludf.DUMMYFUNCTION("""COMPUTED_VALUE"""),"C202512410121341481")</f>
        <v>C202512410121341481</v>
      </c>
      <c r="I76" s="6" t="str">
        <f ca="1">IFERROR(__xludf.DUMMYFUNCTION("""COMPUTED_VALUE"""),"JULIA MARIA ARQUEROS AMAT")</f>
        <v>JULIA MARIA ARQUEROS AMAT</v>
      </c>
      <c r="J76" s="16">
        <f ca="1">IFERROR(__xludf.DUMMYFUNCTION("""COMPUTED_VALUE"""),45995)</f>
        <v>45995</v>
      </c>
      <c r="K76" s="6" t="str">
        <f ca="1">IFERROR(__xludf.DUMMYFUNCTION("""COMPUTED_VALUE"""),"Factura audífonos")</f>
        <v>Factura audífonos</v>
      </c>
      <c r="L76" s="16">
        <f ca="1">IFERROR(__xludf.DUMMYFUNCTION("""COMPUTED_VALUE"""),46048)</f>
        <v>46048</v>
      </c>
      <c r="M76" s="6" t="str">
        <f ca="1">IFERROR(__xludf.DUMMYFUNCTION("""COMPUTED_VALUE"""),"NO")</f>
        <v>NO</v>
      </c>
      <c r="N76" s="15">
        <f ca="1">IFERROR(__xludf.DUMMYFUNCTION("""COMPUTED_VALUE"""),2)</f>
        <v>2</v>
      </c>
      <c r="O76" s="6" t="str">
        <f ca="1">IFERROR(__xludf.DUMMYFUNCTION("""COMPUTED_VALUE"""),"CONFORT")</f>
        <v>CONFORT</v>
      </c>
      <c r="P76" s="18">
        <f ca="1">IFERROR(__xludf.DUMMYFUNCTION("""COMPUTED_VALUE"""),3631.83)</f>
        <v>3631.83</v>
      </c>
      <c r="Q76" s="6" t="str">
        <f ca="1">IFERROR(__xludf.DUMMYFUNCTION("""COMPUTED_VALUE"""),"Iván Sánchez")</f>
        <v>Iván Sánchez</v>
      </c>
      <c r="R76" s="19" t="str">
        <f ca="1">IFERROR(__xludf.DUMMYFUNCTION("""COMPUTED_VALUE"""),"Beatriz Rodríguez González Herrero")</f>
        <v>Beatriz Rodríguez González Herrero</v>
      </c>
      <c r="S76" s="20" t="str">
        <f ca="1">IFERROR(__xludf.DUMMYFUNCTION("""COMPUTED_VALUE"""),"03 ORL")</f>
        <v>03 ORL</v>
      </c>
      <c r="T76" s="6" t="str">
        <f ca="1">IFERROR(__xludf.DUMMYFUNCTION("""COMPUTED_VALUE"""),"06 ORL")</f>
        <v>06 ORL</v>
      </c>
      <c r="U76" s="21"/>
      <c r="W76" s="21"/>
      <c r="X76" s="21"/>
      <c r="AG76" s="18"/>
      <c r="AJ76" s="19"/>
    </row>
    <row r="77" spans="1:36" ht="16">
      <c r="A77" s="6"/>
      <c r="B77" s="14" t="str">
        <f t="shared" ca="1" si="0"/>
        <v>ISL</v>
      </c>
      <c r="C77" s="23" t="str">
        <f ca="1">IFERROR(__xludf.DUMMYFUNCTION("""COMPUTED_VALUE"""),"ISL62")</f>
        <v>ISL62</v>
      </c>
      <c r="D77" s="6" t="str">
        <f ca="1">IFERROR(__xludf.DUMMYFUNCTION("""COMPUTED_VALUE"""),"PROPIOS")</f>
        <v>PROPIOS</v>
      </c>
      <c r="E77" s="6">
        <f ca="1">IFERROR(__xludf.DUMMYFUNCTION("""COMPUTED_VALUE"""),2026)</f>
        <v>2026</v>
      </c>
      <c r="F77" s="15">
        <f ca="1">IFERROR(__xludf.DUMMYFUNCTION("""COMPUTED_VALUE"""),1)</f>
        <v>1</v>
      </c>
      <c r="G77" s="6" t="str">
        <f ca="1">IFERROR(__xludf.DUMMYFUNCTION("""COMPUTED_VALUE"""),"El Albir (Benidorm)")</f>
        <v>El Albir (Benidorm)</v>
      </c>
      <c r="H77" s="6" t="str">
        <f ca="1">IFERROR(__xludf.DUMMYFUNCTION("""COMPUTED_VALUE"""),"C202512121026113021")</f>
        <v>C202512121026113021</v>
      </c>
      <c r="I77" s="6" t="str">
        <f ca="1">IFERROR(__xludf.DUMMYFUNCTION("""COMPUTED_VALUE"""),"FRANCISCA MATA PEREZ")</f>
        <v>FRANCISCA MATA PEREZ</v>
      </c>
      <c r="J77" s="16">
        <f ca="1">IFERROR(__xludf.DUMMYFUNCTION("""COMPUTED_VALUE"""),46003)</f>
        <v>46003</v>
      </c>
      <c r="K77" s="6" t="str">
        <f ca="1">IFERROR(__xludf.DUMMYFUNCTION("""COMPUTED_VALUE"""),"Factura audífonos")</f>
        <v>Factura audífonos</v>
      </c>
      <c r="L77" s="16">
        <f ca="1">IFERROR(__xludf.DUMMYFUNCTION("""COMPUTED_VALUE"""),46048)</f>
        <v>46048</v>
      </c>
      <c r="M77" s="6" t="str">
        <f ca="1">IFERROR(__xludf.DUMMYFUNCTION("""COMPUTED_VALUE"""),"NO")</f>
        <v>NO</v>
      </c>
      <c r="N77" s="15">
        <f ca="1">IFERROR(__xludf.DUMMYFUNCTION("""COMPUTED_VALUE"""),2)</f>
        <v>2</v>
      </c>
      <c r="O77" s="6" t="str">
        <f ca="1">IFERROR(__xludf.DUMMYFUNCTION("""COMPUTED_VALUE"""),"QUIET")</f>
        <v>QUIET</v>
      </c>
      <c r="P77" s="19">
        <f ca="1">IFERROR(__xludf.DUMMYFUNCTION("""COMPUTED_VALUE"""),2718.18)</f>
        <v>2718.18</v>
      </c>
      <c r="Q77" s="6" t="str">
        <f ca="1">IFERROR(__xludf.DUMMYFUNCTION("""COMPUTED_VALUE"""),"Ramon Ferrando")</f>
        <v>Ramon Ferrando</v>
      </c>
      <c r="R77" s="19" t="str">
        <f ca="1">IFERROR(__xludf.DUMMYFUNCTION("""COMPUTED_VALUE"""),"Lino Enguidanos Hernandorena")</f>
        <v>Lino Enguidanos Hernandorena</v>
      </c>
      <c r="S77" s="20" t="str">
        <f ca="1">IFERROR(__xludf.DUMMYFUNCTION("""COMPUTED_VALUE"""),"03 ORL")</f>
        <v>03 ORL</v>
      </c>
      <c r="T77" s="6" t="str">
        <f ca="1">IFERROR(__xludf.DUMMYFUNCTION("""COMPUTED_VALUE"""),"06 ORL")</f>
        <v>06 ORL</v>
      </c>
      <c r="U77" s="21"/>
      <c r="W77" s="21"/>
      <c r="X77" s="21"/>
      <c r="AG77" s="19"/>
      <c r="AJ77" s="19"/>
    </row>
    <row r="78" spans="1:36" ht="16">
      <c r="A78" s="6"/>
      <c r="B78" s="14" t="str">
        <f t="shared" ca="1" si="0"/>
        <v>MBM</v>
      </c>
      <c r="C78" s="23" t="str">
        <f ca="1">IFERROR(__xludf.DUMMYFUNCTION("""COMPUTED_VALUE"""),"MBM149")</f>
        <v>MBM149</v>
      </c>
      <c r="D78" s="6" t="str">
        <f ca="1">IFERROR(__xludf.DUMMYFUNCTION("""COMPUTED_VALUE"""),"PROPIOS")</f>
        <v>PROPIOS</v>
      </c>
      <c r="E78" s="6">
        <f ca="1">IFERROR(__xludf.DUMMYFUNCTION("""COMPUTED_VALUE"""),2026)</f>
        <v>2026</v>
      </c>
      <c r="F78" s="15">
        <f ca="1">IFERROR(__xludf.DUMMYFUNCTION("""COMPUTED_VALUE"""),1)</f>
        <v>1</v>
      </c>
      <c r="G78" s="6" t="str">
        <f ca="1">IFERROR(__xludf.DUMMYFUNCTION("""COMPUTED_VALUE"""),"Toledo")</f>
        <v>Toledo</v>
      </c>
      <c r="H78" s="6" t="str">
        <f ca="1">IFERROR(__xludf.DUMMYFUNCTION("""COMPUTED_VALUE"""),"C202511269485787430")</f>
        <v>C202511269485787430</v>
      </c>
      <c r="I78" s="6" t="str">
        <f ca="1">IFERROR(__xludf.DUMMYFUNCTION("""COMPUTED_VALUE"""),"Primitivo Garcia Ruiz")</f>
        <v>Primitivo Garcia Ruiz</v>
      </c>
      <c r="J78" s="16">
        <f ca="1">IFERROR(__xludf.DUMMYFUNCTION("""COMPUTED_VALUE"""),45987)</f>
        <v>45987</v>
      </c>
      <c r="K78" s="6" t="str">
        <f ca="1">IFERROR(__xludf.DUMMYFUNCTION("""COMPUTED_VALUE"""),"Factura audífonos")</f>
        <v>Factura audífonos</v>
      </c>
      <c r="L78" s="16">
        <f ca="1">IFERROR(__xludf.DUMMYFUNCTION("""COMPUTED_VALUE"""),46048)</f>
        <v>46048</v>
      </c>
      <c r="M78" s="6" t="str">
        <f ca="1">IFERROR(__xludf.DUMMYFUNCTION("""COMPUTED_VALUE"""),"NO")</f>
        <v>NO</v>
      </c>
      <c r="N78" s="15">
        <f ca="1">IFERROR(__xludf.DUMMYFUNCTION("""COMPUTED_VALUE"""),2)</f>
        <v>2</v>
      </c>
      <c r="O78" s="6" t="str">
        <f ca="1">IFERROR(__xludf.DUMMYFUNCTION("""COMPUTED_VALUE"""),"QUIET")</f>
        <v>QUIET</v>
      </c>
      <c r="P78" s="19">
        <f ca="1">IFERROR(__xludf.DUMMYFUNCTION("""COMPUTED_VALUE"""),2718.18)</f>
        <v>2718.18</v>
      </c>
      <c r="Q78" s="6" t="str">
        <f ca="1">IFERROR(__xludf.DUMMYFUNCTION("""COMPUTED_VALUE"""),"Maika Blázquez")</f>
        <v>Maika Blázquez</v>
      </c>
      <c r="R78" s="19" t="str">
        <f ca="1">IFERROR(__xludf.DUMMYFUNCTION("""COMPUTED_VALUE"""),"María Garrote Garrote")</f>
        <v>María Garrote Garrote</v>
      </c>
      <c r="S78" s="20" t="str">
        <f ca="1">IFERROR(__xludf.DUMMYFUNCTION("""COMPUTED_VALUE"""),"03 ORL")</f>
        <v>03 ORL</v>
      </c>
      <c r="T78" s="6" t="str">
        <f ca="1">IFERROR(__xludf.DUMMYFUNCTION("""COMPUTED_VALUE"""),"06 ORL")</f>
        <v>06 ORL</v>
      </c>
      <c r="U78" s="21"/>
      <c r="W78" s="21"/>
      <c r="X78" s="21"/>
      <c r="AG78" s="19"/>
      <c r="AJ78" s="19"/>
    </row>
    <row r="79" spans="1:36" ht="16">
      <c r="A79" s="6"/>
      <c r="B79" s="14" t="str">
        <f t="shared" ca="1" si="0"/>
        <v>MCC</v>
      </c>
      <c r="C79" s="23" t="str">
        <f ca="1">IFERROR(__xludf.DUMMYFUNCTION("""COMPUTED_VALUE"""),"MCC70")</f>
        <v>MCC70</v>
      </c>
      <c r="D79" s="6" t="str">
        <f ca="1">IFERROR(__xludf.DUMMYFUNCTION("""COMPUTED_VALUE"""),"PARTICIPADOS")</f>
        <v>PARTICIPADOS</v>
      </c>
      <c r="E79" s="6">
        <f ca="1">IFERROR(__xludf.DUMMYFUNCTION("""COMPUTED_VALUE"""),2026)</f>
        <v>2026</v>
      </c>
      <c r="F79" s="15">
        <f ca="1">IFERROR(__xludf.DUMMYFUNCTION("""COMPUTED_VALUE"""),1)</f>
        <v>1</v>
      </c>
      <c r="G79" s="6" t="str">
        <f ca="1">IFERROR(__xludf.DUMMYFUNCTION("""COMPUTED_VALUE"""),"Barcelona- Córcega")</f>
        <v>Barcelona- Córcega</v>
      </c>
      <c r="H79" s="6" t="str">
        <f ca="1">IFERROR(__xludf.DUMMYFUNCTION("""COMPUTED_VALUE"""),"C202617113410376988")</f>
        <v>C202617113410376988</v>
      </c>
      <c r="I79" s="6" t="str">
        <f ca="1">IFERROR(__xludf.DUMMYFUNCTION("""COMPUTED_VALUE"""),"Ana Maria Cano Rafael")</f>
        <v>Ana Maria Cano Rafael</v>
      </c>
      <c r="J79" s="16">
        <f ca="1">IFERROR(__xludf.DUMMYFUNCTION("""COMPUTED_VALUE"""),46029)</f>
        <v>46029</v>
      </c>
      <c r="K79" s="6" t="str">
        <f ca="1">IFERROR(__xludf.DUMMYFUNCTION("""COMPUTED_VALUE"""),"Factura audífonos")</f>
        <v>Factura audífonos</v>
      </c>
      <c r="L79" s="16">
        <f ca="1">IFERROR(__xludf.DUMMYFUNCTION("""COMPUTED_VALUE"""),46048)</f>
        <v>46048</v>
      </c>
      <c r="M79" s="6" t="str">
        <f ca="1">IFERROR(__xludf.DUMMYFUNCTION("""COMPUTED_VALUE"""),"NO")</f>
        <v>NO</v>
      </c>
      <c r="N79" s="15">
        <f ca="1">IFERROR(__xludf.DUMMYFUNCTION("""COMPUTED_VALUE"""),2)</f>
        <v>2</v>
      </c>
      <c r="O79" s="6" t="str">
        <f ca="1">IFERROR(__xludf.DUMMYFUNCTION("""COMPUTED_VALUE"""),"PRO")</f>
        <v>PRO</v>
      </c>
      <c r="P79" s="18">
        <f ca="1">IFERROR(__xludf.DUMMYFUNCTION("""COMPUTED_VALUE"""),4536.36)</f>
        <v>4536.3599999999997</v>
      </c>
      <c r="Q79" s="6" t="str">
        <f ca="1">IFERROR(__xludf.DUMMYFUNCTION("""COMPUTED_VALUE"""),"Mercè Cabrera")</f>
        <v>Mercè Cabrera</v>
      </c>
      <c r="R79" s="19" t="str">
        <f ca="1">IFERROR(__xludf.DUMMYFUNCTION("""COMPUTED_VALUE"""),"Nesly Illely González Sánchez")</f>
        <v>Nesly Illely González Sánchez</v>
      </c>
      <c r="S79" s="20" t="str">
        <f ca="1">IFERROR(__xludf.DUMMYFUNCTION("""COMPUTED_VALUE"""),"03 ORL")</f>
        <v>03 ORL</v>
      </c>
      <c r="T79" s="6" t="str">
        <f ca="1">IFERROR(__xludf.DUMMYFUNCTION("""COMPUTED_VALUE"""),"06 ORL")</f>
        <v>06 ORL</v>
      </c>
      <c r="U79" s="21"/>
      <c r="W79" s="21"/>
      <c r="X79" s="21"/>
      <c r="AG79" s="18"/>
      <c r="AJ79" s="19"/>
    </row>
    <row r="80" spans="1:36" ht="16">
      <c r="A80" s="6"/>
      <c r="B80" s="14" t="str">
        <f t="shared" ca="1" si="0"/>
        <v>LAA</v>
      </c>
      <c r="C80" s="23" t="str">
        <f ca="1">IFERROR(__xludf.DUMMYFUNCTION("""COMPUTED_VALUE"""),"LAA24")</f>
        <v>LAA24</v>
      </c>
      <c r="D80" s="6" t="str">
        <f ca="1">IFERROR(__xludf.DUMMYFUNCTION("""COMPUTED_VALUE"""),"PROPIOS")</f>
        <v>PROPIOS</v>
      </c>
      <c r="E80" s="6">
        <f ca="1">IFERROR(__xludf.DUMMYFUNCTION("""COMPUTED_VALUE"""),2026)</f>
        <v>2026</v>
      </c>
      <c r="F80" s="15">
        <f ca="1">IFERROR(__xludf.DUMMYFUNCTION("""COMPUTED_VALUE"""),1)</f>
        <v>1</v>
      </c>
      <c r="G80" s="6" t="str">
        <f ca="1">IFERROR(__xludf.DUMMYFUNCTION("""COMPUTED_VALUE"""),"Sevilla- Montoto")</f>
        <v>Sevilla- Montoto</v>
      </c>
      <c r="H80" s="6" t="str">
        <f ca="1">IFERROR(__xludf.DUMMYFUNCTION("""COMPUTED_VALUE"""),"C202511121127351007")</f>
        <v>C202511121127351007</v>
      </c>
      <c r="I80" s="6" t="str">
        <f ca="1">IFERROR(__xludf.DUMMYFUNCTION("""COMPUTED_VALUE"""),"MARIA LUISA GRANADOS MAGUILLA")</f>
        <v>MARIA LUISA GRANADOS MAGUILLA</v>
      </c>
      <c r="J80" s="16">
        <f ca="1">IFERROR(__xludf.DUMMYFUNCTION("""COMPUTED_VALUE"""),45973)</f>
        <v>45973</v>
      </c>
      <c r="K80" s="6" t="str">
        <f ca="1">IFERROR(__xludf.DUMMYFUNCTION("""COMPUTED_VALUE"""),"Factura audífonos")</f>
        <v>Factura audífonos</v>
      </c>
      <c r="L80" s="16">
        <f ca="1">IFERROR(__xludf.DUMMYFUNCTION("""COMPUTED_VALUE"""),46048)</f>
        <v>46048</v>
      </c>
      <c r="M80" s="6" t="str">
        <f ca="1">IFERROR(__xludf.DUMMYFUNCTION("""COMPUTED_VALUE"""),"NO")</f>
        <v>NO</v>
      </c>
      <c r="N80" s="15">
        <f ca="1">IFERROR(__xludf.DUMMYFUNCTION("""COMPUTED_VALUE"""),2)</f>
        <v>2</v>
      </c>
      <c r="O80" s="6" t="str">
        <f ca="1">IFERROR(__xludf.DUMMYFUNCTION("""COMPUTED_VALUE"""),"CONFORT")</f>
        <v>CONFORT</v>
      </c>
      <c r="P80" s="19">
        <f ca="1">IFERROR(__xludf.DUMMYFUNCTION("""COMPUTED_VALUE"""),3631.82)</f>
        <v>3631.82</v>
      </c>
      <c r="Q80" s="6" t="str">
        <f ca="1">IFERROR(__xludf.DUMMYFUNCTION("""COMPUTED_VALUE"""),"Luis Alberto Rodríguez")</f>
        <v>Luis Alberto Rodríguez</v>
      </c>
      <c r="R80" s="19" t="str">
        <f ca="1">IFERROR(__xludf.DUMMYFUNCTION("""COMPUTED_VALUE"""),"Jesús Crovato Rojas")</f>
        <v>Jesús Crovato Rojas</v>
      </c>
      <c r="S80" s="20" t="str">
        <f ca="1">IFERROR(__xludf.DUMMYFUNCTION("""COMPUTED_VALUE"""),"03 ORL")</f>
        <v>03 ORL</v>
      </c>
      <c r="T80" s="6" t="str">
        <f ca="1">IFERROR(__xludf.DUMMYFUNCTION("""COMPUTED_VALUE"""),"06 ORL")</f>
        <v>06 ORL</v>
      </c>
      <c r="U80" s="21"/>
      <c r="W80" s="21"/>
      <c r="X80" s="21"/>
      <c r="AG80" s="19"/>
      <c r="AJ80" s="19"/>
    </row>
    <row r="81" spans="1:36" ht="16">
      <c r="A81" s="6"/>
      <c r="B81" s="14" t="str">
        <f t="shared" ca="1" si="0"/>
        <v>ISL</v>
      </c>
      <c r="C81" s="23" t="str">
        <f ca="1">IFERROR(__xludf.DUMMYFUNCTION("""COMPUTED_VALUE"""),"ISL105")</f>
        <v>ISL105</v>
      </c>
      <c r="D81" s="6" t="str">
        <f ca="1">IFERROR(__xludf.DUMMYFUNCTION("""COMPUTED_VALUE"""),"PROPIOS")</f>
        <v>PROPIOS</v>
      </c>
      <c r="E81" s="6">
        <f ca="1">IFERROR(__xludf.DUMMYFUNCTION("""COMPUTED_VALUE"""),2026)</f>
        <v>2026</v>
      </c>
      <c r="F81" s="15">
        <f ca="1">IFERROR(__xludf.DUMMYFUNCTION("""COMPUTED_VALUE"""),1)</f>
        <v>1</v>
      </c>
      <c r="G81" s="6" t="str">
        <f ca="1">IFERROR(__xludf.DUMMYFUNCTION("""COMPUTED_VALUE"""),"Alicante")</f>
        <v>Alicante</v>
      </c>
      <c r="H81" s="6" t="str">
        <f ca="1">IFERROR(__xludf.DUMMYFUNCTION("""COMPUTED_VALUE"""),"C202512261157304222")</f>
        <v>C202512261157304222</v>
      </c>
      <c r="I81" s="6" t="str">
        <f ca="1">IFERROR(__xludf.DUMMYFUNCTION("""COMPUTED_VALUE"""),"PEDRO ESPINOSA SAN NICOLAS")</f>
        <v>PEDRO ESPINOSA SAN NICOLAS</v>
      </c>
      <c r="J81" s="16">
        <f ca="1">IFERROR(__xludf.DUMMYFUNCTION("""COMPUTED_VALUE"""),46017)</f>
        <v>46017</v>
      </c>
      <c r="K81" s="6" t="str">
        <f ca="1">IFERROR(__xludf.DUMMYFUNCTION("""COMPUTED_VALUE"""),"Factura audífonos")</f>
        <v>Factura audífonos</v>
      </c>
      <c r="L81" s="16">
        <f ca="1">IFERROR(__xludf.DUMMYFUNCTION("""COMPUTED_VALUE"""),46049)</f>
        <v>46049</v>
      </c>
      <c r="M81" s="6" t="str">
        <f ca="1">IFERROR(__xludf.DUMMYFUNCTION("""COMPUTED_VALUE"""),"NO")</f>
        <v>NO</v>
      </c>
      <c r="N81" s="15">
        <f ca="1">IFERROR(__xludf.DUMMYFUNCTION("""COMPUTED_VALUE"""),2)</f>
        <v>2</v>
      </c>
      <c r="O81" s="6" t="str">
        <f ca="1">IFERROR(__xludf.DUMMYFUNCTION("""COMPUTED_VALUE"""),"QUIET")</f>
        <v>QUIET</v>
      </c>
      <c r="P81" s="19">
        <f ca="1">IFERROR(__xludf.DUMMYFUNCTION("""COMPUTED_VALUE"""),2718.18)</f>
        <v>2718.18</v>
      </c>
      <c r="Q81" s="6" t="str">
        <f ca="1">IFERROR(__xludf.DUMMYFUNCTION("""COMPUTED_VALUE"""),"Iván Sánchez")</f>
        <v>Iván Sánchez</v>
      </c>
      <c r="R81" s="19" t="str">
        <f ca="1">IFERROR(__xludf.DUMMYFUNCTION("""COMPUTED_VALUE"""),"Karen Rojas Crespo")</f>
        <v>Karen Rojas Crespo</v>
      </c>
      <c r="S81" s="20" t="str">
        <f ca="1">IFERROR(__xludf.DUMMYFUNCTION("""COMPUTED_VALUE"""),"03 ORL")</f>
        <v>03 ORL</v>
      </c>
      <c r="T81" s="6" t="str">
        <f ca="1">IFERROR(__xludf.DUMMYFUNCTION("""COMPUTED_VALUE"""),"06 ORL")</f>
        <v>06 ORL</v>
      </c>
      <c r="U81" s="21"/>
      <c r="W81" s="21"/>
      <c r="X81" s="21"/>
      <c r="AG81" s="19"/>
      <c r="AJ81" s="19"/>
    </row>
    <row r="82" spans="1:36" ht="16">
      <c r="A82" s="6"/>
      <c r="B82" s="14" t="str">
        <f t="shared" ca="1" si="0"/>
        <v>MBM</v>
      </c>
      <c r="C82" s="23" t="str">
        <f ca="1">IFERROR(__xludf.DUMMYFUNCTION("""COMPUTED_VALUE"""),"MBM195")</f>
        <v>MBM195</v>
      </c>
      <c r="D82" s="6" t="str">
        <f ca="1">IFERROR(__xludf.DUMMYFUNCTION("""COMPUTED_VALUE"""),"PROPIOS")</f>
        <v>PROPIOS</v>
      </c>
      <c r="E82" s="6">
        <f ca="1">IFERROR(__xludf.DUMMYFUNCTION("""COMPUTED_VALUE"""),2026)</f>
        <v>2026</v>
      </c>
      <c r="F82" s="15">
        <f ca="1">IFERROR(__xludf.DUMMYFUNCTION("""COMPUTED_VALUE"""),1)</f>
        <v>1</v>
      </c>
      <c r="G82" s="6" t="str">
        <f ca="1">IFERROR(__xludf.DUMMYFUNCTION("""COMPUTED_VALUE"""),"Fuenlabrada")</f>
        <v>Fuenlabrada</v>
      </c>
      <c r="H82" s="6" t="str">
        <f ca="1">IFERROR(__xludf.DUMMYFUNCTION("""COMPUTED_VALUE"""),"C202512121025258882")</f>
        <v>C202512121025258882</v>
      </c>
      <c r="I82" s="6" t="str">
        <f ca="1">IFERROR(__xludf.DUMMYFUNCTION("""COMPUTED_VALUE"""),"TERESA CASTILLO GARCIA")</f>
        <v>TERESA CASTILLO GARCIA</v>
      </c>
      <c r="J82" s="16">
        <f ca="1">IFERROR(__xludf.DUMMYFUNCTION("""COMPUTED_VALUE"""),46003)</f>
        <v>46003</v>
      </c>
      <c r="K82" s="6" t="str">
        <f ca="1">IFERROR(__xludf.DUMMYFUNCTION("""COMPUTED_VALUE"""),"Factura audífonos")</f>
        <v>Factura audífonos</v>
      </c>
      <c r="L82" s="16">
        <f ca="1">IFERROR(__xludf.DUMMYFUNCTION("""COMPUTED_VALUE"""),46049)</f>
        <v>46049</v>
      </c>
      <c r="M82" s="6" t="str">
        <f ca="1">IFERROR(__xludf.DUMMYFUNCTION("""COMPUTED_VALUE"""),"NO")</f>
        <v>NO</v>
      </c>
      <c r="N82" s="15">
        <f ca="1">IFERROR(__xludf.DUMMYFUNCTION("""COMPUTED_VALUE"""),1)</f>
        <v>1</v>
      </c>
      <c r="O82" s="6" t="str">
        <f ca="1">IFERROR(__xludf.DUMMYFUNCTION("""COMPUTED_VALUE"""),"QUIET")</f>
        <v>QUIET</v>
      </c>
      <c r="P82" s="19">
        <f ca="1">IFERROR(__xludf.DUMMYFUNCTION("""COMPUTED_VALUE"""),1631.82)</f>
        <v>1631.82</v>
      </c>
      <c r="Q82" s="6" t="str">
        <f ca="1">IFERROR(__xludf.DUMMYFUNCTION("""COMPUTED_VALUE"""),"Maika Blázquez")</f>
        <v>Maika Blázquez</v>
      </c>
      <c r="R82" s="19" t="str">
        <f ca="1">IFERROR(__xludf.DUMMYFUNCTION("""COMPUTED_VALUE"""),"Anastasiya Audiyuk Martynyuk")</f>
        <v>Anastasiya Audiyuk Martynyuk</v>
      </c>
      <c r="S82" s="20" t="str">
        <f ca="1">IFERROR(__xludf.DUMMYFUNCTION("""COMPUTED_VALUE"""),"03 ORL")</f>
        <v>03 ORL</v>
      </c>
      <c r="T82" s="6" t="str">
        <f ca="1">IFERROR(__xludf.DUMMYFUNCTION("""COMPUTED_VALUE"""),"06 ORL")</f>
        <v>06 ORL</v>
      </c>
      <c r="U82" s="21"/>
      <c r="W82" s="21"/>
      <c r="X82" s="21"/>
      <c r="AG82" s="19"/>
      <c r="AJ82" s="19"/>
    </row>
    <row r="83" spans="1:36" ht="16">
      <c r="A83" s="6"/>
      <c r="B83" s="14" t="str">
        <f t="shared" ca="1" si="0"/>
        <v>MCC</v>
      </c>
      <c r="C83" s="23" t="str">
        <f ca="1">IFERROR(__xludf.DUMMYFUNCTION("""COMPUTED_VALUE"""),"MCC76")</f>
        <v>MCC76</v>
      </c>
      <c r="D83" s="6" t="str">
        <f ca="1">IFERROR(__xludf.DUMMYFUNCTION("""COMPUTED_VALUE"""),"PARTICIPADOS")</f>
        <v>PARTICIPADOS</v>
      </c>
      <c r="E83" s="6">
        <f ca="1">IFERROR(__xludf.DUMMYFUNCTION("""COMPUTED_VALUE"""),2026)</f>
        <v>2026</v>
      </c>
      <c r="F83" s="15">
        <f ca="1">IFERROR(__xludf.DUMMYFUNCTION("""COMPUTED_VALUE"""),1)</f>
        <v>1</v>
      </c>
      <c r="G83" s="6" t="str">
        <f ca="1">IFERROR(__xludf.DUMMYFUNCTION("""COMPUTED_VALUE"""),"Hospitalet de Llobregat")</f>
        <v>Hospitalet de Llobregat</v>
      </c>
      <c r="H83" s="6" t="str">
        <f ca="1">IFERROR(__xludf.DUMMYFUNCTION("""COMPUTED_VALUE"""),"C202511181545320772")</f>
        <v>C202511181545320772</v>
      </c>
      <c r="I83" s="6" t="str">
        <f ca="1">IFERROR(__xludf.DUMMYFUNCTION("""COMPUTED_VALUE"""),"PAULA RUIZ ORTEGA")</f>
        <v>PAULA RUIZ ORTEGA</v>
      </c>
      <c r="J83" s="16">
        <f ca="1">IFERROR(__xludf.DUMMYFUNCTION("""COMPUTED_VALUE"""),45979)</f>
        <v>45979</v>
      </c>
      <c r="K83" s="6" t="str">
        <f ca="1">IFERROR(__xludf.DUMMYFUNCTION("""COMPUTED_VALUE"""),"Factura audífonos")</f>
        <v>Factura audífonos</v>
      </c>
      <c r="L83" s="16">
        <f ca="1">IFERROR(__xludf.DUMMYFUNCTION("""COMPUTED_VALUE"""),46049)</f>
        <v>46049</v>
      </c>
      <c r="M83" s="6" t="str">
        <f ca="1">IFERROR(__xludf.DUMMYFUNCTION("""COMPUTED_VALUE"""),"NO")</f>
        <v>NO</v>
      </c>
      <c r="N83" s="15">
        <f ca="1">IFERROR(__xludf.DUMMYFUNCTION("""COMPUTED_VALUE"""),1)</f>
        <v>1</v>
      </c>
      <c r="O83" s="6" t="str">
        <f ca="1">IFERROR(__xludf.DUMMYFUNCTION("""COMPUTED_VALUE"""),"ADVANCED")</f>
        <v>ADVANCED</v>
      </c>
      <c r="P83" s="18">
        <f ca="1">IFERROR(__xludf.DUMMYFUNCTION("""COMPUTED_VALUE"""),2481.82)</f>
        <v>2481.8200000000002</v>
      </c>
      <c r="Q83" s="6" t="str">
        <f ca="1">IFERROR(__xludf.DUMMYFUNCTION("""COMPUTED_VALUE"""),"Mercè Cabrera")</f>
        <v>Mercè Cabrera</v>
      </c>
      <c r="R83" s="19" t="str">
        <f ca="1">IFERROR(__xludf.DUMMYFUNCTION("""COMPUTED_VALUE"""),"Albert Pla Esperanzi")</f>
        <v>Albert Pla Esperanzi</v>
      </c>
      <c r="S83" s="20" t="str">
        <f ca="1">IFERROR(__xludf.DUMMYFUNCTION("""COMPUTED_VALUE"""),"03 ORL")</f>
        <v>03 ORL</v>
      </c>
      <c r="T83" s="6" t="str">
        <f ca="1">IFERROR(__xludf.DUMMYFUNCTION("""COMPUTED_VALUE"""),"06 ORL")</f>
        <v>06 ORL</v>
      </c>
      <c r="U83" s="21"/>
      <c r="W83" s="21"/>
      <c r="X83" s="21"/>
      <c r="AG83" s="18"/>
      <c r="AJ83" s="19"/>
    </row>
    <row r="84" spans="1:36" ht="16">
      <c r="A84" s="6"/>
      <c r="B84" s="14" t="str">
        <f t="shared" ca="1" si="0"/>
        <v>MBM</v>
      </c>
      <c r="C84" s="23" t="str">
        <f ca="1">IFERROR(__xludf.DUMMYFUNCTION("""COMPUTED_VALUE"""),"MBM39")</f>
        <v>MBM39</v>
      </c>
      <c r="D84" s="6" t="str">
        <f ca="1">IFERROR(__xludf.DUMMYFUNCTION("""COMPUTED_VALUE"""),"PROPIOS")</f>
        <v>PROPIOS</v>
      </c>
      <c r="E84" s="6">
        <f ca="1">IFERROR(__xludf.DUMMYFUNCTION("""COMPUTED_VALUE"""),2026)</f>
        <v>2026</v>
      </c>
      <c r="F84" s="15">
        <f ca="1">IFERROR(__xludf.DUMMYFUNCTION("""COMPUTED_VALUE"""),1)</f>
        <v>1</v>
      </c>
      <c r="G84" s="6" t="str">
        <f ca="1">IFERROR(__xludf.DUMMYFUNCTION("""COMPUTED_VALUE"""),"Madrid- Juan Bravo")</f>
        <v>Madrid- Juan Bravo</v>
      </c>
      <c r="H84" s="6" t="str">
        <f ca="1">IFERROR(__xludf.DUMMYFUNCTION("""COMPUTED_VALUE"""),"C20261292625074298")</f>
        <v>C20261292625074298</v>
      </c>
      <c r="I84" s="6" t="str">
        <f ca="1">IFERROR(__xludf.DUMMYFUNCTION("""COMPUTED_VALUE"""),"JOSEFA GOMEZ DE ENTERRIA SANCHEZ")</f>
        <v>JOSEFA GOMEZ DE ENTERRIA SANCHEZ</v>
      </c>
      <c r="J84" s="16">
        <f ca="1">IFERROR(__xludf.DUMMYFUNCTION("""COMPUTED_VALUE"""),46024)</f>
        <v>46024</v>
      </c>
      <c r="K84" s="6" t="str">
        <f ca="1">IFERROR(__xludf.DUMMYFUNCTION("""COMPUTED_VALUE"""),"Factura audífonos")</f>
        <v>Factura audífonos</v>
      </c>
      <c r="L84" s="16">
        <f ca="1">IFERROR(__xludf.DUMMYFUNCTION("""COMPUTED_VALUE"""),46049)</f>
        <v>46049</v>
      </c>
      <c r="M84" s="6" t="str">
        <f ca="1">IFERROR(__xludf.DUMMYFUNCTION("""COMPUTED_VALUE"""),"NO")</f>
        <v>NO</v>
      </c>
      <c r="N84" s="15">
        <f ca="1">IFERROR(__xludf.DUMMYFUNCTION("""COMPUTED_VALUE"""),2)</f>
        <v>2</v>
      </c>
      <c r="O84" s="6" t="str">
        <f ca="1">IFERROR(__xludf.DUMMYFUNCTION("""COMPUTED_VALUE"""),"PRO")</f>
        <v>PRO</v>
      </c>
      <c r="P84" s="19">
        <f ca="1">IFERROR(__xludf.DUMMYFUNCTION("""COMPUTED_VALUE"""),4536.36)</f>
        <v>4536.3599999999997</v>
      </c>
      <c r="Q84" s="6" t="str">
        <f ca="1">IFERROR(__xludf.DUMMYFUNCTION("""COMPUTED_VALUE"""),"Maika Blázquez")</f>
        <v>Maika Blázquez</v>
      </c>
      <c r="R84" s="19" t="str">
        <f ca="1">IFERROR(__xludf.DUMMYFUNCTION("""COMPUTED_VALUE"""),"Javier García Domínguez")</f>
        <v>Javier García Domínguez</v>
      </c>
      <c r="S84" s="20" t="str">
        <f ca="1">IFERROR(__xludf.DUMMYFUNCTION("""COMPUTED_VALUE"""),"03 ORL")</f>
        <v>03 ORL</v>
      </c>
      <c r="T84" s="6" t="str">
        <f ca="1">IFERROR(__xludf.DUMMYFUNCTION("""COMPUTED_VALUE"""),"06 ORL")</f>
        <v>06 ORL</v>
      </c>
      <c r="U84" s="21"/>
      <c r="W84" s="21"/>
      <c r="X84" s="21"/>
      <c r="AE84" s="1"/>
      <c r="AG84" s="19"/>
    </row>
    <row r="85" spans="1:36" ht="16">
      <c r="A85" s="6"/>
      <c r="B85" s="14" t="str">
        <f t="shared" ca="1" si="0"/>
        <v>MBM</v>
      </c>
      <c r="C85" s="23" t="str">
        <f ca="1">IFERROR(__xludf.DUMMYFUNCTION("""COMPUTED_VALUE"""),"MBM74")</f>
        <v>MBM74</v>
      </c>
      <c r="D85" s="6" t="str">
        <f ca="1">IFERROR(__xludf.DUMMYFUNCTION("""COMPUTED_VALUE"""),"PROPIOS")</f>
        <v>PROPIOS</v>
      </c>
      <c r="E85" s="6">
        <f ca="1">IFERROR(__xludf.DUMMYFUNCTION("""COMPUTED_VALUE"""),2026)</f>
        <v>2026</v>
      </c>
      <c r="F85" s="15">
        <f ca="1">IFERROR(__xludf.DUMMYFUNCTION("""COMPUTED_VALUE"""),1)</f>
        <v>1</v>
      </c>
      <c r="G85" s="6" t="str">
        <f ca="1">IFERROR(__xludf.DUMMYFUNCTION("""COMPUTED_VALUE"""),"Fuenlabrada")</f>
        <v>Fuenlabrada</v>
      </c>
      <c r="H85" s="6" t="str">
        <f ca="1">IFERROR(__xludf.DUMMYFUNCTION("""COMPUTED_VALUE"""),"C202511279152147211")</f>
        <v>C202511279152147211</v>
      </c>
      <c r="I85" s="6" t="str">
        <f ca="1">IFERROR(__xludf.DUMMYFUNCTION("""COMPUTED_VALUE"""),"MARGARITA CORTAZAR VIANCO")</f>
        <v>MARGARITA CORTAZAR VIANCO</v>
      </c>
      <c r="J85" s="16">
        <f ca="1">IFERROR(__xludf.DUMMYFUNCTION("""COMPUTED_VALUE"""),45988)</f>
        <v>45988</v>
      </c>
      <c r="K85" s="6" t="str">
        <f ca="1">IFERROR(__xludf.DUMMYFUNCTION("""COMPUTED_VALUE"""),"Factura audífonos")</f>
        <v>Factura audífonos</v>
      </c>
      <c r="L85" s="16">
        <f ca="1">IFERROR(__xludf.DUMMYFUNCTION("""COMPUTED_VALUE"""),46049)</f>
        <v>46049</v>
      </c>
      <c r="M85" s="6" t="str">
        <f ca="1">IFERROR(__xludf.DUMMYFUNCTION("""COMPUTED_VALUE"""),"NO")</f>
        <v>NO</v>
      </c>
      <c r="N85" s="15">
        <f ca="1">IFERROR(__xludf.DUMMYFUNCTION("""COMPUTED_VALUE"""),1)</f>
        <v>1</v>
      </c>
      <c r="O85" s="6" t="str">
        <f ca="1">IFERROR(__xludf.DUMMYFUNCTION("""COMPUTED_VALUE"""),"PRO")</f>
        <v>PRO</v>
      </c>
      <c r="P85" s="19">
        <f ca="1">IFERROR(__xludf.DUMMYFUNCTION("""COMPUTED_VALUE"""),2722.73)</f>
        <v>2722.73</v>
      </c>
      <c r="Q85" s="6" t="str">
        <f ca="1">IFERROR(__xludf.DUMMYFUNCTION("""COMPUTED_VALUE"""),"Maika Blázquez")</f>
        <v>Maika Blázquez</v>
      </c>
      <c r="R85" s="19" t="str">
        <f ca="1">IFERROR(__xludf.DUMMYFUNCTION("""COMPUTED_VALUE"""),"Raimundo Andres Navarro Mediano")</f>
        <v>Raimundo Andres Navarro Mediano</v>
      </c>
      <c r="S85" s="20" t="str">
        <f ca="1">IFERROR(__xludf.DUMMYFUNCTION("""COMPUTED_VALUE"""),"03 ORL")</f>
        <v>03 ORL</v>
      </c>
      <c r="T85" s="6" t="str">
        <f ca="1">IFERROR(__xludf.DUMMYFUNCTION("""COMPUTED_VALUE"""),"06 ORL")</f>
        <v>06 ORL</v>
      </c>
      <c r="U85" s="21"/>
      <c r="W85" s="21"/>
      <c r="X85" s="21"/>
      <c r="AE85" s="1"/>
      <c r="AG85" s="19"/>
      <c r="AJ85" s="19"/>
    </row>
    <row r="86" spans="1:36" ht="16">
      <c r="A86" s="6"/>
      <c r="B86" s="14" t="str">
        <f t="shared" ca="1" si="0"/>
        <v>LRM</v>
      </c>
      <c r="C86" s="23" t="str">
        <f ca="1">IFERROR(__xludf.DUMMYFUNCTION("""COMPUTED_VALUE"""),"LRM39")</f>
        <v>LRM39</v>
      </c>
      <c r="D86" s="6" t="str">
        <f ca="1">IFERROR(__xludf.DUMMYFUNCTION("""COMPUTED_VALUE"""),"PROPIOS")</f>
        <v>PROPIOS</v>
      </c>
      <c r="E86" s="6">
        <f ca="1">IFERROR(__xludf.DUMMYFUNCTION("""COMPUTED_VALUE"""),2026)</f>
        <v>2026</v>
      </c>
      <c r="F86" s="15">
        <f ca="1">IFERROR(__xludf.DUMMYFUNCTION("""COMPUTED_VALUE"""),1)</f>
        <v>1</v>
      </c>
      <c r="G86" s="6" t="str">
        <f ca="1">IFERROR(__xludf.DUMMYFUNCTION("""COMPUTED_VALUE"""),"Logroño")</f>
        <v>Logroño</v>
      </c>
      <c r="H86" s="6" t="str">
        <f ca="1">IFERROR(__xludf.DUMMYFUNCTION("""COMPUTED_VALUE"""),"C202512158202709477")</f>
        <v>C202512158202709477</v>
      </c>
      <c r="I86" s="6" t="str">
        <f ca="1">IFERROR(__xludf.DUMMYFUNCTION("""COMPUTED_VALUE"""),"JOSE LUIS MARQUINEZ IBAÑEZ")</f>
        <v>JOSE LUIS MARQUINEZ IBAÑEZ</v>
      </c>
      <c r="J86" s="16">
        <f ca="1">IFERROR(__xludf.DUMMYFUNCTION("""COMPUTED_VALUE"""),46006)</f>
        <v>46006</v>
      </c>
      <c r="K86" s="6" t="str">
        <f ca="1">IFERROR(__xludf.DUMMYFUNCTION("""COMPUTED_VALUE"""),"Factura audífonos")</f>
        <v>Factura audífonos</v>
      </c>
      <c r="L86" s="16">
        <f ca="1">IFERROR(__xludf.DUMMYFUNCTION("""COMPUTED_VALUE"""),46049)</f>
        <v>46049</v>
      </c>
      <c r="M86" s="6" t="str">
        <f ca="1">IFERROR(__xludf.DUMMYFUNCTION("""COMPUTED_VALUE"""),"NO")</f>
        <v>NO</v>
      </c>
      <c r="N86" s="15">
        <f ca="1">IFERROR(__xludf.DUMMYFUNCTION("""COMPUTED_VALUE"""),2)</f>
        <v>2</v>
      </c>
      <c r="O86" s="6" t="str">
        <f ca="1">IFERROR(__xludf.DUMMYFUNCTION("""COMPUTED_VALUE"""),"PRO")</f>
        <v>PRO</v>
      </c>
      <c r="P86" s="19">
        <f ca="1">IFERROR(__xludf.DUMMYFUNCTION("""COMPUTED_VALUE"""),4536.36)</f>
        <v>4536.3599999999997</v>
      </c>
      <c r="Q86" s="6" t="str">
        <f ca="1">IFERROR(__xludf.DUMMYFUNCTION("""COMPUTED_VALUE"""),"Lisandro Russian")</f>
        <v>Lisandro Russian</v>
      </c>
      <c r="R86" s="19" t="str">
        <f ca="1">IFERROR(__xludf.DUMMYFUNCTION("""COMPUTED_VALUE"""),"Fernando Salazar Barcelona")</f>
        <v>Fernando Salazar Barcelona</v>
      </c>
      <c r="S86" s="20" t="str">
        <f ca="1">IFERROR(__xludf.DUMMYFUNCTION("""COMPUTED_VALUE"""),"03 ORL")</f>
        <v>03 ORL</v>
      </c>
      <c r="T86" s="6" t="str">
        <f ca="1">IFERROR(__xludf.DUMMYFUNCTION("""COMPUTED_VALUE"""),"06 ORL")</f>
        <v>06 ORL</v>
      </c>
      <c r="U86" s="21"/>
      <c r="W86" s="21"/>
      <c r="X86" s="21"/>
      <c r="AE86" s="1"/>
      <c r="AG86" s="19"/>
    </row>
    <row r="87" spans="1:36" ht="16">
      <c r="A87" s="6"/>
      <c r="B87" s="14" t="str">
        <f t="shared" ca="1" si="0"/>
        <v>LRM</v>
      </c>
      <c r="C87" s="23" t="str">
        <f ca="1">IFERROR(__xludf.DUMMYFUNCTION("""COMPUTED_VALUE"""),"LRM48")</f>
        <v>LRM48</v>
      </c>
      <c r="D87" s="6" t="str">
        <f ca="1">IFERROR(__xludf.DUMMYFUNCTION("""COMPUTED_VALUE"""),"PROPIOS")</f>
        <v>PROPIOS</v>
      </c>
      <c r="E87" s="6">
        <f ca="1">IFERROR(__xludf.DUMMYFUNCTION("""COMPUTED_VALUE"""),2026)</f>
        <v>2026</v>
      </c>
      <c r="F87" s="15">
        <f ca="1">IFERROR(__xludf.DUMMYFUNCTION("""COMPUTED_VALUE"""),1)</f>
        <v>1</v>
      </c>
      <c r="G87" s="6" t="str">
        <f ca="1">IFERROR(__xludf.DUMMYFUNCTION("""COMPUTED_VALUE"""),"Logroño")</f>
        <v>Logroño</v>
      </c>
      <c r="H87" s="6" t="str">
        <f ca="1">IFERROR(__xludf.DUMMYFUNCTION("""COMPUTED_VALUE"""),"C202615112933324246")</f>
        <v>C202615112933324246</v>
      </c>
      <c r="I87" s="6" t="str">
        <f ca="1">IFERROR(__xludf.DUMMYFUNCTION("""COMPUTED_VALUE"""),"GREGORIO ANDRES MURILLO BARTOLOME")</f>
        <v>GREGORIO ANDRES MURILLO BARTOLOME</v>
      </c>
      <c r="J87" s="16">
        <f ca="1">IFERROR(__xludf.DUMMYFUNCTION("""COMPUTED_VALUE"""),46027)</f>
        <v>46027</v>
      </c>
      <c r="K87" s="6" t="str">
        <f ca="1">IFERROR(__xludf.DUMMYFUNCTION("""COMPUTED_VALUE"""),"Factura audífonos")</f>
        <v>Factura audífonos</v>
      </c>
      <c r="L87" s="16">
        <f ca="1">IFERROR(__xludf.DUMMYFUNCTION("""COMPUTED_VALUE"""),46049)</f>
        <v>46049</v>
      </c>
      <c r="M87" s="6" t="str">
        <f ca="1">IFERROR(__xludf.DUMMYFUNCTION("""COMPUTED_VALUE"""),"NO")</f>
        <v>NO</v>
      </c>
      <c r="N87" s="15">
        <f ca="1">IFERROR(__xludf.DUMMYFUNCTION("""COMPUTED_VALUE"""),2)</f>
        <v>2</v>
      </c>
      <c r="O87" s="6" t="str">
        <f ca="1">IFERROR(__xludf.DUMMYFUNCTION("""COMPUTED_VALUE"""),"QUIET")</f>
        <v>QUIET</v>
      </c>
      <c r="P87" s="19">
        <f ca="1">IFERROR(__xludf.DUMMYFUNCTION("""COMPUTED_VALUE"""),2582.27)</f>
        <v>2582.27</v>
      </c>
      <c r="Q87" s="6" t="str">
        <f ca="1">IFERROR(__xludf.DUMMYFUNCTION("""COMPUTED_VALUE"""),"Lisandro Russian")</f>
        <v>Lisandro Russian</v>
      </c>
      <c r="R87" s="19" t="str">
        <f ca="1">IFERROR(__xludf.DUMMYFUNCTION("""COMPUTED_VALUE"""),"Garikoitz Calzada Uriondo")</f>
        <v>Garikoitz Calzada Uriondo</v>
      </c>
      <c r="S87" s="20" t="str">
        <f ca="1">IFERROR(__xludf.DUMMYFUNCTION("""COMPUTED_VALUE"""),"03 ORL")</f>
        <v>03 ORL</v>
      </c>
      <c r="T87" s="6" t="str">
        <f ca="1">IFERROR(__xludf.DUMMYFUNCTION("""COMPUTED_VALUE"""),"06 ORL")</f>
        <v>06 ORL</v>
      </c>
      <c r="U87" s="21"/>
      <c r="W87" s="21"/>
      <c r="X87" s="21"/>
      <c r="AG87" s="19"/>
      <c r="AJ87" s="19"/>
    </row>
    <row r="88" spans="1:36" ht="16">
      <c r="A88" s="6"/>
      <c r="B88" s="14" t="str">
        <f t="shared" ca="1" si="0"/>
        <v>ISL</v>
      </c>
      <c r="C88" s="23" t="str">
        <f ca="1">IFERROR(__xludf.DUMMYFUNCTION("""COMPUTED_VALUE"""),"ISL104")</f>
        <v>ISL104</v>
      </c>
      <c r="D88" s="6" t="str">
        <f ca="1">IFERROR(__xludf.DUMMYFUNCTION("""COMPUTED_VALUE"""),"PROPIOS")</f>
        <v>PROPIOS</v>
      </c>
      <c r="E88" s="6">
        <f ca="1">IFERROR(__xludf.DUMMYFUNCTION("""COMPUTED_VALUE"""),2026)</f>
        <v>2026</v>
      </c>
      <c r="F88" s="15">
        <f ca="1">IFERROR(__xludf.DUMMYFUNCTION("""COMPUTED_VALUE"""),1)</f>
        <v>1</v>
      </c>
      <c r="G88" s="6" t="str">
        <f ca="1">IFERROR(__xludf.DUMMYFUNCTION("""COMPUTED_VALUE"""),"El Albir (Benidorm)")</f>
        <v>El Albir (Benidorm)</v>
      </c>
      <c r="H88" s="6" t="str">
        <f ca="1">IFERROR(__xludf.DUMMYFUNCTION("""COMPUTED_VALUE"""),"C20261785351356795")</f>
        <v>C20261785351356795</v>
      </c>
      <c r="I88" s="6" t="str">
        <f ca="1">IFERROR(__xludf.DUMMYFUNCTION("""COMPUTED_VALUE"""),"FRANCISCO  DOMINGUEZ DONADO")</f>
        <v>FRANCISCO  DOMINGUEZ DONADO</v>
      </c>
      <c r="J88" s="16">
        <f ca="1">IFERROR(__xludf.DUMMYFUNCTION("""COMPUTED_VALUE"""),46029)</f>
        <v>46029</v>
      </c>
      <c r="K88" s="6" t="str">
        <f ca="1">IFERROR(__xludf.DUMMYFUNCTION("""COMPUTED_VALUE"""),"Factura audífonos")</f>
        <v>Factura audífonos</v>
      </c>
      <c r="L88" s="16">
        <f ca="1">IFERROR(__xludf.DUMMYFUNCTION("""COMPUTED_VALUE"""),46049)</f>
        <v>46049</v>
      </c>
      <c r="M88" s="6" t="str">
        <f ca="1">IFERROR(__xludf.DUMMYFUNCTION("""COMPUTED_VALUE"""),"NO")</f>
        <v>NO</v>
      </c>
      <c r="N88" s="15">
        <f ca="1">IFERROR(__xludf.DUMMYFUNCTION("""COMPUTED_VALUE"""),2)</f>
        <v>2</v>
      </c>
      <c r="O88" s="6" t="str">
        <f ca="1">IFERROR(__xludf.DUMMYFUNCTION("""COMPUTED_VALUE"""),"CONFORT")</f>
        <v>CONFORT</v>
      </c>
      <c r="P88" s="18">
        <f ca="1">IFERROR(__xludf.DUMMYFUNCTION("""COMPUTED_VALUE"""),3631.81)</f>
        <v>3631.81</v>
      </c>
      <c r="Q88" s="6" t="str">
        <f ca="1">IFERROR(__xludf.DUMMYFUNCTION("""COMPUTED_VALUE"""),"Ramon Ferrando")</f>
        <v>Ramon Ferrando</v>
      </c>
      <c r="R88" s="19" t="str">
        <f ca="1">IFERROR(__xludf.DUMMYFUNCTION("""COMPUTED_VALUE"""),"Isabel Polo Tomás")</f>
        <v>Isabel Polo Tomás</v>
      </c>
      <c r="S88" s="20" t="str">
        <f ca="1">IFERROR(__xludf.DUMMYFUNCTION("""COMPUTED_VALUE"""),"03 ORL")</f>
        <v>03 ORL</v>
      </c>
      <c r="T88" s="6" t="str">
        <f ca="1">IFERROR(__xludf.DUMMYFUNCTION("""COMPUTED_VALUE"""),"06 ORL")</f>
        <v>06 ORL</v>
      </c>
      <c r="U88" s="21"/>
      <c r="W88" s="21"/>
      <c r="X88" s="21"/>
      <c r="AG88" s="18"/>
    </row>
    <row r="89" spans="1:36" ht="16">
      <c r="A89" s="6"/>
      <c r="B89" s="14" t="str">
        <f t="shared" ca="1" si="0"/>
        <v>ISL</v>
      </c>
      <c r="C89" s="23" t="str">
        <f ca="1">IFERROR(__xludf.DUMMYFUNCTION("""COMPUTED_VALUE"""),"ISL91")</f>
        <v>ISL91</v>
      </c>
      <c r="D89" s="6" t="str">
        <f ca="1">IFERROR(__xludf.DUMMYFUNCTION("""COMPUTED_VALUE"""),"PROPIOS")</f>
        <v>PROPIOS</v>
      </c>
      <c r="E89" s="6">
        <f ca="1">IFERROR(__xludf.DUMMYFUNCTION("""COMPUTED_VALUE"""),2026)</f>
        <v>2026</v>
      </c>
      <c r="F89" s="15">
        <f ca="1">IFERROR(__xludf.DUMMYFUNCTION("""COMPUTED_VALUE"""),1)</f>
        <v>1</v>
      </c>
      <c r="G89" s="6" t="str">
        <f ca="1">IFERROR(__xludf.DUMMYFUNCTION("""COMPUTED_VALUE"""),"Murcia")</f>
        <v>Murcia</v>
      </c>
      <c r="H89" s="6" t="str">
        <f ca="1">IFERROR(__xludf.DUMMYFUNCTION("""COMPUTED_VALUE"""),"C202512191124560708")</f>
        <v>C202512191124560708</v>
      </c>
      <c r="I89" s="6" t="str">
        <f ca="1">IFERROR(__xludf.DUMMYFUNCTION("""COMPUTED_VALUE"""),"RAMON  ANDREU ANDREU")</f>
        <v>RAMON  ANDREU ANDREU</v>
      </c>
      <c r="J89" s="16">
        <f ca="1">IFERROR(__xludf.DUMMYFUNCTION("""COMPUTED_VALUE"""),46010)</f>
        <v>46010</v>
      </c>
      <c r="K89" s="6" t="str">
        <f ca="1">IFERROR(__xludf.DUMMYFUNCTION("""COMPUTED_VALUE"""),"Factura audífonos")</f>
        <v>Factura audífonos</v>
      </c>
      <c r="L89" s="16">
        <f ca="1">IFERROR(__xludf.DUMMYFUNCTION("""COMPUTED_VALUE"""),46049)</f>
        <v>46049</v>
      </c>
      <c r="M89" s="6" t="str">
        <f ca="1">IFERROR(__xludf.DUMMYFUNCTION("""COMPUTED_VALUE"""),"NO")</f>
        <v>NO</v>
      </c>
      <c r="N89" s="15">
        <f ca="1">IFERROR(__xludf.DUMMYFUNCTION("""COMPUTED_VALUE"""),2)</f>
        <v>2</v>
      </c>
      <c r="O89" s="6" t="str">
        <f ca="1">IFERROR(__xludf.DUMMYFUNCTION("""COMPUTED_VALUE"""),"QUIET")</f>
        <v>QUIET</v>
      </c>
      <c r="P89" s="19">
        <f ca="1">IFERROR(__xludf.DUMMYFUNCTION("""COMPUTED_VALUE"""),2718.18)</f>
        <v>2718.18</v>
      </c>
      <c r="Q89" s="6" t="str">
        <f ca="1">IFERROR(__xludf.DUMMYFUNCTION("""COMPUTED_VALUE"""),"Iván Sánchez")</f>
        <v>Iván Sánchez</v>
      </c>
      <c r="R89" s="19" t="str">
        <f ca="1">IFERROR(__xludf.DUMMYFUNCTION("""COMPUTED_VALUE"""),"Alejandra Jara Maquilón")</f>
        <v>Alejandra Jara Maquilón</v>
      </c>
      <c r="S89" s="20" t="str">
        <f ca="1">IFERROR(__xludf.DUMMYFUNCTION("""COMPUTED_VALUE"""),"03 ORL")</f>
        <v>03 ORL</v>
      </c>
      <c r="T89" s="6" t="str">
        <f ca="1">IFERROR(__xludf.DUMMYFUNCTION("""COMPUTED_VALUE"""),"06 ORL")</f>
        <v>06 ORL</v>
      </c>
      <c r="U89" s="21"/>
      <c r="W89" s="21"/>
      <c r="X89" s="21"/>
      <c r="AG89" s="19"/>
    </row>
    <row r="90" spans="1:36" ht="16">
      <c r="A90" s="6"/>
      <c r="B90" s="14" t="str">
        <f t="shared" ca="1" si="0"/>
        <v>MCC</v>
      </c>
      <c r="C90" s="23" t="str">
        <f ca="1">IFERROR(__xludf.DUMMYFUNCTION("""COMPUTED_VALUE"""),"MCC10")</f>
        <v>MCC10</v>
      </c>
      <c r="D90" s="6" t="str">
        <f ca="1">IFERROR(__xludf.DUMMYFUNCTION("""COMPUTED_VALUE"""),"PARTICIPADOS")</f>
        <v>PARTICIPADOS</v>
      </c>
      <c r="E90" s="6">
        <f ca="1">IFERROR(__xludf.DUMMYFUNCTION("""COMPUTED_VALUE"""),2026)</f>
        <v>2026</v>
      </c>
      <c r="F90" s="15">
        <f ca="1">IFERROR(__xludf.DUMMYFUNCTION("""COMPUTED_VALUE"""),1)</f>
        <v>1</v>
      </c>
      <c r="G90" s="6" t="str">
        <f ca="1">IFERROR(__xludf.DUMMYFUNCTION("""COMPUTED_VALUE"""),"Barcelona- Córcega")</f>
        <v>Barcelona- Córcega</v>
      </c>
      <c r="H90" s="6" t="str">
        <f ca="1">IFERROR(__xludf.DUMMYFUNCTION("""COMPUTED_VALUE"""),"C202511141556043637")</f>
        <v>C202511141556043637</v>
      </c>
      <c r="I90" s="6" t="str">
        <f ca="1">IFERROR(__xludf.DUMMYFUNCTION("""COMPUTED_VALUE"""),"MANEL ALCAIDE VILLANUEVA")</f>
        <v>MANEL ALCAIDE VILLANUEVA</v>
      </c>
      <c r="J90" s="16">
        <f ca="1">IFERROR(__xludf.DUMMYFUNCTION("""COMPUTED_VALUE"""),45975)</f>
        <v>45975</v>
      </c>
      <c r="K90" s="6" t="str">
        <f ca="1">IFERROR(__xludf.DUMMYFUNCTION("""COMPUTED_VALUE"""),"Factura audífonos")</f>
        <v>Factura audífonos</v>
      </c>
      <c r="L90" s="16">
        <f ca="1">IFERROR(__xludf.DUMMYFUNCTION("""COMPUTED_VALUE"""),46049)</f>
        <v>46049</v>
      </c>
      <c r="M90" s="6" t="str">
        <f ca="1">IFERROR(__xludf.DUMMYFUNCTION("""COMPUTED_VALUE"""),"NO")</f>
        <v>NO</v>
      </c>
      <c r="N90" s="15">
        <f ca="1">IFERROR(__xludf.DUMMYFUNCTION("""COMPUTED_VALUE"""),2)</f>
        <v>2</v>
      </c>
      <c r="O90" s="6" t="str">
        <f ca="1">IFERROR(__xludf.DUMMYFUNCTION("""COMPUTED_VALUE"""),"PRO")</f>
        <v>PRO</v>
      </c>
      <c r="P90" s="19">
        <f ca="1">IFERROR(__xludf.DUMMYFUNCTION("""COMPUTED_VALUE"""),4536.37)</f>
        <v>4536.37</v>
      </c>
      <c r="Q90" s="6" t="str">
        <f ca="1">IFERROR(__xludf.DUMMYFUNCTION("""COMPUTED_VALUE"""),"Mercè Cabrera")</f>
        <v>Mercè Cabrera</v>
      </c>
      <c r="R90" s="19" t="str">
        <f ca="1">IFERROR(__xludf.DUMMYFUNCTION("""COMPUTED_VALUE"""),"Enrique Romero Van Abeleen")</f>
        <v>Enrique Romero Van Abeleen</v>
      </c>
      <c r="S90" s="20" t="str">
        <f ca="1">IFERROR(__xludf.DUMMYFUNCTION("""COMPUTED_VALUE"""),"03 ORL")</f>
        <v>03 ORL</v>
      </c>
      <c r="T90" s="6" t="str">
        <f ca="1">IFERROR(__xludf.DUMMYFUNCTION("""COMPUTED_VALUE"""),"06 ORL")</f>
        <v>06 ORL</v>
      </c>
      <c r="U90" s="21"/>
      <c r="W90" s="21"/>
      <c r="X90" s="21"/>
      <c r="AG90" s="19"/>
      <c r="AJ90" s="19"/>
    </row>
    <row r="91" spans="1:36" ht="16">
      <c r="A91" s="6"/>
      <c r="B91" s="14" t="str">
        <f t="shared" ca="1" si="0"/>
        <v>MBM</v>
      </c>
      <c r="C91" s="23" t="str">
        <f ca="1">IFERROR(__xludf.DUMMYFUNCTION("""COMPUTED_VALUE"""),"MBM132")</f>
        <v>MBM132</v>
      </c>
      <c r="D91" s="6" t="str">
        <f ca="1">IFERROR(__xludf.DUMMYFUNCTION("""COMPUTED_VALUE"""),"PARTICIPADOS")</f>
        <v>PARTICIPADOS</v>
      </c>
      <c r="E91" s="6">
        <f ca="1">IFERROR(__xludf.DUMMYFUNCTION("""COMPUTED_VALUE"""),2026)</f>
        <v>2026</v>
      </c>
      <c r="F91" s="15">
        <f ca="1">IFERROR(__xludf.DUMMYFUNCTION("""COMPUTED_VALUE"""),1)</f>
        <v>1</v>
      </c>
      <c r="G91" s="6" t="str">
        <f ca="1">IFERROR(__xludf.DUMMYFUNCTION("""COMPUTED_VALUE"""),"Madrid- La Oca")</f>
        <v>Madrid- La Oca</v>
      </c>
      <c r="H91" s="6" t="str">
        <f ca="1">IFERROR(__xludf.DUMMYFUNCTION("""COMPUTED_VALUE"""),"C202511315038757150")</f>
        <v>C202511315038757150</v>
      </c>
      <c r="I91" s="6" t="str">
        <f ca="1">IFERROR(__xludf.DUMMYFUNCTION("""COMPUTED_VALUE"""),"NIEVES  ORDAS FIDALGO")</f>
        <v>NIEVES  ORDAS FIDALGO</v>
      </c>
      <c r="J91" s="16">
        <f ca="1">IFERROR(__xludf.DUMMYFUNCTION("""COMPUTED_VALUE"""),45964)</f>
        <v>45964</v>
      </c>
      <c r="K91" s="6" t="str">
        <f ca="1">IFERROR(__xludf.DUMMYFUNCTION("""COMPUTED_VALUE"""),"Factura audífonos")</f>
        <v>Factura audífonos</v>
      </c>
      <c r="L91" s="16">
        <f ca="1">IFERROR(__xludf.DUMMYFUNCTION("""COMPUTED_VALUE"""),46049)</f>
        <v>46049</v>
      </c>
      <c r="M91" s="6" t="str">
        <f ca="1">IFERROR(__xludf.DUMMYFUNCTION("""COMPUTED_VALUE"""),"NO")</f>
        <v>NO</v>
      </c>
      <c r="N91" s="15">
        <f ca="1">IFERROR(__xludf.DUMMYFUNCTION("""COMPUTED_VALUE"""),2)</f>
        <v>2</v>
      </c>
      <c r="O91" s="6" t="str">
        <f ca="1">IFERROR(__xludf.DUMMYFUNCTION("""COMPUTED_VALUE"""),"QUIET")</f>
        <v>QUIET</v>
      </c>
      <c r="P91" s="18">
        <f ca="1">IFERROR(__xludf.DUMMYFUNCTION("""COMPUTED_VALUE"""),2718.18)</f>
        <v>2718.18</v>
      </c>
      <c r="Q91" s="6" t="str">
        <f ca="1">IFERROR(__xludf.DUMMYFUNCTION("""COMPUTED_VALUE"""),"Maika Blázquez")</f>
        <v>Maika Blázquez</v>
      </c>
      <c r="R91" s="19" t="str">
        <f ca="1">IFERROR(__xludf.DUMMYFUNCTION("""COMPUTED_VALUE"""),"Laura Ruano De Pablo")</f>
        <v>Laura Ruano De Pablo</v>
      </c>
      <c r="S91" s="20" t="str">
        <f ca="1">IFERROR(__xludf.DUMMYFUNCTION("""COMPUTED_VALUE"""),"03 ORL")</f>
        <v>03 ORL</v>
      </c>
      <c r="T91" s="6" t="str">
        <f ca="1">IFERROR(__xludf.DUMMYFUNCTION("""COMPUTED_VALUE"""),"06 ORL")</f>
        <v>06 ORL</v>
      </c>
      <c r="U91" s="21"/>
      <c r="W91" s="21"/>
      <c r="X91" s="21"/>
      <c r="AG91" s="18"/>
    </row>
    <row r="92" spans="1:36" ht="16">
      <c r="A92" s="6"/>
      <c r="B92" s="14" t="str">
        <f t="shared" ca="1" si="0"/>
        <v>LRM</v>
      </c>
      <c r="C92" s="23" t="str">
        <f ca="1">IFERROR(__xludf.DUMMYFUNCTION("""COMPUTED_VALUE"""),"LRM13")</f>
        <v>LRM13</v>
      </c>
      <c r="D92" s="6" t="str">
        <f ca="1">IFERROR(__xludf.DUMMYFUNCTION("""COMPUTED_VALUE"""),"PARTICIPADOS")</f>
        <v>PARTICIPADOS</v>
      </c>
      <c r="E92" s="6">
        <f ca="1">IFERROR(__xludf.DUMMYFUNCTION("""COMPUTED_VALUE"""),2026)</f>
        <v>2026</v>
      </c>
      <c r="F92" s="15">
        <f ca="1">IFERROR(__xludf.DUMMYFUNCTION("""COMPUTED_VALUE"""),1)</f>
        <v>1</v>
      </c>
      <c r="G92" s="6" t="str">
        <f ca="1">IFERROR(__xludf.DUMMYFUNCTION("""COMPUTED_VALUE"""),"Madrid- Costa Rica")</f>
        <v>Madrid- Costa Rica</v>
      </c>
      <c r="H92" s="6" t="str">
        <f ca="1">IFERROR(__xludf.DUMMYFUNCTION("""COMPUTED_VALUE"""),"C202512512211094875")</f>
        <v>C202512512211094875</v>
      </c>
      <c r="I92" s="6" t="str">
        <f ca="1">IFERROR(__xludf.DUMMYFUNCTION("""COMPUTED_VALUE"""),"MICHELE CUNY")</f>
        <v>MICHELE CUNY</v>
      </c>
      <c r="J92" s="16">
        <f ca="1">IFERROR(__xludf.DUMMYFUNCTION("""COMPUTED_VALUE"""),45996)</f>
        <v>45996</v>
      </c>
      <c r="K92" s="6" t="str">
        <f ca="1">IFERROR(__xludf.DUMMYFUNCTION("""COMPUTED_VALUE"""),"Factura audífonos")</f>
        <v>Factura audífonos</v>
      </c>
      <c r="L92" s="16">
        <f ca="1">IFERROR(__xludf.DUMMYFUNCTION("""COMPUTED_VALUE"""),46049)</f>
        <v>46049</v>
      </c>
      <c r="M92" s="6" t="str">
        <f ca="1">IFERROR(__xludf.DUMMYFUNCTION("""COMPUTED_VALUE"""),"NO")</f>
        <v>NO</v>
      </c>
      <c r="N92" s="15">
        <f ca="1">IFERROR(__xludf.DUMMYFUNCTION("""COMPUTED_VALUE"""),2)</f>
        <v>2</v>
      </c>
      <c r="O92" s="6" t="str">
        <f ca="1">IFERROR(__xludf.DUMMYFUNCTION("""COMPUTED_VALUE"""),"QUIET")</f>
        <v>QUIET</v>
      </c>
      <c r="P92" s="18">
        <f ca="1">IFERROR(__xludf.DUMMYFUNCTION("""COMPUTED_VALUE"""),2718.18)</f>
        <v>2718.18</v>
      </c>
      <c r="Q92" s="6" t="str">
        <f ca="1">IFERROR(__xludf.DUMMYFUNCTION("""COMPUTED_VALUE"""),"Lisandro Russian")</f>
        <v>Lisandro Russian</v>
      </c>
      <c r="R92" s="19" t="str">
        <f ca="1">IFERROR(__xludf.DUMMYFUNCTION("""COMPUTED_VALUE"""),"Antonio Bueno Ríos")</f>
        <v>Antonio Bueno Ríos</v>
      </c>
      <c r="S92" s="20" t="str">
        <f ca="1">IFERROR(__xludf.DUMMYFUNCTION("""COMPUTED_VALUE"""),"03 ORL")</f>
        <v>03 ORL</v>
      </c>
      <c r="T92" s="6" t="str">
        <f ca="1">IFERROR(__xludf.DUMMYFUNCTION("""COMPUTED_VALUE"""),"06 ORL")</f>
        <v>06 ORL</v>
      </c>
      <c r="U92" s="21"/>
      <c r="W92" s="21"/>
      <c r="X92" s="21"/>
      <c r="AG92" s="19"/>
      <c r="AJ92" s="19"/>
    </row>
    <row r="93" spans="1:36" ht="16">
      <c r="A93" s="6"/>
      <c r="B93" s="14" t="str">
        <f t="shared" ca="1" si="0"/>
        <v>RPG</v>
      </c>
      <c r="C93" s="23" t="str">
        <f ca="1">IFERROR(__xludf.DUMMYFUNCTION("""COMPUTED_VALUE"""),"RPG51")</f>
        <v>RPG51</v>
      </c>
      <c r="D93" s="6" t="str">
        <f ca="1">IFERROR(__xludf.DUMMYFUNCTION("""COMPUTED_VALUE"""),"PARTICIPADOS")</f>
        <v>PARTICIPADOS</v>
      </c>
      <c r="E93" s="6">
        <f ca="1">IFERROR(__xludf.DUMMYFUNCTION("""COMPUTED_VALUE"""),2026)</f>
        <v>2026</v>
      </c>
      <c r="F93" s="15">
        <f ca="1">IFERROR(__xludf.DUMMYFUNCTION("""COMPUTED_VALUE"""),1)</f>
        <v>1</v>
      </c>
      <c r="G93" s="6" t="str">
        <f ca="1">IFERROR(__xludf.DUMMYFUNCTION("""COMPUTED_VALUE"""),"Ourense")</f>
        <v>Ourense</v>
      </c>
      <c r="H93" s="6" t="str">
        <f ca="1">IFERROR(__xludf.DUMMYFUNCTION("""COMPUTED_VALUE"""),"C202512111122089926")</f>
        <v>C202512111122089926</v>
      </c>
      <c r="I93" s="6" t="str">
        <f ca="1">IFERROR(__xludf.DUMMYFUNCTION("""COMPUTED_VALUE"""),"MARCELINO QUINTAS SUAREZ")</f>
        <v>MARCELINO QUINTAS SUAREZ</v>
      </c>
      <c r="J93" s="16">
        <f ca="1">IFERROR(__xludf.DUMMYFUNCTION("""COMPUTED_VALUE"""),46002)</f>
        <v>46002</v>
      </c>
      <c r="K93" s="6" t="str">
        <f ca="1">IFERROR(__xludf.DUMMYFUNCTION("""COMPUTED_VALUE"""),"Factura audífonos")</f>
        <v>Factura audífonos</v>
      </c>
      <c r="L93" s="16">
        <f ca="1">IFERROR(__xludf.DUMMYFUNCTION("""COMPUTED_VALUE"""),46049)</f>
        <v>46049</v>
      </c>
      <c r="M93" s="6" t="str">
        <f ca="1">IFERROR(__xludf.DUMMYFUNCTION("""COMPUTED_VALUE"""),"NO")</f>
        <v>NO</v>
      </c>
      <c r="N93" s="15">
        <f ca="1">IFERROR(__xludf.DUMMYFUNCTION("""COMPUTED_VALUE"""),1)</f>
        <v>1</v>
      </c>
      <c r="O93" s="6" t="str">
        <f ca="1">IFERROR(__xludf.DUMMYFUNCTION("""COMPUTED_VALUE"""),"CONFORT")</f>
        <v>CONFORT</v>
      </c>
      <c r="P93" s="19">
        <f ca="1">IFERROR(__xludf.DUMMYFUNCTION("""COMPUTED_VALUE"""),2180.91)</f>
        <v>2180.91</v>
      </c>
      <c r="Q93" s="6" t="str">
        <f ca="1">IFERROR(__xludf.DUMMYFUNCTION("""COMPUTED_VALUE"""),"Alberto Moreno")</f>
        <v>Alberto Moreno</v>
      </c>
      <c r="R93" s="19" t="str">
        <f ca="1">IFERROR(__xludf.DUMMYFUNCTION("""COMPUTED_VALUE"""),"María Rey Marcos")</f>
        <v>María Rey Marcos</v>
      </c>
      <c r="S93" s="20" t="str">
        <f ca="1">IFERROR(__xludf.DUMMYFUNCTION("""COMPUTED_VALUE"""),"03 ORL")</f>
        <v>03 ORL</v>
      </c>
      <c r="T93" s="6" t="str">
        <f ca="1">IFERROR(__xludf.DUMMYFUNCTION("""COMPUTED_VALUE"""),"06 ORL")</f>
        <v>06 ORL</v>
      </c>
      <c r="U93" s="21"/>
      <c r="W93" s="21"/>
      <c r="X93" s="21"/>
      <c r="AG93" s="19"/>
      <c r="AJ93" s="19"/>
    </row>
    <row r="94" spans="1:36" ht="16">
      <c r="A94" s="6"/>
      <c r="B94" s="14" t="str">
        <f t="shared" ca="1" si="0"/>
        <v>ISL</v>
      </c>
      <c r="C94" s="23" t="str">
        <f ca="1">IFERROR(__xludf.DUMMYFUNCTION("""COMPUTED_VALUE"""),"ISL94")</f>
        <v>ISL94</v>
      </c>
      <c r="D94" s="6" t="str">
        <f ca="1">IFERROR(__xludf.DUMMYFUNCTION("""COMPUTED_VALUE"""),"PROPIOS")</f>
        <v>PROPIOS</v>
      </c>
      <c r="E94" s="6">
        <f ca="1">IFERROR(__xludf.DUMMYFUNCTION("""COMPUTED_VALUE"""),2026)</f>
        <v>2026</v>
      </c>
      <c r="F94" s="15">
        <f ca="1">IFERROR(__xludf.DUMMYFUNCTION("""COMPUTED_VALUE"""),1)</f>
        <v>1</v>
      </c>
      <c r="G94" s="6" t="str">
        <f ca="1">IFERROR(__xludf.DUMMYFUNCTION("""COMPUTED_VALUE"""),"Murcia")</f>
        <v>Murcia</v>
      </c>
      <c r="H94" s="6" t="str">
        <f ca="1">IFERROR(__xludf.DUMMYFUNCTION("""COMPUTED_VALUE"""),"C202615105031143656")</f>
        <v>C202615105031143656</v>
      </c>
      <c r="I94" s="6" t="str">
        <f ca="1">IFERROR(__xludf.DUMMYFUNCTION("""COMPUTED_VALUE"""),"MARIA ANGELES HERNANDEZ VAZQUEZ")</f>
        <v>MARIA ANGELES HERNANDEZ VAZQUEZ</v>
      </c>
      <c r="J94" s="16">
        <f ca="1">IFERROR(__xludf.DUMMYFUNCTION("""COMPUTED_VALUE"""),46027)</f>
        <v>46027</v>
      </c>
      <c r="K94" s="6" t="str">
        <f ca="1">IFERROR(__xludf.DUMMYFUNCTION("""COMPUTED_VALUE"""),"Factura audífonos")</f>
        <v>Factura audífonos</v>
      </c>
      <c r="L94" s="16">
        <f ca="1">IFERROR(__xludf.DUMMYFUNCTION("""COMPUTED_VALUE"""),46049)</f>
        <v>46049</v>
      </c>
      <c r="M94" s="6" t="str">
        <f ca="1">IFERROR(__xludf.DUMMYFUNCTION("""COMPUTED_VALUE"""),"NO")</f>
        <v>NO</v>
      </c>
      <c r="N94" s="15">
        <f ca="1">IFERROR(__xludf.DUMMYFUNCTION("""COMPUTED_VALUE"""),2)</f>
        <v>2</v>
      </c>
      <c r="O94" s="6" t="str">
        <f ca="1">IFERROR(__xludf.DUMMYFUNCTION("""COMPUTED_VALUE"""),"QUIET")</f>
        <v>QUIET</v>
      </c>
      <c r="P94" s="18">
        <f ca="1">IFERROR(__xludf.DUMMYFUNCTION("""COMPUTED_VALUE"""),2718.18)</f>
        <v>2718.18</v>
      </c>
      <c r="Q94" s="6" t="str">
        <f ca="1">IFERROR(__xludf.DUMMYFUNCTION("""COMPUTED_VALUE"""),"Iván Sánchez")</f>
        <v>Iván Sánchez</v>
      </c>
      <c r="R94" s="19" t="str">
        <f ca="1">IFERROR(__xludf.DUMMYFUNCTION("""COMPUTED_VALUE"""),"Beatriz Rodríguez González Herrero")</f>
        <v>Beatriz Rodríguez González Herrero</v>
      </c>
      <c r="S94" s="20" t="str">
        <f ca="1">IFERROR(__xludf.DUMMYFUNCTION("""COMPUTED_VALUE"""),"03 ORL")</f>
        <v>03 ORL</v>
      </c>
      <c r="T94" s="6" t="str">
        <f ca="1">IFERROR(__xludf.DUMMYFUNCTION("""COMPUTED_VALUE"""),"06 ORL")</f>
        <v>06 ORL</v>
      </c>
      <c r="U94" s="21"/>
      <c r="W94" s="21"/>
      <c r="X94" s="21"/>
      <c r="AG94" s="19"/>
      <c r="AJ94" s="19"/>
    </row>
    <row r="95" spans="1:36" ht="16">
      <c r="A95" s="6"/>
      <c r="B95" s="14" t="str">
        <f t="shared" ca="1" si="0"/>
        <v>LAA</v>
      </c>
      <c r="C95" s="23" t="str">
        <f ca="1">IFERROR(__xludf.DUMMYFUNCTION("""COMPUTED_VALUE"""),"LAA78")</f>
        <v>LAA78</v>
      </c>
      <c r="D95" s="6" t="str">
        <f ca="1">IFERROR(__xludf.DUMMYFUNCTION("""COMPUTED_VALUE"""),"PROPIOS")</f>
        <v>PROPIOS</v>
      </c>
      <c r="E95" s="6">
        <f ca="1">IFERROR(__xludf.DUMMYFUNCTION("""COMPUTED_VALUE"""),2026)</f>
        <v>2026</v>
      </c>
      <c r="F95" s="15">
        <f ca="1">IFERROR(__xludf.DUMMYFUNCTION("""COMPUTED_VALUE"""),1)</f>
        <v>1</v>
      </c>
      <c r="G95" s="6" t="str">
        <f ca="1">IFERROR(__xludf.DUMMYFUNCTION("""COMPUTED_VALUE"""),"Jerez de la Frontera")</f>
        <v>Jerez de la Frontera</v>
      </c>
      <c r="H95" s="6" t="str">
        <f ca="1">IFERROR(__xludf.DUMMYFUNCTION("""COMPUTED_VALUE"""),"C202617145953074840")</f>
        <v>C202617145953074840</v>
      </c>
      <c r="I95" s="6" t="str">
        <f ca="1">IFERROR(__xludf.DUMMYFUNCTION("""COMPUTED_VALUE"""),"herminia CORDERO RODRIGUEZ")</f>
        <v>herminia CORDERO RODRIGUEZ</v>
      </c>
      <c r="J95" s="16">
        <f ca="1">IFERROR(__xludf.DUMMYFUNCTION("""COMPUTED_VALUE"""),46029)</f>
        <v>46029</v>
      </c>
      <c r="K95" s="6" t="str">
        <f ca="1">IFERROR(__xludf.DUMMYFUNCTION("""COMPUTED_VALUE"""),"Factura audífonos")</f>
        <v>Factura audífonos</v>
      </c>
      <c r="L95" s="16">
        <f ca="1">IFERROR(__xludf.DUMMYFUNCTION("""COMPUTED_VALUE"""),46050)</f>
        <v>46050</v>
      </c>
      <c r="M95" s="6" t="str">
        <f ca="1">IFERROR(__xludf.DUMMYFUNCTION("""COMPUTED_VALUE"""),"NO")</f>
        <v>NO</v>
      </c>
      <c r="N95" s="15">
        <f ca="1">IFERROR(__xludf.DUMMYFUNCTION("""COMPUTED_VALUE"""),2)</f>
        <v>2</v>
      </c>
      <c r="O95" s="6" t="str">
        <f ca="1">IFERROR(__xludf.DUMMYFUNCTION("""COMPUTED_VALUE"""),"QUIET")</f>
        <v>QUIET</v>
      </c>
      <c r="P95" s="19">
        <f ca="1">IFERROR(__xludf.DUMMYFUNCTION("""COMPUTED_VALUE"""),2718.18)</f>
        <v>2718.18</v>
      </c>
      <c r="Q95" s="6" t="str">
        <f ca="1">IFERROR(__xludf.DUMMYFUNCTION("""COMPUTED_VALUE"""),"Luis Alberto Rodríguez")</f>
        <v>Luis Alberto Rodríguez</v>
      </c>
      <c r="R95" s="19" t="str">
        <f ca="1">IFERROR(__xludf.DUMMYFUNCTION("""COMPUTED_VALUE"""),"Maria Del Carmen Salom Coveñas")</f>
        <v>Maria Del Carmen Salom Coveñas</v>
      </c>
      <c r="S95" s="20" t="str">
        <f ca="1">IFERROR(__xludf.DUMMYFUNCTION("""COMPUTED_VALUE"""),"03 ORL")</f>
        <v>03 ORL</v>
      </c>
      <c r="T95" s="6" t="str">
        <f ca="1">IFERROR(__xludf.DUMMYFUNCTION("""COMPUTED_VALUE"""),"06 ORL")</f>
        <v>06 ORL</v>
      </c>
      <c r="U95" s="21"/>
      <c r="W95" s="21"/>
      <c r="X95" s="21"/>
      <c r="AG95" s="19"/>
    </row>
    <row r="96" spans="1:36" ht="16">
      <c r="A96" s="6"/>
      <c r="B96" s="14" t="str">
        <f t="shared" ca="1" si="0"/>
        <v>MBM</v>
      </c>
      <c r="C96" s="23" t="str">
        <f ca="1">IFERROR(__xludf.DUMMYFUNCTION("""COMPUTED_VALUE"""),"MBM39")</f>
        <v>MBM39</v>
      </c>
      <c r="D96" s="6" t="str">
        <f ca="1">IFERROR(__xludf.DUMMYFUNCTION("""COMPUTED_VALUE"""),"PROPIOS")</f>
        <v>PROPIOS</v>
      </c>
      <c r="E96" s="6">
        <f ca="1">IFERROR(__xludf.DUMMYFUNCTION("""COMPUTED_VALUE"""),2026)</f>
        <v>2026</v>
      </c>
      <c r="F96" s="15">
        <f ca="1">IFERROR(__xludf.DUMMYFUNCTION("""COMPUTED_VALUE"""),1)</f>
        <v>1</v>
      </c>
      <c r="G96" s="6" t="str">
        <f ca="1">IFERROR(__xludf.DUMMYFUNCTION("""COMPUTED_VALUE"""),"Jerez de la Frontera")</f>
        <v>Jerez de la Frontera</v>
      </c>
      <c r="H96" s="6" t="str">
        <f ca="1">IFERROR(__xludf.DUMMYFUNCTION("""COMPUTED_VALUE"""),"C202512261052210691")</f>
        <v>C202512261052210691</v>
      </c>
      <c r="I96" s="6" t="str">
        <f ca="1">IFERROR(__xludf.DUMMYFUNCTION("""COMPUTED_VALUE"""),"JOSE LUIS MESA RAMIREZ")</f>
        <v>JOSE LUIS MESA RAMIREZ</v>
      </c>
      <c r="J96" s="16">
        <f ca="1">IFERROR(__xludf.DUMMYFUNCTION("""COMPUTED_VALUE"""),46017)</f>
        <v>46017</v>
      </c>
      <c r="K96" s="6" t="str">
        <f ca="1">IFERROR(__xludf.DUMMYFUNCTION("""COMPUTED_VALUE"""),"Factura audífonos")</f>
        <v>Factura audífonos</v>
      </c>
      <c r="L96" s="16">
        <f ca="1">IFERROR(__xludf.DUMMYFUNCTION("""COMPUTED_VALUE"""),46050)</f>
        <v>46050</v>
      </c>
      <c r="M96" s="6" t="str">
        <f ca="1">IFERROR(__xludf.DUMMYFUNCTION("""COMPUTED_VALUE"""),"NO")</f>
        <v>NO</v>
      </c>
      <c r="N96" s="15">
        <f ca="1">IFERROR(__xludf.DUMMYFUNCTION("""COMPUTED_VALUE"""),2)</f>
        <v>2</v>
      </c>
      <c r="O96" s="6" t="str">
        <f ca="1">IFERROR(__xludf.DUMMYFUNCTION("""COMPUTED_VALUE"""),"PRO")</f>
        <v>PRO</v>
      </c>
      <c r="P96" s="19">
        <f ca="1">IFERROR(__xludf.DUMMYFUNCTION("""COMPUTED_VALUE"""),4536.36)</f>
        <v>4536.3599999999997</v>
      </c>
      <c r="Q96" s="6" t="str">
        <f ca="1">IFERROR(__xludf.DUMMYFUNCTION("""COMPUTED_VALUE"""),"Maika Blázquez")</f>
        <v>Maika Blázquez</v>
      </c>
      <c r="R96" s="19" t="str">
        <f ca="1">IFERROR(__xludf.DUMMYFUNCTION("""COMPUTED_VALUE"""),"Javier García Domínguez")</f>
        <v>Javier García Domínguez</v>
      </c>
      <c r="S96" s="20" t="str">
        <f ca="1">IFERROR(__xludf.DUMMYFUNCTION("""COMPUTED_VALUE"""),"03 ORL")</f>
        <v>03 ORL</v>
      </c>
      <c r="T96" s="6" t="str">
        <f ca="1">IFERROR(__xludf.DUMMYFUNCTION("""COMPUTED_VALUE"""),"06 ORL")</f>
        <v>06 ORL</v>
      </c>
      <c r="U96" s="21"/>
      <c r="W96" s="21"/>
      <c r="X96" s="21"/>
      <c r="AG96" s="19"/>
      <c r="AJ96" s="19"/>
    </row>
    <row r="97" spans="1:36" ht="16">
      <c r="A97" s="6"/>
      <c r="B97" s="14" t="str">
        <f t="shared" ca="1" si="0"/>
        <v>LRM</v>
      </c>
      <c r="C97" s="23" t="str">
        <f ca="1">IFERROR(__xludf.DUMMYFUNCTION("""COMPUTED_VALUE"""),"LRM268")</f>
        <v>LRM268</v>
      </c>
      <c r="D97" s="6" t="str">
        <f ca="1">IFERROR(__xludf.DUMMYFUNCTION("""COMPUTED_VALUE"""),"PROPIOS")</f>
        <v>PROPIOS</v>
      </c>
      <c r="E97" s="6">
        <f ca="1">IFERROR(__xludf.DUMMYFUNCTION("""COMPUTED_VALUE"""),2026)</f>
        <v>2026</v>
      </c>
      <c r="F97" s="15">
        <f ca="1">IFERROR(__xludf.DUMMYFUNCTION("""COMPUTED_VALUE"""),1)</f>
        <v>1</v>
      </c>
      <c r="G97" s="6" t="str">
        <f ca="1">IFERROR(__xludf.DUMMYFUNCTION("""COMPUTED_VALUE"""),"Toledo")</f>
        <v>Toledo</v>
      </c>
      <c r="H97" s="6" t="str">
        <f ca="1">IFERROR(__xludf.DUMMYFUNCTION("""COMPUTED_VALUE"""),"C202511411503852607")</f>
        <v>C202511411503852607</v>
      </c>
      <c r="I97" s="6" t="str">
        <f ca="1">IFERROR(__xludf.DUMMYFUNCTION("""COMPUTED_VALUE"""),"Pilar Rojas Sánchez")</f>
        <v>Pilar Rojas Sánchez</v>
      </c>
      <c r="J97" s="16">
        <f ca="1">IFERROR(__xludf.DUMMYFUNCTION("""COMPUTED_VALUE"""),45965)</f>
        <v>45965</v>
      </c>
      <c r="K97" s="6" t="str">
        <f ca="1">IFERROR(__xludf.DUMMYFUNCTION("""COMPUTED_VALUE"""),"Factura audífonos")</f>
        <v>Factura audífonos</v>
      </c>
      <c r="L97" s="16">
        <f ca="1">IFERROR(__xludf.DUMMYFUNCTION("""COMPUTED_VALUE"""),46050)</f>
        <v>46050</v>
      </c>
      <c r="M97" s="6" t="str">
        <f ca="1">IFERROR(__xludf.DUMMYFUNCTION("""COMPUTED_VALUE"""),"NO")</f>
        <v>NO</v>
      </c>
      <c r="N97" s="15">
        <f ca="1">IFERROR(__xludf.DUMMYFUNCTION("""COMPUTED_VALUE"""),2)</f>
        <v>2</v>
      </c>
      <c r="O97" s="6" t="str">
        <f ca="1">IFERROR(__xludf.DUMMYFUNCTION("""COMPUTED_VALUE"""),"CONFORT")</f>
        <v>CONFORT</v>
      </c>
      <c r="P97" s="18">
        <f ca="1">IFERROR(__xludf.DUMMYFUNCTION("""COMPUTED_VALUE"""),3424.32)</f>
        <v>3424.32</v>
      </c>
      <c r="Q97" s="6" t="str">
        <f ca="1">IFERROR(__xludf.DUMMYFUNCTION("""COMPUTED_VALUE"""),"Lisandro Russian")</f>
        <v>Lisandro Russian</v>
      </c>
      <c r="R97" s="19" t="str">
        <f ca="1">IFERROR(__xludf.DUMMYFUNCTION("""COMPUTED_VALUE"""),"Mónica Rueda Vega")</f>
        <v>Mónica Rueda Vega</v>
      </c>
      <c r="S97" s="20" t="str">
        <f ca="1">IFERROR(__xludf.DUMMYFUNCTION("""COMPUTED_VALUE"""),"03 ORL")</f>
        <v>03 ORL</v>
      </c>
      <c r="T97" s="6" t="str">
        <f ca="1">IFERROR(__xludf.DUMMYFUNCTION("""COMPUTED_VALUE"""),"06 ORL")</f>
        <v>06 ORL</v>
      </c>
      <c r="U97" s="21"/>
      <c r="W97" s="21"/>
      <c r="X97" s="21"/>
      <c r="AG97" s="19"/>
      <c r="AJ97" s="19"/>
    </row>
    <row r="98" spans="1:36" ht="16">
      <c r="A98" s="6"/>
      <c r="B98" s="14" t="str">
        <f t="shared" ca="1" si="0"/>
        <v>RFV</v>
      </c>
      <c r="C98" s="23" t="str">
        <f ca="1">IFERROR(__xludf.DUMMYFUNCTION("""COMPUTED_VALUE"""),"RFV01")</f>
        <v>RFV01</v>
      </c>
      <c r="D98" s="6" t="str">
        <f ca="1">IFERROR(__xludf.DUMMYFUNCTION("""COMPUTED_VALUE"""),"PROPIOS")</f>
        <v>PROPIOS</v>
      </c>
      <c r="E98" s="6">
        <f ca="1">IFERROR(__xludf.DUMMYFUNCTION("""COMPUTED_VALUE"""),2026)</f>
        <v>2026</v>
      </c>
      <c r="F98" s="15">
        <f ca="1">IFERROR(__xludf.DUMMYFUNCTION("""COMPUTED_VALUE"""),1)</f>
        <v>1</v>
      </c>
      <c r="G98" s="6" t="str">
        <f ca="1">IFERROR(__xludf.DUMMYFUNCTION("""COMPUTED_VALUE"""),"Almería")</f>
        <v>Almería</v>
      </c>
      <c r="H98" s="6" t="str">
        <f ca="1">IFERROR(__xludf.DUMMYFUNCTION("""COMPUTED_VALUE"""),"C202512101036657690")</f>
        <v>C202512101036657690</v>
      </c>
      <c r="I98" s="6" t="str">
        <f ca="1">IFERROR(__xludf.DUMMYFUNCTION("""COMPUTED_VALUE"""),"EMILIA MARTINEZ MARTINEZ")</f>
        <v>EMILIA MARTINEZ MARTINEZ</v>
      </c>
      <c r="J98" s="16">
        <f ca="1">IFERROR(__xludf.DUMMYFUNCTION("""COMPUTED_VALUE"""),46001)</f>
        <v>46001</v>
      </c>
      <c r="K98" s="6" t="str">
        <f ca="1">IFERROR(__xludf.DUMMYFUNCTION("""COMPUTED_VALUE"""),"Factura audífonos")</f>
        <v>Factura audífonos</v>
      </c>
      <c r="L98" s="16">
        <f ca="1">IFERROR(__xludf.DUMMYFUNCTION("""COMPUTED_VALUE"""),46050)</f>
        <v>46050</v>
      </c>
      <c r="M98" s="6" t="str">
        <f ca="1">IFERROR(__xludf.DUMMYFUNCTION("""COMPUTED_VALUE"""),"NO")</f>
        <v>NO</v>
      </c>
      <c r="N98" s="15">
        <f ca="1">IFERROR(__xludf.DUMMYFUNCTION("""COMPUTED_VALUE"""),2)</f>
        <v>2</v>
      </c>
      <c r="O98" s="6" t="str">
        <f ca="1">IFERROR(__xludf.DUMMYFUNCTION("""COMPUTED_VALUE"""),"ADVANCED")</f>
        <v>ADVANCED</v>
      </c>
      <c r="P98" s="19">
        <f ca="1">IFERROR(__xludf.DUMMYFUNCTION("""COMPUTED_VALUE"""),4136.36)</f>
        <v>4136.3599999999997</v>
      </c>
      <c r="Q98" s="6" t="str">
        <f ca="1">IFERROR(__xludf.DUMMYFUNCTION("""COMPUTED_VALUE"""),"Ramon Ferrando")</f>
        <v>Ramon Ferrando</v>
      </c>
      <c r="R98" s="19" t="str">
        <f ca="1">IFERROR(__xludf.DUMMYFUNCTION("""COMPUTED_VALUE"""),"Antonio José Fernández Pérez")</f>
        <v>Antonio José Fernández Pérez</v>
      </c>
      <c r="S98" s="20" t="str">
        <f ca="1">IFERROR(__xludf.DUMMYFUNCTION("""COMPUTED_VALUE"""),"03 ORL")</f>
        <v>03 ORL</v>
      </c>
      <c r="T98" s="6" t="str">
        <f ca="1">IFERROR(__xludf.DUMMYFUNCTION("""COMPUTED_VALUE"""),"06 ORL")</f>
        <v>06 ORL</v>
      </c>
      <c r="U98" s="21"/>
      <c r="W98" s="21"/>
      <c r="X98" s="21"/>
      <c r="AG98" s="19"/>
      <c r="AJ98" s="19"/>
    </row>
    <row r="99" spans="1:36" ht="16">
      <c r="A99" s="6"/>
      <c r="B99" s="14" t="str">
        <f t="shared" ca="1" si="0"/>
        <v>MBM</v>
      </c>
      <c r="C99" s="23" t="str">
        <f ca="1">IFERROR(__xludf.DUMMYFUNCTION("""COMPUTED_VALUE"""),"MBM109")</f>
        <v>MBM109</v>
      </c>
      <c r="D99" s="6" t="str">
        <f ca="1">IFERROR(__xludf.DUMMYFUNCTION("""COMPUTED_VALUE"""),"PROPIOS")</f>
        <v>PROPIOS</v>
      </c>
      <c r="E99" s="6">
        <f ca="1">IFERROR(__xludf.DUMMYFUNCTION("""COMPUTED_VALUE"""),2026)</f>
        <v>2026</v>
      </c>
      <c r="F99" s="15">
        <f ca="1">IFERROR(__xludf.DUMMYFUNCTION("""COMPUTED_VALUE"""),1)</f>
        <v>1</v>
      </c>
      <c r="G99" s="6" t="str">
        <f ca="1">IFERROR(__xludf.DUMMYFUNCTION("""COMPUTED_VALUE"""),"Leganés")</f>
        <v>Leganés</v>
      </c>
      <c r="H99" s="6" t="str">
        <f ca="1">IFERROR(__xludf.DUMMYFUNCTION("""COMPUTED_VALUE"""),"C202512101653481730")</f>
        <v>C202512101653481730</v>
      </c>
      <c r="I99" s="6" t="str">
        <f ca="1">IFERROR(__xludf.DUMMYFUNCTION("""COMPUTED_VALUE"""),"ALMUDENA ARROGANTE AHIJADO")</f>
        <v>ALMUDENA ARROGANTE AHIJADO</v>
      </c>
      <c r="J99" s="16">
        <f ca="1">IFERROR(__xludf.DUMMYFUNCTION("""COMPUTED_VALUE"""),46001)</f>
        <v>46001</v>
      </c>
      <c r="K99" s="6" t="str">
        <f ca="1">IFERROR(__xludf.DUMMYFUNCTION("""COMPUTED_VALUE"""),"Factura audífonos")</f>
        <v>Factura audífonos</v>
      </c>
      <c r="L99" s="16">
        <f ca="1">IFERROR(__xludf.DUMMYFUNCTION("""COMPUTED_VALUE"""),46050)</f>
        <v>46050</v>
      </c>
      <c r="M99" s="6" t="str">
        <f ca="1">IFERROR(__xludf.DUMMYFUNCTION("""COMPUTED_VALUE"""),"NO")</f>
        <v>NO</v>
      </c>
      <c r="N99" s="15">
        <f ca="1">IFERROR(__xludf.DUMMYFUNCTION("""COMPUTED_VALUE"""),1)</f>
        <v>1</v>
      </c>
      <c r="O99" s="6" t="str">
        <f ca="1">IFERROR(__xludf.DUMMYFUNCTION("""COMPUTED_VALUE"""),"CONFORT")</f>
        <v>CONFORT</v>
      </c>
      <c r="P99" s="18">
        <f ca="1">IFERROR(__xludf.DUMMYFUNCTION("""COMPUTED_VALUE"""),2071.82)</f>
        <v>2071.8200000000002</v>
      </c>
      <c r="Q99" s="6" t="str">
        <f ca="1">IFERROR(__xludf.DUMMYFUNCTION("""COMPUTED_VALUE"""),"Maika Blázquez")</f>
        <v>Maika Blázquez</v>
      </c>
      <c r="R99" s="19" t="str">
        <f ca="1">IFERROR(__xludf.DUMMYFUNCTION("""COMPUTED_VALUE"""),"Desirée Méndez Brenderbache")</f>
        <v>Desirée Méndez Brenderbache</v>
      </c>
      <c r="S99" s="20" t="str">
        <f ca="1">IFERROR(__xludf.DUMMYFUNCTION("""COMPUTED_VALUE"""),"03 ORL")</f>
        <v>03 ORL</v>
      </c>
      <c r="T99" s="6" t="str">
        <f ca="1">IFERROR(__xludf.DUMMYFUNCTION("""COMPUTED_VALUE"""),"06 ORL")</f>
        <v>06 ORL</v>
      </c>
      <c r="U99" s="21"/>
      <c r="W99" s="21"/>
      <c r="X99" s="21"/>
      <c r="AG99" s="18"/>
      <c r="AJ99" s="19"/>
    </row>
    <row r="100" spans="1:36" ht="16">
      <c r="A100" s="6"/>
      <c r="B100" s="14" t="str">
        <f t="shared" ca="1" si="0"/>
        <v>MBM</v>
      </c>
      <c r="C100" s="23" t="str">
        <f ca="1">IFERROR(__xludf.DUMMYFUNCTION("""COMPUTED_VALUE"""),"MBM156")</f>
        <v>MBM156</v>
      </c>
      <c r="D100" s="6" t="str">
        <f ca="1">IFERROR(__xludf.DUMMYFUNCTION("""COMPUTED_VALUE"""),"PROPIOS")</f>
        <v>PROPIOS</v>
      </c>
      <c r="E100" s="6">
        <f ca="1">IFERROR(__xludf.DUMMYFUNCTION("""COMPUTED_VALUE"""),2026)</f>
        <v>2026</v>
      </c>
      <c r="F100" s="15">
        <f ca="1">IFERROR(__xludf.DUMMYFUNCTION("""COMPUTED_VALUE"""),1)</f>
        <v>1</v>
      </c>
      <c r="G100" s="6" t="str">
        <f ca="1">IFERROR(__xludf.DUMMYFUNCTION("""COMPUTED_VALUE"""),"Getafe")</f>
        <v>Getafe</v>
      </c>
      <c r="H100" s="6" t="str">
        <f ca="1">IFERROR(__xludf.DUMMYFUNCTION("""COMPUTED_VALUE"""),"C2025410161942769")</f>
        <v>C2025410161942769</v>
      </c>
      <c r="I100" s="6" t="str">
        <f ca="1">IFERROR(__xludf.DUMMYFUNCTION("""COMPUTED_VALUE"""),"ISABEL YAÑEZ YAÑEZ")</f>
        <v>ISABEL YAÑEZ YAÑEZ</v>
      </c>
      <c r="J100" s="16">
        <f ca="1">IFERROR(__xludf.DUMMYFUNCTION("""COMPUTED_VALUE"""),45757)</f>
        <v>45757</v>
      </c>
      <c r="K100" s="6" t="str">
        <f ca="1">IFERROR(__xludf.DUMMYFUNCTION("""COMPUTED_VALUE"""),"Factura audífonos")</f>
        <v>Factura audífonos</v>
      </c>
      <c r="L100" s="16">
        <f ca="1">IFERROR(__xludf.DUMMYFUNCTION("""COMPUTED_VALUE"""),46050)</f>
        <v>46050</v>
      </c>
      <c r="M100" s="6" t="str">
        <f ca="1">IFERROR(__xludf.DUMMYFUNCTION("""COMPUTED_VALUE"""),"NO")</f>
        <v>NO</v>
      </c>
      <c r="N100" s="15">
        <f ca="1">IFERROR(__xludf.DUMMYFUNCTION("""COMPUTED_VALUE"""),2)</f>
        <v>2</v>
      </c>
      <c r="O100" s="6" t="str">
        <f ca="1">IFERROR(__xludf.DUMMYFUNCTION("""COMPUTED_VALUE"""),"CONFORT")</f>
        <v>CONFORT</v>
      </c>
      <c r="P100" s="18">
        <f ca="1">IFERROR(__xludf.DUMMYFUNCTION("""COMPUTED_VALUE"""),3631.82)</f>
        <v>3631.82</v>
      </c>
      <c r="Q100" s="6" t="str">
        <f ca="1">IFERROR(__xludf.DUMMYFUNCTION("""COMPUTED_VALUE"""),"Maika Blázquez")</f>
        <v>Maika Blázquez</v>
      </c>
      <c r="R100" s="19" t="str">
        <f ca="1">IFERROR(__xludf.DUMMYFUNCTION("""COMPUTED_VALUE"""),"Marta Colmenero Ruiz")</f>
        <v>Marta Colmenero Ruiz</v>
      </c>
      <c r="S100" s="20" t="str">
        <f ca="1">IFERROR(__xludf.DUMMYFUNCTION("""COMPUTED_VALUE"""),"03 ORL")</f>
        <v>03 ORL</v>
      </c>
      <c r="T100" s="6" t="str">
        <f ca="1">IFERROR(__xludf.DUMMYFUNCTION("""COMPUTED_VALUE"""),"06 ORL")</f>
        <v>06 ORL</v>
      </c>
      <c r="U100" s="21"/>
      <c r="W100" s="21"/>
      <c r="X100" s="21"/>
      <c r="AG100" s="19"/>
      <c r="AJ100" s="19"/>
    </row>
    <row r="101" spans="1:36" ht="16">
      <c r="A101" s="6"/>
      <c r="B101" s="14" t="str">
        <f t="shared" ca="1" si="0"/>
        <v>MBM</v>
      </c>
      <c r="C101" s="23" t="str">
        <f ca="1">IFERROR(__xludf.DUMMYFUNCTION("""COMPUTED_VALUE"""),"MBM21")</f>
        <v>MBM21</v>
      </c>
      <c r="D101" s="6" t="str">
        <f ca="1">IFERROR(__xludf.DUMMYFUNCTION("""COMPUTED_VALUE"""),"PARTICIPADOS")</f>
        <v>PARTICIPADOS</v>
      </c>
      <c r="E101" s="6">
        <f ca="1">IFERROR(__xludf.DUMMYFUNCTION("""COMPUTED_VALUE"""),2026)</f>
        <v>2026</v>
      </c>
      <c r="F101" s="15">
        <f ca="1">IFERROR(__xludf.DUMMYFUNCTION("""COMPUTED_VALUE"""),1)</f>
        <v>1</v>
      </c>
      <c r="G101" s="6" t="str">
        <f ca="1">IFERROR(__xludf.DUMMYFUNCTION("""COMPUTED_VALUE"""),"Madrid- La Oca")</f>
        <v>Madrid- La Oca</v>
      </c>
      <c r="H101" s="6" t="str">
        <f ca="1">IFERROR(__xludf.DUMMYFUNCTION("""COMPUTED_VALUE"""),"C202511251257139691")</f>
        <v>C202511251257139691</v>
      </c>
      <c r="I101" s="6" t="str">
        <f ca="1">IFERROR(__xludf.DUMMYFUNCTION("""COMPUTED_VALUE"""),"ROSA MARIA BELINCHON PARIS")</f>
        <v>ROSA MARIA BELINCHON PARIS</v>
      </c>
      <c r="J101" s="16">
        <f ca="1">IFERROR(__xludf.DUMMYFUNCTION("""COMPUTED_VALUE"""),45986)</f>
        <v>45986</v>
      </c>
      <c r="K101" s="6" t="str">
        <f ca="1">IFERROR(__xludf.DUMMYFUNCTION("""COMPUTED_VALUE"""),"Factura audífonos")</f>
        <v>Factura audífonos</v>
      </c>
      <c r="L101" s="16">
        <f ca="1">IFERROR(__xludf.DUMMYFUNCTION("""COMPUTED_VALUE"""),46050)</f>
        <v>46050</v>
      </c>
      <c r="M101" s="6" t="str">
        <f ca="1">IFERROR(__xludf.DUMMYFUNCTION("""COMPUTED_VALUE"""),"NO")</f>
        <v>NO</v>
      </c>
      <c r="N101" s="15">
        <f ca="1">IFERROR(__xludf.DUMMYFUNCTION("""COMPUTED_VALUE"""),2)</f>
        <v>2</v>
      </c>
      <c r="O101" s="6" t="str">
        <f ca="1">IFERROR(__xludf.DUMMYFUNCTION("""COMPUTED_VALUE"""),"CONFORT")</f>
        <v>CONFORT</v>
      </c>
      <c r="P101" s="18">
        <f ca="1">IFERROR(__xludf.DUMMYFUNCTION("""COMPUTED_VALUE"""),3631.82)</f>
        <v>3631.82</v>
      </c>
      <c r="Q101" s="6" t="str">
        <f ca="1">IFERROR(__xludf.DUMMYFUNCTION("""COMPUTED_VALUE"""),"Maika Blázquez")</f>
        <v>Maika Blázquez</v>
      </c>
      <c r="R101" s="19" t="str">
        <f ca="1">IFERROR(__xludf.DUMMYFUNCTION("""COMPUTED_VALUE"""),"Félix Rodríguez Paz")</f>
        <v>Félix Rodríguez Paz</v>
      </c>
      <c r="S101" s="20" t="str">
        <f ca="1">IFERROR(__xludf.DUMMYFUNCTION("""COMPUTED_VALUE"""),"03 ORL")</f>
        <v>03 ORL</v>
      </c>
      <c r="T101" s="6" t="str">
        <f ca="1">IFERROR(__xludf.DUMMYFUNCTION("""COMPUTED_VALUE"""),"06 ORL")</f>
        <v>06 ORL</v>
      </c>
      <c r="U101" s="21"/>
      <c r="W101" s="21"/>
      <c r="X101" s="21"/>
      <c r="AG101" s="18"/>
      <c r="AJ101" s="19"/>
    </row>
    <row r="102" spans="1:36" ht="16">
      <c r="A102" s="6"/>
      <c r="B102" s="14" t="str">
        <f t="shared" ca="1" si="0"/>
        <v>MBM</v>
      </c>
      <c r="C102" s="23" t="str">
        <f ca="1">IFERROR(__xludf.DUMMYFUNCTION("""COMPUTED_VALUE"""),"MBM46")</f>
        <v>MBM46</v>
      </c>
      <c r="D102" s="6" t="str">
        <f ca="1">IFERROR(__xludf.DUMMYFUNCTION("""COMPUTED_VALUE"""),"PROPIOS")</f>
        <v>PROPIOS</v>
      </c>
      <c r="E102" s="6">
        <f ca="1">IFERROR(__xludf.DUMMYFUNCTION("""COMPUTED_VALUE"""),2026)</f>
        <v>2026</v>
      </c>
      <c r="F102" s="15">
        <f ca="1">IFERROR(__xludf.DUMMYFUNCTION("""COMPUTED_VALUE"""),1)</f>
        <v>1</v>
      </c>
      <c r="G102" s="6" t="str">
        <f ca="1">IFERROR(__xludf.DUMMYFUNCTION("""COMPUTED_VALUE"""),"Getafe")</f>
        <v>Getafe</v>
      </c>
      <c r="H102" s="6" t="str">
        <f ca="1">IFERROR(__xludf.DUMMYFUNCTION("""COMPUTED_VALUE"""),"C202512171551118835")</f>
        <v>C202512171551118835</v>
      </c>
      <c r="I102" s="6" t="str">
        <f ca="1">IFERROR(__xludf.DUMMYFUNCTION("""COMPUTED_VALUE"""),"MARIA GEMA MARTIN JIMENEZ")</f>
        <v>MARIA GEMA MARTIN JIMENEZ</v>
      </c>
      <c r="J102" s="16">
        <f ca="1">IFERROR(__xludf.DUMMYFUNCTION("""COMPUTED_VALUE"""),46008)</f>
        <v>46008</v>
      </c>
      <c r="K102" s="6" t="str">
        <f ca="1">IFERROR(__xludf.DUMMYFUNCTION("""COMPUTED_VALUE"""),"Factura audífonos")</f>
        <v>Factura audífonos</v>
      </c>
      <c r="L102" s="16">
        <f ca="1">IFERROR(__xludf.DUMMYFUNCTION("""COMPUTED_VALUE"""),46050)</f>
        <v>46050</v>
      </c>
      <c r="M102" s="6" t="str">
        <f ca="1">IFERROR(__xludf.DUMMYFUNCTION("""COMPUTED_VALUE"""),"NO")</f>
        <v>NO</v>
      </c>
      <c r="N102" s="15">
        <f ca="1">IFERROR(__xludf.DUMMYFUNCTION("""COMPUTED_VALUE"""),2)</f>
        <v>2</v>
      </c>
      <c r="O102" s="6" t="str">
        <f ca="1">IFERROR(__xludf.DUMMYFUNCTION("""COMPUTED_VALUE"""),"ADVANCED")</f>
        <v>ADVANCED</v>
      </c>
      <c r="P102" s="19">
        <f ca="1">IFERROR(__xludf.DUMMYFUNCTION("""COMPUTED_VALUE"""),4136.36)</f>
        <v>4136.3599999999997</v>
      </c>
      <c r="Q102" s="6" t="str">
        <f ca="1">IFERROR(__xludf.DUMMYFUNCTION("""COMPUTED_VALUE"""),"Maika Blázquez")</f>
        <v>Maika Blázquez</v>
      </c>
      <c r="R102" s="19" t="str">
        <f ca="1">IFERROR(__xludf.DUMMYFUNCTION("""COMPUTED_VALUE"""),"Jonathan Esteban Sánchez")</f>
        <v>Jonathan Esteban Sánchez</v>
      </c>
      <c r="S102" s="20" t="str">
        <f ca="1">IFERROR(__xludf.DUMMYFUNCTION("""COMPUTED_VALUE"""),"03 ORL")</f>
        <v>03 ORL</v>
      </c>
      <c r="T102" s="6" t="str">
        <f ca="1">IFERROR(__xludf.DUMMYFUNCTION("""COMPUTED_VALUE"""),"06 ORL")</f>
        <v>06 ORL</v>
      </c>
      <c r="U102" s="21"/>
      <c r="W102" s="21"/>
      <c r="X102" s="21"/>
      <c r="AG102" s="19"/>
      <c r="AJ102" s="19"/>
    </row>
    <row r="103" spans="1:36" ht="16">
      <c r="A103" s="6"/>
      <c r="B103" s="14" t="str">
        <f t="shared" si="0"/>
        <v/>
      </c>
      <c r="C103" s="23"/>
      <c r="D103" s="6" t="str">
        <f ca="1">IFERROR(__xludf.DUMMYFUNCTION("""COMPUTED_VALUE"""),"ASOCIADOS")</f>
        <v>ASOCIADOS</v>
      </c>
      <c r="E103" s="6">
        <f ca="1">IFERROR(__xludf.DUMMYFUNCTION("""COMPUTED_VALUE"""),2026)</f>
        <v>2026</v>
      </c>
      <c r="F103" s="15">
        <f ca="1">IFERROR(__xludf.DUMMYFUNCTION("""COMPUTED_VALUE"""),1)</f>
        <v>1</v>
      </c>
      <c r="G103" s="6" t="str">
        <f ca="1">IFERROR(__xludf.DUMMYFUNCTION("""COMPUTED_VALUE"""),"Sevilla- Ciencias")</f>
        <v>Sevilla- Ciencias</v>
      </c>
      <c r="H103" s="6" t="str">
        <f ca="1">IFERROR(__xludf.DUMMYFUNCTION("""COMPUTED_VALUE"""),"C202512151727496906")</f>
        <v>C202512151727496906</v>
      </c>
      <c r="I103" s="6" t="str">
        <f ca="1">IFERROR(__xludf.DUMMYFUNCTION("""COMPUTED_VALUE"""),"JESICA DE LOS SANTOS MARTINEZ")</f>
        <v>JESICA DE LOS SANTOS MARTINEZ</v>
      </c>
      <c r="J103" s="16">
        <f ca="1">IFERROR(__xludf.DUMMYFUNCTION("""COMPUTED_VALUE"""),46006)</f>
        <v>46006</v>
      </c>
      <c r="K103" s="6" t="str">
        <f ca="1">IFERROR(__xludf.DUMMYFUNCTION("""COMPUTED_VALUE"""),"Factura audífonos")</f>
        <v>Factura audífonos</v>
      </c>
      <c r="L103" s="16">
        <f ca="1">IFERROR(__xludf.DUMMYFUNCTION("""COMPUTED_VALUE"""),46050)</f>
        <v>46050</v>
      </c>
      <c r="M103" s="6" t="str">
        <f ca="1">IFERROR(__xludf.DUMMYFUNCTION("""COMPUTED_VALUE"""),"NO")</f>
        <v>NO</v>
      </c>
      <c r="N103" s="15">
        <f ca="1">IFERROR(__xludf.DUMMYFUNCTION("""COMPUTED_VALUE"""),2)</f>
        <v>2</v>
      </c>
      <c r="O103" s="6" t="str">
        <f ca="1">IFERROR(__xludf.DUMMYFUNCTION("""COMPUTED_VALUE"""),"CONFORT")</f>
        <v>CONFORT</v>
      </c>
      <c r="P103" s="19">
        <f ca="1">IFERROR(__xludf.DUMMYFUNCTION("""COMPUTED_VALUE"""),3730)</f>
        <v>3730</v>
      </c>
      <c r="Q103" s="6" t="str">
        <f ca="1">IFERROR(__xludf.DUMMYFUNCTION("""COMPUTED_VALUE"""),"Luis Alberto Rodríguez")</f>
        <v>Luis Alberto Rodríguez</v>
      </c>
      <c r="R103" s="19" t="str">
        <f ca="1">IFERROR(__xludf.DUMMYFUNCTION("""COMPUTED_VALUE"""),"No recuerda ORL")</f>
        <v>No recuerda ORL</v>
      </c>
      <c r="S103" s="20" t="str">
        <f ca="1">IFERROR(__xludf.DUMMYFUNCTION("""COMPUTED_VALUE"""),"03 ORL")</f>
        <v>03 ORL</v>
      </c>
      <c r="T103" s="6" t="str">
        <f ca="1">IFERROR(__xludf.DUMMYFUNCTION("""COMPUTED_VALUE"""),"06 ORL")</f>
        <v>06 ORL</v>
      </c>
      <c r="U103" s="21"/>
      <c r="W103" s="21"/>
      <c r="X103" s="21"/>
      <c r="AG103" s="19"/>
      <c r="AJ103" s="19"/>
    </row>
    <row r="104" spans="1:36" ht="16">
      <c r="A104" s="6"/>
      <c r="B104" s="14" t="str">
        <f t="shared" ca="1" si="0"/>
        <v>LRM</v>
      </c>
      <c r="C104" s="23" t="str">
        <f ca="1">IFERROR(__xludf.DUMMYFUNCTION("""COMPUTED_VALUE"""),"LRM222")</f>
        <v>LRM222</v>
      </c>
      <c r="D104" s="6" t="str">
        <f ca="1">IFERROR(__xludf.DUMMYFUNCTION("""COMPUTED_VALUE"""),"PROPIOS")</f>
        <v>PROPIOS</v>
      </c>
      <c r="E104" s="6">
        <f ca="1">IFERROR(__xludf.DUMMYFUNCTION("""COMPUTED_VALUE"""),2026)</f>
        <v>2026</v>
      </c>
      <c r="F104" s="15">
        <f ca="1">IFERROR(__xludf.DUMMYFUNCTION("""COMPUTED_VALUE"""),1)</f>
        <v>1</v>
      </c>
      <c r="G104" s="6" t="str">
        <f ca="1">IFERROR(__xludf.DUMMYFUNCTION("""COMPUTED_VALUE"""),"Leganés")</f>
        <v>Leganés</v>
      </c>
      <c r="H104" s="6" t="str">
        <f ca="1">IFERROR(__xludf.DUMMYFUNCTION("""COMPUTED_VALUE"""),"C202512151018164852")</f>
        <v>C202512151018164852</v>
      </c>
      <c r="I104" s="6" t="str">
        <f ca="1">IFERROR(__xludf.DUMMYFUNCTION("""COMPUTED_VALUE"""),"LAURA JARA GONZALEZ")</f>
        <v>LAURA JARA GONZALEZ</v>
      </c>
      <c r="J104" s="16">
        <f ca="1">IFERROR(__xludf.DUMMYFUNCTION("""COMPUTED_VALUE"""),46006)</f>
        <v>46006</v>
      </c>
      <c r="K104" s="6" t="str">
        <f ca="1">IFERROR(__xludf.DUMMYFUNCTION("""COMPUTED_VALUE"""),"Factura audífonos")</f>
        <v>Factura audífonos</v>
      </c>
      <c r="L104" s="16">
        <f ca="1">IFERROR(__xludf.DUMMYFUNCTION("""COMPUTED_VALUE"""),46050)</f>
        <v>46050</v>
      </c>
      <c r="M104" s="6" t="str">
        <f ca="1">IFERROR(__xludf.DUMMYFUNCTION("""COMPUTED_VALUE"""),"NO")</f>
        <v>NO</v>
      </c>
      <c r="N104" s="15">
        <f ca="1">IFERROR(__xludf.DUMMYFUNCTION("""COMPUTED_VALUE"""),2)</f>
        <v>2</v>
      </c>
      <c r="O104" s="6" t="str">
        <f ca="1">IFERROR(__xludf.DUMMYFUNCTION("""COMPUTED_VALUE"""),"CONFORT")</f>
        <v>CONFORT</v>
      </c>
      <c r="P104" s="18">
        <f ca="1">IFERROR(__xludf.DUMMYFUNCTION("""COMPUTED_VALUE"""),3631.82)</f>
        <v>3631.82</v>
      </c>
      <c r="Q104" s="6" t="str">
        <f ca="1">IFERROR(__xludf.DUMMYFUNCTION("""COMPUTED_VALUE"""),"Maika Blázquez")</f>
        <v>Maika Blázquez</v>
      </c>
      <c r="R104" s="19" t="str">
        <f ca="1">IFERROR(__xludf.DUMMYFUNCTION("""COMPUTED_VALUE"""),"Nuria Arnaiz Canora")</f>
        <v>Nuria Arnaiz Canora</v>
      </c>
      <c r="S104" s="20" t="str">
        <f ca="1">IFERROR(__xludf.DUMMYFUNCTION("""COMPUTED_VALUE"""),"03 ORL")</f>
        <v>03 ORL</v>
      </c>
      <c r="T104" s="6" t="str">
        <f ca="1">IFERROR(__xludf.DUMMYFUNCTION("""COMPUTED_VALUE"""),"06 ORL")</f>
        <v>06 ORL</v>
      </c>
      <c r="U104" s="21"/>
      <c r="W104" s="21"/>
      <c r="X104" s="21"/>
      <c r="AG104" s="18"/>
      <c r="AJ104" s="19"/>
    </row>
    <row r="105" spans="1:36" ht="16">
      <c r="A105" s="6"/>
      <c r="B105" s="14" t="str">
        <f t="shared" ca="1" si="0"/>
        <v>MBM</v>
      </c>
      <c r="C105" s="23" t="str">
        <f ca="1">IFERROR(__xludf.DUMMYFUNCTION("""COMPUTED_VALUE"""),"MBM186")</f>
        <v>MBM186</v>
      </c>
      <c r="D105" s="6" t="str">
        <f ca="1">IFERROR(__xludf.DUMMYFUNCTION("""COMPUTED_VALUE"""),"PROPIOS")</f>
        <v>PROPIOS</v>
      </c>
      <c r="E105" s="6">
        <f ca="1">IFERROR(__xludf.DUMMYFUNCTION("""COMPUTED_VALUE"""),2026)</f>
        <v>2026</v>
      </c>
      <c r="F105" s="15">
        <f ca="1">IFERROR(__xludf.DUMMYFUNCTION("""COMPUTED_VALUE"""),1)</f>
        <v>1</v>
      </c>
      <c r="G105" s="6" t="str">
        <f ca="1">IFERROR(__xludf.DUMMYFUNCTION("""COMPUTED_VALUE"""),"Torrejón de Ardoz")</f>
        <v>Torrejón de Ardoz</v>
      </c>
      <c r="H105" s="6" t="str">
        <f ca="1">IFERROR(__xludf.DUMMYFUNCTION("""COMPUTED_VALUE"""),"C202511191019522290")</f>
        <v>C202511191019522290</v>
      </c>
      <c r="I105" s="6" t="str">
        <f ca="1">IFERROR(__xludf.DUMMYFUNCTION("""COMPUTED_VALUE"""),"FELICIDAD MORENA GONZALEZ")</f>
        <v>FELICIDAD MORENA GONZALEZ</v>
      </c>
      <c r="J105" s="16">
        <f ca="1">IFERROR(__xludf.DUMMYFUNCTION("""COMPUTED_VALUE"""),45980)</f>
        <v>45980</v>
      </c>
      <c r="K105" s="6" t="str">
        <f ca="1">IFERROR(__xludf.DUMMYFUNCTION("""COMPUTED_VALUE"""),"Factura audífonos")</f>
        <v>Factura audífonos</v>
      </c>
      <c r="L105" s="16">
        <f ca="1">IFERROR(__xludf.DUMMYFUNCTION("""COMPUTED_VALUE"""),46051)</f>
        <v>46051</v>
      </c>
      <c r="M105" s="6" t="str">
        <f ca="1">IFERROR(__xludf.DUMMYFUNCTION("""COMPUTED_VALUE"""),"NO")</f>
        <v>NO</v>
      </c>
      <c r="N105" s="15">
        <f ca="1">IFERROR(__xludf.DUMMYFUNCTION("""COMPUTED_VALUE"""),2)</f>
        <v>2</v>
      </c>
      <c r="O105" s="6" t="str">
        <f ca="1">IFERROR(__xludf.DUMMYFUNCTION("""COMPUTED_VALUE"""),"QUIET")</f>
        <v>QUIET</v>
      </c>
      <c r="P105" s="18">
        <f ca="1">IFERROR(__xludf.DUMMYFUNCTION("""COMPUTED_VALUE"""),2718.18)</f>
        <v>2718.18</v>
      </c>
      <c r="Q105" s="6" t="str">
        <f ca="1">IFERROR(__xludf.DUMMYFUNCTION("""COMPUTED_VALUE"""),"Maika Blázquez")</f>
        <v>Maika Blázquez</v>
      </c>
      <c r="R105" s="19" t="str">
        <f ca="1">IFERROR(__xludf.DUMMYFUNCTION("""COMPUTED_VALUE"""),"Marta Abad Pascual")</f>
        <v>Marta Abad Pascual</v>
      </c>
      <c r="S105" s="20" t="str">
        <f ca="1">IFERROR(__xludf.DUMMYFUNCTION("""COMPUTED_VALUE"""),"03 ORL")</f>
        <v>03 ORL</v>
      </c>
      <c r="T105" s="6" t="str">
        <f ca="1">IFERROR(__xludf.DUMMYFUNCTION("""COMPUTED_VALUE"""),"06 ORL")</f>
        <v>06 ORL</v>
      </c>
      <c r="U105" s="21"/>
      <c r="W105" s="21"/>
      <c r="X105" s="21"/>
      <c r="AG105" s="18"/>
      <c r="AJ105" s="19"/>
    </row>
    <row r="106" spans="1:36" ht="16">
      <c r="A106" s="6"/>
      <c r="B106" s="14" t="str">
        <f t="shared" ca="1" si="0"/>
        <v>ISL</v>
      </c>
      <c r="C106" s="23" t="str">
        <f ca="1">IFERROR(__xludf.DUMMYFUNCTION("""COMPUTED_VALUE"""),"ISL99")</f>
        <v>ISL99</v>
      </c>
      <c r="D106" s="6" t="str">
        <f ca="1">IFERROR(__xludf.DUMMYFUNCTION("""COMPUTED_VALUE"""),"PROPIOS")</f>
        <v>PROPIOS</v>
      </c>
      <c r="E106" s="6">
        <f ca="1">IFERROR(__xludf.DUMMYFUNCTION("""COMPUTED_VALUE"""),2026)</f>
        <v>2026</v>
      </c>
      <c r="F106" s="15">
        <f ca="1">IFERROR(__xludf.DUMMYFUNCTION("""COMPUTED_VALUE"""),1)</f>
        <v>1</v>
      </c>
      <c r="G106" s="6" t="str">
        <f ca="1">IFERROR(__xludf.DUMMYFUNCTION("""COMPUTED_VALUE"""),"Alicante")</f>
        <v>Alicante</v>
      </c>
      <c r="H106" s="6" t="str">
        <f ca="1">IFERROR(__xludf.DUMMYFUNCTION("""COMPUTED_VALUE"""),"C202612113440763265")</f>
        <v>C202612113440763265</v>
      </c>
      <c r="I106" s="6" t="str">
        <f ca="1">IFERROR(__xludf.DUMMYFUNCTION("""COMPUTED_VALUE"""),"MAGDALENA MENDIETA ESTUDILLO")</f>
        <v>MAGDALENA MENDIETA ESTUDILLO</v>
      </c>
      <c r="J106" s="16">
        <f ca="1">IFERROR(__xludf.DUMMYFUNCTION("""COMPUTED_VALUE"""),46024)</f>
        <v>46024</v>
      </c>
      <c r="K106" s="6" t="str">
        <f ca="1">IFERROR(__xludf.DUMMYFUNCTION("""COMPUTED_VALUE"""),"Factura audífonos")</f>
        <v>Factura audífonos</v>
      </c>
      <c r="L106" s="16">
        <f ca="1">IFERROR(__xludf.DUMMYFUNCTION("""COMPUTED_VALUE"""),46051)</f>
        <v>46051</v>
      </c>
      <c r="M106" s="6" t="str">
        <f ca="1">IFERROR(__xludf.DUMMYFUNCTION("""COMPUTED_VALUE"""),"NO")</f>
        <v>NO</v>
      </c>
      <c r="N106" s="15">
        <f ca="1">IFERROR(__xludf.DUMMYFUNCTION("""COMPUTED_VALUE"""),2)</f>
        <v>2</v>
      </c>
      <c r="O106" s="6" t="str">
        <f ca="1">IFERROR(__xludf.DUMMYFUNCTION("""COMPUTED_VALUE"""),"QUIET")</f>
        <v>QUIET</v>
      </c>
      <c r="P106" s="18">
        <f ca="1">IFERROR(__xludf.DUMMYFUNCTION("""COMPUTED_VALUE"""),2582.27)</f>
        <v>2582.27</v>
      </c>
      <c r="Q106" s="6" t="str">
        <f ca="1">IFERROR(__xludf.DUMMYFUNCTION("""COMPUTED_VALUE"""),"Iván Sánchez")</f>
        <v>Iván Sánchez</v>
      </c>
      <c r="R106" s="19" t="str">
        <f ca="1">IFERROR(__xludf.DUMMYFUNCTION("""COMPUTED_VALUE"""),"Cristina Muñoz Pinto")</f>
        <v>Cristina Muñoz Pinto</v>
      </c>
      <c r="S106" s="20" t="str">
        <f ca="1">IFERROR(__xludf.DUMMYFUNCTION("""COMPUTED_VALUE"""),"03 ORL")</f>
        <v>03 ORL</v>
      </c>
      <c r="T106" s="6" t="str">
        <f ca="1">IFERROR(__xludf.DUMMYFUNCTION("""COMPUTED_VALUE"""),"06 ORL")</f>
        <v>06 ORL</v>
      </c>
      <c r="U106" s="21"/>
      <c r="W106" s="21"/>
      <c r="X106" s="21"/>
      <c r="AG106" s="18"/>
      <c r="AJ106" s="19"/>
    </row>
    <row r="107" spans="1:36" ht="16">
      <c r="A107" s="6"/>
      <c r="B107" s="14" t="str">
        <f t="shared" ca="1" si="0"/>
        <v>MBM</v>
      </c>
      <c r="C107" s="23" t="str">
        <f ca="1">IFERROR(__xludf.DUMMYFUNCTION("""COMPUTED_VALUE"""),"MBM01")</f>
        <v>MBM01</v>
      </c>
      <c r="D107" s="6" t="str">
        <f ca="1">IFERROR(__xludf.DUMMYFUNCTION("""COMPUTED_VALUE"""),"PROPIOS")</f>
        <v>PROPIOS</v>
      </c>
      <c r="E107" s="6">
        <f ca="1">IFERROR(__xludf.DUMMYFUNCTION("""COMPUTED_VALUE"""),2026)</f>
        <v>2026</v>
      </c>
      <c r="F107" s="15">
        <f ca="1">IFERROR(__xludf.DUMMYFUNCTION("""COMPUTED_VALUE"""),1)</f>
        <v>1</v>
      </c>
      <c r="G107" s="6" t="str">
        <f ca="1">IFERROR(__xludf.DUMMYFUNCTION("""COMPUTED_VALUE"""),"Alcorcón")</f>
        <v>Alcorcón</v>
      </c>
      <c r="H107" s="6" t="str">
        <f ca="1">IFERROR(__xludf.DUMMYFUNCTION("""COMPUTED_VALUE"""),"C202512221022206009")</f>
        <v>C202512221022206009</v>
      </c>
      <c r="I107" s="6" t="str">
        <f ca="1">IFERROR(__xludf.DUMMYFUNCTION("""COMPUTED_VALUE"""),"PATRICIA ESTEVEZ")</f>
        <v>PATRICIA ESTEVEZ</v>
      </c>
      <c r="J107" s="16">
        <f ca="1">IFERROR(__xludf.DUMMYFUNCTION("""COMPUTED_VALUE"""),46013)</f>
        <v>46013</v>
      </c>
      <c r="K107" s="6" t="str">
        <f ca="1">IFERROR(__xludf.DUMMYFUNCTION("""COMPUTED_VALUE"""),"Factura audífonos")</f>
        <v>Factura audífonos</v>
      </c>
      <c r="L107" s="16">
        <f ca="1">IFERROR(__xludf.DUMMYFUNCTION("""COMPUTED_VALUE"""),46051)</f>
        <v>46051</v>
      </c>
      <c r="M107" s="6" t="str">
        <f ca="1">IFERROR(__xludf.DUMMYFUNCTION("""COMPUTED_VALUE"""),"NO")</f>
        <v>NO</v>
      </c>
      <c r="N107" s="15">
        <f ca="1">IFERROR(__xludf.DUMMYFUNCTION("""COMPUTED_VALUE"""),2)</f>
        <v>2</v>
      </c>
      <c r="O107" s="6" t="str">
        <f ca="1">IFERROR(__xludf.DUMMYFUNCTION("""COMPUTED_VALUE"""),"QUIET")</f>
        <v>QUIET</v>
      </c>
      <c r="P107" s="18">
        <f ca="1">IFERROR(__xludf.DUMMYFUNCTION("""COMPUTED_VALUE"""),2582.27)</f>
        <v>2582.27</v>
      </c>
      <c r="Q107" s="6" t="str">
        <f ca="1">IFERROR(__xludf.DUMMYFUNCTION("""COMPUTED_VALUE"""),"Maika Blázquez")</f>
        <v>Maika Blázquez</v>
      </c>
      <c r="R107" s="19" t="str">
        <f ca="1">IFERROR(__xludf.DUMMYFUNCTION("""COMPUTED_VALUE"""),"Adolfo Toledano Muñoz")</f>
        <v>Adolfo Toledano Muñoz</v>
      </c>
      <c r="S107" s="20" t="str">
        <f ca="1">IFERROR(__xludf.DUMMYFUNCTION("""COMPUTED_VALUE"""),"03 ORL")</f>
        <v>03 ORL</v>
      </c>
      <c r="T107" s="6" t="str">
        <f ca="1">IFERROR(__xludf.DUMMYFUNCTION("""COMPUTED_VALUE"""),"06 ORL")</f>
        <v>06 ORL</v>
      </c>
      <c r="U107" s="21"/>
      <c r="W107" s="21"/>
      <c r="X107" s="21"/>
      <c r="AG107" s="19"/>
      <c r="AJ107" s="19"/>
    </row>
    <row r="108" spans="1:36" ht="16">
      <c r="A108" s="6"/>
      <c r="B108" s="14" t="str">
        <f t="shared" ca="1" si="0"/>
        <v>RPG</v>
      </c>
      <c r="C108" s="23" t="str">
        <f ca="1">IFERROR(__xludf.DUMMYFUNCTION("""COMPUTED_VALUE"""),"RPG51")</f>
        <v>RPG51</v>
      </c>
      <c r="D108" s="6" t="str">
        <f ca="1">IFERROR(__xludf.DUMMYFUNCTION("""COMPUTED_VALUE"""),"PARTICIPADOS")</f>
        <v>PARTICIPADOS</v>
      </c>
      <c r="E108" s="6">
        <f ca="1">IFERROR(__xludf.DUMMYFUNCTION("""COMPUTED_VALUE"""),2026)</f>
        <v>2026</v>
      </c>
      <c r="F108" s="15">
        <f ca="1">IFERROR(__xludf.DUMMYFUNCTION("""COMPUTED_VALUE"""),1)</f>
        <v>1</v>
      </c>
      <c r="G108" s="6" t="str">
        <f ca="1">IFERROR(__xludf.DUMMYFUNCTION("""COMPUTED_VALUE"""),"Ourense")</f>
        <v>Ourense</v>
      </c>
      <c r="H108" s="6" t="str">
        <f ca="1">IFERROR(__xludf.DUMMYFUNCTION("""COMPUTED_VALUE"""),"C202512910445271491")</f>
        <v>C202512910445271491</v>
      </c>
      <c r="I108" s="6" t="str">
        <f ca="1">IFERROR(__xludf.DUMMYFUNCTION("""COMPUTED_VALUE"""),"VICENTE RODRIGUEZ BLANCO")</f>
        <v>VICENTE RODRIGUEZ BLANCO</v>
      </c>
      <c r="J108" s="16">
        <f ca="1">IFERROR(__xludf.DUMMYFUNCTION("""COMPUTED_VALUE"""),46000)</f>
        <v>46000</v>
      </c>
      <c r="K108" s="6" t="str">
        <f ca="1">IFERROR(__xludf.DUMMYFUNCTION("""COMPUTED_VALUE"""),"Factura audífonos")</f>
        <v>Factura audífonos</v>
      </c>
      <c r="L108" s="16">
        <f ca="1">IFERROR(__xludf.DUMMYFUNCTION("""COMPUTED_VALUE"""),46051)</f>
        <v>46051</v>
      </c>
      <c r="M108" s="6" t="str">
        <f ca="1">IFERROR(__xludf.DUMMYFUNCTION("""COMPUTED_VALUE"""),"NO")</f>
        <v>NO</v>
      </c>
      <c r="N108" s="15">
        <f ca="1">IFERROR(__xludf.DUMMYFUNCTION("""COMPUTED_VALUE"""),1)</f>
        <v>1</v>
      </c>
      <c r="O108" s="6" t="str">
        <f ca="1">IFERROR(__xludf.DUMMYFUNCTION("""COMPUTED_VALUE"""),"CONFORT")</f>
        <v>CONFORT</v>
      </c>
      <c r="P108" s="18">
        <f ca="1">IFERROR(__xludf.DUMMYFUNCTION("""COMPUTED_VALUE"""),2180.91)</f>
        <v>2180.91</v>
      </c>
      <c r="Q108" s="6" t="str">
        <f ca="1">IFERROR(__xludf.DUMMYFUNCTION("""COMPUTED_VALUE"""),"Alberto Moreno")</f>
        <v>Alberto Moreno</v>
      </c>
      <c r="R108" s="19" t="str">
        <f ca="1">IFERROR(__xludf.DUMMYFUNCTION("""COMPUTED_VALUE"""),"María Rey Marcos")</f>
        <v>María Rey Marcos</v>
      </c>
      <c r="S108" s="20" t="str">
        <f ca="1">IFERROR(__xludf.DUMMYFUNCTION("""COMPUTED_VALUE"""),"03 ORL")</f>
        <v>03 ORL</v>
      </c>
      <c r="T108" s="6" t="str">
        <f ca="1">IFERROR(__xludf.DUMMYFUNCTION("""COMPUTED_VALUE"""),"06 ORL")</f>
        <v>06 ORL</v>
      </c>
      <c r="U108" s="21"/>
      <c r="W108" s="21"/>
      <c r="X108" s="21"/>
      <c r="AG108" s="19"/>
      <c r="AJ108" s="19"/>
    </row>
    <row r="109" spans="1:36" ht="16">
      <c r="A109" s="6"/>
      <c r="B109" s="14" t="str">
        <f t="shared" ca="1" si="0"/>
        <v>RFV</v>
      </c>
      <c r="C109" s="23" t="str">
        <f ca="1">IFERROR(__xludf.DUMMYFUNCTION("""COMPUTED_VALUE"""),"RFV38")</f>
        <v>RFV38</v>
      </c>
      <c r="D109" s="6" t="str">
        <f ca="1">IFERROR(__xludf.DUMMYFUNCTION("""COMPUTED_VALUE"""),"PROPIOS")</f>
        <v>PROPIOS</v>
      </c>
      <c r="E109" s="6">
        <f ca="1">IFERROR(__xludf.DUMMYFUNCTION("""COMPUTED_VALUE"""),2026)</f>
        <v>2026</v>
      </c>
      <c r="F109" s="15">
        <f ca="1">IFERROR(__xludf.DUMMYFUNCTION("""COMPUTED_VALUE"""),1)</f>
        <v>1</v>
      </c>
      <c r="G109" s="6" t="str">
        <f ca="1">IFERROR(__xludf.DUMMYFUNCTION("""COMPUTED_VALUE"""),"El Albir (Benidorm)")</f>
        <v>El Albir (Benidorm)</v>
      </c>
      <c r="H109" s="6" t="str">
        <f ca="1">IFERROR(__xludf.DUMMYFUNCTION("""COMPUTED_VALUE"""),"C202512161325384872")</f>
        <v>C202512161325384872</v>
      </c>
      <c r="I109" s="6" t="str">
        <f ca="1">IFERROR(__xludf.DUMMYFUNCTION("""COMPUTED_VALUE"""),"FERNANDO MARTINEZ  LUQUE")</f>
        <v>FERNANDO MARTINEZ  LUQUE</v>
      </c>
      <c r="J109" s="16">
        <f ca="1">IFERROR(__xludf.DUMMYFUNCTION("""COMPUTED_VALUE"""),46007)</f>
        <v>46007</v>
      </c>
      <c r="K109" s="6" t="str">
        <f ca="1">IFERROR(__xludf.DUMMYFUNCTION("""COMPUTED_VALUE"""),"Factura audífonos")</f>
        <v>Factura audífonos</v>
      </c>
      <c r="L109" s="16">
        <f ca="1">IFERROR(__xludf.DUMMYFUNCTION("""COMPUTED_VALUE"""),46051)</f>
        <v>46051</v>
      </c>
      <c r="M109" s="6" t="str">
        <f ca="1">IFERROR(__xludf.DUMMYFUNCTION("""COMPUTED_VALUE"""),"NO")</f>
        <v>NO</v>
      </c>
      <c r="N109" s="15">
        <f ca="1">IFERROR(__xludf.DUMMYFUNCTION("""COMPUTED_VALUE"""),2)</f>
        <v>2</v>
      </c>
      <c r="O109" s="6" t="str">
        <f ca="1">IFERROR(__xludf.DUMMYFUNCTION("""COMPUTED_VALUE"""),"CONFORT")</f>
        <v>CONFORT</v>
      </c>
      <c r="P109" s="18">
        <f ca="1">IFERROR(__xludf.DUMMYFUNCTION("""COMPUTED_VALUE"""),3313.64)</f>
        <v>3313.64</v>
      </c>
      <c r="Q109" s="6" t="str">
        <f ca="1">IFERROR(__xludf.DUMMYFUNCTION("""COMPUTED_VALUE"""),"Ramon Ferrando")</f>
        <v>Ramon Ferrando</v>
      </c>
      <c r="R109" s="19" t="str">
        <f ca="1">IFERROR(__xludf.DUMMYFUNCTION("""COMPUTED_VALUE"""),"María Emilia García Ruiz")</f>
        <v>María Emilia García Ruiz</v>
      </c>
      <c r="S109" s="20" t="str">
        <f ca="1">IFERROR(__xludf.DUMMYFUNCTION("""COMPUTED_VALUE"""),"03 ORL")</f>
        <v>03 ORL</v>
      </c>
      <c r="T109" s="6" t="str">
        <f ca="1">IFERROR(__xludf.DUMMYFUNCTION("""COMPUTED_VALUE"""),"06 ORL")</f>
        <v>06 ORL</v>
      </c>
      <c r="U109" s="21"/>
      <c r="W109" s="21"/>
      <c r="X109" s="21"/>
      <c r="AG109" s="18"/>
    </row>
    <row r="110" spans="1:36" ht="16">
      <c r="A110" s="6"/>
      <c r="B110" s="14" t="str">
        <f t="shared" ca="1" si="0"/>
        <v>LRM</v>
      </c>
      <c r="C110" s="23" t="str">
        <f ca="1">IFERROR(__xludf.DUMMYFUNCTION("""COMPUTED_VALUE"""),"LRM151")</f>
        <v>LRM151</v>
      </c>
      <c r="D110" s="6" t="str">
        <f ca="1">IFERROR(__xludf.DUMMYFUNCTION("""COMPUTED_VALUE"""),"PROPIOS")</f>
        <v>PROPIOS</v>
      </c>
      <c r="E110" s="6">
        <f ca="1">IFERROR(__xludf.DUMMYFUNCTION("""COMPUTED_VALUE"""),2026)</f>
        <v>2026</v>
      </c>
      <c r="F110" s="15">
        <f ca="1">IFERROR(__xludf.DUMMYFUNCTION("""COMPUTED_VALUE"""),1)</f>
        <v>1</v>
      </c>
      <c r="G110" s="6" t="str">
        <f ca="1">IFERROR(__xludf.DUMMYFUNCTION("""COMPUTED_VALUE"""),"Logroño")</f>
        <v>Logroño</v>
      </c>
      <c r="H110" s="6" t="str">
        <f ca="1">IFERROR(__xludf.DUMMYFUNCTION("""COMPUTED_VALUE"""),"C202511289525253331")</f>
        <v>C202511289525253331</v>
      </c>
      <c r="I110" s="6" t="str">
        <f ca="1">IFERROR(__xludf.DUMMYFUNCTION("""COMPUTED_VALUE"""),"ESTRELLA BURGOS IBAÑEZ")</f>
        <v>ESTRELLA BURGOS IBAÑEZ</v>
      </c>
      <c r="J110" s="16">
        <f ca="1">IFERROR(__xludf.DUMMYFUNCTION("""COMPUTED_VALUE"""),45989)</f>
        <v>45989</v>
      </c>
      <c r="K110" s="6" t="str">
        <f ca="1">IFERROR(__xludf.DUMMYFUNCTION("""COMPUTED_VALUE"""),"Factura audífonos")</f>
        <v>Factura audífonos</v>
      </c>
      <c r="L110" s="16">
        <f ca="1">IFERROR(__xludf.DUMMYFUNCTION("""COMPUTED_VALUE"""),46051)</f>
        <v>46051</v>
      </c>
      <c r="M110" s="6" t="str">
        <f ca="1">IFERROR(__xludf.DUMMYFUNCTION("""COMPUTED_VALUE"""),"NO")</f>
        <v>NO</v>
      </c>
      <c r="N110" s="15">
        <f ca="1">IFERROR(__xludf.DUMMYFUNCTION("""COMPUTED_VALUE"""),2)</f>
        <v>2</v>
      </c>
      <c r="O110" s="6" t="str">
        <f ca="1">IFERROR(__xludf.DUMMYFUNCTION("""COMPUTED_VALUE"""),"CONFORT")</f>
        <v>CONFORT</v>
      </c>
      <c r="P110" s="19">
        <f ca="1">IFERROR(__xludf.DUMMYFUNCTION("""COMPUTED_VALUE"""),3450.23)</f>
        <v>3450.23</v>
      </c>
      <c r="Q110" s="6" t="str">
        <f ca="1">IFERROR(__xludf.DUMMYFUNCTION("""COMPUTED_VALUE"""),"Lisandro Russian")</f>
        <v>Lisandro Russian</v>
      </c>
      <c r="R110" s="19" t="str">
        <f ca="1">IFERROR(__xludf.DUMMYFUNCTION("""COMPUTED_VALUE"""),"Cristina Ibañez Muñoz")</f>
        <v>Cristina Ibañez Muñoz</v>
      </c>
      <c r="S110" s="20" t="str">
        <f ca="1">IFERROR(__xludf.DUMMYFUNCTION("""COMPUTED_VALUE"""),"03 ORL")</f>
        <v>03 ORL</v>
      </c>
      <c r="T110" s="6" t="str">
        <f ca="1">IFERROR(__xludf.DUMMYFUNCTION("""COMPUTED_VALUE"""),"06 ORL")</f>
        <v>06 ORL</v>
      </c>
      <c r="U110" s="21"/>
      <c r="W110" s="21"/>
      <c r="X110" s="21"/>
      <c r="AG110" s="18"/>
      <c r="AJ110" s="19"/>
    </row>
    <row r="111" spans="1:36" ht="16">
      <c r="A111" s="6"/>
      <c r="B111" s="14" t="str">
        <f t="shared" si="0"/>
        <v/>
      </c>
      <c r="C111" s="23"/>
      <c r="D111" s="6" t="str">
        <f ca="1">IFERROR(__xludf.DUMMYFUNCTION("""COMPUTED_VALUE"""),"ASOCIADOS")</f>
        <v>ASOCIADOS</v>
      </c>
      <c r="E111" s="6">
        <f ca="1">IFERROR(__xludf.DUMMYFUNCTION("""COMPUTED_VALUE"""),2026)</f>
        <v>2026</v>
      </c>
      <c r="F111" s="15">
        <f ca="1">IFERROR(__xludf.DUMMYFUNCTION("""COMPUTED_VALUE"""),1)</f>
        <v>1</v>
      </c>
      <c r="G111" s="6" t="str">
        <f ca="1">IFERROR(__xludf.DUMMYFUNCTION("""COMPUTED_VALUE"""),"Ponferrada")</f>
        <v>Ponferrada</v>
      </c>
      <c r="H111" s="6" t="str">
        <f ca="1">IFERROR(__xludf.DUMMYFUNCTION("""COMPUTED_VALUE"""),"PON-886")</f>
        <v>PON-886</v>
      </c>
      <c r="I111" s="6" t="str">
        <f ca="1">IFERROR(__xludf.DUMMYFUNCTION("""COMPUTED_VALUE"""),"JOSE PUERTO MARQUES")</f>
        <v>JOSE PUERTO MARQUES</v>
      </c>
      <c r="J111" s="16">
        <f ca="1">IFERROR(__xludf.DUMMYFUNCTION("""COMPUTED_VALUE"""),45714)</f>
        <v>45714</v>
      </c>
      <c r="K111" s="6" t="str">
        <f ca="1">IFERROR(__xludf.DUMMYFUNCTION("""COMPUTED_VALUE"""),"Factura audífonos")</f>
        <v>Factura audífonos</v>
      </c>
      <c r="L111" s="16">
        <f ca="1">IFERROR(__xludf.DUMMYFUNCTION("""COMPUTED_VALUE"""),46051)</f>
        <v>46051</v>
      </c>
      <c r="M111" s="6" t="str">
        <f ca="1">IFERROR(__xludf.DUMMYFUNCTION("""COMPUTED_VALUE"""),"NO")</f>
        <v>NO</v>
      </c>
      <c r="N111" s="15">
        <f ca="1">IFERROR(__xludf.DUMMYFUNCTION("""COMPUTED_VALUE"""),2)</f>
        <v>2</v>
      </c>
      <c r="O111" s="6" t="str">
        <f ca="1">IFERROR(__xludf.DUMMYFUNCTION("""COMPUTED_VALUE"""),"QUIET")</f>
        <v>QUIET</v>
      </c>
      <c r="P111" s="19">
        <f ca="1">IFERROR(__xludf.DUMMYFUNCTION("""COMPUTED_VALUE"""),3545.45)</f>
        <v>3545.45</v>
      </c>
      <c r="Q111" s="6" t="str">
        <f ca="1">IFERROR(__xludf.DUMMYFUNCTION("""COMPUTED_VALUE"""),"Alberto Moreno")</f>
        <v>Alberto Moreno</v>
      </c>
      <c r="R111" s="19" t="str">
        <f ca="1">IFERROR(__xludf.DUMMYFUNCTION("""COMPUTED_VALUE"""),"No recuerda ORL")</f>
        <v>No recuerda ORL</v>
      </c>
      <c r="S111" s="20" t="str">
        <f ca="1">IFERROR(__xludf.DUMMYFUNCTION("""COMPUTED_VALUE"""),"03 ORL")</f>
        <v>03 ORL</v>
      </c>
      <c r="T111" s="6" t="str">
        <f ca="1">IFERROR(__xludf.DUMMYFUNCTION("""COMPUTED_VALUE"""),"06 ORL")</f>
        <v>06 ORL</v>
      </c>
      <c r="U111" s="21"/>
      <c r="W111" s="21"/>
      <c r="X111" s="21"/>
      <c r="AG111" s="19"/>
      <c r="AJ111" s="19"/>
    </row>
    <row r="112" spans="1:36" ht="16">
      <c r="A112" s="6"/>
      <c r="B112" s="14" t="str">
        <f t="shared" ca="1" si="0"/>
        <v>LRM</v>
      </c>
      <c r="C112" s="23" t="str">
        <f ca="1">IFERROR(__xludf.DUMMYFUNCTION("""COMPUTED_VALUE"""),"LRM39")</f>
        <v>LRM39</v>
      </c>
      <c r="D112" s="6" t="str">
        <f ca="1">IFERROR(__xludf.DUMMYFUNCTION("""COMPUTED_VALUE"""),"PROPIOS")</f>
        <v>PROPIOS</v>
      </c>
      <c r="E112" s="6">
        <f ca="1">IFERROR(__xludf.DUMMYFUNCTION("""COMPUTED_VALUE"""),2026)</f>
        <v>2026</v>
      </c>
      <c r="F112" s="15">
        <f ca="1">IFERROR(__xludf.DUMMYFUNCTION("""COMPUTED_VALUE"""),1)</f>
        <v>1</v>
      </c>
      <c r="G112" s="6" t="str">
        <f ca="1">IFERROR(__xludf.DUMMYFUNCTION("""COMPUTED_VALUE"""),"Logroño")</f>
        <v>Logroño</v>
      </c>
      <c r="H112" s="6" t="str">
        <f ca="1">IFERROR(__xludf.DUMMYFUNCTION("""COMPUTED_VALUE"""),"C202611511544719")</f>
        <v>C202611511544719</v>
      </c>
      <c r="I112" s="6" t="str">
        <f ca="1">IFERROR(__xludf.DUMMYFUNCTION("""COMPUTED_VALUE"""),"EMILIA DEL CARMEN IGLESIAS FERNANDEZ")</f>
        <v>EMILIA DEL CARMEN IGLESIAS FERNANDEZ</v>
      </c>
      <c r="J112" s="16">
        <f ca="1">IFERROR(__xludf.DUMMYFUNCTION("""COMPUTED_VALUE"""),46037)</f>
        <v>46037</v>
      </c>
      <c r="K112" s="6" t="str">
        <f ca="1">IFERROR(__xludf.DUMMYFUNCTION("""COMPUTED_VALUE"""),"Factura audífonos")</f>
        <v>Factura audífonos</v>
      </c>
      <c r="L112" s="16">
        <f ca="1">IFERROR(__xludf.DUMMYFUNCTION("""COMPUTED_VALUE"""),46052)</f>
        <v>46052</v>
      </c>
      <c r="M112" s="17" t="str">
        <f ca="1">IFERROR(__xludf.DUMMYFUNCTION("""COMPUTED_VALUE"""),"NO")</f>
        <v>NO</v>
      </c>
      <c r="N112" s="15">
        <f ca="1">IFERROR(__xludf.DUMMYFUNCTION("""COMPUTED_VALUE"""),2)</f>
        <v>2</v>
      </c>
      <c r="O112" s="6" t="str">
        <f ca="1">IFERROR(__xludf.DUMMYFUNCTION("""COMPUTED_VALUE"""),"QUIET")</f>
        <v>QUIET</v>
      </c>
      <c r="P112" s="19">
        <f ca="1">IFERROR(__xludf.DUMMYFUNCTION("""COMPUTED_VALUE"""),3631.82)</f>
        <v>3631.82</v>
      </c>
      <c r="Q112" s="6" t="str">
        <f ca="1">IFERROR(__xludf.DUMMYFUNCTION("""COMPUTED_VALUE"""),"Lisandro Russian")</f>
        <v>Lisandro Russian</v>
      </c>
      <c r="R112" s="19" t="str">
        <f ca="1">IFERROR(__xludf.DUMMYFUNCTION("""COMPUTED_VALUE"""),"Fernando Salazar Barcelona")</f>
        <v>Fernando Salazar Barcelona</v>
      </c>
      <c r="S112" s="20" t="str">
        <f ca="1">IFERROR(__xludf.DUMMYFUNCTION("""COMPUTED_VALUE"""),"03 ORL")</f>
        <v>03 ORL</v>
      </c>
      <c r="T112" s="6" t="str">
        <f ca="1">IFERROR(__xludf.DUMMYFUNCTION("""COMPUTED_VALUE"""),"06 ORL")</f>
        <v>06 ORL</v>
      </c>
      <c r="U112" s="21"/>
      <c r="W112" s="21"/>
      <c r="X112" s="21"/>
      <c r="AE112" s="1"/>
      <c r="AG112" s="18"/>
      <c r="AJ112" s="19"/>
    </row>
    <row r="113" spans="1:36" ht="16">
      <c r="A113" s="6"/>
      <c r="B113" s="14" t="str">
        <f t="shared" ca="1" si="0"/>
        <v>LRM</v>
      </c>
      <c r="C113" s="23" t="str">
        <f ca="1">IFERROR(__xludf.DUMMYFUNCTION("""COMPUTED_VALUE"""),"LRM249")</f>
        <v>LRM249</v>
      </c>
      <c r="D113" s="6" t="str">
        <f ca="1">IFERROR(__xludf.DUMMYFUNCTION("""COMPUTED_VALUE"""),"PROPIOS")</f>
        <v>PROPIOS</v>
      </c>
      <c r="E113" s="6">
        <f ca="1">IFERROR(__xludf.DUMMYFUNCTION("""COMPUTED_VALUE"""),2026)</f>
        <v>2026</v>
      </c>
      <c r="F113" s="15">
        <f ca="1">IFERROR(__xludf.DUMMYFUNCTION("""COMPUTED_VALUE"""),1)</f>
        <v>1</v>
      </c>
      <c r="G113" s="6" t="str">
        <f ca="1">IFERROR(__xludf.DUMMYFUNCTION("""COMPUTED_VALUE"""),"Logroño")</f>
        <v>Logroño</v>
      </c>
      <c r="H113" s="6" t="str">
        <f ca="1">IFERROR(__xludf.DUMMYFUNCTION("""COMPUTED_VALUE"""),"C2025916183327966")</f>
        <v>C2025916183327966</v>
      </c>
      <c r="I113" s="6" t="str">
        <f ca="1">IFERROR(__xludf.DUMMYFUNCTION("""COMPUTED_VALUE"""),"JULIAN MARTINEZ ALMENDARIZ")</f>
        <v>JULIAN MARTINEZ ALMENDARIZ</v>
      </c>
      <c r="J113" s="16">
        <f ca="1">IFERROR(__xludf.DUMMYFUNCTION("""COMPUTED_VALUE"""),45889)</f>
        <v>45889</v>
      </c>
      <c r="K113" s="6" t="str">
        <f ca="1">IFERROR(__xludf.DUMMYFUNCTION("""COMPUTED_VALUE"""),"Factura audífonos")</f>
        <v>Factura audífonos</v>
      </c>
      <c r="L113" s="16">
        <f ca="1">IFERROR(__xludf.DUMMYFUNCTION("""COMPUTED_VALUE"""),46052)</f>
        <v>46052</v>
      </c>
      <c r="M113" s="6" t="str">
        <f ca="1">IFERROR(__xludf.DUMMYFUNCTION("""COMPUTED_VALUE"""),"NO")</f>
        <v>NO</v>
      </c>
      <c r="N113" s="15">
        <f ca="1">IFERROR(__xludf.DUMMYFUNCTION("""COMPUTED_VALUE"""),2)</f>
        <v>2</v>
      </c>
      <c r="O113" s="6" t="str">
        <f ca="1">IFERROR(__xludf.DUMMYFUNCTION("""COMPUTED_VALUE"""),"CONFORT")</f>
        <v>CONFORT</v>
      </c>
      <c r="P113" s="19">
        <f ca="1">IFERROR(__xludf.DUMMYFUNCTION("""COMPUTED_VALUE"""),3631.82)</f>
        <v>3631.82</v>
      </c>
      <c r="Q113" s="6" t="str">
        <f ca="1">IFERROR(__xludf.DUMMYFUNCTION("""COMPUTED_VALUE"""),"Lisandro Russian")</f>
        <v>Lisandro Russian</v>
      </c>
      <c r="R113" s="19" t="str">
        <f ca="1">IFERROR(__xludf.DUMMYFUNCTION("""COMPUTED_VALUE"""),"Daniel Briones Crespo")</f>
        <v>Daniel Briones Crespo</v>
      </c>
      <c r="S113" s="20" t="str">
        <f ca="1">IFERROR(__xludf.DUMMYFUNCTION("""COMPUTED_VALUE"""),"03 ORL")</f>
        <v>03 ORL</v>
      </c>
      <c r="T113" s="6" t="str">
        <f ca="1">IFERROR(__xludf.DUMMYFUNCTION("""COMPUTED_VALUE"""),"06 ORL")</f>
        <v>06 ORL</v>
      </c>
      <c r="U113" s="21"/>
      <c r="W113" s="21"/>
      <c r="X113" s="21"/>
      <c r="AG113" s="19"/>
    </row>
    <row r="114" spans="1:36" ht="16">
      <c r="A114" s="6"/>
      <c r="B114" s="14" t="str">
        <f t="shared" ca="1" si="0"/>
        <v>MBM</v>
      </c>
      <c r="C114" s="23" t="str">
        <f ca="1">IFERROR(__xludf.DUMMYFUNCTION("""COMPUTED_VALUE"""),"MBM11")</f>
        <v>MBM11</v>
      </c>
      <c r="D114" s="6" t="str">
        <f ca="1">IFERROR(__xludf.DUMMYFUNCTION("""COMPUTED_VALUE"""),"PROPIOS")</f>
        <v>PROPIOS</v>
      </c>
      <c r="E114" s="6">
        <f ca="1">IFERROR(__xludf.DUMMYFUNCTION("""COMPUTED_VALUE"""),2026)</f>
        <v>2026</v>
      </c>
      <c r="F114" s="15">
        <f ca="1">IFERROR(__xludf.DUMMYFUNCTION("""COMPUTED_VALUE"""),1)</f>
        <v>1</v>
      </c>
      <c r="G114" s="6" t="str">
        <f ca="1">IFERROR(__xludf.DUMMYFUNCTION("""COMPUTED_VALUE"""),"Getafe")</f>
        <v>Getafe</v>
      </c>
      <c r="H114" s="6" t="str">
        <f ca="1">IFERROR(__xludf.DUMMYFUNCTION("""COMPUTED_VALUE"""),"C2025915112151818")</f>
        <v>C2025915112151818</v>
      </c>
      <c r="I114" s="6" t="str">
        <f ca="1">IFERROR(__xludf.DUMMYFUNCTION("""COMPUTED_VALUE"""),"PILAR GIMENEZ HERNANDEZ")</f>
        <v>PILAR GIMENEZ HERNANDEZ</v>
      </c>
      <c r="J114" s="16">
        <f ca="1">IFERROR(__xludf.DUMMYFUNCTION("""COMPUTED_VALUE"""),45908)</f>
        <v>45908</v>
      </c>
      <c r="K114" s="6" t="str">
        <f ca="1">IFERROR(__xludf.DUMMYFUNCTION("""COMPUTED_VALUE"""),"Factura audífonos")</f>
        <v>Factura audífonos</v>
      </c>
      <c r="L114" s="16">
        <f ca="1">IFERROR(__xludf.DUMMYFUNCTION("""COMPUTED_VALUE"""),46052)</f>
        <v>46052</v>
      </c>
      <c r="M114" s="6" t="str">
        <f ca="1">IFERROR(__xludf.DUMMYFUNCTION("""COMPUTED_VALUE"""),"NO")</f>
        <v>NO</v>
      </c>
      <c r="N114" s="15">
        <f ca="1">IFERROR(__xludf.DUMMYFUNCTION("""COMPUTED_VALUE"""),1)</f>
        <v>1</v>
      </c>
      <c r="O114" s="6" t="str">
        <f ca="1">IFERROR(__xludf.DUMMYFUNCTION("""COMPUTED_VALUE"""),"QUIET")</f>
        <v>QUIET</v>
      </c>
      <c r="P114" s="19">
        <f ca="1">IFERROR(__xludf.DUMMYFUNCTION("""COMPUTED_VALUE"""),1631.82)</f>
        <v>1631.82</v>
      </c>
      <c r="Q114" s="6" t="str">
        <f ca="1">IFERROR(__xludf.DUMMYFUNCTION("""COMPUTED_VALUE"""),"Maika Blázquez")</f>
        <v>Maika Blázquez</v>
      </c>
      <c r="R114" s="19" t="str">
        <f ca="1">IFERROR(__xludf.DUMMYFUNCTION("""COMPUTED_VALUE"""),"Antonio Rodríguez Rivero")</f>
        <v>Antonio Rodríguez Rivero</v>
      </c>
      <c r="S114" s="20" t="str">
        <f ca="1">IFERROR(__xludf.DUMMYFUNCTION("""COMPUTED_VALUE"""),"03 ORL")</f>
        <v>03 ORL</v>
      </c>
      <c r="T114" s="6" t="str">
        <f ca="1">IFERROR(__xludf.DUMMYFUNCTION("""COMPUTED_VALUE"""),"06 ORL")</f>
        <v>06 ORL</v>
      </c>
      <c r="U114" s="21"/>
      <c r="W114" s="21"/>
      <c r="X114" s="21"/>
      <c r="AE114" s="1"/>
      <c r="AG114" s="19"/>
      <c r="AJ114" s="19"/>
    </row>
    <row r="115" spans="1:36" ht="16">
      <c r="A115" s="6"/>
      <c r="B115" s="14" t="str">
        <f t="shared" si="0"/>
        <v/>
      </c>
      <c r="C115" s="23"/>
      <c r="D115" s="6" t="str">
        <f ca="1">IFERROR(__xludf.DUMMYFUNCTION("""COMPUTED_VALUE"""),"ASOCIADOS")</f>
        <v>ASOCIADOS</v>
      </c>
      <c r="E115" s="6">
        <f ca="1">IFERROR(__xludf.DUMMYFUNCTION("""COMPUTED_VALUE"""),2026)</f>
        <v>2026</v>
      </c>
      <c r="F115" s="15">
        <f ca="1">IFERROR(__xludf.DUMMYFUNCTION("""COMPUTED_VALUE"""),1)</f>
        <v>1</v>
      </c>
      <c r="G115" s="6" t="str">
        <f ca="1">IFERROR(__xludf.DUMMYFUNCTION("""COMPUTED_VALUE"""),"Valladolid")</f>
        <v>Valladolid</v>
      </c>
      <c r="H115" s="6" t="str">
        <f ca="1">IFERROR(__xludf.DUMMYFUNCTION("""COMPUTED_VALUE"""),"VLL-486")</f>
        <v>VLL-486</v>
      </c>
      <c r="I115" s="6" t="str">
        <f ca="1">IFERROR(__xludf.DUMMYFUNCTION("""COMPUTED_VALUE"""),"FELISA RODRIGUEZ DE CASTRO")</f>
        <v>FELISA RODRIGUEZ DE CASTRO</v>
      </c>
      <c r="J115" s="16">
        <f ca="1">IFERROR(__xludf.DUMMYFUNCTION("""COMPUTED_VALUE"""),45987)</f>
        <v>45987</v>
      </c>
      <c r="K115" s="6" t="str">
        <f ca="1">IFERROR(__xludf.DUMMYFUNCTION("""COMPUTED_VALUE"""),"Factura audífonos")</f>
        <v>Factura audífonos</v>
      </c>
      <c r="L115" s="16">
        <f ca="1">IFERROR(__xludf.DUMMYFUNCTION("""COMPUTED_VALUE"""),46052)</f>
        <v>46052</v>
      </c>
      <c r="M115" s="6" t="str">
        <f ca="1">IFERROR(__xludf.DUMMYFUNCTION("""COMPUTED_VALUE"""),"NO")</f>
        <v>NO</v>
      </c>
      <c r="N115" s="15">
        <f ca="1">IFERROR(__xludf.DUMMYFUNCTION("""COMPUTED_VALUE"""),2)</f>
        <v>2</v>
      </c>
      <c r="O115" s="6" t="str">
        <f ca="1">IFERROR(__xludf.DUMMYFUNCTION("""COMPUTED_VALUE"""),"CONFORT")</f>
        <v>CONFORT</v>
      </c>
      <c r="P115" s="19">
        <f ca="1">IFERROR(__xludf.DUMMYFUNCTION("""COMPUTED_VALUE"""),3522.73)</f>
        <v>3522.73</v>
      </c>
      <c r="Q115" s="6" t="str">
        <f ca="1">IFERROR(__xludf.DUMMYFUNCTION("""COMPUTED_VALUE"""),"Alberto Moreno")</f>
        <v>Alberto Moreno</v>
      </c>
      <c r="R115" s="19" t="str">
        <f ca="1">IFERROR(__xludf.DUMMYFUNCTION("""COMPUTED_VALUE"""),"No recuerda ORL")</f>
        <v>No recuerda ORL</v>
      </c>
      <c r="S115" s="20" t="str">
        <f ca="1">IFERROR(__xludf.DUMMYFUNCTION("""COMPUTED_VALUE"""),"03 ORL")</f>
        <v>03 ORL</v>
      </c>
      <c r="T115" s="6" t="str">
        <f ca="1">IFERROR(__xludf.DUMMYFUNCTION("""COMPUTED_VALUE"""),"06 ORL")</f>
        <v>06 ORL</v>
      </c>
      <c r="U115" s="21"/>
      <c r="W115" s="21"/>
      <c r="X115" s="21"/>
      <c r="AG115" s="19"/>
      <c r="AJ115" s="19"/>
    </row>
    <row r="116" spans="1:36" ht="16">
      <c r="A116" s="6"/>
      <c r="B116" s="14" t="str">
        <f t="shared" ca="1" si="0"/>
        <v>LRM</v>
      </c>
      <c r="C116" s="23" t="str">
        <f ca="1">IFERROR(__xludf.DUMMYFUNCTION("""COMPUTED_VALUE"""),"LRM269")</f>
        <v>LRM269</v>
      </c>
      <c r="D116" s="6" t="str">
        <f ca="1">IFERROR(__xludf.DUMMYFUNCTION("""COMPUTED_VALUE"""),"PROPIOS")</f>
        <v>PROPIOS</v>
      </c>
      <c r="E116" s="6">
        <f ca="1">IFERROR(__xludf.DUMMYFUNCTION("""COMPUTED_VALUE"""),2026)</f>
        <v>2026</v>
      </c>
      <c r="F116" s="15">
        <f ca="1">IFERROR(__xludf.DUMMYFUNCTION("""COMPUTED_VALUE"""),1)</f>
        <v>1</v>
      </c>
      <c r="G116" s="6" t="str">
        <f ca="1">IFERROR(__xludf.DUMMYFUNCTION("""COMPUTED_VALUE"""),"Toledo")</f>
        <v>Toledo</v>
      </c>
      <c r="H116" s="6" t="str">
        <f ca="1">IFERROR(__xludf.DUMMYFUNCTION("""COMPUTED_VALUE"""),"C202512109641544986")</f>
        <v>C202512109641544986</v>
      </c>
      <c r="I116" s="6" t="str">
        <f ca="1">IFERROR(__xludf.DUMMYFUNCTION("""COMPUTED_VALUE"""),"Vicente Camacho Gonzalez")</f>
        <v>Vicente Camacho Gonzalez</v>
      </c>
      <c r="J116" s="16">
        <f ca="1">IFERROR(__xludf.DUMMYFUNCTION("""COMPUTED_VALUE"""),46001)</f>
        <v>46001</v>
      </c>
      <c r="K116" s="6" t="str">
        <f ca="1">IFERROR(__xludf.DUMMYFUNCTION("""COMPUTED_VALUE"""),"Factura audífonos")</f>
        <v>Factura audífonos</v>
      </c>
      <c r="L116" s="16">
        <f ca="1">IFERROR(__xludf.DUMMYFUNCTION("""COMPUTED_VALUE"""),46052)</f>
        <v>46052</v>
      </c>
      <c r="M116" s="6" t="str">
        <f ca="1">IFERROR(__xludf.DUMMYFUNCTION("""COMPUTED_VALUE"""),"NO")</f>
        <v>NO</v>
      </c>
      <c r="N116" s="15">
        <f ca="1">IFERROR(__xludf.DUMMYFUNCTION("""COMPUTED_VALUE"""),2)</f>
        <v>2</v>
      </c>
      <c r="O116" s="6" t="str">
        <f ca="1">IFERROR(__xludf.DUMMYFUNCTION("""COMPUTED_VALUE"""),"QUIET")</f>
        <v>QUIET</v>
      </c>
      <c r="P116" s="18">
        <f ca="1">IFERROR(__xludf.DUMMYFUNCTION("""COMPUTED_VALUE"""),2582.27)</f>
        <v>2582.27</v>
      </c>
      <c r="Q116" s="6" t="str">
        <f ca="1">IFERROR(__xludf.DUMMYFUNCTION("""COMPUTED_VALUE"""),"Lisandro Russian")</f>
        <v>Lisandro Russian</v>
      </c>
      <c r="R116" s="19" t="str">
        <f ca="1">IFERROR(__xludf.DUMMYFUNCTION("""COMPUTED_VALUE"""),"Bárbara Serrano Calleja")</f>
        <v>Bárbara Serrano Calleja</v>
      </c>
      <c r="S116" s="20" t="str">
        <f ca="1">IFERROR(__xludf.DUMMYFUNCTION("""COMPUTED_VALUE"""),"03 ORL")</f>
        <v>03 ORL</v>
      </c>
      <c r="T116" s="6" t="str">
        <f ca="1">IFERROR(__xludf.DUMMYFUNCTION("""COMPUTED_VALUE"""),"06 ORL")</f>
        <v>06 ORL</v>
      </c>
      <c r="U116" s="21"/>
      <c r="W116" s="21"/>
      <c r="X116" s="21"/>
      <c r="AG116" s="19"/>
      <c r="AJ116" s="19"/>
    </row>
    <row r="117" spans="1:36" ht="16">
      <c r="A117" s="6"/>
      <c r="B117" s="14" t="str">
        <f t="shared" ca="1" si="0"/>
        <v>LAA</v>
      </c>
      <c r="C117" s="23" t="str">
        <f ca="1">IFERROR(__xludf.DUMMYFUNCTION("""COMPUTED_VALUE"""),"LAA81")</f>
        <v>LAA81</v>
      </c>
      <c r="D117" s="6" t="str">
        <f ca="1">IFERROR(__xludf.DUMMYFUNCTION("""COMPUTED_VALUE"""),"PROPIOS")</f>
        <v>PROPIOS</v>
      </c>
      <c r="E117" s="6">
        <f ca="1">IFERROR(__xludf.DUMMYFUNCTION("""COMPUTED_VALUE"""),2026)</f>
        <v>2026</v>
      </c>
      <c r="F117" s="15">
        <f ca="1">IFERROR(__xludf.DUMMYFUNCTION("""COMPUTED_VALUE"""),1)</f>
        <v>1</v>
      </c>
      <c r="G117" s="6" t="str">
        <f ca="1">IFERROR(__xludf.DUMMYFUNCTION("""COMPUTED_VALUE"""),"Jerez de la Frontera")</f>
        <v>Jerez de la Frontera</v>
      </c>
      <c r="H117" s="6" t="str">
        <f ca="1">IFERROR(__xludf.DUMMYFUNCTION("""COMPUTED_VALUE"""),"C202612113045186230")</f>
        <v>C202612113045186230</v>
      </c>
      <c r="I117" s="6" t="str">
        <f ca="1">IFERROR(__xludf.DUMMYFUNCTION("""COMPUTED_VALUE"""),"ELOY JAVIER GONZALEZ PALOMINO")</f>
        <v>ELOY JAVIER GONZALEZ PALOMINO</v>
      </c>
      <c r="J117" s="16">
        <f ca="1">IFERROR(__xludf.DUMMYFUNCTION("""COMPUTED_VALUE"""),46024)</f>
        <v>46024</v>
      </c>
      <c r="K117" s="6" t="str">
        <f ca="1">IFERROR(__xludf.DUMMYFUNCTION("""COMPUTED_VALUE"""),"Factura audífonos")</f>
        <v>Factura audífonos</v>
      </c>
      <c r="L117" s="16">
        <f ca="1">IFERROR(__xludf.DUMMYFUNCTION("""COMPUTED_VALUE"""),46052)</f>
        <v>46052</v>
      </c>
      <c r="M117" s="6" t="str">
        <f ca="1">IFERROR(__xludf.DUMMYFUNCTION("""COMPUTED_VALUE"""),"NO")</f>
        <v>NO</v>
      </c>
      <c r="N117" s="15">
        <f ca="1">IFERROR(__xludf.DUMMYFUNCTION("""COMPUTED_VALUE"""),2)</f>
        <v>2</v>
      </c>
      <c r="O117" s="6" t="str">
        <f ca="1">IFERROR(__xludf.DUMMYFUNCTION("""COMPUTED_VALUE"""),"ADVANCED")</f>
        <v>ADVANCED</v>
      </c>
      <c r="P117" s="19">
        <f ca="1">IFERROR(__xludf.DUMMYFUNCTION("""COMPUTED_VALUE"""),4136.36)</f>
        <v>4136.3599999999997</v>
      </c>
      <c r="Q117" s="6" t="str">
        <f ca="1">IFERROR(__xludf.DUMMYFUNCTION("""COMPUTED_VALUE"""),"Luis Alberto Rodríguez")</f>
        <v>Luis Alberto Rodríguez</v>
      </c>
      <c r="R117" s="19" t="str">
        <f ca="1">IFERROR(__xludf.DUMMYFUNCTION("""COMPUTED_VALUE"""),"Manuel Tucciarone")</f>
        <v>Manuel Tucciarone</v>
      </c>
      <c r="S117" s="20" t="str">
        <f ca="1">IFERROR(__xludf.DUMMYFUNCTION("""COMPUTED_VALUE"""),"03 ORL")</f>
        <v>03 ORL</v>
      </c>
      <c r="T117" s="6" t="str">
        <f ca="1">IFERROR(__xludf.DUMMYFUNCTION("""COMPUTED_VALUE"""),"06 ORL")</f>
        <v>06 ORL</v>
      </c>
      <c r="U117" s="21"/>
      <c r="W117" s="21"/>
      <c r="X117" s="21"/>
      <c r="AG117" s="19"/>
    </row>
    <row r="118" spans="1:36" ht="16">
      <c r="A118" s="6"/>
      <c r="B118" s="14" t="str">
        <f t="shared" ca="1" si="0"/>
        <v>LRM</v>
      </c>
      <c r="C118" s="23" t="str">
        <f ca="1">IFERROR(__xludf.DUMMYFUNCTION("""COMPUTED_VALUE"""),"LRM113")</f>
        <v>LRM113</v>
      </c>
      <c r="D118" s="6" t="str">
        <f ca="1">IFERROR(__xludf.DUMMYFUNCTION("""COMPUTED_VALUE"""),"ASOCIADOS")</f>
        <v>ASOCIADOS</v>
      </c>
      <c r="E118" s="6">
        <f ca="1">IFERROR(__xludf.DUMMYFUNCTION("""COMPUTED_VALUE"""),2026)</f>
        <v>2026</v>
      </c>
      <c r="F118" s="15">
        <f ca="1">IFERROR(__xludf.DUMMYFUNCTION("""COMPUTED_VALUE"""),1)</f>
        <v>1</v>
      </c>
      <c r="G118" s="6" t="str">
        <f ca="1">IFERROR(__xludf.DUMMYFUNCTION("""COMPUTED_VALUE"""),"Cáceres")</f>
        <v>Cáceres</v>
      </c>
      <c r="H118" s="6" t="str">
        <f ca="1">IFERROR(__xludf.DUMMYFUNCTION("""COMPUTED_VALUE"""),"C202512298441794190")</f>
        <v>C202512298441794190</v>
      </c>
      <c r="I118" s="6" t="str">
        <f ca="1">IFERROR(__xludf.DUMMYFUNCTION("""COMPUTED_VALUE"""),"PURIFICACION HOLGADO RODRIGUEZ")</f>
        <v>PURIFICACION HOLGADO RODRIGUEZ</v>
      </c>
      <c r="J118" s="16">
        <f ca="1">IFERROR(__xludf.DUMMYFUNCTION("""COMPUTED_VALUE"""),46020)</f>
        <v>46020</v>
      </c>
      <c r="K118" s="6" t="str">
        <f ca="1">IFERROR(__xludf.DUMMYFUNCTION("""COMPUTED_VALUE"""),"Factura audífonos")</f>
        <v>Factura audífonos</v>
      </c>
      <c r="L118" s="16">
        <f ca="1">IFERROR(__xludf.DUMMYFUNCTION("""COMPUTED_VALUE"""),46052)</f>
        <v>46052</v>
      </c>
      <c r="M118" s="6" t="str">
        <f ca="1">IFERROR(__xludf.DUMMYFUNCTION("""COMPUTED_VALUE"""),"NO")</f>
        <v>NO</v>
      </c>
      <c r="N118" s="15">
        <f ca="1">IFERROR(__xludf.DUMMYFUNCTION("""COMPUTED_VALUE"""),1)</f>
        <v>1</v>
      </c>
      <c r="O118" s="6" t="str">
        <f ca="1">IFERROR(__xludf.DUMMYFUNCTION("""COMPUTED_VALUE"""),"CONFORT")</f>
        <v>CONFORT</v>
      </c>
      <c r="P118" s="18">
        <f ca="1">IFERROR(__xludf.DUMMYFUNCTION("""COMPUTED_VALUE"""),1839.09)</f>
        <v>1839.09</v>
      </c>
      <c r="Q118" s="6" t="str">
        <f ca="1">IFERROR(__xludf.DUMMYFUNCTION("""COMPUTED_VALUE"""),"Lisandro Russian")</f>
        <v>Lisandro Russian</v>
      </c>
      <c r="R118" s="19" t="str">
        <f ca="1">IFERROR(__xludf.DUMMYFUNCTION("""COMPUTED_VALUE"""),"Raed Maqued El Maqued")</f>
        <v>Raed Maqued El Maqued</v>
      </c>
      <c r="S118" s="20" t="str">
        <f ca="1">IFERROR(__xludf.DUMMYFUNCTION("""COMPUTED_VALUE"""),"03 ORL")</f>
        <v>03 ORL</v>
      </c>
      <c r="T118" s="6" t="str">
        <f ca="1">IFERROR(__xludf.DUMMYFUNCTION("""COMPUTED_VALUE"""),"06 ORL")</f>
        <v>06 ORL</v>
      </c>
      <c r="U118" s="21"/>
      <c r="W118" s="21"/>
      <c r="X118" s="21"/>
      <c r="AG118" s="19"/>
      <c r="AJ118" s="19"/>
    </row>
    <row r="119" spans="1:36" ht="16">
      <c r="A119" s="6"/>
      <c r="B119" s="14" t="str">
        <f t="shared" ca="1" si="0"/>
        <v>LRM</v>
      </c>
      <c r="C119" s="23" t="str">
        <f ca="1">IFERROR(__xludf.DUMMYFUNCTION("""COMPUTED_VALUE"""),"LRM263")</f>
        <v>LRM263</v>
      </c>
      <c r="D119" s="6" t="str">
        <f ca="1">IFERROR(__xludf.DUMMYFUNCTION("""COMPUTED_VALUE"""),"PROPIOS")</f>
        <v>PROPIOS</v>
      </c>
      <c r="E119" s="6">
        <f ca="1">IFERROR(__xludf.DUMMYFUNCTION("""COMPUTED_VALUE"""),2026)</f>
        <v>2026</v>
      </c>
      <c r="F119" s="15">
        <f ca="1">IFERROR(__xludf.DUMMYFUNCTION("""COMPUTED_VALUE"""),1)</f>
        <v>1</v>
      </c>
      <c r="G119" s="6" t="str">
        <f ca="1">IFERROR(__xludf.DUMMYFUNCTION("""COMPUTED_VALUE"""),"Alcorcón")</f>
        <v>Alcorcón</v>
      </c>
      <c r="H119" s="6" t="str">
        <f ca="1">IFERROR(__xludf.DUMMYFUNCTION("""COMPUTED_VALUE"""),"C202617112022918814")</f>
        <v>C202617112022918814</v>
      </c>
      <c r="I119" s="6" t="str">
        <f ca="1">IFERROR(__xludf.DUMMYFUNCTION("""COMPUTED_VALUE"""),"ADELAIDA ALVAREZ GONZALEZ")</f>
        <v>ADELAIDA ALVAREZ GONZALEZ</v>
      </c>
      <c r="J119" s="16">
        <f ca="1">IFERROR(__xludf.DUMMYFUNCTION("""COMPUTED_VALUE"""),46029)</f>
        <v>46029</v>
      </c>
      <c r="K119" s="6" t="str">
        <f ca="1">IFERROR(__xludf.DUMMYFUNCTION("""COMPUTED_VALUE"""),"Factura audífonos")</f>
        <v>Factura audífonos</v>
      </c>
      <c r="L119" s="16">
        <f ca="1">IFERROR(__xludf.DUMMYFUNCTION("""COMPUTED_VALUE"""),46052)</f>
        <v>46052</v>
      </c>
      <c r="M119" s="6" t="str">
        <f ca="1">IFERROR(__xludf.DUMMYFUNCTION("""COMPUTED_VALUE"""),"NO")</f>
        <v>NO</v>
      </c>
      <c r="N119" s="15">
        <f ca="1">IFERROR(__xludf.DUMMYFUNCTION("""COMPUTED_VALUE"""),2)</f>
        <v>2</v>
      </c>
      <c r="O119" s="6" t="str">
        <f ca="1">IFERROR(__xludf.DUMMYFUNCTION("""COMPUTED_VALUE"""),"QUIET")</f>
        <v>QUIET</v>
      </c>
      <c r="P119" s="18">
        <f ca="1">IFERROR(__xludf.DUMMYFUNCTION("""COMPUTED_VALUE"""),2718.18)</f>
        <v>2718.18</v>
      </c>
      <c r="Q119" s="6" t="str">
        <f ca="1">IFERROR(__xludf.DUMMYFUNCTION("""COMPUTED_VALUE"""),"Lisandro Russian")</f>
        <v>Lisandro Russian</v>
      </c>
      <c r="R119" s="19" t="str">
        <f ca="1">IFERROR(__xludf.DUMMYFUNCTION("""COMPUTED_VALUE"""),"María Sol Marcos Salazar")</f>
        <v>María Sol Marcos Salazar</v>
      </c>
      <c r="S119" s="20" t="str">
        <f ca="1">IFERROR(__xludf.DUMMYFUNCTION("""COMPUTED_VALUE"""),"03 ORL")</f>
        <v>03 ORL</v>
      </c>
      <c r="T119" s="6" t="str">
        <f ca="1">IFERROR(__xludf.DUMMYFUNCTION("""COMPUTED_VALUE"""),"06 ORL")</f>
        <v>06 ORL</v>
      </c>
      <c r="U119" s="21"/>
      <c r="W119" s="21"/>
      <c r="X119" s="21"/>
      <c r="AG119" s="18"/>
      <c r="AJ119" s="19"/>
    </row>
    <row r="120" spans="1:36" ht="16">
      <c r="A120" s="6"/>
      <c r="B120" s="14" t="str">
        <f t="shared" ca="1" si="0"/>
        <v>LRM</v>
      </c>
      <c r="C120" s="23" t="str">
        <f ca="1">IFERROR(__xludf.DUMMYFUNCTION("""COMPUTED_VALUE"""),"LRM39")</f>
        <v>LRM39</v>
      </c>
      <c r="D120" s="6" t="str">
        <f ca="1">IFERROR(__xludf.DUMMYFUNCTION("""COMPUTED_VALUE"""),"PROPIOS")</f>
        <v>PROPIOS</v>
      </c>
      <c r="E120" s="6">
        <f ca="1">IFERROR(__xludf.DUMMYFUNCTION("""COMPUTED_VALUE"""),2026)</f>
        <v>2026</v>
      </c>
      <c r="F120" s="15">
        <f ca="1">IFERROR(__xludf.DUMMYFUNCTION("""COMPUTED_VALUE"""),1)</f>
        <v>1</v>
      </c>
      <c r="G120" s="6" t="str">
        <f ca="1">IFERROR(__xludf.DUMMYFUNCTION("""COMPUTED_VALUE"""),"Logroño")</f>
        <v>Logroño</v>
      </c>
      <c r="H120" s="6" t="str">
        <f ca="1">IFERROR(__xludf.DUMMYFUNCTION("""COMPUTED_VALUE"""),"C202512101635128085")</f>
        <v>C202512101635128085</v>
      </c>
      <c r="I120" s="6" t="str">
        <f ca="1">IFERROR(__xludf.DUMMYFUNCTION("""COMPUTED_VALUE"""),"ELEUTERIO FERNANDEZ DE PRADO")</f>
        <v>ELEUTERIO FERNANDEZ DE PRADO</v>
      </c>
      <c r="J120" s="16">
        <f ca="1">IFERROR(__xludf.DUMMYFUNCTION("""COMPUTED_VALUE"""),46001)</f>
        <v>46001</v>
      </c>
      <c r="K120" s="6" t="str">
        <f ca="1">IFERROR(__xludf.DUMMYFUNCTION("""COMPUTED_VALUE"""),"Factura audífonos")</f>
        <v>Factura audífonos</v>
      </c>
      <c r="L120" s="16">
        <f ca="1">IFERROR(__xludf.DUMMYFUNCTION("""COMPUTED_VALUE"""),46052)</f>
        <v>46052</v>
      </c>
      <c r="M120" s="6" t="str">
        <f ca="1">IFERROR(__xludf.DUMMYFUNCTION("""COMPUTED_VALUE"""),"NO")</f>
        <v>NO</v>
      </c>
      <c r="N120" s="15">
        <f ca="1">IFERROR(__xludf.DUMMYFUNCTION("""COMPUTED_VALUE"""),1)</f>
        <v>1</v>
      </c>
      <c r="O120" s="6" t="str">
        <f ca="1">IFERROR(__xludf.DUMMYFUNCTION("""COMPUTED_VALUE"""),"ADVANCED")</f>
        <v>ADVANCED</v>
      </c>
      <c r="P120" s="18">
        <f ca="1">IFERROR(__xludf.DUMMYFUNCTION("""COMPUTED_VALUE"""),2294.32)</f>
        <v>2294.3200000000002</v>
      </c>
      <c r="Q120" s="6" t="str">
        <f ca="1">IFERROR(__xludf.DUMMYFUNCTION("""COMPUTED_VALUE"""),"Lisandro Russian")</f>
        <v>Lisandro Russian</v>
      </c>
      <c r="R120" s="19" t="str">
        <f ca="1">IFERROR(__xludf.DUMMYFUNCTION("""COMPUTED_VALUE"""),"Fernando Salazar Barcelona")</f>
        <v>Fernando Salazar Barcelona</v>
      </c>
      <c r="S120" s="20" t="str">
        <f ca="1">IFERROR(__xludf.DUMMYFUNCTION("""COMPUTED_VALUE"""),"03 ORL")</f>
        <v>03 ORL</v>
      </c>
      <c r="T120" s="6" t="str">
        <f ca="1">IFERROR(__xludf.DUMMYFUNCTION("""COMPUTED_VALUE"""),"06 ORL")</f>
        <v>06 ORL</v>
      </c>
      <c r="U120" s="21"/>
      <c r="W120" s="21"/>
      <c r="X120" s="21"/>
      <c r="AG120" s="19"/>
    </row>
    <row r="121" spans="1:36" ht="16">
      <c r="A121" s="6"/>
      <c r="B121" s="14" t="str">
        <f t="shared" ca="1" si="0"/>
        <v>ISL</v>
      </c>
      <c r="C121" s="23" t="str">
        <f ca="1">IFERROR(__xludf.DUMMYFUNCTION("""COMPUTED_VALUE"""),"ISL94")</f>
        <v>ISL94</v>
      </c>
      <c r="D121" s="6" t="str">
        <f ca="1">IFERROR(__xludf.DUMMYFUNCTION("""COMPUTED_VALUE"""),"PROPIOS")</f>
        <v>PROPIOS</v>
      </c>
      <c r="E121" s="6">
        <f ca="1">IFERROR(__xludf.DUMMYFUNCTION("""COMPUTED_VALUE"""),2026)</f>
        <v>2026</v>
      </c>
      <c r="F121" s="15">
        <f ca="1">IFERROR(__xludf.DUMMYFUNCTION("""COMPUTED_VALUE"""),1)</f>
        <v>1</v>
      </c>
      <c r="G121" s="6" t="str">
        <f ca="1">IFERROR(__xludf.DUMMYFUNCTION("""COMPUTED_VALUE"""),"Murcia")</f>
        <v>Murcia</v>
      </c>
      <c r="H121" s="6" t="str">
        <f ca="1">IFERROR(__xludf.DUMMYFUNCTION("""COMPUTED_VALUE"""),"C202611210542515387")</f>
        <v>C202611210542515387</v>
      </c>
      <c r="I121" s="6" t="str">
        <f ca="1">IFERROR(__xludf.DUMMYFUNCTION("""COMPUTED_VALUE"""),"JOSE LOPEZ PEREZ")</f>
        <v>JOSE LOPEZ PEREZ</v>
      </c>
      <c r="J121" s="16">
        <f ca="1">IFERROR(__xludf.DUMMYFUNCTION("""COMPUTED_VALUE"""),46034)</f>
        <v>46034</v>
      </c>
      <c r="K121" s="6" t="str">
        <f ca="1">IFERROR(__xludf.DUMMYFUNCTION("""COMPUTED_VALUE"""),"Factura audífonos")</f>
        <v>Factura audífonos</v>
      </c>
      <c r="L121" s="16">
        <f ca="1">IFERROR(__xludf.DUMMYFUNCTION("""COMPUTED_VALUE"""),46052)</f>
        <v>46052</v>
      </c>
      <c r="M121" s="6" t="str">
        <f ca="1">IFERROR(__xludf.DUMMYFUNCTION("""COMPUTED_VALUE"""),"NO")</f>
        <v>NO</v>
      </c>
      <c r="N121" s="15">
        <f ca="1">IFERROR(__xludf.DUMMYFUNCTION("""COMPUTED_VALUE"""),2)</f>
        <v>2</v>
      </c>
      <c r="O121" s="6" t="str">
        <f ca="1">IFERROR(__xludf.DUMMYFUNCTION("""COMPUTED_VALUE"""),"CONFORT")</f>
        <v>CONFORT</v>
      </c>
      <c r="P121" s="18">
        <f ca="1">IFERROR(__xludf.DUMMYFUNCTION("""COMPUTED_VALUE"""),3631.82)</f>
        <v>3631.82</v>
      </c>
      <c r="Q121" s="6" t="str">
        <f ca="1">IFERROR(__xludf.DUMMYFUNCTION("""COMPUTED_VALUE"""),"Iván Sánchez")</f>
        <v>Iván Sánchez</v>
      </c>
      <c r="R121" s="19" t="str">
        <f ca="1">IFERROR(__xludf.DUMMYFUNCTION("""COMPUTED_VALUE"""),"Beatriz Rodríguez González Herrero")</f>
        <v>Beatriz Rodríguez González Herrero</v>
      </c>
      <c r="S121" s="20" t="str">
        <f ca="1">IFERROR(__xludf.DUMMYFUNCTION("""COMPUTED_VALUE"""),"03 ORL")</f>
        <v>03 ORL</v>
      </c>
      <c r="T121" s="6" t="str">
        <f ca="1">IFERROR(__xludf.DUMMYFUNCTION("""COMPUTED_VALUE"""),"06 ORL")</f>
        <v>06 ORL</v>
      </c>
      <c r="U121" s="21"/>
      <c r="W121" s="21"/>
      <c r="X121" s="21"/>
      <c r="AG121" s="18"/>
      <c r="AJ121" s="19"/>
    </row>
    <row r="122" spans="1:36" ht="16">
      <c r="A122" s="6"/>
      <c r="B122" s="14" t="str">
        <f t="shared" ca="1" si="0"/>
        <v>LRM</v>
      </c>
      <c r="C122" s="23" t="str">
        <f ca="1">IFERROR(__xludf.DUMMYFUNCTION("""COMPUTED_VALUE"""),"LRM151")</f>
        <v>LRM151</v>
      </c>
      <c r="D122" s="6" t="str">
        <f ca="1">IFERROR(__xludf.DUMMYFUNCTION("""COMPUTED_VALUE"""),"PROPIOS")</f>
        <v>PROPIOS</v>
      </c>
      <c r="E122" s="6">
        <f ca="1">IFERROR(__xludf.DUMMYFUNCTION("""COMPUTED_VALUE"""),2026)</f>
        <v>2026</v>
      </c>
      <c r="F122" s="15">
        <f ca="1">IFERROR(__xludf.DUMMYFUNCTION("""COMPUTED_VALUE"""),1)</f>
        <v>1</v>
      </c>
      <c r="G122" s="6" t="str">
        <f ca="1">IFERROR(__xludf.DUMMYFUNCTION("""COMPUTED_VALUE"""),"Logroño")</f>
        <v>Logroño</v>
      </c>
      <c r="H122" s="6" t="str">
        <f ca="1">IFERROR(__xludf.DUMMYFUNCTION("""COMPUTED_VALUE"""),"C202511179197088208")</f>
        <v>C202511179197088208</v>
      </c>
      <c r="I122" s="6" t="str">
        <f ca="1">IFERROR(__xludf.DUMMYFUNCTION("""COMPUTED_VALUE"""),"SUCESO MORENO LOPEZ")</f>
        <v>SUCESO MORENO LOPEZ</v>
      </c>
      <c r="J122" s="16">
        <f ca="1">IFERROR(__xludf.DUMMYFUNCTION("""COMPUTED_VALUE"""),45978)</f>
        <v>45978</v>
      </c>
      <c r="K122" s="6" t="str">
        <f ca="1">IFERROR(__xludf.DUMMYFUNCTION("""COMPUTED_VALUE"""),"Factura audífonos")</f>
        <v>Factura audífonos</v>
      </c>
      <c r="L122" s="16">
        <f ca="1">IFERROR(__xludf.DUMMYFUNCTION("""COMPUTED_VALUE"""),46052)</f>
        <v>46052</v>
      </c>
      <c r="M122" s="6" t="str">
        <f ca="1">IFERROR(__xludf.DUMMYFUNCTION("""COMPUTED_VALUE"""),"NO")</f>
        <v>NO</v>
      </c>
      <c r="N122" s="15">
        <f ca="1">IFERROR(__xludf.DUMMYFUNCTION("""COMPUTED_VALUE"""),2)</f>
        <v>2</v>
      </c>
      <c r="O122" s="6" t="str">
        <f ca="1">IFERROR(__xludf.DUMMYFUNCTION("""COMPUTED_VALUE"""),"CONFORT")</f>
        <v>CONFORT</v>
      </c>
      <c r="P122" s="19">
        <f ca="1">IFERROR(__xludf.DUMMYFUNCTION("""COMPUTED_VALUE"""),3424.32)</f>
        <v>3424.32</v>
      </c>
      <c r="Q122" s="6" t="str">
        <f ca="1">IFERROR(__xludf.DUMMYFUNCTION("""COMPUTED_VALUE"""),"Lisandro Russian")</f>
        <v>Lisandro Russian</v>
      </c>
      <c r="R122" s="19" t="str">
        <f ca="1">IFERROR(__xludf.DUMMYFUNCTION("""COMPUTED_VALUE"""),"Cristina Ibañez Muñoz")</f>
        <v>Cristina Ibañez Muñoz</v>
      </c>
      <c r="S122" s="20" t="str">
        <f ca="1">IFERROR(__xludf.DUMMYFUNCTION("""COMPUTED_VALUE"""),"03 ORL")</f>
        <v>03 ORL</v>
      </c>
      <c r="T122" s="6" t="str">
        <f ca="1">IFERROR(__xludf.DUMMYFUNCTION("""COMPUTED_VALUE"""),"06 ORL")</f>
        <v>06 ORL</v>
      </c>
      <c r="U122" s="21"/>
      <c r="W122" s="21"/>
      <c r="X122" s="21"/>
      <c r="AG122" s="19"/>
      <c r="AJ122" s="19"/>
    </row>
    <row r="123" spans="1:36" ht="16">
      <c r="A123" s="6"/>
      <c r="B123" s="14" t="str">
        <f t="shared" ca="1" si="0"/>
        <v>ISL</v>
      </c>
      <c r="C123" s="23" t="str">
        <f ca="1">IFERROR(__xludf.DUMMYFUNCTION("""COMPUTED_VALUE"""),"ISL24")</f>
        <v>ISL24</v>
      </c>
      <c r="D123" s="6" t="str">
        <f ca="1">IFERROR(__xludf.DUMMYFUNCTION("""COMPUTED_VALUE"""),"PROPIOS")</f>
        <v>PROPIOS</v>
      </c>
      <c r="E123" s="6">
        <f ca="1">IFERROR(__xludf.DUMMYFUNCTION("""COMPUTED_VALUE"""),2026)</f>
        <v>2026</v>
      </c>
      <c r="F123" s="15">
        <f ca="1">IFERROR(__xludf.DUMMYFUNCTION("""COMPUTED_VALUE"""),1)</f>
        <v>1</v>
      </c>
      <c r="G123" s="6" t="str">
        <f ca="1">IFERROR(__xludf.DUMMYFUNCTION("""COMPUTED_VALUE"""),"Murcia")</f>
        <v>Murcia</v>
      </c>
      <c r="H123" s="6" t="str">
        <f ca="1">IFERROR(__xludf.DUMMYFUNCTION("""COMPUTED_VALUE"""),"C202612010574003793")</f>
        <v>C202612010574003793</v>
      </c>
      <c r="I123" s="6" t="str">
        <f ca="1">IFERROR(__xludf.DUMMYFUNCTION("""COMPUTED_VALUE"""),"ANTONIO MARTINEZ FERNANDEZ")</f>
        <v>ANTONIO MARTINEZ FERNANDEZ</v>
      </c>
      <c r="J123" s="16">
        <f ca="1">IFERROR(__xludf.DUMMYFUNCTION("""COMPUTED_VALUE"""),46042)</f>
        <v>46042</v>
      </c>
      <c r="K123" s="6" t="str">
        <f ca="1">IFERROR(__xludf.DUMMYFUNCTION("""COMPUTED_VALUE"""),"Factura audífonos")</f>
        <v>Factura audífonos</v>
      </c>
      <c r="L123" s="16">
        <f ca="1">IFERROR(__xludf.DUMMYFUNCTION("""COMPUTED_VALUE"""),46052)</f>
        <v>46052</v>
      </c>
      <c r="M123" s="6" t="str">
        <f ca="1">IFERROR(__xludf.DUMMYFUNCTION("""COMPUTED_VALUE"""),"NO")</f>
        <v>NO</v>
      </c>
      <c r="N123" s="15">
        <f ca="1">IFERROR(__xludf.DUMMYFUNCTION("""COMPUTED_VALUE"""),1)</f>
        <v>1</v>
      </c>
      <c r="O123" s="6" t="str">
        <f ca="1">IFERROR(__xludf.DUMMYFUNCTION("""COMPUTED_VALUE"""),"ADVANCED")</f>
        <v>ADVANCED</v>
      </c>
      <c r="P123" s="19">
        <f ca="1">IFERROR(__xludf.DUMMYFUNCTION("""COMPUTED_VALUE"""),2481.82)</f>
        <v>2481.8200000000002</v>
      </c>
      <c r="Q123" s="6" t="str">
        <f ca="1">IFERROR(__xludf.DUMMYFUNCTION("""COMPUTED_VALUE"""),"Iván Sánchez")</f>
        <v>Iván Sánchez</v>
      </c>
      <c r="R123" s="19" t="str">
        <f ca="1">IFERROR(__xludf.DUMMYFUNCTION("""COMPUTED_VALUE"""),"Enrique López Meseguer")</f>
        <v>Enrique López Meseguer</v>
      </c>
      <c r="S123" s="20" t="str">
        <f ca="1">IFERROR(__xludf.DUMMYFUNCTION("""COMPUTED_VALUE"""),"03 ORL")</f>
        <v>03 ORL</v>
      </c>
      <c r="T123" s="6" t="str">
        <f ca="1">IFERROR(__xludf.DUMMYFUNCTION("""COMPUTED_VALUE"""),"06 ORL")</f>
        <v>06 ORL</v>
      </c>
      <c r="U123" s="21"/>
      <c r="W123" s="21"/>
      <c r="X123" s="21"/>
      <c r="AG123" s="19"/>
      <c r="AJ123" s="19"/>
    </row>
    <row r="124" spans="1:36" ht="16">
      <c r="A124" s="6"/>
      <c r="B124" s="14" t="str">
        <f t="shared" ca="1" si="0"/>
        <v>MBM</v>
      </c>
      <c r="C124" s="23" t="str">
        <f ca="1">IFERROR(__xludf.DUMMYFUNCTION("""COMPUTED_VALUE"""),"MBM50")</f>
        <v>MBM50</v>
      </c>
      <c r="D124" s="6" t="str">
        <f ca="1">IFERROR(__xludf.DUMMYFUNCTION("""COMPUTED_VALUE"""),"PROPIOS")</f>
        <v>PROPIOS</v>
      </c>
      <c r="E124" s="6">
        <f ca="1">IFERROR(__xludf.DUMMYFUNCTION("""COMPUTED_VALUE"""),2026)</f>
        <v>2026</v>
      </c>
      <c r="F124" s="15">
        <f ca="1">IFERROR(__xludf.DUMMYFUNCTION("""COMPUTED_VALUE"""),1)</f>
        <v>1</v>
      </c>
      <c r="G124" s="6" t="str">
        <f ca="1">IFERROR(__xludf.DUMMYFUNCTION("""COMPUTED_VALUE"""),"Madrid- Canillas")</f>
        <v>Madrid- Canillas</v>
      </c>
      <c r="H124" s="6" t="str">
        <f ca="1">IFERROR(__xludf.DUMMYFUNCTION("""COMPUTED_VALUE"""),"C202611210322038706")</f>
        <v>C202611210322038706</v>
      </c>
      <c r="I124" s="6" t="str">
        <f ca="1">IFERROR(__xludf.DUMMYFUNCTION("""COMPUTED_VALUE"""),"VICTORINA PÉREZ GÓMEZ")</f>
        <v>VICTORINA PÉREZ GÓMEZ</v>
      </c>
      <c r="J124" s="16">
        <f ca="1">IFERROR(__xludf.DUMMYFUNCTION("""COMPUTED_VALUE"""),46034)</f>
        <v>46034</v>
      </c>
      <c r="K124" s="6" t="str">
        <f ca="1">IFERROR(__xludf.DUMMYFUNCTION("""COMPUTED_VALUE"""),"Factura audífonos")</f>
        <v>Factura audífonos</v>
      </c>
      <c r="L124" s="16">
        <f ca="1">IFERROR(__xludf.DUMMYFUNCTION("""COMPUTED_VALUE"""),46052)</f>
        <v>46052</v>
      </c>
      <c r="M124" s="6" t="str">
        <f ca="1">IFERROR(__xludf.DUMMYFUNCTION("""COMPUTED_VALUE"""),"NO")</f>
        <v>NO</v>
      </c>
      <c r="N124" s="15">
        <f ca="1">IFERROR(__xludf.DUMMYFUNCTION("""COMPUTED_VALUE"""),2)</f>
        <v>2</v>
      </c>
      <c r="O124" s="6" t="str">
        <f ca="1">IFERROR(__xludf.DUMMYFUNCTION("""COMPUTED_VALUE"""),"CONFORT")</f>
        <v>CONFORT</v>
      </c>
      <c r="P124" s="19">
        <f ca="1">IFERROR(__xludf.DUMMYFUNCTION("""COMPUTED_VALUE"""),3631.83)</f>
        <v>3631.83</v>
      </c>
      <c r="Q124" s="6" t="str">
        <f ca="1">IFERROR(__xludf.DUMMYFUNCTION("""COMPUTED_VALUE"""),"Maika Blázquez")</f>
        <v>Maika Blázquez</v>
      </c>
      <c r="R124" s="19" t="str">
        <f ca="1">IFERROR(__xludf.DUMMYFUNCTION("""COMPUTED_VALUE"""),"José Gustavo Barroso Braojos")</f>
        <v>José Gustavo Barroso Braojos</v>
      </c>
      <c r="S124" s="20" t="str">
        <f ca="1">IFERROR(__xludf.DUMMYFUNCTION("""COMPUTED_VALUE"""),"03 ORL")</f>
        <v>03 ORL</v>
      </c>
      <c r="T124" s="6" t="str">
        <f ca="1">IFERROR(__xludf.DUMMYFUNCTION("""COMPUTED_VALUE"""),"06 ORL")</f>
        <v>06 ORL</v>
      </c>
      <c r="U124" s="21"/>
      <c r="W124" s="21"/>
      <c r="X124" s="21"/>
      <c r="AG124" s="19"/>
      <c r="AJ124" s="19"/>
    </row>
    <row r="125" spans="1:36" ht="16">
      <c r="A125" s="6"/>
      <c r="B125" s="14" t="str">
        <f t="shared" ca="1" si="0"/>
        <v>MBM</v>
      </c>
      <c r="C125" s="23" t="str">
        <f ca="1">IFERROR(__xludf.DUMMYFUNCTION("""COMPUTED_VALUE"""),"MBM43")</f>
        <v>MBM43</v>
      </c>
      <c r="D125" s="6" t="str">
        <f ca="1">IFERROR(__xludf.DUMMYFUNCTION("""COMPUTED_VALUE"""),"PROPIOS")</f>
        <v>PROPIOS</v>
      </c>
      <c r="E125" s="6">
        <f ca="1">IFERROR(__xludf.DUMMYFUNCTION("""COMPUTED_VALUE"""),2026)</f>
        <v>2026</v>
      </c>
      <c r="F125" s="15">
        <f ca="1">IFERROR(__xludf.DUMMYFUNCTION("""COMPUTED_VALUE"""),1)</f>
        <v>1</v>
      </c>
      <c r="G125" s="6" t="str">
        <f ca="1">IFERROR(__xludf.DUMMYFUNCTION("""COMPUTED_VALUE"""),"Leganés")</f>
        <v>Leganés</v>
      </c>
      <c r="H125" s="6" t="str">
        <f ca="1">IFERROR(__xludf.DUMMYFUNCTION("""COMPUTED_VALUE"""),"C202617104647911770")</f>
        <v>C202617104647911770</v>
      </c>
      <c r="I125" s="6" t="str">
        <f ca="1">IFERROR(__xludf.DUMMYFUNCTION("""COMPUTED_VALUE"""),"TOMAS PICAZO TABERNA")</f>
        <v>TOMAS PICAZO TABERNA</v>
      </c>
      <c r="J125" s="16">
        <f ca="1">IFERROR(__xludf.DUMMYFUNCTION("""COMPUTED_VALUE"""),46029)</f>
        <v>46029</v>
      </c>
      <c r="K125" s="6" t="str">
        <f ca="1">IFERROR(__xludf.DUMMYFUNCTION("""COMPUTED_VALUE"""),"Factura audífonos")</f>
        <v>Factura audífonos</v>
      </c>
      <c r="L125" s="16">
        <f ca="1">IFERROR(__xludf.DUMMYFUNCTION("""COMPUTED_VALUE"""),46052)</f>
        <v>46052</v>
      </c>
      <c r="M125" s="6" t="str">
        <f ca="1">IFERROR(__xludf.DUMMYFUNCTION("""COMPUTED_VALUE"""),"NO")</f>
        <v>NO</v>
      </c>
      <c r="N125" s="15">
        <f ca="1">IFERROR(__xludf.DUMMYFUNCTION("""COMPUTED_VALUE"""),2)</f>
        <v>2</v>
      </c>
      <c r="O125" s="6" t="str">
        <f ca="1">IFERROR(__xludf.DUMMYFUNCTION("""COMPUTED_VALUE"""),"CONFORT")</f>
        <v>CONFORT</v>
      </c>
      <c r="P125" s="19">
        <f ca="1">IFERROR(__xludf.DUMMYFUNCTION("""COMPUTED_VALUE"""),3450)</f>
        <v>3450</v>
      </c>
      <c r="Q125" s="6" t="str">
        <f ca="1">IFERROR(__xludf.DUMMYFUNCTION("""COMPUTED_VALUE"""),"Maika Blázquez")</f>
        <v>Maika Blázquez</v>
      </c>
      <c r="R125" s="19" t="str">
        <f ca="1">IFERROR(__xludf.DUMMYFUNCTION("""COMPUTED_VALUE"""),"Jesús Ramos Fernández")</f>
        <v>Jesús Ramos Fernández</v>
      </c>
      <c r="S125" s="20" t="str">
        <f ca="1">IFERROR(__xludf.DUMMYFUNCTION("""COMPUTED_VALUE"""),"03 ORL")</f>
        <v>03 ORL</v>
      </c>
      <c r="T125" s="6" t="str">
        <f ca="1">IFERROR(__xludf.DUMMYFUNCTION("""COMPUTED_VALUE"""),"06 ORL")</f>
        <v>06 ORL</v>
      </c>
      <c r="U125" s="21"/>
      <c r="W125" s="21"/>
      <c r="X125" s="21"/>
      <c r="AG125" s="19"/>
      <c r="AJ125" s="19"/>
    </row>
    <row r="126" spans="1:36" ht="16">
      <c r="A126" s="6"/>
      <c r="B126" s="14" t="str">
        <f t="shared" ca="1" si="0"/>
        <v>MBM</v>
      </c>
      <c r="C126" s="23" t="str">
        <f ca="1">IFERROR(__xludf.DUMMYFUNCTION("""COMPUTED_VALUE"""),"MBM156")</f>
        <v>MBM156</v>
      </c>
      <c r="D126" s="6" t="str">
        <f ca="1">IFERROR(__xludf.DUMMYFUNCTION("""COMPUTED_VALUE"""),"PROPIOS")</f>
        <v>PROPIOS</v>
      </c>
      <c r="E126" s="6">
        <f ca="1">IFERROR(__xludf.DUMMYFUNCTION("""COMPUTED_VALUE"""),2026)</f>
        <v>2026</v>
      </c>
      <c r="F126" s="15">
        <f ca="1">IFERROR(__xludf.DUMMYFUNCTION("""COMPUTED_VALUE"""),1)</f>
        <v>1</v>
      </c>
      <c r="G126" s="6" t="str">
        <f ca="1">IFERROR(__xludf.DUMMYFUNCTION("""COMPUTED_VALUE"""),"Getafe")</f>
        <v>Getafe</v>
      </c>
      <c r="H126" s="6" t="str">
        <f ca="1">IFERROR(__xludf.DUMMYFUNCTION("""COMPUTED_VALUE"""),"C202511111644133841")</f>
        <v>C202511111644133841</v>
      </c>
      <c r="I126" s="6" t="str">
        <f ca="1">IFERROR(__xludf.DUMMYFUNCTION("""COMPUTED_VALUE"""),"CRESCENCIA MORETA MORALEDA")</f>
        <v>CRESCENCIA MORETA MORALEDA</v>
      </c>
      <c r="J126" s="16">
        <f ca="1">IFERROR(__xludf.DUMMYFUNCTION("""COMPUTED_VALUE"""),45972)</f>
        <v>45972</v>
      </c>
      <c r="K126" s="6" t="str">
        <f ca="1">IFERROR(__xludf.DUMMYFUNCTION("""COMPUTED_VALUE"""),"Factura audífonos")</f>
        <v>Factura audífonos</v>
      </c>
      <c r="L126" s="16">
        <f ca="1">IFERROR(__xludf.DUMMYFUNCTION("""COMPUTED_VALUE"""),46052)</f>
        <v>46052</v>
      </c>
      <c r="M126" s="6" t="str">
        <f ca="1">IFERROR(__xludf.DUMMYFUNCTION("""COMPUTED_VALUE"""),"SI")</f>
        <v>SI</v>
      </c>
      <c r="N126" s="15">
        <f ca="1">IFERROR(__xludf.DUMMYFUNCTION("""COMPUTED_VALUE"""),2)</f>
        <v>2</v>
      </c>
      <c r="O126" s="6" t="str">
        <f ca="1">IFERROR(__xludf.DUMMYFUNCTION("""COMPUTED_VALUE"""),"CONFORT")</f>
        <v>CONFORT</v>
      </c>
      <c r="P126" s="18">
        <f ca="1">IFERROR(__xludf.DUMMYFUNCTION("""COMPUTED_VALUE"""),3450.23)</f>
        <v>3450.23</v>
      </c>
      <c r="Q126" s="6" t="str">
        <f ca="1">IFERROR(__xludf.DUMMYFUNCTION("""COMPUTED_VALUE"""),"Maika Blázquez")</f>
        <v>Maika Blázquez</v>
      </c>
      <c r="R126" s="19" t="str">
        <f ca="1">IFERROR(__xludf.DUMMYFUNCTION("""COMPUTED_VALUE"""),"Marta Colmenero Ruiz")</f>
        <v>Marta Colmenero Ruiz</v>
      </c>
      <c r="S126" s="20" t="str">
        <f ca="1">IFERROR(__xludf.DUMMYFUNCTION("""COMPUTED_VALUE"""),"03 ORL")</f>
        <v>03 ORL</v>
      </c>
      <c r="T126" s="6" t="str">
        <f ca="1">IFERROR(__xludf.DUMMYFUNCTION("""COMPUTED_VALUE"""),"06 ORL")</f>
        <v>06 ORL</v>
      </c>
      <c r="U126" s="21"/>
      <c r="W126" s="21"/>
      <c r="X126" s="21"/>
      <c r="AE126" s="1"/>
      <c r="AG126" s="19"/>
      <c r="AJ126" s="19"/>
    </row>
    <row r="127" spans="1:36" ht="16">
      <c r="A127" s="6"/>
      <c r="B127" s="14" t="str">
        <f t="shared" ca="1" si="0"/>
        <v>ISL</v>
      </c>
      <c r="C127" s="23" t="str">
        <f ca="1">IFERROR(__xludf.DUMMYFUNCTION("""COMPUTED_VALUE"""),"ISL59")</f>
        <v>ISL59</v>
      </c>
      <c r="D127" s="6" t="str">
        <f ca="1">IFERROR(__xludf.DUMMYFUNCTION("""COMPUTED_VALUE"""),"PROPIOS")</f>
        <v>PROPIOS</v>
      </c>
      <c r="E127" s="6">
        <f ca="1">IFERROR(__xludf.DUMMYFUNCTION("""COMPUTED_VALUE"""),2026)</f>
        <v>2026</v>
      </c>
      <c r="F127" s="15">
        <f ca="1">IFERROR(__xludf.DUMMYFUNCTION("""COMPUTED_VALUE"""),1)</f>
        <v>1</v>
      </c>
      <c r="G127" s="6" t="str">
        <f ca="1">IFERROR(__xludf.DUMMYFUNCTION("""COMPUTED_VALUE"""),"Murcia")</f>
        <v>Murcia</v>
      </c>
      <c r="H127" s="6" t="str">
        <f ca="1">IFERROR(__xludf.DUMMYFUNCTION("""COMPUTED_VALUE"""),"C202512261643590551")</f>
        <v>C202512261643590551</v>
      </c>
      <c r="I127" s="6" t="str">
        <f ca="1">IFERROR(__xludf.DUMMYFUNCTION("""COMPUTED_VALUE"""),"INES RAQUEL MADRID ROSA")</f>
        <v>INES RAQUEL MADRID ROSA</v>
      </c>
      <c r="J127" s="16">
        <f ca="1">IFERROR(__xludf.DUMMYFUNCTION("""COMPUTED_VALUE"""),46017)</f>
        <v>46017</v>
      </c>
      <c r="K127" s="6" t="str">
        <f ca="1">IFERROR(__xludf.DUMMYFUNCTION("""COMPUTED_VALUE"""),"Factura audífonos")</f>
        <v>Factura audífonos</v>
      </c>
      <c r="L127" s="16">
        <f ca="1">IFERROR(__xludf.DUMMYFUNCTION("""COMPUTED_VALUE"""),46052)</f>
        <v>46052</v>
      </c>
      <c r="M127" s="6" t="str">
        <f ca="1">IFERROR(__xludf.DUMMYFUNCTION("""COMPUTED_VALUE"""),"NO")</f>
        <v>NO</v>
      </c>
      <c r="N127" s="15">
        <f ca="1">IFERROR(__xludf.DUMMYFUNCTION("""COMPUTED_VALUE"""),2)</f>
        <v>2</v>
      </c>
      <c r="O127" s="6" t="str">
        <f ca="1">IFERROR(__xludf.DUMMYFUNCTION("""COMPUTED_VALUE"""),"ADVANCED")</f>
        <v>ADVANCED</v>
      </c>
      <c r="P127" s="19">
        <f ca="1">IFERROR(__xludf.DUMMYFUNCTION("""COMPUTED_VALUE"""),4136.36)</f>
        <v>4136.3599999999997</v>
      </c>
      <c r="Q127" s="6" t="str">
        <f ca="1">IFERROR(__xludf.DUMMYFUNCTION("""COMPUTED_VALUE"""),"Iván Sánchez")</f>
        <v>Iván Sánchez</v>
      </c>
      <c r="R127" s="19" t="str">
        <f ca="1">IFERROR(__xludf.DUMMYFUNCTION("""COMPUTED_VALUE"""),"Juan Pablo Pelegrín Hernández")</f>
        <v>Juan Pablo Pelegrín Hernández</v>
      </c>
      <c r="S127" s="20" t="str">
        <f ca="1">IFERROR(__xludf.DUMMYFUNCTION("""COMPUTED_VALUE"""),"03 ORL")</f>
        <v>03 ORL</v>
      </c>
      <c r="T127" s="6" t="str">
        <f ca="1">IFERROR(__xludf.DUMMYFUNCTION("""COMPUTED_VALUE"""),"06 ORL")</f>
        <v>06 ORL</v>
      </c>
      <c r="U127" s="21"/>
      <c r="W127" s="21"/>
      <c r="X127" s="21"/>
      <c r="AG127" s="19"/>
      <c r="AJ127" s="19"/>
    </row>
    <row r="128" spans="1:36" ht="16">
      <c r="A128" s="6"/>
      <c r="B128" s="14" t="str">
        <f t="shared" ca="1" si="0"/>
        <v>LRM</v>
      </c>
      <c r="C128" s="23" t="str">
        <f ca="1">IFERROR(__xludf.DUMMYFUNCTION("""COMPUTED_VALUE"""),"LRM141")</f>
        <v>LRM141</v>
      </c>
      <c r="D128" s="6" t="str">
        <f ca="1">IFERROR(__xludf.DUMMYFUNCTION("""COMPUTED_VALUE"""),"PROPIOS")</f>
        <v>PROPIOS</v>
      </c>
      <c r="E128" s="6">
        <f ca="1">IFERROR(__xludf.DUMMYFUNCTION("""COMPUTED_VALUE"""),2026)</f>
        <v>2026</v>
      </c>
      <c r="F128" s="15">
        <f ca="1">IFERROR(__xludf.DUMMYFUNCTION("""COMPUTED_VALUE"""),1)</f>
        <v>1</v>
      </c>
      <c r="G128" s="6" t="str">
        <f ca="1">IFERROR(__xludf.DUMMYFUNCTION("""COMPUTED_VALUE"""),"Madrid- Monforte de Lemos")</f>
        <v>Madrid- Monforte de Lemos</v>
      </c>
      <c r="H128" s="6" t="str">
        <f ca="1">IFERROR(__xludf.DUMMYFUNCTION("""COMPUTED_VALUE"""),"C202611216253638956")</f>
        <v>C202611216253638956</v>
      </c>
      <c r="I128" s="6" t="str">
        <f ca="1">IFERROR(__xludf.DUMMYFUNCTION("""COMPUTED_VALUE"""),"MARIA ANGELES GONZALEZ SAMALEA")</f>
        <v>MARIA ANGELES GONZALEZ SAMALEA</v>
      </c>
      <c r="J128" s="16">
        <f ca="1">IFERROR(__xludf.DUMMYFUNCTION("""COMPUTED_VALUE"""),46034)</f>
        <v>46034</v>
      </c>
      <c r="K128" s="6" t="str">
        <f ca="1">IFERROR(__xludf.DUMMYFUNCTION("""COMPUTED_VALUE"""),"Factura audífonos")</f>
        <v>Factura audífonos</v>
      </c>
      <c r="L128" s="16">
        <f ca="1">IFERROR(__xludf.DUMMYFUNCTION("""COMPUTED_VALUE"""),46052)</f>
        <v>46052</v>
      </c>
      <c r="M128" s="6" t="str">
        <f ca="1">IFERROR(__xludf.DUMMYFUNCTION("""COMPUTED_VALUE"""),"NO")</f>
        <v>NO</v>
      </c>
      <c r="N128" s="15">
        <f ca="1">IFERROR(__xludf.DUMMYFUNCTION("""COMPUTED_VALUE"""),2)</f>
        <v>2</v>
      </c>
      <c r="O128" s="6" t="str">
        <f ca="1">IFERROR(__xludf.DUMMYFUNCTION("""COMPUTED_VALUE"""),"CONFORT")</f>
        <v>CONFORT</v>
      </c>
      <c r="P128" s="18">
        <f ca="1">IFERROR(__xludf.DUMMYFUNCTION("""COMPUTED_VALUE"""),3631.82)</f>
        <v>3631.82</v>
      </c>
      <c r="Q128" s="6" t="str">
        <f ca="1">IFERROR(__xludf.DUMMYFUNCTION("""COMPUTED_VALUE"""),"Lisandro Russian")</f>
        <v>Lisandro Russian</v>
      </c>
      <c r="R128" s="19" t="str">
        <f ca="1">IFERROR(__xludf.DUMMYFUNCTION("""COMPUTED_VALUE"""),"Blanca Mateos Serrano")</f>
        <v>Blanca Mateos Serrano</v>
      </c>
      <c r="S128" s="20" t="str">
        <f ca="1">IFERROR(__xludf.DUMMYFUNCTION("""COMPUTED_VALUE"""),"03 ORL")</f>
        <v>03 ORL</v>
      </c>
      <c r="T128" s="6" t="str">
        <f ca="1">IFERROR(__xludf.DUMMYFUNCTION("""COMPUTED_VALUE"""),"06 ORL")</f>
        <v>06 ORL</v>
      </c>
      <c r="U128" s="21"/>
      <c r="W128" s="21"/>
      <c r="X128" s="21"/>
      <c r="AE128" s="1"/>
      <c r="AG128" s="18"/>
      <c r="AJ128" s="19"/>
    </row>
    <row r="129" spans="1:36" ht="16">
      <c r="A129" s="6"/>
      <c r="B129" s="14" t="str">
        <f t="shared" ca="1" si="0"/>
        <v>PSC</v>
      </c>
      <c r="C129" s="23" t="str">
        <f ca="1">IFERROR(__xludf.DUMMYFUNCTION("""COMPUTED_VALUE"""),"PSC55")</f>
        <v>PSC55</v>
      </c>
      <c r="D129" s="6" t="str">
        <f ca="1">IFERROR(__xludf.DUMMYFUNCTION("""COMPUTED_VALUE"""),"ASOCIADOS")</f>
        <v>ASOCIADOS</v>
      </c>
      <c r="E129" s="6">
        <f ca="1">IFERROR(__xludf.DUMMYFUNCTION("""COMPUTED_VALUE"""),2026)</f>
        <v>2026</v>
      </c>
      <c r="F129" s="15">
        <f ca="1">IFERROR(__xludf.DUMMYFUNCTION("""COMPUTED_VALUE"""),1)</f>
        <v>1</v>
      </c>
      <c r="G129" s="6" t="str">
        <f ca="1">IFERROR(__xludf.DUMMYFUNCTION("""COMPUTED_VALUE"""),"Ponferrada")</f>
        <v>Ponferrada</v>
      </c>
      <c r="H129" s="6" t="str">
        <f ca="1">IFERROR(__xludf.DUMMYFUNCTION("""COMPUTED_VALUE"""),"PON-952")</f>
        <v>PON-952</v>
      </c>
      <c r="I129" s="6" t="str">
        <f ca="1">IFERROR(__xludf.DUMMYFUNCTION("""COMPUTED_VALUE"""),"LEONOR PEREIRA LOPEZ")</f>
        <v>LEONOR PEREIRA LOPEZ</v>
      </c>
      <c r="J129" s="16">
        <f ca="1">IFERROR(__xludf.DUMMYFUNCTION("""COMPUTED_VALUE"""),45862)</f>
        <v>45862</v>
      </c>
      <c r="K129" s="6" t="str">
        <f ca="1">IFERROR(__xludf.DUMMYFUNCTION("""COMPUTED_VALUE"""),"Factura audífonos")</f>
        <v>Factura audífonos</v>
      </c>
      <c r="L129" s="16">
        <f ca="1">IFERROR(__xludf.DUMMYFUNCTION("""COMPUTED_VALUE"""),46052)</f>
        <v>46052</v>
      </c>
      <c r="M129" s="6" t="str">
        <f ca="1">IFERROR(__xludf.DUMMYFUNCTION("""COMPUTED_VALUE"""),"NO")</f>
        <v>NO</v>
      </c>
      <c r="N129" s="15">
        <f ca="1">IFERROR(__xludf.DUMMYFUNCTION("""COMPUTED_VALUE"""),2)</f>
        <v>2</v>
      </c>
      <c r="O129" s="6" t="str">
        <f ca="1">IFERROR(__xludf.DUMMYFUNCTION("""COMPUTED_VALUE"""),"SOCIAL")</f>
        <v>SOCIAL</v>
      </c>
      <c r="P129" s="19">
        <f ca="1">IFERROR(__xludf.DUMMYFUNCTION("""COMPUTED_VALUE"""),2234.85)</f>
        <v>2234.85</v>
      </c>
      <c r="Q129" s="6" t="str">
        <f ca="1">IFERROR(__xludf.DUMMYFUNCTION("""COMPUTED_VALUE"""),"Alberto Moreno")</f>
        <v>Alberto Moreno</v>
      </c>
      <c r="R129" s="19" t="str">
        <f ca="1">IFERROR(__xludf.DUMMYFUNCTION("""COMPUTED_VALUE"""),"Xenia Mota Rojas")</f>
        <v>Xenia Mota Rojas</v>
      </c>
      <c r="S129" s="20" t="str">
        <f ca="1">IFERROR(__xludf.DUMMYFUNCTION("""COMPUTED_VALUE"""),"03 ORL")</f>
        <v>03 ORL</v>
      </c>
      <c r="T129" s="6" t="str">
        <f ca="1">IFERROR(__xludf.DUMMYFUNCTION("""COMPUTED_VALUE"""),"06 ORL")</f>
        <v>06 ORL</v>
      </c>
      <c r="W129" s="21"/>
      <c r="X129" s="21"/>
      <c r="AG129" s="19"/>
    </row>
    <row r="130" spans="1:36" ht="16">
      <c r="A130" s="6"/>
      <c r="B130" s="14" t="str">
        <f t="shared" ca="1" si="0"/>
        <v>LRM</v>
      </c>
      <c r="C130" s="23" t="str">
        <f ca="1">IFERROR(__xludf.DUMMYFUNCTION("""COMPUTED_VALUE"""),"LRM267")</f>
        <v>LRM267</v>
      </c>
      <c r="D130" s="6" t="str">
        <f ca="1">IFERROR(__xludf.DUMMYFUNCTION("""COMPUTED_VALUE"""),"PROPIOS")</f>
        <v>PROPIOS</v>
      </c>
      <c r="E130" s="6">
        <f ca="1">IFERROR(__xludf.DUMMYFUNCTION("""COMPUTED_VALUE"""),2026)</f>
        <v>2026</v>
      </c>
      <c r="F130" s="15">
        <f ca="1">IFERROR(__xludf.DUMMYFUNCTION("""COMPUTED_VALUE"""),1)</f>
        <v>1</v>
      </c>
      <c r="G130" s="6" t="str">
        <f ca="1">IFERROR(__xludf.DUMMYFUNCTION("""COMPUTED_VALUE"""),"Logroño")</f>
        <v>Logroño</v>
      </c>
      <c r="H130" s="6" t="str">
        <f ca="1">IFERROR(__xludf.DUMMYFUNCTION("""COMPUTED_VALUE"""),"C202512191195736605")</f>
        <v>C202512191195736605</v>
      </c>
      <c r="I130" s="6" t="str">
        <f ca="1">IFERROR(__xludf.DUMMYFUNCTION("""COMPUTED_VALUE"""),"ISABEL MAISO SAENZ")</f>
        <v>ISABEL MAISO SAENZ</v>
      </c>
      <c r="J130" s="16">
        <f ca="1">IFERROR(__xludf.DUMMYFUNCTION("""COMPUTED_VALUE"""),46010)</f>
        <v>46010</v>
      </c>
      <c r="K130" s="6" t="str">
        <f ca="1">IFERROR(__xludf.DUMMYFUNCTION("""COMPUTED_VALUE"""),"Factura audífonos")</f>
        <v>Factura audífonos</v>
      </c>
      <c r="L130" s="16">
        <f ca="1">IFERROR(__xludf.DUMMYFUNCTION("""COMPUTED_VALUE"""),46053)</f>
        <v>46053</v>
      </c>
      <c r="M130" s="6" t="str">
        <f ca="1">IFERROR(__xludf.DUMMYFUNCTION("""COMPUTED_VALUE"""),"NO")</f>
        <v>NO</v>
      </c>
      <c r="N130" s="15">
        <f ca="1">IFERROR(__xludf.DUMMYFUNCTION("""COMPUTED_VALUE"""),2)</f>
        <v>2</v>
      </c>
      <c r="O130" s="6" t="str">
        <f ca="1">IFERROR(__xludf.DUMMYFUNCTION("""COMPUTED_VALUE"""),"ADVANCED")</f>
        <v>ADVANCED</v>
      </c>
      <c r="P130" s="18">
        <f ca="1">IFERROR(__xludf.DUMMYFUNCTION("""COMPUTED_VALUE"""),3929.55)</f>
        <v>3929.55</v>
      </c>
      <c r="Q130" s="6" t="str">
        <f ca="1">IFERROR(__xludf.DUMMYFUNCTION("""COMPUTED_VALUE"""),"Lisandro Russian")</f>
        <v>Lisandro Russian</v>
      </c>
      <c r="R130" s="19" t="str">
        <f ca="1">IFERROR(__xludf.DUMMYFUNCTION("""COMPUTED_VALUE"""),"Pablo Luis Vega Gajón")</f>
        <v>Pablo Luis Vega Gajón</v>
      </c>
      <c r="S130" s="20" t="str">
        <f ca="1">IFERROR(__xludf.DUMMYFUNCTION("""COMPUTED_VALUE"""),"03 ORL")</f>
        <v>03 ORL</v>
      </c>
      <c r="T130" s="6" t="str">
        <f ca="1">IFERROR(__xludf.DUMMYFUNCTION("""COMPUTED_VALUE"""),"06 ORL")</f>
        <v>06 ORL</v>
      </c>
      <c r="U130" s="21"/>
      <c r="W130" s="21"/>
      <c r="X130" s="21"/>
      <c r="AG130" s="18"/>
    </row>
    <row r="131" spans="1:36" ht="16">
      <c r="A131" s="6"/>
      <c r="B131" s="14" t="str">
        <f t="shared" ca="1" si="0"/>
        <v>MCC</v>
      </c>
      <c r="C131" s="23" t="str">
        <f ca="1">IFERROR(__xludf.DUMMYFUNCTION("""COMPUTED_VALUE"""),"MCC10")</f>
        <v>MCC10</v>
      </c>
      <c r="D131" s="6" t="str">
        <f ca="1">IFERROR(__xludf.DUMMYFUNCTION("""COMPUTED_VALUE"""),"PARTICIPADOS")</f>
        <v>PARTICIPADOS</v>
      </c>
      <c r="E131" s="6">
        <f ca="1">IFERROR(__xludf.DUMMYFUNCTION("""COMPUTED_VALUE"""),2026)</f>
        <v>2026</v>
      </c>
      <c r="F131" s="15">
        <f ca="1">IFERROR(__xludf.DUMMYFUNCTION("""COMPUTED_VALUE"""),1)</f>
        <v>1</v>
      </c>
      <c r="G131" s="6" t="str">
        <f ca="1">IFERROR(__xludf.DUMMYFUNCTION("""COMPUTED_VALUE"""),"Vilanova")</f>
        <v>Vilanova</v>
      </c>
      <c r="H131" s="6" t="str">
        <f ca="1">IFERROR(__xludf.DUMMYFUNCTION("""COMPUTED_VALUE"""),"C202410189243369")</f>
        <v>C202410189243369</v>
      </c>
      <c r="I131" s="6" t="str">
        <f ca="1">IFERROR(__xludf.DUMMYFUNCTION("""COMPUTED_VALUE"""),"Benito Martínez Rodríguez")</f>
        <v>Benito Martínez Rodríguez</v>
      </c>
      <c r="J131" s="16">
        <f ca="1">IFERROR(__xludf.DUMMYFUNCTION("""COMPUTED_VALUE"""),45579)</f>
        <v>45579</v>
      </c>
      <c r="K131" s="6" t="str">
        <f ca="1">IFERROR(__xludf.DUMMYFUNCTION("""COMPUTED_VALUE"""),"Factura audífonos")</f>
        <v>Factura audífonos</v>
      </c>
      <c r="L131" s="16">
        <f ca="1">IFERROR(__xludf.DUMMYFUNCTION("""COMPUTED_VALUE"""),46053)</f>
        <v>46053</v>
      </c>
      <c r="M131" s="6" t="str">
        <f ca="1">IFERROR(__xludf.DUMMYFUNCTION("""COMPUTED_VALUE"""),"NO")</f>
        <v>NO</v>
      </c>
      <c r="N131" s="15">
        <f ca="1">IFERROR(__xludf.DUMMYFUNCTION("""COMPUTED_VALUE"""),2)</f>
        <v>2</v>
      </c>
      <c r="O131" s="6" t="str">
        <f ca="1">IFERROR(__xludf.DUMMYFUNCTION("""COMPUTED_VALUE"""),"ADVANCED")</f>
        <v>ADVANCED</v>
      </c>
      <c r="P131" s="18">
        <f ca="1">IFERROR(__xludf.DUMMYFUNCTION("""COMPUTED_VALUE"""),4136.36)</f>
        <v>4136.3599999999997</v>
      </c>
      <c r="Q131" s="6" t="str">
        <f ca="1">IFERROR(__xludf.DUMMYFUNCTION("""COMPUTED_VALUE"""),"Mercè Cabrera")</f>
        <v>Mercè Cabrera</v>
      </c>
      <c r="R131" s="19" t="str">
        <f ca="1">IFERROR(__xludf.DUMMYFUNCTION("""COMPUTED_VALUE"""),"Enrique Romero Van Abeleen")</f>
        <v>Enrique Romero Van Abeleen</v>
      </c>
      <c r="S131" s="20" t="str">
        <f ca="1">IFERROR(__xludf.DUMMYFUNCTION("""COMPUTED_VALUE"""),"03 ORL")</f>
        <v>03 ORL</v>
      </c>
      <c r="T131" s="6" t="str">
        <f ca="1">IFERROR(__xludf.DUMMYFUNCTION("""COMPUTED_VALUE"""),"06 ORL")</f>
        <v>06 ORL</v>
      </c>
      <c r="U131" s="21"/>
      <c r="W131" s="21"/>
      <c r="X131" s="21"/>
      <c r="AG131" s="18"/>
      <c r="AJ131" s="19"/>
    </row>
    <row r="132" spans="1:36" ht="16">
      <c r="A132" s="6"/>
      <c r="B132" s="14" t="str">
        <f t="shared" ca="1" si="0"/>
        <v>LRM</v>
      </c>
      <c r="C132" s="23" t="str">
        <f ca="1">IFERROR(__xludf.DUMMYFUNCTION("""COMPUTED_VALUE"""),"LRM58")</f>
        <v>LRM58</v>
      </c>
      <c r="D132" s="6" t="str">
        <f ca="1">IFERROR(__xludf.DUMMYFUNCTION("""COMPUTED_VALUE"""),"ASOCIADOS")</f>
        <v>ASOCIADOS</v>
      </c>
      <c r="E132" s="6">
        <f ca="1">IFERROR(__xludf.DUMMYFUNCTION("""COMPUTED_VALUE"""),2026)</f>
        <v>2026</v>
      </c>
      <c r="F132" s="15">
        <f ca="1">IFERROR(__xludf.DUMMYFUNCTION("""COMPUTED_VALUE"""),2)</f>
        <v>2</v>
      </c>
      <c r="G132" s="6" t="str">
        <f ca="1">IFERROR(__xludf.DUMMYFUNCTION("""COMPUTED_VALUE"""),"Cáceres")</f>
        <v>Cáceres</v>
      </c>
      <c r="H132" s="6" t="str">
        <f ca="1">IFERROR(__xludf.DUMMYFUNCTION("""COMPUTED_VALUE"""),"C202512912351409581")</f>
        <v>C202512912351409581</v>
      </c>
      <c r="I132" s="6" t="str">
        <f ca="1">IFERROR(__xludf.DUMMYFUNCTION("""COMPUTED_VALUE"""),"MARIA LUISA MERCEDES HERNANDEZ NOTARIO")</f>
        <v>MARIA LUISA MERCEDES HERNANDEZ NOTARIO</v>
      </c>
      <c r="J132" s="16">
        <f ca="1">IFERROR(__xludf.DUMMYFUNCTION("""COMPUTED_VALUE"""),46000)</f>
        <v>46000</v>
      </c>
      <c r="K132" s="6" t="str">
        <f ca="1">IFERROR(__xludf.DUMMYFUNCTION("""COMPUTED_VALUE"""),"Factura audífonos")</f>
        <v>Factura audífonos</v>
      </c>
      <c r="L132" s="16">
        <f ca="1">IFERROR(__xludf.DUMMYFUNCTION("""COMPUTED_VALUE"""),46055)</f>
        <v>46055</v>
      </c>
      <c r="M132" s="6" t="str">
        <f ca="1">IFERROR(__xludf.DUMMYFUNCTION("""COMPUTED_VALUE"""),"NO")</f>
        <v>NO</v>
      </c>
      <c r="N132" s="15">
        <f ca="1">IFERROR(__xludf.DUMMYFUNCTION("""COMPUTED_VALUE"""),2)</f>
        <v>2</v>
      </c>
      <c r="O132" s="6" t="str">
        <f ca="1">IFERROR(__xludf.DUMMYFUNCTION("""COMPUTED_VALUE"""),"PRO")</f>
        <v>PRO</v>
      </c>
      <c r="P132" s="19">
        <f ca="1">IFERROR(__xludf.DUMMYFUNCTION("""COMPUTED_VALUE"""),4990.91)</f>
        <v>4990.91</v>
      </c>
      <c r="Q132" s="6" t="str">
        <f ca="1">IFERROR(__xludf.DUMMYFUNCTION("""COMPUTED_VALUE"""),"Lisandro Russian")</f>
        <v>Lisandro Russian</v>
      </c>
      <c r="R132" s="19" t="str">
        <f ca="1">IFERROR(__xludf.DUMMYFUNCTION("""COMPUTED_VALUE"""),"Javier García Gómez")</f>
        <v>Javier García Gómez</v>
      </c>
      <c r="S132" s="20" t="str">
        <f ca="1">IFERROR(__xludf.DUMMYFUNCTION("""COMPUTED_VALUE"""),"03 ORL")</f>
        <v>03 ORL</v>
      </c>
      <c r="T132" s="6" t="str">
        <f ca="1">IFERROR(__xludf.DUMMYFUNCTION("""COMPUTED_VALUE"""),"06 ORL")</f>
        <v>06 ORL</v>
      </c>
      <c r="U132" s="21"/>
      <c r="W132" s="21"/>
      <c r="X132" s="21"/>
      <c r="AG132" s="19"/>
    </row>
    <row r="133" spans="1:36" ht="16">
      <c r="A133" s="6"/>
      <c r="B133" s="14" t="str">
        <f t="shared" ca="1" si="0"/>
        <v>LAA</v>
      </c>
      <c r="C133" s="23" t="str">
        <f ca="1">IFERROR(__xludf.DUMMYFUNCTION("""COMPUTED_VALUE"""),"LAA82")</f>
        <v>LAA82</v>
      </c>
      <c r="D133" s="6" t="str">
        <f ca="1">IFERROR(__xludf.DUMMYFUNCTION("""COMPUTED_VALUE"""),"PROPIOS")</f>
        <v>PROPIOS</v>
      </c>
      <c r="E133" s="6">
        <f ca="1">IFERROR(__xludf.DUMMYFUNCTION("""COMPUTED_VALUE"""),2026)</f>
        <v>2026</v>
      </c>
      <c r="F133" s="15">
        <f ca="1">IFERROR(__xludf.DUMMYFUNCTION("""COMPUTED_VALUE"""),2)</f>
        <v>2</v>
      </c>
      <c r="G133" s="6" t="str">
        <f ca="1">IFERROR(__xludf.DUMMYFUNCTION("""COMPUTED_VALUE"""),"Sevilla- Montoto")</f>
        <v>Sevilla- Montoto</v>
      </c>
      <c r="H133" s="6" t="str">
        <f ca="1">IFERROR(__xludf.DUMMYFUNCTION("""COMPUTED_VALUE"""),"C202611413142736675")</f>
        <v>C202611413142736675</v>
      </c>
      <c r="I133" s="6" t="str">
        <f ca="1">IFERROR(__xludf.DUMMYFUNCTION("""COMPUTED_VALUE"""),"ANDRES MONTERO MALDONADO")</f>
        <v>ANDRES MONTERO MALDONADO</v>
      </c>
      <c r="J133" s="16">
        <f ca="1">IFERROR(__xludf.DUMMYFUNCTION("""COMPUTED_VALUE"""),46036)</f>
        <v>46036</v>
      </c>
      <c r="K133" s="6" t="str">
        <f ca="1">IFERROR(__xludf.DUMMYFUNCTION("""COMPUTED_VALUE"""),"Factura audífonos")</f>
        <v>Factura audífonos</v>
      </c>
      <c r="L133" s="16">
        <f ca="1">IFERROR(__xludf.DUMMYFUNCTION("""COMPUTED_VALUE"""),46056)</f>
        <v>46056</v>
      </c>
      <c r="M133" s="6" t="str">
        <f ca="1">IFERROR(__xludf.DUMMYFUNCTION("""COMPUTED_VALUE"""),"NO")</f>
        <v>NO</v>
      </c>
      <c r="N133" s="15">
        <f ca="1">IFERROR(__xludf.DUMMYFUNCTION("""COMPUTED_VALUE"""),2)</f>
        <v>2</v>
      </c>
      <c r="O133" s="6" t="str">
        <f ca="1">IFERROR(__xludf.DUMMYFUNCTION("""COMPUTED_VALUE"""),"CONFORT")</f>
        <v>CONFORT</v>
      </c>
      <c r="P133" s="19">
        <f ca="1">IFERROR(__xludf.DUMMYFUNCTION("""COMPUTED_VALUE"""),3631.82)</f>
        <v>3631.82</v>
      </c>
      <c r="Q133" s="6" t="str">
        <f ca="1">IFERROR(__xludf.DUMMYFUNCTION("""COMPUTED_VALUE"""),"Luis Alberto Rodríguez")</f>
        <v>Luis Alberto Rodríguez</v>
      </c>
      <c r="R133" s="19" t="str">
        <f ca="1">IFERROR(__xludf.DUMMYFUNCTION("""COMPUTED_VALUE"""),"Marta Álvarez Cendrero")</f>
        <v>Marta Álvarez Cendrero</v>
      </c>
      <c r="S133" s="20" t="str">
        <f ca="1">IFERROR(__xludf.DUMMYFUNCTION("""COMPUTED_VALUE"""),"03 ORL")</f>
        <v>03 ORL</v>
      </c>
      <c r="T133" s="6" t="str">
        <f ca="1">IFERROR(__xludf.DUMMYFUNCTION("""COMPUTED_VALUE"""),"06 ORL")</f>
        <v>06 ORL</v>
      </c>
      <c r="U133" s="21"/>
      <c r="W133" s="21"/>
      <c r="X133" s="21"/>
      <c r="AG133" s="19"/>
      <c r="AJ133" s="19"/>
    </row>
    <row r="134" spans="1:36" ht="16">
      <c r="A134" s="6"/>
      <c r="B134" s="14" t="str">
        <f t="shared" ca="1" si="0"/>
        <v>LAA</v>
      </c>
      <c r="C134" s="23" t="str">
        <f ca="1">IFERROR(__xludf.DUMMYFUNCTION("""COMPUTED_VALUE"""),"LAA60")</f>
        <v>LAA60</v>
      </c>
      <c r="D134" s="6" t="str">
        <f ca="1">IFERROR(__xludf.DUMMYFUNCTION("""COMPUTED_VALUE"""),"ASOCIADOS")</f>
        <v>ASOCIADOS</v>
      </c>
      <c r="E134" s="6">
        <f ca="1">IFERROR(__xludf.DUMMYFUNCTION("""COMPUTED_VALUE"""),2026)</f>
        <v>2026</v>
      </c>
      <c r="F134" s="15">
        <f ca="1">IFERROR(__xludf.DUMMYFUNCTION("""COMPUTED_VALUE"""),2)</f>
        <v>2</v>
      </c>
      <c r="G134" s="6" t="str">
        <f ca="1">IFERROR(__xludf.DUMMYFUNCTION("""COMPUTED_VALUE"""),"Badajoz")</f>
        <v>Badajoz</v>
      </c>
      <c r="H134" s="6" t="str">
        <f ca="1">IFERROR(__xludf.DUMMYFUNCTION("""COMPUTED_VALUE"""),"C202512411361286426")</f>
        <v>C202512411361286426</v>
      </c>
      <c r="I134" s="6" t="str">
        <f ca="1">IFERROR(__xludf.DUMMYFUNCTION("""COMPUTED_VALUE"""),"JESUS ORTEGA SOLIS")</f>
        <v>JESUS ORTEGA SOLIS</v>
      </c>
      <c r="J134" s="16">
        <f ca="1">IFERROR(__xludf.DUMMYFUNCTION("""COMPUTED_VALUE"""),45995)</f>
        <v>45995</v>
      </c>
      <c r="K134" s="6" t="str">
        <f ca="1">IFERROR(__xludf.DUMMYFUNCTION("""COMPUTED_VALUE"""),"Factura audífonos")</f>
        <v>Factura audífonos</v>
      </c>
      <c r="L134" s="16">
        <f ca="1">IFERROR(__xludf.DUMMYFUNCTION("""COMPUTED_VALUE"""),46056)</f>
        <v>46056</v>
      </c>
      <c r="M134" s="6" t="str">
        <f ca="1">IFERROR(__xludf.DUMMYFUNCTION("""COMPUTED_VALUE"""),"NO")</f>
        <v>NO</v>
      </c>
      <c r="N134" s="15">
        <f ca="1">IFERROR(__xludf.DUMMYFUNCTION("""COMPUTED_VALUE"""),2)</f>
        <v>2</v>
      </c>
      <c r="O134" s="6" t="str">
        <f ca="1">IFERROR(__xludf.DUMMYFUNCTION("""COMPUTED_VALUE"""),"PRO")</f>
        <v>PRO</v>
      </c>
      <c r="P134" s="19">
        <f ca="1">IFERROR(__xludf.DUMMYFUNCTION("""COMPUTED_VALUE"""),4536.36)</f>
        <v>4536.3599999999997</v>
      </c>
      <c r="Q134" s="6" t="str">
        <f ca="1">IFERROR(__xludf.DUMMYFUNCTION("""COMPUTED_VALUE"""),"Luis Alberto Rodríguez")</f>
        <v>Luis Alberto Rodríguez</v>
      </c>
      <c r="R134" s="19" t="str">
        <f ca="1">IFERROR(__xludf.DUMMYFUNCTION("""COMPUTED_VALUE"""),"Tomas Mogollon Cano Cortes")</f>
        <v>Tomas Mogollon Cano Cortes</v>
      </c>
      <c r="S134" s="20" t="str">
        <f ca="1">IFERROR(__xludf.DUMMYFUNCTION("""COMPUTED_VALUE"""),"03 ORL")</f>
        <v>03 ORL</v>
      </c>
      <c r="T134" s="6" t="str">
        <f ca="1">IFERROR(__xludf.DUMMYFUNCTION("""COMPUTED_VALUE"""),"06 ORL")</f>
        <v>06 ORL</v>
      </c>
      <c r="U134" s="21"/>
      <c r="W134" s="21"/>
      <c r="X134" s="21"/>
      <c r="AG134" s="19"/>
      <c r="AJ134" s="19"/>
    </row>
    <row r="135" spans="1:36" ht="16">
      <c r="A135" s="6"/>
      <c r="B135" s="14" t="str">
        <f t="shared" ca="1" si="0"/>
        <v>LRM</v>
      </c>
      <c r="C135" s="23" t="str">
        <f ca="1">IFERROR(__xludf.DUMMYFUNCTION("""COMPUTED_VALUE"""),"LRM33")</f>
        <v>LRM33</v>
      </c>
      <c r="D135" s="6" t="str">
        <f ca="1">IFERROR(__xludf.DUMMYFUNCTION("""COMPUTED_VALUE"""),"PROPIOS")</f>
        <v>PROPIOS</v>
      </c>
      <c r="E135" s="6">
        <f ca="1">IFERROR(__xludf.DUMMYFUNCTION("""COMPUTED_VALUE"""),2026)</f>
        <v>2026</v>
      </c>
      <c r="F135" s="15">
        <f ca="1">IFERROR(__xludf.DUMMYFUNCTION("""COMPUTED_VALUE"""),2)</f>
        <v>2</v>
      </c>
      <c r="G135" s="6" t="str">
        <f ca="1">IFERROR(__xludf.DUMMYFUNCTION("""COMPUTED_VALUE"""),"Toledo")</f>
        <v>Toledo</v>
      </c>
      <c r="H135" s="6" t="str">
        <f ca="1">IFERROR(__xludf.DUMMYFUNCTION("""COMPUTED_VALUE"""),"C202511583355498218")</f>
        <v>C202511583355498218</v>
      </c>
      <c r="I135" s="6" t="str">
        <f ca="1">IFERROR(__xludf.DUMMYFUNCTION("""COMPUTED_VALUE"""),"MARÍA DOLORES GUERRA GONZALEZ")</f>
        <v>MARÍA DOLORES GUERRA GONZALEZ</v>
      </c>
      <c r="J135" s="16">
        <f ca="1">IFERROR(__xludf.DUMMYFUNCTION("""COMPUTED_VALUE"""),45966)</f>
        <v>45966</v>
      </c>
      <c r="K135" s="6" t="str">
        <f ca="1">IFERROR(__xludf.DUMMYFUNCTION("""COMPUTED_VALUE"""),"Factura audífonos")</f>
        <v>Factura audífonos</v>
      </c>
      <c r="L135" s="16">
        <f ca="1">IFERROR(__xludf.DUMMYFUNCTION("""COMPUTED_VALUE"""),46056)</f>
        <v>46056</v>
      </c>
      <c r="M135" s="6" t="str">
        <f ca="1">IFERROR(__xludf.DUMMYFUNCTION("""COMPUTED_VALUE"""),"NO")</f>
        <v>NO</v>
      </c>
      <c r="N135" s="15">
        <f ca="1">IFERROR(__xludf.DUMMYFUNCTION("""COMPUTED_VALUE"""),2)</f>
        <v>2</v>
      </c>
      <c r="O135" s="6" t="str">
        <f ca="1">IFERROR(__xludf.DUMMYFUNCTION("""COMPUTED_VALUE"""),"ADVANCED")</f>
        <v>ADVANCED</v>
      </c>
      <c r="P135" s="18">
        <f ca="1">IFERROR(__xludf.DUMMYFUNCTION("""COMPUTED_VALUE"""),4136.36)</f>
        <v>4136.3599999999997</v>
      </c>
      <c r="Q135" s="6" t="str">
        <f ca="1">IFERROR(__xludf.DUMMYFUNCTION("""COMPUTED_VALUE"""),"Lisandro Russian")</f>
        <v>Lisandro Russian</v>
      </c>
      <c r="R135" s="19" t="str">
        <f ca="1">IFERROR(__xludf.DUMMYFUNCTION("""COMPUTED_VALUE"""),"María Eva Ruiz de Gauna Martín")</f>
        <v>María Eva Ruiz de Gauna Martín</v>
      </c>
      <c r="S135" s="20" t="str">
        <f ca="1">IFERROR(__xludf.DUMMYFUNCTION("""COMPUTED_VALUE"""),"01 MARKETING ON LINE")</f>
        <v>01 MARKETING ON LINE</v>
      </c>
      <c r="T135" s="6" t="str">
        <f ca="1">IFERROR(__xludf.DUMMYFUNCTION("""COMPUTED_VALUE"""),"02 GOOGLE")</f>
        <v>02 GOOGLE</v>
      </c>
      <c r="U135" s="21"/>
      <c r="W135" s="21"/>
      <c r="X135" s="21"/>
      <c r="AG135" s="19"/>
      <c r="AJ135" s="19"/>
    </row>
    <row r="136" spans="1:36" ht="16">
      <c r="A136" s="6"/>
      <c r="B136" s="14" t="str">
        <f t="shared" ca="1" si="0"/>
        <v>LRM</v>
      </c>
      <c r="C136" s="23" t="str">
        <f ca="1">IFERROR(__xludf.DUMMYFUNCTION("""COMPUTED_VALUE"""),"LRM230")</f>
        <v>LRM230</v>
      </c>
      <c r="D136" s="6" t="str">
        <f ca="1">IFERROR(__xludf.DUMMYFUNCTION("""COMPUTED_VALUE"""),"PROPIOS")</f>
        <v>PROPIOS</v>
      </c>
      <c r="E136" s="6">
        <f ca="1">IFERROR(__xludf.DUMMYFUNCTION("""COMPUTED_VALUE"""),2026)</f>
        <v>2026</v>
      </c>
      <c r="F136" s="15">
        <f ca="1">IFERROR(__xludf.DUMMYFUNCTION("""COMPUTED_VALUE"""),2)</f>
        <v>2</v>
      </c>
      <c r="G136" s="6" t="str">
        <f ca="1">IFERROR(__xludf.DUMMYFUNCTION("""COMPUTED_VALUE"""),"Logroño")</f>
        <v>Logroño</v>
      </c>
      <c r="H136" s="6" t="str">
        <f ca="1">IFERROR(__xludf.DUMMYFUNCTION("""COMPUTED_VALUE"""),"LOG-985")</f>
        <v>LOG-985</v>
      </c>
      <c r="I136" s="6" t="str">
        <f ca="1">IFERROR(__xludf.DUMMYFUNCTION("""COMPUTED_VALUE"""),"FELIX ÁNGEL GÓMEZ MORENO")</f>
        <v>FELIX ÁNGEL GÓMEZ MORENO</v>
      </c>
      <c r="J136" s="16">
        <f ca="1">IFERROR(__xludf.DUMMYFUNCTION("""COMPUTED_VALUE"""),44862)</f>
        <v>44862</v>
      </c>
      <c r="K136" s="6" t="str">
        <f ca="1">IFERROR(__xludf.DUMMYFUNCTION("""COMPUTED_VALUE"""),"Factura audífonos")</f>
        <v>Factura audífonos</v>
      </c>
      <c r="L136" s="16">
        <f ca="1">IFERROR(__xludf.DUMMYFUNCTION("""COMPUTED_VALUE"""),46058)</f>
        <v>46058</v>
      </c>
      <c r="M136" s="6" t="str">
        <f ca="1">IFERROR(__xludf.DUMMYFUNCTION("""COMPUTED_VALUE"""),"SI")</f>
        <v>SI</v>
      </c>
      <c r="N136" s="15">
        <f ca="1">IFERROR(__xludf.DUMMYFUNCTION("""COMPUTED_VALUE"""),1)</f>
        <v>1</v>
      </c>
      <c r="O136" s="6" t="str">
        <f ca="1">IFERROR(__xludf.DUMMYFUNCTION("""COMPUTED_VALUE"""),"CONFORT")</f>
        <v>CONFORT</v>
      </c>
      <c r="P136" s="18">
        <f ca="1">IFERROR(__xludf.DUMMYFUNCTION("""COMPUTED_VALUE"""),1590.91)</f>
        <v>1590.91</v>
      </c>
      <c r="Q136" s="6" t="str">
        <f ca="1">IFERROR(__xludf.DUMMYFUNCTION("""COMPUTED_VALUE"""),"Lisandro Russian")</f>
        <v>Lisandro Russian</v>
      </c>
      <c r="R136" s="19" t="str">
        <f ca="1">IFERROR(__xludf.DUMMYFUNCTION("""COMPUTED_VALUE"""),"Rebeca Barrios Gonzalo")</f>
        <v>Rebeca Barrios Gonzalo</v>
      </c>
      <c r="S136" s="20" t="str">
        <f ca="1">IFERROR(__xludf.DUMMYFUNCTION("""COMPUTED_VALUE"""),"04 TIENDA")</f>
        <v>04 TIENDA</v>
      </c>
      <c r="T136" s="6" t="str">
        <f ca="1">IFERROR(__xludf.DUMMYFUNCTION("""COMPUTED_VALUE"""),"10 REVISIÓN POST-VENTA")</f>
        <v>10 REVISIÓN POST-VENTA</v>
      </c>
      <c r="U136" s="21"/>
      <c r="W136" s="21"/>
      <c r="X136" s="21"/>
      <c r="AG136" s="18"/>
      <c r="AJ136" s="19"/>
    </row>
    <row r="137" spans="1:36" ht="16">
      <c r="A137" s="6"/>
      <c r="B137" s="14" t="str">
        <f t="shared" si="0"/>
        <v/>
      </c>
      <c r="C137" s="23"/>
      <c r="D137" s="6" t="str">
        <f ca="1">IFERROR(__xludf.DUMMYFUNCTION("""COMPUTED_VALUE"""),"PARTICIPADOS")</f>
        <v>PARTICIPADOS</v>
      </c>
      <c r="E137" s="6">
        <f ca="1">IFERROR(__xludf.DUMMYFUNCTION("""COMPUTED_VALUE"""),2026)</f>
        <v>2026</v>
      </c>
      <c r="F137" s="15">
        <f ca="1">IFERROR(__xludf.DUMMYFUNCTION("""COMPUTED_VALUE"""),2)</f>
        <v>2</v>
      </c>
      <c r="G137" s="6" t="str">
        <f ca="1">IFERROR(__xludf.DUMMYFUNCTION("""COMPUTED_VALUE"""),"Ourense")</f>
        <v>Ourense</v>
      </c>
      <c r="H137" s="6" t="str">
        <f ca="1">IFERROR(__xludf.DUMMYFUNCTION("""COMPUTED_VALUE"""),"C20261814759602992")</f>
        <v>C20261814759602992</v>
      </c>
      <c r="I137" s="6" t="str">
        <f ca="1">IFERROR(__xludf.DUMMYFUNCTION("""COMPUTED_VALUE"""),"LEONILDE DO ESPIRITU SANTO")</f>
        <v>LEONILDE DO ESPIRITU SANTO</v>
      </c>
      <c r="J137" s="16">
        <f ca="1">IFERROR(__xludf.DUMMYFUNCTION("""COMPUTED_VALUE"""),46030)</f>
        <v>46030</v>
      </c>
      <c r="K137" s="6" t="str">
        <f ca="1">IFERROR(__xludf.DUMMYFUNCTION("""COMPUTED_VALUE"""),"Factura audífonos")</f>
        <v>Factura audífonos</v>
      </c>
      <c r="L137" s="16">
        <f ca="1">IFERROR(__xludf.DUMMYFUNCTION("""COMPUTED_VALUE"""),46058)</f>
        <v>46058</v>
      </c>
      <c r="M137" s="6" t="str">
        <f ca="1">IFERROR(__xludf.DUMMYFUNCTION("""COMPUTED_VALUE"""),"NO")</f>
        <v>NO</v>
      </c>
      <c r="N137" s="15">
        <f ca="1">IFERROR(__xludf.DUMMYFUNCTION("""COMPUTED_VALUE"""),2)</f>
        <v>2</v>
      </c>
      <c r="O137" s="6" t="str">
        <f ca="1">IFERROR(__xludf.DUMMYFUNCTION("""COMPUTED_VALUE"""),"QUIET")</f>
        <v>QUIET</v>
      </c>
      <c r="P137" s="19">
        <f ca="1">IFERROR(__xludf.DUMMYFUNCTION("""COMPUTED_VALUE"""),2718.18)</f>
        <v>2718.18</v>
      </c>
      <c r="Q137" s="6" t="str">
        <f ca="1">IFERROR(__xludf.DUMMYFUNCTION("""COMPUTED_VALUE"""),"Kiko Ortega")</f>
        <v>Kiko Ortega</v>
      </c>
      <c r="R137" s="19" t="str">
        <f ca="1">IFERROR(__xludf.DUMMYFUNCTION("""COMPUTED_VALUE"""),"No recuerda ORL")</f>
        <v>No recuerda ORL</v>
      </c>
      <c r="S137" s="20" t="str">
        <f ca="1">IFERROR(__xludf.DUMMYFUNCTION("""COMPUTED_VALUE"""),"03 ORL")</f>
        <v>03 ORL</v>
      </c>
      <c r="T137" s="6" t="str">
        <f ca="1">IFERROR(__xludf.DUMMYFUNCTION("""COMPUTED_VALUE"""),"06 ORL")</f>
        <v>06 ORL</v>
      </c>
      <c r="U137" s="21"/>
      <c r="W137" s="21"/>
      <c r="X137" s="21"/>
      <c r="AG137" s="19"/>
    </row>
    <row r="138" spans="1:36" ht="16">
      <c r="A138" s="6"/>
      <c r="B138" s="14" t="str">
        <f t="shared" ca="1" si="0"/>
        <v>PSC</v>
      </c>
      <c r="C138" s="23" t="str">
        <f ca="1">IFERROR(__xludf.DUMMYFUNCTION("""COMPUTED_VALUE"""),"PSC37")</f>
        <v>PSC37</v>
      </c>
      <c r="D138" s="6" t="str">
        <f ca="1">IFERROR(__xludf.DUMMYFUNCTION("""COMPUTED_VALUE"""),"ASOCIADOS")</f>
        <v>ASOCIADOS</v>
      </c>
      <c r="E138" s="6">
        <f ca="1">IFERROR(__xludf.DUMMYFUNCTION("""COMPUTED_VALUE"""),2026)</f>
        <v>2026</v>
      </c>
      <c r="F138" s="15">
        <f ca="1">IFERROR(__xludf.DUMMYFUNCTION("""COMPUTED_VALUE"""),2)</f>
        <v>2</v>
      </c>
      <c r="G138" s="6" t="str">
        <f ca="1">IFERROR(__xludf.DUMMYFUNCTION("""COMPUTED_VALUE"""),"Ponferrada")</f>
        <v>Ponferrada</v>
      </c>
      <c r="H138" s="6" t="str">
        <f ca="1">IFERROR(__xludf.DUMMYFUNCTION("""COMPUTED_VALUE"""),"PON-168")</f>
        <v>PON-168</v>
      </c>
      <c r="I138" s="6" t="str">
        <f ca="1">IFERROR(__xludf.DUMMYFUNCTION("""COMPUTED_VALUE"""),"CATALINA EXPOSITO ALVES")</f>
        <v>CATALINA EXPOSITO ALVES</v>
      </c>
      <c r="J138" s="16">
        <f ca="1">IFERROR(__xludf.DUMMYFUNCTION("""COMPUTED_VALUE"""),44336)</f>
        <v>44336</v>
      </c>
      <c r="K138" s="6" t="str">
        <f ca="1">IFERROR(__xludf.DUMMYFUNCTION("""COMPUTED_VALUE"""),"Factura audífonos")</f>
        <v>Factura audífonos</v>
      </c>
      <c r="L138" s="16">
        <f ca="1">IFERROR(__xludf.DUMMYFUNCTION("""COMPUTED_VALUE"""),46058)</f>
        <v>46058</v>
      </c>
      <c r="M138" s="6" t="str">
        <f ca="1">IFERROR(__xludf.DUMMYFUNCTION("""COMPUTED_VALUE"""),"SI")</f>
        <v>SI</v>
      </c>
      <c r="N138" s="15">
        <f ca="1">IFERROR(__xludf.DUMMYFUNCTION("""COMPUTED_VALUE"""),2)</f>
        <v>2</v>
      </c>
      <c r="O138" s="6" t="str">
        <f ca="1">IFERROR(__xludf.DUMMYFUNCTION("""COMPUTED_VALUE"""),"BERNAFON")</f>
        <v>BERNAFON</v>
      </c>
      <c r="P138" s="18">
        <f ca="1">IFERROR(__xludf.DUMMYFUNCTION("""COMPUTED_VALUE"""),2454.55)</f>
        <v>2454.5500000000002</v>
      </c>
      <c r="Q138" s="6" t="str">
        <f ca="1">IFERROR(__xludf.DUMMYFUNCTION("""COMPUTED_VALUE"""),"Alberto Moreno")</f>
        <v>Alberto Moreno</v>
      </c>
      <c r="R138" s="19" t="str">
        <f ca="1">IFERROR(__xludf.DUMMYFUNCTION("""COMPUTED_VALUE"""),"Diana Lysbeth Lourido Piedrahita")</f>
        <v>Diana Lysbeth Lourido Piedrahita</v>
      </c>
      <c r="S138" s="20" t="str">
        <f ca="1">IFERROR(__xludf.DUMMYFUNCTION("""COMPUTED_VALUE"""),"03 ORL")</f>
        <v>03 ORL</v>
      </c>
      <c r="T138" s="6" t="str">
        <f ca="1">IFERROR(__xludf.DUMMYFUNCTION("""COMPUTED_VALUE"""),"06 ORL")</f>
        <v>06 ORL</v>
      </c>
      <c r="U138" s="21"/>
      <c r="W138" s="21"/>
      <c r="X138" s="21"/>
      <c r="AG138" s="19"/>
      <c r="AJ138" s="19"/>
    </row>
    <row r="139" spans="1:36" ht="16">
      <c r="A139" s="6"/>
      <c r="B139" s="14" t="str">
        <f t="shared" ca="1" si="0"/>
        <v>PSC</v>
      </c>
      <c r="C139" s="23" t="str">
        <f ca="1">IFERROR(__xludf.DUMMYFUNCTION("""COMPUTED_VALUE"""),"PSC47")</f>
        <v>PSC47</v>
      </c>
      <c r="D139" s="6" t="str">
        <f ca="1">IFERROR(__xludf.DUMMYFUNCTION("""COMPUTED_VALUE"""),"ASOCIADOS")</f>
        <v>ASOCIADOS</v>
      </c>
      <c r="E139" s="6">
        <f ca="1">IFERROR(__xludf.DUMMYFUNCTION("""COMPUTED_VALUE"""),2026)</f>
        <v>2026</v>
      </c>
      <c r="F139" s="15">
        <f ca="1">IFERROR(__xludf.DUMMYFUNCTION("""COMPUTED_VALUE"""),2)</f>
        <v>2</v>
      </c>
      <c r="G139" s="6" t="str">
        <f ca="1">IFERROR(__xludf.DUMMYFUNCTION("""COMPUTED_VALUE"""),"Ponferrada")</f>
        <v>Ponferrada</v>
      </c>
      <c r="H139" s="6" t="str">
        <f ca="1">IFERROR(__xludf.DUMMYFUNCTION("""COMPUTED_VALUE"""),"PON-860")</f>
        <v>PON-860</v>
      </c>
      <c r="I139" s="6" t="str">
        <f ca="1">IFERROR(__xludf.DUMMYFUNCTION("""COMPUTED_VALUE"""),"MARCELO PEREZ PANIZO")</f>
        <v>MARCELO PEREZ PANIZO</v>
      </c>
      <c r="J139" s="16">
        <f ca="1">IFERROR(__xludf.DUMMYFUNCTION("""COMPUTED_VALUE"""),45671)</f>
        <v>45671</v>
      </c>
      <c r="K139" s="6" t="str">
        <f ca="1">IFERROR(__xludf.DUMMYFUNCTION("""COMPUTED_VALUE"""),"Factura audífonos")</f>
        <v>Factura audífonos</v>
      </c>
      <c r="L139" s="16">
        <f ca="1">IFERROR(__xludf.DUMMYFUNCTION("""COMPUTED_VALUE"""),46058)</f>
        <v>46058</v>
      </c>
      <c r="M139" s="6" t="str">
        <f ca="1">IFERROR(__xludf.DUMMYFUNCTION("""COMPUTED_VALUE"""),"SI")</f>
        <v>SI</v>
      </c>
      <c r="N139" s="15">
        <f ca="1">IFERROR(__xludf.DUMMYFUNCTION("""COMPUTED_VALUE"""),1)</f>
        <v>1</v>
      </c>
      <c r="O139" s="6" t="str">
        <f ca="1">IFERROR(__xludf.DUMMYFUNCTION("""COMPUTED_VALUE"""),"CONFORT")</f>
        <v>CONFORT</v>
      </c>
      <c r="P139" s="18">
        <f ca="1">IFERROR(__xludf.DUMMYFUNCTION("""COMPUTED_VALUE"""),709.09)</f>
        <v>709.09</v>
      </c>
      <c r="Q139" s="6" t="str">
        <f ca="1">IFERROR(__xludf.DUMMYFUNCTION("""COMPUTED_VALUE"""),"Alberto Moreno")</f>
        <v>Alberto Moreno</v>
      </c>
      <c r="R139" s="19" t="str">
        <f ca="1">IFERROR(__xludf.DUMMYFUNCTION("""COMPUTED_VALUE"""),"Mónica Granda Rosales")</f>
        <v>Mónica Granda Rosales</v>
      </c>
      <c r="S139" s="20" t="str">
        <f ca="1">IFERROR(__xludf.DUMMYFUNCTION("""COMPUTED_VALUE"""),"04 TIENDA")</f>
        <v>04 TIENDA</v>
      </c>
      <c r="T139" s="6" t="str">
        <f ca="1">IFERROR(__xludf.DUMMYFUNCTION("""COMPUTED_VALUE"""),"19 CLIENTE RECOMPRA ESPONTANEA")</f>
        <v>19 CLIENTE RECOMPRA ESPONTANEA</v>
      </c>
      <c r="U139" s="21"/>
      <c r="W139" s="21"/>
      <c r="X139" s="21"/>
      <c r="AG139" s="18"/>
      <c r="AJ139" s="19"/>
    </row>
    <row r="140" spans="1:36" ht="16">
      <c r="A140" s="6"/>
      <c r="B140" s="14" t="str">
        <f t="shared" ca="1" si="0"/>
        <v>MBM</v>
      </c>
      <c r="C140" s="23" t="str">
        <f ca="1">IFERROR(__xludf.DUMMYFUNCTION("""COMPUTED_VALUE"""),"MBM46")</f>
        <v>MBM46</v>
      </c>
      <c r="D140" s="6" t="str">
        <f ca="1">IFERROR(__xludf.DUMMYFUNCTION("""COMPUTED_VALUE"""),"PROPIOS")</f>
        <v>PROPIOS</v>
      </c>
      <c r="E140" s="6">
        <f ca="1">IFERROR(__xludf.DUMMYFUNCTION("""COMPUTED_VALUE"""),2026)</f>
        <v>2026</v>
      </c>
      <c r="F140" s="15">
        <f ca="1">IFERROR(__xludf.DUMMYFUNCTION("""COMPUTED_VALUE"""),2)</f>
        <v>2</v>
      </c>
      <c r="G140" s="6" t="str">
        <f ca="1">IFERROR(__xludf.DUMMYFUNCTION("""COMPUTED_VALUE"""),"Getafe")</f>
        <v>Getafe</v>
      </c>
      <c r="H140" s="6" t="str">
        <f ca="1">IFERROR(__xludf.DUMMYFUNCTION("""COMPUTED_VALUE"""),"C202619111440167855")</f>
        <v>C202619111440167855</v>
      </c>
      <c r="I140" s="6" t="str">
        <f ca="1">IFERROR(__xludf.DUMMYFUNCTION("""COMPUTED_VALUE"""),"FRANCISCO CARBAJO FERNÁNDEZ")</f>
        <v>FRANCISCO CARBAJO FERNÁNDEZ</v>
      </c>
      <c r="J140" s="16">
        <f ca="1">IFERROR(__xludf.DUMMYFUNCTION("""COMPUTED_VALUE"""),46031)</f>
        <v>46031</v>
      </c>
      <c r="K140" s="6" t="str">
        <f ca="1">IFERROR(__xludf.DUMMYFUNCTION("""COMPUTED_VALUE"""),"Factura audífonos")</f>
        <v>Factura audífonos</v>
      </c>
      <c r="L140" s="16">
        <f ca="1">IFERROR(__xludf.DUMMYFUNCTION("""COMPUTED_VALUE"""),46059)</f>
        <v>46059</v>
      </c>
      <c r="M140" s="6" t="str">
        <f ca="1">IFERROR(__xludf.DUMMYFUNCTION("""COMPUTED_VALUE"""),"NO")</f>
        <v>NO</v>
      </c>
      <c r="N140" s="15">
        <f ca="1">IFERROR(__xludf.DUMMYFUNCTION("""COMPUTED_VALUE"""),2)</f>
        <v>2</v>
      </c>
      <c r="O140" s="6" t="str">
        <f ca="1">IFERROR(__xludf.DUMMYFUNCTION("""COMPUTED_VALUE"""),"CONFORT")</f>
        <v>CONFORT</v>
      </c>
      <c r="P140" s="19">
        <f ca="1">IFERROR(__xludf.DUMMYFUNCTION("""COMPUTED_VALUE"""),3631.81)</f>
        <v>3631.81</v>
      </c>
      <c r="Q140" s="6" t="str">
        <f ca="1">IFERROR(__xludf.DUMMYFUNCTION("""COMPUTED_VALUE"""),"Maika Blázquez")</f>
        <v>Maika Blázquez</v>
      </c>
      <c r="R140" s="19" t="str">
        <f ca="1">IFERROR(__xludf.DUMMYFUNCTION("""COMPUTED_VALUE"""),"Jonathan Esteban Sánchez")</f>
        <v>Jonathan Esteban Sánchez</v>
      </c>
      <c r="S140" s="20" t="str">
        <f ca="1">IFERROR(__xludf.DUMMYFUNCTION("""COMPUTED_VALUE"""),"03 ORL")</f>
        <v>03 ORL</v>
      </c>
      <c r="T140" s="6" t="str">
        <f ca="1">IFERROR(__xludf.DUMMYFUNCTION("""COMPUTED_VALUE"""),"06 ORL")</f>
        <v>06 ORL</v>
      </c>
      <c r="U140" s="21"/>
      <c r="W140" s="21"/>
      <c r="X140" s="21"/>
      <c r="AG140" s="19"/>
      <c r="AJ140" s="19"/>
    </row>
    <row r="141" spans="1:36" ht="16">
      <c r="A141" s="6"/>
      <c r="B141" s="14" t="str">
        <f t="shared" ca="1" si="0"/>
        <v>MBM</v>
      </c>
      <c r="C141" s="23" t="str">
        <f ca="1">IFERROR(__xludf.DUMMYFUNCTION("""COMPUTED_VALUE"""),"MBM132")</f>
        <v>MBM132</v>
      </c>
      <c r="D141" s="6" t="str">
        <f ca="1">IFERROR(__xludf.DUMMYFUNCTION("""COMPUTED_VALUE"""),"PARTICIPADOS")</f>
        <v>PARTICIPADOS</v>
      </c>
      <c r="E141" s="6">
        <f ca="1">IFERROR(__xludf.DUMMYFUNCTION("""COMPUTED_VALUE"""),2026)</f>
        <v>2026</v>
      </c>
      <c r="F141" s="15">
        <f ca="1">IFERROR(__xludf.DUMMYFUNCTION("""COMPUTED_VALUE"""),2)</f>
        <v>2</v>
      </c>
      <c r="G141" s="6" t="str">
        <f ca="1">IFERROR(__xludf.DUMMYFUNCTION("""COMPUTED_VALUE"""),"Madrid- La Oca")</f>
        <v>Madrid- La Oca</v>
      </c>
      <c r="H141" s="6" t="str">
        <f ca="1">IFERROR(__xludf.DUMMYFUNCTION("""COMPUTED_VALUE"""),"C202611217114067532")</f>
        <v>C202611217114067532</v>
      </c>
      <c r="I141" s="6" t="str">
        <f ca="1">IFERROR(__xludf.DUMMYFUNCTION("""COMPUTED_VALUE"""),"MARIA TERESA CASTRO RODRIGUEZ")</f>
        <v>MARIA TERESA CASTRO RODRIGUEZ</v>
      </c>
      <c r="J141" s="16">
        <f ca="1">IFERROR(__xludf.DUMMYFUNCTION("""COMPUTED_VALUE"""),46034)</f>
        <v>46034</v>
      </c>
      <c r="K141" s="6" t="str">
        <f ca="1">IFERROR(__xludf.DUMMYFUNCTION("""COMPUTED_VALUE"""),"Factura audífonos")</f>
        <v>Factura audífonos</v>
      </c>
      <c r="L141" s="16">
        <f ca="1">IFERROR(__xludf.DUMMYFUNCTION("""COMPUTED_VALUE"""),46059)</f>
        <v>46059</v>
      </c>
      <c r="M141" s="6" t="str">
        <f ca="1">IFERROR(__xludf.DUMMYFUNCTION("""COMPUTED_VALUE"""),"NO")</f>
        <v>NO</v>
      </c>
      <c r="N141" s="15">
        <f ca="1">IFERROR(__xludf.DUMMYFUNCTION("""COMPUTED_VALUE"""),2)</f>
        <v>2</v>
      </c>
      <c r="O141" s="6" t="str">
        <f ca="1">IFERROR(__xludf.DUMMYFUNCTION("""COMPUTED_VALUE"""),"QUIET")</f>
        <v>QUIET</v>
      </c>
      <c r="P141" s="18">
        <f ca="1">IFERROR(__xludf.DUMMYFUNCTION("""COMPUTED_VALUE"""),2718.18)</f>
        <v>2718.18</v>
      </c>
      <c r="Q141" s="6" t="str">
        <f ca="1">IFERROR(__xludf.DUMMYFUNCTION("""COMPUTED_VALUE"""),"Maika Blázquez")</f>
        <v>Maika Blázquez</v>
      </c>
      <c r="R141" s="19" t="str">
        <f ca="1">IFERROR(__xludf.DUMMYFUNCTION("""COMPUTED_VALUE"""),"Laura Ruano De Pablo")</f>
        <v>Laura Ruano De Pablo</v>
      </c>
      <c r="S141" s="20" t="str">
        <f ca="1">IFERROR(__xludf.DUMMYFUNCTION("""COMPUTED_VALUE"""),"03 ORL")</f>
        <v>03 ORL</v>
      </c>
      <c r="T141" s="6" t="str">
        <f ca="1">IFERROR(__xludf.DUMMYFUNCTION("""COMPUTED_VALUE"""),"06 ORL")</f>
        <v>06 ORL</v>
      </c>
      <c r="U141" s="21"/>
      <c r="W141" s="21"/>
      <c r="X141" s="21"/>
      <c r="AG141" s="18"/>
      <c r="AJ141" s="19"/>
    </row>
    <row r="142" spans="1:36" ht="16">
      <c r="A142" s="6"/>
      <c r="B142" s="14" t="str">
        <f t="shared" ca="1" si="0"/>
        <v>MBM</v>
      </c>
      <c r="C142" s="23" t="str">
        <f ca="1">IFERROR(__xludf.DUMMYFUNCTION("""COMPUTED_VALUE"""),"MBM50")</f>
        <v>MBM50</v>
      </c>
      <c r="D142" s="6" t="str">
        <f ca="1">IFERROR(__xludf.DUMMYFUNCTION("""COMPUTED_VALUE"""),"PROPIOS")</f>
        <v>PROPIOS</v>
      </c>
      <c r="E142" s="6">
        <f ca="1">IFERROR(__xludf.DUMMYFUNCTION("""COMPUTED_VALUE"""),2026)</f>
        <v>2026</v>
      </c>
      <c r="F142" s="15">
        <f ca="1">IFERROR(__xludf.DUMMYFUNCTION("""COMPUTED_VALUE"""),2)</f>
        <v>2</v>
      </c>
      <c r="G142" s="6" t="str">
        <f ca="1">IFERROR(__xludf.DUMMYFUNCTION("""COMPUTED_VALUE"""),"Madrid- Canillas")</f>
        <v>Madrid- Canillas</v>
      </c>
      <c r="H142" s="6" t="str">
        <f ca="1">IFERROR(__xludf.DUMMYFUNCTION("""COMPUTED_VALUE"""),"C202611511232378449")</f>
        <v>C202611511232378449</v>
      </c>
      <c r="I142" s="6" t="str">
        <f ca="1">IFERROR(__xludf.DUMMYFUNCTION("""COMPUTED_VALUE"""),"OREN ALMENDRO NEVADO")</f>
        <v>OREN ALMENDRO NEVADO</v>
      </c>
      <c r="J142" s="16">
        <f ca="1">IFERROR(__xludf.DUMMYFUNCTION("""COMPUTED_VALUE"""),46037)</f>
        <v>46037</v>
      </c>
      <c r="K142" s="6" t="str">
        <f ca="1">IFERROR(__xludf.DUMMYFUNCTION("""COMPUTED_VALUE"""),"Factura audífonos")</f>
        <v>Factura audífonos</v>
      </c>
      <c r="L142" s="16">
        <f ca="1">IFERROR(__xludf.DUMMYFUNCTION("""COMPUTED_VALUE"""),46059)</f>
        <v>46059</v>
      </c>
      <c r="M142" s="6" t="str">
        <f ca="1">IFERROR(__xludf.DUMMYFUNCTION("""COMPUTED_VALUE"""),"NO")</f>
        <v>NO</v>
      </c>
      <c r="N142" s="15">
        <f ca="1">IFERROR(__xludf.DUMMYFUNCTION("""COMPUTED_VALUE"""),2)</f>
        <v>2</v>
      </c>
      <c r="O142" s="6" t="str">
        <f ca="1">IFERROR(__xludf.DUMMYFUNCTION("""COMPUTED_VALUE"""),"ADVANCED")</f>
        <v>ADVANCED</v>
      </c>
      <c r="P142" s="19">
        <f ca="1">IFERROR(__xludf.DUMMYFUNCTION("""COMPUTED_VALUE"""),3930)</f>
        <v>3930</v>
      </c>
      <c r="Q142" s="6" t="str">
        <f ca="1">IFERROR(__xludf.DUMMYFUNCTION("""COMPUTED_VALUE"""),"Maika Blázquez")</f>
        <v>Maika Blázquez</v>
      </c>
      <c r="R142" s="19" t="str">
        <f ca="1">IFERROR(__xludf.DUMMYFUNCTION("""COMPUTED_VALUE"""),"José Gustavo Barroso Braojos")</f>
        <v>José Gustavo Barroso Braojos</v>
      </c>
      <c r="S142" s="20" t="str">
        <f ca="1">IFERROR(__xludf.DUMMYFUNCTION("""COMPUTED_VALUE"""),"03 ORL")</f>
        <v>03 ORL</v>
      </c>
      <c r="T142" s="6" t="str">
        <f ca="1">IFERROR(__xludf.DUMMYFUNCTION("""COMPUTED_VALUE"""),"06 ORL")</f>
        <v>06 ORL</v>
      </c>
      <c r="U142" s="21"/>
      <c r="W142" s="21"/>
      <c r="X142" s="21"/>
      <c r="AG142" s="19"/>
      <c r="AJ142" s="19"/>
    </row>
    <row r="143" spans="1:36" ht="16">
      <c r="A143" s="6"/>
      <c r="B143" s="14" t="str">
        <f t="shared" ca="1" si="0"/>
        <v>MBM</v>
      </c>
      <c r="C143" s="23" t="str">
        <f ca="1">IFERROR(__xludf.DUMMYFUNCTION("""COMPUTED_VALUE"""),"MBM149")</f>
        <v>MBM149</v>
      </c>
      <c r="D143" s="6" t="str">
        <f ca="1">IFERROR(__xludf.DUMMYFUNCTION("""COMPUTED_VALUE"""),"PROPIOS")</f>
        <v>PROPIOS</v>
      </c>
      <c r="E143" s="6">
        <f ca="1">IFERROR(__xludf.DUMMYFUNCTION("""COMPUTED_VALUE"""),2026)</f>
        <v>2026</v>
      </c>
      <c r="F143" s="15">
        <f ca="1">IFERROR(__xludf.DUMMYFUNCTION("""COMPUTED_VALUE"""),2)</f>
        <v>2</v>
      </c>
      <c r="G143" s="6" t="str">
        <f ca="1">IFERROR(__xludf.DUMMYFUNCTION("""COMPUTED_VALUE"""),"Getafe")</f>
        <v>Getafe</v>
      </c>
      <c r="H143" s="6" t="str">
        <f ca="1">IFERROR(__xludf.DUMMYFUNCTION("""COMPUTED_VALUE"""),"C202512261118280164")</f>
        <v>C202512261118280164</v>
      </c>
      <c r="I143" s="6" t="str">
        <f ca="1">IFERROR(__xludf.DUMMYFUNCTION("""COMPUTED_VALUE"""),"MARÍA PILAR GONZÁLEZ LÓPEZ")</f>
        <v>MARÍA PILAR GONZÁLEZ LÓPEZ</v>
      </c>
      <c r="J143" s="16">
        <f ca="1">IFERROR(__xludf.DUMMYFUNCTION("""COMPUTED_VALUE"""),46017)</f>
        <v>46017</v>
      </c>
      <c r="K143" s="6" t="str">
        <f ca="1">IFERROR(__xludf.DUMMYFUNCTION("""COMPUTED_VALUE"""),"Factura audífonos")</f>
        <v>Factura audífonos</v>
      </c>
      <c r="L143" s="16">
        <f ca="1">IFERROR(__xludf.DUMMYFUNCTION("""COMPUTED_VALUE"""),46059)</f>
        <v>46059</v>
      </c>
      <c r="M143" s="6" t="str">
        <f ca="1">IFERROR(__xludf.DUMMYFUNCTION("""COMPUTED_VALUE"""),"NO")</f>
        <v>NO</v>
      </c>
      <c r="N143" s="15">
        <f ca="1">IFERROR(__xludf.DUMMYFUNCTION("""COMPUTED_VALUE"""),2)</f>
        <v>2</v>
      </c>
      <c r="O143" s="6" t="str">
        <f ca="1">IFERROR(__xludf.DUMMYFUNCTION("""COMPUTED_VALUE"""),"CONFORT")</f>
        <v>CONFORT</v>
      </c>
      <c r="P143" s="19">
        <f ca="1">IFERROR(__xludf.DUMMYFUNCTION("""COMPUTED_VALUE"""),3631.82)</f>
        <v>3631.82</v>
      </c>
      <c r="Q143" s="6" t="str">
        <f ca="1">IFERROR(__xludf.DUMMYFUNCTION("""COMPUTED_VALUE"""),"Maika Blázquez")</f>
        <v>Maika Blázquez</v>
      </c>
      <c r="R143" s="19" t="str">
        <f ca="1">IFERROR(__xludf.DUMMYFUNCTION("""COMPUTED_VALUE"""),"María Garrote Garrote")</f>
        <v>María Garrote Garrote</v>
      </c>
      <c r="S143" s="20" t="str">
        <f ca="1">IFERROR(__xludf.DUMMYFUNCTION("""COMPUTED_VALUE"""),"03 ORL")</f>
        <v>03 ORL</v>
      </c>
      <c r="T143" s="6" t="str">
        <f ca="1">IFERROR(__xludf.DUMMYFUNCTION("""COMPUTED_VALUE"""),"06 ORL")</f>
        <v>06 ORL</v>
      </c>
      <c r="U143" s="21"/>
      <c r="W143" s="21"/>
      <c r="X143" s="21"/>
      <c r="AG143" s="19"/>
      <c r="AJ143" s="19"/>
    </row>
    <row r="144" spans="1:36" ht="16">
      <c r="A144" s="6"/>
      <c r="B144" s="14" t="str">
        <f t="shared" ca="1" si="0"/>
        <v>RFV</v>
      </c>
      <c r="C144" s="23" t="str">
        <f ca="1">IFERROR(__xludf.DUMMYFUNCTION("""COMPUTED_VALUE"""),"RFV40")</f>
        <v>RFV40</v>
      </c>
      <c r="D144" s="6" t="str">
        <f ca="1">IFERROR(__xludf.DUMMYFUNCTION("""COMPUTED_VALUE"""),"PROPIOS")</f>
        <v>PROPIOS</v>
      </c>
      <c r="E144" s="6">
        <f ca="1">IFERROR(__xludf.DUMMYFUNCTION("""COMPUTED_VALUE"""),2026)</f>
        <v>2026</v>
      </c>
      <c r="F144" s="15">
        <f ca="1">IFERROR(__xludf.DUMMYFUNCTION("""COMPUTED_VALUE"""),2)</f>
        <v>2</v>
      </c>
      <c r="G144" s="6" t="str">
        <f ca="1">IFERROR(__xludf.DUMMYFUNCTION("""COMPUTED_VALUE"""),"Almería")</f>
        <v>Almería</v>
      </c>
      <c r="H144" s="6" t="str">
        <f ca="1">IFERROR(__xludf.DUMMYFUNCTION("""COMPUTED_VALUE"""),"C202611510395603360")</f>
        <v>C202611510395603360</v>
      </c>
      <c r="I144" s="6" t="str">
        <f ca="1">IFERROR(__xludf.DUMMYFUNCTION("""COMPUTED_VALUE"""),"CARMEN FERNANDEZ HEREDIA")</f>
        <v>CARMEN FERNANDEZ HEREDIA</v>
      </c>
      <c r="J144" s="16">
        <f ca="1">IFERROR(__xludf.DUMMYFUNCTION("""COMPUTED_VALUE"""),46037)</f>
        <v>46037</v>
      </c>
      <c r="K144" s="6" t="str">
        <f ca="1">IFERROR(__xludf.DUMMYFUNCTION("""COMPUTED_VALUE"""),"Factura audífonos")</f>
        <v>Factura audífonos</v>
      </c>
      <c r="L144" s="16">
        <f ca="1">IFERROR(__xludf.DUMMYFUNCTION("""COMPUTED_VALUE"""),46062)</f>
        <v>46062</v>
      </c>
      <c r="M144" s="6" t="str">
        <f ca="1">IFERROR(__xludf.DUMMYFUNCTION("""COMPUTED_VALUE"""),"NO")</f>
        <v>NO</v>
      </c>
      <c r="N144" s="15">
        <f ca="1">IFERROR(__xludf.DUMMYFUNCTION("""COMPUTED_VALUE"""),2)</f>
        <v>2</v>
      </c>
      <c r="O144" s="6" t="str">
        <f ca="1">IFERROR(__xludf.DUMMYFUNCTION("""COMPUTED_VALUE"""),"CONFORT")</f>
        <v>CONFORT</v>
      </c>
      <c r="P144" s="19">
        <f ca="1">IFERROR(__xludf.DUMMYFUNCTION("""COMPUTED_VALUE"""),3631.82)</f>
        <v>3631.82</v>
      </c>
      <c r="Q144" s="6" t="str">
        <f ca="1">IFERROR(__xludf.DUMMYFUNCTION("""COMPUTED_VALUE"""),"Ramon Ferrando")</f>
        <v>Ramon Ferrando</v>
      </c>
      <c r="R144" s="19" t="str">
        <f ca="1">IFERROR(__xludf.DUMMYFUNCTION("""COMPUTED_VALUE"""),"Javier Padilla Cabello")</f>
        <v>Javier Padilla Cabello</v>
      </c>
      <c r="S144" s="20" t="str">
        <f ca="1">IFERROR(__xludf.DUMMYFUNCTION("""COMPUTED_VALUE"""),"03 ORL")</f>
        <v>03 ORL</v>
      </c>
      <c r="T144" s="6" t="str">
        <f ca="1">IFERROR(__xludf.DUMMYFUNCTION("""COMPUTED_VALUE"""),"06 ORL")</f>
        <v>06 ORL</v>
      </c>
      <c r="U144" s="21"/>
      <c r="W144" s="21"/>
      <c r="X144" s="21"/>
      <c r="AG144" s="19"/>
      <c r="AJ144" s="19"/>
    </row>
    <row r="145" spans="1:36" ht="16">
      <c r="A145" s="6"/>
      <c r="B145" s="14" t="str">
        <f t="shared" ca="1" si="0"/>
        <v>LAA</v>
      </c>
      <c r="C145" s="23" t="str">
        <f ca="1">IFERROR(__xludf.DUMMYFUNCTION("""COMPUTED_VALUE"""),"LAA13")</f>
        <v>LAA13</v>
      </c>
      <c r="D145" s="6" t="str">
        <f ca="1">IFERROR(__xludf.DUMMYFUNCTION("""COMPUTED_VALUE"""),"ASOCIADOS")</f>
        <v>ASOCIADOS</v>
      </c>
      <c r="E145" s="6">
        <f ca="1">IFERROR(__xludf.DUMMYFUNCTION("""COMPUTED_VALUE"""),2026)</f>
        <v>2026</v>
      </c>
      <c r="F145" s="15">
        <f ca="1">IFERROR(__xludf.DUMMYFUNCTION("""COMPUTED_VALUE"""),2)</f>
        <v>2</v>
      </c>
      <c r="G145" s="6" t="str">
        <f ca="1">IFERROR(__xludf.DUMMYFUNCTION("""COMPUTED_VALUE"""),"Sevilla- Ciencias")</f>
        <v>Sevilla- Ciencias</v>
      </c>
      <c r="H145" s="6" t="str">
        <f ca="1">IFERROR(__xludf.DUMMYFUNCTION("""COMPUTED_VALUE"""),"C20261818914658342")</f>
        <v>C20261818914658342</v>
      </c>
      <c r="I145" s="6" t="str">
        <f ca="1">IFERROR(__xludf.DUMMYFUNCTION("""COMPUTED_VALUE"""),"ARACELI HEREDIA SANCHEZ")</f>
        <v>ARACELI HEREDIA SANCHEZ</v>
      </c>
      <c r="J145" s="16">
        <f ca="1">IFERROR(__xludf.DUMMYFUNCTION("""COMPUTED_VALUE"""),46030)</f>
        <v>46030</v>
      </c>
      <c r="K145" s="6" t="str">
        <f ca="1">IFERROR(__xludf.DUMMYFUNCTION("""COMPUTED_VALUE"""),"Factura audífonos")</f>
        <v>Factura audífonos</v>
      </c>
      <c r="L145" s="16">
        <f ca="1">IFERROR(__xludf.DUMMYFUNCTION("""COMPUTED_VALUE"""),46062)</f>
        <v>46062</v>
      </c>
      <c r="M145" s="6" t="str">
        <f ca="1">IFERROR(__xludf.DUMMYFUNCTION("""COMPUTED_VALUE"""),"NO")</f>
        <v>NO</v>
      </c>
      <c r="N145" s="15">
        <f ca="1">IFERROR(__xludf.DUMMYFUNCTION("""COMPUTED_VALUE"""),2)</f>
        <v>2</v>
      </c>
      <c r="O145" s="6" t="str">
        <f ca="1">IFERROR(__xludf.DUMMYFUNCTION("""COMPUTED_VALUE"""),"QUIET")</f>
        <v>QUIET</v>
      </c>
      <c r="P145" s="19">
        <f ca="1">IFERROR(__xludf.DUMMYFUNCTION("""COMPUTED_VALUE"""),2718.19)</f>
        <v>2718.19</v>
      </c>
      <c r="Q145" s="6" t="str">
        <f ca="1">IFERROR(__xludf.DUMMYFUNCTION("""COMPUTED_VALUE"""),"Luis Alberto Rodríguez")</f>
        <v>Luis Alberto Rodríguez</v>
      </c>
      <c r="R145" s="19" t="str">
        <f ca="1">IFERROR(__xludf.DUMMYFUNCTION("""COMPUTED_VALUE"""),"Francisco Javier Aguilar Vera")</f>
        <v>Francisco Javier Aguilar Vera</v>
      </c>
      <c r="S145" s="20" t="str">
        <f ca="1">IFERROR(__xludf.DUMMYFUNCTION("""COMPUTED_VALUE"""),"03 ORL")</f>
        <v>03 ORL</v>
      </c>
      <c r="T145" s="6" t="str">
        <f ca="1">IFERROR(__xludf.DUMMYFUNCTION("""COMPUTED_VALUE"""),"06 ORL")</f>
        <v>06 ORL</v>
      </c>
      <c r="U145" s="21"/>
      <c r="W145" s="21"/>
      <c r="X145" s="21"/>
      <c r="AG145" s="19"/>
      <c r="AJ145" s="19"/>
    </row>
    <row r="146" spans="1:36" ht="16">
      <c r="A146" s="6"/>
      <c r="B146" s="14" t="str">
        <f t="shared" ca="1" si="0"/>
        <v>PSC</v>
      </c>
      <c r="C146" s="23" t="str">
        <f ca="1">IFERROR(__xludf.DUMMYFUNCTION("""COMPUTED_VALUE"""),"PSC30")</f>
        <v>PSC30</v>
      </c>
      <c r="D146" s="6" t="str">
        <f ca="1">IFERROR(__xludf.DUMMYFUNCTION("""COMPUTED_VALUE"""),"ASOCIADOS")</f>
        <v>ASOCIADOS</v>
      </c>
      <c r="E146" s="6">
        <f ca="1">IFERROR(__xludf.DUMMYFUNCTION("""COMPUTED_VALUE"""),2026)</f>
        <v>2026</v>
      </c>
      <c r="F146" s="15">
        <f ca="1">IFERROR(__xludf.DUMMYFUNCTION("""COMPUTED_VALUE"""),2)</f>
        <v>2</v>
      </c>
      <c r="G146" s="6" t="str">
        <f ca="1">IFERROR(__xludf.DUMMYFUNCTION("""COMPUTED_VALUE"""),"León")</f>
        <v>León</v>
      </c>
      <c r="H146" s="6" t="str">
        <f ca="1">IFERROR(__xludf.DUMMYFUNCTION("""COMPUTED_VALUE"""),"C202611317321362954")</f>
        <v>C202611317321362954</v>
      </c>
      <c r="I146" s="6" t="str">
        <f ca="1">IFERROR(__xludf.DUMMYFUNCTION("""COMPUTED_VALUE"""),"Ana Llamazares Gonzalez")</f>
        <v>Ana Llamazares Gonzalez</v>
      </c>
      <c r="J146" s="16">
        <f ca="1">IFERROR(__xludf.DUMMYFUNCTION("""COMPUTED_VALUE"""),46035)</f>
        <v>46035</v>
      </c>
      <c r="K146" s="6" t="str">
        <f ca="1">IFERROR(__xludf.DUMMYFUNCTION("""COMPUTED_VALUE"""),"Factura audífonos")</f>
        <v>Factura audífonos</v>
      </c>
      <c r="L146" s="16">
        <f ca="1">IFERROR(__xludf.DUMMYFUNCTION("""COMPUTED_VALUE"""),46063)</f>
        <v>46063</v>
      </c>
      <c r="M146" s="6" t="str">
        <f ca="1">IFERROR(__xludf.DUMMYFUNCTION("""COMPUTED_VALUE"""),"NO")</f>
        <v>NO</v>
      </c>
      <c r="N146" s="15">
        <f ca="1">IFERROR(__xludf.DUMMYFUNCTION("""COMPUTED_VALUE"""),1)</f>
        <v>1</v>
      </c>
      <c r="O146" s="6" t="str">
        <f ca="1">IFERROR(__xludf.DUMMYFUNCTION("""COMPUTED_VALUE"""),"CONFORT")</f>
        <v>CONFORT</v>
      </c>
      <c r="P146" s="18">
        <f ca="1">IFERROR(__xludf.DUMMYFUNCTION("""COMPUTED_VALUE"""),2045.45)</f>
        <v>2045.45</v>
      </c>
      <c r="Q146" s="6" t="str">
        <f ca="1">IFERROR(__xludf.DUMMYFUNCTION("""COMPUTED_VALUE"""),"Alberto Moreno")</f>
        <v>Alberto Moreno</v>
      </c>
      <c r="R146" s="19" t="str">
        <f ca="1">IFERROR(__xludf.DUMMYFUNCTION("""COMPUTED_VALUE"""),"Rafael Pérez González")</f>
        <v>Rafael Pérez González</v>
      </c>
      <c r="S146" s="20" t="str">
        <f ca="1">IFERROR(__xludf.DUMMYFUNCTION("""COMPUTED_VALUE"""),"01 MARKETING ON LINE")</f>
        <v>01 MARKETING ON LINE</v>
      </c>
      <c r="T146" s="6" t="str">
        <f ca="1">IFERROR(__xludf.DUMMYFUNCTION("""COMPUTED_VALUE"""),"04 AUDIFONO,ES")</f>
        <v>04 AUDIFONO,ES</v>
      </c>
      <c r="U146" s="21"/>
      <c r="W146" s="21"/>
      <c r="X146" s="21"/>
      <c r="AE146" s="1"/>
      <c r="AG146" s="18"/>
    </row>
    <row r="147" spans="1:36" ht="16">
      <c r="A147" s="6"/>
      <c r="B147" s="14" t="str">
        <f t="shared" ca="1" si="0"/>
        <v>ISL</v>
      </c>
      <c r="C147" s="23" t="str">
        <f ca="1">IFERROR(__xludf.DUMMYFUNCTION("""COMPUTED_VALUE"""),"ISL19")</f>
        <v>ISL19</v>
      </c>
      <c r="D147" s="6" t="str">
        <f ca="1">IFERROR(__xludf.DUMMYFUNCTION("""COMPUTED_VALUE"""),"PROPIOS")</f>
        <v>PROPIOS</v>
      </c>
      <c r="E147" s="6">
        <f ca="1">IFERROR(__xludf.DUMMYFUNCTION("""COMPUTED_VALUE"""),2026)</f>
        <v>2026</v>
      </c>
      <c r="F147" s="15">
        <f ca="1">IFERROR(__xludf.DUMMYFUNCTION("""COMPUTED_VALUE"""),2)</f>
        <v>2</v>
      </c>
      <c r="G147" s="6" t="str">
        <f ca="1">IFERROR(__xludf.DUMMYFUNCTION("""COMPUTED_VALUE"""),"San Javier")</f>
        <v>San Javier</v>
      </c>
      <c r="H147" s="6" t="str">
        <f ca="1">IFERROR(__xludf.DUMMYFUNCTION("""COMPUTED_VALUE"""),"C202612382329680169")</f>
        <v>C202612382329680169</v>
      </c>
      <c r="I147" s="6" t="str">
        <f ca="1">IFERROR(__xludf.DUMMYFUNCTION("""COMPUTED_VALUE"""),"PEDRO JOSE MEDINA GARCIA")</f>
        <v>PEDRO JOSE MEDINA GARCIA</v>
      </c>
      <c r="J147" s="16">
        <f ca="1">IFERROR(__xludf.DUMMYFUNCTION("""COMPUTED_VALUE"""),46045)</f>
        <v>46045</v>
      </c>
      <c r="K147" s="6" t="str">
        <f ca="1">IFERROR(__xludf.DUMMYFUNCTION("""COMPUTED_VALUE"""),"Factura audífonos")</f>
        <v>Factura audífonos</v>
      </c>
      <c r="L147" s="16">
        <f ca="1">IFERROR(__xludf.DUMMYFUNCTION("""COMPUTED_VALUE"""),46063)</f>
        <v>46063</v>
      </c>
      <c r="M147" s="6" t="str">
        <f ca="1">IFERROR(__xludf.DUMMYFUNCTION("""COMPUTED_VALUE"""),"NO")</f>
        <v>NO</v>
      </c>
      <c r="N147" s="15">
        <f ca="1">IFERROR(__xludf.DUMMYFUNCTION("""COMPUTED_VALUE"""),2)</f>
        <v>2</v>
      </c>
      <c r="O147" s="6" t="str">
        <f ca="1">IFERROR(__xludf.DUMMYFUNCTION("""COMPUTED_VALUE"""),"QUIET")</f>
        <v>QUIET</v>
      </c>
      <c r="P147" s="19">
        <f ca="1">IFERROR(__xludf.DUMMYFUNCTION("""COMPUTED_VALUE"""),2718.18)</f>
        <v>2718.18</v>
      </c>
      <c r="Q147" s="6" t="str">
        <f ca="1">IFERROR(__xludf.DUMMYFUNCTION("""COMPUTED_VALUE"""),"Iván Sánchez")</f>
        <v>Iván Sánchez</v>
      </c>
      <c r="R147" s="19" t="str">
        <f ca="1">IFERROR(__xludf.DUMMYFUNCTION("""COMPUTED_VALUE"""),"Dinis Antunes Silva")</f>
        <v>Dinis Antunes Silva</v>
      </c>
      <c r="S147" s="20" t="str">
        <f ca="1">IFERROR(__xludf.DUMMYFUNCTION("""COMPUTED_VALUE"""),"03 ORL")</f>
        <v>03 ORL</v>
      </c>
      <c r="T147" s="6" t="str">
        <f ca="1">IFERROR(__xludf.DUMMYFUNCTION("""COMPUTED_VALUE"""),"06 ORL")</f>
        <v>06 ORL</v>
      </c>
      <c r="U147" s="21"/>
      <c r="W147" s="21"/>
      <c r="X147" s="21"/>
      <c r="AG147" s="19"/>
      <c r="AJ147" s="19"/>
    </row>
    <row r="148" spans="1:36" ht="16">
      <c r="A148" s="6"/>
      <c r="B148" s="14" t="str">
        <f t="shared" ca="1" si="0"/>
        <v>ISL</v>
      </c>
      <c r="C148" s="23" t="str">
        <f ca="1">IFERROR(__xludf.DUMMYFUNCTION("""COMPUTED_VALUE"""),"ISL109")</f>
        <v>ISL109</v>
      </c>
      <c r="D148" s="6" t="str">
        <f ca="1">IFERROR(__xludf.DUMMYFUNCTION("""COMPUTED_VALUE"""),"PROPIOS")</f>
        <v>PROPIOS</v>
      </c>
      <c r="E148" s="6">
        <f ca="1">IFERROR(__xludf.DUMMYFUNCTION("""COMPUTED_VALUE"""),2026)</f>
        <v>2026</v>
      </c>
      <c r="F148" s="15">
        <f ca="1">IFERROR(__xludf.DUMMYFUNCTION("""COMPUTED_VALUE"""),2)</f>
        <v>2</v>
      </c>
      <c r="G148" s="6" t="str">
        <f ca="1">IFERROR(__xludf.DUMMYFUNCTION("""COMPUTED_VALUE"""),"Murcia")</f>
        <v>Murcia</v>
      </c>
      <c r="H148" s="6" t="str">
        <f ca="1">IFERROR(__xludf.DUMMYFUNCTION("""COMPUTED_VALUE"""),"C202611495935635852")</f>
        <v>C202611495935635852</v>
      </c>
      <c r="I148" s="6" t="str">
        <f ca="1">IFERROR(__xludf.DUMMYFUNCTION("""COMPUTED_VALUE"""),"MERCEDES GARCIA MARTINEZ")</f>
        <v>MERCEDES GARCIA MARTINEZ</v>
      </c>
      <c r="J148" s="16">
        <f ca="1">IFERROR(__xludf.DUMMYFUNCTION("""COMPUTED_VALUE"""),46036)</f>
        <v>46036</v>
      </c>
      <c r="K148" s="6" t="str">
        <f ca="1">IFERROR(__xludf.DUMMYFUNCTION("""COMPUTED_VALUE"""),"Factura audífonos")</f>
        <v>Factura audífonos</v>
      </c>
      <c r="L148" s="16">
        <f ca="1">IFERROR(__xludf.DUMMYFUNCTION("""COMPUTED_VALUE"""),46063)</f>
        <v>46063</v>
      </c>
      <c r="M148" s="6" t="str">
        <f ca="1">IFERROR(__xludf.DUMMYFUNCTION("""COMPUTED_VALUE"""),"NO")</f>
        <v>NO</v>
      </c>
      <c r="N148" s="15">
        <f ca="1">IFERROR(__xludf.DUMMYFUNCTION("""COMPUTED_VALUE"""),2)</f>
        <v>2</v>
      </c>
      <c r="O148" s="6" t="str">
        <f ca="1">IFERROR(__xludf.DUMMYFUNCTION("""COMPUTED_VALUE"""),"QUIET")</f>
        <v>QUIET</v>
      </c>
      <c r="P148" s="18">
        <f ca="1">IFERROR(__xludf.DUMMYFUNCTION("""COMPUTED_VALUE"""),2581.82)</f>
        <v>2581.8200000000002</v>
      </c>
      <c r="Q148" s="6" t="str">
        <f ca="1">IFERROR(__xludf.DUMMYFUNCTION("""COMPUTED_VALUE"""),"Iván Sánchez")</f>
        <v>Iván Sánchez</v>
      </c>
      <c r="R148" s="19" t="str">
        <f ca="1">IFERROR(__xludf.DUMMYFUNCTION("""COMPUTED_VALUE"""),"Laura Guillamon Vivancos")</f>
        <v>Laura Guillamon Vivancos</v>
      </c>
      <c r="S148" s="20" t="str">
        <f ca="1">IFERROR(__xludf.DUMMYFUNCTION("""COMPUTED_VALUE"""),"03 ORL")</f>
        <v>03 ORL</v>
      </c>
      <c r="T148" s="6" t="str">
        <f ca="1">IFERROR(__xludf.DUMMYFUNCTION("""COMPUTED_VALUE"""),"06 ORL")</f>
        <v>06 ORL</v>
      </c>
      <c r="U148" s="21"/>
      <c r="W148" s="21"/>
      <c r="X148" s="21"/>
      <c r="AG148" s="18"/>
    </row>
    <row r="149" spans="1:36" ht="16">
      <c r="A149" s="6"/>
      <c r="B149" s="14" t="str">
        <f t="shared" ca="1" si="0"/>
        <v>ISL</v>
      </c>
      <c r="C149" s="23" t="str">
        <f ca="1">IFERROR(__xludf.DUMMYFUNCTION("""COMPUTED_VALUE"""),"ISL45")</f>
        <v>ISL45</v>
      </c>
      <c r="D149" s="6" t="str">
        <f ca="1">IFERROR(__xludf.DUMMYFUNCTION("""COMPUTED_VALUE"""),"PROPIOS")</f>
        <v>PROPIOS</v>
      </c>
      <c r="E149" s="6">
        <f ca="1">IFERROR(__xludf.DUMMYFUNCTION("""COMPUTED_VALUE"""),2026)</f>
        <v>2026</v>
      </c>
      <c r="F149" s="15">
        <f ca="1">IFERROR(__xludf.DUMMYFUNCTION("""COMPUTED_VALUE"""),2)</f>
        <v>2</v>
      </c>
      <c r="G149" s="6" t="str">
        <f ca="1">IFERROR(__xludf.DUMMYFUNCTION("""COMPUTED_VALUE"""),"Murcia")</f>
        <v>Murcia</v>
      </c>
      <c r="H149" s="6" t="str">
        <f ca="1">IFERROR(__xludf.DUMMYFUNCTION("""COMPUTED_VALUE"""),"C202611594434141073")</f>
        <v>C202611594434141073</v>
      </c>
      <c r="I149" s="6" t="str">
        <f ca="1">IFERROR(__xludf.DUMMYFUNCTION("""COMPUTED_VALUE"""),"FRANCISCO LOPEZ ZAMBUDIO")</f>
        <v>FRANCISCO LOPEZ ZAMBUDIO</v>
      </c>
      <c r="J149" s="16">
        <f ca="1">IFERROR(__xludf.DUMMYFUNCTION("""COMPUTED_VALUE"""),46037)</f>
        <v>46037</v>
      </c>
      <c r="K149" s="6" t="str">
        <f ca="1">IFERROR(__xludf.DUMMYFUNCTION("""COMPUTED_VALUE"""),"Factura audífonos")</f>
        <v>Factura audífonos</v>
      </c>
      <c r="L149" s="16">
        <f ca="1">IFERROR(__xludf.DUMMYFUNCTION("""COMPUTED_VALUE"""),46063)</f>
        <v>46063</v>
      </c>
      <c r="M149" s="6" t="str">
        <f ca="1">IFERROR(__xludf.DUMMYFUNCTION("""COMPUTED_VALUE"""),"NO")</f>
        <v>NO</v>
      </c>
      <c r="N149" s="15">
        <f ca="1">IFERROR(__xludf.DUMMYFUNCTION("""COMPUTED_VALUE"""),2)</f>
        <v>2</v>
      </c>
      <c r="O149" s="6" t="str">
        <f ca="1">IFERROR(__xludf.DUMMYFUNCTION("""COMPUTED_VALUE"""),"CONFORT")</f>
        <v>CONFORT</v>
      </c>
      <c r="P149" s="18">
        <f ca="1">IFERROR(__xludf.DUMMYFUNCTION("""COMPUTED_VALUE"""),3631.82)</f>
        <v>3631.82</v>
      </c>
      <c r="Q149" s="6" t="str">
        <f ca="1">IFERROR(__xludf.DUMMYFUNCTION("""COMPUTED_VALUE"""),"Iván Sánchez")</f>
        <v>Iván Sánchez</v>
      </c>
      <c r="R149" s="19" t="str">
        <f ca="1">IFERROR(__xludf.DUMMYFUNCTION("""COMPUTED_VALUE"""),"Jesús Miguel Iniesta Turpín")</f>
        <v>Jesús Miguel Iniesta Turpín</v>
      </c>
      <c r="S149" s="20" t="str">
        <f ca="1">IFERROR(__xludf.DUMMYFUNCTION("""COMPUTED_VALUE"""),"03 ORL")</f>
        <v>03 ORL</v>
      </c>
      <c r="T149" s="6" t="str">
        <f ca="1">IFERROR(__xludf.DUMMYFUNCTION("""COMPUTED_VALUE"""),"06 ORL")</f>
        <v>06 ORL</v>
      </c>
      <c r="U149" s="21"/>
      <c r="W149" s="21"/>
      <c r="X149" s="21"/>
      <c r="AG149" s="18"/>
      <c r="AJ149" s="19"/>
    </row>
    <row r="150" spans="1:36" ht="16">
      <c r="A150" s="6"/>
      <c r="B150" s="14" t="str">
        <f t="shared" ca="1" si="0"/>
        <v>LAA</v>
      </c>
      <c r="C150" s="23" t="str">
        <f ca="1">IFERROR(__xludf.DUMMYFUNCTION("""COMPUTED_VALUE"""),"LAA13")</f>
        <v>LAA13</v>
      </c>
      <c r="D150" s="6" t="str">
        <f ca="1">IFERROR(__xludf.DUMMYFUNCTION("""COMPUTED_VALUE"""),"PROPIOS")</f>
        <v>PROPIOS</v>
      </c>
      <c r="E150" s="6">
        <f ca="1">IFERROR(__xludf.DUMMYFUNCTION("""COMPUTED_VALUE"""),2026)</f>
        <v>2026</v>
      </c>
      <c r="F150" s="15">
        <f ca="1">IFERROR(__xludf.DUMMYFUNCTION("""COMPUTED_VALUE"""),2)</f>
        <v>2</v>
      </c>
      <c r="G150" s="6" t="str">
        <f ca="1">IFERROR(__xludf.DUMMYFUNCTION("""COMPUTED_VALUE"""),"Sevilla- Montoto")</f>
        <v>Sevilla- Montoto</v>
      </c>
      <c r="H150" s="6" t="str">
        <f ca="1">IFERROR(__xludf.DUMMYFUNCTION("""COMPUTED_VALUE"""),"C2026116117442")</f>
        <v>C2026116117442</v>
      </c>
      <c r="I150" s="6" t="str">
        <f ca="1">IFERROR(__xludf.DUMMYFUNCTION("""COMPUTED_VALUE"""),"DAVID GALVEZ BERMUDO")</f>
        <v>DAVID GALVEZ BERMUDO</v>
      </c>
      <c r="J150" s="16">
        <f ca="1">IFERROR(__xludf.DUMMYFUNCTION("""COMPUTED_VALUE"""),45684)</f>
        <v>45684</v>
      </c>
      <c r="K150" s="6" t="str">
        <f ca="1">IFERROR(__xludf.DUMMYFUNCTION("""COMPUTED_VALUE"""),"Factura audífonos")</f>
        <v>Factura audífonos</v>
      </c>
      <c r="L150" s="16">
        <f ca="1">IFERROR(__xludf.DUMMYFUNCTION("""COMPUTED_VALUE"""),46063)</f>
        <v>46063</v>
      </c>
      <c r="M150" s="6" t="str">
        <f ca="1">IFERROR(__xludf.DUMMYFUNCTION("""COMPUTED_VALUE"""),"NO")</f>
        <v>NO</v>
      </c>
      <c r="N150" s="15">
        <f ca="1">IFERROR(__xludf.DUMMYFUNCTION("""COMPUTED_VALUE"""),1)</f>
        <v>1</v>
      </c>
      <c r="O150" s="6" t="str">
        <f ca="1">IFERROR(__xludf.DUMMYFUNCTION("""COMPUTED_VALUE"""),"QUIET")</f>
        <v>QUIET</v>
      </c>
      <c r="P150" s="18">
        <f ca="1">IFERROR(__xludf.DUMMYFUNCTION("""COMPUTED_VALUE"""),1631.82)</f>
        <v>1631.82</v>
      </c>
      <c r="Q150" s="6" t="str">
        <f ca="1">IFERROR(__xludf.DUMMYFUNCTION("""COMPUTED_VALUE"""),"Luis Alberto Rodríguez")</f>
        <v>Luis Alberto Rodríguez</v>
      </c>
      <c r="R150" s="19" t="str">
        <f ca="1">IFERROR(__xludf.DUMMYFUNCTION("""COMPUTED_VALUE"""),"Francisco Javier Aguilar Vera")</f>
        <v>Francisco Javier Aguilar Vera</v>
      </c>
      <c r="S150" s="20" t="str">
        <f ca="1">IFERROR(__xludf.DUMMYFUNCTION("""COMPUTED_VALUE"""),"03 ORL")</f>
        <v>03 ORL</v>
      </c>
      <c r="T150" s="6" t="str">
        <f ca="1">IFERROR(__xludf.DUMMYFUNCTION("""COMPUTED_VALUE"""),"06 ORL")</f>
        <v>06 ORL</v>
      </c>
      <c r="U150" s="21"/>
      <c r="W150" s="21"/>
      <c r="X150" s="21"/>
      <c r="AG150" s="18"/>
      <c r="AJ150" s="19"/>
    </row>
    <row r="151" spans="1:36" ht="16">
      <c r="A151" s="6"/>
      <c r="B151" s="14" t="str">
        <f t="shared" ca="1" si="0"/>
        <v>MBM</v>
      </c>
      <c r="C151" s="23" t="str">
        <f ca="1">IFERROR(__xludf.DUMMYFUNCTION("""COMPUTED_VALUE"""),"MBM146")</f>
        <v>MBM146</v>
      </c>
      <c r="D151" s="6" t="str">
        <f ca="1">IFERROR(__xludf.DUMMYFUNCTION("""COMPUTED_VALUE"""),"PROPIOS")</f>
        <v>PROPIOS</v>
      </c>
      <c r="E151" s="6">
        <f ca="1">IFERROR(__xludf.DUMMYFUNCTION("""COMPUTED_VALUE"""),2026)</f>
        <v>2026</v>
      </c>
      <c r="F151" s="15">
        <f ca="1">IFERROR(__xludf.DUMMYFUNCTION("""COMPUTED_VALUE"""),2)</f>
        <v>2</v>
      </c>
      <c r="G151" s="6" t="str">
        <f ca="1">IFERROR(__xludf.DUMMYFUNCTION("""COMPUTED_VALUE"""),"Madrid- Juan Bravo")</f>
        <v>Madrid- Juan Bravo</v>
      </c>
      <c r="H151" s="6" t="str">
        <f ca="1">IFERROR(__xludf.DUMMYFUNCTION("""COMPUTED_VALUE"""),"C202512116211113918")</f>
        <v>C202512116211113918</v>
      </c>
      <c r="I151" s="6" t="str">
        <f ca="1">IFERROR(__xludf.DUMMYFUNCTION("""COMPUTED_VALUE"""),"FERNANDO DIAZ ROLDAN")</f>
        <v>FERNANDO DIAZ ROLDAN</v>
      </c>
      <c r="J151" s="16">
        <f ca="1">IFERROR(__xludf.DUMMYFUNCTION("""COMPUTED_VALUE"""),45992)</f>
        <v>45992</v>
      </c>
      <c r="K151" s="6" t="str">
        <f ca="1">IFERROR(__xludf.DUMMYFUNCTION("""COMPUTED_VALUE"""),"Factura audífonos")</f>
        <v>Factura audífonos</v>
      </c>
      <c r="L151" s="16">
        <f ca="1">IFERROR(__xludf.DUMMYFUNCTION("""COMPUTED_VALUE"""),46063)</f>
        <v>46063</v>
      </c>
      <c r="M151" s="6" t="str">
        <f ca="1">IFERROR(__xludf.DUMMYFUNCTION("""COMPUTED_VALUE"""),"NO")</f>
        <v>NO</v>
      </c>
      <c r="N151" s="15">
        <f ca="1">IFERROR(__xludf.DUMMYFUNCTION("""COMPUTED_VALUE"""),2)</f>
        <v>2</v>
      </c>
      <c r="O151" s="6" t="str">
        <f ca="1">IFERROR(__xludf.DUMMYFUNCTION("""COMPUTED_VALUE"""),"ADVANCED")</f>
        <v>ADVANCED</v>
      </c>
      <c r="P151" s="19">
        <f ca="1">IFERROR(__xludf.DUMMYFUNCTION("""COMPUTED_VALUE"""),3888.64)</f>
        <v>3888.64</v>
      </c>
      <c r="Q151" s="6" t="str">
        <f ca="1">IFERROR(__xludf.DUMMYFUNCTION("""COMPUTED_VALUE"""),"Maika Blázquez")</f>
        <v>Maika Blázquez</v>
      </c>
      <c r="R151" s="1" t="str">
        <f ca="1">IFERROR(__xludf.DUMMYFUNCTION("""COMPUTED_VALUE"""),"María del Mar Medina González")</f>
        <v>María del Mar Medina González</v>
      </c>
      <c r="S151" s="20" t="str">
        <f ca="1">IFERROR(__xludf.DUMMYFUNCTION("""COMPUTED_VALUE"""),"03 ORL")</f>
        <v>03 ORL</v>
      </c>
      <c r="T151" s="6" t="str">
        <f ca="1">IFERROR(__xludf.DUMMYFUNCTION("""COMPUTED_VALUE"""),"06 ORL")</f>
        <v>06 ORL</v>
      </c>
      <c r="U151" s="21"/>
      <c r="W151" s="21"/>
      <c r="X151" s="21"/>
      <c r="AG151" s="19"/>
      <c r="AJ151" s="19"/>
    </row>
    <row r="152" spans="1:36" ht="16">
      <c r="A152" s="6"/>
      <c r="B152" s="14" t="str">
        <f t="shared" ca="1" si="0"/>
        <v>ISL</v>
      </c>
      <c r="C152" s="23" t="str">
        <f ca="1">IFERROR(__xludf.DUMMYFUNCTION("""COMPUTED_VALUE"""),"ISL122")</f>
        <v>ISL122</v>
      </c>
      <c r="D152" s="6" t="str">
        <f ca="1">IFERROR(__xludf.DUMMYFUNCTION("""COMPUTED_VALUE"""),"PROPIOS")</f>
        <v>PROPIOS</v>
      </c>
      <c r="E152" s="6">
        <f ca="1">IFERROR(__xludf.DUMMYFUNCTION("""COMPUTED_VALUE"""),2026)</f>
        <v>2026</v>
      </c>
      <c r="F152" s="15">
        <f ca="1">IFERROR(__xludf.DUMMYFUNCTION("""COMPUTED_VALUE"""),2)</f>
        <v>2</v>
      </c>
      <c r="G152" s="6" t="str">
        <f ca="1">IFERROR(__xludf.DUMMYFUNCTION("""COMPUTED_VALUE"""),"San Javier")</f>
        <v>San Javier</v>
      </c>
      <c r="H152" s="6" t="str">
        <f ca="1">IFERROR(__xludf.DUMMYFUNCTION("""COMPUTED_VALUE"""),"C202612912171931207")</f>
        <v>C202612912171931207</v>
      </c>
      <c r="I152" s="6" t="str">
        <f ca="1">IFERROR(__xludf.DUMMYFUNCTION("""COMPUTED_VALUE"""),"GARETH JOHN PETER SOCKETT")</f>
        <v>GARETH JOHN PETER SOCKETT</v>
      </c>
      <c r="J152" s="16">
        <f ca="1">IFERROR(__xludf.DUMMYFUNCTION("""COMPUTED_VALUE"""),46051)</f>
        <v>46051</v>
      </c>
      <c r="K152" s="6" t="str">
        <f ca="1">IFERROR(__xludf.DUMMYFUNCTION("""COMPUTED_VALUE"""),"Factura audífonos")</f>
        <v>Factura audífonos</v>
      </c>
      <c r="L152" s="16">
        <f ca="1">IFERROR(__xludf.DUMMYFUNCTION("""COMPUTED_VALUE"""),46063)</f>
        <v>46063</v>
      </c>
      <c r="M152" s="6" t="str">
        <f ca="1">IFERROR(__xludf.DUMMYFUNCTION("""COMPUTED_VALUE"""),"NO")</f>
        <v>NO</v>
      </c>
      <c r="N152" s="15">
        <f ca="1">IFERROR(__xludf.DUMMYFUNCTION("""COMPUTED_VALUE"""),2)</f>
        <v>2</v>
      </c>
      <c r="O152" s="6" t="str">
        <f ca="1">IFERROR(__xludf.DUMMYFUNCTION("""COMPUTED_VALUE"""),"CONFORT")</f>
        <v>CONFORT</v>
      </c>
      <c r="P152" s="19">
        <f ca="1">IFERROR(__xludf.DUMMYFUNCTION("""COMPUTED_VALUE"""),3631.82)</f>
        <v>3631.82</v>
      </c>
      <c r="Q152" s="6" t="str">
        <f ca="1">IFERROR(__xludf.DUMMYFUNCTION("""COMPUTED_VALUE"""),"Iván Sánchez")</f>
        <v>Iván Sánchez</v>
      </c>
      <c r="R152" s="19" t="str">
        <f ca="1">IFERROR(__xludf.DUMMYFUNCTION("""COMPUTED_VALUE"""),"María Agustina Sevilla García")</f>
        <v>María Agustina Sevilla García</v>
      </c>
      <c r="S152" s="20" t="str">
        <f ca="1">IFERROR(__xludf.DUMMYFUNCTION("""COMPUTED_VALUE"""),"03 ORL")</f>
        <v>03 ORL</v>
      </c>
      <c r="T152" s="6" t="str">
        <f ca="1">IFERROR(__xludf.DUMMYFUNCTION("""COMPUTED_VALUE"""),"06 ORL")</f>
        <v>06 ORL</v>
      </c>
      <c r="U152" s="21"/>
      <c r="W152" s="21"/>
      <c r="X152" s="21"/>
      <c r="AG152" s="19"/>
    </row>
    <row r="153" spans="1:36" ht="16">
      <c r="A153" s="6"/>
      <c r="B153" s="14" t="str">
        <f t="shared" ca="1" si="0"/>
        <v>LAA</v>
      </c>
      <c r="C153" s="23" t="str">
        <f ca="1">IFERROR(__xludf.DUMMYFUNCTION("""COMPUTED_VALUE"""),"LAA13")</f>
        <v>LAA13</v>
      </c>
      <c r="D153" s="6" t="str">
        <f ca="1">IFERROR(__xludf.DUMMYFUNCTION("""COMPUTED_VALUE"""),"PROPIOS")</f>
        <v>PROPIOS</v>
      </c>
      <c r="E153" s="6">
        <f ca="1">IFERROR(__xludf.DUMMYFUNCTION("""COMPUTED_VALUE"""),2026)</f>
        <v>2026</v>
      </c>
      <c r="F153" s="15">
        <f ca="1">IFERROR(__xludf.DUMMYFUNCTION("""COMPUTED_VALUE"""),2)</f>
        <v>2</v>
      </c>
      <c r="G153" s="6" t="str">
        <f ca="1">IFERROR(__xludf.DUMMYFUNCTION("""COMPUTED_VALUE"""),"Sevilla- Montoto")</f>
        <v>Sevilla- Montoto</v>
      </c>
      <c r="H153" s="6" t="str">
        <f ca="1">IFERROR(__xludf.DUMMYFUNCTION("""COMPUTED_VALUE"""),"C202512171723206010")</f>
        <v>C202512171723206010</v>
      </c>
      <c r="I153" s="6" t="str">
        <f ca="1">IFERROR(__xludf.DUMMYFUNCTION("""COMPUTED_VALUE"""),"MARIA JOSEFA CARRO VALDES-HEVIA")</f>
        <v>MARIA JOSEFA CARRO VALDES-HEVIA</v>
      </c>
      <c r="J153" s="16">
        <f ca="1">IFERROR(__xludf.DUMMYFUNCTION("""COMPUTED_VALUE"""),46008)</f>
        <v>46008</v>
      </c>
      <c r="K153" s="6" t="str">
        <f ca="1">IFERROR(__xludf.DUMMYFUNCTION("""COMPUTED_VALUE"""),"Factura audífonos")</f>
        <v>Factura audífonos</v>
      </c>
      <c r="L153" s="16">
        <f ca="1">IFERROR(__xludf.DUMMYFUNCTION("""COMPUTED_VALUE"""),46063)</f>
        <v>46063</v>
      </c>
      <c r="M153" s="6" t="str">
        <f ca="1">IFERROR(__xludf.DUMMYFUNCTION("""COMPUTED_VALUE"""),"NO")</f>
        <v>NO</v>
      </c>
      <c r="N153" s="15">
        <f ca="1">IFERROR(__xludf.DUMMYFUNCTION("""COMPUTED_VALUE"""),2)</f>
        <v>2</v>
      </c>
      <c r="O153" s="6" t="str">
        <f ca="1">IFERROR(__xludf.DUMMYFUNCTION("""COMPUTED_VALUE"""),"CONFORT")</f>
        <v>CONFORT</v>
      </c>
      <c r="P153" s="19">
        <f ca="1">IFERROR(__xludf.DUMMYFUNCTION("""COMPUTED_VALUE"""),3631.82)</f>
        <v>3631.82</v>
      </c>
      <c r="Q153" s="6" t="str">
        <f ca="1">IFERROR(__xludf.DUMMYFUNCTION("""COMPUTED_VALUE"""),"Luis Alberto Rodríguez")</f>
        <v>Luis Alberto Rodríguez</v>
      </c>
      <c r="R153" s="19" t="str">
        <f ca="1">IFERROR(__xludf.DUMMYFUNCTION("""COMPUTED_VALUE"""),"Francisco Javier Aguilar Vera")</f>
        <v>Francisco Javier Aguilar Vera</v>
      </c>
      <c r="S153" s="20" t="str">
        <f ca="1">IFERROR(__xludf.DUMMYFUNCTION("""COMPUTED_VALUE"""),"03 ORL")</f>
        <v>03 ORL</v>
      </c>
      <c r="T153" s="6" t="str">
        <f ca="1">IFERROR(__xludf.DUMMYFUNCTION("""COMPUTED_VALUE"""),"06 ORL")</f>
        <v>06 ORL</v>
      </c>
      <c r="U153" s="21"/>
      <c r="W153" s="21"/>
      <c r="X153" s="21"/>
      <c r="AG153" s="19"/>
      <c r="AJ153" s="19"/>
    </row>
    <row r="154" spans="1:36" ht="16">
      <c r="A154" s="6"/>
      <c r="B154" s="14" t="str">
        <f t="shared" ca="1" si="0"/>
        <v>LRM</v>
      </c>
      <c r="C154" s="23" t="str">
        <f ca="1">IFERROR(__xludf.DUMMYFUNCTION("""COMPUTED_VALUE"""),"LRM20")</f>
        <v>LRM20</v>
      </c>
      <c r="D154" s="6" t="str">
        <f ca="1">IFERROR(__xludf.DUMMYFUNCTION("""COMPUTED_VALUE"""),"PARTICIPADOS")</f>
        <v>PARTICIPADOS</v>
      </c>
      <c r="E154" s="6">
        <f ca="1">IFERROR(__xludf.DUMMYFUNCTION("""COMPUTED_VALUE"""),2026)</f>
        <v>2026</v>
      </c>
      <c r="F154" s="15">
        <f ca="1">IFERROR(__xludf.DUMMYFUNCTION("""COMPUTED_VALUE"""),2)</f>
        <v>2</v>
      </c>
      <c r="G154" s="6" t="str">
        <f ca="1">IFERROR(__xludf.DUMMYFUNCTION("""COMPUTED_VALUE"""),"Talavera")</f>
        <v>Talavera</v>
      </c>
      <c r="H154" s="6" t="str">
        <f ca="1">IFERROR(__xludf.DUMMYFUNCTION("""COMPUTED_VALUE"""),"C20261810363892932")</f>
        <v>C20261810363892932</v>
      </c>
      <c r="I154" s="6" t="str">
        <f ca="1">IFERROR(__xludf.DUMMYFUNCTION("""COMPUTED_VALUE"""),"PABLO GARCÍA PÉREZ")</f>
        <v>PABLO GARCÍA PÉREZ</v>
      </c>
      <c r="J154" s="16">
        <f ca="1">IFERROR(__xludf.DUMMYFUNCTION("""COMPUTED_VALUE"""),46030)</f>
        <v>46030</v>
      </c>
      <c r="K154" s="6" t="str">
        <f ca="1">IFERROR(__xludf.DUMMYFUNCTION("""COMPUTED_VALUE"""),"Factura audífonos")</f>
        <v>Factura audífonos</v>
      </c>
      <c r="L154" s="16">
        <f ca="1">IFERROR(__xludf.DUMMYFUNCTION("""COMPUTED_VALUE"""),46063)</f>
        <v>46063</v>
      </c>
      <c r="M154" s="6" t="str">
        <f ca="1">IFERROR(__xludf.DUMMYFUNCTION("""COMPUTED_VALUE"""),"NO")</f>
        <v>NO</v>
      </c>
      <c r="N154" s="15">
        <f ca="1">IFERROR(__xludf.DUMMYFUNCTION("""COMPUTED_VALUE"""),2)</f>
        <v>2</v>
      </c>
      <c r="O154" s="6" t="str">
        <f ca="1">IFERROR(__xludf.DUMMYFUNCTION("""COMPUTED_VALUE"""),"QUIET")</f>
        <v>QUIET</v>
      </c>
      <c r="P154" s="18">
        <f ca="1">IFERROR(__xludf.DUMMYFUNCTION("""COMPUTED_VALUE"""),2718.18)</f>
        <v>2718.18</v>
      </c>
      <c r="Q154" s="6" t="str">
        <f ca="1">IFERROR(__xludf.DUMMYFUNCTION("""COMPUTED_VALUE"""),"Lisandro Russian")</f>
        <v>Lisandro Russian</v>
      </c>
      <c r="R154" s="19" t="str">
        <f ca="1">IFERROR(__xludf.DUMMYFUNCTION("""COMPUTED_VALUE"""),"Carlos Félix Asensio Nieto")</f>
        <v>Carlos Félix Asensio Nieto</v>
      </c>
      <c r="S154" s="20" t="str">
        <f ca="1">IFERROR(__xludf.DUMMYFUNCTION("""COMPUTED_VALUE"""),"03 ORL")</f>
        <v>03 ORL</v>
      </c>
      <c r="T154" s="6" t="str">
        <f ca="1">IFERROR(__xludf.DUMMYFUNCTION("""COMPUTED_VALUE"""),"06 ORL")</f>
        <v>06 ORL</v>
      </c>
      <c r="U154" s="21"/>
      <c r="W154" s="21"/>
      <c r="X154" s="21"/>
      <c r="AG154" s="19"/>
      <c r="AJ154" s="19"/>
    </row>
    <row r="155" spans="1:36" ht="16">
      <c r="A155" s="6"/>
      <c r="B155" s="14" t="str">
        <f t="shared" ca="1" si="0"/>
        <v>ISL</v>
      </c>
      <c r="C155" s="23" t="str">
        <f ca="1">IFERROR(__xludf.DUMMYFUNCTION("""COMPUTED_VALUE"""),"ISL58")</f>
        <v>ISL58</v>
      </c>
      <c r="D155" s="6" t="str">
        <f ca="1">IFERROR(__xludf.DUMMYFUNCTION("""COMPUTED_VALUE"""),"PROPIOS")</f>
        <v>PROPIOS</v>
      </c>
      <c r="E155" s="6">
        <f ca="1">IFERROR(__xludf.DUMMYFUNCTION("""COMPUTED_VALUE"""),2026)</f>
        <v>2026</v>
      </c>
      <c r="F155" s="15">
        <f ca="1">IFERROR(__xludf.DUMMYFUNCTION("""COMPUTED_VALUE"""),2)</f>
        <v>2</v>
      </c>
      <c r="G155" s="6" t="str">
        <f ca="1">IFERROR(__xludf.DUMMYFUNCTION("""COMPUTED_VALUE"""),"Orihuela")</f>
        <v>Orihuela</v>
      </c>
      <c r="H155" s="6" t="str">
        <f ca="1">IFERROR(__xludf.DUMMYFUNCTION("""COMPUTED_VALUE"""),"C202512171774713468")</f>
        <v>C202512171774713468</v>
      </c>
      <c r="I155" s="6" t="str">
        <f ca="1">IFERROR(__xludf.DUMMYFUNCTION("""COMPUTED_VALUE"""),"MONICA JIMENEZ ANGULO")</f>
        <v>MONICA JIMENEZ ANGULO</v>
      </c>
      <c r="J155" s="16">
        <f ca="1">IFERROR(__xludf.DUMMYFUNCTION("""COMPUTED_VALUE"""),46008)</f>
        <v>46008</v>
      </c>
      <c r="K155" s="6" t="str">
        <f ca="1">IFERROR(__xludf.DUMMYFUNCTION("""COMPUTED_VALUE"""),"Factura audífonos")</f>
        <v>Factura audífonos</v>
      </c>
      <c r="L155" s="16">
        <f ca="1">IFERROR(__xludf.DUMMYFUNCTION("""COMPUTED_VALUE"""),46064)</f>
        <v>46064</v>
      </c>
      <c r="M155" s="6" t="str">
        <f ca="1">IFERROR(__xludf.DUMMYFUNCTION("""COMPUTED_VALUE"""),"NO")</f>
        <v>NO</v>
      </c>
      <c r="N155" s="15">
        <f ca="1">IFERROR(__xludf.DUMMYFUNCTION("""COMPUTED_VALUE"""),2)</f>
        <v>2</v>
      </c>
      <c r="O155" s="6" t="str">
        <f ca="1">IFERROR(__xludf.DUMMYFUNCTION("""COMPUTED_VALUE"""),"ADVANCED")</f>
        <v>ADVANCED</v>
      </c>
      <c r="P155" s="19">
        <f ca="1">IFERROR(__xludf.DUMMYFUNCTION("""COMPUTED_VALUE"""),4136.36)</f>
        <v>4136.3599999999997</v>
      </c>
      <c r="Q155" s="6" t="str">
        <f ca="1">IFERROR(__xludf.DUMMYFUNCTION("""COMPUTED_VALUE"""),"Iván Sánchez")</f>
        <v>Iván Sánchez</v>
      </c>
      <c r="R155" s="19" t="str">
        <f ca="1">IFERROR(__xludf.DUMMYFUNCTION("""COMPUTED_VALUE"""),"Juan Javier Álvarez López")</f>
        <v>Juan Javier Álvarez López</v>
      </c>
      <c r="S155" s="20" t="str">
        <f ca="1">IFERROR(__xludf.DUMMYFUNCTION("""COMPUTED_VALUE"""),"03 ORL")</f>
        <v>03 ORL</v>
      </c>
      <c r="T155" s="6" t="str">
        <f ca="1">IFERROR(__xludf.DUMMYFUNCTION("""COMPUTED_VALUE"""),"06 ORL")</f>
        <v>06 ORL</v>
      </c>
      <c r="U155" s="21"/>
      <c r="W155" s="21"/>
      <c r="X155" s="21"/>
      <c r="AG155" s="19"/>
    </row>
    <row r="156" spans="1:36" ht="16">
      <c r="A156" s="6"/>
      <c r="B156" s="14" t="str">
        <f t="shared" ca="1" si="0"/>
        <v>LAA</v>
      </c>
      <c r="C156" s="23" t="str">
        <f ca="1">IFERROR(__xludf.DUMMYFUNCTION("""COMPUTED_VALUE"""),"LAA20")</f>
        <v>LAA20</v>
      </c>
      <c r="D156" s="6" t="str">
        <f ca="1">IFERROR(__xludf.DUMMYFUNCTION("""COMPUTED_VALUE"""),"ASOCIADOS")</f>
        <v>ASOCIADOS</v>
      </c>
      <c r="E156" s="6">
        <f ca="1">IFERROR(__xludf.DUMMYFUNCTION("""COMPUTED_VALUE"""),2026)</f>
        <v>2026</v>
      </c>
      <c r="F156" s="15">
        <f ca="1">IFERROR(__xludf.DUMMYFUNCTION("""COMPUTED_VALUE"""),2)</f>
        <v>2</v>
      </c>
      <c r="G156" s="6" t="str">
        <f ca="1">IFERROR(__xludf.DUMMYFUNCTION("""COMPUTED_VALUE"""),"Badajoz")</f>
        <v>Badajoz</v>
      </c>
      <c r="H156" s="6" t="str">
        <f ca="1">IFERROR(__xludf.DUMMYFUNCTION("""COMPUTED_VALUE"""),"C202512178505738777")</f>
        <v>C202512178505738777</v>
      </c>
      <c r="I156" s="6" t="str">
        <f ca="1">IFERROR(__xludf.DUMMYFUNCTION("""COMPUTED_VALUE"""),"CASIMIRA MORENO SANDEZ")</f>
        <v>CASIMIRA MORENO SANDEZ</v>
      </c>
      <c r="J156" s="16">
        <f ca="1">IFERROR(__xludf.DUMMYFUNCTION("""COMPUTED_VALUE"""),46008)</f>
        <v>46008</v>
      </c>
      <c r="K156" s="6" t="str">
        <f ca="1">IFERROR(__xludf.DUMMYFUNCTION("""COMPUTED_VALUE"""),"Factura audífonos")</f>
        <v>Factura audífonos</v>
      </c>
      <c r="L156" s="16">
        <f ca="1">IFERROR(__xludf.DUMMYFUNCTION("""COMPUTED_VALUE"""),46064)</f>
        <v>46064</v>
      </c>
      <c r="M156" s="6" t="str">
        <f ca="1">IFERROR(__xludf.DUMMYFUNCTION("""COMPUTED_VALUE"""),"NO")</f>
        <v>NO</v>
      </c>
      <c r="N156" s="15">
        <f ca="1">IFERROR(__xludf.DUMMYFUNCTION("""COMPUTED_VALUE"""),2)</f>
        <v>2</v>
      </c>
      <c r="O156" s="6" t="str">
        <f ca="1">IFERROR(__xludf.DUMMYFUNCTION("""COMPUTED_VALUE"""),"QUIET")</f>
        <v>QUIET</v>
      </c>
      <c r="P156" s="19">
        <f ca="1">IFERROR(__xludf.DUMMYFUNCTION("""COMPUTED_VALUE"""),3263.64)</f>
        <v>3263.64</v>
      </c>
      <c r="Q156" s="6" t="str">
        <f ca="1">IFERROR(__xludf.DUMMYFUNCTION("""COMPUTED_VALUE"""),"Luis Alberto Rodríguez")</f>
        <v>Luis Alberto Rodríguez</v>
      </c>
      <c r="R156" s="19" t="str">
        <f ca="1">IFERROR(__xludf.DUMMYFUNCTION("""COMPUTED_VALUE"""),"Isidoro Rubio Correa")</f>
        <v>Isidoro Rubio Correa</v>
      </c>
      <c r="S156" s="20" t="str">
        <f ca="1">IFERROR(__xludf.DUMMYFUNCTION("""COMPUTED_VALUE"""),"03 ORL")</f>
        <v>03 ORL</v>
      </c>
      <c r="T156" s="6" t="str">
        <f ca="1">IFERROR(__xludf.DUMMYFUNCTION("""COMPUTED_VALUE"""),"06 ORL")</f>
        <v>06 ORL</v>
      </c>
      <c r="U156" s="21"/>
      <c r="W156" s="21"/>
      <c r="X156" s="21"/>
      <c r="AG156" s="19"/>
      <c r="AJ156" s="19"/>
    </row>
    <row r="157" spans="1:36" ht="16">
      <c r="A157" s="6"/>
      <c r="B157" s="14" t="str">
        <f t="shared" ca="1" si="0"/>
        <v>MBM</v>
      </c>
      <c r="C157" s="23" t="str">
        <f ca="1">IFERROR(__xludf.DUMMYFUNCTION("""COMPUTED_VALUE"""),"MBM03")</f>
        <v>MBM03</v>
      </c>
      <c r="D157" s="6" t="str">
        <f ca="1">IFERROR(__xludf.DUMMYFUNCTION("""COMPUTED_VALUE"""),"PROPIOS")</f>
        <v>PROPIOS</v>
      </c>
      <c r="E157" s="6">
        <f ca="1">IFERROR(__xludf.DUMMYFUNCTION("""COMPUTED_VALUE"""),2026)</f>
        <v>2026</v>
      </c>
      <c r="F157" s="15">
        <f ca="1">IFERROR(__xludf.DUMMYFUNCTION("""COMPUTED_VALUE"""),2)</f>
        <v>2</v>
      </c>
      <c r="G157" s="6" t="str">
        <f ca="1">IFERROR(__xludf.DUMMYFUNCTION("""COMPUTED_VALUE"""),"Torrejón de Ardoz")</f>
        <v>Torrejón de Ardoz</v>
      </c>
      <c r="H157" s="6" t="str">
        <f ca="1">IFERROR(__xludf.DUMMYFUNCTION("""COMPUTED_VALUE"""),"C202510311214327514")</f>
        <v>C202510311214327514</v>
      </c>
      <c r="I157" s="6" t="str">
        <f ca="1">IFERROR(__xludf.DUMMYFUNCTION("""COMPUTED_VALUE"""),"MARGARITA CABALLERO CALVO")</f>
        <v>MARGARITA CABALLERO CALVO</v>
      </c>
      <c r="J157" s="16">
        <f ca="1">IFERROR(__xludf.DUMMYFUNCTION("""COMPUTED_VALUE"""),45961)</f>
        <v>45961</v>
      </c>
      <c r="K157" s="6" t="str">
        <f ca="1">IFERROR(__xludf.DUMMYFUNCTION("""COMPUTED_VALUE"""),"Factura audífonos")</f>
        <v>Factura audífonos</v>
      </c>
      <c r="L157" s="16">
        <f ca="1">IFERROR(__xludf.DUMMYFUNCTION("""COMPUTED_VALUE"""),46065)</f>
        <v>46065</v>
      </c>
      <c r="M157" s="6" t="str">
        <f ca="1">IFERROR(__xludf.DUMMYFUNCTION("""COMPUTED_VALUE"""),"NO")</f>
        <v>NO</v>
      </c>
      <c r="N157" s="15">
        <f ca="1">IFERROR(__xludf.DUMMYFUNCTION("""COMPUTED_VALUE"""),1)</f>
        <v>1</v>
      </c>
      <c r="O157" s="6" t="str">
        <f ca="1">IFERROR(__xludf.DUMMYFUNCTION("""COMPUTED_VALUE"""),"ADVANCED")</f>
        <v>ADVANCED</v>
      </c>
      <c r="P157" s="18">
        <f ca="1">IFERROR(__xludf.DUMMYFUNCTION("""COMPUTED_VALUE"""),2481.82)</f>
        <v>2481.8200000000002</v>
      </c>
      <c r="Q157" s="6" t="str">
        <f ca="1">IFERROR(__xludf.DUMMYFUNCTION("""COMPUTED_VALUE"""),"Maika Blázquez")</f>
        <v>Maika Blázquez</v>
      </c>
      <c r="R157" s="19" t="str">
        <f ca="1">IFERROR(__xludf.DUMMYFUNCTION("""COMPUTED_VALUE"""),"Alejandro Harguindey Antoli-Candela")</f>
        <v>Alejandro Harguindey Antoli-Candela</v>
      </c>
      <c r="S157" s="20" t="str">
        <f ca="1">IFERROR(__xludf.DUMMYFUNCTION("""COMPUTED_VALUE"""),"03 ORL")</f>
        <v>03 ORL</v>
      </c>
      <c r="T157" s="6" t="str">
        <f ca="1">IFERROR(__xludf.DUMMYFUNCTION("""COMPUTED_VALUE"""),"06 ORL")</f>
        <v>06 ORL</v>
      </c>
      <c r="U157" s="21"/>
      <c r="W157" s="21"/>
      <c r="X157" s="21"/>
      <c r="AG157" s="18"/>
      <c r="AJ157" s="19"/>
    </row>
    <row r="158" spans="1:36" ht="16">
      <c r="A158" s="6"/>
      <c r="B158" s="14" t="str">
        <f t="shared" ca="1" si="0"/>
        <v>ISL</v>
      </c>
      <c r="C158" s="23" t="str">
        <f ca="1">IFERROR(__xludf.DUMMYFUNCTION("""COMPUTED_VALUE"""),"ISL83")</f>
        <v>ISL83</v>
      </c>
      <c r="D158" s="6" t="str">
        <f ca="1">IFERROR(__xludf.DUMMYFUNCTION("""COMPUTED_VALUE"""),"PROPIOS")</f>
        <v>PROPIOS</v>
      </c>
      <c r="E158" s="6">
        <f ca="1">IFERROR(__xludf.DUMMYFUNCTION("""COMPUTED_VALUE"""),2026)</f>
        <v>2026</v>
      </c>
      <c r="F158" s="15">
        <f ca="1">IFERROR(__xludf.DUMMYFUNCTION("""COMPUTED_VALUE"""),2)</f>
        <v>2</v>
      </c>
      <c r="G158" s="6" t="str">
        <f ca="1">IFERROR(__xludf.DUMMYFUNCTION("""COMPUTED_VALUE"""),"Murcia")</f>
        <v>Murcia</v>
      </c>
      <c r="H158" s="6" t="str">
        <f ca="1">IFERROR(__xludf.DUMMYFUNCTION("""COMPUTED_VALUE"""),"C202612791443808408")</f>
        <v>C202612791443808408</v>
      </c>
      <c r="I158" s="6" t="str">
        <f ca="1">IFERROR(__xludf.DUMMYFUNCTION("""COMPUTED_VALUE"""),"ANTONIO MOYA GARRIDO")</f>
        <v>ANTONIO MOYA GARRIDO</v>
      </c>
      <c r="J158" s="16">
        <f ca="1">IFERROR(__xludf.DUMMYFUNCTION("""COMPUTED_VALUE"""),46049)</f>
        <v>46049</v>
      </c>
      <c r="K158" s="6" t="str">
        <f ca="1">IFERROR(__xludf.DUMMYFUNCTION("""COMPUTED_VALUE"""),"Factura audífonos")</f>
        <v>Factura audífonos</v>
      </c>
      <c r="L158" s="16">
        <f ca="1">IFERROR(__xludf.DUMMYFUNCTION("""COMPUTED_VALUE"""),46065)</f>
        <v>46065</v>
      </c>
      <c r="M158" s="6" t="str">
        <f ca="1">IFERROR(__xludf.DUMMYFUNCTION("""COMPUTED_VALUE"""),"NO")</f>
        <v>NO</v>
      </c>
      <c r="N158" s="15">
        <f ca="1">IFERROR(__xludf.DUMMYFUNCTION("""COMPUTED_VALUE"""),1)</f>
        <v>1</v>
      </c>
      <c r="O158" s="6" t="str">
        <f ca="1">IFERROR(__xludf.DUMMYFUNCTION("""COMPUTED_VALUE"""),"QUIET")</f>
        <v>QUIET</v>
      </c>
      <c r="P158" s="19">
        <f ca="1">IFERROR(__xludf.DUMMYFUNCTION("""COMPUTED_VALUE"""),1631.82)</f>
        <v>1631.82</v>
      </c>
      <c r="Q158" s="6" t="str">
        <f ca="1">IFERROR(__xludf.DUMMYFUNCTION("""COMPUTED_VALUE"""),"Iván Sánchez")</f>
        <v>Iván Sánchez</v>
      </c>
      <c r="R158" s="19" t="str">
        <f ca="1">IFERROR(__xludf.DUMMYFUNCTION("""COMPUTED_VALUE"""),"Aida Aviñoa Arias")</f>
        <v>Aida Aviñoa Arias</v>
      </c>
      <c r="S158" s="20" t="str">
        <f ca="1">IFERROR(__xludf.DUMMYFUNCTION("""COMPUTED_VALUE"""),"03 ORL")</f>
        <v>03 ORL</v>
      </c>
      <c r="T158" s="6" t="str">
        <f ca="1">IFERROR(__xludf.DUMMYFUNCTION("""COMPUTED_VALUE"""),"06 ORL")</f>
        <v>06 ORL</v>
      </c>
      <c r="U158" s="21"/>
      <c r="W158" s="21"/>
      <c r="X158" s="21"/>
      <c r="AG158" s="19"/>
    </row>
    <row r="159" spans="1:36" ht="16">
      <c r="A159" s="6"/>
      <c r="B159" s="14" t="str">
        <f t="shared" ca="1" si="0"/>
        <v>ISL</v>
      </c>
      <c r="C159" s="23" t="str">
        <f ca="1">IFERROR(__xludf.DUMMYFUNCTION("""COMPUTED_VALUE"""),"ISL76")</f>
        <v>ISL76</v>
      </c>
      <c r="D159" s="6" t="str">
        <f ca="1">IFERROR(__xludf.DUMMYFUNCTION("""COMPUTED_VALUE"""),"PROPIOS")</f>
        <v>PROPIOS</v>
      </c>
      <c r="E159" s="6">
        <f ca="1">IFERROR(__xludf.DUMMYFUNCTION("""COMPUTED_VALUE"""),2026)</f>
        <v>2026</v>
      </c>
      <c r="F159" s="15">
        <f ca="1">IFERROR(__xludf.DUMMYFUNCTION("""COMPUTED_VALUE"""),2)</f>
        <v>2</v>
      </c>
      <c r="G159" s="6" t="str">
        <f ca="1">IFERROR(__xludf.DUMMYFUNCTION("""COMPUTED_VALUE"""),"Albacete")</f>
        <v>Albacete</v>
      </c>
      <c r="H159" s="6" t="str">
        <f ca="1">IFERROR(__xludf.DUMMYFUNCTION("""COMPUTED_VALUE"""),"C20261711017941690")</f>
        <v>C20261711017941690</v>
      </c>
      <c r="I159" s="6" t="str">
        <f ca="1">IFERROR(__xludf.DUMMYFUNCTION("""COMPUTED_VALUE"""),"CECILIA PINA DE YLLANA")</f>
        <v>CECILIA PINA DE YLLANA</v>
      </c>
      <c r="J159" s="16">
        <f ca="1">IFERROR(__xludf.DUMMYFUNCTION("""COMPUTED_VALUE"""),46029)</f>
        <v>46029</v>
      </c>
      <c r="K159" s="6" t="str">
        <f ca="1">IFERROR(__xludf.DUMMYFUNCTION("""COMPUTED_VALUE"""),"Factura audífonos")</f>
        <v>Factura audífonos</v>
      </c>
      <c r="L159" s="16">
        <f ca="1">IFERROR(__xludf.DUMMYFUNCTION("""COMPUTED_VALUE"""),46065)</f>
        <v>46065</v>
      </c>
      <c r="M159" s="6" t="str">
        <f ca="1">IFERROR(__xludf.DUMMYFUNCTION("""COMPUTED_VALUE"""),"NO")</f>
        <v>NO</v>
      </c>
      <c r="N159" s="15">
        <f ca="1">IFERROR(__xludf.DUMMYFUNCTION("""COMPUTED_VALUE"""),2)</f>
        <v>2</v>
      </c>
      <c r="O159" s="6" t="str">
        <f ca="1">IFERROR(__xludf.DUMMYFUNCTION("""COMPUTED_VALUE"""),"ADVANCED")</f>
        <v>ADVANCED</v>
      </c>
      <c r="P159" s="19">
        <f ca="1">IFERROR(__xludf.DUMMYFUNCTION("""COMPUTED_VALUE"""),4136.36)</f>
        <v>4136.3599999999997</v>
      </c>
      <c r="Q159" s="6" t="str">
        <f ca="1">IFERROR(__xludf.DUMMYFUNCTION("""COMPUTED_VALUE"""),"Iván Sánchez")</f>
        <v>Iván Sánchez</v>
      </c>
      <c r="R159" s="19" t="str">
        <f ca="1">IFERROR(__xludf.DUMMYFUNCTION("""COMPUTED_VALUE"""),"Pedro Seguí Moya")</f>
        <v>Pedro Seguí Moya</v>
      </c>
      <c r="S159" s="20" t="str">
        <f ca="1">IFERROR(__xludf.DUMMYFUNCTION("""COMPUTED_VALUE"""),"03 ORL")</f>
        <v>03 ORL</v>
      </c>
      <c r="T159" s="6" t="str">
        <f ca="1">IFERROR(__xludf.DUMMYFUNCTION("""COMPUTED_VALUE"""),"06 ORL")</f>
        <v>06 ORL</v>
      </c>
      <c r="U159" s="21"/>
      <c r="W159" s="21"/>
      <c r="X159" s="21"/>
      <c r="AG159" s="19"/>
      <c r="AJ159" s="19"/>
    </row>
    <row r="160" spans="1:36" ht="16">
      <c r="A160" s="6"/>
      <c r="B160" s="14" t="str">
        <f t="shared" ca="1" si="0"/>
        <v>LAA</v>
      </c>
      <c r="C160" s="23" t="str">
        <f ca="1">IFERROR(__xludf.DUMMYFUNCTION("""COMPUTED_VALUE"""),"LAA63")</f>
        <v>LAA63</v>
      </c>
      <c r="D160" s="6" t="str">
        <f ca="1">IFERROR(__xludf.DUMMYFUNCTION("""COMPUTED_VALUE"""),"PROPIOS")</f>
        <v>PROPIOS</v>
      </c>
      <c r="E160" s="6">
        <f ca="1">IFERROR(__xludf.DUMMYFUNCTION("""COMPUTED_VALUE"""),2026)</f>
        <v>2026</v>
      </c>
      <c r="F160" s="15">
        <f ca="1">IFERROR(__xludf.DUMMYFUNCTION("""COMPUTED_VALUE"""),2)</f>
        <v>2</v>
      </c>
      <c r="G160" s="6" t="str">
        <f ca="1">IFERROR(__xludf.DUMMYFUNCTION("""COMPUTED_VALUE"""),"Madrid- Moratalaz")</f>
        <v>Madrid- Moratalaz</v>
      </c>
      <c r="H160" s="6" t="str">
        <f ca="1">IFERROR(__xludf.DUMMYFUNCTION("""COMPUTED_VALUE"""),"C20261221054127267")</f>
        <v>C20261221054127267</v>
      </c>
      <c r="I160" s="6" t="str">
        <f ca="1">IFERROR(__xludf.DUMMYFUNCTION("""COMPUTED_VALUE"""),"ENRIQUE JIMENEZ TELO")</f>
        <v>ENRIQUE JIMENEZ TELO</v>
      </c>
      <c r="J160" s="16">
        <f ca="1">IFERROR(__xludf.DUMMYFUNCTION("""COMPUTED_VALUE"""),46044)</f>
        <v>46044</v>
      </c>
      <c r="K160" s="6" t="str">
        <f ca="1">IFERROR(__xludf.DUMMYFUNCTION("""COMPUTED_VALUE"""),"Factura audífonos")</f>
        <v>Factura audífonos</v>
      </c>
      <c r="L160" s="16">
        <f ca="1">IFERROR(__xludf.DUMMYFUNCTION("""COMPUTED_VALUE"""),46065)</f>
        <v>46065</v>
      </c>
      <c r="M160" s="6" t="str">
        <f ca="1">IFERROR(__xludf.DUMMYFUNCTION("""COMPUTED_VALUE"""),"NO")</f>
        <v>NO</v>
      </c>
      <c r="N160" s="15">
        <f ca="1">IFERROR(__xludf.DUMMYFUNCTION("""COMPUTED_VALUE"""),2)</f>
        <v>2</v>
      </c>
      <c r="O160" s="6" t="str">
        <f ca="1">IFERROR(__xludf.DUMMYFUNCTION("""COMPUTED_VALUE"""),"ADVANCED")</f>
        <v>ADVANCED</v>
      </c>
      <c r="P160" s="19">
        <f ca="1">IFERROR(__xludf.DUMMYFUNCTION("""COMPUTED_VALUE"""),3722.73)</f>
        <v>3722.73</v>
      </c>
      <c r="Q160" s="6" t="str">
        <f ca="1">IFERROR(__xludf.DUMMYFUNCTION("""COMPUTED_VALUE"""),"Maika Blázquez")</f>
        <v>Maika Blázquez</v>
      </c>
      <c r="R160" s="19" t="str">
        <f ca="1">IFERROR(__xludf.DUMMYFUNCTION("""COMPUTED_VALUE"""),"Julio López Moya")</f>
        <v>Julio López Moya</v>
      </c>
      <c r="S160" s="20" t="str">
        <f ca="1">IFERROR(__xludf.DUMMYFUNCTION("""COMPUTED_VALUE"""),"03 ORL")</f>
        <v>03 ORL</v>
      </c>
      <c r="T160" s="6" t="str">
        <f ca="1">IFERROR(__xludf.DUMMYFUNCTION("""COMPUTED_VALUE"""),"06 ORL")</f>
        <v>06 ORL</v>
      </c>
      <c r="U160" s="21"/>
      <c r="W160" s="21"/>
      <c r="X160" s="21"/>
      <c r="AG160" s="19"/>
      <c r="AJ160" s="19"/>
    </row>
    <row r="161" spans="1:36" ht="16">
      <c r="A161" s="6"/>
      <c r="B161" s="14" t="str">
        <f t="shared" ca="1" si="0"/>
        <v>LAA</v>
      </c>
      <c r="C161" s="23" t="str">
        <f ca="1">IFERROR(__xludf.DUMMYFUNCTION("""COMPUTED_VALUE"""),"LAA78")</f>
        <v>LAA78</v>
      </c>
      <c r="D161" s="6" t="str">
        <f ca="1">IFERROR(__xludf.DUMMYFUNCTION("""COMPUTED_VALUE"""),"PROPIOS")</f>
        <v>PROPIOS</v>
      </c>
      <c r="E161" s="6">
        <f ca="1">IFERROR(__xludf.DUMMYFUNCTION("""COMPUTED_VALUE"""),2026)</f>
        <v>2026</v>
      </c>
      <c r="F161" s="15">
        <f ca="1">IFERROR(__xludf.DUMMYFUNCTION("""COMPUTED_VALUE"""),2)</f>
        <v>2</v>
      </c>
      <c r="G161" s="6" t="str">
        <f ca="1">IFERROR(__xludf.DUMMYFUNCTION("""COMPUTED_VALUE"""),"Jerez de la Frontera")</f>
        <v>Jerez de la Frontera</v>
      </c>
      <c r="H161" s="6" t="str">
        <f ca="1">IFERROR(__xludf.DUMMYFUNCTION("""COMPUTED_VALUE"""),"C202612312344833330")</f>
        <v>C202612312344833330</v>
      </c>
      <c r="I161" s="6" t="str">
        <f ca="1">IFERROR(__xludf.DUMMYFUNCTION("""COMPUTED_VALUE"""),"BORJA GONZALEZ DE RABAGO")</f>
        <v>BORJA GONZALEZ DE RABAGO</v>
      </c>
      <c r="J161" s="16">
        <f ca="1">IFERROR(__xludf.DUMMYFUNCTION("""COMPUTED_VALUE"""),46045)</f>
        <v>46045</v>
      </c>
      <c r="K161" s="6" t="str">
        <f ca="1">IFERROR(__xludf.DUMMYFUNCTION("""COMPUTED_VALUE"""),"Factura audífonos")</f>
        <v>Factura audífonos</v>
      </c>
      <c r="L161" s="16">
        <f ca="1">IFERROR(__xludf.DUMMYFUNCTION("""COMPUTED_VALUE"""),46065)</f>
        <v>46065</v>
      </c>
      <c r="M161" s="6" t="str">
        <f ca="1">IFERROR(__xludf.DUMMYFUNCTION("""COMPUTED_VALUE"""),"NO")</f>
        <v>NO</v>
      </c>
      <c r="N161" s="15">
        <f ca="1">IFERROR(__xludf.DUMMYFUNCTION("""COMPUTED_VALUE"""),2)</f>
        <v>2</v>
      </c>
      <c r="O161" s="6" t="str">
        <f ca="1">IFERROR(__xludf.DUMMYFUNCTION("""COMPUTED_VALUE"""),"QUIET")</f>
        <v>QUIET</v>
      </c>
      <c r="P161" s="18">
        <f ca="1">IFERROR(__xludf.DUMMYFUNCTION("""COMPUTED_VALUE"""),2718.18)</f>
        <v>2718.18</v>
      </c>
      <c r="Q161" s="6" t="str">
        <f ca="1">IFERROR(__xludf.DUMMYFUNCTION("""COMPUTED_VALUE"""),"Luis Alberto Rodríguez")</f>
        <v>Luis Alberto Rodríguez</v>
      </c>
      <c r="R161" s="19" t="str">
        <f ca="1">IFERROR(__xludf.DUMMYFUNCTION("""COMPUTED_VALUE"""),"Maria Del Carmen Salom Coveñas")</f>
        <v>Maria Del Carmen Salom Coveñas</v>
      </c>
      <c r="S161" s="20" t="str">
        <f ca="1">IFERROR(__xludf.DUMMYFUNCTION("""COMPUTED_VALUE"""),"03 ORL")</f>
        <v>03 ORL</v>
      </c>
      <c r="T161" s="6" t="str">
        <f ca="1">IFERROR(__xludf.DUMMYFUNCTION("""COMPUTED_VALUE"""),"06 ORL")</f>
        <v>06 ORL</v>
      </c>
      <c r="U161" s="21"/>
      <c r="W161" s="21"/>
      <c r="X161" s="21"/>
      <c r="AG161" s="18"/>
      <c r="AJ161" s="19"/>
    </row>
    <row r="162" spans="1:36" ht="16">
      <c r="A162" s="6"/>
      <c r="B162" s="14" t="str">
        <f t="shared" ca="1" si="0"/>
        <v>LAA</v>
      </c>
      <c r="C162" s="23" t="str">
        <f ca="1">IFERROR(__xludf.DUMMYFUNCTION("""COMPUTED_VALUE"""),"LAA63")</f>
        <v>LAA63</v>
      </c>
      <c r="D162" s="6" t="str">
        <f ca="1">IFERROR(__xludf.DUMMYFUNCTION("""COMPUTED_VALUE"""),"PROPIOS")</f>
        <v>PROPIOS</v>
      </c>
      <c r="E162" s="6">
        <f ca="1">IFERROR(__xludf.DUMMYFUNCTION("""COMPUTED_VALUE"""),2026)</f>
        <v>2026</v>
      </c>
      <c r="F162" s="15">
        <f ca="1">IFERROR(__xludf.DUMMYFUNCTION("""COMPUTED_VALUE"""),2)</f>
        <v>2</v>
      </c>
      <c r="G162" s="6" t="str">
        <f ca="1">IFERROR(__xludf.DUMMYFUNCTION("""COMPUTED_VALUE"""),"Madrid- Moratalaz")</f>
        <v>Madrid- Moratalaz</v>
      </c>
      <c r="H162" s="6" t="str">
        <f ca="1">IFERROR(__xludf.DUMMYFUNCTION("""COMPUTED_VALUE"""),"C202612210645622394")</f>
        <v>C202612210645622394</v>
      </c>
      <c r="I162" s="6" t="str">
        <f ca="1">IFERROR(__xludf.DUMMYFUNCTION("""COMPUTED_VALUE"""),"MARIA JESUS FERNANDEZ EGUÍLUZ")</f>
        <v>MARIA JESUS FERNANDEZ EGUÍLUZ</v>
      </c>
      <c r="J162" s="16">
        <f ca="1">IFERROR(__xludf.DUMMYFUNCTION("""COMPUTED_VALUE"""),46044)</f>
        <v>46044</v>
      </c>
      <c r="K162" s="6" t="str">
        <f ca="1">IFERROR(__xludf.DUMMYFUNCTION("""COMPUTED_VALUE"""),"Factura audífonos")</f>
        <v>Factura audífonos</v>
      </c>
      <c r="L162" s="16">
        <f ca="1">IFERROR(__xludf.DUMMYFUNCTION("""COMPUTED_VALUE"""),46065)</f>
        <v>46065</v>
      </c>
      <c r="M162" s="6" t="str">
        <f ca="1">IFERROR(__xludf.DUMMYFUNCTION("""COMPUTED_VALUE"""),"NO")</f>
        <v>NO</v>
      </c>
      <c r="N162" s="15">
        <f ca="1">IFERROR(__xludf.DUMMYFUNCTION("""COMPUTED_VALUE"""),2)</f>
        <v>2</v>
      </c>
      <c r="O162" s="6" t="str">
        <f ca="1">IFERROR(__xludf.DUMMYFUNCTION("""COMPUTED_VALUE"""),"ADVANCED")</f>
        <v>ADVANCED</v>
      </c>
      <c r="P162" s="19">
        <f ca="1">IFERROR(__xludf.DUMMYFUNCTION("""COMPUTED_VALUE"""),3722.73)</f>
        <v>3722.73</v>
      </c>
      <c r="Q162" s="6" t="str">
        <f ca="1">IFERROR(__xludf.DUMMYFUNCTION("""COMPUTED_VALUE"""),"Maika Blázquez")</f>
        <v>Maika Blázquez</v>
      </c>
      <c r="R162" s="19" t="str">
        <f ca="1">IFERROR(__xludf.DUMMYFUNCTION("""COMPUTED_VALUE"""),"Julio López Moya")</f>
        <v>Julio López Moya</v>
      </c>
      <c r="S162" s="20" t="str">
        <f ca="1">IFERROR(__xludf.DUMMYFUNCTION("""COMPUTED_VALUE"""),"03 ORL")</f>
        <v>03 ORL</v>
      </c>
      <c r="T162" s="6" t="str">
        <f ca="1">IFERROR(__xludf.DUMMYFUNCTION("""COMPUTED_VALUE"""),"06 ORL")</f>
        <v>06 ORL</v>
      </c>
      <c r="U162" s="21"/>
      <c r="W162" s="21"/>
      <c r="X162" s="21"/>
      <c r="AG162" s="19"/>
      <c r="AJ162" s="19"/>
    </row>
    <row r="163" spans="1:36" ht="16">
      <c r="A163" s="6"/>
      <c r="B163" s="14" t="str">
        <f t="shared" ca="1" si="0"/>
        <v>LRM</v>
      </c>
      <c r="C163" s="23" t="str">
        <f ca="1">IFERROR(__xludf.DUMMYFUNCTION("""COMPUTED_VALUE"""),"LRM125")</f>
        <v>LRM125</v>
      </c>
      <c r="D163" s="6" t="str">
        <f ca="1">IFERROR(__xludf.DUMMYFUNCTION("""COMPUTED_VALUE"""),"PARTICIPADOS")</f>
        <v>PARTICIPADOS</v>
      </c>
      <c r="E163" s="6">
        <f ca="1">IFERROR(__xludf.DUMMYFUNCTION("""COMPUTED_VALUE"""),2026)</f>
        <v>2026</v>
      </c>
      <c r="F163" s="15">
        <f ca="1">IFERROR(__xludf.DUMMYFUNCTION("""COMPUTED_VALUE"""),2)</f>
        <v>2</v>
      </c>
      <c r="G163" s="6" t="str">
        <f ca="1">IFERROR(__xludf.DUMMYFUNCTION("""COMPUTED_VALUE"""),"Talavera")</f>
        <v>Talavera</v>
      </c>
      <c r="H163" s="6" t="str">
        <f ca="1">IFERROR(__xludf.DUMMYFUNCTION("""COMPUTED_VALUE"""),"C202512171752132637")</f>
        <v>C202512171752132637</v>
      </c>
      <c r="I163" s="6" t="str">
        <f ca="1">IFERROR(__xludf.DUMMYFUNCTION("""COMPUTED_VALUE"""),"CAROLINA CORONADO ROPERO")</f>
        <v>CAROLINA CORONADO ROPERO</v>
      </c>
      <c r="J163" s="16">
        <f ca="1">IFERROR(__xludf.DUMMYFUNCTION("""COMPUTED_VALUE"""),46008)</f>
        <v>46008</v>
      </c>
      <c r="K163" s="6" t="str">
        <f ca="1">IFERROR(__xludf.DUMMYFUNCTION("""COMPUTED_VALUE"""),"Factura audífonos")</f>
        <v>Factura audífonos</v>
      </c>
      <c r="L163" s="16">
        <f ca="1">IFERROR(__xludf.DUMMYFUNCTION("""COMPUTED_VALUE"""),46065)</f>
        <v>46065</v>
      </c>
      <c r="M163" s="6" t="str">
        <f ca="1">IFERROR(__xludf.DUMMYFUNCTION("""COMPUTED_VALUE"""),"NO")</f>
        <v>NO</v>
      </c>
      <c r="N163" s="15">
        <f ca="1">IFERROR(__xludf.DUMMYFUNCTION("""COMPUTED_VALUE"""),2)</f>
        <v>2</v>
      </c>
      <c r="O163" s="6" t="str">
        <f ca="1">IFERROR(__xludf.DUMMYFUNCTION("""COMPUTED_VALUE"""),"ADVANCED")</f>
        <v>ADVANCED</v>
      </c>
      <c r="P163" s="19">
        <f ca="1">IFERROR(__xludf.DUMMYFUNCTION("""COMPUTED_VALUE"""),4136.36)</f>
        <v>4136.3599999999997</v>
      </c>
      <c r="Q163" s="6" t="str">
        <f ca="1">IFERROR(__xludf.DUMMYFUNCTION("""COMPUTED_VALUE"""),"Lisandro Russian")</f>
        <v>Lisandro Russian</v>
      </c>
      <c r="R163" s="19" t="str">
        <f ca="1">IFERROR(__xludf.DUMMYFUNCTION("""COMPUTED_VALUE"""),"Ainhoa Moreno Bravo")</f>
        <v>Ainhoa Moreno Bravo</v>
      </c>
      <c r="S163" s="20" t="str">
        <f ca="1">IFERROR(__xludf.DUMMYFUNCTION("""COMPUTED_VALUE"""),"03 ORL")</f>
        <v>03 ORL</v>
      </c>
      <c r="T163" s="6" t="str">
        <f ca="1">IFERROR(__xludf.DUMMYFUNCTION("""COMPUTED_VALUE"""),"06 ORL")</f>
        <v>06 ORL</v>
      </c>
      <c r="U163" s="21"/>
      <c r="W163" s="21"/>
      <c r="X163" s="21"/>
      <c r="AG163" s="19"/>
    </row>
    <row r="164" spans="1:36" ht="16">
      <c r="A164" s="6"/>
      <c r="B164" s="14" t="str">
        <f t="shared" ca="1" si="0"/>
        <v>MBM</v>
      </c>
      <c r="C164" s="23" t="str">
        <f ca="1">IFERROR(__xludf.DUMMYFUNCTION("""COMPUTED_VALUE"""),"MBM01")</f>
        <v>MBM01</v>
      </c>
      <c r="D164" s="6" t="str">
        <f ca="1">IFERROR(__xludf.DUMMYFUNCTION("""COMPUTED_VALUE"""),"PROPIOS")</f>
        <v>PROPIOS</v>
      </c>
      <c r="E164" s="6">
        <f ca="1">IFERROR(__xludf.DUMMYFUNCTION("""COMPUTED_VALUE"""),2026)</f>
        <v>2026</v>
      </c>
      <c r="F164" s="15">
        <f ca="1">IFERROR(__xludf.DUMMYFUNCTION("""COMPUTED_VALUE"""),2)</f>
        <v>2</v>
      </c>
      <c r="G164" s="6" t="str">
        <f ca="1">IFERROR(__xludf.DUMMYFUNCTION("""COMPUTED_VALUE"""),"Fuenlabrada")</f>
        <v>Fuenlabrada</v>
      </c>
      <c r="H164" s="6" t="str">
        <f ca="1">IFERROR(__xludf.DUMMYFUNCTION("""COMPUTED_VALUE"""),"C202552693132758")</f>
        <v>C202552693132758</v>
      </c>
      <c r="I164" s="6" t="str">
        <f ca="1">IFERROR(__xludf.DUMMYFUNCTION("""COMPUTED_VALUE"""),"JOSE ANTONIO QUINTANA LOPEZ")</f>
        <v>JOSE ANTONIO QUINTANA LOPEZ</v>
      </c>
      <c r="J164" s="16">
        <f ca="1">IFERROR(__xludf.DUMMYFUNCTION("""COMPUTED_VALUE"""),45800)</f>
        <v>45800</v>
      </c>
      <c r="K164" s="6" t="str">
        <f ca="1">IFERROR(__xludf.DUMMYFUNCTION("""COMPUTED_VALUE"""),"Factura audífonos")</f>
        <v>Factura audífonos</v>
      </c>
      <c r="L164" s="16">
        <f ca="1">IFERROR(__xludf.DUMMYFUNCTION("""COMPUTED_VALUE"""),46065)</f>
        <v>46065</v>
      </c>
      <c r="M164" s="6" t="str">
        <f ca="1">IFERROR(__xludf.DUMMYFUNCTION("""COMPUTED_VALUE"""),"NO")</f>
        <v>NO</v>
      </c>
      <c r="N164" s="15">
        <f ca="1">IFERROR(__xludf.DUMMYFUNCTION("""COMPUTED_VALUE"""),2)</f>
        <v>2</v>
      </c>
      <c r="O164" s="6" t="str">
        <f ca="1">IFERROR(__xludf.DUMMYFUNCTION("""COMPUTED_VALUE"""),"CONFORT")</f>
        <v>CONFORT</v>
      </c>
      <c r="P164" s="19">
        <f ca="1">IFERROR(__xludf.DUMMYFUNCTION("""COMPUTED_VALUE"""),3450)</f>
        <v>3450</v>
      </c>
      <c r="Q164" s="6" t="str">
        <f ca="1">IFERROR(__xludf.DUMMYFUNCTION("""COMPUTED_VALUE"""),"Maika Blázquez")</f>
        <v>Maika Blázquez</v>
      </c>
      <c r="R164" s="19" t="str">
        <f ca="1">IFERROR(__xludf.DUMMYFUNCTION("""COMPUTED_VALUE"""),"Adolfo Toledano Muñoz")</f>
        <v>Adolfo Toledano Muñoz</v>
      </c>
      <c r="S164" s="20" t="str">
        <f ca="1">IFERROR(__xludf.DUMMYFUNCTION("""COMPUTED_VALUE"""),"03 ORL")</f>
        <v>03 ORL</v>
      </c>
      <c r="T164" s="6" t="str">
        <f ca="1">IFERROR(__xludf.DUMMYFUNCTION("""COMPUTED_VALUE"""),"22 AUDIOMETRIA CLINICA")</f>
        <v>22 AUDIOMETRIA CLINICA</v>
      </c>
      <c r="U164" s="21"/>
      <c r="W164" s="21"/>
      <c r="X164" s="21"/>
      <c r="AG164" s="19"/>
      <c r="AJ164" s="19"/>
    </row>
    <row r="165" spans="1:36" ht="16">
      <c r="A165" s="6"/>
      <c r="B165" s="14" t="str">
        <f t="shared" ca="1" si="0"/>
        <v>LRM</v>
      </c>
      <c r="C165" s="23" t="str">
        <f ca="1">IFERROR(__xludf.DUMMYFUNCTION("""COMPUTED_VALUE"""),"LRM227")</f>
        <v>LRM227</v>
      </c>
      <c r="D165" s="6" t="str">
        <f ca="1">IFERROR(__xludf.DUMMYFUNCTION("""COMPUTED_VALUE"""),"PARTICIPADOS")</f>
        <v>PARTICIPADOS</v>
      </c>
      <c r="E165" s="6">
        <f ca="1">IFERROR(__xludf.DUMMYFUNCTION("""COMPUTED_VALUE"""),2026)</f>
        <v>2026</v>
      </c>
      <c r="F165" s="15">
        <f ca="1">IFERROR(__xludf.DUMMYFUNCTION("""COMPUTED_VALUE"""),2)</f>
        <v>2</v>
      </c>
      <c r="G165" s="6" t="str">
        <f ca="1">IFERROR(__xludf.DUMMYFUNCTION("""COMPUTED_VALUE"""),"Talavera")</f>
        <v>Talavera</v>
      </c>
      <c r="H165" s="6" t="str">
        <f ca="1">IFERROR(__xludf.DUMMYFUNCTION("""COMPUTED_VALUE"""),"C202512311031454328")</f>
        <v>C202512311031454328</v>
      </c>
      <c r="I165" s="6" t="str">
        <f ca="1">IFERROR(__xludf.DUMMYFUNCTION("""COMPUTED_VALUE"""),"ANGEL MUÑOZ JIMENEZ")</f>
        <v>ANGEL MUÑOZ JIMENEZ</v>
      </c>
      <c r="J165" s="16">
        <f ca="1">IFERROR(__xludf.DUMMYFUNCTION("""COMPUTED_VALUE"""),46022)</f>
        <v>46022</v>
      </c>
      <c r="K165" s="6" t="str">
        <f ca="1">IFERROR(__xludf.DUMMYFUNCTION("""COMPUTED_VALUE"""),"Factura audífonos")</f>
        <v>Factura audífonos</v>
      </c>
      <c r="L165" s="16">
        <f ca="1">IFERROR(__xludf.DUMMYFUNCTION("""COMPUTED_VALUE"""),46065)</f>
        <v>46065</v>
      </c>
      <c r="M165" s="6" t="str">
        <f ca="1">IFERROR(__xludf.DUMMYFUNCTION("""COMPUTED_VALUE"""),"NO")</f>
        <v>NO</v>
      </c>
      <c r="N165" s="15">
        <f ca="1">IFERROR(__xludf.DUMMYFUNCTION("""COMPUTED_VALUE"""),2)</f>
        <v>2</v>
      </c>
      <c r="O165" s="6" t="str">
        <f ca="1">IFERROR(__xludf.DUMMYFUNCTION("""COMPUTED_VALUE"""),"QUIET")</f>
        <v>QUIET</v>
      </c>
      <c r="P165" s="19">
        <f ca="1">IFERROR(__xludf.DUMMYFUNCTION("""COMPUTED_VALUE"""),2582.27)</f>
        <v>2582.27</v>
      </c>
      <c r="Q165" s="6" t="str">
        <f ca="1">IFERROR(__xludf.DUMMYFUNCTION("""COMPUTED_VALUE"""),"Lisandro Russian")</f>
        <v>Lisandro Russian</v>
      </c>
      <c r="R165" s="19" t="str">
        <f ca="1">IFERROR(__xludf.DUMMYFUNCTION("""COMPUTED_VALUE"""),"Patricia Ezcurra Hernández")</f>
        <v>Patricia Ezcurra Hernández</v>
      </c>
      <c r="S165" s="20" t="str">
        <f ca="1">IFERROR(__xludf.DUMMYFUNCTION("""COMPUTED_VALUE"""),"03 ORL")</f>
        <v>03 ORL</v>
      </c>
      <c r="T165" s="6" t="str">
        <f ca="1">IFERROR(__xludf.DUMMYFUNCTION("""COMPUTED_VALUE"""),"06 ORL")</f>
        <v>06 ORL</v>
      </c>
      <c r="U165" s="21"/>
      <c r="W165" s="21"/>
      <c r="X165" s="21"/>
      <c r="AG165" s="19"/>
      <c r="AJ165" s="19"/>
    </row>
    <row r="166" spans="1:36" ht="16">
      <c r="A166" s="6"/>
      <c r="B166" s="14" t="str">
        <f t="shared" ca="1" si="0"/>
        <v>LAA</v>
      </c>
      <c r="C166" s="23" t="str">
        <f ca="1">IFERROR(__xludf.DUMMYFUNCTION("""COMPUTED_VALUE"""),"LAA78")</f>
        <v>LAA78</v>
      </c>
      <c r="D166" s="6" t="str">
        <f ca="1">IFERROR(__xludf.DUMMYFUNCTION("""COMPUTED_VALUE"""),"PROPIOS")</f>
        <v>PROPIOS</v>
      </c>
      <c r="E166" s="6">
        <f ca="1">IFERROR(__xludf.DUMMYFUNCTION("""COMPUTED_VALUE"""),2026)</f>
        <v>2026</v>
      </c>
      <c r="F166" s="15">
        <f ca="1">IFERROR(__xludf.DUMMYFUNCTION("""COMPUTED_VALUE"""),2)</f>
        <v>2</v>
      </c>
      <c r="G166" s="6" t="str">
        <f ca="1">IFERROR(__xludf.DUMMYFUNCTION("""COMPUTED_VALUE"""),"Jerez de la Frontera")</f>
        <v>Jerez de la Frontera</v>
      </c>
      <c r="H166" s="6" t="str">
        <f ca="1">IFERROR(__xludf.DUMMYFUNCTION("""COMPUTED_VALUE"""),"C202612216365615147")</f>
        <v>C202612216365615147</v>
      </c>
      <c r="I166" s="6" t="str">
        <f ca="1">IFERROR(__xludf.DUMMYFUNCTION("""COMPUTED_VALUE"""),"ANTONIO MARTINEZ BENAVIDES")</f>
        <v>ANTONIO MARTINEZ BENAVIDES</v>
      </c>
      <c r="J166" s="16">
        <f ca="1">IFERROR(__xludf.DUMMYFUNCTION("""COMPUTED_VALUE"""),46044)</f>
        <v>46044</v>
      </c>
      <c r="K166" s="6" t="str">
        <f ca="1">IFERROR(__xludf.DUMMYFUNCTION("""COMPUTED_VALUE"""),"Factura audífonos")</f>
        <v>Factura audífonos</v>
      </c>
      <c r="L166" s="16">
        <f ca="1">IFERROR(__xludf.DUMMYFUNCTION("""COMPUTED_VALUE"""),46065)</f>
        <v>46065</v>
      </c>
      <c r="M166" s="6" t="str">
        <f ca="1">IFERROR(__xludf.DUMMYFUNCTION("""COMPUTED_VALUE"""),"NO")</f>
        <v>NO</v>
      </c>
      <c r="N166" s="15">
        <f ca="1">IFERROR(__xludf.DUMMYFUNCTION("""COMPUTED_VALUE"""),1)</f>
        <v>1</v>
      </c>
      <c r="O166" s="6" t="str">
        <f ca="1">IFERROR(__xludf.DUMMYFUNCTION("""COMPUTED_VALUE"""),"ADVANCED")</f>
        <v>ADVANCED</v>
      </c>
      <c r="P166" s="19">
        <f ca="1">IFERROR(__xludf.DUMMYFUNCTION("""COMPUTED_VALUE"""),2481.82)</f>
        <v>2481.8200000000002</v>
      </c>
      <c r="Q166" s="6" t="str">
        <f ca="1">IFERROR(__xludf.DUMMYFUNCTION("""COMPUTED_VALUE"""),"Luis Alberto Rodríguez")</f>
        <v>Luis Alberto Rodríguez</v>
      </c>
      <c r="R166" s="19" t="str">
        <f ca="1">IFERROR(__xludf.DUMMYFUNCTION("""COMPUTED_VALUE"""),"Maria Del Carmen Salom Coveñas")</f>
        <v>Maria Del Carmen Salom Coveñas</v>
      </c>
      <c r="S166" s="20" t="str">
        <f ca="1">IFERROR(__xludf.DUMMYFUNCTION("""COMPUTED_VALUE"""),"03 ORL")</f>
        <v>03 ORL</v>
      </c>
      <c r="T166" s="6" t="str">
        <f ca="1">IFERROR(__xludf.DUMMYFUNCTION("""COMPUTED_VALUE"""),"06 ORL")</f>
        <v>06 ORL</v>
      </c>
      <c r="U166" s="21"/>
      <c r="W166" s="21"/>
      <c r="X166" s="21"/>
      <c r="AG166" s="19"/>
    </row>
    <row r="167" spans="1:36" ht="16">
      <c r="A167" s="6"/>
      <c r="B167" s="14" t="str">
        <f t="shared" ca="1" si="0"/>
        <v>RPG</v>
      </c>
      <c r="C167" s="23" t="str">
        <f ca="1">IFERROR(__xludf.DUMMYFUNCTION("""COMPUTED_VALUE"""),"RPG51")</f>
        <v>RPG51</v>
      </c>
      <c r="D167" s="6" t="str">
        <f ca="1">IFERROR(__xludf.DUMMYFUNCTION("""COMPUTED_VALUE"""),"PARTICIPADOS")</f>
        <v>PARTICIPADOS</v>
      </c>
      <c r="E167" s="6">
        <f ca="1">IFERROR(__xludf.DUMMYFUNCTION("""COMPUTED_VALUE"""),2026)</f>
        <v>2026</v>
      </c>
      <c r="F167" s="15">
        <f ca="1">IFERROR(__xludf.DUMMYFUNCTION("""COMPUTED_VALUE"""),2)</f>
        <v>2</v>
      </c>
      <c r="G167" s="6" t="str">
        <f ca="1">IFERROR(__xludf.DUMMYFUNCTION("""COMPUTED_VALUE"""),"Ourense")</f>
        <v>Ourense</v>
      </c>
      <c r="H167" s="6" t="str">
        <f ca="1">IFERROR(__xludf.DUMMYFUNCTION("""COMPUTED_VALUE"""),"C202512291616562251")</f>
        <v>C202512291616562251</v>
      </c>
      <c r="I167" s="6" t="str">
        <f ca="1">IFERROR(__xludf.DUMMYFUNCTION("""COMPUTED_VALUE"""),"DOLORES FERNANDEZ SUAREZ")</f>
        <v>DOLORES FERNANDEZ SUAREZ</v>
      </c>
      <c r="J167" s="16">
        <f ca="1">IFERROR(__xludf.DUMMYFUNCTION("""COMPUTED_VALUE"""),46020)</f>
        <v>46020</v>
      </c>
      <c r="K167" s="6" t="str">
        <f ca="1">IFERROR(__xludf.DUMMYFUNCTION("""COMPUTED_VALUE"""),"Factura audífonos")</f>
        <v>Factura audífonos</v>
      </c>
      <c r="L167" s="16">
        <f ca="1">IFERROR(__xludf.DUMMYFUNCTION("""COMPUTED_VALUE"""),46065)</f>
        <v>46065</v>
      </c>
      <c r="M167" s="6" t="str">
        <f ca="1">IFERROR(__xludf.DUMMYFUNCTION("""COMPUTED_VALUE"""),"NO")</f>
        <v>NO</v>
      </c>
      <c r="N167" s="15">
        <f ca="1">IFERROR(__xludf.DUMMYFUNCTION("""COMPUTED_VALUE"""),1)</f>
        <v>1</v>
      </c>
      <c r="O167" s="6" t="str">
        <f ca="1">IFERROR(__xludf.DUMMYFUNCTION("""COMPUTED_VALUE"""),"QUIET")</f>
        <v>QUIET</v>
      </c>
      <c r="P167" s="19">
        <f ca="1">IFERROR(__xludf.DUMMYFUNCTION("""COMPUTED_VALUE"""),1631.82)</f>
        <v>1631.82</v>
      </c>
      <c r="Q167" s="6" t="str">
        <f ca="1">IFERROR(__xludf.DUMMYFUNCTION("""COMPUTED_VALUE"""),"Kiko Ortega")</f>
        <v>Kiko Ortega</v>
      </c>
      <c r="R167" s="19" t="str">
        <f ca="1">IFERROR(__xludf.DUMMYFUNCTION("""COMPUTED_VALUE"""),"María Rey Marcos")</f>
        <v>María Rey Marcos</v>
      </c>
      <c r="S167" s="20" t="str">
        <f ca="1">IFERROR(__xludf.DUMMYFUNCTION("""COMPUTED_VALUE"""),"03 ORL")</f>
        <v>03 ORL</v>
      </c>
      <c r="T167" s="6" t="str">
        <f ca="1">IFERROR(__xludf.DUMMYFUNCTION("""COMPUTED_VALUE"""),"06 ORL")</f>
        <v>06 ORL</v>
      </c>
      <c r="U167" s="21"/>
      <c r="W167" s="21"/>
      <c r="X167" s="21"/>
      <c r="AG167" s="19"/>
      <c r="AJ167" s="19"/>
    </row>
    <row r="168" spans="1:36" ht="16">
      <c r="A168" s="6"/>
      <c r="B168" s="14" t="str">
        <f t="shared" ca="1" si="0"/>
        <v>LAA</v>
      </c>
      <c r="C168" s="23" t="str">
        <f ca="1">IFERROR(__xludf.DUMMYFUNCTION("""COMPUTED_VALUE"""),"LAA19")</f>
        <v>LAA19</v>
      </c>
      <c r="D168" s="6" t="str">
        <f ca="1">IFERROR(__xludf.DUMMYFUNCTION("""COMPUTED_VALUE"""),"PROPIOS")</f>
        <v>PROPIOS</v>
      </c>
      <c r="E168" s="6">
        <f ca="1">IFERROR(__xludf.DUMMYFUNCTION("""COMPUTED_VALUE"""),2026)</f>
        <v>2026</v>
      </c>
      <c r="F168" s="15">
        <f ca="1">IFERROR(__xludf.DUMMYFUNCTION("""COMPUTED_VALUE"""),2)</f>
        <v>2</v>
      </c>
      <c r="G168" s="6" t="str">
        <f ca="1">IFERROR(__xludf.DUMMYFUNCTION("""COMPUTED_VALUE"""),"Sevilla- Montoto")</f>
        <v>Sevilla- Montoto</v>
      </c>
      <c r="H168" s="6" t="str">
        <f ca="1">IFERROR(__xludf.DUMMYFUNCTION("""COMPUTED_VALUE"""),"C202612618154308409")</f>
        <v>C202612618154308409</v>
      </c>
      <c r="I168" s="6" t="str">
        <f ca="1">IFERROR(__xludf.DUMMYFUNCTION("""COMPUTED_VALUE"""),"MARIA DEL CARMEN MORENO DIAZ")</f>
        <v>MARIA DEL CARMEN MORENO DIAZ</v>
      </c>
      <c r="J168" s="16">
        <f ca="1">IFERROR(__xludf.DUMMYFUNCTION("""COMPUTED_VALUE"""),46048)</f>
        <v>46048</v>
      </c>
      <c r="K168" s="6" t="str">
        <f ca="1">IFERROR(__xludf.DUMMYFUNCTION("""COMPUTED_VALUE"""),"Factura audífonos")</f>
        <v>Factura audífonos</v>
      </c>
      <c r="L168" s="16">
        <f ca="1">IFERROR(__xludf.DUMMYFUNCTION("""COMPUTED_VALUE"""),46065)</f>
        <v>46065</v>
      </c>
      <c r="M168" s="6" t="str">
        <f ca="1">IFERROR(__xludf.DUMMYFUNCTION("""COMPUTED_VALUE"""),"NO")</f>
        <v>NO</v>
      </c>
      <c r="N168" s="15">
        <f ca="1">IFERROR(__xludf.DUMMYFUNCTION("""COMPUTED_VALUE"""),1)</f>
        <v>1</v>
      </c>
      <c r="O168" s="6" t="str">
        <f ca="1">IFERROR(__xludf.DUMMYFUNCTION("""COMPUTED_VALUE"""),"CONFORT")</f>
        <v>CONFORT</v>
      </c>
      <c r="P168" s="19">
        <f ca="1">IFERROR(__xludf.DUMMYFUNCTION("""COMPUTED_VALUE"""),2180.77)</f>
        <v>2180.77</v>
      </c>
      <c r="Q168" s="6" t="str">
        <f ca="1">IFERROR(__xludf.DUMMYFUNCTION("""COMPUTED_VALUE"""),"Luis Alberto Rodríguez")</f>
        <v>Luis Alberto Rodríguez</v>
      </c>
      <c r="R168" s="19" t="str">
        <f ca="1">IFERROR(__xludf.DUMMYFUNCTION("""COMPUTED_VALUE"""),"Gustavo Benavente Bermudo")</f>
        <v>Gustavo Benavente Bermudo</v>
      </c>
      <c r="S168" s="20" t="str">
        <f ca="1">IFERROR(__xludf.DUMMYFUNCTION("""COMPUTED_VALUE"""),"03 ORL")</f>
        <v>03 ORL</v>
      </c>
      <c r="T168" s="6" t="str">
        <f ca="1">IFERROR(__xludf.DUMMYFUNCTION("""COMPUTED_VALUE"""),"06 ORL")</f>
        <v>06 ORL</v>
      </c>
      <c r="U168" s="21"/>
      <c r="W168" s="21"/>
      <c r="X168" s="21"/>
      <c r="AG168" s="19"/>
      <c r="AJ168" s="19"/>
    </row>
    <row r="169" spans="1:36" ht="16">
      <c r="A169" s="6"/>
      <c r="B169" s="14" t="str">
        <f t="shared" ca="1" si="0"/>
        <v>LRM</v>
      </c>
      <c r="C169" s="23" t="str">
        <f ca="1">IFERROR(__xludf.DUMMYFUNCTION("""COMPUTED_VALUE"""),"LRM258")</f>
        <v>LRM258</v>
      </c>
      <c r="D169" s="6" t="str">
        <f ca="1">IFERROR(__xludf.DUMMYFUNCTION("""COMPUTED_VALUE"""),"ASOCIADOS")</f>
        <v>ASOCIADOS</v>
      </c>
      <c r="E169" s="6">
        <f ca="1">IFERROR(__xludf.DUMMYFUNCTION("""COMPUTED_VALUE"""),2026)</f>
        <v>2026</v>
      </c>
      <c r="F169" s="15">
        <f ca="1">IFERROR(__xludf.DUMMYFUNCTION("""COMPUTED_VALUE"""),2)</f>
        <v>2</v>
      </c>
      <c r="G169" s="6" t="str">
        <f ca="1">IFERROR(__xludf.DUMMYFUNCTION("""COMPUTED_VALUE"""),"Cáceres")</f>
        <v>Cáceres</v>
      </c>
      <c r="H169" s="6" t="str">
        <f ca="1">IFERROR(__xludf.DUMMYFUNCTION("""COMPUTED_VALUE"""),"C20261710421168634")</f>
        <v>C20261710421168634</v>
      </c>
      <c r="I169" s="6" t="str">
        <f ca="1">IFERROR(__xludf.DUMMYFUNCTION("""COMPUTED_VALUE"""),"BEATRIZ MORENO TALAVERA")</f>
        <v>BEATRIZ MORENO TALAVERA</v>
      </c>
      <c r="J169" s="16">
        <f ca="1">IFERROR(__xludf.DUMMYFUNCTION("""COMPUTED_VALUE"""),46029)</f>
        <v>46029</v>
      </c>
      <c r="K169" s="6" t="str">
        <f ca="1">IFERROR(__xludf.DUMMYFUNCTION("""COMPUTED_VALUE"""),"Factura audífonos")</f>
        <v>Factura audífonos</v>
      </c>
      <c r="L169" s="16">
        <f ca="1">IFERROR(__xludf.DUMMYFUNCTION("""COMPUTED_VALUE"""),46066)</f>
        <v>46066</v>
      </c>
      <c r="M169" s="6" t="str">
        <f ca="1">IFERROR(__xludf.DUMMYFUNCTION("""COMPUTED_VALUE"""),"NO")</f>
        <v>NO</v>
      </c>
      <c r="N169" s="15">
        <f ca="1">IFERROR(__xludf.DUMMYFUNCTION("""COMPUTED_VALUE"""),2)</f>
        <v>2</v>
      </c>
      <c r="O169" s="6" t="str">
        <f ca="1">IFERROR(__xludf.DUMMYFUNCTION("""COMPUTED_VALUE"""),"CONFORT")</f>
        <v>CONFORT</v>
      </c>
      <c r="P169" s="19">
        <f ca="1">IFERROR(__xludf.DUMMYFUNCTION("""COMPUTED_VALUE"""),3940.91)</f>
        <v>3940.91</v>
      </c>
      <c r="Q169" s="6" t="str">
        <f ca="1">IFERROR(__xludf.DUMMYFUNCTION("""COMPUTED_VALUE"""),"Lisandro Russian")</f>
        <v>Lisandro Russian</v>
      </c>
      <c r="R169" s="19" t="str">
        <f ca="1">IFERROR(__xludf.DUMMYFUNCTION("""COMPUTED_VALUE"""),"Andrea Cifuentes Navas")</f>
        <v>Andrea Cifuentes Navas</v>
      </c>
      <c r="S169" s="20" t="str">
        <f ca="1">IFERROR(__xludf.DUMMYFUNCTION("""COMPUTED_VALUE"""),"03 ORL")</f>
        <v>03 ORL</v>
      </c>
      <c r="T169" s="6" t="str">
        <f ca="1">IFERROR(__xludf.DUMMYFUNCTION("""COMPUTED_VALUE"""),"06 ORL")</f>
        <v>06 ORL</v>
      </c>
      <c r="U169" s="21"/>
      <c r="W169" s="21"/>
      <c r="X169" s="21"/>
      <c r="AG169" s="19"/>
      <c r="AJ169" s="19"/>
    </row>
    <row r="170" spans="1:36" ht="16">
      <c r="A170" s="6"/>
      <c r="B170" s="14" t="str">
        <f t="shared" ca="1" si="0"/>
        <v>LRM</v>
      </c>
      <c r="C170" s="23" t="str">
        <f ca="1">IFERROR(__xludf.DUMMYFUNCTION("""COMPUTED_VALUE"""),"LRM153")</f>
        <v>LRM153</v>
      </c>
      <c r="D170" s="6" t="str">
        <f ca="1">IFERROR(__xludf.DUMMYFUNCTION("""COMPUTED_VALUE"""),"ASOCIADOS")</f>
        <v>ASOCIADOS</v>
      </c>
      <c r="E170" s="6">
        <f ca="1">IFERROR(__xludf.DUMMYFUNCTION("""COMPUTED_VALUE"""),2026)</f>
        <v>2026</v>
      </c>
      <c r="F170" s="15">
        <f ca="1">IFERROR(__xludf.DUMMYFUNCTION("""COMPUTED_VALUE"""),2)</f>
        <v>2</v>
      </c>
      <c r="G170" s="6" t="str">
        <f ca="1">IFERROR(__xludf.DUMMYFUNCTION("""COMPUTED_VALUE"""),"Cáceres")</f>
        <v>Cáceres</v>
      </c>
      <c r="H170" s="6" t="str">
        <f ca="1">IFERROR(__xludf.DUMMYFUNCTION("""COMPUTED_VALUE"""),"C202612317185580520")</f>
        <v>C202612317185580520</v>
      </c>
      <c r="I170" s="6" t="str">
        <f ca="1">IFERROR(__xludf.DUMMYFUNCTION("""COMPUTED_VALUE"""),"MANUELA GOMEZ FERNANDEZ")</f>
        <v>MANUELA GOMEZ FERNANDEZ</v>
      </c>
      <c r="J170" s="16">
        <f ca="1">IFERROR(__xludf.DUMMYFUNCTION("""COMPUTED_VALUE"""),46045)</f>
        <v>46045</v>
      </c>
      <c r="K170" s="6" t="str">
        <f ca="1">IFERROR(__xludf.DUMMYFUNCTION("""COMPUTED_VALUE"""),"Factura audífonos")</f>
        <v>Factura audífonos</v>
      </c>
      <c r="L170" s="16">
        <f ca="1">IFERROR(__xludf.DUMMYFUNCTION("""COMPUTED_VALUE"""),46066)</f>
        <v>46066</v>
      </c>
      <c r="M170" s="6" t="str">
        <f ca="1">IFERROR(__xludf.DUMMYFUNCTION("""COMPUTED_VALUE"""),"NO")</f>
        <v>NO</v>
      </c>
      <c r="N170" s="15">
        <f ca="1">IFERROR(__xludf.DUMMYFUNCTION("""COMPUTED_VALUE"""),2)</f>
        <v>2</v>
      </c>
      <c r="O170" s="6" t="str">
        <f ca="1">IFERROR(__xludf.DUMMYFUNCTION("""COMPUTED_VALUE"""),"QUIET")</f>
        <v>QUIET</v>
      </c>
      <c r="P170" s="18">
        <f ca="1">IFERROR(__xludf.DUMMYFUNCTION("""COMPUTED_VALUE"""),3554.55)</f>
        <v>3554.55</v>
      </c>
      <c r="Q170" s="6" t="str">
        <f ca="1">IFERROR(__xludf.DUMMYFUNCTION("""COMPUTED_VALUE"""),"Lisandro Russian")</f>
        <v>Lisandro Russian</v>
      </c>
      <c r="R170" s="19" t="str">
        <f ca="1">IFERROR(__xludf.DUMMYFUNCTION("""COMPUTED_VALUE"""),"Daniela Carolina Laguado Bulgheroni")</f>
        <v>Daniela Carolina Laguado Bulgheroni</v>
      </c>
      <c r="S170" s="20" t="str">
        <f ca="1">IFERROR(__xludf.DUMMYFUNCTION("""COMPUTED_VALUE"""),"03 ORL")</f>
        <v>03 ORL</v>
      </c>
      <c r="T170" s="6" t="str">
        <f ca="1">IFERROR(__xludf.DUMMYFUNCTION("""COMPUTED_VALUE"""),"06 ORL")</f>
        <v>06 ORL</v>
      </c>
      <c r="U170" s="21"/>
      <c r="W170" s="21"/>
      <c r="X170" s="21"/>
      <c r="AG170" s="19"/>
    </row>
    <row r="171" spans="1:36" ht="16">
      <c r="A171" s="6"/>
      <c r="B171" s="14" t="str">
        <f t="shared" ca="1" si="0"/>
        <v>LRM</v>
      </c>
      <c r="C171" s="23" t="str">
        <f ca="1">IFERROR(__xludf.DUMMYFUNCTION("""COMPUTED_VALUE"""),"LRM253")</f>
        <v>LRM253</v>
      </c>
      <c r="D171" s="6" t="str">
        <f ca="1">IFERROR(__xludf.DUMMYFUNCTION("""COMPUTED_VALUE"""),"ASOCIADOS")</f>
        <v>ASOCIADOS</v>
      </c>
      <c r="E171" s="6">
        <f ca="1">IFERROR(__xludf.DUMMYFUNCTION("""COMPUTED_VALUE"""),2026)</f>
        <v>2026</v>
      </c>
      <c r="F171" s="15">
        <f ca="1">IFERROR(__xludf.DUMMYFUNCTION("""COMPUTED_VALUE"""),2)</f>
        <v>2</v>
      </c>
      <c r="G171" s="6" t="str">
        <f ca="1">IFERROR(__xludf.DUMMYFUNCTION("""COMPUTED_VALUE"""),"Cáceres")</f>
        <v>Cáceres</v>
      </c>
      <c r="H171" s="6" t="str">
        <f ca="1">IFERROR(__xludf.DUMMYFUNCTION("""COMPUTED_VALUE"""),"C202611516415571807")</f>
        <v>C202611516415571807</v>
      </c>
      <c r="I171" s="6" t="str">
        <f ca="1">IFERROR(__xludf.DUMMYFUNCTION("""COMPUTED_VALUE"""),"MARIA DEL CARMEN MANZANO GOMEZ")</f>
        <v>MARIA DEL CARMEN MANZANO GOMEZ</v>
      </c>
      <c r="J171" s="16">
        <f ca="1">IFERROR(__xludf.DUMMYFUNCTION("""COMPUTED_VALUE"""),46037)</f>
        <v>46037</v>
      </c>
      <c r="K171" s="6" t="str">
        <f ca="1">IFERROR(__xludf.DUMMYFUNCTION("""COMPUTED_VALUE"""),"Factura audífonos")</f>
        <v>Factura audífonos</v>
      </c>
      <c r="L171" s="16">
        <f ca="1">IFERROR(__xludf.DUMMYFUNCTION("""COMPUTED_VALUE"""),46066)</f>
        <v>46066</v>
      </c>
      <c r="M171" s="6" t="str">
        <f ca="1">IFERROR(__xludf.DUMMYFUNCTION("""COMPUTED_VALUE"""),"NO")</f>
        <v>NO</v>
      </c>
      <c r="N171" s="15">
        <f ca="1">IFERROR(__xludf.DUMMYFUNCTION("""COMPUTED_VALUE"""),2)</f>
        <v>2</v>
      </c>
      <c r="O171" s="6" t="str">
        <f ca="1">IFERROR(__xludf.DUMMYFUNCTION("""COMPUTED_VALUE"""),"ADVANCED")</f>
        <v>ADVANCED</v>
      </c>
      <c r="P171" s="19">
        <f ca="1">IFERROR(__xludf.DUMMYFUNCTION("""COMPUTED_VALUE"""),4500)</f>
        <v>4500</v>
      </c>
      <c r="Q171" s="6" t="str">
        <f ca="1">IFERROR(__xludf.DUMMYFUNCTION("""COMPUTED_VALUE"""),"Lisandro Russian")</f>
        <v>Lisandro Russian</v>
      </c>
      <c r="R171" s="19" t="str">
        <f ca="1">IFERROR(__xludf.DUMMYFUNCTION("""COMPUTED_VALUE"""),"Marta García Jiménez")</f>
        <v>Marta García Jiménez</v>
      </c>
      <c r="S171" s="20" t="str">
        <f ca="1">IFERROR(__xludf.DUMMYFUNCTION("""COMPUTED_VALUE"""),"03 ORL")</f>
        <v>03 ORL</v>
      </c>
      <c r="T171" s="6" t="str">
        <f ca="1">IFERROR(__xludf.DUMMYFUNCTION("""COMPUTED_VALUE"""),"06 ORL")</f>
        <v>06 ORL</v>
      </c>
      <c r="U171" s="21"/>
      <c r="W171" s="21"/>
      <c r="X171" s="21"/>
      <c r="AE171" s="1"/>
      <c r="AG171" s="19"/>
      <c r="AJ171" s="19"/>
    </row>
    <row r="172" spans="1:36" ht="16">
      <c r="A172" s="6"/>
      <c r="B172" s="14" t="str">
        <f t="shared" ca="1" si="0"/>
        <v>ISL</v>
      </c>
      <c r="C172" s="23" t="str">
        <f ca="1">IFERROR(__xludf.DUMMYFUNCTION("""COMPUTED_VALUE"""),"ISL123")</f>
        <v>ISL123</v>
      </c>
      <c r="D172" s="6" t="str">
        <f ca="1">IFERROR(__xludf.DUMMYFUNCTION("""COMPUTED_VALUE"""),"PROPIOS")</f>
        <v>PROPIOS</v>
      </c>
      <c r="E172" s="6">
        <f ca="1">IFERROR(__xludf.DUMMYFUNCTION("""COMPUTED_VALUE"""),2026)</f>
        <v>2026</v>
      </c>
      <c r="F172" s="15">
        <f ca="1">IFERROR(__xludf.DUMMYFUNCTION("""COMPUTED_VALUE"""),2)</f>
        <v>2</v>
      </c>
      <c r="G172" s="6" t="str">
        <f ca="1">IFERROR(__xludf.DUMMYFUNCTION("""COMPUTED_VALUE"""),"San Javier")</f>
        <v>San Javier</v>
      </c>
      <c r="H172" s="6" t="str">
        <f ca="1">IFERROR(__xludf.DUMMYFUNCTION("""COMPUTED_VALUE"""),"C202512249291842480")</f>
        <v>C202512249291842480</v>
      </c>
      <c r="I172" s="6" t="str">
        <f ca="1">IFERROR(__xludf.DUMMYFUNCTION("""COMPUTED_VALUE"""),"ABDESSLEM TAHROUCHT EDDEAIF")</f>
        <v>ABDESSLEM TAHROUCHT EDDEAIF</v>
      </c>
      <c r="J172" s="16">
        <f ca="1">IFERROR(__xludf.DUMMYFUNCTION("""COMPUTED_VALUE"""),46015)</f>
        <v>46015</v>
      </c>
      <c r="K172" s="6" t="str">
        <f ca="1">IFERROR(__xludf.DUMMYFUNCTION("""COMPUTED_VALUE"""),"Factura audífonos")</f>
        <v>Factura audífonos</v>
      </c>
      <c r="L172" s="16">
        <f ca="1">IFERROR(__xludf.DUMMYFUNCTION("""COMPUTED_VALUE"""),46066)</f>
        <v>46066</v>
      </c>
      <c r="M172" s="6" t="str">
        <f ca="1">IFERROR(__xludf.DUMMYFUNCTION("""COMPUTED_VALUE"""),"NO")</f>
        <v>NO</v>
      </c>
      <c r="N172" s="15">
        <f ca="1">IFERROR(__xludf.DUMMYFUNCTION("""COMPUTED_VALUE"""),1)</f>
        <v>1</v>
      </c>
      <c r="O172" s="6" t="str">
        <f ca="1">IFERROR(__xludf.DUMMYFUNCTION("""COMPUTED_VALUE"""),"QUIET")</f>
        <v>QUIET</v>
      </c>
      <c r="P172" s="19">
        <f ca="1">IFERROR(__xludf.DUMMYFUNCTION("""COMPUTED_VALUE"""),1631.82)</f>
        <v>1631.82</v>
      </c>
      <c r="Q172" s="6" t="str">
        <f ca="1">IFERROR(__xludf.DUMMYFUNCTION("""COMPUTED_VALUE"""),"Iván Sánchez")</f>
        <v>Iván Sánchez</v>
      </c>
      <c r="R172" s="19" t="str">
        <f ca="1">IFERROR(__xludf.DUMMYFUNCTION("""COMPUTED_VALUE"""),"María Teresa Almela Rojo")</f>
        <v>María Teresa Almela Rojo</v>
      </c>
      <c r="S172" s="20" t="str">
        <f ca="1">IFERROR(__xludf.DUMMYFUNCTION("""COMPUTED_VALUE"""),"03 ORL")</f>
        <v>03 ORL</v>
      </c>
      <c r="T172" s="6" t="str">
        <f ca="1">IFERROR(__xludf.DUMMYFUNCTION("""COMPUTED_VALUE"""),"06 ORL")</f>
        <v>06 ORL</v>
      </c>
      <c r="U172" s="21"/>
      <c r="W172" s="21"/>
      <c r="X172" s="21"/>
      <c r="AG172" s="19"/>
      <c r="AJ172" s="19"/>
    </row>
    <row r="173" spans="1:36" ht="16">
      <c r="A173" s="6"/>
      <c r="B173" s="14" t="str">
        <f t="shared" ca="1" si="0"/>
        <v>LRM</v>
      </c>
      <c r="C173" s="23" t="str">
        <f ca="1">IFERROR(__xludf.DUMMYFUNCTION("""COMPUTED_VALUE"""),"LRM39")</f>
        <v>LRM39</v>
      </c>
      <c r="D173" s="6" t="str">
        <f ca="1">IFERROR(__xludf.DUMMYFUNCTION("""COMPUTED_VALUE"""),"PROPIOS")</f>
        <v>PROPIOS</v>
      </c>
      <c r="E173" s="6">
        <f ca="1">IFERROR(__xludf.DUMMYFUNCTION("""COMPUTED_VALUE"""),2026)</f>
        <v>2026</v>
      </c>
      <c r="F173" s="15">
        <f ca="1">IFERROR(__xludf.DUMMYFUNCTION("""COMPUTED_VALUE"""),2)</f>
        <v>2</v>
      </c>
      <c r="G173" s="6" t="str">
        <f ca="1">IFERROR(__xludf.DUMMYFUNCTION("""COMPUTED_VALUE"""),"Logroño")</f>
        <v>Logroño</v>
      </c>
      <c r="H173" s="6" t="str">
        <f ca="1">IFERROR(__xludf.DUMMYFUNCTION("""COMPUTED_VALUE"""),"C20262485022588916")</f>
        <v>C20262485022588916</v>
      </c>
      <c r="I173" s="6" t="str">
        <f ca="1">IFERROR(__xludf.DUMMYFUNCTION("""COMPUTED_VALUE"""),"MARIA SANTOS ZORZANO AROSTEGUI")</f>
        <v>MARIA SANTOS ZORZANO AROSTEGUI</v>
      </c>
      <c r="J173" s="16">
        <f ca="1">IFERROR(__xludf.DUMMYFUNCTION("""COMPUTED_VALUE"""),46057)</f>
        <v>46057</v>
      </c>
      <c r="K173" s="6" t="str">
        <f ca="1">IFERROR(__xludf.DUMMYFUNCTION("""COMPUTED_VALUE"""),"Factura audífonos")</f>
        <v>Factura audífonos</v>
      </c>
      <c r="L173" s="16">
        <f ca="1">IFERROR(__xludf.DUMMYFUNCTION("""COMPUTED_VALUE"""),46066)</f>
        <v>46066</v>
      </c>
      <c r="M173" s="6" t="str">
        <f ca="1">IFERROR(__xludf.DUMMYFUNCTION("""COMPUTED_VALUE"""),"NO")</f>
        <v>NO</v>
      </c>
      <c r="N173" s="15">
        <f ca="1">IFERROR(__xludf.DUMMYFUNCTION("""COMPUTED_VALUE"""),2)</f>
        <v>2</v>
      </c>
      <c r="O173" s="6" t="str">
        <f ca="1">IFERROR(__xludf.DUMMYFUNCTION("""COMPUTED_VALUE"""),"CONFORT")</f>
        <v>CONFORT</v>
      </c>
      <c r="P173" s="19">
        <f ca="1">IFERROR(__xludf.DUMMYFUNCTION("""COMPUTED_VALUE"""),3631.82)</f>
        <v>3631.82</v>
      </c>
      <c r="Q173" s="6" t="str">
        <f ca="1">IFERROR(__xludf.DUMMYFUNCTION("""COMPUTED_VALUE"""),"Lisandro Russian")</f>
        <v>Lisandro Russian</v>
      </c>
      <c r="R173" s="19" t="str">
        <f ca="1">IFERROR(__xludf.DUMMYFUNCTION("""COMPUTED_VALUE"""),"Fernando Salazar Barcelona")</f>
        <v>Fernando Salazar Barcelona</v>
      </c>
      <c r="S173" s="20" t="str">
        <f ca="1">IFERROR(__xludf.DUMMYFUNCTION("""COMPUTED_VALUE"""),"03 ORL")</f>
        <v>03 ORL</v>
      </c>
      <c r="T173" s="6" t="str">
        <f ca="1">IFERROR(__xludf.DUMMYFUNCTION("""COMPUTED_VALUE"""),"06 ORL")</f>
        <v>06 ORL</v>
      </c>
      <c r="U173" s="21"/>
      <c r="W173" s="21"/>
      <c r="X173" s="21"/>
      <c r="AG173" s="19"/>
      <c r="AJ173" s="19"/>
    </row>
    <row r="174" spans="1:36" ht="16">
      <c r="A174" s="6"/>
      <c r="B174" s="14" t="str">
        <f t="shared" ca="1" si="0"/>
        <v>MBM</v>
      </c>
      <c r="C174" s="23" t="str">
        <f ca="1">IFERROR(__xludf.DUMMYFUNCTION("""COMPUTED_VALUE"""),"MBM225")</f>
        <v>MBM225</v>
      </c>
      <c r="D174" s="6" t="str">
        <f ca="1">IFERROR(__xludf.DUMMYFUNCTION("""COMPUTED_VALUE"""),"PROPIOS")</f>
        <v>PROPIOS</v>
      </c>
      <c r="E174" s="6">
        <f ca="1">IFERROR(__xludf.DUMMYFUNCTION("""COMPUTED_VALUE"""),2026)</f>
        <v>2026</v>
      </c>
      <c r="F174" s="15">
        <f ca="1">IFERROR(__xludf.DUMMYFUNCTION("""COMPUTED_VALUE"""),2)</f>
        <v>2</v>
      </c>
      <c r="G174" s="6" t="str">
        <f ca="1">IFERROR(__xludf.DUMMYFUNCTION("""COMPUTED_VALUE"""),"Fuenlabrada")</f>
        <v>Fuenlabrada</v>
      </c>
      <c r="H174" s="6" t="str">
        <f ca="1">IFERROR(__xludf.DUMMYFUNCTION("""COMPUTED_VALUE"""),"C202611417553390982")</f>
        <v>C202611417553390982</v>
      </c>
      <c r="I174" s="6" t="str">
        <f ca="1">IFERROR(__xludf.DUMMYFUNCTION("""COMPUTED_VALUE"""),"RAFAEL DIEZ GARCÍA")</f>
        <v>RAFAEL DIEZ GARCÍA</v>
      </c>
      <c r="J174" s="16">
        <f ca="1">IFERROR(__xludf.DUMMYFUNCTION("""COMPUTED_VALUE"""),46036)</f>
        <v>46036</v>
      </c>
      <c r="K174" s="6" t="str">
        <f ca="1">IFERROR(__xludf.DUMMYFUNCTION("""COMPUTED_VALUE"""),"Factura audífonos")</f>
        <v>Factura audífonos</v>
      </c>
      <c r="L174" s="16">
        <f ca="1">IFERROR(__xludf.DUMMYFUNCTION("""COMPUTED_VALUE"""),46066)</f>
        <v>46066</v>
      </c>
      <c r="M174" s="6" t="str">
        <f ca="1">IFERROR(__xludf.DUMMYFUNCTION("""COMPUTED_VALUE"""),"NO")</f>
        <v>NO</v>
      </c>
      <c r="N174" s="15">
        <f ca="1">IFERROR(__xludf.DUMMYFUNCTION("""COMPUTED_VALUE"""),2)</f>
        <v>2</v>
      </c>
      <c r="O174" s="6" t="str">
        <f ca="1">IFERROR(__xludf.DUMMYFUNCTION("""COMPUTED_VALUE"""),"CONFORT")</f>
        <v>CONFORT</v>
      </c>
      <c r="P174" s="18">
        <f ca="1">IFERROR(__xludf.DUMMYFUNCTION("""COMPUTED_VALUE"""),3631.82)</f>
        <v>3631.82</v>
      </c>
      <c r="Q174" s="6" t="str">
        <f ca="1">IFERROR(__xludf.DUMMYFUNCTION("""COMPUTED_VALUE"""),"Maika Blázquez")</f>
        <v>Maika Blázquez</v>
      </c>
      <c r="R174" s="19" t="str">
        <f ca="1">IFERROR(__xludf.DUMMYFUNCTION("""COMPUTED_VALUE"""),"Fabio Fernández Mateos")</f>
        <v>Fabio Fernández Mateos</v>
      </c>
      <c r="S174" s="20" t="str">
        <f ca="1">IFERROR(__xludf.DUMMYFUNCTION("""COMPUTED_VALUE"""),"03 ORL")</f>
        <v>03 ORL</v>
      </c>
      <c r="T174" s="6" t="str">
        <f ca="1">IFERROR(__xludf.DUMMYFUNCTION("""COMPUTED_VALUE"""),"06 ORL")</f>
        <v>06 ORL</v>
      </c>
      <c r="U174" s="21"/>
      <c r="W174" s="21"/>
      <c r="X174" s="21"/>
      <c r="AG174" s="19"/>
    </row>
    <row r="175" spans="1:36" ht="16">
      <c r="A175" s="6"/>
      <c r="B175" s="14" t="str">
        <f t="shared" ca="1" si="0"/>
        <v>LAA</v>
      </c>
      <c r="C175" s="23" t="str">
        <f ca="1">IFERROR(__xludf.DUMMYFUNCTION("""COMPUTED_VALUE"""),"LAA85")</f>
        <v>LAA85</v>
      </c>
      <c r="D175" s="6" t="str">
        <f ca="1">IFERROR(__xludf.DUMMYFUNCTION("""COMPUTED_VALUE"""),"PROPIOS")</f>
        <v>PROPIOS</v>
      </c>
      <c r="E175" s="6">
        <f ca="1">IFERROR(__xludf.DUMMYFUNCTION("""COMPUTED_VALUE"""),2026)</f>
        <v>2026</v>
      </c>
      <c r="F175" s="15">
        <f ca="1">IFERROR(__xludf.DUMMYFUNCTION("""COMPUTED_VALUE"""),2)</f>
        <v>2</v>
      </c>
      <c r="G175" s="6" t="str">
        <f ca="1">IFERROR(__xludf.DUMMYFUNCTION("""COMPUTED_VALUE"""),"Sevilla- Montoto")</f>
        <v>Sevilla- Montoto</v>
      </c>
      <c r="H175" s="6" t="str">
        <f ca="1">IFERROR(__xludf.DUMMYFUNCTION("""COMPUTED_VALUE"""),"C202512109102071586")</f>
        <v>C202512109102071586</v>
      </c>
      <c r="I175" s="6" t="str">
        <f ca="1">IFERROR(__xludf.DUMMYFUNCTION("""COMPUTED_VALUE"""),"CLAUDIA ATENEA PEREZ PACHECO")</f>
        <v>CLAUDIA ATENEA PEREZ PACHECO</v>
      </c>
      <c r="J175" s="16">
        <f ca="1">IFERROR(__xludf.DUMMYFUNCTION("""COMPUTED_VALUE"""),46001)</f>
        <v>46001</v>
      </c>
      <c r="K175" s="6" t="str">
        <f ca="1">IFERROR(__xludf.DUMMYFUNCTION("""COMPUTED_VALUE"""),"Factura audífonos")</f>
        <v>Factura audífonos</v>
      </c>
      <c r="L175" s="16">
        <f ca="1">IFERROR(__xludf.DUMMYFUNCTION("""COMPUTED_VALUE"""),46066)</f>
        <v>46066</v>
      </c>
      <c r="M175" s="6" t="str">
        <f ca="1">IFERROR(__xludf.DUMMYFUNCTION("""COMPUTED_VALUE"""),"NO")</f>
        <v>NO</v>
      </c>
      <c r="N175" s="15">
        <f ca="1">IFERROR(__xludf.DUMMYFUNCTION("""COMPUTED_VALUE"""),1)</f>
        <v>1</v>
      </c>
      <c r="O175" s="6" t="str">
        <f ca="1">IFERROR(__xludf.DUMMYFUNCTION("""COMPUTED_VALUE"""),"PRO")</f>
        <v>PRO</v>
      </c>
      <c r="P175" s="18">
        <f ca="1">IFERROR(__xludf.DUMMYFUNCTION("""COMPUTED_VALUE"""),2722.73)</f>
        <v>2722.73</v>
      </c>
      <c r="Q175" s="6" t="str">
        <f ca="1">IFERROR(__xludf.DUMMYFUNCTION("""COMPUTED_VALUE"""),"Luis Alberto Rodríguez")</f>
        <v>Luis Alberto Rodríguez</v>
      </c>
      <c r="R175" s="19" t="str">
        <f ca="1">IFERROR(__xludf.DUMMYFUNCTION("""COMPUTED_VALUE"""),"Antonio Medinilla Vallejo")</f>
        <v>Antonio Medinilla Vallejo</v>
      </c>
      <c r="S175" s="20" t="str">
        <f ca="1">IFERROR(__xludf.DUMMYFUNCTION("""COMPUTED_VALUE"""),"01 MARKETING ON LINE")</f>
        <v>01 MARKETING ON LINE</v>
      </c>
      <c r="T175" s="6" t="str">
        <f ca="1">IFERROR(__xludf.DUMMYFUNCTION("""COMPUTED_VALUE"""),"01 WEB AUDICOST")</f>
        <v>01 WEB AUDICOST</v>
      </c>
      <c r="U175" s="21"/>
      <c r="W175" s="21"/>
      <c r="X175" s="21"/>
      <c r="AG175" s="19"/>
      <c r="AJ175" s="19"/>
    </row>
    <row r="176" spans="1:36" ht="16">
      <c r="A176" s="6"/>
      <c r="B176" s="14" t="str">
        <f t="shared" ca="1" si="0"/>
        <v>MBM</v>
      </c>
      <c r="C176" s="23" t="str">
        <f ca="1">IFERROR(__xludf.DUMMYFUNCTION("""COMPUTED_VALUE"""),"MBM52")</f>
        <v>MBM52</v>
      </c>
      <c r="D176" s="6" t="str">
        <f ca="1">IFERROR(__xludf.DUMMYFUNCTION("""COMPUTED_VALUE"""),"PARTICIPADOS")</f>
        <v>PARTICIPADOS</v>
      </c>
      <c r="E176" s="6">
        <f ca="1">IFERROR(__xludf.DUMMYFUNCTION("""COMPUTED_VALUE"""),2026)</f>
        <v>2026</v>
      </c>
      <c r="F176" s="15">
        <f ca="1">IFERROR(__xludf.DUMMYFUNCTION("""COMPUTED_VALUE"""),2)</f>
        <v>2</v>
      </c>
      <c r="G176" s="6" t="str">
        <f ca="1">IFERROR(__xludf.DUMMYFUNCTION("""COMPUTED_VALUE"""),"Madrid- La Oca")</f>
        <v>Madrid- La Oca</v>
      </c>
      <c r="H176" s="6" t="str">
        <f ca="1">IFERROR(__xludf.DUMMYFUNCTION("""COMPUTED_VALUE"""),"C202611211324742365")</f>
        <v>C202611211324742365</v>
      </c>
      <c r="I176" s="6" t="str">
        <f ca="1">IFERROR(__xludf.DUMMYFUNCTION("""COMPUTED_VALUE"""),"ANA MARIA  HERRERO MARTIN")</f>
        <v>ANA MARIA  HERRERO MARTIN</v>
      </c>
      <c r="J176" s="16">
        <f ca="1">IFERROR(__xludf.DUMMYFUNCTION("""COMPUTED_VALUE"""),46034)</f>
        <v>46034</v>
      </c>
      <c r="K176" s="6" t="str">
        <f ca="1">IFERROR(__xludf.DUMMYFUNCTION("""COMPUTED_VALUE"""),"Factura audífonos")</f>
        <v>Factura audífonos</v>
      </c>
      <c r="L176" s="16">
        <f ca="1">IFERROR(__xludf.DUMMYFUNCTION("""COMPUTED_VALUE"""),46069)</f>
        <v>46069</v>
      </c>
      <c r="M176" s="6" t="str">
        <f ca="1">IFERROR(__xludf.DUMMYFUNCTION("""COMPUTED_VALUE"""),"NO")</f>
        <v>NO</v>
      </c>
      <c r="N176" s="15">
        <f ca="1">IFERROR(__xludf.DUMMYFUNCTION("""COMPUTED_VALUE"""),2)</f>
        <v>2</v>
      </c>
      <c r="O176" s="6" t="str">
        <f ca="1">IFERROR(__xludf.DUMMYFUNCTION("""COMPUTED_VALUE"""),"CONFORT")</f>
        <v>CONFORT</v>
      </c>
      <c r="P176" s="18">
        <f ca="1">IFERROR(__xludf.DUMMYFUNCTION("""COMPUTED_VALUE"""),3631.82)</f>
        <v>3631.82</v>
      </c>
      <c r="Q176" s="6" t="str">
        <f ca="1">IFERROR(__xludf.DUMMYFUNCTION("""COMPUTED_VALUE"""),"Maika Blázquez")</f>
        <v>Maika Blázquez</v>
      </c>
      <c r="R176" s="19" t="str">
        <f ca="1">IFERROR(__xludf.DUMMYFUNCTION("""COMPUTED_VALUE"""),"José Joaquín Gutiérrez Barquín")</f>
        <v>José Joaquín Gutiérrez Barquín</v>
      </c>
      <c r="S176" s="20" t="str">
        <f ca="1">IFERROR(__xludf.DUMMYFUNCTION("""COMPUTED_VALUE"""),"03 ORL")</f>
        <v>03 ORL</v>
      </c>
      <c r="T176" s="6" t="str">
        <f ca="1">IFERROR(__xludf.DUMMYFUNCTION("""COMPUTED_VALUE"""),"06 ORL")</f>
        <v>06 ORL</v>
      </c>
      <c r="U176" s="21"/>
      <c r="W176" s="21"/>
      <c r="X176" s="21"/>
      <c r="AG176" s="19"/>
      <c r="AJ176" s="19"/>
    </row>
    <row r="177" spans="1:36" ht="16">
      <c r="A177" s="6"/>
      <c r="B177" s="14" t="str">
        <f t="shared" ca="1" si="0"/>
        <v>RFV</v>
      </c>
      <c r="C177" s="23" t="str">
        <f ca="1">IFERROR(__xludf.DUMMYFUNCTION("""COMPUTED_VALUE"""),"RFV38")</f>
        <v>RFV38</v>
      </c>
      <c r="D177" s="6" t="str">
        <f ca="1">IFERROR(__xludf.DUMMYFUNCTION("""COMPUTED_VALUE"""),"PROPIOS")</f>
        <v>PROPIOS</v>
      </c>
      <c r="E177" s="6">
        <f ca="1">IFERROR(__xludf.DUMMYFUNCTION("""COMPUTED_VALUE"""),2026)</f>
        <v>2026</v>
      </c>
      <c r="F177" s="15">
        <f ca="1">IFERROR(__xludf.DUMMYFUNCTION("""COMPUTED_VALUE"""),2)</f>
        <v>2</v>
      </c>
      <c r="G177" s="6" t="str">
        <f ca="1">IFERROR(__xludf.DUMMYFUNCTION("""COMPUTED_VALUE"""),"El Albir (Benidorm)")</f>
        <v>El Albir (Benidorm)</v>
      </c>
      <c r="H177" s="6" t="str">
        <f ca="1">IFERROR(__xludf.DUMMYFUNCTION("""COMPUTED_VALUE"""),"C202611316565194107")</f>
        <v>C202611316565194107</v>
      </c>
      <c r="I177" s="6" t="str">
        <f ca="1">IFERROR(__xludf.DUMMYFUNCTION("""COMPUTED_VALUE"""),"FRANCISCO JAVIER  FREIJIDO BREA")</f>
        <v>FRANCISCO JAVIER  FREIJIDO BREA</v>
      </c>
      <c r="J177" s="16">
        <f ca="1">IFERROR(__xludf.DUMMYFUNCTION("""COMPUTED_VALUE"""),46035)</f>
        <v>46035</v>
      </c>
      <c r="K177" s="6" t="str">
        <f ca="1">IFERROR(__xludf.DUMMYFUNCTION("""COMPUTED_VALUE"""),"Factura audífonos")</f>
        <v>Factura audífonos</v>
      </c>
      <c r="L177" s="16">
        <f ca="1">IFERROR(__xludf.DUMMYFUNCTION("""COMPUTED_VALUE"""),46069)</f>
        <v>46069</v>
      </c>
      <c r="M177" s="6" t="str">
        <f ca="1">IFERROR(__xludf.DUMMYFUNCTION("""COMPUTED_VALUE"""),"NO")</f>
        <v>NO</v>
      </c>
      <c r="N177" s="15">
        <f ca="1">IFERROR(__xludf.DUMMYFUNCTION("""COMPUTED_VALUE"""),2)</f>
        <v>2</v>
      </c>
      <c r="O177" s="6" t="str">
        <f ca="1">IFERROR(__xludf.DUMMYFUNCTION("""COMPUTED_VALUE"""),"QUIET")</f>
        <v>QUIET</v>
      </c>
      <c r="P177" s="19">
        <f ca="1">IFERROR(__xludf.DUMMYFUNCTION("""COMPUTED_VALUE"""),2718.18)</f>
        <v>2718.18</v>
      </c>
      <c r="Q177" s="6" t="str">
        <f ca="1">IFERROR(__xludf.DUMMYFUNCTION("""COMPUTED_VALUE"""),"Ramon Ferrando")</f>
        <v>Ramon Ferrando</v>
      </c>
      <c r="R177" s="19" t="str">
        <f ca="1">IFERROR(__xludf.DUMMYFUNCTION("""COMPUTED_VALUE"""),"María Emilia García Ruiz")</f>
        <v>María Emilia García Ruiz</v>
      </c>
      <c r="S177" s="20" t="str">
        <f ca="1">IFERROR(__xludf.DUMMYFUNCTION("""COMPUTED_VALUE"""),"04 TIENDA")</f>
        <v>04 TIENDA</v>
      </c>
      <c r="T177" s="6" t="str">
        <f ca="1">IFERROR(__xludf.DUMMYFUNCTION("""COMPUTED_VALUE"""),"07 BOCA/BOCA")</f>
        <v>07 BOCA/BOCA</v>
      </c>
      <c r="U177" s="21"/>
      <c r="W177" s="21"/>
      <c r="X177" s="21"/>
      <c r="AG177" s="19"/>
      <c r="AJ177" s="19"/>
    </row>
    <row r="178" spans="1:36" ht="16">
      <c r="A178" s="6"/>
      <c r="B178" s="14" t="str">
        <f t="shared" ca="1" si="0"/>
        <v>LRM</v>
      </c>
      <c r="C178" s="23" t="str">
        <f ca="1">IFERROR(__xludf.DUMMYFUNCTION("""COMPUTED_VALUE"""),"LRM253")</f>
        <v>LRM253</v>
      </c>
      <c r="D178" s="6" t="str">
        <f ca="1">IFERROR(__xludf.DUMMYFUNCTION("""COMPUTED_VALUE"""),"ASOCIADOS")</f>
        <v>ASOCIADOS</v>
      </c>
      <c r="E178" s="6">
        <f ca="1">IFERROR(__xludf.DUMMYFUNCTION("""COMPUTED_VALUE"""),2026)</f>
        <v>2026</v>
      </c>
      <c r="F178" s="15">
        <f ca="1">IFERROR(__xludf.DUMMYFUNCTION("""COMPUTED_VALUE"""),2)</f>
        <v>2</v>
      </c>
      <c r="G178" s="6" t="str">
        <f ca="1">IFERROR(__xludf.DUMMYFUNCTION("""COMPUTED_VALUE"""),"Cáceres")</f>
        <v>Cáceres</v>
      </c>
      <c r="H178" s="6" t="str">
        <f ca="1">IFERROR(__xludf.DUMMYFUNCTION("""COMPUTED_VALUE"""),"C20261131866025031")</f>
        <v>C20261131866025031</v>
      </c>
      <c r="I178" s="6" t="str">
        <f ca="1">IFERROR(__xludf.DUMMYFUNCTION("""COMPUTED_VALUE"""),"ISABEL PALACIN LEAL")</f>
        <v>ISABEL PALACIN LEAL</v>
      </c>
      <c r="J178" s="16">
        <f ca="1">IFERROR(__xludf.DUMMYFUNCTION("""COMPUTED_VALUE"""),46035)</f>
        <v>46035</v>
      </c>
      <c r="K178" s="6" t="str">
        <f ca="1">IFERROR(__xludf.DUMMYFUNCTION("""COMPUTED_VALUE"""),"Factura audífonos")</f>
        <v>Factura audífonos</v>
      </c>
      <c r="L178" s="16">
        <f ca="1">IFERROR(__xludf.DUMMYFUNCTION("""COMPUTED_VALUE"""),46069)</f>
        <v>46069</v>
      </c>
      <c r="M178" s="6" t="str">
        <f ca="1">IFERROR(__xludf.DUMMYFUNCTION("""COMPUTED_VALUE"""),"NO")</f>
        <v>NO</v>
      </c>
      <c r="N178" s="15">
        <f ca="1">IFERROR(__xludf.DUMMYFUNCTION("""COMPUTED_VALUE"""),2)</f>
        <v>2</v>
      </c>
      <c r="O178" s="6" t="str">
        <f ca="1">IFERROR(__xludf.DUMMYFUNCTION("""COMPUTED_VALUE"""),"CONFORT")</f>
        <v>CONFORT</v>
      </c>
      <c r="P178" s="18">
        <f ca="1">IFERROR(__xludf.DUMMYFUNCTION("""COMPUTED_VALUE"""),3940.91)</f>
        <v>3940.91</v>
      </c>
      <c r="Q178" s="6" t="str">
        <f ca="1">IFERROR(__xludf.DUMMYFUNCTION("""COMPUTED_VALUE"""),"Lisandro Russian")</f>
        <v>Lisandro Russian</v>
      </c>
      <c r="R178" s="19" t="str">
        <f ca="1">IFERROR(__xludf.DUMMYFUNCTION("""COMPUTED_VALUE"""),"Marta García Jiménez")</f>
        <v>Marta García Jiménez</v>
      </c>
      <c r="S178" s="20" t="str">
        <f ca="1">IFERROR(__xludf.DUMMYFUNCTION("""COMPUTED_VALUE"""),"03 ORL")</f>
        <v>03 ORL</v>
      </c>
      <c r="T178" s="6" t="str">
        <f ca="1">IFERROR(__xludf.DUMMYFUNCTION("""COMPUTED_VALUE"""),"06 ORL")</f>
        <v>06 ORL</v>
      </c>
      <c r="U178" s="21"/>
      <c r="W178" s="21"/>
      <c r="X178" s="21"/>
      <c r="AG178" s="19"/>
    </row>
    <row r="179" spans="1:36" ht="16">
      <c r="A179" s="6"/>
      <c r="B179" s="14" t="str">
        <f t="shared" si="0"/>
        <v/>
      </c>
      <c r="C179" s="23"/>
      <c r="D179" s="6" t="str">
        <f ca="1">IFERROR(__xludf.DUMMYFUNCTION("""COMPUTED_VALUE"""),"PARTICIPADOS")</f>
        <v>PARTICIPADOS</v>
      </c>
      <c r="E179" s="6">
        <f ca="1">IFERROR(__xludf.DUMMYFUNCTION("""COMPUTED_VALUE"""),2026)</f>
        <v>2026</v>
      </c>
      <c r="F179" s="15">
        <f ca="1">IFERROR(__xludf.DUMMYFUNCTION("""COMPUTED_VALUE"""),2)</f>
        <v>2</v>
      </c>
      <c r="G179" s="6" t="str">
        <f ca="1">IFERROR(__xludf.DUMMYFUNCTION("""COMPUTED_VALUE"""),"Madrid- La Oca")</f>
        <v>Madrid- La Oca</v>
      </c>
      <c r="H179" s="6" t="str">
        <f ca="1">IFERROR(__xludf.DUMMYFUNCTION("""COMPUTED_VALUE"""),"C202611495954073474")</f>
        <v>C202611495954073474</v>
      </c>
      <c r="I179" s="6" t="str">
        <f ca="1">IFERROR(__xludf.DUMMYFUNCTION("""COMPUTED_VALUE"""),"ALFONSO GONZALEZ-NICOLAS JUNCOS")</f>
        <v>ALFONSO GONZALEZ-NICOLAS JUNCOS</v>
      </c>
      <c r="J179" s="16">
        <f ca="1">IFERROR(__xludf.DUMMYFUNCTION("""COMPUTED_VALUE"""),46036)</f>
        <v>46036</v>
      </c>
      <c r="K179" s="6" t="str">
        <f ca="1">IFERROR(__xludf.DUMMYFUNCTION("""COMPUTED_VALUE"""),"Factura audífonos")</f>
        <v>Factura audífonos</v>
      </c>
      <c r="L179" s="16">
        <f ca="1">IFERROR(__xludf.DUMMYFUNCTION("""COMPUTED_VALUE"""),46069)</f>
        <v>46069</v>
      </c>
      <c r="M179" s="6" t="str">
        <f ca="1">IFERROR(__xludf.DUMMYFUNCTION("""COMPUTED_VALUE"""),"NO")</f>
        <v>NO</v>
      </c>
      <c r="N179" s="15">
        <f ca="1">IFERROR(__xludf.DUMMYFUNCTION("""COMPUTED_VALUE"""),2)</f>
        <v>2</v>
      </c>
      <c r="O179" s="6" t="str">
        <f ca="1">IFERROR(__xludf.DUMMYFUNCTION("""COMPUTED_VALUE"""),"ADVANCED")</f>
        <v>ADVANCED</v>
      </c>
      <c r="P179" s="19">
        <f ca="1">IFERROR(__xludf.DUMMYFUNCTION("""COMPUTED_VALUE"""),4136.36)</f>
        <v>4136.3599999999997</v>
      </c>
      <c r="Q179" s="6" t="str">
        <f ca="1">IFERROR(__xludf.DUMMYFUNCTION("""COMPUTED_VALUE"""),"Maika Blázquez")</f>
        <v>Maika Blázquez</v>
      </c>
      <c r="R179" s="19" t="str">
        <f ca="1">IFERROR(__xludf.DUMMYFUNCTION("""COMPUTED_VALUE"""),"No recuerda ORL")</f>
        <v>No recuerda ORL</v>
      </c>
      <c r="S179" s="20" t="str">
        <f ca="1">IFERROR(__xludf.DUMMYFUNCTION("""COMPUTED_VALUE"""),"03 ORL")</f>
        <v>03 ORL</v>
      </c>
      <c r="T179" s="6" t="str">
        <f ca="1">IFERROR(__xludf.DUMMYFUNCTION("""COMPUTED_VALUE"""),"06 ORL")</f>
        <v>06 ORL</v>
      </c>
      <c r="U179" s="21"/>
      <c r="W179" s="21"/>
      <c r="X179" s="21"/>
      <c r="AG179" s="19"/>
      <c r="AJ179" s="19"/>
    </row>
    <row r="180" spans="1:36" ht="16">
      <c r="A180" s="6"/>
      <c r="B180" s="14" t="str">
        <f t="shared" ca="1" si="0"/>
        <v>ISL</v>
      </c>
      <c r="C180" s="23" t="str">
        <f ca="1">IFERROR(__xludf.DUMMYFUNCTION("""COMPUTED_VALUE"""),"ISL84")</f>
        <v>ISL84</v>
      </c>
      <c r="D180" s="6" t="str">
        <f ca="1">IFERROR(__xludf.DUMMYFUNCTION("""COMPUTED_VALUE"""),"PROPIOS")</f>
        <v>PROPIOS</v>
      </c>
      <c r="E180" s="6">
        <f ca="1">IFERROR(__xludf.DUMMYFUNCTION("""COMPUTED_VALUE"""),2026)</f>
        <v>2026</v>
      </c>
      <c r="F180" s="15">
        <f ca="1">IFERROR(__xludf.DUMMYFUNCTION("""COMPUTED_VALUE"""),2)</f>
        <v>2</v>
      </c>
      <c r="G180" s="6" t="str">
        <f ca="1">IFERROR(__xludf.DUMMYFUNCTION("""COMPUTED_VALUE"""),"San Javier")</f>
        <v>San Javier</v>
      </c>
      <c r="H180" s="6" t="str">
        <f ca="1">IFERROR(__xludf.DUMMYFUNCTION("""COMPUTED_VALUE"""),"C202612015135615894")</f>
        <v>C202612015135615894</v>
      </c>
      <c r="I180" s="6" t="str">
        <f ca="1">IFERROR(__xludf.DUMMYFUNCTION("""COMPUTED_VALUE"""),"CARMEN SANCHEZ HERNANDEZ")</f>
        <v>CARMEN SANCHEZ HERNANDEZ</v>
      </c>
      <c r="J180" s="16">
        <f ca="1">IFERROR(__xludf.DUMMYFUNCTION("""COMPUTED_VALUE"""),46042)</f>
        <v>46042</v>
      </c>
      <c r="K180" s="6" t="str">
        <f ca="1">IFERROR(__xludf.DUMMYFUNCTION("""COMPUTED_VALUE"""),"Factura audífonos")</f>
        <v>Factura audífonos</v>
      </c>
      <c r="L180" s="16">
        <f ca="1">IFERROR(__xludf.DUMMYFUNCTION("""COMPUTED_VALUE"""),46069)</f>
        <v>46069</v>
      </c>
      <c r="M180" s="6" t="str">
        <f ca="1">IFERROR(__xludf.DUMMYFUNCTION("""COMPUTED_VALUE"""),"NO")</f>
        <v>NO</v>
      </c>
      <c r="N180" s="15">
        <f ca="1">IFERROR(__xludf.DUMMYFUNCTION("""COMPUTED_VALUE"""),2)</f>
        <v>2</v>
      </c>
      <c r="O180" s="6" t="str">
        <f ca="1">IFERROR(__xludf.DUMMYFUNCTION("""COMPUTED_VALUE"""),"QUIET")</f>
        <v>QUIET</v>
      </c>
      <c r="P180" s="19">
        <f ca="1">IFERROR(__xludf.DUMMYFUNCTION("""COMPUTED_VALUE"""),2718.18)</f>
        <v>2718.18</v>
      </c>
      <c r="Q180" s="6" t="str">
        <f ca="1">IFERROR(__xludf.DUMMYFUNCTION("""COMPUTED_VALUE"""),"Iván Sánchez")</f>
        <v>Iván Sánchez</v>
      </c>
      <c r="R180" s="19" t="str">
        <f ca="1">IFERROR(__xludf.DUMMYFUNCTION("""COMPUTED_VALUE"""),"Alba Molina Moreno")</f>
        <v>Alba Molina Moreno</v>
      </c>
      <c r="S180" s="20" t="str">
        <f ca="1">IFERROR(__xludf.DUMMYFUNCTION("""COMPUTED_VALUE"""),"03 ORL")</f>
        <v>03 ORL</v>
      </c>
      <c r="T180" s="6" t="str">
        <f ca="1">IFERROR(__xludf.DUMMYFUNCTION("""COMPUTED_VALUE"""),"06 ORL")</f>
        <v>06 ORL</v>
      </c>
      <c r="U180" s="21"/>
      <c r="W180" s="21"/>
      <c r="X180" s="21"/>
      <c r="AG180" s="19"/>
      <c r="AJ180" s="19"/>
    </row>
    <row r="181" spans="1:36" ht="16">
      <c r="A181" s="6"/>
      <c r="B181" s="14" t="str">
        <f t="shared" ca="1" si="0"/>
        <v>ISL</v>
      </c>
      <c r="C181" s="23" t="str">
        <f ca="1">IFERROR(__xludf.DUMMYFUNCTION("""COMPUTED_VALUE"""),"ISL130")</f>
        <v>ISL130</v>
      </c>
      <c r="D181" s="6" t="str">
        <f ca="1">IFERROR(__xludf.DUMMYFUNCTION("""COMPUTED_VALUE"""),"PROPIOS")</f>
        <v>PROPIOS</v>
      </c>
      <c r="E181" s="6">
        <f ca="1">IFERROR(__xludf.DUMMYFUNCTION("""COMPUTED_VALUE"""),2026)</f>
        <v>2026</v>
      </c>
      <c r="F181" s="15">
        <f ca="1">IFERROR(__xludf.DUMMYFUNCTION("""COMPUTED_VALUE"""),2)</f>
        <v>2</v>
      </c>
      <c r="G181" s="6" t="str">
        <f ca="1">IFERROR(__xludf.DUMMYFUNCTION("""COMPUTED_VALUE"""),"Orihuela")</f>
        <v>Orihuela</v>
      </c>
      <c r="H181" s="6" t="str">
        <f ca="1">IFERROR(__xludf.DUMMYFUNCTION("""COMPUTED_VALUE"""),"C202611411820969634")</f>
        <v>C202611411820969634</v>
      </c>
      <c r="I181" s="6" t="str">
        <f ca="1">IFERROR(__xludf.DUMMYFUNCTION("""COMPUTED_VALUE"""),"ALEXANDRA CALLEJA CHAMORRO")</f>
        <v>ALEXANDRA CALLEJA CHAMORRO</v>
      </c>
      <c r="J181" s="16">
        <f ca="1">IFERROR(__xludf.DUMMYFUNCTION("""COMPUTED_VALUE"""),46036)</f>
        <v>46036</v>
      </c>
      <c r="K181" s="6" t="str">
        <f ca="1">IFERROR(__xludf.DUMMYFUNCTION("""COMPUTED_VALUE"""),"Factura audífonos")</f>
        <v>Factura audífonos</v>
      </c>
      <c r="L181" s="16">
        <f ca="1">IFERROR(__xludf.DUMMYFUNCTION("""COMPUTED_VALUE"""),46069)</f>
        <v>46069</v>
      </c>
      <c r="M181" s="6" t="str">
        <f ca="1">IFERROR(__xludf.DUMMYFUNCTION("""COMPUTED_VALUE"""),"NO")</f>
        <v>NO</v>
      </c>
      <c r="N181" s="15">
        <f ca="1">IFERROR(__xludf.DUMMYFUNCTION("""COMPUTED_VALUE"""),1)</f>
        <v>1</v>
      </c>
      <c r="O181" s="6" t="str">
        <f ca="1">IFERROR(__xludf.DUMMYFUNCTION("""COMPUTED_VALUE"""),"CONFORT")</f>
        <v>CONFORT</v>
      </c>
      <c r="P181" s="18">
        <f ca="1">IFERROR(__xludf.DUMMYFUNCTION("""COMPUTED_VALUE"""),2180.77)</f>
        <v>2180.77</v>
      </c>
      <c r="Q181" s="6" t="str">
        <f ca="1">IFERROR(__xludf.DUMMYFUNCTION("""COMPUTED_VALUE"""),"Iván Sánchez")</f>
        <v>Iván Sánchez</v>
      </c>
      <c r="R181" s="19" t="str">
        <f ca="1">IFERROR(__xludf.DUMMYFUNCTION("""COMPUTED_VALUE"""),"Paula Hernández Ruíz")</f>
        <v>Paula Hernández Ruíz</v>
      </c>
      <c r="S181" s="20" t="str">
        <f ca="1">IFERROR(__xludf.DUMMYFUNCTION("""COMPUTED_VALUE"""),"03 ORL")</f>
        <v>03 ORL</v>
      </c>
      <c r="T181" s="6" t="str">
        <f ca="1">IFERROR(__xludf.DUMMYFUNCTION("""COMPUTED_VALUE"""),"06 ORL")</f>
        <v>06 ORL</v>
      </c>
      <c r="U181" s="21"/>
      <c r="W181" s="21"/>
      <c r="X181" s="21"/>
      <c r="AE181" s="1"/>
      <c r="AG181" s="19"/>
      <c r="AJ181" s="19"/>
    </row>
    <row r="182" spans="1:36" ht="16">
      <c r="A182" s="6"/>
      <c r="B182" s="14" t="str">
        <f t="shared" ca="1" si="0"/>
        <v>LAA</v>
      </c>
      <c r="C182" s="23" t="str">
        <f ca="1">IFERROR(__xludf.DUMMYFUNCTION("""COMPUTED_VALUE"""),"LAA28")</f>
        <v>LAA28</v>
      </c>
      <c r="D182" s="6" t="str">
        <f ca="1">IFERROR(__xludf.DUMMYFUNCTION("""COMPUTED_VALUE"""),"ASOCIADOS")</f>
        <v>ASOCIADOS</v>
      </c>
      <c r="E182" s="6">
        <f ca="1">IFERROR(__xludf.DUMMYFUNCTION("""COMPUTED_VALUE"""),2026)</f>
        <v>2026</v>
      </c>
      <c r="F182" s="15">
        <f ca="1">IFERROR(__xludf.DUMMYFUNCTION("""COMPUTED_VALUE"""),2)</f>
        <v>2</v>
      </c>
      <c r="G182" s="6" t="str">
        <f ca="1">IFERROR(__xludf.DUMMYFUNCTION("""COMPUTED_VALUE"""),"Sevilla- Ciencias")</f>
        <v>Sevilla- Ciencias</v>
      </c>
      <c r="H182" s="6" t="str">
        <f ca="1">IFERROR(__xludf.DUMMYFUNCTION("""COMPUTED_VALUE"""),"C202612312273722386")</f>
        <v>C202612312273722386</v>
      </c>
      <c r="I182" s="6" t="str">
        <f ca="1">IFERROR(__xludf.DUMMYFUNCTION("""COMPUTED_VALUE"""),"FRANCISCO VINUESA LIMA")</f>
        <v>FRANCISCO VINUESA LIMA</v>
      </c>
      <c r="J182" s="16">
        <f ca="1">IFERROR(__xludf.DUMMYFUNCTION("""COMPUTED_VALUE"""),46045)</f>
        <v>46045</v>
      </c>
      <c r="K182" s="6" t="str">
        <f ca="1">IFERROR(__xludf.DUMMYFUNCTION("""COMPUTED_VALUE"""),"Factura audífonos")</f>
        <v>Factura audífonos</v>
      </c>
      <c r="L182" s="16">
        <f ca="1">IFERROR(__xludf.DUMMYFUNCTION("""COMPUTED_VALUE"""),46069)</f>
        <v>46069</v>
      </c>
      <c r="M182" s="6" t="str">
        <f ca="1">IFERROR(__xludf.DUMMYFUNCTION("""COMPUTED_VALUE"""),"NO")</f>
        <v>NO</v>
      </c>
      <c r="N182" s="15">
        <f ca="1">IFERROR(__xludf.DUMMYFUNCTION("""COMPUTED_VALUE"""),2)</f>
        <v>2</v>
      </c>
      <c r="O182" s="6" t="str">
        <f ca="1">IFERROR(__xludf.DUMMYFUNCTION("""COMPUTED_VALUE"""),"QUIET")</f>
        <v>QUIET</v>
      </c>
      <c r="P182" s="18">
        <f ca="1">IFERROR(__xludf.DUMMYFUNCTION("""COMPUTED_VALUE"""),2718.18)</f>
        <v>2718.18</v>
      </c>
      <c r="Q182" s="6" t="str">
        <f ca="1">IFERROR(__xludf.DUMMYFUNCTION("""COMPUTED_VALUE"""),"Luis Alberto Rodríguez")</f>
        <v>Luis Alberto Rodríguez</v>
      </c>
      <c r="R182" s="19" t="str">
        <f ca="1">IFERROR(__xludf.DUMMYFUNCTION("""COMPUTED_VALUE"""),"José María Palacios García")</f>
        <v>José María Palacios García</v>
      </c>
      <c r="S182" s="20" t="str">
        <f ca="1">IFERROR(__xludf.DUMMYFUNCTION("""COMPUTED_VALUE"""),"03 ORL")</f>
        <v>03 ORL</v>
      </c>
      <c r="T182" s="6" t="str">
        <f ca="1">IFERROR(__xludf.DUMMYFUNCTION("""COMPUTED_VALUE"""),"06 ORL")</f>
        <v>06 ORL</v>
      </c>
      <c r="U182" s="21"/>
      <c r="W182" s="21"/>
      <c r="X182" s="21"/>
      <c r="AG182" s="18"/>
      <c r="AJ182" s="19"/>
    </row>
    <row r="183" spans="1:36" ht="16">
      <c r="A183" s="6"/>
      <c r="B183" s="14" t="str">
        <f t="shared" ca="1" si="0"/>
        <v>ISL</v>
      </c>
      <c r="C183" s="23" t="str">
        <f ca="1">IFERROR(__xludf.DUMMYFUNCTION("""COMPUTED_VALUE"""),"ISL151")</f>
        <v>ISL151</v>
      </c>
      <c r="D183" s="6" t="str">
        <f ca="1">IFERROR(__xludf.DUMMYFUNCTION("""COMPUTED_VALUE"""),"PROPIOS")</f>
        <v>PROPIOS</v>
      </c>
      <c r="E183" s="6">
        <f ca="1">IFERROR(__xludf.DUMMYFUNCTION("""COMPUTED_VALUE"""),2026)</f>
        <v>2026</v>
      </c>
      <c r="F183" s="15">
        <f ca="1">IFERROR(__xludf.DUMMYFUNCTION("""COMPUTED_VALUE"""),2)</f>
        <v>2</v>
      </c>
      <c r="G183" s="6" t="str">
        <f ca="1">IFERROR(__xludf.DUMMYFUNCTION("""COMPUTED_VALUE"""),"Alicante")</f>
        <v>Alicante</v>
      </c>
      <c r="H183" s="6" t="str">
        <f ca="1">IFERROR(__xludf.DUMMYFUNCTION("""COMPUTED_VALUE"""),"C202611410111286111")</f>
        <v>C202611410111286111</v>
      </c>
      <c r="I183" s="6" t="str">
        <f ca="1">IFERROR(__xludf.DUMMYFUNCTION("""COMPUTED_VALUE"""),"SUSANA ASENSI GARCIA")</f>
        <v>SUSANA ASENSI GARCIA</v>
      </c>
      <c r="J183" s="16">
        <f ca="1">IFERROR(__xludf.DUMMYFUNCTION("""COMPUTED_VALUE"""),46036)</f>
        <v>46036</v>
      </c>
      <c r="K183" s="6" t="str">
        <f ca="1">IFERROR(__xludf.DUMMYFUNCTION("""COMPUTED_VALUE"""),"Factura audífonos")</f>
        <v>Factura audífonos</v>
      </c>
      <c r="L183" s="16">
        <f ca="1">IFERROR(__xludf.DUMMYFUNCTION("""COMPUTED_VALUE"""),46069)</f>
        <v>46069</v>
      </c>
      <c r="M183" s="6" t="str">
        <f ca="1">IFERROR(__xludf.DUMMYFUNCTION("""COMPUTED_VALUE"""),"NO")</f>
        <v>NO</v>
      </c>
      <c r="N183" s="15">
        <f ca="1">IFERROR(__xludf.DUMMYFUNCTION("""COMPUTED_VALUE"""),1)</f>
        <v>1</v>
      </c>
      <c r="O183" s="6" t="str">
        <f ca="1">IFERROR(__xludf.DUMMYFUNCTION("""COMPUTED_VALUE"""),"QUIET")</f>
        <v>QUIET</v>
      </c>
      <c r="P183" s="19">
        <f ca="1">IFERROR(__xludf.DUMMYFUNCTION("""COMPUTED_VALUE"""),1631.82)</f>
        <v>1631.82</v>
      </c>
      <c r="Q183" s="6" t="str">
        <f ca="1">IFERROR(__xludf.DUMMYFUNCTION("""COMPUTED_VALUE"""),"Iván Sánchez")</f>
        <v>Iván Sánchez</v>
      </c>
      <c r="R183" s="19" t="str">
        <f ca="1">IFERROR(__xludf.DUMMYFUNCTION("""COMPUTED_VALUE"""),"Laura Isabel del Amo Martínez")</f>
        <v>Laura Isabel del Amo Martínez</v>
      </c>
      <c r="S183" s="20" t="str">
        <f ca="1">IFERROR(__xludf.DUMMYFUNCTION("""COMPUTED_VALUE"""),"03 ORL")</f>
        <v>03 ORL</v>
      </c>
      <c r="T183" s="6" t="str">
        <f ca="1">IFERROR(__xludf.DUMMYFUNCTION("""COMPUTED_VALUE"""),"06 ORL")</f>
        <v>06 ORL</v>
      </c>
      <c r="U183" s="21"/>
      <c r="W183" s="21"/>
      <c r="X183" s="21"/>
      <c r="AG183" s="19"/>
      <c r="AJ183" s="19"/>
    </row>
    <row r="184" spans="1:36" ht="16">
      <c r="A184" s="6"/>
      <c r="B184" s="14" t="str">
        <f t="shared" ca="1" si="0"/>
        <v>LAA</v>
      </c>
      <c r="C184" s="23" t="str">
        <f ca="1">IFERROR(__xludf.DUMMYFUNCTION("""COMPUTED_VALUE"""),"LAA80")</f>
        <v>LAA80</v>
      </c>
      <c r="D184" s="6" t="str">
        <f ca="1">IFERROR(__xludf.DUMMYFUNCTION("""COMPUTED_VALUE"""),"ASOCIADOS")</f>
        <v>ASOCIADOS</v>
      </c>
      <c r="E184" s="6">
        <f ca="1">IFERROR(__xludf.DUMMYFUNCTION("""COMPUTED_VALUE"""),2026)</f>
        <v>2026</v>
      </c>
      <c r="F184" s="15">
        <f ca="1">IFERROR(__xludf.DUMMYFUNCTION("""COMPUTED_VALUE"""),2)</f>
        <v>2</v>
      </c>
      <c r="G184" s="6" t="str">
        <f ca="1">IFERROR(__xludf.DUMMYFUNCTION("""COMPUTED_VALUE"""),"Badajoz")</f>
        <v>Badajoz</v>
      </c>
      <c r="H184" s="6" t="str">
        <f ca="1">IFERROR(__xludf.DUMMYFUNCTION("""COMPUTED_VALUE"""),"C202512119361746759")</f>
        <v>C202512119361746759</v>
      </c>
      <c r="I184" s="6" t="str">
        <f ca="1">IFERROR(__xludf.DUMMYFUNCTION("""COMPUTED_VALUE"""),"VICTOR HUGO BOTHELO CAPUCHO SIMOES")</f>
        <v>VICTOR HUGO BOTHELO CAPUCHO SIMOES</v>
      </c>
      <c r="J184" s="16">
        <f ca="1">IFERROR(__xludf.DUMMYFUNCTION("""COMPUTED_VALUE"""),45992)</f>
        <v>45992</v>
      </c>
      <c r="K184" s="6" t="str">
        <f ca="1">IFERROR(__xludf.DUMMYFUNCTION("""COMPUTED_VALUE"""),"Factura audífonos")</f>
        <v>Factura audífonos</v>
      </c>
      <c r="L184" s="16">
        <f ca="1">IFERROR(__xludf.DUMMYFUNCTION("""COMPUTED_VALUE"""),46069)</f>
        <v>46069</v>
      </c>
      <c r="M184" s="6" t="str">
        <f ca="1">IFERROR(__xludf.DUMMYFUNCTION("""COMPUTED_VALUE"""),"NO")</f>
        <v>NO</v>
      </c>
      <c r="N184" s="15">
        <f ca="1">IFERROR(__xludf.DUMMYFUNCTION("""COMPUTED_VALUE"""),2)</f>
        <v>2</v>
      </c>
      <c r="O184" s="6" t="str">
        <f ca="1">IFERROR(__xludf.DUMMYFUNCTION("""COMPUTED_VALUE"""),"CONFORT")</f>
        <v>CONFORT</v>
      </c>
      <c r="P184" s="18">
        <f ca="1">IFERROR(__xludf.DUMMYFUNCTION("""COMPUTED_VALUE"""),3635.45)</f>
        <v>3635.45</v>
      </c>
      <c r="Q184" s="6" t="str">
        <f ca="1">IFERROR(__xludf.DUMMYFUNCTION("""COMPUTED_VALUE"""),"Luis Alberto Rodríguez")</f>
        <v>Luis Alberto Rodríguez</v>
      </c>
      <c r="R184" s="19" t="str">
        <f ca="1">IFERROR(__xludf.DUMMYFUNCTION("""COMPUTED_VALUE"""),"Sonia García Díaz")</f>
        <v>Sonia García Díaz</v>
      </c>
      <c r="S184" s="20" t="str">
        <f ca="1">IFERROR(__xludf.DUMMYFUNCTION("""COMPUTED_VALUE"""),"03 ORL")</f>
        <v>03 ORL</v>
      </c>
      <c r="T184" s="6" t="str">
        <f ca="1">IFERROR(__xludf.DUMMYFUNCTION("""COMPUTED_VALUE"""),"06 ORL")</f>
        <v>06 ORL</v>
      </c>
      <c r="U184" s="21"/>
      <c r="W184" s="21"/>
      <c r="X184" s="21"/>
      <c r="AG184" s="19"/>
      <c r="AJ184" s="19"/>
    </row>
    <row r="185" spans="1:36" ht="16">
      <c r="A185" s="6"/>
      <c r="B185" s="14" t="str">
        <f t="shared" ca="1" si="0"/>
        <v>LAA</v>
      </c>
      <c r="C185" s="23" t="str">
        <f ca="1">IFERROR(__xludf.DUMMYFUNCTION("""COMPUTED_VALUE"""),"LAA67")</f>
        <v>LAA67</v>
      </c>
      <c r="D185" s="6" t="str">
        <f ca="1">IFERROR(__xludf.DUMMYFUNCTION("""COMPUTED_VALUE"""),"PROPIOS")</f>
        <v>PROPIOS</v>
      </c>
      <c r="E185" s="6">
        <f ca="1">IFERROR(__xludf.DUMMYFUNCTION("""COMPUTED_VALUE"""),2026)</f>
        <v>2026</v>
      </c>
      <c r="F185" s="15">
        <f ca="1">IFERROR(__xludf.DUMMYFUNCTION("""COMPUTED_VALUE"""),2)</f>
        <v>2</v>
      </c>
      <c r="G185" s="6" t="str">
        <f ca="1">IFERROR(__xludf.DUMMYFUNCTION("""COMPUTED_VALUE"""),"Sevilla- Montoto")</f>
        <v>Sevilla- Montoto</v>
      </c>
      <c r="H185" s="6" t="str">
        <f ca="1">IFERROR(__xludf.DUMMYFUNCTION("""COMPUTED_VALUE"""),"C20261218466529707")</f>
        <v>C20261218466529707</v>
      </c>
      <c r="I185" s="6" t="str">
        <f ca="1">IFERROR(__xludf.DUMMYFUNCTION("""COMPUTED_VALUE"""),"MICHAEL BASSEM NWELATTI")</f>
        <v>MICHAEL BASSEM NWELATTI</v>
      </c>
      <c r="J185" s="16">
        <f ca="1">IFERROR(__xludf.DUMMYFUNCTION("""COMPUTED_VALUE"""),46043)</f>
        <v>46043</v>
      </c>
      <c r="K185" s="6" t="str">
        <f ca="1">IFERROR(__xludf.DUMMYFUNCTION("""COMPUTED_VALUE"""),"Factura audífonos")</f>
        <v>Factura audífonos</v>
      </c>
      <c r="L185" s="16">
        <f ca="1">IFERROR(__xludf.DUMMYFUNCTION("""COMPUTED_VALUE"""),46069)</f>
        <v>46069</v>
      </c>
      <c r="M185" s="6" t="str">
        <f ca="1">IFERROR(__xludf.DUMMYFUNCTION("""COMPUTED_VALUE"""),"NO")</f>
        <v>NO</v>
      </c>
      <c r="N185" s="15">
        <f ca="1">IFERROR(__xludf.DUMMYFUNCTION("""COMPUTED_VALUE"""),2)</f>
        <v>2</v>
      </c>
      <c r="O185" s="6" t="str">
        <f ca="1">IFERROR(__xludf.DUMMYFUNCTION("""COMPUTED_VALUE"""),"ADVANCED")</f>
        <v>ADVANCED</v>
      </c>
      <c r="P185" s="19">
        <f ca="1">IFERROR(__xludf.DUMMYFUNCTION("""COMPUTED_VALUE"""),3643.64)</f>
        <v>3643.64</v>
      </c>
      <c r="Q185" s="6" t="str">
        <f ca="1">IFERROR(__xludf.DUMMYFUNCTION("""COMPUTED_VALUE"""),"Luis Alberto Rodríguez")</f>
        <v>Luis Alberto Rodríguez</v>
      </c>
      <c r="R185" s="19" t="str">
        <f ca="1">IFERROR(__xludf.DUMMYFUNCTION("""COMPUTED_VALUE"""),"Noelia García García")</f>
        <v>Noelia García García</v>
      </c>
      <c r="S185" s="20" t="str">
        <f ca="1">IFERROR(__xludf.DUMMYFUNCTION("""COMPUTED_VALUE"""),"03 ORL")</f>
        <v>03 ORL</v>
      </c>
      <c r="T185" s="6" t="str">
        <f ca="1">IFERROR(__xludf.DUMMYFUNCTION("""COMPUTED_VALUE"""),"06 ORL")</f>
        <v>06 ORL</v>
      </c>
      <c r="U185" s="21"/>
      <c r="W185" s="21"/>
      <c r="X185" s="21"/>
      <c r="AG185" s="19"/>
    </row>
    <row r="186" spans="1:36" ht="16">
      <c r="A186" s="6"/>
      <c r="B186" s="14" t="str">
        <f t="shared" ca="1" si="0"/>
        <v>LRM</v>
      </c>
      <c r="C186" s="23" t="str">
        <f ca="1">IFERROR(__xludf.DUMMYFUNCTION("""COMPUTED_VALUE"""),"LRM94")</f>
        <v>LRM94</v>
      </c>
      <c r="D186" s="6" t="str">
        <f ca="1">IFERROR(__xludf.DUMMYFUNCTION("""COMPUTED_VALUE"""),"PARTICIPADOS")</f>
        <v>PARTICIPADOS</v>
      </c>
      <c r="E186" s="6">
        <f ca="1">IFERROR(__xludf.DUMMYFUNCTION("""COMPUTED_VALUE"""),2026)</f>
        <v>2026</v>
      </c>
      <c r="F186" s="15">
        <f ca="1">IFERROR(__xludf.DUMMYFUNCTION("""COMPUTED_VALUE"""),2)</f>
        <v>2</v>
      </c>
      <c r="G186" s="6" t="str">
        <f ca="1">IFERROR(__xludf.DUMMYFUNCTION("""COMPUTED_VALUE"""),"Madrid- Costa Rica")</f>
        <v>Madrid- Costa Rica</v>
      </c>
      <c r="H186" s="6" t="str">
        <f ca="1">IFERROR(__xludf.DUMMYFUNCTION("""COMPUTED_VALUE"""),"C202511281040236575")</f>
        <v>C202511281040236575</v>
      </c>
      <c r="I186" s="6" t="str">
        <f ca="1">IFERROR(__xludf.DUMMYFUNCTION("""COMPUTED_VALUE"""),"ADELARDO  MORTE CARRILLO")</f>
        <v>ADELARDO  MORTE CARRILLO</v>
      </c>
      <c r="J186" s="16">
        <f ca="1">IFERROR(__xludf.DUMMYFUNCTION("""COMPUTED_VALUE"""),45989)</f>
        <v>45989</v>
      </c>
      <c r="K186" s="6" t="str">
        <f ca="1">IFERROR(__xludf.DUMMYFUNCTION("""COMPUTED_VALUE"""),"Factura audífonos")</f>
        <v>Factura audífonos</v>
      </c>
      <c r="L186" s="16">
        <f ca="1">IFERROR(__xludf.DUMMYFUNCTION("""COMPUTED_VALUE"""),46069)</f>
        <v>46069</v>
      </c>
      <c r="M186" s="23" t="str">
        <f ca="1">IFERROR(__xludf.DUMMYFUNCTION("""COMPUTED_VALUE"""),"NO")</f>
        <v>NO</v>
      </c>
      <c r="N186" s="15">
        <f ca="1">IFERROR(__xludf.DUMMYFUNCTION("""COMPUTED_VALUE"""),2)</f>
        <v>2</v>
      </c>
      <c r="O186" s="6" t="str">
        <f ca="1">IFERROR(__xludf.DUMMYFUNCTION("""COMPUTED_VALUE"""),"QUIET")</f>
        <v>QUIET</v>
      </c>
      <c r="P186" s="19">
        <f ca="1">IFERROR(__xludf.DUMMYFUNCTION("""COMPUTED_VALUE"""),2718.18)</f>
        <v>2718.18</v>
      </c>
      <c r="Q186" s="6" t="str">
        <f ca="1">IFERROR(__xludf.DUMMYFUNCTION("""COMPUTED_VALUE"""),"Lisandro Russian")</f>
        <v>Lisandro Russian</v>
      </c>
      <c r="R186" s="19" t="str">
        <f ca="1">IFERROR(__xludf.DUMMYFUNCTION("""COMPUTED_VALUE"""),"Luis Jiménez Ferreres")</f>
        <v>Luis Jiménez Ferreres</v>
      </c>
      <c r="S186" s="20" t="str">
        <f ca="1">IFERROR(__xludf.DUMMYFUNCTION("""COMPUTED_VALUE"""),"03 ORL")</f>
        <v>03 ORL</v>
      </c>
      <c r="T186" s="6" t="str">
        <f ca="1">IFERROR(__xludf.DUMMYFUNCTION("""COMPUTED_VALUE"""),"06 ORL")</f>
        <v>06 ORL</v>
      </c>
      <c r="U186" s="21"/>
      <c r="W186" s="21"/>
      <c r="X186" s="21"/>
      <c r="AG186" s="19"/>
    </row>
    <row r="187" spans="1:36" ht="16">
      <c r="A187" s="6"/>
      <c r="B187" s="14" t="str">
        <f t="shared" ca="1" si="0"/>
        <v>LRM</v>
      </c>
      <c r="C187" s="23" t="str">
        <f ca="1">IFERROR(__xludf.DUMMYFUNCTION("""COMPUTED_VALUE"""),"LRM253")</f>
        <v>LRM253</v>
      </c>
      <c r="D187" s="6" t="str">
        <f ca="1">IFERROR(__xludf.DUMMYFUNCTION("""COMPUTED_VALUE"""),"ASOCIADOS")</f>
        <v>ASOCIADOS</v>
      </c>
      <c r="E187" s="6">
        <f ca="1">IFERROR(__xludf.DUMMYFUNCTION("""COMPUTED_VALUE"""),2026)</f>
        <v>2026</v>
      </c>
      <c r="F187" s="15">
        <f ca="1">IFERROR(__xludf.DUMMYFUNCTION("""COMPUTED_VALUE"""),2)</f>
        <v>2</v>
      </c>
      <c r="G187" s="6" t="str">
        <f ca="1">IFERROR(__xludf.DUMMYFUNCTION("""COMPUTED_VALUE"""),"Cáceres")</f>
        <v>Cáceres</v>
      </c>
      <c r="H187" s="6" t="str">
        <f ca="1">IFERROR(__xludf.DUMMYFUNCTION("""COMPUTED_VALUE"""),"C202612610453306531")</f>
        <v>C202612610453306531</v>
      </c>
      <c r="I187" s="6" t="str">
        <f ca="1">IFERROR(__xludf.DUMMYFUNCTION("""COMPUTED_VALUE"""),"FRANCISCA CORRALES MORENO")</f>
        <v>FRANCISCA CORRALES MORENO</v>
      </c>
      <c r="J187" s="16">
        <f ca="1">IFERROR(__xludf.DUMMYFUNCTION("""COMPUTED_VALUE"""),46048)</f>
        <v>46048</v>
      </c>
      <c r="K187" s="6" t="str">
        <f ca="1">IFERROR(__xludf.DUMMYFUNCTION("""COMPUTED_VALUE"""),"Factura audífonos")</f>
        <v>Factura audífonos</v>
      </c>
      <c r="L187" s="16">
        <f ca="1">IFERROR(__xludf.DUMMYFUNCTION("""COMPUTED_VALUE"""),46070)</f>
        <v>46070</v>
      </c>
      <c r="M187" s="17" t="str">
        <f ca="1">IFERROR(__xludf.DUMMYFUNCTION("""COMPUTED_VALUE"""),"NO")</f>
        <v>NO</v>
      </c>
      <c r="N187" s="15">
        <f ca="1">IFERROR(__xludf.DUMMYFUNCTION("""COMPUTED_VALUE"""),1)</f>
        <v>1</v>
      </c>
      <c r="O187" s="6" t="str">
        <f ca="1">IFERROR(__xludf.DUMMYFUNCTION("""COMPUTED_VALUE"""),"CONFORT")</f>
        <v>CONFORT</v>
      </c>
      <c r="P187" s="18">
        <f ca="1">IFERROR(__xludf.DUMMYFUNCTION("""COMPUTED_VALUE"""),2101.82)</f>
        <v>2101.8200000000002</v>
      </c>
      <c r="Q187" s="6" t="str">
        <f ca="1">IFERROR(__xludf.DUMMYFUNCTION("""COMPUTED_VALUE"""),"Lisandro Russian")</f>
        <v>Lisandro Russian</v>
      </c>
      <c r="R187" s="19" t="str">
        <f ca="1">IFERROR(__xludf.DUMMYFUNCTION("""COMPUTED_VALUE"""),"Marta García Jiménez")</f>
        <v>Marta García Jiménez</v>
      </c>
      <c r="S187" s="20" t="str">
        <f ca="1">IFERROR(__xludf.DUMMYFUNCTION("""COMPUTED_VALUE"""),"03 ORL")</f>
        <v>03 ORL</v>
      </c>
      <c r="T187" s="6" t="str">
        <f ca="1">IFERROR(__xludf.DUMMYFUNCTION("""COMPUTED_VALUE"""),"06 ORL")</f>
        <v>06 ORL</v>
      </c>
      <c r="U187" s="21"/>
      <c r="W187" s="21"/>
      <c r="X187" s="21"/>
      <c r="AG187" s="18"/>
      <c r="AJ187" s="19"/>
    </row>
    <row r="188" spans="1:36" ht="16">
      <c r="A188" s="6"/>
      <c r="B188" s="14" t="str">
        <f t="shared" ca="1" si="0"/>
        <v>LAA</v>
      </c>
      <c r="C188" s="23" t="str">
        <f ca="1">IFERROR(__xludf.DUMMYFUNCTION("""COMPUTED_VALUE"""),"LAA81")</f>
        <v>LAA81</v>
      </c>
      <c r="D188" s="6" t="str">
        <f ca="1">IFERROR(__xludf.DUMMYFUNCTION("""COMPUTED_VALUE"""),"PROPIOS")</f>
        <v>PROPIOS</v>
      </c>
      <c r="E188" s="6">
        <f ca="1">IFERROR(__xludf.DUMMYFUNCTION("""COMPUTED_VALUE"""),2026)</f>
        <v>2026</v>
      </c>
      <c r="F188" s="15">
        <f ca="1">IFERROR(__xludf.DUMMYFUNCTION("""COMPUTED_VALUE"""),2)</f>
        <v>2</v>
      </c>
      <c r="G188" s="6" t="str">
        <f ca="1">IFERROR(__xludf.DUMMYFUNCTION("""COMPUTED_VALUE"""),"Jerez de la Frontera")</f>
        <v>Jerez de la Frontera</v>
      </c>
      <c r="H188" s="6" t="str">
        <f ca="1">IFERROR(__xludf.DUMMYFUNCTION("""COMPUTED_VALUE"""),"C202511241232424683")</f>
        <v>C202511241232424683</v>
      </c>
      <c r="I188" s="6" t="str">
        <f ca="1">IFERROR(__xludf.DUMMYFUNCTION("""COMPUTED_VALUE"""),"BASILIO MARTINEZ ANDRADE")</f>
        <v>BASILIO MARTINEZ ANDRADE</v>
      </c>
      <c r="J188" s="16">
        <f ca="1">IFERROR(__xludf.DUMMYFUNCTION("""COMPUTED_VALUE"""),45985)</f>
        <v>45985</v>
      </c>
      <c r="K188" s="6" t="str">
        <f ca="1">IFERROR(__xludf.DUMMYFUNCTION("""COMPUTED_VALUE"""),"Factura audífonos")</f>
        <v>Factura audífonos</v>
      </c>
      <c r="L188" s="16">
        <f ca="1">IFERROR(__xludf.DUMMYFUNCTION("""COMPUTED_VALUE"""),46070)</f>
        <v>46070</v>
      </c>
      <c r="M188" s="6" t="str">
        <f ca="1">IFERROR(__xludf.DUMMYFUNCTION("""COMPUTED_VALUE"""),"NO")</f>
        <v>NO</v>
      </c>
      <c r="N188" s="15">
        <f ca="1">IFERROR(__xludf.DUMMYFUNCTION("""COMPUTED_VALUE"""),1)</f>
        <v>1</v>
      </c>
      <c r="O188" s="6" t="str">
        <f ca="1">IFERROR(__xludf.DUMMYFUNCTION("""COMPUTED_VALUE"""),"ADVANCED")</f>
        <v>ADVANCED</v>
      </c>
      <c r="P188" s="19">
        <f ca="1">IFERROR(__xludf.DUMMYFUNCTION("""COMPUTED_VALUE"""),2481.82)</f>
        <v>2481.8200000000002</v>
      </c>
      <c r="Q188" s="6" t="str">
        <f ca="1">IFERROR(__xludf.DUMMYFUNCTION("""COMPUTED_VALUE"""),"Luis Alberto Rodríguez")</f>
        <v>Luis Alberto Rodríguez</v>
      </c>
      <c r="R188" s="19" t="str">
        <f ca="1">IFERROR(__xludf.DUMMYFUNCTION("""COMPUTED_VALUE"""),"Manuel Tucciarone")</f>
        <v>Manuel Tucciarone</v>
      </c>
      <c r="S188" s="20" t="str">
        <f ca="1">IFERROR(__xludf.DUMMYFUNCTION("""COMPUTED_VALUE"""),"03 ORL")</f>
        <v>03 ORL</v>
      </c>
      <c r="T188" s="6" t="str">
        <f ca="1">IFERROR(__xludf.DUMMYFUNCTION("""COMPUTED_VALUE"""),"06 ORL")</f>
        <v>06 ORL</v>
      </c>
      <c r="U188" s="21"/>
      <c r="W188" s="21"/>
      <c r="X188" s="21"/>
      <c r="AG188" s="19"/>
    </row>
    <row r="189" spans="1:36" ht="16">
      <c r="A189" s="6"/>
      <c r="B189" s="14" t="str">
        <f t="shared" ca="1" si="0"/>
        <v>LRM</v>
      </c>
      <c r="C189" s="23" t="str">
        <f ca="1">IFERROR(__xludf.DUMMYFUNCTION("""COMPUTED_VALUE"""),"LRM227")</f>
        <v>LRM227</v>
      </c>
      <c r="D189" s="6" t="str">
        <f ca="1">IFERROR(__xludf.DUMMYFUNCTION("""COMPUTED_VALUE"""),"PARTICIPADOS")</f>
        <v>PARTICIPADOS</v>
      </c>
      <c r="E189" s="6">
        <f ca="1">IFERROR(__xludf.DUMMYFUNCTION("""COMPUTED_VALUE"""),2026)</f>
        <v>2026</v>
      </c>
      <c r="F189" s="15">
        <f ca="1">IFERROR(__xludf.DUMMYFUNCTION("""COMPUTED_VALUE"""),2)</f>
        <v>2</v>
      </c>
      <c r="G189" s="6" t="str">
        <f ca="1">IFERROR(__xludf.DUMMYFUNCTION("""COMPUTED_VALUE"""),"Talavera")</f>
        <v>Talavera</v>
      </c>
      <c r="H189" s="6" t="str">
        <f ca="1">IFERROR(__xludf.DUMMYFUNCTION("""COMPUTED_VALUE"""),"C20251216172816711")</f>
        <v>C20251216172816711</v>
      </c>
      <c r="I189" s="6" t="str">
        <f ca="1">IFERROR(__xludf.DUMMYFUNCTION("""COMPUTED_VALUE"""),"CIRIACO  JABATO AMADO")</f>
        <v>CIRIACO  JABATO AMADO</v>
      </c>
      <c r="J189" s="16">
        <f ca="1">IFERROR(__xludf.DUMMYFUNCTION("""COMPUTED_VALUE"""),45748)</f>
        <v>45748</v>
      </c>
      <c r="K189" s="6" t="str">
        <f ca="1">IFERROR(__xludf.DUMMYFUNCTION("""COMPUTED_VALUE"""),"Factura audífonos")</f>
        <v>Factura audífonos</v>
      </c>
      <c r="L189" s="16">
        <f ca="1">IFERROR(__xludf.DUMMYFUNCTION("""COMPUTED_VALUE"""),46070)</f>
        <v>46070</v>
      </c>
      <c r="M189" s="6" t="str">
        <f ca="1">IFERROR(__xludf.DUMMYFUNCTION("""COMPUTED_VALUE"""),"NO")</f>
        <v>NO</v>
      </c>
      <c r="N189" s="15">
        <f ca="1">IFERROR(__xludf.DUMMYFUNCTION("""COMPUTED_VALUE"""),2)</f>
        <v>2</v>
      </c>
      <c r="O189" s="6" t="str">
        <f ca="1">IFERROR(__xludf.DUMMYFUNCTION("""COMPUTED_VALUE"""),"QUIET")</f>
        <v>QUIET</v>
      </c>
      <c r="P189" s="19">
        <f ca="1">IFERROR(__xludf.DUMMYFUNCTION("""COMPUTED_VALUE"""),2718.18)</f>
        <v>2718.18</v>
      </c>
      <c r="Q189" s="6" t="str">
        <f ca="1">IFERROR(__xludf.DUMMYFUNCTION("""COMPUTED_VALUE"""),"Lisandro Russian")</f>
        <v>Lisandro Russian</v>
      </c>
      <c r="R189" s="19" t="str">
        <f ca="1">IFERROR(__xludf.DUMMYFUNCTION("""COMPUTED_VALUE"""),"Patricia Ezcurra Hernández")</f>
        <v>Patricia Ezcurra Hernández</v>
      </c>
      <c r="S189" s="20" t="str">
        <f ca="1">IFERROR(__xludf.DUMMYFUNCTION("""COMPUTED_VALUE"""),"03 ORL")</f>
        <v>03 ORL</v>
      </c>
      <c r="T189" s="6" t="str">
        <f ca="1">IFERROR(__xludf.DUMMYFUNCTION("""COMPUTED_VALUE"""),"06 ORL")</f>
        <v>06 ORL</v>
      </c>
      <c r="U189" s="21"/>
      <c r="W189" s="21"/>
      <c r="X189" s="21"/>
      <c r="AG189" s="19"/>
      <c r="AJ189" s="19"/>
    </row>
    <row r="190" spans="1:36" ht="16">
      <c r="A190" s="6"/>
      <c r="B190" s="14" t="str">
        <f t="shared" ca="1" si="0"/>
        <v>ISL</v>
      </c>
      <c r="C190" s="23" t="str">
        <f ca="1">IFERROR(__xludf.DUMMYFUNCTION("""COMPUTED_VALUE"""),"ISL01")</f>
        <v>ISL01</v>
      </c>
      <c r="D190" s="6" t="str">
        <f ca="1">IFERROR(__xludf.DUMMYFUNCTION("""COMPUTED_VALUE"""),"PROPIOS")</f>
        <v>PROPIOS</v>
      </c>
      <c r="E190" s="6">
        <f ca="1">IFERROR(__xludf.DUMMYFUNCTION("""COMPUTED_VALUE"""),2026)</f>
        <v>2026</v>
      </c>
      <c r="F190" s="15">
        <f ca="1">IFERROR(__xludf.DUMMYFUNCTION("""COMPUTED_VALUE"""),2)</f>
        <v>2</v>
      </c>
      <c r="G190" s="6" t="str">
        <f ca="1">IFERROR(__xludf.DUMMYFUNCTION("""COMPUTED_VALUE"""),"San Javier")</f>
        <v>San Javier</v>
      </c>
      <c r="H190" s="6" t="str">
        <f ca="1">IFERROR(__xludf.DUMMYFUNCTION("""COMPUTED_VALUE"""),"C202611611441608457")</f>
        <v>C202611611441608457</v>
      </c>
      <c r="I190" s="6" t="str">
        <f ca="1">IFERROR(__xludf.DUMMYFUNCTION("""COMPUTED_VALUE"""),"JOSEFA PEREZ PEREZ")</f>
        <v>JOSEFA PEREZ PEREZ</v>
      </c>
      <c r="J190" s="16">
        <f ca="1">IFERROR(__xludf.DUMMYFUNCTION("""COMPUTED_VALUE"""),46038)</f>
        <v>46038</v>
      </c>
      <c r="K190" s="6" t="str">
        <f ca="1">IFERROR(__xludf.DUMMYFUNCTION("""COMPUTED_VALUE"""),"Factura audífonos")</f>
        <v>Factura audífonos</v>
      </c>
      <c r="L190" s="16">
        <f ca="1">IFERROR(__xludf.DUMMYFUNCTION("""COMPUTED_VALUE"""),46070)</f>
        <v>46070</v>
      </c>
      <c r="M190" s="6" t="str">
        <f ca="1">IFERROR(__xludf.DUMMYFUNCTION("""COMPUTED_VALUE"""),"NO")</f>
        <v>NO</v>
      </c>
      <c r="N190" s="15">
        <f ca="1">IFERROR(__xludf.DUMMYFUNCTION("""COMPUTED_VALUE"""),2)</f>
        <v>2</v>
      </c>
      <c r="O190" s="6" t="str">
        <f ca="1">IFERROR(__xludf.DUMMYFUNCTION("""COMPUTED_VALUE"""),"QUIET")</f>
        <v>QUIET</v>
      </c>
      <c r="P190" s="19">
        <f ca="1">IFERROR(__xludf.DUMMYFUNCTION("""COMPUTED_VALUE"""),2718.18)</f>
        <v>2718.18</v>
      </c>
      <c r="Q190" s="6" t="str">
        <f ca="1">IFERROR(__xludf.DUMMYFUNCTION("""COMPUTED_VALUE"""),"Iván Sánchez")</f>
        <v>Iván Sánchez</v>
      </c>
      <c r="R190" s="19" t="str">
        <f ca="1">IFERROR(__xludf.DUMMYFUNCTION("""COMPUTED_VALUE"""),"Alberto Raposo Jiménez")</f>
        <v>Alberto Raposo Jiménez</v>
      </c>
      <c r="S190" s="20" t="str">
        <f ca="1">IFERROR(__xludf.DUMMYFUNCTION("""COMPUTED_VALUE"""),"03 ORL")</f>
        <v>03 ORL</v>
      </c>
      <c r="T190" s="6" t="str">
        <f ca="1">IFERROR(__xludf.DUMMYFUNCTION("""COMPUTED_VALUE"""),"06 ORL")</f>
        <v>06 ORL</v>
      </c>
      <c r="U190" s="21"/>
      <c r="W190" s="21"/>
      <c r="X190" s="21"/>
      <c r="AG190" s="19"/>
      <c r="AJ190" s="19"/>
    </row>
    <row r="191" spans="1:36" ht="16">
      <c r="A191" s="6"/>
      <c r="B191" s="14" t="str">
        <f t="shared" ca="1" si="0"/>
        <v>ISL</v>
      </c>
      <c r="C191" s="23" t="str">
        <f ca="1">IFERROR(__xludf.DUMMYFUNCTION("""COMPUTED_VALUE"""),"ISL76")</f>
        <v>ISL76</v>
      </c>
      <c r="D191" s="6" t="str">
        <f ca="1">IFERROR(__xludf.DUMMYFUNCTION("""COMPUTED_VALUE"""),"PROPIOS")</f>
        <v>PROPIOS</v>
      </c>
      <c r="E191" s="6">
        <f ca="1">IFERROR(__xludf.DUMMYFUNCTION("""COMPUTED_VALUE"""),2026)</f>
        <v>2026</v>
      </c>
      <c r="F191" s="15">
        <f ca="1">IFERROR(__xludf.DUMMYFUNCTION("""COMPUTED_VALUE"""),2)</f>
        <v>2</v>
      </c>
      <c r="G191" s="6" t="str">
        <f ca="1">IFERROR(__xludf.DUMMYFUNCTION("""COMPUTED_VALUE"""),"Albacete")</f>
        <v>Albacete</v>
      </c>
      <c r="H191" s="6" t="str">
        <f ca="1">IFERROR(__xludf.DUMMYFUNCTION("""COMPUTED_VALUE"""),"C20261141762719795")</f>
        <v>C20261141762719795</v>
      </c>
      <c r="I191" s="6" t="str">
        <f ca="1">IFERROR(__xludf.DUMMYFUNCTION("""COMPUTED_VALUE"""),"MARIA PILAR MORENO ORTEGA")</f>
        <v>MARIA PILAR MORENO ORTEGA</v>
      </c>
      <c r="J191" s="16">
        <f ca="1">IFERROR(__xludf.DUMMYFUNCTION("""COMPUTED_VALUE"""),46036)</f>
        <v>46036</v>
      </c>
      <c r="K191" s="6" t="str">
        <f ca="1">IFERROR(__xludf.DUMMYFUNCTION("""COMPUTED_VALUE"""),"Factura audífonos")</f>
        <v>Factura audífonos</v>
      </c>
      <c r="L191" s="16">
        <f ca="1">IFERROR(__xludf.DUMMYFUNCTION("""COMPUTED_VALUE"""),46070)</f>
        <v>46070</v>
      </c>
      <c r="M191" s="6" t="str">
        <f ca="1">IFERROR(__xludf.DUMMYFUNCTION("""COMPUTED_VALUE"""),"NO")</f>
        <v>NO</v>
      </c>
      <c r="N191" s="15">
        <f ca="1">IFERROR(__xludf.DUMMYFUNCTION("""COMPUTED_VALUE"""),1)</f>
        <v>1</v>
      </c>
      <c r="O191" s="6" t="str">
        <f ca="1">IFERROR(__xludf.DUMMYFUNCTION("""COMPUTED_VALUE"""),"ADVANCED")</f>
        <v>ADVANCED</v>
      </c>
      <c r="P191" s="19">
        <f ca="1">IFERROR(__xludf.DUMMYFUNCTION("""COMPUTED_VALUE"""),2481.82)</f>
        <v>2481.8200000000002</v>
      </c>
      <c r="Q191" s="6" t="str">
        <f ca="1">IFERROR(__xludf.DUMMYFUNCTION("""COMPUTED_VALUE"""),"Iván Sánchez")</f>
        <v>Iván Sánchez</v>
      </c>
      <c r="R191" s="19" t="str">
        <f ca="1">IFERROR(__xludf.DUMMYFUNCTION("""COMPUTED_VALUE"""),"Pedro Seguí Moya")</f>
        <v>Pedro Seguí Moya</v>
      </c>
      <c r="S191" s="20" t="str">
        <f ca="1">IFERROR(__xludf.DUMMYFUNCTION("""COMPUTED_VALUE"""),"03 ORL")</f>
        <v>03 ORL</v>
      </c>
      <c r="T191" s="6" t="str">
        <f ca="1">IFERROR(__xludf.DUMMYFUNCTION("""COMPUTED_VALUE"""),"06 ORL")</f>
        <v>06 ORL</v>
      </c>
      <c r="U191" s="21"/>
      <c r="W191" s="21"/>
      <c r="X191" s="21"/>
      <c r="AG191" s="19"/>
      <c r="AJ191" s="19"/>
    </row>
    <row r="192" spans="1:36" ht="16">
      <c r="A192" s="6"/>
      <c r="B192" s="14" t="str">
        <f t="shared" ca="1" si="0"/>
        <v>ISL</v>
      </c>
      <c r="C192" s="23" t="str">
        <f ca="1">IFERROR(__xludf.DUMMYFUNCTION("""COMPUTED_VALUE"""),"ISL99")</f>
        <v>ISL99</v>
      </c>
      <c r="D192" s="6" t="str">
        <f ca="1">IFERROR(__xludf.DUMMYFUNCTION("""COMPUTED_VALUE"""),"PROPIOS")</f>
        <v>PROPIOS</v>
      </c>
      <c r="E192" s="6">
        <f ca="1">IFERROR(__xludf.DUMMYFUNCTION("""COMPUTED_VALUE"""),2026)</f>
        <v>2026</v>
      </c>
      <c r="F192" s="15">
        <f ca="1">IFERROR(__xludf.DUMMYFUNCTION("""COMPUTED_VALUE"""),2)</f>
        <v>2</v>
      </c>
      <c r="G192" s="6" t="str">
        <f ca="1">IFERROR(__xludf.DUMMYFUNCTION("""COMPUTED_VALUE"""),"Alicante")</f>
        <v>Alicante</v>
      </c>
      <c r="H192" s="6" t="str">
        <f ca="1">IFERROR(__xludf.DUMMYFUNCTION("""COMPUTED_VALUE"""),"C202611316359736174")</f>
        <v>C202611316359736174</v>
      </c>
      <c r="I192" s="6" t="str">
        <f ca="1">IFERROR(__xludf.DUMMYFUNCTION("""COMPUTED_VALUE"""),"ASUNCION SOLER ORTS")</f>
        <v>ASUNCION SOLER ORTS</v>
      </c>
      <c r="J192" s="16">
        <f ca="1">IFERROR(__xludf.DUMMYFUNCTION("""COMPUTED_VALUE"""),46035)</f>
        <v>46035</v>
      </c>
      <c r="K192" s="6" t="str">
        <f ca="1">IFERROR(__xludf.DUMMYFUNCTION("""COMPUTED_VALUE"""),"Factura audífonos")</f>
        <v>Factura audífonos</v>
      </c>
      <c r="L192" s="16">
        <f ca="1">IFERROR(__xludf.DUMMYFUNCTION("""COMPUTED_VALUE"""),46070)</f>
        <v>46070</v>
      </c>
      <c r="M192" s="6" t="str">
        <f ca="1">IFERROR(__xludf.DUMMYFUNCTION("""COMPUTED_VALUE"""),"NO")</f>
        <v>NO</v>
      </c>
      <c r="N192" s="15">
        <f ca="1">IFERROR(__xludf.DUMMYFUNCTION("""COMPUTED_VALUE"""),2)</f>
        <v>2</v>
      </c>
      <c r="O192" s="6" t="str">
        <f ca="1">IFERROR(__xludf.DUMMYFUNCTION("""COMPUTED_VALUE"""),"CONFORT")</f>
        <v>CONFORT</v>
      </c>
      <c r="P192" s="18">
        <f ca="1">IFERROR(__xludf.DUMMYFUNCTION("""COMPUTED_VALUE"""),3631.82)</f>
        <v>3631.82</v>
      </c>
      <c r="Q192" s="6" t="str">
        <f ca="1">IFERROR(__xludf.DUMMYFUNCTION("""COMPUTED_VALUE"""),"Iván Sánchez")</f>
        <v>Iván Sánchez</v>
      </c>
      <c r="R192" s="19" t="str">
        <f ca="1">IFERROR(__xludf.DUMMYFUNCTION("""COMPUTED_VALUE"""),"Cristina Muñoz Pinto")</f>
        <v>Cristina Muñoz Pinto</v>
      </c>
      <c r="S192" s="20" t="str">
        <f ca="1">IFERROR(__xludf.DUMMYFUNCTION("""COMPUTED_VALUE"""),"03 ORL")</f>
        <v>03 ORL</v>
      </c>
      <c r="T192" s="6" t="str">
        <f ca="1">IFERROR(__xludf.DUMMYFUNCTION("""COMPUTED_VALUE"""),"06 ORL")</f>
        <v>06 ORL</v>
      </c>
      <c r="U192" s="21"/>
      <c r="W192" s="21"/>
      <c r="X192" s="21"/>
      <c r="AG192" s="18"/>
    </row>
    <row r="193" spans="1:36" ht="16">
      <c r="A193" s="6"/>
      <c r="B193" s="14" t="str">
        <f t="shared" si="0"/>
        <v/>
      </c>
      <c r="C193" s="23"/>
      <c r="D193" s="6" t="str">
        <f ca="1">IFERROR(__xludf.DUMMYFUNCTION("""COMPUTED_VALUE"""),"PROPIOS")</f>
        <v>PROPIOS</v>
      </c>
      <c r="E193" s="6">
        <f ca="1">IFERROR(__xludf.DUMMYFUNCTION("""COMPUTED_VALUE"""),2026)</f>
        <v>2026</v>
      </c>
      <c r="F193" s="15">
        <f ca="1">IFERROR(__xludf.DUMMYFUNCTION("""COMPUTED_VALUE"""),2)</f>
        <v>2</v>
      </c>
      <c r="G193" s="6" t="str">
        <f ca="1">IFERROR(__xludf.DUMMYFUNCTION("""COMPUTED_VALUE"""),"Getafe")</f>
        <v>Getafe</v>
      </c>
      <c r="H193" s="6" t="str">
        <f ca="1">IFERROR(__xludf.DUMMYFUNCTION("""COMPUTED_VALUE"""),"C202511251623151961")</f>
        <v>C202511251623151961</v>
      </c>
      <c r="I193" s="6" t="str">
        <f ca="1">IFERROR(__xludf.DUMMYFUNCTION("""COMPUTED_VALUE"""),"MARIFE SANCHEZ FOUZ")</f>
        <v>MARIFE SANCHEZ FOUZ</v>
      </c>
      <c r="J193" s="16">
        <f ca="1">IFERROR(__xludf.DUMMYFUNCTION("""COMPUTED_VALUE"""),45986)</f>
        <v>45986</v>
      </c>
      <c r="K193" s="6" t="str">
        <f ca="1">IFERROR(__xludf.DUMMYFUNCTION("""COMPUTED_VALUE"""),"Factura audífonos")</f>
        <v>Factura audífonos</v>
      </c>
      <c r="L193" s="16">
        <f ca="1">IFERROR(__xludf.DUMMYFUNCTION("""COMPUTED_VALUE"""),46071)</f>
        <v>46071</v>
      </c>
      <c r="M193" s="6" t="str">
        <f ca="1">IFERROR(__xludf.DUMMYFUNCTION("""COMPUTED_VALUE"""),"NO")</f>
        <v>NO</v>
      </c>
      <c r="N193" s="15">
        <f ca="1">IFERROR(__xludf.DUMMYFUNCTION("""COMPUTED_VALUE"""),2)</f>
        <v>2</v>
      </c>
      <c r="O193" s="6" t="str">
        <f ca="1">IFERROR(__xludf.DUMMYFUNCTION("""COMPUTED_VALUE"""),"QUIET")</f>
        <v>QUIET</v>
      </c>
      <c r="P193" s="19">
        <f ca="1">IFERROR(__xludf.DUMMYFUNCTION("""COMPUTED_VALUE"""),2718.18)</f>
        <v>2718.18</v>
      </c>
      <c r="Q193" s="6" t="str">
        <f ca="1">IFERROR(__xludf.DUMMYFUNCTION("""COMPUTED_VALUE"""),"Maika Blázquez")</f>
        <v>Maika Blázquez</v>
      </c>
      <c r="R193" s="19" t="str">
        <f ca="1">IFERROR(__xludf.DUMMYFUNCTION("""COMPUTED_VALUE"""),"No recuerda ORL")</f>
        <v>No recuerda ORL</v>
      </c>
      <c r="S193" s="20" t="str">
        <f ca="1">IFERROR(__xludf.DUMMYFUNCTION("""COMPUTED_VALUE"""),"03 ORL")</f>
        <v>03 ORL</v>
      </c>
      <c r="T193" s="6" t="str">
        <f ca="1">IFERROR(__xludf.DUMMYFUNCTION("""COMPUTED_VALUE"""),"06 ORL")</f>
        <v>06 ORL</v>
      </c>
      <c r="U193" s="21"/>
      <c r="W193" s="21"/>
      <c r="X193" s="21"/>
      <c r="AG193" s="19"/>
    </row>
    <row r="194" spans="1:36" ht="16">
      <c r="A194" s="6"/>
      <c r="B194" s="14" t="str">
        <f t="shared" ca="1" si="0"/>
        <v>LRM</v>
      </c>
      <c r="C194" s="23" t="str">
        <f ca="1">IFERROR(__xludf.DUMMYFUNCTION("""COMPUTED_VALUE"""),"LRM253")</f>
        <v>LRM253</v>
      </c>
      <c r="D194" s="6" t="str">
        <f ca="1">IFERROR(__xludf.DUMMYFUNCTION("""COMPUTED_VALUE"""),"ASOCIADOS")</f>
        <v>ASOCIADOS</v>
      </c>
      <c r="E194" s="6">
        <f ca="1">IFERROR(__xludf.DUMMYFUNCTION("""COMPUTED_VALUE"""),2026)</f>
        <v>2026</v>
      </c>
      <c r="F194" s="15">
        <f ca="1">IFERROR(__xludf.DUMMYFUNCTION("""COMPUTED_VALUE"""),2)</f>
        <v>2</v>
      </c>
      <c r="G194" s="6" t="str">
        <f ca="1">IFERROR(__xludf.DUMMYFUNCTION("""COMPUTED_VALUE"""),"Cáceres")</f>
        <v>Cáceres</v>
      </c>
      <c r="H194" s="6" t="str">
        <f ca="1">IFERROR(__xludf.DUMMYFUNCTION("""COMPUTED_VALUE"""),"C20261279438014227")</f>
        <v>C20261279438014227</v>
      </c>
      <c r="I194" s="6" t="str">
        <f ca="1">IFERROR(__xludf.DUMMYFUNCTION("""COMPUTED_VALUE"""),"VICTORIA GOMEZ CORTES")</f>
        <v>VICTORIA GOMEZ CORTES</v>
      </c>
      <c r="J194" s="16">
        <f ca="1">IFERROR(__xludf.DUMMYFUNCTION("""COMPUTED_VALUE"""),46049)</f>
        <v>46049</v>
      </c>
      <c r="K194" s="6" t="str">
        <f ca="1">IFERROR(__xludf.DUMMYFUNCTION("""COMPUTED_VALUE"""),"Factura audífonos")</f>
        <v>Factura audífonos</v>
      </c>
      <c r="L194" s="16">
        <f ca="1">IFERROR(__xludf.DUMMYFUNCTION("""COMPUTED_VALUE"""),46071)</f>
        <v>46071</v>
      </c>
      <c r="M194" s="6" t="str">
        <f ca="1">IFERROR(__xludf.DUMMYFUNCTION("""COMPUTED_VALUE"""),"NO")</f>
        <v>NO</v>
      </c>
      <c r="N194" s="15">
        <f ca="1">IFERROR(__xludf.DUMMYFUNCTION("""COMPUTED_VALUE"""),2)</f>
        <v>2</v>
      </c>
      <c r="O194" s="6" t="str">
        <f ca="1">IFERROR(__xludf.DUMMYFUNCTION("""COMPUTED_VALUE"""),"PRO")</f>
        <v>PRO</v>
      </c>
      <c r="P194" s="18">
        <f ca="1">IFERROR(__xludf.DUMMYFUNCTION("""COMPUTED_VALUE"""),4990.91)</f>
        <v>4990.91</v>
      </c>
      <c r="Q194" s="6" t="str">
        <f ca="1">IFERROR(__xludf.DUMMYFUNCTION("""COMPUTED_VALUE"""),"Lisandro Russian")</f>
        <v>Lisandro Russian</v>
      </c>
      <c r="R194" s="19" t="str">
        <f ca="1">IFERROR(__xludf.DUMMYFUNCTION("""COMPUTED_VALUE"""),"Marta García Jiménez")</f>
        <v>Marta García Jiménez</v>
      </c>
      <c r="S194" s="20" t="str">
        <f ca="1">IFERROR(__xludf.DUMMYFUNCTION("""COMPUTED_VALUE"""),"03 ORL")</f>
        <v>03 ORL</v>
      </c>
      <c r="T194" s="6" t="str">
        <f ca="1">IFERROR(__xludf.DUMMYFUNCTION("""COMPUTED_VALUE"""),"06 ORL")</f>
        <v>06 ORL</v>
      </c>
      <c r="U194" s="21"/>
      <c r="W194" s="21"/>
      <c r="X194" s="21"/>
      <c r="AE194" s="1"/>
      <c r="AG194" s="19"/>
      <c r="AJ194" s="19"/>
    </row>
    <row r="195" spans="1:36" ht="16">
      <c r="A195" s="6"/>
      <c r="B195" s="14" t="str">
        <f t="shared" ca="1" si="0"/>
        <v>MBM</v>
      </c>
      <c r="C195" s="23" t="str">
        <f ca="1">IFERROR(__xludf.DUMMYFUNCTION("""COMPUTED_VALUE"""),"MBM104")</f>
        <v>MBM104</v>
      </c>
      <c r="D195" s="6" t="str">
        <f ca="1">IFERROR(__xludf.DUMMYFUNCTION("""COMPUTED_VALUE"""),"PROPIOS")</f>
        <v>PROPIOS</v>
      </c>
      <c r="E195" s="6">
        <f ca="1">IFERROR(__xludf.DUMMYFUNCTION("""COMPUTED_VALUE"""),2026)</f>
        <v>2026</v>
      </c>
      <c r="F195" s="15">
        <f ca="1">IFERROR(__xludf.DUMMYFUNCTION("""COMPUTED_VALUE"""),2)</f>
        <v>2</v>
      </c>
      <c r="G195" s="6" t="str">
        <f ca="1">IFERROR(__xludf.DUMMYFUNCTION("""COMPUTED_VALUE"""),"Fuenlabrada")</f>
        <v>Fuenlabrada</v>
      </c>
      <c r="H195" s="6" t="str">
        <f ca="1">IFERROR(__xludf.DUMMYFUNCTION("""COMPUTED_VALUE"""),"FNL-3357")</f>
        <v>FNL-3357</v>
      </c>
      <c r="I195" s="6" t="str">
        <f ca="1">IFERROR(__xludf.DUMMYFUNCTION("""COMPUTED_VALUE"""),"JOSE ANTONIO MARTINEZ ANDRES")</f>
        <v>JOSE ANTONIO MARTINEZ ANDRES</v>
      </c>
      <c r="J195" s="16">
        <f ca="1">IFERROR(__xludf.DUMMYFUNCTION("""COMPUTED_VALUE"""),45321)</f>
        <v>45321</v>
      </c>
      <c r="K195" s="6" t="str">
        <f ca="1">IFERROR(__xludf.DUMMYFUNCTION("""COMPUTED_VALUE"""),"Factura audífonos")</f>
        <v>Factura audífonos</v>
      </c>
      <c r="L195" s="16">
        <f ca="1">IFERROR(__xludf.DUMMYFUNCTION("""COMPUTED_VALUE"""),46071)</f>
        <v>46071</v>
      </c>
      <c r="M195" s="6" t="str">
        <f ca="1">IFERROR(__xludf.DUMMYFUNCTION("""COMPUTED_VALUE"""),"NO")</f>
        <v>NO</v>
      </c>
      <c r="N195" s="15">
        <f ca="1">IFERROR(__xludf.DUMMYFUNCTION("""COMPUTED_VALUE"""),1)</f>
        <v>1</v>
      </c>
      <c r="O195" s="6" t="str">
        <f ca="1">IFERROR(__xludf.DUMMYFUNCTION("""COMPUTED_VALUE"""),"CONFORT")</f>
        <v>CONFORT</v>
      </c>
      <c r="P195" s="19">
        <f ca="1">IFERROR(__xludf.DUMMYFUNCTION("""COMPUTED_VALUE"""),2180.91)</f>
        <v>2180.91</v>
      </c>
      <c r="Q195" s="6" t="str">
        <f ca="1">IFERROR(__xludf.DUMMYFUNCTION("""COMPUTED_VALUE"""),"Maika Blázquez")</f>
        <v>Maika Blázquez</v>
      </c>
      <c r="R195" s="19" t="str">
        <f ca="1">IFERROR(__xludf.DUMMYFUNCTION("""COMPUTED_VALUE"""),"Concepcion Rodríguez Izquierdo")</f>
        <v>Concepcion Rodríguez Izquierdo</v>
      </c>
      <c r="S195" s="20" t="str">
        <f ca="1">IFERROR(__xludf.DUMMYFUNCTION("""COMPUTED_VALUE"""),"03 ORL")</f>
        <v>03 ORL</v>
      </c>
      <c r="T195" s="6" t="str">
        <f ca="1">IFERROR(__xludf.DUMMYFUNCTION("""COMPUTED_VALUE"""),"06 ORL")</f>
        <v>06 ORL</v>
      </c>
      <c r="U195" s="21"/>
      <c r="W195" s="21"/>
      <c r="X195" s="21"/>
      <c r="AG195" s="19"/>
      <c r="AJ195" s="19"/>
    </row>
    <row r="196" spans="1:36" ht="16">
      <c r="A196" s="6"/>
      <c r="B196" s="14" t="str">
        <f t="shared" si="0"/>
        <v/>
      </c>
      <c r="C196" s="23"/>
      <c r="D196" s="6" t="str">
        <f ca="1">IFERROR(__xludf.DUMMYFUNCTION("""COMPUTED_VALUE"""),"ASOCIADOS")</f>
        <v>ASOCIADOS</v>
      </c>
      <c r="E196" s="6">
        <f ca="1">IFERROR(__xludf.DUMMYFUNCTION("""COMPUTED_VALUE"""),2026)</f>
        <v>2026</v>
      </c>
      <c r="F196" s="15">
        <f ca="1">IFERROR(__xludf.DUMMYFUNCTION("""COMPUTED_VALUE"""),2)</f>
        <v>2</v>
      </c>
      <c r="G196" s="6" t="str">
        <f ca="1">IFERROR(__xludf.DUMMYFUNCTION("""COMPUTED_VALUE"""),"Salamanca")</f>
        <v>Salamanca</v>
      </c>
      <c r="H196" s="6" t="str">
        <f ca="1">IFERROR(__xludf.DUMMYFUNCTION("""COMPUTED_VALUE"""),"C20261792847389075")</f>
        <v>C20261792847389075</v>
      </c>
      <c r="I196" s="6" t="str">
        <f ca="1">IFERROR(__xludf.DUMMYFUNCTION("""COMPUTED_VALUE"""),"MARIA INMACULADA  GOMEZ MARTIN")</f>
        <v>MARIA INMACULADA  GOMEZ MARTIN</v>
      </c>
      <c r="J196" s="16">
        <f ca="1">IFERROR(__xludf.DUMMYFUNCTION("""COMPUTED_VALUE"""),46029)</f>
        <v>46029</v>
      </c>
      <c r="K196" s="6" t="str">
        <f ca="1">IFERROR(__xludf.DUMMYFUNCTION("""COMPUTED_VALUE"""),"Factura audífonos")</f>
        <v>Factura audífonos</v>
      </c>
      <c r="L196" s="16">
        <f ca="1">IFERROR(__xludf.DUMMYFUNCTION("""COMPUTED_VALUE"""),46071)</f>
        <v>46071</v>
      </c>
      <c r="M196" s="6" t="str">
        <f ca="1">IFERROR(__xludf.DUMMYFUNCTION("""COMPUTED_VALUE"""),"NO")</f>
        <v>NO</v>
      </c>
      <c r="N196" s="15">
        <f ca="1">IFERROR(__xludf.DUMMYFUNCTION("""COMPUTED_VALUE"""),2)</f>
        <v>2</v>
      </c>
      <c r="O196" s="6" t="str">
        <f ca="1">IFERROR(__xludf.DUMMYFUNCTION("""COMPUTED_VALUE"""),"CONFORT")</f>
        <v>CONFORT</v>
      </c>
      <c r="P196" s="19">
        <f ca="1">IFERROR(__xludf.DUMMYFUNCTION("""COMPUTED_VALUE"""),3730)</f>
        <v>3730</v>
      </c>
      <c r="Q196" s="6" t="str">
        <f ca="1">IFERROR(__xludf.DUMMYFUNCTION("""COMPUTED_VALUE"""),"Alberto Moreno")</f>
        <v>Alberto Moreno</v>
      </c>
      <c r="R196" s="19" t="str">
        <f ca="1">IFERROR(__xludf.DUMMYFUNCTION("""COMPUTED_VALUE"""),"No recuerda ORL")</f>
        <v>No recuerda ORL</v>
      </c>
      <c r="S196" s="20" t="str">
        <f ca="1">IFERROR(__xludf.DUMMYFUNCTION("""COMPUTED_VALUE"""),"03 ORL")</f>
        <v>03 ORL</v>
      </c>
      <c r="T196" s="6" t="str">
        <f ca="1">IFERROR(__xludf.DUMMYFUNCTION("""COMPUTED_VALUE"""),"06 ORL")</f>
        <v>06 ORL</v>
      </c>
      <c r="U196" s="21"/>
      <c r="W196" s="21"/>
      <c r="X196" s="21"/>
      <c r="AG196" s="19"/>
    </row>
    <row r="197" spans="1:36" ht="16">
      <c r="A197" s="6"/>
      <c r="B197" s="14" t="str">
        <f t="shared" ca="1" si="0"/>
        <v>LAA</v>
      </c>
      <c r="C197" s="23" t="str">
        <f ca="1">IFERROR(__xludf.DUMMYFUNCTION("""COMPUTED_VALUE"""),"LAA83")</f>
        <v>LAA83</v>
      </c>
      <c r="D197" s="6" t="str">
        <f ca="1">IFERROR(__xludf.DUMMYFUNCTION("""COMPUTED_VALUE"""),"PROPIOS")</f>
        <v>PROPIOS</v>
      </c>
      <c r="E197" s="6">
        <f ca="1">IFERROR(__xludf.DUMMYFUNCTION("""COMPUTED_VALUE"""),2026)</f>
        <v>2026</v>
      </c>
      <c r="F197" s="15">
        <f ca="1">IFERROR(__xludf.DUMMYFUNCTION("""COMPUTED_VALUE"""),2)</f>
        <v>2</v>
      </c>
      <c r="G197" s="6" t="str">
        <f ca="1">IFERROR(__xludf.DUMMYFUNCTION("""COMPUTED_VALUE"""),"Sevilla- Montoto")</f>
        <v>Sevilla- Montoto</v>
      </c>
      <c r="H197" s="6" t="str">
        <f ca="1">IFERROR(__xludf.DUMMYFUNCTION("""COMPUTED_VALUE"""),"C202512231741419868")</f>
        <v>C202512231741419868</v>
      </c>
      <c r="I197" s="6" t="str">
        <f ca="1">IFERROR(__xludf.DUMMYFUNCTION("""COMPUTED_VALUE"""),"JOSE MANUEL ROMERO ALVAREZ")</f>
        <v>JOSE MANUEL ROMERO ALVAREZ</v>
      </c>
      <c r="J197" s="16">
        <f ca="1">IFERROR(__xludf.DUMMYFUNCTION("""COMPUTED_VALUE"""),46014)</f>
        <v>46014</v>
      </c>
      <c r="K197" s="6" t="str">
        <f ca="1">IFERROR(__xludf.DUMMYFUNCTION("""COMPUTED_VALUE"""),"Factura audífonos")</f>
        <v>Factura audífonos</v>
      </c>
      <c r="L197" s="16">
        <f ca="1">IFERROR(__xludf.DUMMYFUNCTION("""COMPUTED_VALUE"""),46071)</f>
        <v>46071</v>
      </c>
      <c r="M197" s="6" t="str">
        <f ca="1">IFERROR(__xludf.DUMMYFUNCTION("""COMPUTED_VALUE"""),"NO")</f>
        <v>NO</v>
      </c>
      <c r="N197" s="15">
        <f ca="1">IFERROR(__xludf.DUMMYFUNCTION("""COMPUTED_VALUE"""),2)</f>
        <v>2</v>
      </c>
      <c r="O197" s="6" t="str">
        <f ca="1">IFERROR(__xludf.DUMMYFUNCTION("""COMPUTED_VALUE"""),"CONFORT")</f>
        <v>CONFORT</v>
      </c>
      <c r="P197" s="19">
        <f ca="1">IFERROR(__xludf.DUMMYFUNCTION("""COMPUTED_VALUE"""),3631.82)</f>
        <v>3631.82</v>
      </c>
      <c r="Q197" s="6" t="str">
        <f ca="1">IFERROR(__xludf.DUMMYFUNCTION("""COMPUTED_VALUE"""),"Luis Alberto Rodríguez")</f>
        <v>Luis Alberto Rodríguez</v>
      </c>
      <c r="R197" s="19" t="str">
        <f ca="1">IFERROR(__xludf.DUMMYFUNCTION("""COMPUTED_VALUE"""),"Alfonso María Pérez Sánchez")</f>
        <v>Alfonso María Pérez Sánchez</v>
      </c>
      <c r="S197" s="20" t="str">
        <f ca="1">IFERROR(__xludf.DUMMYFUNCTION("""COMPUTED_VALUE"""),"03 ORL")</f>
        <v>03 ORL</v>
      </c>
      <c r="T197" s="6" t="str">
        <f ca="1">IFERROR(__xludf.DUMMYFUNCTION("""COMPUTED_VALUE"""),"06 ORL")</f>
        <v>06 ORL</v>
      </c>
      <c r="U197" s="21"/>
      <c r="W197" s="21"/>
      <c r="X197" s="21"/>
      <c r="AG197" s="19"/>
      <c r="AJ197" s="19"/>
    </row>
    <row r="198" spans="1:36" ht="16">
      <c r="A198" s="6"/>
      <c r="B198" s="14" t="str">
        <f t="shared" ca="1" si="0"/>
        <v>ISL</v>
      </c>
      <c r="C198" s="23" t="str">
        <f ca="1">IFERROR(__xludf.DUMMYFUNCTION("""COMPUTED_VALUE"""),"ISL122")</f>
        <v>ISL122</v>
      </c>
      <c r="D198" s="6" t="str">
        <f ca="1">IFERROR(__xludf.DUMMYFUNCTION("""COMPUTED_VALUE"""),"PROPIOS")</f>
        <v>PROPIOS</v>
      </c>
      <c r="E198" s="6">
        <f ca="1">IFERROR(__xludf.DUMMYFUNCTION("""COMPUTED_VALUE"""),2026)</f>
        <v>2026</v>
      </c>
      <c r="F198" s="15">
        <f ca="1">IFERROR(__xludf.DUMMYFUNCTION("""COMPUTED_VALUE"""),2)</f>
        <v>2</v>
      </c>
      <c r="G198" s="6" t="str">
        <f ca="1">IFERROR(__xludf.DUMMYFUNCTION("""COMPUTED_VALUE"""),"Orihuela")</f>
        <v>Orihuela</v>
      </c>
      <c r="H198" s="6" t="str">
        <f ca="1">IFERROR(__xludf.DUMMYFUNCTION("""COMPUTED_VALUE"""),"C202612811201547926")</f>
        <v>C202612811201547926</v>
      </c>
      <c r="I198" s="6" t="str">
        <f ca="1">IFERROR(__xludf.DUMMYFUNCTION("""COMPUTED_VALUE"""),"HANS PETER DECKER")</f>
        <v>HANS PETER DECKER</v>
      </c>
      <c r="J198" s="16">
        <f ca="1">IFERROR(__xludf.DUMMYFUNCTION("""COMPUTED_VALUE"""),46050)</f>
        <v>46050</v>
      </c>
      <c r="K198" s="6" t="str">
        <f ca="1">IFERROR(__xludf.DUMMYFUNCTION("""COMPUTED_VALUE"""),"Factura audífonos")</f>
        <v>Factura audífonos</v>
      </c>
      <c r="L198" s="16">
        <f ca="1">IFERROR(__xludf.DUMMYFUNCTION("""COMPUTED_VALUE"""),46071)</f>
        <v>46071</v>
      </c>
      <c r="M198" s="6" t="str">
        <f ca="1">IFERROR(__xludf.DUMMYFUNCTION("""COMPUTED_VALUE"""),"NO")</f>
        <v>NO</v>
      </c>
      <c r="N198" s="15">
        <f ca="1">IFERROR(__xludf.DUMMYFUNCTION("""COMPUTED_VALUE"""),2)</f>
        <v>2</v>
      </c>
      <c r="O198" s="6" t="str">
        <f ca="1">IFERROR(__xludf.DUMMYFUNCTION("""COMPUTED_VALUE"""),"CONFORT")</f>
        <v>CONFORT</v>
      </c>
      <c r="P198" s="19">
        <f ca="1">IFERROR(__xludf.DUMMYFUNCTION("""COMPUTED_VALUE"""),3631.82)</f>
        <v>3631.82</v>
      </c>
      <c r="Q198" s="6" t="str">
        <f ca="1">IFERROR(__xludf.DUMMYFUNCTION("""COMPUTED_VALUE"""),"Iván Sánchez")</f>
        <v>Iván Sánchez</v>
      </c>
      <c r="R198" s="19" t="str">
        <f ca="1">IFERROR(__xludf.DUMMYFUNCTION("""COMPUTED_VALUE"""),"María Agustina Sevilla García")</f>
        <v>María Agustina Sevilla García</v>
      </c>
      <c r="S198" s="20" t="str">
        <f ca="1">IFERROR(__xludf.DUMMYFUNCTION("""COMPUTED_VALUE"""),"03 ORL")</f>
        <v>03 ORL</v>
      </c>
      <c r="T198" s="6" t="str">
        <f ca="1">IFERROR(__xludf.DUMMYFUNCTION("""COMPUTED_VALUE"""),"06 ORL")</f>
        <v>06 ORL</v>
      </c>
      <c r="U198" s="21"/>
      <c r="W198" s="21"/>
      <c r="X198" s="21"/>
      <c r="AG198" s="19"/>
      <c r="AJ198" s="19"/>
    </row>
    <row r="199" spans="1:36" ht="16">
      <c r="A199" s="6"/>
      <c r="B199" s="14" t="str">
        <f t="shared" ca="1" si="0"/>
        <v>RPG</v>
      </c>
      <c r="C199" s="23" t="str">
        <f ca="1">IFERROR(__xludf.DUMMYFUNCTION("""COMPUTED_VALUE"""),"RPG30")</f>
        <v>RPG30</v>
      </c>
      <c r="D199" s="6" t="str">
        <f ca="1">IFERROR(__xludf.DUMMYFUNCTION("""COMPUTED_VALUE"""),"PARTICIPADOS")</f>
        <v>PARTICIPADOS</v>
      </c>
      <c r="E199" s="6">
        <f ca="1">IFERROR(__xludf.DUMMYFUNCTION("""COMPUTED_VALUE"""),2026)</f>
        <v>2026</v>
      </c>
      <c r="F199" s="15">
        <f ca="1">IFERROR(__xludf.DUMMYFUNCTION("""COMPUTED_VALUE"""),2)</f>
        <v>2</v>
      </c>
      <c r="G199" s="6" t="str">
        <f ca="1">IFERROR(__xludf.DUMMYFUNCTION("""COMPUTED_VALUE"""),"Lugo")</f>
        <v>Lugo</v>
      </c>
      <c r="H199" s="6" t="str">
        <f ca="1">IFERROR(__xludf.DUMMYFUNCTION("""COMPUTED_VALUE"""),"C202611515322507357")</f>
        <v>C202611515322507357</v>
      </c>
      <c r="I199" s="6" t="str">
        <f ca="1">IFERROR(__xludf.DUMMYFUNCTION("""COMPUTED_VALUE"""),"JESUSA BARREIRO MARTINEZ")</f>
        <v>JESUSA BARREIRO MARTINEZ</v>
      </c>
      <c r="J199" s="16">
        <f ca="1">IFERROR(__xludf.DUMMYFUNCTION("""COMPUTED_VALUE"""),46037)</f>
        <v>46037</v>
      </c>
      <c r="K199" s="6" t="str">
        <f ca="1">IFERROR(__xludf.DUMMYFUNCTION("""COMPUTED_VALUE"""),"Factura audífonos")</f>
        <v>Factura audífonos</v>
      </c>
      <c r="L199" s="16">
        <f ca="1">IFERROR(__xludf.DUMMYFUNCTION("""COMPUTED_VALUE"""),46072)</f>
        <v>46072</v>
      </c>
      <c r="M199" s="6" t="str">
        <f ca="1">IFERROR(__xludf.DUMMYFUNCTION("""COMPUTED_VALUE"""),"NO")</f>
        <v>NO</v>
      </c>
      <c r="N199" s="15">
        <f ca="1">IFERROR(__xludf.DUMMYFUNCTION("""COMPUTED_VALUE"""),2)</f>
        <v>2</v>
      </c>
      <c r="O199" s="6" t="str">
        <f ca="1">IFERROR(__xludf.DUMMYFUNCTION("""COMPUTED_VALUE"""),"QUIET")</f>
        <v>QUIET</v>
      </c>
      <c r="P199" s="18">
        <f ca="1">IFERROR(__xludf.DUMMYFUNCTION("""COMPUTED_VALUE"""),2718.18)</f>
        <v>2718.18</v>
      </c>
      <c r="Q199" s="6" t="str">
        <f ca="1">IFERROR(__xludf.DUMMYFUNCTION("""COMPUTED_VALUE"""),"Kiko Ortega")</f>
        <v>Kiko Ortega</v>
      </c>
      <c r="R199" s="19" t="str">
        <f ca="1">IFERROR(__xludf.DUMMYFUNCTION("""COMPUTED_VALUE"""),"Pedro Juiz López")</f>
        <v>Pedro Juiz López</v>
      </c>
      <c r="S199" s="20" t="str">
        <f ca="1">IFERROR(__xludf.DUMMYFUNCTION("""COMPUTED_VALUE"""),"03 ORL")</f>
        <v>03 ORL</v>
      </c>
      <c r="T199" s="6" t="str">
        <f ca="1">IFERROR(__xludf.DUMMYFUNCTION("""COMPUTED_VALUE"""),"06 ORL")</f>
        <v>06 ORL</v>
      </c>
      <c r="U199" s="21"/>
      <c r="W199" s="21"/>
      <c r="X199" s="21"/>
      <c r="AG199" s="18"/>
      <c r="AJ199" s="19"/>
    </row>
    <row r="200" spans="1:36" ht="16">
      <c r="A200" s="6"/>
      <c r="B200" s="14" t="str">
        <f t="shared" ca="1" si="0"/>
        <v>LAA</v>
      </c>
      <c r="C200" s="23" t="str">
        <f ca="1">IFERROR(__xludf.DUMMYFUNCTION("""COMPUTED_VALUE"""),"LAA19")</f>
        <v>LAA19</v>
      </c>
      <c r="D200" s="6" t="str">
        <f ca="1">IFERROR(__xludf.DUMMYFUNCTION("""COMPUTED_VALUE"""),"ASOCIADOS")</f>
        <v>ASOCIADOS</v>
      </c>
      <c r="E200" s="6">
        <f ca="1">IFERROR(__xludf.DUMMYFUNCTION("""COMPUTED_VALUE"""),2026)</f>
        <v>2026</v>
      </c>
      <c r="F200" s="15">
        <f ca="1">IFERROR(__xludf.DUMMYFUNCTION("""COMPUTED_VALUE"""),2)</f>
        <v>2</v>
      </c>
      <c r="G200" s="6" t="str">
        <f ca="1">IFERROR(__xludf.DUMMYFUNCTION("""COMPUTED_VALUE"""),"Sevilla- Ciencias")</f>
        <v>Sevilla- Ciencias</v>
      </c>
      <c r="H200" s="6" t="str">
        <f ca="1">IFERROR(__xludf.DUMMYFUNCTION("""COMPUTED_VALUE"""),"C202611513242917232")</f>
        <v>C202611513242917232</v>
      </c>
      <c r="I200" s="6" t="str">
        <f ca="1">IFERROR(__xludf.DUMMYFUNCTION("""COMPUTED_VALUE"""),"MANUEL ZAMORA CASTRO")</f>
        <v>MANUEL ZAMORA CASTRO</v>
      </c>
      <c r="J200" s="16">
        <f ca="1">IFERROR(__xludf.DUMMYFUNCTION("""COMPUTED_VALUE"""),46037)</f>
        <v>46037</v>
      </c>
      <c r="K200" s="6" t="str">
        <f ca="1">IFERROR(__xludf.DUMMYFUNCTION("""COMPUTED_VALUE"""),"Factura audífonos")</f>
        <v>Factura audífonos</v>
      </c>
      <c r="L200" s="16">
        <f ca="1">IFERROR(__xludf.DUMMYFUNCTION("""COMPUTED_VALUE"""),46072)</f>
        <v>46072</v>
      </c>
      <c r="M200" s="6" t="str">
        <f ca="1">IFERROR(__xludf.DUMMYFUNCTION("""COMPUTED_VALUE"""),"NO")</f>
        <v>NO</v>
      </c>
      <c r="N200" s="15">
        <f ca="1">IFERROR(__xludf.DUMMYFUNCTION("""COMPUTED_VALUE"""),2)</f>
        <v>2</v>
      </c>
      <c r="O200" s="6" t="str">
        <f ca="1">IFERROR(__xludf.DUMMYFUNCTION("""COMPUTED_VALUE"""),"CONFORT")</f>
        <v>CONFORT</v>
      </c>
      <c r="P200" s="18">
        <f ca="1">IFERROR(__xludf.DUMMYFUNCTION("""COMPUTED_VALUE"""),3631.82)</f>
        <v>3631.82</v>
      </c>
      <c r="Q200" s="6" t="str">
        <f ca="1">IFERROR(__xludf.DUMMYFUNCTION("""COMPUTED_VALUE"""),"Luis Alberto Rodríguez")</f>
        <v>Luis Alberto Rodríguez</v>
      </c>
      <c r="R200" s="19" t="str">
        <f ca="1">IFERROR(__xludf.DUMMYFUNCTION("""COMPUTED_VALUE"""),"Gustavo Benavente Bermudo")</f>
        <v>Gustavo Benavente Bermudo</v>
      </c>
      <c r="S200" s="20" t="str">
        <f ca="1">IFERROR(__xludf.DUMMYFUNCTION("""COMPUTED_VALUE"""),"03 ORL")</f>
        <v>03 ORL</v>
      </c>
      <c r="T200" s="6" t="str">
        <f ca="1">IFERROR(__xludf.DUMMYFUNCTION("""COMPUTED_VALUE"""),"06 ORL")</f>
        <v>06 ORL</v>
      </c>
      <c r="U200" s="21"/>
      <c r="W200" s="21"/>
      <c r="X200" s="21"/>
      <c r="AG200" s="18"/>
      <c r="AJ200" s="19"/>
    </row>
    <row r="201" spans="1:36" ht="16">
      <c r="A201" s="6"/>
      <c r="B201" s="14" t="str">
        <f t="shared" ca="1" si="0"/>
        <v>LAA</v>
      </c>
      <c r="C201" s="23" t="str">
        <f ca="1">IFERROR(__xludf.DUMMYFUNCTION("""COMPUTED_VALUE"""),"LAA63")</f>
        <v>LAA63</v>
      </c>
      <c r="D201" s="6" t="str">
        <f ca="1">IFERROR(__xludf.DUMMYFUNCTION("""COMPUTED_VALUE"""),"PARTICIPADOS")</f>
        <v>PARTICIPADOS</v>
      </c>
      <c r="E201" s="6">
        <f ca="1">IFERROR(__xludf.DUMMYFUNCTION("""COMPUTED_VALUE"""),2026)</f>
        <v>2026</v>
      </c>
      <c r="F201" s="15">
        <f ca="1">IFERROR(__xludf.DUMMYFUNCTION("""COMPUTED_VALUE"""),2)</f>
        <v>2</v>
      </c>
      <c r="G201" s="6" t="str">
        <f ca="1">IFERROR(__xludf.DUMMYFUNCTION("""COMPUTED_VALUE"""),"Madrid- La Oca")</f>
        <v>Madrid- La Oca</v>
      </c>
      <c r="H201" s="6" t="str">
        <f ca="1">IFERROR(__xludf.DUMMYFUNCTION("""COMPUTED_VALUE"""),"C202612010113803169")</f>
        <v>C202612010113803169</v>
      </c>
      <c r="I201" s="6" t="str">
        <f ca="1">IFERROR(__xludf.DUMMYFUNCTION("""COMPUTED_VALUE"""),"MARIA ENCARNACION GONZALEZ GALLEGO ESPINOSA")</f>
        <v>MARIA ENCARNACION GONZALEZ GALLEGO ESPINOSA</v>
      </c>
      <c r="J201" s="16">
        <f ca="1">IFERROR(__xludf.DUMMYFUNCTION("""COMPUTED_VALUE"""),46042)</f>
        <v>46042</v>
      </c>
      <c r="K201" s="6" t="str">
        <f ca="1">IFERROR(__xludf.DUMMYFUNCTION("""COMPUTED_VALUE"""),"Factura audífonos")</f>
        <v>Factura audífonos</v>
      </c>
      <c r="L201" s="16">
        <f ca="1">IFERROR(__xludf.DUMMYFUNCTION("""COMPUTED_VALUE"""),46072)</f>
        <v>46072</v>
      </c>
      <c r="M201" s="6" t="str">
        <f ca="1">IFERROR(__xludf.DUMMYFUNCTION("""COMPUTED_VALUE"""),"NO")</f>
        <v>NO</v>
      </c>
      <c r="N201" s="15">
        <f ca="1">IFERROR(__xludf.DUMMYFUNCTION("""COMPUTED_VALUE"""),2)</f>
        <v>2</v>
      </c>
      <c r="O201" s="6" t="str">
        <f ca="1">IFERROR(__xludf.DUMMYFUNCTION("""COMPUTED_VALUE"""),"QUIET")</f>
        <v>QUIET</v>
      </c>
      <c r="P201" s="19">
        <f ca="1">IFERROR(__xludf.DUMMYFUNCTION("""COMPUTED_VALUE"""),2718.18)</f>
        <v>2718.18</v>
      </c>
      <c r="Q201" s="6" t="str">
        <f ca="1">IFERROR(__xludf.DUMMYFUNCTION("""COMPUTED_VALUE"""),"Maika Blázquez")</f>
        <v>Maika Blázquez</v>
      </c>
      <c r="R201" s="19" t="str">
        <f ca="1">IFERROR(__xludf.DUMMYFUNCTION("""COMPUTED_VALUE"""),"Julio López Moya")</f>
        <v>Julio López Moya</v>
      </c>
      <c r="S201" s="20" t="str">
        <f ca="1">IFERROR(__xludf.DUMMYFUNCTION("""COMPUTED_VALUE"""),"03 ORL")</f>
        <v>03 ORL</v>
      </c>
      <c r="T201" s="6" t="str">
        <f ca="1">IFERROR(__xludf.DUMMYFUNCTION("""COMPUTED_VALUE"""),"06 ORL")</f>
        <v>06 ORL</v>
      </c>
      <c r="U201" s="21"/>
      <c r="W201" s="21"/>
      <c r="X201" s="21"/>
      <c r="AG201" s="19"/>
      <c r="AJ201" s="19"/>
    </row>
    <row r="202" spans="1:36" ht="16">
      <c r="A202" s="6"/>
      <c r="B202" s="14" t="str">
        <f t="shared" ca="1" si="0"/>
        <v>ISL</v>
      </c>
      <c r="C202" s="23" t="str">
        <f ca="1">IFERROR(__xludf.DUMMYFUNCTION("""COMPUTED_VALUE"""),"ISL75")</f>
        <v>ISL75</v>
      </c>
      <c r="D202" s="6" t="str">
        <f ca="1">IFERROR(__xludf.DUMMYFUNCTION("""COMPUTED_VALUE"""),"PROPIOS")</f>
        <v>PROPIOS</v>
      </c>
      <c r="E202" s="6">
        <f ca="1">IFERROR(__xludf.DUMMYFUNCTION("""COMPUTED_VALUE"""),2026)</f>
        <v>2026</v>
      </c>
      <c r="F202" s="15">
        <f ca="1">IFERROR(__xludf.DUMMYFUNCTION("""COMPUTED_VALUE"""),2)</f>
        <v>2</v>
      </c>
      <c r="G202" s="6" t="str">
        <f ca="1">IFERROR(__xludf.DUMMYFUNCTION("""COMPUTED_VALUE"""),"Albacete")</f>
        <v>Albacete</v>
      </c>
      <c r="H202" s="6" t="str">
        <f ca="1">IFERROR(__xludf.DUMMYFUNCTION("""COMPUTED_VALUE"""),"C202612312201081452")</f>
        <v>C202612312201081452</v>
      </c>
      <c r="I202" s="6" t="str">
        <f ca="1">IFERROR(__xludf.DUMMYFUNCTION("""COMPUTED_VALUE"""),"ANTONIO GABALDON CANTERO")</f>
        <v>ANTONIO GABALDON CANTERO</v>
      </c>
      <c r="J202" s="16">
        <f ca="1">IFERROR(__xludf.DUMMYFUNCTION("""COMPUTED_VALUE"""),46045)</f>
        <v>46045</v>
      </c>
      <c r="K202" s="6" t="str">
        <f ca="1">IFERROR(__xludf.DUMMYFUNCTION("""COMPUTED_VALUE"""),"Factura audífonos")</f>
        <v>Factura audífonos</v>
      </c>
      <c r="L202" s="16">
        <f ca="1">IFERROR(__xludf.DUMMYFUNCTION("""COMPUTED_VALUE"""),46072)</f>
        <v>46072</v>
      </c>
      <c r="M202" s="6" t="str">
        <f ca="1">IFERROR(__xludf.DUMMYFUNCTION("""COMPUTED_VALUE"""),"NO")</f>
        <v>NO</v>
      </c>
      <c r="N202" s="15">
        <f ca="1">IFERROR(__xludf.DUMMYFUNCTION("""COMPUTED_VALUE"""),1)</f>
        <v>1</v>
      </c>
      <c r="O202" s="6" t="str">
        <f ca="1">IFERROR(__xludf.DUMMYFUNCTION("""COMPUTED_VALUE"""),"QUIET")</f>
        <v>QUIET</v>
      </c>
      <c r="P202" s="18">
        <f ca="1">IFERROR(__xludf.DUMMYFUNCTION("""COMPUTED_VALUE"""),1631.82)</f>
        <v>1631.82</v>
      </c>
      <c r="Q202" s="6" t="str">
        <f ca="1">IFERROR(__xludf.DUMMYFUNCTION("""COMPUTED_VALUE"""),"Iván Sánchez")</f>
        <v>Iván Sánchez</v>
      </c>
      <c r="R202" s="19" t="str">
        <f ca="1">IFERROR(__xludf.DUMMYFUNCTION("""COMPUTED_VALUE"""),"Pedro Masegosa Zapata")</f>
        <v>Pedro Masegosa Zapata</v>
      </c>
      <c r="S202" s="20" t="str">
        <f ca="1">IFERROR(__xludf.DUMMYFUNCTION("""COMPUTED_VALUE"""),"03 ORL")</f>
        <v>03 ORL</v>
      </c>
      <c r="T202" s="6" t="str">
        <f ca="1">IFERROR(__xludf.DUMMYFUNCTION("""COMPUTED_VALUE"""),"06 ORL")</f>
        <v>06 ORL</v>
      </c>
      <c r="U202" s="21"/>
      <c r="W202" s="21"/>
      <c r="X202" s="21"/>
      <c r="AG202" s="18"/>
      <c r="AJ202" s="19"/>
    </row>
    <row r="203" spans="1:36" ht="16">
      <c r="A203" s="6"/>
      <c r="B203" s="14" t="str">
        <f t="shared" ca="1" si="0"/>
        <v>MBM</v>
      </c>
      <c r="C203" s="23" t="str">
        <f ca="1">IFERROR(__xludf.DUMMYFUNCTION("""COMPUTED_VALUE"""),"MBM104")</f>
        <v>MBM104</v>
      </c>
      <c r="D203" s="6" t="str">
        <f ca="1">IFERROR(__xludf.DUMMYFUNCTION("""COMPUTED_VALUE"""),"PROPIOS")</f>
        <v>PROPIOS</v>
      </c>
      <c r="E203" s="6">
        <f ca="1">IFERROR(__xludf.DUMMYFUNCTION("""COMPUTED_VALUE"""),2026)</f>
        <v>2026</v>
      </c>
      <c r="F203" s="15">
        <f ca="1">IFERROR(__xludf.DUMMYFUNCTION("""COMPUTED_VALUE"""),2)</f>
        <v>2</v>
      </c>
      <c r="G203" s="6" t="str">
        <f ca="1">IFERROR(__xludf.DUMMYFUNCTION("""COMPUTED_VALUE"""),"Fuenlabrada")</f>
        <v>Fuenlabrada</v>
      </c>
      <c r="H203" s="6" t="str">
        <f ca="1">IFERROR(__xludf.DUMMYFUNCTION("""COMPUTED_VALUE"""),"C202611417462554800")</f>
        <v>C202611417462554800</v>
      </c>
      <c r="I203" s="6" t="str">
        <f ca="1">IFERROR(__xludf.DUMMYFUNCTION("""COMPUTED_VALUE"""),"MARGARITA GONZALEZ MARTIN")</f>
        <v>MARGARITA GONZALEZ MARTIN</v>
      </c>
      <c r="J203" s="16">
        <f ca="1">IFERROR(__xludf.DUMMYFUNCTION("""COMPUTED_VALUE"""),46036)</f>
        <v>46036</v>
      </c>
      <c r="K203" s="6" t="str">
        <f ca="1">IFERROR(__xludf.DUMMYFUNCTION("""COMPUTED_VALUE"""),"Factura audífonos")</f>
        <v>Factura audífonos</v>
      </c>
      <c r="L203" s="16">
        <f ca="1">IFERROR(__xludf.DUMMYFUNCTION("""COMPUTED_VALUE"""),46072)</f>
        <v>46072</v>
      </c>
      <c r="M203" s="6" t="str">
        <f ca="1">IFERROR(__xludf.DUMMYFUNCTION("""COMPUTED_VALUE"""),"NO")</f>
        <v>NO</v>
      </c>
      <c r="N203" s="15">
        <f ca="1">IFERROR(__xludf.DUMMYFUNCTION("""COMPUTED_VALUE"""),1)</f>
        <v>1</v>
      </c>
      <c r="O203" s="6" t="str">
        <f ca="1">IFERROR(__xludf.DUMMYFUNCTION("""COMPUTED_VALUE"""),"QUIET")</f>
        <v>QUIET</v>
      </c>
      <c r="P203" s="19">
        <f ca="1">IFERROR(__xludf.DUMMYFUNCTION("""COMPUTED_VALUE"""),1631.82)</f>
        <v>1631.82</v>
      </c>
      <c r="Q203" s="6" t="str">
        <f ca="1">IFERROR(__xludf.DUMMYFUNCTION("""COMPUTED_VALUE"""),"Maika Blázquez")</f>
        <v>Maika Blázquez</v>
      </c>
      <c r="R203" s="19" t="str">
        <f ca="1">IFERROR(__xludf.DUMMYFUNCTION("""COMPUTED_VALUE"""),"Concepcion Rodríguez Izquierdo")</f>
        <v>Concepcion Rodríguez Izquierdo</v>
      </c>
      <c r="S203" s="20" t="str">
        <f ca="1">IFERROR(__xludf.DUMMYFUNCTION("""COMPUTED_VALUE"""),"03 ORL")</f>
        <v>03 ORL</v>
      </c>
      <c r="T203" s="6" t="str">
        <f ca="1">IFERROR(__xludf.DUMMYFUNCTION("""COMPUTED_VALUE"""),"06 ORL")</f>
        <v>06 ORL</v>
      </c>
      <c r="U203" s="21"/>
      <c r="W203" s="21"/>
      <c r="X203" s="21"/>
      <c r="AG203" s="19"/>
      <c r="AJ203" s="19"/>
    </row>
    <row r="204" spans="1:36" ht="16">
      <c r="A204" s="6"/>
      <c r="B204" s="14" t="str">
        <f t="shared" ca="1" si="0"/>
        <v>PSC</v>
      </c>
      <c r="C204" s="23" t="str">
        <f ca="1">IFERROR(__xludf.DUMMYFUNCTION("""COMPUTED_VALUE"""),"PSC04")</f>
        <v>PSC04</v>
      </c>
      <c r="D204" s="6" t="str">
        <f ca="1">IFERROR(__xludf.DUMMYFUNCTION("""COMPUTED_VALUE"""),"ASOCIADOS")</f>
        <v>ASOCIADOS</v>
      </c>
      <c r="E204" s="6">
        <f ca="1">IFERROR(__xludf.DUMMYFUNCTION("""COMPUTED_VALUE"""),2026)</f>
        <v>2026</v>
      </c>
      <c r="F204" s="15">
        <f ca="1">IFERROR(__xludf.DUMMYFUNCTION("""COMPUTED_VALUE"""),2)</f>
        <v>2</v>
      </c>
      <c r="G204" s="6" t="str">
        <f ca="1">IFERROR(__xludf.DUMMYFUNCTION("""COMPUTED_VALUE"""),"León")</f>
        <v>León</v>
      </c>
      <c r="H204" s="6" t="str">
        <f ca="1">IFERROR(__xludf.DUMMYFUNCTION("""COMPUTED_VALUE"""),"C20262695038079529")</f>
        <v>C20262695038079529</v>
      </c>
      <c r="I204" s="6" t="str">
        <f ca="1">IFERROR(__xludf.DUMMYFUNCTION("""COMPUTED_VALUE"""),"Erundina Herrero Calvo")</f>
        <v>Erundina Herrero Calvo</v>
      </c>
      <c r="J204" s="16">
        <f ca="1">IFERROR(__xludf.DUMMYFUNCTION("""COMPUTED_VALUE"""),46059)</f>
        <v>46059</v>
      </c>
      <c r="K204" s="6" t="str">
        <f ca="1">IFERROR(__xludf.DUMMYFUNCTION("""COMPUTED_VALUE"""),"Factura audífonos")</f>
        <v>Factura audífonos</v>
      </c>
      <c r="L204" s="16">
        <f ca="1">IFERROR(__xludf.DUMMYFUNCTION("""COMPUTED_VALUE"""),46072)</f>
        <v>46072</v>
      </c>
      <c r="M204" s="6" t="str">
        <f ca="1">IFERROR(__xludf.DUMMYFUNCTION("""COMPUTED_VALUE"""),"NO")</f>
        <v>NO</v>
      </c>
      <c r="N204" s="15">
        <f ca="1">IFERROR(__xludf.DUMMYFUNCTION("""COMPUTED_VALUE"""),2)</f>
        <v>2</v>
      </c>
      <c r="O204" s="6" t="str">
        <f ca="1">IFERROR(__xludf.DUMMYFUNCTION("""COMPUTED_VALUE"""),"CONFORT")</f>
        <v>CONFORT</v>
      </c>
      <c r="P204" s="18">
        <f ca="1">IFERROR(__xludf.DUMMYFUNCTION("""COMPUTED_VALUE"""),4090.91)</f>
        <v>4090.91</v>
      </c>
      <c r="Q204" s="6" t="str">
        <f ca="1">IFERROR(__xludf.DUMMYFUNCTION("""COMPUTED_VALUE"""),"Alberto Moreno")</f>
        <v>Alberto Moreno</v>
      </c>
      <c r="R204" s="19" t="str">
        <f ca="1">IFERROR(__xludf.DUMMYFUNCTION("""COMPUTED_VALUE"""),"Carlos Durán Díez")</f>
        <v>Carlos Durán Díez</v>
      </c>
      <c r="S204" s="20" t="str">
        <f ca="1">IFERROR(__xludf.DUMMYFUNCTION("""COMPUTED_VALUE"""),"03 ORL")</f>
        <v>03 ORL</v>
      </c>
      <c r="T204" s="6" t="str">
        <f ca="1">IFERROR(__xludf.DUMMYFUNCTION("""COMPUTED_VALUE"""),"06 ORL")</f>
        <v>06 ORL</v>
      </c>
      <c r="U204" s="21"/>
      <c r="W204" s="21"/>
      <c r="X204" s="21"/>
      <c r="AG204" s="19"/>
      <c r="AJ204" s="19"/>
    </row>
    <row r="205" spans="1:36" ht="16">
      <c r="A205" s="6"/>
      <c r="B205" s="14" t="str">
        <f t="shared" ca="1" si="0"/>
        <v>MBM</v>
      </c>
      <c r="C205" s="23" t="str">
        <f ca="1">IFERROR(__xludf.DUMMYFUNCTION("""COMPUTED_VALUE"""),"MBM39")</f>
        <v>MBM39</v>
      </c>
      <c r="D205" s="6" t="str">
        <f ca="1">IFERROR(__xludf.DUMMYFUNCTION("""COMPUTED_VALUE"""),"PROPIOS")</f>
        <v>PROPIOS</v>
      </c>
      <c r="E205" s="6">
        <f ca="1">IFERROR(__xludf.DUMMYFUNCTION("""COMPUTED_VALUE"""),2026)</f>
        <v>2026</v>
      </c>
      <c r="F205" s="15">
        <f ca="1">IFERROR(__xludf.DUMMYFUNCTION("""COMPUTED_VALUE"""),2)</f>
        <v>2</v>
      </c>
      <c r="G205" s="6" t="str">
        <f ca="1">IFERROR(__xludf.DUMMYFUNCTION("""COMPUTED_VALUE"""),"Madrid- Juan Bravo")</f>
        <v>Madrid- Juan Bravo</v>
      </c>
      <c r="H205" s="6" t="str">
        <f ca="1">IFERROR(__xludf.DUMMYFUNCTION("""COMPUTED_VALUE"""),"C202612911221958756")</f>
        <v>C202612911221958756</v>
      </c>
      <c r="I205" s="6" t="str">
        <f ca="1">IFERROR(__xludf.DUMMYFUNCTION("""COMPUTED_VALUE"""),"SOFIA MARTINEZ PONCE")</f>
        <v>SOFIA MARTINEZ PONCE</v>
      </c>
      <c r="J205" s="16">
        <f ca="1">IFERROR(__xludf.DUMMYFUNCTION("""COMPUTED_VALUE"""),46051)</f>
        <v>46051</v>
      </c>
      <c r="K205" s="6" t="str">
        <f ca="1">IFERROR(__xludf.DUMMYFUNCTION("""COMPUTED_VALUE"""),"Factura audífonos")</f>
        <v>Factura audífonos</v>
      </c>
      <c r="L205" s="16">
        <f ca="1">IFERROR(__xludf.DUMMYFUNCTION("""COMPUTED_VALUE"""),46072)</f>
        <v>46072</v>
      </c>
      <c r="M205" s="6" t="str">
        <f ca="1">IFERROR(__xludf.DUMMYFUNCTION("""COMPUTED_VALUE"""),"NO")</f>
        <v>NO</v>
      </c>
      <c r="N205" s="15">
        <f ca="1">IFERROR(__xludf.DUMMYFUNCTION("""COMPUTED_VALUE"""),2)</f>
        <v>2</v>
      </c>
      <c r="O205" s="6" t="str">
        <f ca="1">IFERROR(__xludf.DUMMYFUNCTION("""COMPUTED_VALUE"""),"ADVANCED")</f>
        <v>ADVANCED</v>
      </c>
      <c r="P205" s="18">
        <f ca="1">IFERROR(__xludf.DUMMYFUNCTION("""COMPUTED_VALUE"""),4136.36)</f>
        <v>4136.3599999999997</v>
      </c>
      <c r="Q205" s="6" t="str">
        <f ca="1">IFERROR(__xludf.DUMMYFUNCTION("""COMPUTED_VALUE"""),"Maika Blázquez")</f>
        <v>Maika Blázquez</v>
      </c>
      <c r="R205" s="19" t="str">
        <f ca="1">IFERROR(__xludf.DUMMYFUNCTION("""COMPUTED_VALUE"""),"Javier García Domínguez")</f>
        <v>Javier García Domínguez</v>
      </c>
      <c r="S205" s="20" t="str">
        <f ca="1">IFERROR(__xludf.DUMMYFUNCTION("""COMPUTED_VALUE"""),"03 ORL")</f>
        <v>03 ORL</v>
      </c>
      <c r="T205" s="6" t="str">
        <f ca="1">IFERROR(__xludf.DUMMYFUNCTION("""COMPUTED_VALUE"""),"06 ORL")</f>
        <v>06 ORL</v>
      </c>
      <c r="U205" s="21"/>
      <c r="W205" s="20"/>
      <c r="X205" s="21"/>
      <c r="AG205" s="18"/>
    </row>
    <row r="206" spans="1:36" ht="16">
      <c r="A206" s="6"/>
      <c r="B206" s="14" t="str">
        <f t="shared" ca="1" si="0"/>
        <v>MBM</v>
      </c>
      <c r="C206" s="23" t="str">
        <f ca="1">IFERROR(__xludf.DUMMYFUNCTION("""COMPUTED_VALUE"""),"MBM226")</f>
        <v>MBM226</v>
      </c>
      <c r="D206" s="6" t="str">
        <f ca="1">IFERROR(__xludf.DUMMYFUNCTION("""COMPUTED_VALUE"""),"PROPIOS")</f>
        <v>PROPIOS</v>
      </c>
      <c r="E206" s="6">
        <f ca="1">IFERROR(__xludf.DUMMYFUNCTION("""COMPUTED_VALUE"""),2026)</f>
        <v>2026</v>
      </c>
      <c r="F206" s="15">
        <f ca="1">IFERROR(__xludf.DUMMYFUNCTION("""COMPUTED_VALUE"""),2)</f>
        <v>2</v>
      </c>
      <c r="G206" s="6" t="str">
        <f ca="1">IFERROR(__xludf.DUMMYFUNCTION("""COMPUTED_VALUE"""),"Torrejón de Ardoz")</f>
        <v>Torrejón de Ardoz</v>
      </c>
      <c r="H206" s="6" t="str">
        <f ca="1">IFERROR(__xludf.DUMMYFUNCTION("""COMPUTED_VALUE"""),"C20261985450557701")</f>
        <v>C20261985450557701</v>
      </c>
      <c r="I206" s="6" t="str">
        <f ca="1">IFERROR(__xludf.DUMMYFUNCTION("""COMPUTED_VALUE"""),"FRANCISCO JAVIER TRILLA MOCHALES")</f>
        <v>FRANCISCO JAVIER TRILLA MOCHALES</v>
      </c>
      <c r="J206" s="16">
        <f ca="1">IFERROR(__xludf.DUMMYFUNCTION("""COMPUTED_VALUE"""),46031)</f>
        <v>46031</v>
      </c>
      <c r="K206" s="6" t="str">
        <f ca="1">IFERROR(__xludf.DUMMYFUNCTION("""COMPUTED_VALUE"""),"Factura audífonos")</f>
        <v>Factura audífonos</v>
      </c>
      <c r="L206" s="16">
        <f ca="1">IFERROR(__xludf.DUMMYFUNCTION("""COMPUTED_VALUE"""),46073)</f>
        <v>46073</v>
      </c>
      <c r="M206" s="6" t="str">
        <f ca="1">IFERROR(__xludf.DUMMYFUNCTION("""COMPUTED_VALUE"""),"NO")</f>
        <v>NO</v>
      </c>
      <c r="N206" s="15">
        <f ca="1">IFERROR(__xludf.DUMMYFUNCTION("""COMPUTED_VALUE"""),1)</f>
        <v>1</v>
      </c>
      <c r="O206" s="6" t="str">
        <f ca="1">IFERROR(__xludf.DUMMYFUNCTION("""COMPUTED_VALUE"""),"QUIET")</f>
        <v>QUIET</v>
      </c>
      <c r="P206" s="18">
        <f ca="1">IFERROR(__xludf.DUMMYFUNCTION("""COMPUTED_VALUE"""),1550.23)</f>
        <v>1550.23</v>
      </c>
      <c r="Q206" s="6" t="str">
        <f ca="1">IFERROR(__xludf.DUMMYFUNCTION("""COMPUTED_VALUE"""),"Maika Blázquez")</f>
        <v>Maika Blázquez</v>
      </c>
      <c r="R206" s="19" t="str">
        <f ca="1">IFERROR(__xludf.DUMMYFUNCTION("""COMPUTED_VALUE"""),"Cristina Peña Cifuentes")</f>
        <v>Cristina Peña Cifuentes</v>
      </c>
      <c r="S206" s="20" t="str">
        <f ca="1">IFERROR(__xludf.DUMMYFUNCTION("""COMPUTED_VALUE"""),"03 ORL")</f>
        <v>03 ORL</v>
      </c>
      <c r="T206" s="6" t="str">
        <f ca="1">IFERROR(__xludf.DUMMYFUNCTION("""COMPUTED_VALUE"""),"06 ORL")</f>
        <v>06 ORL</v>
      </c>
      <c r="W206" s="21"/>
      <c r="X206" s="21"/>
      <c r="AG206" s="19"/>
      <c r="AJ206" s="19"/>
    </row>
    <row r="207" spans="1:36" ht="16">
      <c r="A207" s="6"/>
      <c r="B207" s="14" t="str">
        <f t="shared" ca="1" si="0"/>
        <v>RFV</v>
      </c>
      <c r="C207" s="23" t="str">
        <f ca="1">IFERROR(__xludf.DUMMYFUNCTION("""COMPUTED_VALUE"""),"RFV08")</f>
        <v>RFV08</v>
      </c>
      <c r="D207" s="6" t="str">
        <f ca="1">IFERROR(__xludf.DUMMYFUNCTION("""COMPUTED_VALUE"""),"PROPIOS")</f>
        <v>PROPIOS</v>
      </c>
      <c r="E207" s="6">
        <f ca="1">IFERROR(__xludf.DUMMYFUNCTION("""COMPUTED_VALUE"""),2026)</f>
        <v>2026</v>
      </c>
      <c r="F207" s="15">
        <f ca="1">IFERROR(__xludf.DUMMYFUNCTION("""COMPUTED_VALUE"""),2)</f>
        <v>2</v>
      </c>
      <c r="G207" s="6" t="str">
        <f ca="1">IFERROR(__xludf.DUMMYFUNCTION("""COMPUTED_VALUE"""),"Valencia- Cádiz")</f>
        <v>Valencia- Cádiz</v>
      </c>
      <c r="H207" s="6" t="str">
        <f ca="1">IFERROR(__xludf.DUMMYFUNCTION("""COMPUTED_VALUE"""),"C202512101755565346")</f>
        <v>C202512101755565346</v>
      </c>
      <c r="I207" s="6" t="str">
        <f ca="1">IFERROR(__xludf.DUMMYFUNCTION("""COMPUTED_VALUE"""),"Maria del Carmen Delhom Costa")</f>
        <v>Maria del Carmen Delhom Costa</v>
      </c>
      <c r="J207" s="16">
        <f ca="1">IFERROR(__xludf.DUMMYFUNCTION("""COMPUTED_VALUE"""),46001)</f>
        <v>46001</v>
      </c>
      <c r="K207" s="6" t="str">
        <f ca="1">IFERROR(__xludf.DUMMYFUNCTION("""COMPUTED_VALUE"""),"Factura audífonos")</f>
        <v>Factura audífonos</v>
      </c>
      <c r="L207" s="16">
        <f ca="1">IFERROR(__xludf.DUMMYFUNCTION("""COMPUTED_VALUE"""),46073)</f>
        <v>46073</v>
      </c>
      <c r="M207" s="6" t="str">
        <f ca="1">IFERROR(__xludf.DUMMYFUNCTION("""COMPUTED_VALUE"""),"NO")</f>
        <v>NO</v>
      </c>
      <c r="N207" s="15">
        <f ca="1">IFERROR(__xludf.DUMMYFUNCTION("""COMPUTED_VALUE"""),2)</f>
        <v>2</v>
      </c>
      <c r="O207" s="6" t="str">
        <f ca="1">IFERROR(__xludf.DUMMYFUNCTION("""COMPUTED_VALUE"""),"QUIET")</f>
        <v>QUIET</v>
      </c>
      <c r="P207" s="18">
        <f ca="1">IFERROR(__xludf.DUMMYFUNCTION("""COMPUTED_VALUE"""),2718.19)</f>
        <v>2718.19</v>
      </c>
      <c r="Q207" s="6" t="str">
        <f ca="1">IFERROR(__xludf.DUMMYFUNCTION("""COMPUTED_VALUE"""),"Ramon Ferrando")</f>
        <v>Ramon Ferrando</v>
      </c>
      <c r="R207" s="19" t="str">
        <f ca="1">IFERROR(__xludf.DUMMYFUNCTION("""COMPUTED_VALUE"""),"Abel Guzmán Calvete")</f>
        <v>Abel Guzmán Calvete</v>
      </c>
      <c r="S207" s="20" t="str">
        <f ca="1">IFERROR(__xludf.DUMMYFUNCTION("""COMPUTED_VALUE"""),"03 ORL")</f>
        <v>03 ORL</v>
      </c>
      <c r="T207" s="6" t="str">
        <f ca="1">IFERROR(__xludf.DUMMYFUNCTION("""COMPUTED_VALUE"""),"06 ORL")</f>
        <v>06 ORL</v>
      </c>
      <c r="U207" s="21"/>
      <c r="W207" s="21"/>
      <c r="X207" s="21"/>
      <c r="AG207" s="19"/>
      <c r="AJ207" s="19"/>
    </row>
    <row r="208" spans="1:36" ht="16">
      <c r="A208" s="6"/>
      <c r="B208" s="14" t="str">
        <f t="shared" ca="1" si="0"/>
        <v>MBM</v>
      </c>
      <c r="C208" s="23" t="str">
        <f ca="1">IFERROR(__xludf.DUMMYFUNCTION("""COMPUTED_VALUE"""),"MBM90")</f>
        <v>MBM90</v>
      </c>
      <c r="D208" s="6" t="str">
        <f ca="1">IFERROR(__xludf.DUMMYFUNCTION("""COMPUTED_VALUE"""),"PROPIOS")</f>
        <v>PROPIOS</v>
      </c>
      <c r="E208" s="6">
        <f ca="1">IFERROR(__xludf.DUMMYFUNCTION("""COMPUTED_VALUE"""),2026)</f>
        <v>2026</v>
      </c>
      <c r="F208" s="15">
        <f ca="1">IFERROR(__xludf.DUMMYFUNCTION("""COMPUTED_VALUE"""),2)</f>
        <v>2</v>
      </c>
      <c r="G208" s="6" t="str">
        <f ca="1">IFERROR(__xludf.DUMMYFUNCTION("""COMPUTED_VALUE"""),"Leganés")</f>
        <v>Leganés</v>
      </c>
      <c r="H208" s="6" t="str">
        <f ca="1">IFERROR(__xludf.DUMMYFUNCTION("""COMPUTED_VALUE"""),"C202611495230842894")</f>
        <v>C202611495230842894</v>
      </c>
      <c r="I208" s="6" t="str">
        <f ca="1">IFERROR(__xludf.DUMMYFUNCTION("""COMPUTED_VALUE"""),"JUAN FIDEL SOTO MARTINEZ")</f>
        <v>JUAN FIDEL SOTO MARTINEZ</v>
      </c>
      <c r="J208" s="16">
        <f ca="1">IFERROR(__xludf.DUMMYFUNCTION("""COMPUTED_VALUE"""),46036)</f>
        <v>46036</v>
      </c>
      <c r="K208" s="6" t="str">
        <f ca="1">IFERROR(__xludf.DUMMYFUNCTION("""COMPUTED_VALUE"""),"Factura audífonos")</f>
        <v>Factura audífonos</v>
      </c>
      <c r="L208" s="16">
        <f ca="1">IFERROR(__xludf.DUMMYFUNCTION("""COMPUTED_VALUE"""),46073)</f>
        <v>46073</v>
      </c>
      <c r="M208" s="6" t="str">
        <f ca="1">IFERROR(__xludf.DUMMYFUNCTION("""COMPUTED_VALUE"""),"NO")</f>
        <v>NO</v>
      </c>
      <c r="N208" s="15">
        <f ca="1">IFERROR(__xludf.DUMMYFUNCTION("""COMPUTED_VALUE"""),1)</f>
        <v>1</v>
      </c>
      <c r="O208" s="6" t="str">
        <f ca="1">IFERROR(__xludf.DUMMYFUNCTION("""COMPUTED_VALUE"""),"QUIET")</f>
        <v>QUIET</v>
      </c>
      <c r="P208" s="18">
        <f ca="1">IFERROR(__xludf.DUMMYFUNCTION("""COMPUTED_VALUE"""),1631.82)</f>
        <v>1631.82</v>
      </c>
      <c r="Q208" s="6" t="str">
        <f ca="1">IFERROR(__xludf.DUMMYFUNCTION("""COMPUTED_VALUE"""),"Maika Blázquez")</f>
        <v>Maika Blázquez</v>
      </c>
      <c r="R208" s="19" t="str">
        <f ca="1">IFERROR(__xludf.DUMMYFUNCTION("""COMPUTED_VALUE"""),"Ana Ruiz Fornells Noreña")</f>
        <v>Ana Ruiz Fornells Noreña</v>
      </c>
      <c r="S208" s="20" t="str">
        <f ca="1">IFERROR(__xludf.DUMMYFUNCTION("""COMPUTED_VALUE"""),"03 ORL")</f>
        <v>03 ORL</v>
      </c>
      <c r="T208" s="6" t="str">
        <f ca="1">IFERROR(__xludf.DUMMYFUNCTION("""COMPUTED_VALUE"""),"06 ORL")</f>
        <v>06 ORL</v>
      </c>
      <c r="U208" s="21"/>
      <c r="W208" s="21"/>
      <c r="X208" s="21"/>
      <c r="AG208" s="18"/>
      <c r="AJ208" s="19"/>
    </row>
    <row r="209" spans="1:36" ht="16">
      <c r="A209" s="6"/>
      <c r="B209" s="14" t="str">
        <f t="shared" ca="1" si="0"/>
        <v>MBM</v>
      </c>
      <c r="C209" s="23" t="str">
        <f ca="1">IFERROR(__xludf.DUMMYFUNCTION("""COMPUTED_VALUE"""),"MBM132")</f>
        <v>MBM132</v>
      </c>
      <c r="D209" s="6" t="str">
        <f ca="1">IFERROR(__xludf.DUMMYFUNCTION("""COMPUTED_VALUE"""),"PROPIOS")</f>
        <v>PROPIOS</v>
      </c>
      <c r="E209" s="6">
        <f ca="1">IFERROR(__xludf.DUMMYFUNCTION("""COMPUTED_VALUE"""),2026)</f>
        <v>2026</v>
      </c>
      <c r="F209" s="15">
        <f ca="1">IFERROR(__xludf.DUMMYFUNCTION("""COMPUTED_VALUE"""),2)</f>
        <v>2</v>
      </c>
      <c r="G209" s="6" t="str">
        <f ca="1">IFERROR(__xludf.DUMMYFUNCTION("""COMPUTED_VALUE"""),"Getafe")</f>
        <v>Getafe</v>
      </c>
      <c r="H209" s="6" t="str">
        <f ca="1">IFERROR(__xludf.DUMMYFUNCTION("""COMPUTED_VALUE"""),"C202512161237501240")</f>
        <v>C202512161237501240</v>
      </c>
      <c r="I209" s="6" t="str">
        <f ca="1">IFERROR(__xludf.DUMMYFUNCTION("""COMPUTED_VALUE"""),"MARIA CONCEPCION GONZALEZ SUAREZ")</f>
        <v>MARIA CONCEPCION GONZALEZ SUAREZ</v>
      </c>
      <c r="J209" s="16">
        <f ca="1">IFERROR(__xludf.DUMMYFUNCTION("""COMPUTED_VALUE"""),46007)</f>
        <v>46007</v>
      </c>
      <c r="K209" s="6" t="str">
        <f ca="1">IFERROR(__xludf.DUMMYFUNCTION("""COMPUTED_VALUE"""),"Factura audífonos")</f>
        <v>Factura audífonos</v>
      </c>
      <c r="L209" s="16">
        <f ca="1">IFERROR(__xludf.DUMMYFUNCTION("""COMPUTED_VALUE"""),46073)</f>
        <v>46073</v>
      </c>
      <c r="M209" s="6" t="str">
        <f ca="1">IFERROR(__xludf.DUMMYFUNCTION("""COMPUTED_VALUE"""),"NO")</f>
        <v>NO</v>
      </c>
      <c r="N209" s="15">
        <f ca="1">IFERROR(__xludf.DUMMYFUNCTION("""COMPUTED_VALUE"""),2)</f>
        <v>2</v>
      </c>
      <c r="O209" s="6" t="str">
        <f ca="1">IFERROR(__xludf.DUMMYFUNCTION("""COMPUTED_VALUE"""),"ADVANCED")</f>
        <v>ADVANCED</v>
      </c>
      <c r="P209" s="19">
        <f ca="1">IFERROR(__xludf.DUMMYFUNCTION("""COMPUTED_VALUE"""),4136.36)</f>
        <v>4136.3599999999997</v>
      </c>
      <c r="Q209" s="6" t="str">
        <f ca="1">IFERROR(__xludf.DUMMYFUNCTION("""COMPUTED_VALUE"""),"Maika Blázquez")</f>
        <v>Maika Blázquez</v>
      </c>
      <c r="R209" s="19" t="str">
        <f ca="1">IFERROR(__xludf.DUMMYFUNCTION("""COMPUTED_VALUE"""),"Laura Ruano De Pablo")</f>
        <v>Laura Ruano De Pablo</v>
      </c>
      <c r="S209" s="20" t="str">
        <f ca="1">IFERROR(__xludf.DUMMYFUNCTION("""COMPUTED_VALUE"""),"03 ORL")</f>
        <v>03 ORL</v>
      </c>
      <c r="T209" s="6" t="str">
        <f ca="1">IFERROR(__xludf.DUMMYFUNCTION("""COMPUTED_VALUE"""),"06 ORL")</f>
        <v>06 ORL</v>
      </c>
      <c r="U209" s="21"/>
      <c r="W209" s="21"/>
      <c r="X209" s="21"/>
      <c r="AG209" s="19"/>
      <c r="AJ209" s="19"/>
    </row>
    <row r="210" spans="1:36" ht="16">
      <c r="A210" s="6"/>
      <c r="B210" s="14" t="str">
        <f t="shared" ca="1" si="0"/>
        <v>MBM</v>
      </c>
      <c r="C210" s="23" t="str">
        <f ca="1">IFERROR(__xludf.DUMMYFUNCTION("""COMPUTED_VALUE"""),"MBM112")</f>
        <v>MBM112</v>
      </c>
      <c r="D210" s="6" t="str">
        <f ca="1">IFERROR(__xludf.DUMMYFUNCTION("""COMPUTED_VALUE"""),"PROPIOS")</f>
        <v>PROPIOS</v>
      </c>
      <c r="E210" s="6">
        <f ca="1">IFERROR(__xludf.DUMMYFUNCTION("""COMPUTED_VALUE"""),2026)</f>
        <v>2026</v>
      </c>
      <c r="F210" s="15">
        <f ca="1">IFERROR(__xludf.DUMMYFUNCTION("""COMPUTED_VALUE"""),2)</f>
        <v>2</v>
      </c>
      <c r="G210" s="6" t="str">
        <f ca="1">IFERROR(__xludf.DUMMYFUNCTION("""COMPUTED_VALUE"""),"Alcorcón")</f>
        <v>Alcorcón</v>
      </c>
      <c r="H210" s="6" t="str">
        <f ca="1">IFERROR(__xludf.DUMMYFUNCTION("""COMPUTED_VALUE"""),"C202611612232415334")</f>
        <v>C202611612232415334</v>
      </c>
      <c r="I210" s="6" t="str">
        <f ca="1">IFERROR(__xludf.DUMMYFUNCTION("""COMPUTED_VALUE"""),"TOMAS  DIAZ DE LA CAMPA GARCIA")</f>
        <v>TOMAS  DIAZ DE LA CAMPA GARCIA</v>
      </c>
      <c r="J210" s="16">
        <f ca="1">IFERROR(__xludf.DUMMYFUNCTION("""COMPUTED_VALUE"""),46038)</f>
        <v>46038</v>
      </c>
      <c r="K210" s="6" t="str">
        <f ca="1">IFERROR(__xludf.DUMMYFUNCTION("""COMPUTED_VALUE"""),"Factura audífonos")</f>
        <v>Factura audífonos</v>
      </c>
      <c r="L210" s="16">
        <f ca="1">IFERROR(__xludf.DUMMYFUNCTION("""COMPUTED_VALUE"""),46073)</f>
        <v>46073</v>
      </c>
      <c r="M210" s="6" t="str">
        <f ca="1">IFERROR(__xludf.DUMMYFUNCTION("""COMPUTED_VALUE"""),"NO")</f>
        <v>NO</v>
      </c>
      <c r="N210" s="15">
        <f ca="1">IFERROR(__xludf.DUMMYFUNCTION("""COMPUTED_VALUE"""),1)</f>
        <v>1</v>
      </c>
      <c r="O210" s="6" t="str">
        <f ca="1">IFERROR(__xludf.DUMMYFUNCTION("""COMPUTED_VALUE"""),"QUIET")</f>
        <v>QUIET</v>
      </c>
      <c r="P210" s="18">
        <f ca="1">IFERROR(__xludf.DUMMYFUNCTION("""COMPUTED_VALUE"""),1631.82)</f>
        <v>1631.82</v>
      </c>
      <c r="Q210" s="6" t="str">
        <f ca="1">IFERROR(__xludf.DUMMYFUNCTION("""COMPUTED_VALUE"""),"Maika Blázquez")</f>
        <v>Maika Blázquez</v>
      </c>
      <c r="R210" s="19" t="str">
        <f ca="1">IFERROR(__xludf.DUMMYFUNCTION("""COMPUTED_VALUE"""),"Elvylins Vargas Yglesia")</f>
        <v>Elvylins Vargas Yglesia</v>
      </c>
      <c r="S210" s="20" t="str">
        <f ca="1">IFERROR(__xludf.DUMMYFUNCTION("""COMPUTED_VALUE"""),"03 ORL")</f>
        <v>03 ORL</v>
      </c>
      <c r="T210" s="6" t="str">
        <f ca="1">IFERROR(__xludf.DUMMYFUNCTION("""COMPUTED_VALUE"""),"22 AUDIOMETRIA CLINICA")</f>
        <v>22 AUDIOMETRIA CLINICA</v>
      </c>
      <c r="U210" s="21"/>
      <c r="W210" s="21"/>
      <c r="X210" s="21"/>
      <c r="AE210" s="1"/>
      <c r="AG210" s="18"/>
      <c r="AJ210" s="19"/>
    </row>
    <row r="211" spans="1:36" ht="16">
      <c r="A211" s="6"/>
      <c r="B211" s="14" t="str">
        <f t="shared" ca="1" si="0"/>
        <v>ISL</v>
      </c>
      <c r="C211" s="23" t="str">
        <f ca="1">IFERROR(__xludf.DUMMYFUNCTION("""COMPUTED_VALUE"""),"ISL45")</f>
        <v>ISL45</v>
      </c>
      <c r="D211" s="6" t="str">
        <f ca="1">IFERROR(__xludf.DUMMYFUNCTION("""COMPUTED_VALUE"""),"PROPIOS")</f>
        <v>PROPIOS</v>
      </c>
      <c r="E211" s="6">
        <f ca="1">IFERROR(__xludf.DUMMYFUNCTION("""COMPUTED_VALUE"""),2026)</f>
        <v>2026</v>
      </c>
      <c r="F211" s="15">
        <f ca="1">IFERROR(__xludf.DUMMYFUNCTION("""COMPUTED_VALUE"""),2)</f>
        <v>2</v>
      </c>
      <c r="G211" s="6" t="str">
        <f ca="1">IFERROR(__xludf.DUMMYFUNCTION("""COMPUTED_VALUE"""),"Murcia")</f>
        <v>Murcia</v>
      </c>
      <c r="H211" s="6" t="str">
        <f ca="1">IFERROR(__xludf.DUMMYFUNCTION("""COMPUTED_VALUE"""),"C202611214373858803")</f>
        <v>C202611214373858803</v>
      </c>
      <c r="I211" s="6" t="str">
        <f ca="1">IFERROR(__xludf.DUMMYFUNCTION("""COMPUTED_VALUE"""),"JOSE FRANCISCO GALVEZ INIESTA")</f>
        <v>JOSE FRANCISCO GALVEZ INIESTA</v>
      </c>
      <c r="J211" s="16">
        <f ca="1">IFERROR(__xludf.DUMMYFUNCTION("""COMPUTED_VALUE"""),46034)</f>
        <v>46034</v>
      </c>
      <c r="K211" s="6" t="str">
        <f ca="1">IFERROR(__xludf.DUMMYFUNCTION("""COMPUTED_VALUE"""),"Factura audífonos")</f>
        <v>Factura audífonos</v>
      </c>
      <c r="L211" s="16">
        <f ca="1">IFERROR(__xludf.DUMMYFUNCTION("""COMPUTED_VALUE"""),46076)</f>
        <v>46076</v>
      </c>
      <c r="M211" s="6" t="str">
        <f ca="1">IFERROR(__xludf.DUMMYFUNCTION("""COMPUTED_VALUE"""),"NO")</f>
        <v>NO</v>
      </c>
      <c r="N211" s="15">
        <f ca="1">IFERROR(__xludf.DUMMYFUNCTION("""COMPUTED_VALUE"""),2)</f>
        <v>2</v>
      </c>
      <c r="O211" s="6" t="str">
        <f ca="1">IFERROR(__xludf.DUMMYFUNCTION("""COMPUTED_VALUE"""),"QUIET")</f>
        <v>QUIET</v>
      </c>
      <c r="P211" s="19">
        <f ca="1">IFERROR(__xludf.DUMMYFUNCTION("""COMPUTED_VALUE"""),2718.18)</f>
        <v>2718.18</v>
      </c>
      <c r="Q211" s="6" t="str">
        <f ca="1">IFERROR(__xludf.DUMMYFUNCTION("""COMPUTED_VALUE"""),"Iván Sánchez")</f>
        <v>Iván Sánchez</v>
      </c>
      <c r="R211" s="19" t="str">
        <f ca="1">IFERROR(__xludf.DUMMYFUNCTION("""COMPUTED_VALUE"""),"Jesús Miguel Iniesta Turpín")</f>
        <v>Jesús Miguel Iniesta Turpín</v>
      </c>
      <c r="S211" s="20" t="str">
        <f ca="1">IFERROR(__xludf.DUMMYFUNCTION("""COMPUTED_VALUE"""),"03 ORL")</f>
        <v>03 ORL</v>
      </c>
      <c r="T211" s="6" t="str">
        <f ca="1">IFERROR(__xludf.DUMMYFUNCTION("""COMPUTED_VALUE"""),"06 ORL")</f>
        <v>06 ORL</v>
      </c>
      <c r="U211" s="21"/>
      <c r="W211" s="21"/>
      <c r="X211" s="21"/>
      <c r="AG211" s="19"/>
      <c r="AJ211" s="19"/>
    </row>
    <row r="212" spans="1:36" ht="16">
      <c r="A212" s="6"/>
      <c r="B212" s="14" t="str">
        <f t="shared" ca="1" si="0"/>
        <v>ISL</v>
      </c>
      <c r="C212" s="23" t="str">
        <f ca="1">IFERROR(__xludf.DUMMYFUNCTION("""COMPUTED_VALUE"""),"ISL58")</f>
        <v>ISL58</v>
      </c>
      <c r="D212" s="6" t="str">
        <f ca="1">IFERROR(__xludf.DUMMYFUNCTION("""COMPUTED_VALUE"""),"PROPIOS")</f>
        <v>PROPIOS</v>
      </c>
      <c r="E212" s="6">
        <f ca="1">IFERROR(__xludf.DUMMYFUNCTION("""COMPUTED_VALUE"""),2026)</f>
        <v>2026</v>
      </c>
      <c r="F212" s="15">
        <f ca="1">IFERROR(__xludf.DUMMYFUNCTION("""COMPUTED_VALUE"""),2)</f>
        <v>2</v>
      </c>
      <c r="G212" s="6" t="str">
        <f ca="1">IFERROR(__xludf.DUMMYFUNCTION("""COMPUTED_VALUE"""),"Orihuela")</f>
        <v>Orihuela</v>
      </c>
      <c r="H212" s="6" t="str">
        <f ca="1">IFERROR(__xludf.DUMMYFUNCTION("""COMPUTED_VALUE"""),"C202613011203270810")</f>
        <v>C202613011203270810</v>
      </c>
      <c r="I212" s="6" t="str">
        <f ca="1">IFERROR(__xludf.DUMMYFUNCTION("""COMPUTED_VALUE"""),"MARINA VARGAS SERRANO")</f>
        <v>MARINA VARGAS SERRANO</v>
      </c>
      <c r="J212" s="16">
        <f ca="1">IFERROR(__xludf.DUMMYFUNCTION("""COMPUTED_VALUE"""),46052)</f>
        <v>46052</v>
      </c>
      <c r="K212" s="6" t="str">
        <f ca="1">IFERROR(__xludf.DUMMYFUNCTION("""COMPUTED_VALUE"""),"Factura audífonos")</f>
        <v>Factura audífonos</v>
      </c>
      <c r="L212" s="16">
        <f ca="1">IFERROR(__xludf.DUMMYFUNCTION("""COMPUTED_VALUE"""),46076)</f>
        <v>46076</v>
      </c>
      <c r="M212" s="6" t="str">
        <f ca="1">IFERROR(__xludf.DUMMYFUNCTION("""COMPUTED_VALUE"""),"NO")</f>
        <v>NO</v>
      </c>
      <c r="N212" s="15">
        <f ca="1">IFERROR(__xludf.DUMMYFUNCTION("""COMPUTED_VALUE"""),2)</f>
        <v>2</v>
      </c>
      <c r="O212" s="6" t="str">
        <f ca="1">IFERROR(__xludf.DUMMYFUNCTION("""COMPUTED_VALUE"""),"CONFORT")</f>
        <v>CONFORT</v>
      </c>
      <c r="P212" s="19">
        <f ca="1">IFERROR(__xludf.DUMMYFUNCTION("""COMPUTED_VALUE"""),3631.82)</f>
        <v>3631.82</v>
      </c>
      <c r="Q212" s="6" t="str">
        <f ca="1">IFERROR(__xludf.DUMMYFUNCTION("""COMPUTED_VALUE"""),"Iván Sánchez")</f>
        <v>Iván Sánchez</v>
      </c>
      <c r="R212" s="19" t="str">
        <f ca="1">IFERROR(__xludf.DUMMYFUNCTION("""COMPUTED_VALUE"""),"Juan Javier Álvarez López")</f>
        <v>Juan Javier Álvarez López</v>
      </c>
      <c r="S212" s="20" t="str">
        <f ca="1">IFERROR(__xludf.DUMMYFUNCTION("""COMPUTED_VALUE"""),"03 ORL")</f>
        <v>03 ORL</v>
      </c>
      <c r="T212" s="6" t="str">
        <f ca="1">IFERROR(__xludf.DUMMYFUNCTION("""COMPUTED_VALUE"""),"06 ORL")</f>
        <v>06 ORL</v>
      </c>
      <c r="U212" s="21"/>
      <c r="W212" s="21"/>
      <c r="X212" s="21"/>
      <c r="AG212" s="19"/>
      <c r="AJ212" s="19"/>
    </row>
    <row r="213" spans="1:36" ht="16">
      <c r="A213" s="6"/>
      <c r="B213" s="14" t="str">
        <f t="shared" ca="1" si="0"/>
        <v>MBM</v>
      </c>
      <c r="C213" s="23" t="str">
        <f ca="1">IFERROR(__xludf.DUMMYFUNCTION("""COMPUTED_VALUE"""),"MBM128")</f>
        <v>MBM128</v>
      </c>
      <c r="D213" s="6" t="str">
        <f ca="1">IFERROR(__xludf.DUMMYFUNCTION("""COMPUTED_VALUE"""),"PROPIOS")</f>
        <v>PROPIOS</v>
      </c>
      <c r="E213" s="6">
        <f ca="1">IFERROR(__xludf.DUMMYFUNCTION("""COMPUTED_VALUE"""),2026)</f>
        <v>2026</v>
      </c>
      <c r="F213" s="15">
        <f ca="1">IFERROR(__xludf.DUMMYFUNCTION("""COMPUTED_VALUE"""),2)</f>
        <v>2</v>
      </c>
      <c r="G213" s="6" t="str">
        <f ca="1">IFERROR(__xludf.DUMMYFUNCTION("""COMPUTED_VALUE"""),"Madrid- Juan Bravo")</f>
        <v>Madrid- Juan Bravo</v>
      </c>
      <c r="H213" s="6" t="str">
        <f ca="1">IFERROR(__xludf.DUMMYFUNCTION("""COMPUTED_VALUE"""),"C202611610349790438")</f>
        <v>C202611610349790438</v>
      </c>
      <c r="I213" s="6" t="str">
        <f ca="1">IFERROR(__xludf.DUMMYFUNCTION("""COMPUTED_VALUE"""),"JUAN CARLOS  DEL VALLE AGUSTIN")</f>
        <v>JUAN CARLOS  DEL VALLE AGUSTIN</v>
      </c>
      <c r="J213" s="16">
        <f ca="1">IFERROR(__xludf.DUMMYFUNCTION("""COMPUTED_VALUE"""),46038)</f>
        <v>46038</v>
      </c>
      <c r="K213" s="6" t="str">
        <f ca="1">IFERROR(__xludf.DUMMYFUNCTION("""COMPUTED_VALUE"""),"Factura audífonos")</f>
        <v>Factura audífonos</v>
      </c>
      <c r="L213" s="16">
        <f ca="1">IFERROR(__xludf.DUMMYFUNCTION("""COMPUTED_VALUE"""),46076)</f>
        <v>46076</v>
      </c>
      <c r="M213" s="6" t="str">
        <f ca="1">IFERROR(__xludf.DUMMYFUNCTION("""COMPUTED_VALUE"""),"NO")</f>
        <v>NO</v>
      </c>
      <c r="N213" s="15">
        <f ca="1">IFERROR(__xludf.DUMMYFUNCTION("""COMPUTED_VALUE"""),2)</f>
        <v>2</v>
      </c>
      <c r="O213" s="6" t="str">
        <f ca="1">IFERROR(__xludf.DUMMYFUNCTION("""COMPUTED_VALUE"""),"PRO")</f>
        <v>PRO</v>
      </c>
      <c r="P213" s="19">
        <f ca="1">IFERROR(__xludf.DUMMYFUNCTION("""COMPUTED_VALUE"""),4309.55)</f>
        <v>4309.55</v>
      </c>
      <c r="Q213" s="6" t="str">
        <f ca="1">IFERROR(__xludf.DUMMYFUNCTION("""COMPUTED_VALUE"""),"Maika Blázquez")</f>
        <v>Maika Blázquez</v>
      </c>
      <c r="R213" s="19" t="str">
        <f ca="1">IFERROR(__xludf.DUMMYFUNCTION("""COMPUTED_VALUE"""),"Karla Natali Montaño Rueda")</f>
        <v>Karla Natali Montaño Rueda</v>
      </c>
      <c r="S213" s="20" t="str">
        <f ca="1">IFERROR(__xludf.DUMMYFUNCTION("""COMPUTED_VALUE"""),"03 ORL")</f>
        <v>03 ORL</v>
      </c>
      <c r="T213" s="6" t="str">
        <f ca="1">IFERROR(__xludf.DUMMYFUNCTION("""COMPUTED_VALUE"""),"06 ORL")</f>
        <v>06 ORL</v>
      </c>
      <c r="U213" s="21"/>
      <c r="W213" s="21"/>
      <c r="X213" s="21"/>
      <c r="AG213" s="19"/>
      <c r="AJ213" s="19"/>
    </row>
    <row r="214" spans="1:36" ht="16">
      <c r="A214" s="6"/>
      <c r="B214" s="14" t="str">
        <f t="shared" ca="1" si="0"/>
        <v>PSC</v>
      </c>
      <c r="C214" s="23" t="str">
        <f ca="1">IFERROR(__xludf.DUMMYFUNCTION("""COMPUTED_VALUE"""),"PSC06")</f>
        <v>PSC06</v>
      </c>
      <c r="D214" s="6" t="str">
        <f ca="1">IFERROR(__xludf.DUMMYFUNCTION("""COMPUTED_VALUE"""),"ASOCIADOS")</f>
        <v>ASOCIADOS</v>
      </c>
      <c r="E214" s="6">
        <f ca="1">IFERROR(__xludf.DUMMYFUNCTION("""COMPUTED_VALUE"""),2026)</f>
        <v>2026</v>
      </c>
      <c r="F214" s="15">
        <f ca="1">IFERROR(__xludf.DUMMYFUNCTION("""COMPUTED_VALUE"""),2)</f>
        <v>2</v>
      </c>
      <c r="G214" s="6" t="str">
        <f ca="1">IFERROR(__xludf.DUMMYFUNCTION("""COMPUTED_VALUE"""),"Valladolid")</f>
        <v>Valladolid</v>
      </c>
      <c r="H214" s="6" t="str">
        <f ca="1">IFERROR(__xludf.DUMMYFUNCTION("""COMPUTED_VALUE"""),"C20261141044350634")</f>
        <v>C20261141044350634</v>
      </c>
      <c r="I214" s="6" t="str">
        <f ca="1">IFERROR(__xludf.DUMMYFUNCTION("""COMPUTED_VALUE"""),"TEOFILO CAPELLAN ALONSO")</f>
        <v>TEOFILO CAPELLAN ALONSO</v>
      </c>
      <c r="J214" s="16">
        <f ca="1">IFERROR(__xludf.DUMMYFUNCTION("""COMPUTED_VALUE"""),46036)</f>
        <v>46036</v>
      </c>
      <c r="K214" s="6" t="str">
        <f ca="1">IFERROR(__xludf.DUMMYFUNCTION("""COMPUTED_VALUE"""),"Factura audífonos")</f>
        <v>Factura audífonos</v>
      </c>
      <c r="L214" s="16">
        <f ca="1">IFERROR(__xludf.DUMMYFUNCTION("""COMPUTED_VALUE"""),46076)</f>
        <v>46076</v>
      </c>
      <c r="M214" s="6" t="str">
        <f ca="1">IFERROR(__xludf.DUMMYFUNCTION("""COMPUTED_VALUE"""),"NO")</f>
        <v>NO</v>
      </c>
      <c r="N214" s="15">
        <f ca="1">IFERROR(__xludf.DUMMYFUNCTION("""COMPUTED_VALUE"""),1)</f>
        <v>1</v>
      </c>
      <c r="O214" s="6" t="str">
        <f ca="1">IFERROR(__xludf.DUMMYFUNCTION("""COMPUTED_VALUE"""),"PRO")</f>
        <v>PRO</v>
      </c>
      <c r="P214" s="19">
        <f ca="1">IFERROR(__xludf.DUMMYFUNCTION("""COMPUTED_VALUE"""),2307.27)</f>
        <v>2307.27</v>
      </c>
      <c r="Q214" s="6" t="str">
        <f ca="1">IFERROR(__xludf.DUMMYFUNCTION("""COMPUTED_VALUE"""),"Alberto Moreno")</f>
        <v>Alberto Moreno</v>
      </c>
      <c r="R214" s="19" t="str">
        <f ca="1">IFERROR(__xludf.DUMMYFUNCTION("""COMPUTED_VALUE"""),"Carlos Miguel Salvador Martínez")</f>
        <v>Carlos Miguel Salvador Martínez</v>
      </c>
      <c r="S214" s="20" t="str">
        <f ca="1">IFERROR(__xludf.DUMMYFUNCTION("""COMPUTED_VALUE"""),"03 ORL")</f>
        <v>03 ORL</v>
      </c>
      <c r="T214" s="6" t="str">
        <f ca="1">IFERROR(__xludf.DUMMYFUNCTION("""COMPUTED_VALUE"""),"06 ORL")</f>
        <v>06 ORL</v>
      </c>
      <c r="U214" s="21"/>
      <c r="W214" s="21"/>
      <c r="X214" s="21"/>
      <c r="AG214" s="19"/>
    </row>
    <row r="215" spans="1:36" ht="16">
      <c r="A215" s="6"/>
      <c r="B215" s="14" t="str">
        <f t="shared" ca="1" si="0"/>
        <v>LRM</v>
      </c>
      <c r="C215" s="23" t="str">
        <f ca="1">IFERROR(__xludf.DUMMYFUNCTION("""COMPUTED_VALUE"""),"LRM253")</f>
        <v>LRM253</v>
      </c>
      <c r="D215" s="6" t="str">
        <f ca="1">IFERROR(__xludf.DUMMYFUNCTION("""COMPUTED_VALUE"""),"ASOCIADOS")</f>
        <v>ASOCIADOS</v>
      </c>
      <c r="E215" s="6">
        <f ca="1">IFERROR(__xludf.DUMMYFUNCTION("""COMPUTED_VALUE"""),2026)</f>
        <v>2026</v>
      </c>
      <c r="F215" s="15">
        <f ca="1">IFERROR(__xludf.DUMMYFUNCTION("""COMPUTED_VALUE"""),2)</f>
        <v>2</v>
      </c>
      <c r="G215" s="6" t="str">
        <f ca="1">IFERROR(__xludf.DUMMYFUNCTION("""COMPUTED_VALUE"""),"Cáceres")</f>
        <v>Cáceres</v>
      </c>
      <c r="H215" s="6" t="str">
        <f ca="1">IFERROR(__xludf.DUMMYFUNCTION("""COMPUTED_VALUE"""),"C202612817343055326")</f>
        <v>C202612817343055326</v>
      </c>
      <c r="I215" s="6" t="str">
        <f ca="1">IFERROR(__xludf.DUMMYFUNCTION("""COMPUTED_VALUE"""),"JAVIER GARCIA VILLALON")</f>
        <v>JAVIER GARCIA VILLALON</v>
      </c>
      <c r="J215" s="16">
        <f ca="1">IFERROR(__xludf.DUMMYFUNCTION("""COMPUTED_VALUE"""),46050)</f>
        <v>46050</v>
      </c>
      <c r="K215" s="6" t="str">
        <f ca="1">IFERROR(__xludf.DUMMYFUNCTION("""COMPUTED_VALUE"""),"Factura audífonos")</f>
        <v>Factura audífonos</v>
      </c>
      <c r="L215" s="16">
        <f ca="1">IFERROR(__xludf.DUMMYFUNCTION("""COMPUTED_VALUE"""),46076)</f>
        <v>46076</v>
      </c>
      <c r="M215" s="6" t="str">
        <f ca="1">IFERROR(__xludf.DUMMYFUNCTION("""COMPUTED_VALUE"""),"NO")</f>
        <v>NO</v>
      </c>
      <c r="N215" s="15">
        <f ca="1">IFERROR(__xludf.DUMMYFUNCTION("""COMPUTED_VALUE"""),2)</f>
        <v>2</v>
      </c>
      <c r="O215" s="6" t="str">
        <f ca="1">IFERROR(__xludf.DUMMYFUNCTION("""COMPUTED_VALUE"""),"CONFORT")</f>
        <v>CONFORT</v>
      </c>
      <c r="P215" s="19">
        <f ca="1">IFERROR(__xludf.DUMMYFUNCTION("""COMPUTED_VALUE"""),3940.91)</f>
        <v>3940.91</v>
      </c>
      <c r="Q215" s="6" t="str">
        <f ca="1">IFERROR(__xludf.DUMMYFUNCTION("""COMPUTED_VALUE"""),"Lisandro Russian")</f>
        <v>Lisandro Russian</v>
      </c>
      <c r="R215" s="19" t="str">
        <f ca="1">IFERROR(__xludf.DUMMYFUNCTION("""COMPUTED_VALUE"""),"Marta García Jiménez")</f>
        <v>Marta García Jiménez</v>
      </c>
      <c r="S215" s="20" t="str">
        <f ca="1">IFERROR(__xludf.DUMMYFUNCTION("""COMPUTED_VALUE"""),"03 ORL")</f>
        <v>03 ORL</v>
      </c>
      <c r="T215" s="6" t="str">
        <f ca="1">IFERROR(__xludf.DUMMYFUNCTION("""COMPUTED_VALUE"""),"06 ORL")</f>
        <v>06 ORL</v>
      </c>
      <c r="U215" s="21"/>
      <c r="W215" s="21"/>
      <c r="X215" s="21"/>
      <c r="AG215" s="19"/>
    </row>
    <row r="216" spans="1:36" ht="16">
      <c r="A216" s="6"/>
      <c r="B216" s="14" t="str">
        <f t="shared" ca="1" si="0"/>
        <v>LAA</v>
      </c>
      <c r="C216" s="23" t="str">
        <f ca="1">IFERROR(__xludf.DUMMYFUNCTION("""COMPUTED_VALUE"""),"LAA63")</f>
        <v>LAA63</v>
      </c>
      <c r="D216" s="6" t="str">
        <f ca="1">IFERROR(__xludf.DUMMYFUNCTION("""COMPUTED_VALUE"""),"PARTICIPADOS")</f>
        <v>PARTICIPADOS</v>
      </c>
      <c r="E216" s="6">
        <f ca="1">IFERROR(__xludf.DUMMYFUNCTION("""COMPUTED_VALUE"""),2026)</f>
        <v>2026</v>
      </c>
      <c r="F216" s="15">
        <f ca="1">IFERROR(__xludf.DUMMYFUNCTION("""COMPUTED_VALUE"""),2)</f>
        <v>2</v>
      </c>
      <c r="G216" s="6" t="str">
        <f ca="1">IFERROR(__xludf.DUMMYFUNCTION("""COMPUTED_VALUE"""),"Madrid- Costa Rica")</f>
        <v>Madrid- Costa Rica</v>
      </c>
      <c r="H216" s="6" t="str">
        <f ca="1">IFERROR(__xludf.DUMMYFUNCTION("""COMPUTED_VALUE"""),"C202512181349346605")</f>
        <v>C202512181349346605</v>
      </c>
      <c r="I216" s="6" t="str">
        <f ca="1">IFERROR(__xludf.DUMMYFUNCTION("""COMPUTED_VALUE"""),"Angeles Llorens Fantova")</f>
        <v>Angeles Llorens Fantova</v>
      </c>
      <c r="J216" s="16">
        <f ca="1">IFERROR(__xludf.DUMMYFUNCTION("""COMPUTED_VALUE"""),46009)</f>
        <v>46009</v>
      </c>
      <c r="K216" s="6" t="str">
        <f ca="1">IFERROR(__xludf.DUMMYFUNCTION("""COMPUTED_VALUE"""),"Factura audífonos")</f>
        <v>Factura audífonos</v>
      </c>
      <c r="L216" s="16">
        <f ca="1">IFERROR(__xludf.DUMMYFUNCTION("""COMPUTED_VALUE"""),46076)</f>
        <v>46076</v>
      </c>
      <c r="M216" s="6" t="str">
        <f ca="1">IFERROR(__xludf.DUMMYFUNCTION("""COMPUTED_VALUE"""),"NO")</f>
        <v>NO</v>
      </c>
      <c r="N216" s="15">
        <f ca="1">IFERROR(__xludf.DUMMYFUNCTION("""COMPUTED_VALUE"""),2)</f>
        <v>2</v>
      </c>
      <c r="O216" s="6" t="str">
        <f ca="1">IFERROR(__xludf.DUMMYFUNCTION("""COMPUTED_VALUE"""),"CONFORT")</f>
        <v>CONFORT</v>
      </c>
      <c r="P216" s="18">
        <f ca="1">IFERROR(__xludf.DUMMYFUNCTION("""COMPUTED_VALUE"""),3631.82)</f>
        <v>3631.82</v>
      </c>
      <c r="Q216" s="6" t="str">
        <f ca="1">IFERROR(__xludf.DUMMYFUNCTION("""COMPUTED_VALUE"""),"Maika Blázquez")</f>
        <v>Maika Blázquez</v>
      </c>
      <c r="R216" s="19" t="str">
        <f ca="1">IFERROR(__xludf.DUMMYFUNCTION("""COMPUTED_VALUE"""),"Julio López Moya")</f>
        <v>Julio López Moya</v>
      </c>
      <c r="S216" s="20" t="str">
        <f ca="1">IFERROR(__xludf.DUMMYFUNCTION("""COMPUTED_VALUE"""),"03 ORL")</f>
        <v>03 ORL</v>
      </c>
      <c r="T216" s="6" t="str">
        <f ca="1">IFERROR(__xludf.DUMMYFUNCTION("""COMPUTED_VALUE"""),"06 ORL")</f>
        <v>06 ORL</v>
      </c>
      <c r="U216" s="21"/>
      <c r="W216" s="21"/>
      <c r="X216" s="21"/>
      <c r="AE216" s="1"/>
      <c r="AG216" s="18"/>
      <c r="AJ216" s="19"/>
    </row>
    <row r="217" spans="1:36" ht="16">
      <c r="A217" s="6"/>
      <c r="B217" s="14" t="str">
        <f t="shared" ca="1" si="0"/>
        <v>RPG</v>
      </c>
      <c r="C217" s="6" t="str">
        <f ca="1">IFERROR(__xludf.DUMMYFUNCTION("""COMPUTED_VALUE"""),"RPG37")</f>
        <v>RPG37</v>
      </c>
      <c r="D217" s="6" t="str">
        <f ca="1">IFERROR(__xludf.DUMMYFUNCTION("""COMPUTED_VALUE"""),"PARTICIPADOS")</f>
        <v>PARTICIPADOS</v>
      </c>
      <c r="E217" s="6">
        <f ca="1">IFERROR(__xludf.DUMMYFUNCTION("""COMPUTED_VALUE"""),2026)</f>
        <v>2026</v>
      </c>
      <c r="F217" s="15">
        <f ca="1">IFERROR(__xludf.DUMMYFUNCTION("""COMPUTED_VALUE"""),2)</f>
        <v>2</v>
      </c>
      <c r="G217" s="6" t="str">
        <f ca="1">IFERROR(__xludf.DUMMYFUNCTION("""COMPUTED_VALUE"""),"Ourense")</f>
        <v>Ourense</v>
      </c>
      <c r="H217" s="6" t="str">
        <f ca="1">IFERROR(__xludf.DUMMYFUNCTION("""COMPUTED_VALUE"""),"C202611413754509934")</f>
        <v>C202611413754509934</v>
      </c>
      <c r="I217" s="6" t="str">
        <f ca="1">IFERROR(__xludf.DUMMYFUNCTION("""COMPUTED_VALUE"""),"MARIA ELISA CEBREIRO FERNANDEZ")</f>
        <v>MARIA ELISA CEBREIRO FERNANDEZ</v>
      </c>
      <c r="J217" s="16">
        <f ca="1">IFERROR(__xludf.DUMMYFUNCTION("""COMPUTED_VALUE"""),46036)</f>
        <v>46036</v>
      </c>
      <c r="K217" s="6" t="str">
        <f ca="1">IFERROR(__xludf.DUMMYFUNCTION("""COMPUTED_VALUE"""),"Factura audífonos")</f>
        <v>Factura audífonos</v>
      </c>
      <c r="L217" s="16">
        <f ca="1">IFERROR(__xludf.DUMMYFUNCTION("""COMPUTED_VALUE"""),46076)</f>
        <v>46076</v>
      </c>
      <c r="M217" s="6" t="str">
        <f ca="1">IFERROR(__xludf.DUMMYFUNCTION("""COMPUTED_VALUE"""),"NO")</f>
        <v>NO</v>
      </c>
      <c r="N217" s="15">
        <f ca="1">IFERROR(__xludf.DUMMYFUNCTION("""COMPUTED_VALUE"""),1)</f>
        <v>1</v>
      </c>
      <c r="O217" s="6" t="str">
        <f ca="1">IFERROR(__xludf.DUMMYFUNCTION("""COMPUTED_VALUE"""),"ADVANCED")</f>
        <v>ADVANCED</v>
      </c>
      <c r="P217" s="19">
        <f ca="1">IFERROR(__xludf.DUMMYFUNCTION("""COMPUTED_VALUE"""),2180.91)</f>
        <v>2180.91</v>
      </c>
      <c r="Q217" s="6" t="str">
        <f ca="1">IFERROR(__xludf.DUMMYFUNCTION("""COMPUTED_VALUE"""),"Kiko Ortega")</f>
        <v>Kiko Ortega</v>
      </c>
      <c r="R217" s="19" t="str">
        <f ca="1">IFERROR(__xludf.DUMMYFUNCTION("""COMPUTED_VALUE"""),"Ana Quintana Sanjuan")</f>
        <v>Ana Quintana Sanjuan</v>
      </c>
      <c r="S217" s="20" t="str">
        <f ca="1">IFERROR(__xludf.DUMMYFUNCTION("""COMPUTED_VALUE"""),"03 ORL")</f>
        <v>03 ORL</v>
      </c>
      <c r="T217" s="6" t="str">
        <f ca="1">IFERROR(__xludf.DUMMYFUNCTION("""COMPUTED_VALUE"""),"06 ORL")</f>
        <v>06 ORL</v>
      </c>
      <c r="U217" s="21"/>
      <c r="W217" s="21"/>
      <c r="X217" s="21"/>
      <c r="AG217" s="19"/>
    </row>
    <row r="218" spans="1:36" ht="16">
      <c r="A218" s="6"/>
      <c r="B218" s="14" t="str">
        <f t="shared" ca="1" si="0"/>
        <v>ISL</v>
      </c>
      <c r="C218" s="23" t="str">
        <f ca="1">IFERROR(__xludf.DUMMYFUNCTION("""COMPUTED_VALUE"""),"ISL91")</f>
        <v>ISL91</v>
      </c>
      <c r="D218" s="6" t="str">
        <f ca="1">IFERROR(__xludf.DUMMYFUNCTION("""COMPUTED_VALUE"""),"PROPIOS")</f>
        <v>PROPIOS</v>
      </c>
      <c r="E218" s="6">
        <f ca="1">IFERROR(__xludf.DUMMYFUNCTION("""COMPUTED_VALUE"""),2026)</f>
        <v>2026</v>
      </c>
      <c r="F218" s="15">
        <f ca="1">IFERROR(__xludf.DUMMYFUNCTION("""COMPUTED_VALUE"""),2)</f>
        <v>2</v>
      </c>
      <c r="G218" s="6" t="str">
        <f ca="1">IFERROR(__xludf.DUMMYFUNCTION("""COMPUTED_VALUE"""),"Albacete")</f>
        <v>Albacete</v>
      </c>
      <c r="H218" s="6" t="str">
        <f ca="1">IFERROR(__xludf.DUMMYFUNCTION("""COMPUTED_VALUE"""),"ALB-517")</f>
        <v>ALB-517</v>
      </c>
      <c r="I218" s="6" t="str">
        <f ca="1">IFERROR(__xludf.DUMMYFUNCTION("""COMPUTED_VALUE"""),"CARLOS ENRIQUE POZUELO SOLER")</f>
        <v>CARLOS ENRIQUE POZUELO SOLER</v>
      </c>
      <c r="J218" s="16">
        <f ca="1">IFERROR(__xludf.DUMMYFUNCTION("""COMPUTED_VALUE"""),44909)</f>
        <v>44909</v>
      </c>
      <c r="K218" s="6" t="str">
        <f ca="1">IFERROR(__xludf.DUMMYFUNCTION("""COMPUTED_VALUE"""),"Factura audífonos")</f>
        <v>Factura audífonos</v>
      </c>
      <c r="L218" s="16">
        <f ca="1">IFERROR(__xludf.DUMMYFUNCTION("""COMPUTED_VALUE"""),46076)</f>
        <v>46076</v>
      </c>
      <c r="M218" s="6" t="str">
        <f ca="1">IFERROR(__xludf.DUMMYFUNCTION("""COMPUTED_VALUE"""),"NO")</f>
        <v>NO</v>
      </c>
      <c r="N218" s="15">
        <f ca="1">IFERROR(__xludf.DUMMYFUNCTION("""COMPUTED_VALUE"""),2)</f>
        <v>2</v>
      </c>
      <c r="O218" s="6" t="str">
        <f ca="1">IFERROR(__xludf.DUMMYFUNCTION("""COMPUTED_VALUE"""),"CONFORT")</f>
        <v>CONFORT</v>
      </c>
      <c r="P218" s="19">
        <f ca="1">IFERROR(__xludf.DUMMYFUNCTION("""COMPUTED_VALUE"""),3631.82)</f>
        <v>3631.82</v>
      </c>
      <c r="Q218" s="6" t="str">
        <f ca="1">IFERROR(__xludf.DUMMYFUNCTION("""COMPUTED_VALUE"""),"Iván Sánchez")</f>
        <v>Iván Sánchez</v>
      </c>
      <c r="R218" s="19" t="str">
        <f ca="1">IFERROR(__xludf.DUMMYFUNCTION("""COMPUTED_VALUE"""),"Alejandra Jara Maquilón")</f>
        <v>Alejandra Jara Maquilón</v>
      </c>
      <c r="S218" s="20" t="str">
        <f ca="1">IFERROR(__xludf.DUMMYFUNCTION("""COMPUTED_VALUE"""),"03 ORL")</f>
        <v>03 ORL</v>
      </c>
      <c r="T218" s="6" t="str">
        <f ca="1">IFERROR(__xludf.DUMMYFUNCTION("""COMPUTED_VALUE"""),"06 ORL")</f>
        <v>06 ORL</v>
      </c>
      <c r="U218" s="21"/>
      <c r="W218" s="21"/>
      <c r="X218" s="21"/>
      <c r="AG218" s="19"/>
    </row>
    <row r="219" spans="1:36" ht="16">
      <c r="A219" s="6"/>
      <c r="B219" s="14" t="str">
        <f t="shared" ca="1" si="0"/>
        <v>LRM</v>
      </c>
      <c r="C219" s="23" t="str">
        <f ca="1">IFERROR(__xludf.DUMMYFUNCTION("""COMPUTED_VALUE"""),"LRM33")</f>
        <v>LRM33</v>
      </c>
      <c r="D219" s="6" t="str">
        <f ca="1">IFERROR(__xludf.DUMMYFUNCTION("""COMPUTED_VALUE"""),"PROPIOS")</f>
        <v>PROPIOS</v>
      </c>
      <c r="E219" s="6">
        <f ca="1">IFERROR(__xludf.DUMMYFUNCTION("""COMPUTED_VALUE"""),2026)</f>
        <v>2026</v>
      </c>
      <c r="F219" s="15">
        <f ca="1">IFERROR(__xludf.DUMMYFUNCTION("""COMPUTED_VALUE"""),2)</f>
        <v>2</v>
      </c>
      <c r="G219" s="6" t="str">
        <f ca="1">IFERROR(__xludf.DUMMYFUNCTION("""COMPUTED_VALUE"""),"Toledo")</f>
        <v>Toledo</v>
      </c>
      <c r="H219" s="6" t="str">
        <f ca="1">IFERROR(__xludf.DUMMYFUNCTION("""COMPUTED_VALUE"""),"C202613012740821037")</f>
        <v>C202613012740821037</v>
      </c>
      <c r="I219" s="6" t="str">
        <f ca="1">IFERROR(__xludf.DUMMYFUNCTION("""COMPUTED_VALUE"""),"Eduardo Segura Paez")</f>
        <v>Eduardo Segura Paez</v>
      </c>
      <c r="J219" s="16">
        <f ca="1">IFERROR(__xludf.DUMMYFUNCTION("""COMPUTED_VALUE"""),46052)</f>
        <v>46052</v>
      </c>
      <c r="K219" s="6" t="str">
        <f ca="1">IFERROR(__xludf.DUMMYFUNCTION("""COMPUTED_VALUE"""),"Factura audífonos")</f>
        <v>Factura audífonos</v>
      </c>
      <c r="L219" s="16">
        <f ca="1">IFERROR(__xludf.DUMMYFUNCTION("""COMPUTED_VALUE"""),46076)</f>
        <v>46076</v>
      </c>
      <c r="M219" s="6" t="str">
        <f ca="1">IFERROR(__xludf.DUMMYFUNCTION("""COMPUTED_VALUE"""),"NO")</f>
        <v>NO</v>
      </c>
      <c r="N219" s="15">
        <f ca="1">IFERROR(__xludf.DUMMYFUNCTION("""COMPUTED_VALUE"""),2)</f>
        <v>2</v>
      </c>
      <c r="O219" s="6" t="str">
        <f ca="1">IFERROR(__xludf.DUMMYFUNCTION("""COMPUTED_VALUE"""),"QUIET")</f>
        <v>QUIET</v>
      </c>
      <c r="P219" s="18">
        <f ca="1">IFERROR(__xludf.DUMMYFUNCTION("""COMPUTED_VALUE"""),2718.18)</f>
        <v>2718.18</v>
      </c>
      <c r="Q219" s="6" t="str">
        <f ca="1">IFERROR(__xludf.DUMMYFUNCTION("""COMPUTED_VALUE"""),"Lisandro Russian")</f>
        <v>Lisandro Russian</v>
      </c>
      <c r="R219" s="19" t="str">
        <f ca="1">IFERROR(__xludf.DUMMYFUNCTION("""COMPUTED_VALUE"""),"María Eva Ruiz de Gauna Martín")</f>
        <v>María Eva Ruiz de Gauna Martín</v>
      </c>
      <c r="S219" s="20" t="str">
        <f ca="1">IFERROR(__xludf.DUMMYFUNCTION("""COMPUTED_VALUE"""),"03 ORL")</f>
        <v>03 ORL</v>
      </c>
      <c r="T219" s="6" t="str">
        <f ca="1">IFERROR(__xludf.DUMMYFUNCTION("""COMPUTED_VALUE"""),"06 ORL")</f>
        <v>06 ORL</v>
      </c>
      <c r="U219" s="21"/>
      <c r="W219" s="21"/>
      <c r="X219" s="21"/>
      <c r="AG219" s="18"/>
      <c r="AJ219" s="19"/>
    </row>
    <row r="220" spans="1:36" ht="16">
      <c r="A220" s="6"/>
      <c r="B220" s="14" t="str">
        <f t="shared" ca="1" si="0"/>
        <v>ISL</v>
      </c>
      <c r="C220" s="23" t="str">
        <f ca="1">IFERROR(__xludf.DUMMYFUNCTION("""COMPUTED_VALUE"""),"ISL14")</f>
        <v>ISL14</v>
      </c>
      <c r="D220" s="6" t="str">
        <f ca="1">IFERROR(__xludf.DUMMYFUNCTION("""COMPUTED_VALUE"""),"PROPIOS")</f>
        <v>PROPIOS</v>
      </c>
      <c r="E220" s="6">
        <f ca="1">IFERROR(__xludf.DUMMYFUNCTION("""COMPUTED_VALUE"""),2026)</f>
        <v>2026</v>
      </c>
      <c r="F220" s="15">
        <f ca="1">IFERROR(__xludf.DUMMYFUNCTION("""COMPUTED_VALUE"""),2)</f>
        <v>2</v>
      </c>
      <c r="G220" s="6" t="str">
        <f ca="1">IFERROR(__xludf.DUMMYFUNCTION("""COMPUTED_VALUE"""),"Orihuela")</f>
        <v>Orihuela</v>
      </c>
      <c r="H220" s="6" t="str">
        <f ca="1">IFERROR(__xludf.DUMMYFUNCTION("""COMPUTED_VALUE"""),"C202512291515125355")</f>
        <v>C202512291515125355</v>
      </c>
      <c r="I220" s="6" t="str">
        <f ca="1">IFERROR(__xludf.DUMMYFUNCTION("""COMPUTED_VALUE"""),"HORST HERMANN KUDERA")</f>
        <v>HORST HERMANN KUDERA</v>
      </c>
      <c r="J220" s="16">
        <f ca="1">IFERROR(__xludf.DUMMYFUNCTION("""COMPUTED_VALUE"""),46020)</f>
        <v>46020</v>
      </c>
      <c r="K220" s="6" t="str">
        <f ca="1">IFERROR(__xludf.DUMMYFUNCTION("""COMPUTED_VALUE"""),"Factura audífonos")</f>
        <v>Factura audífonos</v>
      </c>
      <c r="L220" s="16">
        <f ca="1">IFERROR(__xludf.DUMMYFUNCTION("""COMPUTED_VALUE"""),46076)</f>
        <v>46076</v>
      </c>
      <c r="M220" s="6" t="str">
        <f ca="1">IFERROR(__xludf.DUMMYFUNCTION("""COMPUTED_VALUE"""),"NO")</f>
        <v>NO</v>
      </c>
      <c r="N220" s="15">
        <f ca="1">IFERROR(__xludf.DUMMYFUNCTION("""COMPUTED_VALUE"""),2)</f>
        <v>2</v>
      </c>
      <c r="O220" s="6" t="str">
        <f ca="1">IFERROR(__xludf.DUMMYFUNCTION("""COMPUTED_VALUE"""),"ADVANCED")</f>
        <v>ADVANCED</v>
      </c>
      <c r="P220" s="18">
        <f ca="1">IFERROR(__xludf.DUMMYFUNCTION("""COMPUTED_VALUE"""),4011.82)</f>
        <v>4011.82</v>
      </c>
      <c r="Q220" s="6" t="str">
        <f ca="1">IFERROR(__xludf.DUMMYFUNCTION("""COMPUTED_VALUE"""),"Iván Sánchez")</f>
        <v>Iván Sánchez</v>
      </c>
      <c r="R220" s="19" t="str">
        <f ca="1">IFERROR(__xludf.DUMMYFUNCTION("""COMPUTED_VALUE"""),"Carlos Velásquez Fermín")</f>
        <v>Carlos Velásquez Fermín</v>
      </c>
      <c r="S220" s="20" t="str">
        <f ca="1">IFERROR(__xludf.DUMMYFUNCTION("""COMPUTED_VALUE"""),"03 ORL")</f>
        <v>03 ORL</v>
      </c>
      <c r="T220" s="6" t="str">
        <f ca="1">IFERROR(__xludf.DUMMYFUNCTION("""COMPUTED_VALUE"""),"06 ORL")</f>
        <v>06 ORL</v>
      </c>
      <c r="U220" s="21"/>
      <c r="W220" s="21"/>
      <c r="X220" s="21"/>
      <c r="AG220" s="18"/>
      <c r="AJ220" s="19"/>
    </row>
    <row r="221" spans="1:36" ht="16">
      <c r="A221" s="6"/>
      <c r="B221" s="14" t="str">
        <f t="shared" ca="1" si="0"/>
        <v>LRM</v>
      </c>
      <c r="C221" s="23" t="str">
        <f ca="1">IFERROR(__xludf.DUMMYFUNCTION("""COMPUTED_VALUE"""),"LRM96")</f>
        <v>LRM96</v>
      </c>
      <c r="D221" s="6" t="str">
        <f ca="1">IFERROR(__xludf.DUMMYFUNCTION("""COMPUTED_VALUE"""),"PROPIOS")</f>
        <v>PROPIOS</v>
      </c>
      <c r="E221" s="6">
        <f ca="1">IFERROR(__xludf.DUMMYFUNCTION("""COMPUTED_VALUE"""),2026)</f>
        <v>2026</v>
      </c>
      <c r="F221" s="15">
        <f ca="1">IFERROR(__xludf.DUMMYFUNCTION("""COMPUTED_VALUE"""),2)</f>
        <v>2</v>
      </c>
      <c r="G221" s="6" t="str">
        <f ca="1">IFERROR(__xludf.DUMMYFUNCTION("""COMPUTED_VALUE"""),"Toledo")</f>
        <v>Toledo</v>
      </c>
      <c r="H221" s="6" t="str">
        <f ca="1">IFERROR(__xludf.DUMMYFUNCTION("""COMPUTED_VALUE"""),"TOL-579")</f>
        <v>TOL-579</v>
      </c>
      <c r="I221" s="6" t="str">
        <f ca="1">IFERROR(__xludf.DUMMYFUNCTION("""COMPUTED_VALUE"""),"ELENA CARRASCO RODRÍGUEZ")</f>
        <v>ELENA CARRASCO RODRÍGUEZ</v>
      </c>
      <c r="J221" s="16">
        <f ca="1">IFERROR(__xludf.DUMMYFUNCTION("""COMPUTED_VALUE"""),45280)</f>
        <v>45280</v>
      </c>
      <c r="K221" s="6" t="str">
        <f ca="1">IFERROR(__xludf.DUMMYFUNCTION("""COMPUTED_VALUE"""),"Factura audífonos")</f>
        <v>Factura audífonos</v>
      </c>
      <c r="L221" s="16">
        <f ca="1">IFERROR(__xludf.DUMMYFUNCTION("""COMPUTED_VALUE"""),46076)</f>
        <v>46076</v>
      </c>
      <c r="M221" s="6" t="str">
        <f ca="1">IFERROR(__xludf.DUMMYFUNCTION("""COMPUTED_VALUE"""),"NO")</f>
        <v>NO</v>
      </c>
      <c r="N221" s="15">
        <f ca="1">IFERROR(__xludf.DUMMYFUNCTION("""COMPUTED_VALUE"""),1)</f>
        <v>1</v>
      </c>
      <c r="O221" s="6" t="str">
        <f ca="1">IFERROR(__xludf.DUMMYFUNCTION("""COMPUTED_VALUE"""),"QUIET")</f>
        <v>QUIET</v>
      </c>
      <c r="P221" s="18">
        <f ca="1">IFERROR(__xludf.DUMMYFUNCTION("""COMPUTED_VALUE"""),1446.59)</f>
        <v>1446.59</v>
      </c>
      <c r="Q221" s="6" t="str">
        <f ca="1">IFERROR(__xludf.DUMMYFUNCTION("""COMPUTED_VALUE"""),"Lisandro Russian")</f>
        <v>Lisandro Russian</v>
      </c>
      <c r="R221" s="19" t="str">
        <f ca="1">IFERROR(__xludf.DUMMYFUNCTION("""COMPUTED_VALUE"""),"Luis Miguel Menéndez Colino")</f>
        <v>Luis Miguel Menéndez Colino</v>
      </c>
      <c r="S221" s="20" t="str">
        <f ca="1">IFERROR(__xludf.DUMMYFUNCTION("""COMPUTED_VALUE"""),"03 ORL")</f>
        <v>03 ORL</v>
      </c>
      <c r="T221" s="6" t="str">
        <f ca="1">IFERROR(__xludf.DUMMYFUNCTION("""COMPUTED_VALUE"""),"06 ORL")</f>
        <v>06 ORL</v>
      </c>
      <c r="U221" s="21"/>
      <c r="W221" s="21"/>
      <c r="X221" s="21"/>
      <c r="AG221" s="19"/>
      <c r="AJ221" s="19"/>
    </row>
    <row r="222" spans="1:36" ht="16">
      <c r="A222" s="6"/>
      <c r="B222" s="14" t="str">
        <f t="shared" ca="1" si="0"/>
        <v>PSC</v>
      </c>
      <c r="C222" s="23" t="str">
        <f ca="1">IFERROR(__xludf.DUMMYFUNCTION("""COMPUTED_VALUE"""),"PSC31")</f>
        <v>PSC31</v>
      </c>
      <c r="D222" s="6" t="str">
        <f ca="1">IFERROR(__xludf.DUMMYFUNCTION("""COMPUTED_VALUE"""),"ASOCIADOS")</f>
        <v>ASOCIADOS</v>
      </c>
      <c r="E222" s="6">
        <f ca="1">IFERROR(__xludf.DUMMYFUNCTION("""COMPUTED_VALUE"""),2026)</f>
        <v>2026</v>
      </c>
      <c r="F222" s="15">
        <f ca="1">IFERROR(__xludf.DUMMYFUNCTION("""COMPUTED_VALUE"""),2)</f>
        <v>2</v>
      </c>
      <c r="G222" s="6" t="str">
        <f ca="1">IFERROR(__xludf.DUMMYFUNCTION("""COMPUTED_VALUE"""),"Valladolid")</f>
        <v>Valladolid</v>
      </c>
      <c r="H222" s="6" t="str">
        <f ca="1">IFERROR(__xludf.DUMMYFUNCTION("""COMPUTED_VALUE"""),"C202512291733414502")</f>
        <v>C202512291733414502</v>
      </c>
      <c r="I222" s="6" t="str">
        <f ca="1">IFERROR(__xludf.DUMMYFUNCTION("""COMPUTED_VALUE"""),"MARIA ANGELES NEGRO VALLECILLO")</f>
        <v>MARIA ANGELES NEGRO VALLECILLO</v>
      </c>
      <c r="J222" s="16">
        <f ca="1">IFERROR(__xludf.DUMMYFUNCTION("""COMPUTED_VALUE"""),46020)</f>
        <v>46020</v>
      </c>
      <c r="K222" s="6" t="str">
        <f ca="1">IFERROR(__xludf.DUMMYFUNCTION("""COMPUTED_VALUE"""),"Factura audífonos")</f>
        <v>Factura audífonos</v>
      </c>
      <c r="L222" s="16">
        <f ca="1">IFERROR(__xludf.DUMMYFUNCTION("""COMPUTED_VALUE"""),46076)</f>
        <v>46076</v>
      </c>
      <c r="M222" s="6" t="str">
        <f ca="1">IFERROR(__xludf.DUMMYFUNCTION("""COMPUTED_VALUE"""),"NO")</f>
        <v>NO</v>
      </c>
      <c r="N222" s="15">
        <f ca="1">IFERROR(__xludf.DUMMYFUNCTION("""COMPUTED_VALUE"""),2)</f>
        <v>2</v>
      </c>
      <c r="O222" s="6" t="str">
        <f ca="1">IFERROR(__xludf.DUMMYFUNCTION("""COMPUTED_VALUE"""),"PRO")</f>
        <v>PRO</v>
      </c>
      <c r="P222" s="19">
        <f ca="1">IFERROR(__xludf.DUMMYFUNCTION("""COMPUTED_VALUE"""),4431.82)</f>
        <v>4431.82</v>
      </c>
      <c r="Q222" s="6" t="str">
        <f ca="1">IFERROR(__xludf.DUMMYFUNCTION("""COMPUTED_VALUE"""),"Alberto Moreno")</f>
        <v>Alberto Moreno</v>
      </c>
      <c r="R222" s="19" t="str">
        <f ca="1">IFERROR(__xludf.DUMMYFUNCTION("""COMPUTED_VALUE"""),"Ana Fernández Rodríguez")</f>
        <v>Ana Fernández Rodríguez</v>
      </c>
      <c r="S222" s="20" t="str">
        <f ca="1">IFERROR(__xludf.DUMMYFUNCTION("""COMPUTED_VALUE"""),"03 ORL")</f>
        <v>03 ORL</v>
      </c>
      <c r="T222" s="6" t="str">
        <f ca="1">IFERROR(__xludf.DUMMYFUNCTION("""COMPUTED_VALUE"""),"06 ORL")</f>
        <v>06 ORL</v>
      </c>
      <c r="U222" s="21"/>
      <c r="W222" s="21"/>
      <c r="X222" s="21"/>
      <c r="AG222" s="18"/>
    </row>
    <row r="223" spans="1:36" ht="16">
      <c r="A223" s="6"/>
      <c r="B223" s="14" t="str">
        <f t="shared" ca="1" si="0"/>
        <v>RFV</v>
      </c>
      <c r="C223" s="23" t="str">
        <f ca="1">IFERROR(__xludf.DUMMYFUNCTION("""COMPUTED_VALUE"""),"RFV26")</f>
        <v>RFV26</v>
      </c>
      <c r="D223" s="6" t="str">
        <f ca="1">IFERROR(__xludf.DUMMYFUNCTION("""COMPUTED_VALUE"""),"PROPIOS")</f>
        <v>PROPIOS</v>
      </c>
      <c r="E223" s="6">
        <f ca="1">IFERROR(__xludf.DUMMYFUNCTION("""COMPUTED_VALUE"""),2026)</f>
        <v>2026</v>
      </c>
      <c r="F223" s="15">
        <f ca="1">IFERROR(__xludf.DUMMYFUNCTION("""COMPUTED_VALUE"""),2)</f>
        <v>2</v>
      </c>
      <c r="G223" s="6" t="str">
        <f ca="1">IFERROR(__xludf.DUMMYFUNCTION("""COMPUTED_VALUE"""),"Valencia- Cádiz")</f>
        <v>Valencia- Cádiz</v>
      </c>
      <c r="H223" s="6" t="str">
        <f ca="1">IFERROR(__xludf.DUMMYFUNCTION("""COMPUTED_VALUE"""),"C202611210232134460")</f>
        <v>C202611210232134460</v>
      </c>
      <c r="I223" s="6" t="str">
        <f ca="1">IFERROR(__xludf.DUMMYFUNCTION("""COMPUTED_VALUE"""),"ANTONIO MARTINEZ NAVARRO")</f>
        <v>ANTONIO MARTINEZ NAVARRO</v>
      </c>
      <c r="J223" s="16">
        <f ca="1">IFERROR(__xludf.DUMMYFUNCTION("""COMPUTED_VALUE"""),46034)</f>
        <v>46034</v>
      </c>
      <c r="K223" s="6" t="str">
        <f ca="1">IFERROR(__xludf.DUMMYFUNCTION("""COMPUTED_VALUE"""),"Factura audífonos")</f>
        <v>Factura audífonos</v>
      </c>
      <c r="L223" s="16">
        <f ca="1">IFERROR(__xludf.DUMMYFUNCTION("""COMPUTED_VALUE"""),46076)</f>
        <v>46076</v>
      </c>
      <c r="M223" s="6" t="str">
        <f ca="1">IFERROR(__xludf.DUMMYFUNCTION("""COMPUTED_VALUE"""),"NO")</f>
        <v>NO</v>
      </c>
      <c r="N223" s="15">
        <f ca="1">IFERROR(__xludf.DUMMYFUNCTION("""COMPUTED_VALUE"""),2)</f>
        <v>2</v>
      </c>
      <c r="O223" s="6" t="str">
        <f ca="1">IFERROR(__xludf.DUMMYFUNCTION("""COMPUTED_VALUE"""),"QUIET")</f>
        <v>QUIET</v>
      </c>
      <c r="P223" s="18">
        <f ca="1">IFERROR(__xludf.DUMMYFUNCTION("""COMPUTED_VALUE"""),2718.18)</f>
        <v>2718.18</v>
      </c>
      <c r="Q223" s="6" t="str">
        <f ca="1">IFERROR(__xludf.DUMMYFUNCTION("""COMPUTED_VALUE"""),"Ramon Ferrando")</f>
        <v>Ramon Ferrando</v>
      </c>
      <c r="R223" s="19" t="str">
        <f ca="1">IFERROR(__xludf.DUMMYFUNCTION("""COMPUTED_VALUE"""),"Ainhoa García-Lliberos de Miguel")</f>
        <v>Ainhoa García-Lliberos de Miguel</v>
      </c>
      <c r="S223" s="20" t="str">
        <f ca="1">IFERROR(__xludf.DUMMYFUNCTION("""COMPUTED_VALUE"""),"03 ORL")</f>
        <v>03 ORL</v>
      </c>
      <c r="T223" s="6" t="str">
        <f ca="1">IFERROR(__xludf.DUMMYFUNCTION("""COMPUTED_VALUE"""),"06 ORL")</f>
        <v>06 ORL</v>
      </c>
      <c r="U223" s="21"/>
      <c r="W223" s="21"/>
      <c r="X223" s="21"/>
      <c r="AG223" s="18"/>
      <c r="AJ223" s="19"/>
    </row>
    <row r="224" spans="1:36" ht="16">
      <c r="A224" s="6"/>
      <c r="B224" s="14" t="str">
        <f t="shared" si="0"/>
        <v/>
      </c>
      <c r="C224" s="23"/>
      <c r="D224" s="6" t="str">
        <f ca="1">IFERROR(__xludf.DUMMYFUNCTION("""COMPUTED_VALUE"""),"PROPIOS")</f>
        <v>PROPIOS</v>
      </c>
      <c r="E224" s="6">
        <f ca="1">IFERROR(__xludf.DUMMYFUNCTION("""COMPUTED_VALUE"""),2026)</f>
        <v>2026</v>
      </c>
      <c r="F224" s="15">
        <f ca="1">IFERROR(__xludf.DUMMYFUNCTION("""COMPUTED_VALUE"""),2)</f>
        <v>2</v>
      </c>
      <c r="G224" s="6" t="str">
        <f ca="1">IFERROR(__xludf.DUMMYFUNCTION("""COMPUTED_VALUE"""),"Valencia- Parra")</f>
        <v>Valencia- Parra</v>
      </c>
      <c r="H224" s="6" t="str">
        <f ca="1">IFERROR(__xludf.DUMMYFUNCTION("""COMPUTED_VALUE"""),"C202512159325964174")</f>
        <v>C202512159325964174</v>
      </c>
      <c r="I224" s="6" t="str">
        <f ca="1">IFERROR(__xludf.DUMMYFUNCTION("""COMPUTED_VALUE"""),"ENCARNA GOMEZ LORENTE")</f>
        <v>ENCARNA GOMEZ LORENTE</v>
      </c>
      <c r="J224" s="16">
        <f ca="1">IFERROR(__xludf.DUMMYFUNCTION("""COMPUTED_VALUE"""),46006)</f>
        <v>46006</v>
      </c>
      <c r="K224" s="6" t="str">
        <f ca="1">IFERROR(__xludf.DUMMYFUNCTION("""COMPUTED_VALUE"""),"Factura audífonos")</f>
        <v>Factura audífonos</v>
      </c>
      <c r="L224" s="16">
        <f ca="1">IFERROR(__xludf.DUMMYFUNCTION("""COMPUTED_VALUE"""),46077)</f>
        <v>46077</v>
      </c>
      <c r="M224" s="6" t="str">
        <f ca="1">IFERROR(__xludf.DUMMYFUNCTION("""COMPUTED_VALUE"""),"NO")</f>
        <v>NO</v>
      </c>
      <c r="N224" s="15">
        <f ca="1">IFERROR(__xludf.DUMMYFUNCTION("""COMPUTED_VALUE"""),2)</f>
        <v>2</v>
      </c>
      <c r="O224" s="6" t="str">
        <f ca="1">IFERROR(__xludf.DUMMYFUNCTION("""COMPUTED_VALUE"""),"PRO")</f>
        <v>PRO</v>
      </c>
      <c r="P224" s="19">
        <f ca="1">IFERROR(__xludf.DUMMYFUNCTION("""COMPUTED_VALUE"""),4400)</f>
        <v>4400</v>
      </c>
      <c r="Q224" s="6" t="str">
        <f ca="1">IFERROR(__xludf.DUMMYFUNCTION("""COMPUTED_VALUE"""),"Ramon Ferrando")</f>
        <v>Ramon Ferrando</v>
      </c>
      <c r="R224" s="19" t="str">
        <f ca="1">IFERROR(__xludf.DUMMYFUNCTION("""COMPUTED_VALUE"""),"No recuerda ORL")</f>
        <v>No recuerda ORL</v>
      </c>
      <c r="S224" s="20" t="str">
        <f ca="1">IFERROR(__xludf.DUMMYFUNCTION("""COMPUTED_VALUE"""),"03 ORL")</f>
        <v>03 ORL</v>
      </c>
      <c r="T224" s="6" t="str">
        <f ca="1">IFERROR(__xludf.DUMMYFUNCTION("""COMPUTED_VALUE"""),"06 ORL")</f>
        <v>06 ORL</v>
      </c>
      <c r="U224" s="21"/>
      <c r="W224" s="21"/>
      <c r="X224" s="21"/>
      <c r="AG224" s="19"/>
      <c r="AJ224" s="19"/>
    </row>
    <row r="225" spans="1:33" ht="16">
      <c r="A225" s="6"/>
      <c r="B225" s="14" t="str">
        <f t="shared" ca="1" si="0"/>
        <v>ISL</v>
      </c>
      <c r="C225" s="23" t="str">
        <f ca="1">IFERROR(__xludf.DUMMYFUNCTION("""COMPUTED_VALUE"""),"ISL34")</f>
        <v>ISL34</v>
      </c>
      <c r="D225" s="6" t="str">
        <f ca="1">IFERROR(__xludf.DUMMYFUNCTION("""COMPUTED_VALUE"""),"PROPIOS")</f>
        <v>PROPIOS</v>
      </c>
      <c r="E225" s="6">
        <f ca="1">IFERROR(__xludf.DUMMYFUNCTION("""COMPUTED_VALUE"""),2026)</f>
        <v>2026</v>
      </c>
      <c r="F225" s="15">
        <f ca="1">IFERROR(__xludf.DUMMYFUNCTION("""COMPUTED_VALUE"""),2)</f>
        <v>2</v>
      </c>
      <c r="G225" s="6" t="str">
        <f ca="1">IFERROR(__xludf.DUMMYFUNCTION("""COMPUTED_VALUE"""),"Alicante")</f>
        <v>Alicante</v>
      </c>
      <c r="H225" s="6" t="str">
        <f ca="1">IFERROR(__xludf.DUMMYFUNCTION("""COMPUTED_VALUE"""),"C202612792335023888")</f>
        <v>C202612792335023888</v>
      </c>
      <c r="I225" s="6" t="str">
        <f ca="1">IFERROR(__xludf.DUMMYFUNCTION("""COMPUTED_VALUE"""),"JOSE ANTONIO SERRA AGULLO")</f>
        <v>JOSE ANTONIO SERRA AGULLO</v>
      </c>
      <c r="J225" s="16">
        <f ca="1">IFERROR(__xludf.DUMMYFUNCTION("""COMPUTED_VALUE"""),46049)</f>
        <v>46049</v>
      </c>
      <c r="K225" s="6" t="str">
        <f ca="1">IFERROR(__xludf.DUMMYFUNCTION("""COMPUTED_VALUE"""),"Factura audífonos")</f>
        <v>Factura audífonos</v>
      </c>
      <c r="L225" s="16">
        <f ca="1">IFERROR(__xludf.DUMMYFUNCTION("""COMPUTED_VALUE"""),46077)</f>
        <v>46077</v>
      </c>
      <c r="M225" s="6" t="str">
        <f ca="1">IFERROR(__xludf.DUMMYFUNCTION("""COMPUTED_VALUE"""),"NO")</f>
        <v>NO</v>
      </c>
      <c r="N225" s="15">
        <f ca="1">IFERROR(__xludf.DUMMYFUNCTION("""COMPUTED_VALUE"""),1)</f>
        <v>1</v>
      </c>
      <c r="O225" s="6" t="str">
        <f ca="1">IFERROR(__xludf.DUMMYFUNCTION("""COMPUTED_VALUE"""),"ADVANCED")</f>
        <v>ADVANCED</v>
      </c>
      <c r="P225" s="19">
        <f ca="1">IFERROR(__xludf.DUMMYFUNCTION("""COMPUTED_VALUE"""),2481.82)</f>
        <v>2481.8200000000002</v>
      </c>
      <c r="Q225" s="6" t="str">
        <f ca="1">IFERROR(__xludf.DUMMYFUNCTION("""COMPUTED_VALUE"""),"Iván Sánchez")</f>
        <v>Iván Sánchez</v>
      </c>
      <c r="R225" s="19" t="str">
        <f ca="1">IFERROR(__xludf.DUMMYFUNCTION("""COMPUTED_VALUE"""),"Francisco Pastor Beviá")</f>
        <v>Francisco Pastor Beviá</v>
      </c>
      <c r="S225" s="20" t="str">
        <f ca="1">IFERROR(__xludf.DUMMYFUNCTION("""COMPUTED_VALUE"""),"03 ORL")</f>
        <v>03 ORL</v>
      </c>
      <c r="T225" s="6" t="str">
        <f ca="1">IFERROR(__xludf.DUMMYFUNCTION("""COMPUTED_VALUE"""),"06 ORL")</f>
        <v>06 ORL</v>
      </c>
      <c r="U225" s="21"/>
      <c r="W225" s="21"/>
      <c r="X225" s="21"/>
      <c r="AG225" s="19"/>
    </row>
    <row r="226" spans="1:33" ht="16">
      <c r="A226" s="6"/>
      <c r="B226" s="14" t="str">
        <f t="shared" ca="1" si="0"/>
        <v>ISL</v>
      </c>
      <c r="C226" s="23" t="str">
        <f ca="1">IFERROR(__xludf.DUMMYFUNCTION("""COMPUTED_VALUE"""),"ISL54")</f>
        <v>ISL54</v>
      </c>
      <c r="D226" s="6" t="str">
        <f ca="1">IFERROR(__xludf.DUMMYFUNCTION("""COMPUTED_VALUE"""),"PROPIOS")</f>
        <v>PROPIOS</v>
      </c>
      <c r="E226" s="6">
        <f ca="1">IFERROR(__xludf.DUMMYFUNCTION("""COMPUTED_VALUE"""),2026)</f>
        <v>2026</v>
      </c>
      <c r="F226" s="15">
        <f ca="1">IFERROR(__xludf.DUMMYFUNCTION("""COMPUTED_VALUE"""),2)</f>
        <v>2</v>
      </c>
      <c r="G226" s="6" t="str">
        <f ca="1">IFERROR(__xludf.DUMMYFUNCTION("""COMPUTED_VALUE"""),"El Albir (Benidorm)")</f>
        <v>El Albir (Benidorm)</v>
      </c>
      <c r="H226" s="6" t="str">
        <f ca="1">IFERROR(__xludf.DUMMYFUNCTION("""COMPUTED_VALUE"""),"C202612111181255673")</f>
        <v>C202612111181255673</v>
      </c>
      <c r="I226" s="6" t="str">
        <f ca="1">IFERROR(__xludf.DUMMYFUNCTION("""COMPUTED_VALUE"""),"EUSEBIO DURAN POLAINO")</f>
        <v>EUSEBIO DURAN POLAINO</v>
      </c>
      <c r="J226" s="16">
        <f ca="1">IFERROR(__xludf.DUMMYFUNCTION("""COMPUTED_VALUE"""),46043)</f>
        <v>46043</v>
      </c>
      <c r="K226" s="6" t="str">
        <f ca="1">IFERROR(__xludf.DUMMYFUNCTION("""COMPUTED_VALUE"""),"Factura audífonos")</f>
        <v>Factura audífonos</v>
      </c>
      <c r="L226" s="16">
        <f ca="1">IFERROR(__xludf.DUMMYFUNCTION("""COMPUTED_VALUE"""),46077)</f>
        <v>46077</v>
      </c>
      <c r="M226" s="6" t="str">
        <f ca="1">IFERROR(__xludf.DUMMYFUNCTION("""COMPUTED_VALUE"""),"NO")</f>
        <v>NO</v>
      </c>
      <c r="N226" s="15">
        <f ca="1">IFERROR(__xludf.DUMMYFUNCTION("""COMPUTED_VALUE"""),2)</f>
        <v>2</v>
      </c>
      <c r="O226" s="6" t="str">
        <f ca="1">IFERROR(__xludf.DUMMYFUNCTION("""COMPUTED_VALUE"""),"ADVANCED")</f>
        <v>ADVANCED</v>
      </c>
      <c r="P226" s="19">
        <f ca="1">IFERROR(__xludf.DUMMYFUNCTION("""COMPUTED_VALUE"""),4136.36)</f>
        <v>4136.3599999999997</v>
      </c>
      <c r="Q226" s="6" t="str">
        <f ca="1">IFERROR(__xludf.DUMMYFUNCTION("""COMPUTED_VALUE"""),"Ramon Ferrando")</f>
        <v>Ramon Ferrando</v>
      </c>
      <c r="R226" s="19" t="str">
        <f ca="1">IFERROR(__xludf.DUMMYFUNCTION("""COMPUTED_VALUE"""),"José María Laborda Margolles")</f>
        <v>José María Laborda Margolles</v>
      </c>
      <c r="S226" s="20" t="str">
        <f ca="1">IFERROR(__xludf.DUMMYFUNCTION("""COMPUTED_VALUE"""),"03 ORL")</f>
        <v>03 ORL</v>
      </c>
      <c r="T226" s="6" t="str">
        <f ca="1">IFERROR(__xludf.DUMMYFUNCTION("""COMPUTED_VALUE"""),"06 ORL")</f>
        <v>06 ORL</v>
      </c>
      <c r="U226" s="21"/>
      <c r="W226" s="21"/>
      <c r="X226" s="21"/>
      <c r="AG226" s="19"/>
    </row>
    <row r="227" spans="1:33" ht="16">
      <c r="B227" s="14" t="str">
        <f t="shared" ca="1" si="0"/>
        <v>ISL</v>
      </c>
      <c r="C227" s="23" t="str">
        <f ca="1">IFERROR(__xludf.DUMMYFUNCTION("""COMPUTED_VALUE"""),"ISL19")</f>
        <v>ISL19</v>
      </c>
      <c r="D227" s="6" t="str">
        <f ca="1">IFERROR(__xludf.DUMMYFUNCTION("""COMPUTED_VALUE"""),"PROPIOS")</f>
        <v>PROPIOS</v>
      </c>
      <c r="E227" s="6">
        <f ca="1">IFERROR(__xludf.DUMMYFUNCTION("""COMPUTED_VALUE"""),2026)</f>
        <v>2026</v>
      </c>
      <c r="F227" s="15">
        <f ca="1">IFERROR(__xludf.DUMMYFUNCTION("""COMPUTED_VALUE"""),2)</f>
        <v>2</v>
      </c>
      <c r="G227" s="6" t="str">
        <f ca="1">IFERROR(__xludf.DUMMYFUNCTION("""COMPUTED_VALUE"""),"San Javier")</f>
        <v>San Javier</v>
      </c>
      <c r="H227" s="6" t="str">
        <f ca="1">IFERROR(__xludf.DUMMYFUNCTION("""COMPUTED_VALUE"""),"C20262109335839729")</f>
        <v>C20262109335839729</v>
      </c>
      <c r="I227" s="6" t="str">
        <f ca="1">IFERROR(__xludf.DUMMYFUNCTION("""COMPUTED_VALUE"""),"JOSE ANTONIO SANCHEZ LORCA")</f>
        <v>JOSE ANTONIO SANCHEZ LORCA</v>
      </c>
      <c r="J227" s="16">
        <f ca="1">IFERROR(__xludf.DUMMYFUNCTION("""COMPUTED_VALUE"""),46063)</f>
        <v>46063</v>
      </c>
      <c r="K227" s="6" t="str">
        <f ca="1">IFERROR(__xludf.DUMMYFUNCTION("""COMPUTED_VALUE"""),"Factura audífonos")</f>
        <v>Factura audífonos</v>
      </c>
      <c r="L227" s="16">
        <f ca="1">IFERROR(__xludf.DUMMYFUNCTION("""COMPUTED_VALUE"""),46077)</f>
        <v>46077</v>
      </c>
      <c r="M227" s="23" t="str">
        <f ca="1">IFERROR(__xludf.DUMMYFUNCTION("""COMPUTED_VALUE"""),"NO")</f>
        <v>NO</v>
      </c>
      <c r="N227" s="15">
        <f ca="1">IFERROR(__xludf.DUMMYFUNCTION("""COMPUTED_VALUE"""),2)</f>
        <v>2</v>
      </c>
      <c r="O227" s="23" t="str">
        <f ca="1">IFERROR(__xludf.DUMMYFUNCTION("""COMPUTED_VALUE"""),"CONFORT")</f>
        <v>CONFORT</v>
      </c>
      <c r="P227" s="21">
        <f ca="1">IFERROR(__xludf.DUMMYFUNCTION("""COMPUTED_VALUE"""),3631.82)</f>
        <v>3631.82</v>
      </c>
      <c r="Q227" s="6" t="str">
        <f ca="1">IFERROR(__xludf.DUMMYFUNCTION("""COMPUTED_VALUE"""),"Iván Sánchez")</f>
        <v>Iván Sánchez</v>
      </c>
      <c r="R227" s="6" t="str">
        <f ca="1">IFERROR(__xludf.DUMMYFUNCTION("""COMPUTED_VALUE"""),"Dinis Antunes Silva")</f>
        <v>Dinis Antunes Silva</v>
      </c>
      <c r="S227" s="20" t="str">
        <f ca="1">IFERROR(__xludf.DUMMYFUNCTION("""COMPUTED_VALUE"""),"03 ORL")</f>
        <v>03 ORL</v>
      </c>
      <c r="T227" s="6" t="str">
        <f ca="1">IFERROR(__xludf.DUMMYFUNCTION("""COMPUTED_VALUE"""),"06 ORL")</f>
        <v>06 ORL</v>
      </c>
      <c r="U227" s="21"/>
      <c r="W227" s="21"/>
      <c r="X227" s="21"/>
    </row>
    <row r="228" spans="1:33" ht="16">
      <c r="B228" s="14" t="str">
        <f t="shared" ca="1" si="0"/>
        <v>MBM</v>
      </c>
      <c r="C228" s="23" t="str">
        <f ca="1">IFERROR(__xludf.DUMMYFUNCTION("""COMPUTED_VALUE"""),"MBM117")</f>
        <v>MBM117</v>
      </c>
      <c r="D228" s="6" t="str">
        <f ca="1">IFERROR(__xludf.DUMMYFUNCTION("""COMPUTED_VALUE"""),"PROPIOS")</f>
        <v>PROPIOS</v>
      </c>
      <c r="E228" s="6">
        <f ca="1">IFERROR(__xludf.DUMMYFUNCTION("""COMPUTED_VALUE"""),2026)</f>
        <v>2026</v>
      </c>
      <c r="F228" s="15">
        <f ca="1">IFERROR(__xludf.DUMMYFUNCTION("""COMPUTED_VALUE"""),2)</f>
        <v>2</v>
      </c>
      <c r="G228" s="6" t="str">
        <f ca="1">IFERROR(__xludf.DUMMYFUNCTION("""COMPUTED_VALUE"""),"Madrid- Juan Bravo")</f>
        <v>Madrid- Juan Bravo</v>
      </c>
      <c r="H228" s="6" t="str">
        <f ca="1">IFERROR(__xludf.DUMMYFUNCTION("""COMPUTED_VALUE"""),"C202611283024414467")</f>
        <v>C202611283024414467</v>
      </c>
      <c r="I228" s="6" t="str">
        <f ca="1">IFERROR(__xludf.DUMMYFUNCTION("""COMPUTED_VALUE"""),"MANUELA  PERTIERRA ALVAREZ")</f>
        <v>MANUELA  PERTIERRA ALVAREZ</v>
      </c>
      <c r="J228" s="16">
        <f ca="1">IFERROR(__xludf.DUMMYFUNCTION("""COMPUTED_VALUE"""),46034)</f>
        <v>46034</v>
      </c>
      <c r="K228" s="6" t="str">
        <f ca="1">IFERROR(__xludf.DUMMYFUNCTION("""COMPUTED_VALUE"""),"Factura audífonos")</f>
        <v>Factura audífonos</v>
      </c>
      <c r="L228" s="16">
        <f ca="1">IFERROR(__xludf.DUMMYFUNCTION("""COMPUTED_VALUE"""),46077)</f>
        <v>46077</v>
      </c>
      <c r="M228" s="23" t="str">
        <f ca="1">IFERROR(__xludf.DUMMYFUNCTION("""COMPUTED_VALUE"""),"NO")</f>
        <v>NO</v>
      </c>
      <c r="N228" s="15">
        <f ca="1">IFERROR(__xludf.DUMMYFUNCTION("""COMPUTED_VALUE"""),2)</f>
        <v>2</v>
      </c>
      <c r="O228" s="23" t="str">
        <f ca="1">IFERROR(__xludf.DUMMYFUNCTION("""COMPUTED_VALUE"""),"QUIET")</f>
        <v>QUIET</v>
      </c>
      <c r="P228" s="21">
        <f ca="1">IFERROR(__xludf.DUMMYFUNCTION("""COMPUTED_VALUE"""),2581.82)</f>
        <v>2581.8200000000002</v>
      </c>
      <c r="Q228" s="6" t="str">
        <f ca="1">IFERROR(__xludf.DUMMYFUNCTION("""COMPUTED_VALUE"""),"Maika Blázquez")</f>
        <v>Maika Blázquez</v>
      </c>
      <c r="R228" s="6" t="str">
        <f ca="1">IFERROR(__xludf.DUMMYFUNCTION("""COMPUTED_VALUE"""),"Helena Moreno Pardo")</f>
        <v>Helena Moreno Pardo</v>
      </c>
      <c r="S228" s="20" t="str">
        <f ca="1">IFERROR(__xludf.DUMMYFUNCTION("""COMPUTED_VALUE"""),"03 ORL")</f>
        <v>03 ORL</v>
      </c>
      <c r="T228" s="6" t="str">
        <f ca="1">IFERROR(__xludf.DUMMYFUNCTION("""COMPUTED_VALUE"""),"06 ORL")</f>
        <v>06 ORL</v>
      </c>
      <c r="U228" s="21"/>
      <c r="W228" s="21"/>
      <c r="X228" s="21"/>
    </row>
    <row r="229" spans="1:33" ht="16">
      <c r="B229" s="14" t="str">
        <f t="shared" ca="1" si="0"/>
        <v>ISL</v>
      </c>
      <c r="C229" s="23" t="str">
        <f ca="1">IFERROR(__xludf.DUMMYFUNCTION("""COMPUTED_VALUE"""),"ISL54")</f>
        <v>ISL54</v>
      </c>
      <c r="D229" s="6" t="str">
        <f ca="1">IFERROR(__xludf.DUMMYFUNCTION("""COMPUTED_VALUE"""),"PROPIOS")</f>
        <v>PROPIOS</v>
      </c>
      <c r="E229" s="6">
        <f ca="1">IFERROR(__xludf.DUMMYFUNCTION("""COMPUTED_VALUE"""),2026)</f>
        <v>2026</v>
      </c>
      <c r="F229" s="15">
        <f ca="1">IFERROR(__xludf.DUMMYFUNCTION("""COMPUTED_VALUE"""),2)</f>
        <v>2</v>
      </c>
      <c r="G229" s="6" t="str">
        <f ca="1">IFERROR(__xludf.DUMMYFUNCTION("""COMPUTED_VALUE"""),"El Albir (Benidorm)")</f>
        <v>El Albir (Benidorm)</v>
      </c>
      <c r="H229" s="6" t="str">
        <f ca="1">IFERROR(__xludf.DUMMYFUNCTION("""COMPUTED_VALUE"""),"C202512101113257912")</f>
        <v>C202512101113257912</v>
      </c>
      <c r="I229" s="6" t="str">
        <f ca="1">IFERROR(__xludf.DUMMYFUNCTION("""COMPUTED_VALUE"""),"IVAN  DE LA OSSA RODRIGUEZ")</f>
        <v>IVAN  DE LA OSSA RODRIGUEZ</v>
      </c>
      <c r="J229" s="16">
        <f ca="1">IFERROR(__xludf.DUMMYFUNCTION("""COMPUTED_VALUE"""),46001)</f>
        <v>46001</v>
      </c>
      <c r="K229" s="6" t="str">
        <f ca="1">IFERROR(__xludf.DUMMYFUNCTION("""COMPUTED_VALUE"""),"Factura audífonos")</f>
        <v>Factura audífonos</v>
      </c>
      <c r="L229" s="16">
        <f ca="1">IFERROR(__xludf.DUMMYFUNCTION("""COMPUTED_VALUE"""),46077)</f>
        <v>46077</v>
      </c>
      <c r="M229" s="17" t="str">
        <f ca="1">IFERROR(__xludf.DUMMYFUNCTION("""COMPUTED_VALUE"""),"NO")</f>
        <v>NO</v>
      </c>
      <c r="N229" s="15">
        <f ca="1">IFERROR(__xludf.DUMMYFUNCTION("""COMPUTED_VALUE"""),2)</f>
        <v>2</v>
      </c>
      <c r="O229" s="23" t="str">
        <f ca="1">IFERROR(__xludf.DUMMYFUNCTION("""COMPUTED_VALUE"""),"QUIET")</f>
        <v>QUIET</v>
      </c>
      <c r="P229" s="21">
        <f ca="1">IFERROR(__xludf.DUMMYFUNCTION("""COMPUTED_VALUE"""),2582.27)</f>
        <v>2582.27</v>
      </c>
      <c r="Q229" s="6" t="str">
        <f ca="1">IFERROR(__xludf.DUMMYFUNCTION("""COMPUTED_VALUE"""),"Ramon Ferrando")</f>
        <v>Ramon Ferrando</v>
      </c>
      <c r="R229" s="6" t="str">
        <f ca="1">IFERROR(__xludf.DUMMYFUNCTION("""COMPUTED_VALUE"""),"José María Laborda Margolles")</f>
        <v>José María Laborda Margolles</v>
      </c>
      <c r="S229" s="20" t="str">
        <f ca="1">IFERROR(__xludf.DUMMYFUNCTION("""COMPUTED_VALUE"""),"03 ORL")</f>
        <v>03 ORL</v>
      </c>
      <c r="T229" s="6" t="str">
        <f ca="1">IFERROR(__xludf.DUMMYFUNCTION("""COMPUTED_VALUE"""),"06 ORL")</f>
        <v>06 ORL</v>
      </c>
      <c r="U229" s="21"/>
      <c r="W229" s="21"/>
      <c r="X229" s="21"/>
    </row>
    <row r="230" spans="1:33" ht="16">
      <c r="B230" s="14" t="str">
        <f t="shared" ca="1" si="0"/>
        <v>ISL</v>
      </c>
      <c r="C230" s="23" t="str">
        <f ca="1">IFERROR(__xludf.DUMMYFUNCTION("""COMPUTED_VALUE"""),"ISL122")</f>
        <v>ISL122</v>
      </c>
      <c r="D230" s="6" t="str">
        <f ca="1">IFERROR(__xludf.DUMMYFUNCTION("""COMPUTED_VALUE"""),"PROPIOS")</f>
        <v>PROPIOS</v>
      </c>
      <c r="E230" s="6">
        <f ca="1">IFERROR(__xludf.DUMMYFUNCTION("""COMPUTED_VALUE"""),2026)</f>
        <v>2026</v>
      </c>
      <c r="F230" s="15">
        <f ca="1">IFERROR(__xludf.DUMMYFUNCTION("""COMPUTED_VALUE"""),2)</f>
        <v>2</v>
      </c>
      <c r="G230" s="6" t="str">
        <f ca="1">IFERROR(__xludf.DUMMYFUNCTION("""COMPUTED_VALUE"""),"Murcia")</f>
        <v>Murcia</v>
      </c>
      <c r="H230" s="6" t="str">
        <f ca="1">IFERROR(__xludf.DUMMYFUNCTION("""COMPUTED_VALUE"""),"C202619101846200563")</f>
        <v>C202619101846200563</v>
      </c>
      <c r="I230" s="6" t="str">
        <f ca="1">IFERROR(__xludf.DUMMYFUNCTION("""COMPUTED_VALUE"""),"JUAN ANTONIO PUIG TRULLEN")</f>
        <v>JUAN ANTONIO PUIG TRULLEN</v>
      </c>
      <c r="J230" s="16">
        <f ca="1">IFERROR(__xludf.DUMMYFUNCTION("""COMPUTED_VALUE"""),46031)</f>
        <v>46031</v>
      </c>
      <c r="K230" s="6" t="str">
        <f ca="1">IFERROR(__xludf.DUMMYFUNCTION("""COMPUTED_VALUE"""),"Factura audífonos")</f>
        <v>Factura audífonos</v>
      </c>
      <c r="L230" s="16">
        <f ca="1">IFERROR(__xludf.DUMMYFUNCTION("""COMPUTED_VALUE"""),46077)</f>
        <v>46077</v>
      </c>
      <c r="M230" s="23" t="str">
        <f ca="1">IFERROR(__xludf.DUMMYFUNCTION("""COMPUTED_VALUE"""),"NO")</f>
        <v>NO</v>
      </c>
      <c r="N230" s="15">
        <f ca="1">IFERROR(__xludf.DUMMYFUNCTION("""COMPUTED_VALUE"""),2)</f>
        <v>2</v>
      </c>
      <c r="O230" s="23" t="str">
        <f ca="1">IFERROR(__xludf.DUMMYFUNCTION("""COMPUTED_VALUE"""),"QUIET")</f>
        <v>QUIET</v>
      </c>
      <c r="P230" s="21">
        <f ca="1">IFERROR(__xludf.DUMMYFUNCTION("""COMPUTED_VALUE"""),2718.18)</f>
        <v>2718.18</v>
      </c>
      <c r="Q230" s="6" t="str">
        <f ca="1">IFERROR(__xludf.DUMMYFUNCTION("""COMPUTED_VALUE"""),"Iván Sánchez")</f>
        <v>Iván Sánchez</v>
      </c>
      <c r="R230" s="6" t="str">
        <f ca="1">IFERROR(__xludf.DUMMYFUNCTION("""COMPUTED_VALUE"""),"María Agustina Sevilla García")</f>
        <v>María Agustina Sevilla García</v>
      </c>
      <c r="S230" s="20" t="str">
        <f ca="1">IFERROR(__xludf.DUMMYFUNCTION("""COMPUTED_VALUE"""),"03 ORL")</f>
        <v>03 ORL</v>
      </c>
      <c r="T230" s="6" t="str">
        <f ca="1">IFERROR(__xludf.DUMMYFUNCTION("""COMPUTED_VALUE"""),"06 ORL")</f>
        <v>06 ORL</v>
      </c>
      <c r="U230" s="21"/>
      <c r="W230" s="21"/>
      <c r="X230" s="21"/>
    </row>
    <row r="231" spans="1:33" ht="16">
      <c r="B231" s="14" t="str">
        <f t="shared" ca="1" si="0"/>
        <v>PSC</v>
      </c>
      <c r="C231" s="23" t="str">
        <f ca="1">IFERROR(__xludf.DUMMYFUNCTION("""COMPUTED_VALUE"""),"PSC44")</f>
        <v>PSC44</v>
      </c>
      <c r="D231" s="6" t="str">
        <f ca="1">IFERROR(__xludf.DUMMYFUNCTION("""COMPUTED_VALUE"""),"ASOCIADOS")</f>
        <v>ASOCIADOS</v>
      </c>
      <c r="E231" s="6">
        <f ca="1">IFERROR(__xludf.DUMMYFUNCTION("""COMPUTED_VALUE"""),2026)</f>
        <v>2026</v>
      </c>
      <c r="F231" s="15">
        <f ca="1">IFERROR(__xludf.DUMMYFUNCTION("""COMPUTED_VALUE"""),2)</f>
        <v>2</v>
      </c>
      <c r="G231" s="6" t="str">
        <f ca="1">IFERROR(__xludf.DUMMYFUNCTION("""COMPUTED_VALUE"""),"Valladolid")</f>
        <v>Valladolid</v>
      </c>
      <c r="H231" s="6" t="str">
        <f ca="1">IFERROR(__xludf.DUMMYFUNCTION("""COMPUTED_VALUE"""),"C202512121543130386")</f>
        <v>C202512121543130386</v>
      </c>
      <c r="I231" s="6" t="str">
        <f ca="1">IFERROR(__xludf.DUMMYFUNCTION("""COMPUTED_VALUE"""),"FRANCISCO JAVIER PÉREZ PÉREZ")</f>
        <v>FRANCISCO JAVIER PÉREZ PÉREZ</v>
      </c>
      <c r="J231" s="16">
        <f ca="1">IFERROR(__xludf.DUMMYFUNCTION("""COMPUTED_VALUE"""),46003)</f>
        <v>46003</v>
      </c>
      <c r="K231" s="6" t="str">
        <f ca="1">IFERROR(__xludf.DUMMYFUNCTION("""COMPUTED_VALUE"""),"Factura audífonos")</f>
        <v>Factura audífonos</v>
      </c>
      <c r="L231" s="16">
        <f ca="1">IFERROR(__xludf.DUMMYFUNCTION("""COMPUTED_VALUE"""),46077)</f>
        <v>46077</v>
      </c>
      <c r="M231" s="17" t="str">
        <f ca="1">IFERROR(__xludf.DUMMYFUNCTION("""COMPUTED_VALUE"""),"NO")</f>
        <v>NO</v>
      </c>
      <c r="N231" s="15">
        <f ca="1">IFERROR(__xludf.DUMMYFUNCTION("""COMPUTED_VALUE"""),2)</f>
        <v>2</v>
      </c>
      <c r="O231" s="23" t="str">
        <f ca="1">IFERROR(__xludf.DUMMYFUNCTION("""COMPUTED_VALUE"""),"ADVANCED")</f>
        <v>ADVANCED</v>
      </c>
      <c r="P231" s="21">
        <f ca="1">IFERROR(__xludf.DUMMYFUNCTION("""COMPUTED_VALUE"""),3977.27)</f>
        <v>3977.27</v>
      </c>
      <c r="Q231" s="6" t="str">
        <f ca="1">IFERROR(__xludf.DUMMYFUNCTION("""COMPUTED_VALUE"""),"Alberto Moreno")</f>
        <v>Alberto Moreno</v>
      </c>
      <c r="R231" s="6" t="str">
        <f ca="1">IFERROR(__xludf.DUMMYFUNCTION("""COMPUTED_VALUE"""),"Marina Madrigal Revuelta")</f>
        <v>Marina Madrigal Revuelta</v>
      </c>
      <c r="S231" s="20" t="str">
        <f ca="1">IFERROR(__xludf.DUMMYFUNCTION("""COMPUTED_VALUE"""),"03 ORL")</f>
        <v>03 ORL</v>
      </c>
      <c r="T231" s="6" t="str">
        <f ca="1">IFERROR(__xludf.DUMMYFUNCTION("""COMPUTED_VALUE"""),"06 ORL")</f>
        <v>06 ORL</v>
      </c>
      <c r="U231" s="21"/>
      <c r="W231" s="21"/>
      <c r="X231" s="21"/>
    </row>
    <row r="232" spans="1:33" ht="16">
      <c r="B232" s="14" t="str">
        <f t="shared" ca="1" si="0"/>
        <v>LRM</v>
      </c>
      <c r="C232" s="23" t="str">
        <f ca="1">IFERROR(__xludf.DUMMYFUNCTION("""COMPUTED_VALUE"""),"LRM06")</f>
        <v>LRM06</v>
      </c>
      <c r="D232" s="6" t="str">
        <f ca="1">IFERROR(__xludf.DUMMYFUNCTION("""COMPUTED_VALUE"""),"PARTICIPADOS")</f>
        <v>PARTICIPADOS</v>
      </c>
      <c r="E232" s="6">
        <f ca="1">IFERROR(__xludf.DUMMYFUNCTION("""COMPUTED_VALUE"""),2026)</f>
        <v>2026</v>
      </c>
      <c r="F232" s="15">
        <f ca="1">IFERROR(__xludf.DUMMYFUNCTION("""COMPUTED_VALUE"""),2)</f>
        <v>2</v>
      </c>
      <c r="G232" s="6" t="str">
        <f ca="1">IFERROR(__xludf.DUMMYFUNCTION("""COMPUTED_VALUE"""),"Madrid- La Oca")</f>
        <v>Madrid- La Oca</v>
      </c>
      <c r="H232" s="6" t="str">
        <f ca="1">IFERROR(__xludf.DUMMYFUNCTION("""COMPUTED_VALUE"""),"C202611917564591568")</f>
        <v>C202611917564591568</v>
      </c>
      <c r="I232" s="6" t="str">
        <f ca="1">IFERROR(__xludf.DUMMYFUNCTION("""COMPUTED_VALUE"""),"MANUEL MARTINEZ MARTINEZ")</f>
        <v>MANUEL MARTINEZ MARTINEZ</v>
      </c>
      <c r="J232" s="16">
        <f ca="1">IFERROR(__xludf.DUMMYFUNCTION("""COMPUTED_VALUE"""),46041)</f>
        <v>46041</v>
      </c>
      <c r="K232" s="6" t="str">
        <f ca="1">IFERROR(__xludf.DUMMYFUNCTION("""COMPUTED_VALUE"""),"Factura audífonos")</f>
        <v>Factura audífonos</v>
      </c>
      <c r="L232" s="16">
        <f ca="1">IFERROR(__xludf.DUMMYFUNCTION("""COMPUTED_VALUE"""),46077)</f>
        <v>46077</v>
      </c>
      <c r="M232" s="23" t="str">
        <f ca="1">IFERROR(__xludf.DUMMYFUNCTION("""COMPUTED_VALUE"""),"NO")</f>
        <v>NO</v>
      </c>
      <c r="N232" s="15">
        <f ca="1">IFERROR(__xludf.DUMMYFUNCTION("""COMPUTED_VALUE"""),2)</f>
        <v>2</v>
      </c>
      <c r="O232" s="23" t="str">
        <f ca="1">IFERROR(__xludf.DUMMYFUNCTION("""COMPUTED_VALUE"""),"QUIET")</f>
        <v>QUIET</v>
      </c>
      <c r="P232" s="21">
        <f ca="1">IFERROR(__xludf.DUMMYFUNCTION("""COMPUTED_VALUE"""),2718.18)</f>
        <v>2718.18</v>
      </c>
      <c r="Q232" s="6" t="str">
        <f ca="1">IFERROR(__xludf.DUMMYFUNCTION("""COMPUTED_VALUE"""),"Maika Blázquez")</f>
        <v>Maika Blázquez</v>
      </c>
      <c r="R232" s="6" t="str">
        <f ca="1">IFERROR(__xludf.DUMMYFUNCTION("""COMPUTED_VALUE"""),"Alfonso Plaza López")</f>
        <v>Alfonso Plaza López</v>
      </c>
      <c r="S232" s="20" t="str">
        <f ca="1">IFERROR(__xludf.DUMMYFUNCTION("""COMPUTED_VALUE"""),"01 MARKETING ON LINE")</f>
        <v>01 MARKETING ON LINE</v>
      </c>
      <c r="T232" s="6" t="str">
        <f ca="1">IFERROR(__xludf.DUMMYFUNCTION("""COMPUTED_VALUE"""),"04 AUDIFONO,ES")</f>
        <v>04 AUDIFONO,ES</v>
      </c>
      <c r="U232" s="21"/>
      <c r="W232" s="21"/>
      <c r="X232" s="21"/>
    </row>
    <row r="233" spans="1:33" ht="16">
      <c r="B233" s="14" t="str">
        <f t="shared" ca="1" si="0"/>
        <v>MBM</v>
      </c>
      <c r="C233" s="23" t="str">
        <f ca="1">IFERROR(__xludf.DUMMYFUNCTION("""COMPUTED_VALUE"""),"MBM227")</f>
        <v>MBM227</v>
      </c>
      <c r="D233" s="6" t="str">
        <f ca="1">IFERROR(__xludf.DUMMYFUNCTION("""COMPUTED_VALUE"""),"PROPIOS")</f>
        <v>PROPIOS</v>
      </c>
      <c r="E233" s="6">
        <f ca="1">IFERROR(__xludf.DUMMYFUNCTION("""COMPUTED_VALUE"""),2026)</f>
        <v>2026</v>
      </c>
      <c r="F233" s="15">
        <f ca="1">IFERROR(__xludf.DUMMYFUNCTION("""COMPUTED_VALUE"""),2)</f>
        <v>2</v>
      </c>
      <c r="G233" s="6" t="str">
        <f ca="1">IFERROR(__xludf.DUMMYFUNCTION("""COMPUTED_VALUE"""),"Madrid- Monforte de Lemos")</f>
        <v>Madrid- Monforte de Lemos</v>
      </c>
      <c r="H233" s="6" t="str">
        <f ca="1">IFERROR(__xludf.DUMMYFUNCTION("""COMPUTED_VALUE"""),"C202612217385910574")</f>
        <v>C202612217385910574</v>
      </c>
      <c r="I233" s="6" t="str">
        <f ca="1">IFERROR(__xludf.DUMMYFUNCTION("""COMPUTED_VALUE"""),"MARIA ISABEL GONZALEZ GONZALEZ")</f>
        <v>MARIA ISABEL GONZALEZ GONZALEZ</v>
      </c>
      <c r="J233" s="16">
        <f ca="1">IFERROR(__xludf.DUMMYFUNCTION("""COMPUTED_VALUE"""),46044)</f>
        <v>46044</v>
      </c>
      <c r="K233" s="6" t="str">
        <f ca="1">IFERROR(__xludf.DUMMYFUNCTION("""COMPUTED_VALUE"""),"Factura audífonos")</f>
        <v>Factura audífonos</v>
      </c>
      <c r="L233" s="16">
        <f ca="1">IFERROR(__xludf.DUMMYFUNCTION("""COMPUTED_VALUE"""),46077)</f>
        <v>46077</v>
      </c>
      <c r="M233" s="23" t="str">
        <f ca="1">IFERROR(__xludf.DUMMYFUNCTION("""COMPUTED_VALUE"""),"NO")</f>
        <v>NO</v>
      </c>
      <c r="N233" s="15">
        <f ca="1">IFERROR(__xludf.DUMMYFUNCTION("""COMPUTED_VALUE"""),2)</f>
        <v>2</v>
      </c>
      <c r="O233" s="23" t="str">
        <f ca="1">IFERROR(__xludf.DUMMYFUNCTION("""COMPUTED_VALUE"""),"ADVANCED")</f>
        <v>ADVANCED</v>
      </c>
      <c r="P233" s="21">
        <f ca="1">IFERROR(__xludf.DUMMYFUNCTION("""COMPUTED_VALUE"""),4136.36)</f>
        <v>4136.3599999999997</v>
      </c>
      <c r="Q233" s="6" t="str">
        <f ca="1">IFERROR(__xludf.DUMMYFUNCTION("""COMPUTED_VALUE"""),"Maika Blázquez")</f>
        <v>Maika Blázquez</v>
      </c>
      <c r="R233" s="6" t="str">
        <f ca="1">IFERROR(__xludf.DUMMYFUNCTION("""COMPUTED_VALUE"""),"Esther García González")</f>
        <v>Esther García González</v>
      </c>
      <c r="S233" s="20" t="str">
        <f ca="1">IFERROR(__xludf.DUMMYFUNCTION("""COMPUTED_VALUE"""),"03 ORL")</f>
        <v>03 ORL</v>
      </c>
      <c r="T233" s="6" t="str">
        <f ca="1">IFERROR(__xludf.DUMMYFUNCTION("""COMPUTED_VALUE"""),"06 ORL")</f>
        <v>06 ORL</v>
      </c>
      <c r="U233" s="21"/>
      <c r="W233" s="21"/>
      <c r="X233" s="21"/>
    </row>
    <row r="234" spans="1:33" ht="16">
      <c r="B234" s="14" t="str">
        <f t="shared" ca="1" si="0"/>
        <v>ISL</v>
      </c>
      <c r="C234" s="23" t="str">
        <f ca="1">IFERROR(__xludf.DUMMYFUNCTION("""COMPUTED_VALUE"""),"ISL76")</f>
        <v>ISL76</v>
      </c>
      <c r="D234" s="6" t="str">
        <f ca="1">IFERROR(__xludf.DUMMYFUNCTION("""COMPUTED_VALUE"""),"PROPIOS")</f>
        <v>PROPIOS</v>
      </c>
      <c r="E234" s="6">
        <f ca="1">IFERROR(__xludf.DUMMYFUNCTION("""COMPUTED_VALUE"""),2026)</f>
        <v>2026</v>
      </c>
      <c r="F234" s="15">
        <f ca="1">IFERROR(__xludf.DUMMYFUNCTION("""COMPUTED_VALUE"""),2)</f>
        <v>2</v>
      </c>
      <c r="G234" s="6" t="str">
        <f ca="1">IFERROR(__xludf.DUMMYFUNCTION("""COMPUTED_VALUE"""),"Albacete")</f>
        <v>Albacete</v>
      </c>
      <c r="H234" s="6" t="str">
        <f ca="1">IFERROR(__xludf.DUMMYFUNCTION("""COMPUTED_VALUE"""),"C202612716305911990")</f>
        <v>C202612716305911990</v>
      </c>
      <c r="I234" s="6" t="str">
        <f ca="1">IFERROR(__xludf.DUMMYFUNCTION("""COMPUTED_VALUE"""),"MARIA DEL MAR MARIN BIELSA")</f>
        <v>MARIA DEL MAR MARIN BIELSA</v>
      </c>
      <c r="J234" s="16">
        <f ca="1">IFERROR(__xludf.DUMMYFUNCTION("""COMPUTED_VALUE"""),46049)</f>
        <v>46049</v>
      </c>
      <c r="K234" s="6" t="str">
        <f ca="1">IFERROR(__xludf.DUMMYFUNCTION("""COMPUTED_VALUE"""),"Factura audífonos")</f>
        <v>Factura audífonos</v>
      </c>
      <c r="L234" s="16">
        <f ca="1">IFERROR(__xludf.DUMMYFUNCTION("""COMPUTED_VALUE"""),46077)</f>
        <v>46077</v>
      </c>
      <c r="M234" s="23" t="str">
        <f ca="1">IFERROR(__xludf.DUMMYFUNCTION("""COMPUTED_VALUE"""),"NO")</f>
        <v>NO</v>
      </c>
      <c r="N234" s="15">
        <f ca="1">IFERROR(__xludf.DUMMYFUNCTION("""COMPUTED_VALUE"""),1)</f>
        <v>1</v>
      </c>
      <c r="O234" s="23" t="str">
        <f ca="1">IFERROR(__xludf.DUMMYFUNCTION("""COMPUTED_VALUE"""),"ADVANCED")</f>
        <v>ADVANCED</v>
      </c>
      <c r="P234" s="21">
        <f ca="1">IFERROR(__xludf.DUMMYFUNCTION("""COMPUTED_VALUE"""),2481.82)</f>
        <v>2481.8200000000002</v>
      </c>
      <c r="Q234" s="6" t="str">
        <f ca="1">IFERROR(__xludf.DUMMYFUNCTION("""COMPUTED_VALUE"""),"Iván Sánchez")</f>
        <v>Iván Sánchez</v>
      </c>
      <c r="R234" s="6" t="str">
        <f ca="1">IFERROR(__xludf.DUMMYFUNCTION("""COMPUTED_VALUE"""),"Pedro Seguí Moya")</f>
        <v>Pedro Seguí Moya</v>
      </c>
      <c r="S234" s="20" t="str">
        <f ca="1">IFERROR(__xludf.DUMMYFUNCTION("""COMPUTED_VALUE"""),"03 ORL")</f>
        <v>03 ORL</v>
      </c>
      <c r="T234" s="6" t="str">
        <f ca="1">IFERROR(__xludf.DUMMYFUNCTION("""COMPUTED_VALUE"""),"06 ORL")</f>
        <v>06 ORL</v>
      </c>
      <c r="U234" s="21"/>
      <c r="W234" s="21"/>
      <c r="X234" s="21"/>
    </row>
    <row r="235" spans="1:33" ht="16">
      <c r="B235" s="14" t="str">
        <f t="shared" ca="1" si="0"/>
        <v>ISL</v>
      </c>
      <c r="C235" s="23" t="str">
        <f ca="1">IFERROR(__xludf.DUMMYFUNCTION("""COMPUTED_VALUE"""),"ISL113")</f>
        <v>ISL113</v>
      </c>
      <c r="D235" s="6" t="str">
        <f ca="1">IFERROR(__xludf.DUMMYFUNCTION("""COMPUTED_VALUE"""),"PROPIOS")</f>
        <v>PROPIOS</v>
      </c>
      <c r="E235" s="6">
        <f ca="1">IFERROR(__xludf.DUMMYFUNCTION("""COMPUTED_VALUE"""),2026)</f>
        <v>2026</v>
      </c>
      <c r="F235" s="15">
        <f ca="1">IFERROR(__xludf.DUMMYFUNCTION("""COMPUTED_VALUE"""),2)</f>
        <v>2</v>
      </c>
      <c r="G235" s="6" t="str">
        <f ca="1">IFERROR(__xludf.DUMMYFUNCTION("""COMPUTED_VALUE"""),"Alicante")</f>
        <v>Alicante</v>
      </c>
      <c r="H235" s="6" t="str">
        <f ca="1">IFERROR(__xludf.DUMMYFUNCTION("""COMPUTED_VALUE"""),"C202612812373235514")</f>
        <v>C202612812373235514</v>
      </c>
      <c r="I235" s="6" t="str">
        <f ca="1">IFERROR(__xludf.DUMMYFUNCTION("""COMPUTED_VALUE"""),"CARMEN MAYOR PIQUERAS")</f>
        <v>CARMEN MAYOR PIQUERAS</v>
      </c>
      <c r="J235" s="16">
        <f ca="1">IFERROR(__xludf.DUMMYFUNCTION("""COMPUTED_VALUE"""),46050)</f>
        <v>46050</v>
      </c>
      <c r="K235" s="6" t="str">
        <f ca="1">IFERROR(__xludf.DUMMYFUNCTION("""COMPUTED_VALUE"""),"Factura audífonos")</f>
        <v>Factura audífonos</v>
      </c>
      <c r="L235" s="16">
        <f ca="1">IFERROR(__xludf.DUMMYFUNCTION("""COMPUTED_VALUE"""),46078)</f>
        <v>46078</v>
      </c>
      <c r="M235" s="23" t="str">
        <f ca="1">IFERROR(__xludf.DUMMYFUNCTION("""COMPUTED_VALUE"""),"NO")</f>
        <v>NO</v>
      </c>
      <c r="N235" s="15">
        <f ca="1">IFERROR(__xludf.DUMMYFUNCTION("""COMPUTED_VALUE"""),2)</f>
        <v>2</v>
      </c>
      <c r="O235" s="23" t="str">
        <f ca="1">IFERROR(__xludf.DUMMYFUNCTION("""COMPUTED_VALUE"""),"QUIET")</f>
        <v>QUIET</v>
      </c>
      <c r="P235" s="21">
        <f ca="1">IFERROR(__xludf.DUMMYFUNCTION("""COMPUTED_VALUE"""),2718.18)</f>
        <v>2718.18</v>
      </c>
      <c r="Q235" s="6" t="str">
        <f ca="1">IFERROR(__xludf.DUMMYFUNCTION("""COMPUTED_VALUE"""),"Iván Sánchez")</f>
        <v>Iván Sánchez</v>
      </c>
      <c r="R235" s="6" t="str">
        <f ca="1">IFERROR(__xludf.DUMMYFUNCTION("""COMPUTED_VALUE"""),"Luisa Payá Pérez")</f>
        <v>Luisa Payá Pérez</v>
      </c>
      <c r="S235" s="20" t="str">
        <f ca="1">IFERROR(__xludf.DUMMYFUNCTION("""COMPUTED_VALUE"""),"04 TIENDA")</f>
        <v>04 TIENDA</v>
      </c>
      <c r="T235" s="6" t="str">
        <f ca="1">IFERROR(__xludf.DUMMYFUNCTION("""COMPUTED_VALUE"""),"07 BOCA/BOCA")</f>
        <v>07 BOCA/BOCA</v>
      </c>
      <c r="U235" s="21"/>
      <c r="W235" s="21"/>
      <c r="X235" s="21"/>
    </row>
    <row r="236" spans="1:33" ht="16">
      <c r="B236" s="14" t="str">
        <f t="shared" ca="1" si="0"/>
        <v>MBM</v>
      </c>
      <c r="C236" s="23" t="str">
        <f ca="1">IFERROR(__xludf.DUMMYFUNCTION("""COMPUTED_VALUE"""),"MBM117")</f>
        <v>MBM117</v>
      </c>
      <c r="D236" s="6" t="str">
        <f ca="1">IFERROR(__xludf.DUMMYFUNCTION("""COMPUTED_VALUE"""),"PROPIOS")</f>
        <v>PROPIOS</v>
      </c>
      <c r="E236" s="6">
        <f ca="1">IFERROR(__xludf.DUMMYFUNCTION("""COMPUTED_VALUE"""),2026)</f>
        <v>2026</v>
      </c>
      <c r="F236" s="15">
        <f ca="1">IFERROR(__xludf.DUMMYFUNCTION("""COMPUTED_VALUE"""),2)</f>
        <v>2</v>
      </c>
      <c r="G236" s="6" t="str">
        <f ca="1">IFERROR(__xludf.DUMMYFUNCTION("""COMPUTED_VALUE"""),"Madrid- Canillas")</f>
        <v>Madrid- Canillas</v>
      </c>
      <c r="H236" s="6" t="str">
        <f ca="1">IFERROR(__xludf.DUMMYFUNCTION("""COMPUTED_VALUE"""),"C202612015347354164")</f>
        <v>C202612015347354164</v>
      </c>
      <c r="I236" s="6" t="str">
        <f ca="1">IFERROR(__xludf.DUMMYFUNCTION("""COMPUTED_VALUE"""),"RAFAEL PEREZ-OLLEROS RODRÍGUEZ")</f>
        <v>RAFAEL PEREZ-OLLEROS RODRÍGUEZ</v>
      </c>
      <c r="J236" s="16">
        <f ca="1">IFERROR(__xludf.DUMMYFUNCTION("""COMPUTED_VALUE"""),46042)</f>
        <v>46042</v>
      </c>
      <c r="K236" s="6" t="str">
        <f ca="1">IFERROR(__xludf.DUMMYFUNCTION("""COMPUTED_VALUE"""),"Factura audífonos")</f>
        <v>Factura audífonos</v>
      </c>
      <c r="L236" s="16">
        <f ca="1">IFERROR(__xludf.DUMMYFUNCTION("""COMPUTED_VALUE"""),46078)</f>
        <v>46078</v>
      </c>
      <c r="M236" s="23" t="str">
        <f ca="1">IFERROR(__xludf.DUMMYFUNCTION("""COMPUTED_VALUE"""),"NO")</f>
        <v>NO</v>
      </c>
      <c r="N236" s="15">
        <f ca="1">IFERROR(__xludf.DUMMYFUNCTION("""COMPUTED_VALUE"""),2)</f>
        <v>2</v>
      </c>
      <c r="O236" s="23" t="str">
        <f ca="1">IFERROR(__xludf.DUMMYFUNCTION("""COMPUTED_VALUE"""),"CONFORT")</f>
        <v>CONFORT</v>
      </c>
      <c r="P236" s="21">
        <f ca="1">IFERROR(__xludf.DUMMYFUNCTION("""COMPUTED_VALUE"""),3631.82)</f>
        <v>3631.82</v>
      </c>
      <c r="Q236" s="6" t="str">
        <f ca="1">IFERROR(__xludf.DUMMYFUNCTION("""COMPUTED_VALUE"""),"Maika Blázquez")</f>
        <v>Maika Blázquez</v>
      </c>
      <c r="R236" s="6" t="str">
        <f ca="1">IFERROR(__xludf.DUMMYFUNCTION("""COMPUTED_VALUE"""),"Helena Moreno Pardo")</f>
        <v>Helena Moreno Pardo</v>
      </c>
      <c r="S236" s="20" t="str">
        <f ca="1">IFERROR(__xludf.DUMMYFUNCTION("""COMPUTED_VALUE"""),"03 ORL")</f>
        <v>03 ORL</v>
      </c>
      <c r="T236" s="6" t="str">
        <f ca="1">IFERROR(__xludf.DUMMYFUNCTION("""COMPUTED_VALUE"""),"06 ORL")</f>
        <v>06 ORL</v>
      </c>
      <c r="U236" s="21"/>
      <c r="W236" s="21"/>
      <c r="X236" s="21"/>
    </row>
    <row r="237" spans="1:33" ht="16">
      <c r="B237" s="14" t="str">
        <f t="shared" ca="1" si="0"/>
        <v>MBM</v>
      </c>
      <c r="C237" s="23" t="str">
        <f ca="1">IFERROR(__xludf.DUMMYFUNCTION("""COMPUTED_VALUE"""),"MBM112")</f>
        <v>MBM112</v>
      </c>
      <c r="D237" s="6" t="str">
        <f ca="1">IFERROR(__xludf.DUMMYFUNCTION("""COMPUTED_VALUE"""),"PROPIOS")</f>
        <v>PROPIOS</v>
      </c>
      <c r="E237" s="6">
        <f ca="1">IFERROR(__xludf.DUMMYFUNCTION("""COMPUTED_VALUE"""),2026)</f>
        <v>2026</v>
      </c>
      <c r="F237" s="15">
        <f ca="1">IFERROR(__xludf.DUMMYFUNCTION("""COMPUTED_VALUE"""),2)</f>
        <v>2</v>
      </c>
      <c r="G237" s="6" t="str">
        <f ca="1">IFERROR(__xludf.DUMMYFUNCTION("""COMPUTED_VALUE"""),"Fuenlabrada")</f>
        <v>Fuenlabrada</v>
      </c>
      <c r="H237" s="6" t="str">
        <f ca="1">IFERROR(__xludf.DUMMYFUNCTION("""COMPUTED_VALUE"""),"C202612215343637378")</f>
        <v>C202612215343637378</v>
      </c>
      <c r="I237" s="6" t="str">
        <f ca="1">IFERROR(__xludf.DUMMYFUNCTION("""COMPUTED_VALUE"""),"JOSE LUIS PEREZ MOLINA")</f>
        <v>JOSE LUIS PEREZ MOLINA</v>
      </c>
      <c r="J237" s="16">
        <f ca="1">IFERROR(__xludf.DUMMYFUNCTION("""COMPUTED_VALUE"""),46044)</f>
        <v>46044</v>
      </c>
      <c r="K237" s="6" t="str">
        <f ca="1">IFERROR(__xludf.DUMMYFUNCTION("""COMPUTED_VALUE"""),"Factura audífonos")</f>
        <v>Factura audífonos</v>
      </c>
      <c r="L237" s="16">
        <f ca="1">IFERROR(__xludf.DUMMYFUNCTION("""COMPUTED_VALUE"""),46078)</f>
        <v>46078</v>
      </c>
      <c r="M237" s="23" t="str">
        <f ca="1">IFERROR(__xludf.DUMMYFUNCTION("""COMPUTED_VALUE"""),"NO")</f>
        <v>NO</v>
      </c>
      <c r="N237" s="15">
        <f ca="1">IFERROR(__xludf.DUMMYFUNCTION("""COMPUTED_VALUE"""),2)</f>
        <v>2</v>
      </c>
      <c r="O237" s="17" t="str">
        <f ca="1">IFERROR(__xludf.DUMMYFUNCTION("""COMPUTED_VALUE"""),"QUIET")</f>
        <v>QUIET</v>
      </c>
      <c r="P237" s="21">
        <f ca="1">IFERROR(__xludf.DUMMYFUNCTION("""COMPUTED_VALUE"""),2718.18)</f>
        <v>2718.18</v>
      </c>
      <c r="Q237" s="6" t="str">
        <f ca="1">IFERROR(__xludf.DUMMYFUNCTION("""COMPUTED_VALUE"""),"Maika Blázquez")</f>
        <v>Maika Blázquez</v>
      </c>
      <c r="R237" s="6" t="str">
        <f ca="1">IFERROR(__xludf.DUMMYFUNCTION("""COMPUTED_VALUE"""),"Elvylins Vargas Yglesia")</f>
        <v>Elvylins Vargas Yglesia</v>
      </c>
      <c r="S237" s="20" t="str">
        <f ca="1">IFERROR(__xludf.DUMMYFUNCTION("""COMPUTED_VALUE"""),"03 ORL")</f>
        <v>03 ORL</v>
      </c>
      <c r="T237" s="6" t="str">
        <f ca="1">IFERROR(__xludf.DUMMYFUNCTION("""COMPUTED_VALUE"""),"06 ORL")</f>
        <v>06 ORL</v>
      </c>
      <c r="U237" s="21"/>
      <c r="W237" s="21"/>
      <c r="X237" s="21"/>
    </row>
    <row r="238" spans="1:33" ht="16">
      <c r="B238" s="14" t="str">
        <f t="shared" ca="1" si="0"/>
        <v>MBM</v>
      </c>
      <c r="C238" s="23" t="str">
        <f ca="1">IFERROR(__xludf.DUMMYFUNCTION("""COMPUTED_VALUE"""),"MBM155")</f>
        <v>MBM155</v>
      </c>
      <c r="D238" s="6" t="str">
        <f ca="1">IFERROR(__xludf.DUMMYFUNCTION("""COMPUTED_VALUE"""),"PROPIOS")</f>
        <v>PROPIOS</v>
      </c>
      <c r="E238" s="6">
        <f ca="1">IFERROR(__xludf.DUMMYFUNCTION("""COMPUTED_VALUE"""),2026)</f>
        <v>2026</v>
      </c>
      <c r="F238" s="15">
        <f ca="1">IFERROR(__xludf.DUMMYFUNCTION("""COMPUTED_VALUE"""),2)</f>
        <v>2</v>
      </c>
      <c r="G238" s="6" t="str">
        <f ca="1">IFERROR(__xludf.DUMMYFUNCTION("""COMPUTED_VALUE"""),"Fuenlabrada")</f>
        <v>Fuenlabrada</v>
      </c>
      <c r="H238" s="6" t="str">
        <f ca="1">IFERROR(__xludf.DUMMYFUNCTION("""COMPUTED_VALUE"""),"C2026249239923062")</f>
        <v>C2026249239923062</v>
      </c>
      <c r="I238" s="6" t="str">
        <f ca="1">IFERROR(__xludf.DUMMYFUNCTION("""COMPUTED_VALUE"""),"CESAREO SANCHEZ MARTIN")</f>
        <v>CESAREO SANCHEZ MARTIN</v>
      </c>
      <c r="J238" s="16">
        <f ca="1">IFERROR(__xludf.DUMMYFUNCTION("""COMPUTED_VALUE"""),46057)</f>
        <v>46057</v>
      </c>
      <c r="K238" s="6" t="str">
        <f ca="1">IFERROR(__xludf.DUMMYFUNCTION("""COMPUTED_VALUE"""),"Factura audífonos")</f>
        <v>Factura audífonos</v>
      </c>
      <c r="L238" s="16">
        <f ca="1">IFERROR(__xludf.DUMMYFUNCTION("""COMPUTED_VALUE"""),46078)</f>
        <v>46078</v>
      </c>
      <c r="M238" s="23" t="str">
        <f ca="1">IFERROR(__xludf.DUMMYFUNCTION("""COMPUTED_VALUE"""),"NO")</f>
        <v>NO</v>
      </c>
      <c r="N238" s="15">
        <f ca="1">IFERROR(__xludf.DUMMYFUNCTION("""COMPUTED_VALUE"""),2)</f>
        <v>2</v>
      </c>
      <c r="O238" s="23" t="str">
        <f ca="1">IFERROR(__xludf.DUMMYFUNCTION("""COMPUTED_VALUE"""),"QUIET")</f>
        <v>QUIET</v>
      </c>
      <c r="P238" s="21">
        <f ca="1">IFERROR(__xludf.DUMMYFUNCTION("""COMPUTED_VALUE"""),2718.18)</f>
        <v>2718.18</v>
      </c>
      <c r="Q238" s="6" t="str">
        <f ca="1">IFERROR(__xludf.DUMMYFUNCTION("""COMPUTED_VALUE"""),"Maika Blázquez")</f>
        <v>Maika Blázquez</v>
      </c>
      <c r="R238" s="6" t="str">
        <f ca="1">IFERROR(__xludf.DUMMYFUNCTION("""COMPUTED_VALUE"""),"María Teresa Herrera Mera")</f>
        <v>María Teresa Herrera Mera</v>
      </c>
      <c r="S238" s="20" t="str">
        <f ca="1">IFERROR(__xludf.DUMMYFUNCTION("""COMPUTED_VALUE"""),"03 ORL")</f>
        <v>03 ORL</v>
      </c>
      <c r="T238" s="6" t="str">
        <f ca="1">IFERROR(__xludf.DUMMYFUNCTION("""COMPUTED_VALUE"""),"06 ORL")</f>
        <v>06 ORL</v>
      </c>
      <c r="U238" s="21"/>
      <c r="W238" s="21"/>
      <c r="X238" s="21"/>
    </row>
    <row r="239" spans="1:33" ht="16">
      <c r="B239" s="14" t="str">
        <f t="shared" ca="1" si="0"/>
        <v>ISL</v>
      </c>
      <c r="C239" s="23" t="str">
        <f ca="1">IFERROR(__xludf.DUMMYFUNCTION("""COMPUTED_VALUE"""),"ISL50")</f>
        <v>ISL50</v>
      </c>
      <c r="D239" s="6" t="str">
        <f ca="1">IFERROR(__xludf.DUMMYFUNCTION("""COMPUTED_VALUE"""),"PROPIOS")</f>
        <v>PROPIOS</v>
      </c>
      <c r="E239" s="6">
        <f ca="1">IFERROR(__xludf.DUMMYFUNCTION("""COMPUTED_VALUE"""),2026)</f>
        <v>2026</v>
      </c>
      <c r="F239" s="15">
        <f ca="1">IFERROR(__xludf.DUMMYFUNCTION("""COMPUTED_VALUE"""),2)</f>
        <v>2</v>
      </c>
      <c r="G239" s="6" t="str">
        <f ca="1">IFERROR(__xludf.DUMMYFUNCTION("""COMPUTED_VALUE"""),"Orihuela")</f>
        <v>Orihuela</v>
      </c>
      <c r="H239" s="6" t="str">
        <f ca="1">IFERROR(__xludf.DUMMYFUNCTION("""COMPUTED_VALUE"""),"C202612885730510878")</f>
        <v>C202612885730510878</v>
      </c>
      <c r="I239" s="6" t="str">
        <f ca="1">IFERROR(__xludf.DUMMYFUNCTION("""COMPUTED_VALUE"""),"HEINZ OTTO NEESER")</f>
        <v>HEINZ OTTO NEESER</v>
      </c>
      <c r="J239" s="16">
        <f ca="1">IFERROR(__xludf.DUMMYFUNCTION("""COMPUTED_VALUE"""),46050)</f>
        <v>46050</v>
      </c>
      <c r="K239" s="6" t="str">
        <f ca="1">IFERROR(__xludf.DUMMYFUNCTION("""COMPUTED_VALUE"""),"Factura audífonos")</f>
        <v>Factura audífonos</v>
      </c>
      <c r="L239" s="16">
        <f ca="1">IFERROR(__xludf.DUMMYFUNCTION("""COMPUTED_VALUE"""),46078)</f>
        <v>46078</v>
      </c>
      <c r="M239" s="23" t="str">
        <f ca="1">IFERROR(__xludf.DUMMYFUNCTION("""COMPUTED_VALUE"""),"NO")</f>
        <v>NO</v>
      </c>
      <c r="N239" s="15">
        <f ca="1">IFERROR(__xludf.DUMMYFUNCTION("""COMPUTED_VALUE"""),2)</f>
        <v>2</v>
      </c>
      <c r="O239" s="23" t="str">
        <f ca="1">IFERROR(__xludf.DUMMYFUNCTION("""COMPUTED_VALUE"""),"ADVANCED")</f>
        <v>ADVANCED</v>
      </c>
      <c r="P239" s="21">
        <f ca="1">IFERROR(__xludf.DUMMYFUNCTION("""COMPUTED_VALUE"""),4136.36)</f>
        <v>4136.3599999999997</v>
      </c>
      <c r="Q239" s="6" t="str">
        <f ca="1">IFERROR(__xludf.DUMMYFUNCTION("""COMPUTED_VALUE"""),"Iván Sánchez")</f>
        <v>Iván Sánchez</v>
      </c>
      <c r="R239" s="6" t="str">
        <f ca="1">IFERROR(__xludf.DUMMYFUNCTION("""COMPUTED_VALUE"""),"José García Morillas")</f>
        <v>José García Morillas</v>
      </c>
      <c r="S239" s="20" t="str">
        <f ca="1">IFERROR(__xludf.DUMMYFUNCTION("""COMPUTED_VALUE"""),"01 MARKETING ON LINE")</f>
        <v>01 MARKETING ON LINE</v>
      </c>
      <c r="T239" s="6" t="str">
        <f ca="1">IFERROR(__xludf.DUMMYFUNCTION("""COMPUTED_VALUE"""),"01 WEB AUDICOST")</f>
        <v>01 WEB AUDICOST</v>
      </c>
      <c r="U239" s="21"/>
      <c r="W239" s="21"/>
      <c r="X239" s="21"/>
    </row>
    <row r="240" spans="1:33" ht="16">
      <c r="B240" s="14" t="str">
        <f t="shared" ca="1" si="0"/>
        <v>RFV</v>
      </c>
      <c r="C240" s="23" t="str">
        <f ca="1">IFERROR(__xludf.DUMMYFUNCTION("""COMPUTED_VALUE"""),"RFV07")</f>
        <v>RFV07</v>
      </c>
      <c r="D240" s="6" t="str">
        <f ca="1">IFERROR(__xludf.DUMMYFUNCTION("""COMPUTED_VALUE"""),"PROPIOS")</f>
        <v>PROPIOS</v>
      </c>
      <c r="E240" s="6">
        <f ca="1">IFERROR(__xludf.DUMMYFUNCTION("""COMPUTED_VALUE"""),2026)</f>
        <v>2026</v>
      </c>
      <c r="F240" s="15">
        <f ca="1">IFERROR(__xludf.DUMMYFUNCTION("""COMPUTED_VALUE"""),2)</f>
        <v>2</v>
      </c>
      <c r="G240" s="6" t="str">
        <f ca="1">IFERROR(__xludf.DUMMYFUNCTION("""COMPUTED_VALUE"""),"Almería")</f>
        <v>Almería</v>
      </c>
      <c r="H240" s="6" t="str">
        <f ca="1">IFERROR(__xludf.DUMMYFUNCTION("""COMPUTED_VALUE"""),"C202621612475543331")</f>
        <v>C202621612475543331</v>
      </c>
      <c r="I240" s="6" t="str">
        <f ca="1">IFERROR(__xludf.DUMMYFUNCTION("""COMPUTED_VALUE"""),"ANA ASCENSION GARCIA RUIZ")</f>
        <v>ANA ASCENSION GARCIA RUIZ</v>
      </c>
      <c r="J240" s="16">
        <f ca="1">IFERROR(__xludf.DUMMYFUNCTION("""COMPUTED_VALUE"""),46069)</f>
        <v>46069</v>
      </c>
      <c r="K240" s="6" t="str">
        <f ca="1">IFERROR(__xludf.DUMMYFUNCTION("""COMPUTED_VALUE"""),"Factura audífonos")</f>
        <v>Factura audífonos</v>
      </c>
      <c r="L240" s="16">
        <f ca="1">IFERROR(__xludf.DUMMYFUNCTION("""COMPUTED_VALUE"""),46078)</f>
        <v>46078</v>
      </c>
      <c r="M240" s="17" t="str">
        <f ca="1">IFERROR(__xludf.DUMMYFUNCTION("""COMPUTED_VALUE"""),"NO")</f>
        <v>NO</v>
      </c>
      <c r="N240" s="15">
        <f ca="1">IFERROR(__xludf.DUMMYFUNCTION("""COMPUTED_VALUE"""),1)</f>
        <v>1</v>
      </c>
      <c r="O240" s="17" t="str">
        <f ca="1">IFERROR(__xludf.DUMMYFUNCTION("""COMPUTED_VALUE"""),"QUIET")</f>
        <v>QUIET</v>
      </c>
      <c r="P240" s="21">
        <f ca="1">IFERROR(__xludf.DUMMYFUNCTION("""COMPUTED_VALUE"""),1631.82)</f>
        <v>1631.82</v>
      </c>
      <c r="Q240" s="6" t="str">
        <f ca="1">IFERROR(__xludf.DUMMYFUNCTION("""COMPUTED_VALUE"""),"Ramon Ferrando")</f>
        <v>Ramon Ferrando</v>
      </c>
      <c r="R240" s="6" t="str">
        <f ca="1">IFERROR(__xludf.DUMMYFUNCTION("""COMPUTED_VALUE"""),"María José Gámiz Maroto")</f>
        <v>María José Gámiz Maroto</v>
      </c>
      <c r="S240" s="20" t="str">
        <f ca="1">IFERROR(__xludf.DUMMYFUNCTION("""COMPUTED_VALUE"""),"03 ORL")</f>
        <v>03 ORL</v>
      </c>
      <c r="T240" s="6" t="str">
        <f ca="1">IFERROR(__xludf.DUMMYFUNCTION("""COMPUTED_VALUE"""),"06 ORL")</f>
        <v>06 ORL</v>
      </c>
      <c r="U240" s="21"/>
      <c r="W240" s="21"/>
      <c r="X240" s="21"/>
    </row>
    <row r="241" spans="2:31" ht="16">
      <c r="B241" s="14" t="str">
        <f t="shared" ca="1" si="0"/>
        <v>LAA</v>
      </c>
      <c r="C241" s="23" t="str">
        <f ca="1">IFERROR(__xludf.DUMMYFUNCTION("""COMPUTED_VALUE"""),"LAA08")</f>
        <v>LAA08</v>
      </c>
      <c r="D241" s="6" t="str">
        <f ca="1">IFERROR(__xludf.DUMMYFUNCTION("""COMPUTED_VALUE"""),"PROPIOS")</f>
        <v>PROPIOS</v>
      </c>
      <c r="E241" s="6">
        <f ca="1">IFERROR(__xludf.DUMMYFUNCTION("""COMPUTED_VALUE"""),2026)</f>
        <v>2026</v>
      </c>
      <c r="F241" s="15">
        <f ca="1">IFERROR(__xludf.DUMMYFUNCTION("""COMPUTED_VALUE"""),2)</f>
        <v>2</v>
      </c>
      <c r="G241" s="6" t="str">
        <f ca="1">IFERROR(__xludf.DUMMYFUNCTION("""COMPUTED_VALUE"""),"Sevilla- Montoto")</f>
        <v>Sevilla- Montoto</v>
      </c>
      <c r="H241" s="6" t="str">
        <f ca="1">IFERROR(__xludf.DUMMYFUNCTION("""COMPUTED_VALUE"""),"C202510211025173009")</f>
        <v>C202510211025173009</v>
      </c>
      <c r="I241" s="6" t="str">
        <f ca="1">IFERROR(__xludf.DUMMYFUNCTION("""COMPUTED_VALUE"""),"ADOLFO JESUS CARVAJAL RAMOS")</f>
        <v>ADOLFO JESUS CARVAJAL RAMOS</v>
      </c>
      <c r="J241" s="16">
        <f ca="1">IFERROR(__xludf.DUMMYFUNCTION("""COMPUTED_VALUE"""),45951)</f>
        <v>45951</v>
      </c>
      <c r="K241" s="6" t="str">
        <f ca="1">IFERROR(__xludf.DUMMYFUNCTION("""COMPUTED_VALUE"""),"Factura audífonos")</f>
        <v>Factura audífonos</v>
      </c>
      <c r="L241" s="16">
        <f ca="1">IFERROR(__xludf.DUMMYFUNCTION("""COMPUTED_VALUE"""),46078)</f>
        <v>46078</v>
      </c>
      <c r="M241" s="23" t="str">
        <f ca="1">IFERROR(__xludf.DUMMYFUNCTION("""COMPUTED_VALUE"""),"NO")</f>
        <v>NO</v>
      </c>
      <c r="N241" s="15">
        <f ca="1">IFERROR(__xludf.DUMMYFUNCTION("""COMPUTED_VALUE"""),1)</f>
        <v>1</v>
      </c>
      <c r="O241" s="23" t="str">
        <f ca="1">IFERROR(__xludf.DUMMYFUNCTION("""COMPUTED_VALUE"""),"ADVANCED")</f>
        <v>ADVANCED</v>
      </c>
      <c r="P241" s="21">
        <f ca="1">IFERROR(__xludf.DUMMYFUNCTION("""COMPUTED_VALUE"""),2180.91)</f>
        <v>2180.91</v>
      </c>
      <c r="Q241" s="6" t="str">
        <f ca="1">IFERROR(__xludf.DUMMYFUNCTION("""COMPUTED_VALUE"""),"Luis Alberto Rodríguez")</f>
        <v>Luis Alberto Rodríguez</v>
      </c>
      <c r="R241" s="6" t="str">
        <f ca="1">IFERROR(__xludf.DUMMYFUNCTION("""COMPUTED_VALUE"""),"David Castro Gutiérrez de Agüero")</f>
        <v>David Castro Gutiérrez de Agüero</v>
      </c>
      <c r="S241" s="20" t="str">
        <f ca="1">IFERROR(__xludf.DUMMYFUNCTION("""COMPUTED_VALUE"""),"03 ORL")</f>
        <v>03 ORL</v>
      </c>
      <c r="T241" s="6" t="str">
        <f ca="1">IFERROR(__xludf.DUMMYFUNCTION("""COMPUTED_VALUE"""),"06 ORL")</f>
        <v>06 ORL</v>
      </c>
      <c r="U241" s="21"/>
      <c r="W241" s="21"/>
      <c r="X241" s="21"/>
    </row>
    <row r="242" spans="2:31" ht="16">
      <c r="B242" s="14" t="str">
        <f t="shared" ca="1" si="0"/>
        <v>MBM</v>
      </c>
      <c r="C242" s="23" t="str">
        <f ca="1">IFERROR(__xludf.DUMMYFUNCTION("""COMPUTED_VALUE"""),"MBM186")</f>
        <v>MBM186</v>
      </c>
      <c r="D242" s="6" t="str">
        <f ca="1">IFERROR(__xludf.DUMMYFUNCTION("""COMPUTED_VALUE"""),"PROPIOS")</f>
        <v>PROPIOS</v>
      </c>
      <c r="E242" s="6">
        <f ca="1">IFERROR(__xludf.DUMMYFUNCTION("""COMPUTED_VALUE"""),2026)</f>
        <v>2026</v>
      </c>
      <c r="F242" s="15">
        <f ca="1">IFERROR(__xludf.DUMMYFUNCTION("""COMPUTED_VALUE"""),2)</f>
        <v>2</v>
      </c>
      <c r="G242" s="6" t="str">
        <f ca="1">IFERROR(__xludf.DUMMYFUNCTION("""COMPUTED_VALUE"""),"Torrejón de Ardoz")</f>
        <v>Torrejón de Ardoz</v>
      </c>
      <c r="H242" s="6" t="str">
        <f ca="1">IFERROR(__xludf.DUMMYFUNCTION("""COMPUTED_VALUE"""),"C202511181118436565")</f>
        <v>C202511181118436565</v>
      </c>
      <c r="I242" s="6" t="str">
        <f ca="1">IFERROR(__xludf.DUMMYFUNCTION("""COMPUTED_VALUE"""),"CARMEN GONZALEZ RODRIGUEZ-CARRETERO")</f>
        <v>CARMEN GONZALEZ RODRIGUEZ-CARRETERO</v>
      </c>
      <c r="J242" s="16">
        <f ca="1">IFERROR(__xludf.DUMMYFUNCTION("""COMPUTED_VALUE"""),45979)</f>
        <v>45979</v>
      </c>
      <c r="K242" s="6" t="str">
        <f ca="1">IFERROR(__xludf.DUMMYFUNCTION("""COMPUTED_VALUE"""),"Factura audífonos")</f>
        <v>Factura audífonos</v>
      </c>
      <c r="L242" s="16">
        <f ca="1">IFERROR(__xludf.DUMMYFUNCTION("""COMPUTED_VALUE"""),46078)</f>
        <v>46078</v>
      </c>
      <c r="M242" s="23" t="str">
        <f ca="1">IFERROR(__xludf.DUMMYFUNCTION("""COMPUTED_VALUE"""),"NO")</f>
        <v>NO</v>
      </c>
      <c r="N242" s="15">
        <f ca="1">IFERROR(__xludf.DUMMYFUNCTION("""COMPUTED_VALUE"""),2)</f>
        <v>2</v>
      </c>
      <c r="O242" s="23" t="str">
        <f ca="1">IFERROR(__xludf.DUMMYFUNCTION("""COMPUTED_VALUE"""),"QUIET")</f>
        <v>QUIET</v>
      </c>
      <c r="P242" s="21">
        <f ca="1">IFERROR(__xludf.DUMMYFUNCTION("""COMPUTED_VALUE"""),2718.18)</f>
        <v>2718.18</v>
      </c>
      <c r="Q242" s="6" t="str">
        <f ca="1">IFERROR(__xludf.DUMMYFUNCTION("""COMPUTED_VALUE"""),"Maika Blázquez")</f>
        <v>Maika Blázquez</v>
      </c>
      <c r="R242" s="6" t="str">
        <f ca="1">IFERROR(__xludf.DUMMYFUNCTION("""COMPUTED_VALUE"""),"Marta Abad Pascual")</f>
        <v>Marta Abad Pascual</v>
      </c>
      <c r="S242" s="20" t="str">
        <f ca="1">IFERROR(__xludf.DUMMYFUNCTION("""COMPUTED_VALUE"""),"03 ORL")</f>
        <v>03 ORL</v>
      </c>
      <c r="T242" s="6" t="str">
        <f ca="1">IFERROR(__xludf.DUMMYFUNCTION("""COMPUTED_VALUE"""),"06 ORL")</f>
        <v>06 ORL</v>
      </c>
      <c r="U242" s="21"/>
      <c r="W242" s="21"/>
      <c r="X242" s="21"/>
    </row>
    <row r="243" spans="2:31" ht="16">
      <c r="B243" s="14" t="str">
        <f t="shared" si="0"/>
        <v/>
      </c>
      <c r="C243" s="23"/>
      <c r="D243" s="6" t="str">
        <f ca="1">IFERROR(__xludf.DUMMYFUNCTION("""COMPUTED_VALUE"""),"ASOCIADOS")</f>
        <v>ASOCIADOS</v>
      </c>
      <c r="E243" s="6">
        <f ca="1">IFERROR(__xludf.DUMMYFUNCTION("""COMPUTED_VALUE"""),2026)</f>
        <v>2026</v>
      </c>
      <c r="F243" s="15">
        <f ca="1">IFERROR(__xludf.DUMMYFUNCTION("""COMPUTED_VALUE"""),2)</f>
        <v>2</v>
      </c>
      <c r="G243" s="6" t="str">
        <f ca="1">IFERROR(__xludf.DUMMYFUNCTION("""COMPUTED_VALUE"""),"Salamanca")</f>
        <v>Salamanca</v>
      </c>
      <c r="H243" s="6" t="str">
        <f ca="1">IFERROR(__xludf.DUMMYFUNCTION("""COMPUTED_VALUE"""),"C202612118321337950")</f>
        <v>C202612118321337950</v>
      </c>
      <c r="I243" s="6" t="str">
        <f ca="1">IFERROR(__xludf.DUMMYFUNCTION("""COMPUTED_VALUE"""),"Fernando  Gregorio-Lastra Moreda")</f>
        <v>Fernando  Gregorio-Lastra Moreda</v>
      </c>
      <c r="J243" s="16">
        <f ca="1">IFERROR(__xludf.DUMMYFUNCTION("""COMPUTED_VALUE"""),46043)</f>
        <v>46043</v>
      </c>
      <c r="K243" s="6" t="str">
        <f ca="1">IFERROR(__xludf.DUMMYFUNCTION("""COMPUTED_VALUE"""),"Factura audífonos")</f>
        <v>Factura audífonos</v>
      </c>
      <c r="L243" s="16">
        <f ca="1">IFERROR(__xludf.DUMMYFUNCTION("""COMPUTED_VALUE"""),46078)</f>
        <v>46078</v>
      </c>
      <c r="M243" s="23" t="str">
        <f ca="1">IFERROR(__xludf.DUMMYFUNCTION("""COMPUTED_VALUE"""),"NO")</f>
        <v>NO</v>
      </c>
      <c r="N243" s="15">
        <f ca="1">IFERROR(__xludf.DUMMYFUNCTION("""COMPUTED_VALUE"""),2)</f>
        <v>2</v>
      </c>
      <c r="O243" s="23" t="str">
        <f ca="1">IFERROR(__xludf.DUMMYFUNCTION("""COMPUTED_VALUE"""),"CONFORT")</f>
        <v>CONFORT</v>
      </c>
      <c r="P243" s="21">
        <f ca="1">IFERROR(__xludf.DUMMYFUNCTION("""COMPUTED_VALUE"""),3730)</f>
        <v>3730</v>
      </c>
      <c r="Q243" s="6" t="str">
        <f ca="1">IFERROR(__xludf.DUMMYFUNCTION("""COMPUTED_VALUE"""),"Alberto Moreno")</f>
        <v>Alberto Moreno</v>
      </c>
      <c r="R243" s="6" t="str">
        <f ca="1">IFERROR(__xludf.DUMMYFUNCTION("""COMPUTED_VALUE"""),"No recuerda ORL")</f>
        <v>No recuerda ORL</v>
      </c>
      <c r="S243" s="20" t="str">
        <f ca="1">IFERROR(__xludf.DUMMYFUNCTION("""COMPUTED_VALUE"""),"03 ORL")</f>
        <v>03 ORL</v>
      </c>
      <c r="T243" s="6" t="str">
        <f ca="1">IFERROR(__xludf.DUMMYFUNCTION("""COMPUTED_VALUE"""),"06 ORL")</f>
        <v>06 ORL</v>
      </c>
      <c r="U243" s="21"/>
      <c r="W243" s="21"/>
      <c r="X243" s="21"/>
    </row>
    <row r="244" spans="2:31" ht="16">
      <c r="B244" s="14" t="str">
        <f t="shared" ca="1" si="0"/>
        <v>LRM</v>
      </c>
      <c r="C244" s="23" t="str">
        <f ca="1">IFERROR(__xludf.DUMMYFUNCTION("""COMPUTED_VALUE"""),"LRM115")</f>
        <v>LRM115</v>
      </c>
      <c r="D244" s="6" t="str">
        <f ca="1">IFERROR(__xludf.DUMMYFUNCTION("""COMPUTED_VALUE"""),"ASOCIADOS")</f>
        <v>ASOCIADOS</v>
      </c>
      <c r="E244" s="6">
        <f ca="1">IFERROR(__xludf.DUMMYFUNCTION("""COMPUTED_VALUE"""),2026)</f>
        <v>2026</v>
      </c>
      <c r="F244" s="15">
        <f ca="1">IFERROR(__xludf.DUMMYFUNCTION("""COMPUTED_VALUE"""),2)</f>
        <v>2</v>
      </c>
      <c r="G244" s="6" t="str">
        <f ca="1">IFERROR(__xludf.DUMMYFUNCTION("""COMPUTED_VALUE"""),"Cáceres")</f>
        <v>Cáceres</v>
      </c>
      <c r="H244" s="6" t="str">
        <f ca="1">IFERROR(__xludf.DUMMYFUNCTION("""COMPUTED_VALUE"""),"C202612717262205434")</f>
        <v>C202612717262205434</v>
      </c>
      <c r="I244" s="6" t="str">
        <f ca="1">IFERROR(__xludf.DUMMYFUNCTION("""COMPUTED_VALUE"""),"MARIA DEL PRADO BARRANTES BORRELLA")</f>
        <v>MARIA DEL PRADO BARRANTES BORRELLA</v>
      </c>
      <c r="J244" s="16">
        <f ca="1">IFERROR(__xludf.DUMMYFUNCTION("""COMPUTED_VALUE"""),46049)</f>
        <v>46049</v>
      </c>
      <c r="K244" s="6" t="str">
        <f ca="1">IFERROR(__xludf.DUMMYFUNCTION("""COMPUTED_VALUE"""),"Factura audífonos")</f>
        <v>Factura audífonos</v>
      </c>
      <c r="L244" s="16">
        <f ca="1">IFERROR(__xludf.DUMMYFUNCTION("""COMPUTED_VALUE"""),46078)</f>
        <v>46078</v>
      </c>
      <c r="M244" s="23" t="str">
        <f ca="1">IFERROR(__xludf.DUMMYFUNCTION("""COMPUTED_VALUE"""),"NO")</f>
        <v>NO</v>
      </c>
      <c r="N244" s="15">
        <f ca="1">IFERROR(__xludf.DUMMYFUNCTION("""COMPUTED_VALUE"""),2)</f>
        <v>2</v>
      </c>
      <c r="O244" s="23" t="str">
        <f ca="1">IFERROR(__xludf.DUMMYFUNCTION("""COMPUTED_VALUE"""),"QUIET")</f>
        <v>QUIET</v>
      </c>
      <c r="P244" s="21">
        <f ca="1">IFERROR(__xludf.DUMMYFUNCTION("""COMPUTED_VALUE"""),3454.55)</f>
        <v>3454.55</v>
      </c>
      <c r="Q244" s="6" t="str">
        <f ca="1">IFERROR(__xludf.DUMMYFUNCTION("""COMPUTED_VALUE"""),"Lisandro Russian")</f>
        <v>Lisandro Russian</v>
      </c>
      <c r="R244" s="6" t="str">
        <f ca="1">IFERROR(__xludf.DUMMYFUNCTION("""COMPUTED_VALUE"""),"Rafael Sanz Trenado")</f>
        <v>Rafael Sanz Trenado</v>
      </c>
      <c r="S244" s="20" t="str">
        <f ca="1">IFERROR(__xludf.DUMMYFUNCTION("""COMPUTED_VALUE"""),"01 MARKETING ON LINE")</f>
        <v>01 MARKETING ON LINE</v>
      </c>
      <c r="T244" s="6" t="str">
        <f ca="1">IFERROR(__xludf.DUMMYFUNCTION("""COMPUTED_VALUE"""),"04 AUDIFONO,ES")</f>
        <v>04 AUDIFONO,ES</v>
      </c>
      <c r="U244" s="21"/>
      <c r="W244" s="21"/>
      <c r="X244" s="21"/>
      <c r="AE244" s="1"/>
    </row>
    <row r="245" spans="2:31" ht="16">
      <c r="B245" s="14" t="str">
        <f t="shared" ca="1" si="0"/>
        <v>MBM</v>
      </c>
      <c r="C245" s="23" t="str">
        <f ca="1">IFERROR(__xludf.DUMMYFUNCTION("""COMPUTED_VALUE"""),"MBM166")</f>
        <v>MBM166</v>
      </c>
      <c r="D245" s="6" t="str">
        <f ca="1">IFERROR(__xludf.DUMMYFUNCTION("""COMPUTED_VALUE"""),"PROPIOS")</f>
        <v>PROPIOS</v>
      </c>
      <c r="E245" s="6">
        <f ca="1">IFERROR(__xludf.DUMMYFUNCTION("""COMPUTED_VALUE"""),2026)</f>
        <v>2026</v>
      </c>
      <c r="F245" s="15">
        <f ca="1">IFERROR(__xludf.DUMMYFUNCTION("""COMPUTED_VALUE"""),2)</f>
        <v>2</v>
      </c>
      <c r="G245" s="6" t="str">
        <f ca="1">IFERROR(__xludf.DUMMYFUNCTION("""COMPUTED_VALUE"""),"Leganés")</f>
        <v>Leganés</v>
      </c>
      <c r="H245" s="6" t="str">
        <f ca="1">IFERROR(__xludf.DUMMYFUNCTION("""COMPUTED_VALUE"""),"PQL-1344")</f>
        <v>PQL-1344</v>
      </c>
      <c r="I245" s="6" t="str">
        <f ca="1">IFERROR(__xludf.DUMMYFUNCTION("""COMPUTED_VALUE"""),"JOSE LUIS ABARCA PONCE")</f>
        <v>JOSE LUIS ABARCA PONCE</v>
      </c>
      <c r="J245" s="16">
        <f ca="1">IFERROR(__xludf.DUMMYFUNCTION("""COMPUTED_VALUE"""),44013)</f>
        <v>44013</v>
      </c>
      <c r="K245" s="6" t="str">
        <f ca="1">IFERROR(__xludf.DUMMYFUNCTION("""COMPUTED_VALUE"""),"Factura audífonos")</f>
        <v>Factura audífonos</v>
      </c>
      <c r="L245" s="16">
        <f ca="1">IFERROR(__xludf.DUMMYFUNCTION("""COMPUTED_VALUE"""),46078)</f>
        <v>46078</v>
      </c>
      <c r="M245" s="17" t="str">
        <f ca="1">IFERROR(__xludf.DUMMYFUNCTION("""COMPUTED_VALUE"""),"NO")</f>
        <v>NO</v>
      </c>
      <c r="N245" s="15">
        <f ca="1">IFERROR(__xludf.DUMMYFUNCTION("""COMPUTED_VALUE"""),2)</f>
        <v>2</v>
      </c>
      <c r="O245" s="23" t="str">
        <f ca="1">IFERROR(__xludf.DUMMYFUNCTION("""COMPUTED_VALUE"""),"QUIET")</f>
        <v>QUIET</v>
      </c>
      <c r="P245" s="21">
        <f ca="1">IFERROR(__xludf.DUMMYFUNCTION("""COMPUTED_VALUE"""),2718.18)</f>
        <v>2718.18</v>
      </c>
      <c r="Q245" s="6" t="str">
        <f ca="1">IFERROR(__xludf.DUMMYFUNCTION("""COMPUTED_VALUE"""),"Maika Blázquez")</f>
        <v>Maika Blázquez</v>
      </c>
      <c r="R245" s="6" t="str">
        <f ca="1">IFERROR(__xludf.DUMMYFUNCTION("""COMPUTED_VALUE"""),"Patricia García Vicente")</f>
        <v>Patricia García Vicente</v>
      </c>
      <c r="S245" s="20" t="str">
        <f ca="1">IFERROR(__xludf.DUMMYFUNCTION("""COMPUTED_VALUE"""),"03 ORL")</f>
        <v>03 ORL</v>
      </c>
      <c r="T245" s="6" t="str">
        <f ca="1">IFERROR(__xludf.DUMMYFUNCTION("""COMPUTED_VALUE"""),"06 ORL")</f>
        <v>06 ORL</v>
      </c>
      <c r="U245" s="21"/>
      <c r="W245" s="21"/>
      <c r="X245" s="21"/>
    </row>
    <row r="246" spans="2:31" ht="16">
      <c r="B246" s="14" t="str">
        <f t="shared" ca="1" si="0"/>
        <v>LAA</v>
      </c>
      <c r="C246" s="23" t="str">
        <f ca="1">IFERROR(__xludf.DUMMYFUNCTION("""COMPUTED_VALUE"""),"LAA63")</f>
        <v>LAA63</v>
      </c>
      <c r="D246" s="6" t="str">
        <f ca="1">IFERROR(__xludf.DUMMYFUNCTION("""COMPUTED_VALUE"""),"PROPIOS")</f>
        <v>PROPIOS</v>
      </c>
      <c r="E246" s="6">
        <f ca="1">IFERROR(__xludf.DUMMYFUNCTION("""COMPUTED_VALUE"""),2026)</f>
        <v>2026</v>
      </c>
      <c r="F246" s="15">
        <f ca="1">IFERROR(__xludf.DUMMYFUNCTION("""COMPUTED_VALUE"""),2)</f>
        <v>2</v>
      </c>
      <c r="G246" s="6" t="str">
        <f ca="1">IFERROR(__xludf.DUMMYFUNCTION("""COMPUTED_VALUE"""),"Madrid- Monforte de Lemos")</f>
        <v>Madrid- Monforte de Lemos</v>
      </c>
      <c r="H246" s="6" t="str">
        <f ca="1">IFERROR(__xludf.DUMMYFUNCTION("""COMPUTED_VALUE"""),"C202612216648697539")</f>
        <v>C202612216648697539</v>
      </c>
      <c r="I246" s="6" t="str">
        <f ca="1">IFERROR(__xludf.DUMMYFUNCTION("""COMPUTED_VALUE"""),"MARIA DOLORES JIMENEZ DE LA POZA")</f>
        <v>MARIA DOLORES JIMENEZ DE LA POZA</v>
      </c>
      <c r="J246" s="16">
        <f ca="1">IFERROR(__xludf.DUMMYFUNCTION("""COMPUTED_VALUE"""),46044)</f>
        <v>46044</v>
      </c>
      <c r="K246" s="6" t="str">
        <f ca="1">IFERROR(__xludf.DUMMYFUNCTION("""COMPUTED_VALUE"""),"Factura audífonos")</f>
        <v>Factura audífonos</v>
      </c>
      <c r="L246" s="16">
        <f ca="1">IFERROR(__xludf.DUMMYFUNCTION("""COMPUTED_VALUE"""),46078)</f>
        <v>46078</v>
      </c>
      <c r="M246" s="23" t="str">
        <f ca="1">IFERROR(__xludf.DUMMYFUNCTION("""COMPUTED_VALUE"""),"NO")</f>
        <v>NO</v>
      </c>
      <c r="N246" s="15">
        <f ca="1">IFERROR(__xludf.DUMMYFUNCTION("""COMPUTED_VALUE"""),2)</f>
        <v>2</v>
      </c>
      <c r="O246" s="23" t="str">
        <f ca="1">IFERROR(__xludf.DUMMYFUNCTION("""COMPUTED_VALUE"""),"ADVANCED")</f>
        <v>ADVANCED</v>
      </c>
      <c r="P246" s="21">
        <f ca="1">IFERROR(__xludf.DUMMYFUNCTION("""COMPUTED_VALUE"""),4136.36)</f>
        <v>4136.3599999999997</v>
      </c>
      <c r="Q246" s="6" t="str">
        <f ca="1">IFERROR(__xludf.DUMMYFUNCTION("""COMPUTED_VALUE"""),"Maika Blázquez")</f>
        <v>Maika Blázquez</v>
      </c>
      <c r="R246" s="6" t="str">
        <f ca="1">IFERROR(__xludf.DUMMYFUNCTION("""COMPUTED_VALUE"""),"Julio López Moya")</f>
        <v>Julio López Moya</v>
      </c>
      <c r="S246" s="20" t="str">
        <f ca="1">IFERROR(__xludf.DUMMYFUNCTION("""COMPUTED_VALUE"""),"03 ORL")</f>
        <v>03 ORL</v>
      </c>
      <c r="T246" s="6" t="str">
        <f ca="1">IFERROR(__xludf.DUMMYFUNCTION("""COMPUTED_VALUE"""),"06 ORL")</f>
        <v>06 ORL</v>
      </c>
      <c r="U246" s="21"/>
      <c r="W246" s="21"/>
      <c r="X246" s="21"/>
    </row>
    <row r="247" spans="2:31" ht="16">
      <c r="B247" s="14" t="str">
        <f t="shared" ca="1" si="0"/>
        <v>ISL</v>
      </c>
      <c r="C247" s="23" t="str">
        <f ca="1">IFERROR(__xludf.DUMMYFUNCTION("""COMPUTED_VALUE"""),"ISL45")</f>
        <v>ISL45</v>
      </c>
      <c r="D247" s="6" t="str">
        <f ca="1">IFERROR(__xludf.DUMMYFUNCTION("""COMPUTED_VALUE"""),"PROPIOS")</f>
        <v>PROPIOS</v>
      </c>
      <c r="E247" s="6">
        <f ca="1">IFERROR(__xludf.DUMMYFUNCTION("""COMPUTED_VALUE"""),2026)</f>
        <v>2026</v>
      </c>
      <c r="F247" s="15">
        <f ca="1">IFERROR(__xludf.DUMMYFUNCTION("""COMPUTED_VALUE"""),2)</f>
        <v>2</v>
      </c>
      <c r="G247" s="6" t="str">
        <f ca="1">IFERROR(__xludf.DUMMYFUNCTION("""COMPUTED_VALUE"""),"Murcia")</f>
        <v>Murcia</v>
      </c>
      <c r="H247" s="6" t="str">
        <f ca="1">IFERROR(__xludf.DUMMYFUNCTION("""COMPUTED_VALUE"""),"C202613082451127538")</f>
        <v>C202613082451127538</v>
      </c>
      <c r="I247" s="6" t="str">
        <f ca="1">IFERROR(__xludf.DUMMYFUNCTION("""COMPUTED_VALUE"""),"PURIFICACIÓN GOMEZ GARCIA")</f>
        <v>PURIFICACIÓN GOMEZ GARCIA</v>
      </c>
      <c r="J247" s="16">
        <f ca="1">IFERROR(__xludf.DUMMYFUNCTION("""COMPUTED_VALUE"""),46052)</f>
        <v>46052</v>
      </c>
      <c r="K247" s="6" t="str">
        <f ca="1">IFERROR(__xludf.DUMMYFUNCTION("""COMPUTED_VALUE"""),"Factura audífonos")</f>
        <v>Factura audífonos</v>
      </c>
      <c r="L247" s="16">
        <f ca="1">IFERROR(__xludf.DUMMYFUNCTION("""COMPUTED_VALUE"""),46078)</f>
        <v>46078</v>
      </c>
      <c r="M247" s="23" t="str">
        <f ca="1">IFERROR(__xludf.DUMMYFUNCTION("""COMPUTED_VALUE"""),"NO")</f>
        <v>NO</v>
      </c>
      <c r="N247" s="15">
        <f ca="1">IFERROR(__xludf.DUMMYFUNCTION("""COMPUTED_VALUE"""),2)</f>
        <v>2</v>
      </c>
      <c r="O247" s="17" t="str">
        <f ca="1">IFERROR(__xludf.DUMMYFUNCTION("""COMPUTED_VALUE"""),"QUIET")</f>
        <v>QUIET</v>
      </c>
      <c r="P247" s="21">
        <f ca="1">IFERROR(__xludf.DUMMYFUNCTION("""COMPUTED_VALUE"""),2718.18)</f>
        <v>2718.18</v>
      </c>
      <c r="Q247" s="6" t="str">
        <f ca="1">IFERROR(__xludf.DUMMYFUNCTION("""COMPUTED_VALUE"""),"Iván Sánchez")</f>
        <v>Iván Sánchez</v>
      </c>
      <c r="R247" s="6" t="str">
        <f ca="1">IFERROR(__xludf.DUMMYFUNCTION("""COMPUTED_VALUE"""),"Jesús Miguel Iniesta Turpín")</f>
        <v>Jesús Miguel Iniesta Turpín</v>
      </c>
      <c r="S247" s="20" t="str">
        <f ca="1">IFERROR(__xludf.DUMMYFUNCTION("""COMPUTED_VALUE"""),"03 ORL")</f>
        <v>03 ORL</v>
      </c>
      <c r="T247" s="6" t="str">
        <f ca="1">IFERROR(__xludf.DUMMYFUNCTION("""COMPUTED_VALUE"""),"06 ORL")</f>
        <v>06 ORL</v>
      </c>
      <c r="U247" s="21"/>
      <c r="W247" s="21"/>
      <c r="X247" s="21"/>
    </row>
    <row r="248" spans="2:31" ht="16">
      <c r="B248" s="14" t="str">
        <f t="shared" ca="1" si="0"/>
        <v>LRM</v>
      </c>
      <c r="C248" s="23" t="str">
        <f ca="1">IFERROR(__xludf.DUMMYFUNCTION("""COMPUTED_VALUE"""),"LRM20")</f>
        <v>LRM20</v>
      </c>
      <c r="D248" s="6" t="str">
        <f ca="1">IFERROR(__xludf.DUMMYFUNCTION("""COMPUTED_VALUE"""),"PARTICIPADOS")</f>
        <v>PARTICIPADOS</v>
      </c>
      <c r="E248" s="6">
        <f ca="1">IFERROR(__xludf.DUMMYFUNCTION("""COMPUTED_VALUE"""),2026)</f>
        <v>2026</v>
      </c>
      <c r="F248" s="15">
        <f ca="1">IFERROR(__xludf.DUMMYFUNCTION("""COMPUTED_VALUE"""),2)</f>
        <v>2</v>
      </c>
      <c r="G248" s="6" t="str">
        <f ca="1">IFERROR(__xludf.DUMMYFUNCTION("""COMPUTED_VALUE"""),"Talavera")</f>
        <v>Talavera</v>
      </c>
      <c r="H248" s="6" t="str">
        <f ca="1">IFERROR(__xludf.DUMMYFUNCTION("""COMPUTED_VALUE"""),"C202612917304004894")</f>
        <v>C202612917304004894</v>
      </c>
      <c r="I248" s="6" t="str">
        <f ca="1">IFERROR(__xludf.DUMMYFUNCTION("""COMPUTED_VALUE"""),"MARIA DEL PILAR CHOZAS SERRANO")</f>
        <v>MARIA DEL PILAR CHOZAS SERRANO</v>
      </c>
      <c r="J248" s="16">
        <f ca="1">IFERROR(__xludf.DUMMYFUNCTION("""COMPUTED_VALUE"""),46051)</f>
        <v>46051</v>
      </c>
      <c r="K248" s="6" t="str">
        <f ca="1">IFERROR(__xludf.DUMMYFUNCTION("""COMPUTED_VALUE"""),"Factura audífonos")</f>
        <v>Factura audífonos</v>
      </c>
      <c r="L248" s="16">
        <f ca="1">IFERROR(__xludf.DUMMYFUNCTION("""COMPUTED_VALUE"""),46078)</f>
        <v>46078</v>
      </c>
      <c r="M248" s="23" t="str">
        <f ca="1">IFERROR(__xludf.DUMMYFUNCTION("""COMPUTED_VALUE"""),"NO")</f>
        <v>NO</v>
      </c>
      <c r="N248" s="15">
        <f ca="1">IFERROR(__xludf.DUMMYFUNCTION("""COMPUTED_VALUE"""),2)</f>
        <v>2</v>
      </c>
      <c r="O248" s="23" t="str">
        <f ca="1">IFERROR(__xludf.DUMMYFUNCTION("""COMPUTED_VALUE"""),"CONFORT")</f>
        <v>CONFORT</v>
      </c>
      <c r="P248" s="21">
        <f ca="1">IFERROR(__xludf.DUMMYFUNCTION("""COMPUTED_VALUE"""),3631.82)</f>
        <v>3631.82</v>
      </c>
      <c r="Q248" s="6" t="str">
        <f ca="1">IFERROR(__xludf.DUMMYFUNCTION("""COMPUTED_VALUE"""),"Lisandro Russian")</f>
        <v>Lisandro Russian</v>
      </c>
      <c r="R248" s="6" t="str">
        <f ca="1">IFERROR(__xludf.DUMMYFUNCTION("""COMPUTED_VALUE"""),"Carlos Félix Asensio Nieto")</f>
        <v>Carlos Félix Asensio Nieto</v>
      </c>
      <c r="S248" s="20" t="str">
        <f ca="1">IFERROR(__xludf.DUMMYFUNCTION("""COMPUTED_VALUE"""),"03 ORL")</f>
        <v>03 ORL</v>
      </c>
      <c r="T248" s="6" t="str">
        <f ca="1">IFERROR(__xludf.DUMMYFUNCTION("""COMPUTED_VALUE"""),"06 ORL")</f>
        <v>06 ORL</v>
      </c>
      <c r="U248" s="21"/>
      <c r="W248" s="21"/>
      <c r="X248" s="21"/>
    </row>
    <row r="249" spans="2:31" ht="16">
      <c r="B249" s="14" t="str">
        <f t="shared" ca="1" si="0"/>
        <v>ISL</v>
      </c>
      <c r="C249" s="23" t="str">
        <f ca="1">IFERROR(__xludf.DUMMYFUNCTION("""COMPUTED_VALUE"""),"ISL14")</f>
        <v>ISL14</v>
      </c>
      <c r="D249" s="6" t="str">
        <f ca="1">IFERROR(__xludf.DUMMYFUNCTION("""COMPUTED_VALUE"""),"PROPIOS")</f>
        <v>PROPIOS</v>
      </c>
      <c r="E249" s="6">
        <f ca="1">IFERROR(__xludf.DUMMYFUNCTION("""COMPUTED_VALUE"""),2026)</f>
        <v>2026</v>
      </c>
      <c r="F249" s="15">
        <f ca="1">IFERROR(__xludf.DUMMYFUNCTION("""COMPUTED_VALUE"""),2)</f>
        <v>2</v>
      </c>
      <c r="G249" s="6" t="str">
        <f ca="1">IFERROR(__xludf.DUMMYFUNCTION("""COMPUTED_VALUE"""),"Alicante")</f>
        <v>Alicante</v>
      </c>
      <c r="H249" s="6" t="str">
        <f ca="1">IFERROR(__xludf.DUMMYFUNCTION("""COMPUTED_VALUE"""),"C202612613472119982")</f>
        <v>C202612613472119982</v>
      </c>
      <c r="I249" s="6" t="str">
        <f ca="1">IFERROR(__xludf.DUMMYFUNCTION("""COMPUTED_VALUE"""),"SONIA ARACIL BOIX")</f>
        <v>SONIA ARACIL BOIX</v>
      </c>
      <c r="J249" s="16">
        <f ca="1">IFERROR(__xludf.DUMMYFUNCTION("""COMPUTED_VALUE"""),46048)</f>
        <v>46048</v>
      </c>
      <c r="K249" s="6" t="str">
        <f ca="1">IFERROR(__xludf.DUMMYFUNCTION("""COMPUTED_VALUE"""),"Factura audífonos")</f>
        <v>Factura audífonos</v>
      </c>
      <c r="L249" s="16">
        <f ca="1">IFERROR(__xludf.DUMMYFUNCTION("""COMPUTED_VALUE"""),46079)</f>
        <v>46079</v>
      </c>
      <c r="M249" s="23" t="str">
        <f ca="1">IFERROR(__xludf.DUMMYFUNCTION("""COMPUTED_VALUE"""),"NO")</f>
        <v>NO</v>
      </c>
      <c r="N249" s="15">
        <f ca="1">IFERROR(__xludf.DUMMYFUNCTION("""COMPUTED_VALUE"""),2)</f>
        <v>2</v>
      </c>
      <c r="O249" s="23" t="str">
        <f ca="1">IFERROR(__xludf.DUMMYFUNCTION("""COMPUTED_VALUE"""),"QUIET")</f>
        <v>QUIET</v>
      </c>
      <c r="P249" s="21">
        <f ca="1">IFERROR(__xludf.DUMMYFUNCTION("""COMPUTED_VALUE"""),2718.18)</f>
        <v>2718.18</v>
      </c>
      <c r="Q249" s="6" t="str">
        <f ca="1">IFERROR(__xludf.DUMMYFUNCTION("""COMPUTED_VALUE"""),"Iván Sánchez")</f>
        <v>Iván Sánchez</v>
      </c>
      <c r="R249" s="6" t="str">
        <f ca="1">IFERROR(__xludf.DUMMYFUNCTION("""COMPUTED_VALUE"""),"Carlos Velásquez Fermín")</f>
        <v>Carlos Velásquez Fermín</v>
      </c>
      <c r="S249" s="20" t="str">
        <f ca="1">IFERROR(__xludf.DUMMYFUNCTION("""COMPUTED_VALUE"""),"03 ORL")</f>
        <v>03 ORL</v>
      </c>
      <c r="T249" s="6" t="str">
        <f ca="1">IFERROR(__xludf.DUMMYFUNCTION("""COMPUTED_VALUE"""),"06 ORL")</f>
        <v>06 ORL</v>
      </c>
      <c r="U249" s="21"/>
      <c r="W249" s="21"/>
      <c r="X249" s="21"/>
    </row>
    <row r="250" spans="2:31" ht="16">
      <c r="B250" s="14" t="str">
        <f t="shared" ca="1" si="0"/>
        <v>LRM</v>
      </c>
      <c r="C250" s="23" t="str">
        <f ca="1">IFERROR(__xludf.DUMMYFUNCTION("""COMPUTED_VALUE"""),"LRM52")</f>
        <v>LRM52</v>
      </c>
      <c r="D250" s="6" t="str">
        <f ca="1">IFERROR(__xludf.DUMMYFUNCTION("""COMPUTED_VALUE"""),"ASOCIADOS")</f>
        <v>ASOCIADOS</v>
      </c>
      <c r="E250" s="6">
        <f ca="1">IFERROR(__xludf.DUMMYFUNCTION("""COMPUTED_VALUE"""),2026)</f>
        <v>2026</v>
      </c>
      <c r="F250" s="15">
        <f ca="1">IFERROR(__xludf.DUMMYFUNCTION("""COMPUTED_VALUE"""),2)</f>
        <v>2</v>
      </c>
      <c r="G250" s="6" t="str">
        <f ca="1">IFERROR(__xludf.DUMMYFUNCTION("""COMPUTED_VALUE"""),"Zaragoza- León XIII")</f>
        <v>Zaragoza- León XIII</v>
      </c>
      <c r="H250" s="6" t="str">
        <f ca="1">IFERROR(__xludf.DUMMYFUNCTION("""COMPUTED_VALUE"""),"C202611510254323676")</f>
        <v>C202611510254323676</v>
      </c>
      <c r="I250" s="6" t="str">
        <f ca="1">IFERROR(__xludf.DUMMYFUNCTION("""COMPUTED_VALUE"""),"ANTONIO AGUILAR LAUSÍN")</f>
        <v>ANTONIO AGUILAR LAUSÍN</v>
      </c>
      <c r="J250" s="16">
        <f ca="1">IFERROR(__xludf.DUMMYFUNCTION("""COMPUTED_VALUE"""),46037)</f>
        <v>46037</v>
      </c>
      <c r="K250" s="6" t="str">
        <f ca="1">IFERROR(__xludf.DUMMYFUNCTION("""COMPUTED_VALUE"""),"Factura audífonos")</f>
        <v>Factura audífonos</v>
      </c>
      <c r="L250" s="16">
        <f ca="1">IFERROR(__xludf.DUMMYFUNCTION("""COMPUTED_VALUE"""),46079)</f>
        <v>46079</v>
      </c>
      <c r="M250" s="23" t="str">
        <f ca="1">IFERROR(__xludf.DUMMYFUNCTION("""COMPUTED_VALUE"""),"NO")</f>
        <v>NO</v>
      </c>
      <c r="N250" s="15">
        <f ca="1">IFERROR(__xludf.DUMMYFUNCTION("""COMPUTED_VALUE"""),2)</f>
        <v>2</v>
      </c>
      <c r="O250" s="23" t="str">
        <f ca="1">IFERROR(__xludf.DUMMYFUNCTION("""COMPUTED_VALUE"""),"QUIET")</f>
        <v>QUIET</v>
      </c>
      <c r="P250" s="21">
        <f ca="1">IFERROR(__xludf.DUMMYFUNCTION("""COMPUTED_VALUE"""),2936.78)</f>
        <v>2936.78</v>
      </c>
      <c r="Q250" s="6" t="str">
        <f ca="1">IFERROR(__xludf.DUMMYFUNCTION("""COMPUTED_VALUE"""),"Ignacio Berdejo")</f>
        <v>Ignacio Berdejo</v>
      </c>
      <c r="R250" s="6" t="str">
        <f ca="1">IFERROR(__xludf.DUMMYFUNCTION("""COMPUTED_VALUE"""),"Héctor Vallés Varela")</f>
        <v>Héctor Vallés Varela</v>
      </c>
      <c r="S250" s="20" t="str">
        <f ca="1">IFERROR(__xludf.DUMMYFUNCTION("""COMPUTED_VALUE"""),"03 ORL")</f>
        <v>03 ORL</v>
      </c>
      <c r="T250" s="6" t="str">
        <f ca="1">IFERROR(__xludf.DUMMYFUNCTION("""COMPUTED_VALUE"""),"06 ORL")</f>
        <v>06 ORL</v>
      </c>
      <c r="U250" s="21"/>
      <c r="W250" s="21"/>
      <c r="X250" s="21"/>
    </row>
    <row r="251" spans="2:31" ht="16">
      <c r="B251" s="14" t="str">
        <f t="shared" ca="1" si="0"/>
        <v>ISL</v>
      </c>
      <c r="C251" s="23" t="str">
        <f ca="1">IFERROR(__xludf.DUMMYFUNCTION("""COMPUTED_VALUE"""),"ISL90")</f>
        <v>ISL90</v>
      </c>
      <c r="D251" s="6" t="str">
        <f ca="1">IFERROR(__xludf.DUMMYFUNCTION("""COMPUTED_VALUE"""),"PROPIOS")</f>
        <v>PROPIOS</v>
      </c>
      <c r="E251" s="6">
        <f ca="1">IFERROR(__xludf.DUMMYFUNCTION("""COMPUTED_VALUE"""),2026)</f>
        <v>2026</v>
      </c>
      <c r="F251" s="15">
        <f ca="1">IFERROR(__xludf.DUMMYFUNCTION("""COMPUTED_VALUE"""),2)</f>
        <v>2</v>
      </c>
      <c r="G251" s="6" t="str">
        <f ca="1">IFERROR(__xludf.DUMMYFUNCTION("""COMPUTED_VALUE"""),"San Javier")</f>
        <v>San Javier</v>
      </c>
      <c r="H251" s="6" t="str">
        <f ca="1">IFERROR(__xludf.DUMMYFUNCTION("""COMPUTED_VALUE"""),"C202612617528309365")</f>
        <v>C202612617528309365</v>
      </c>
      <c r="I251" s="6" t="str">
        <f ca="1">IFERROR(__xludf.DUMMYFUNCTION("""COMPUTED_VALUE"""),"LUIS REDONDO NARGANES")</f>
        <v>LUIS REDONDO NARGANES</v>
      </c>
      <c r="J251" s="16">
        <f ca="1">IFERROR(__xludf.DUMMYFUNCTION("""COMPUTED_VALUE"""),46048)</f>
        <v>46048</v>
      </c>
      <c r="K251" s="6" t="str">
        <f ca="1">IFERROR(__xludf.DUMMYFUNCTION("""COMPUTED_VALUE"""),"Factura audífonos")</f>
        <v>Factura audífonos</v>
      </c>
      <c r="L251" s="16">
        <f ca="1">IFERROR(__xludf.DUMMYFUNCTION("""COMPUTED_VALUE"""),46079)</f>
        <v>46079</v>
      </c>
      <c r="M251" s="23" t="str">
        <f ca="1">IFERROR(__xludf.DUMMYFUNCTION("""COMPUTED_VALUE"""),"NO")</f>
        <v>NO</v>
      </c>
      <c r="N251" s="15">
        <f ca="1">IFERROR(__xludf.DUMMYFUNCTION("""COMPUTED_VALUE"""),2)</f>
        <v>2</v>
      </c>
      <c r="O251" s="23" t="str">
        <f ca="1">IFERROR(__xludf.DUMMYFUNCTION("""COMPUTED_VALUE"""),"PRO")</f>
        <v>PRO</v>
      </c>
      <c r="P251" s="21">
        <f ca="1">IFERROR(__xludf.DUMMYFUNCTION("""COMPUTED_VALUE"""),4536.36)</f>
        <v>4536.3599999999997</v>
      </c>
      <c r="Q251" s="6" t="str">
        <f ca="1">IFERROR(__xludf.DUMMYFUNCTION("""COMPUTED_VALUE"""),"Iván Sánchez")</f>
        <v>Iván Sánchez</v>
      </c>
      <c r="R251" s="6" t="str">
        <f ca="1">IFERROR(__xludf.DUMMYFUNCTION("""COMPUTED_VALUE"""),"Ana Giribet Fernández-Pacheco")</f>
        <v>Ana Giribet Fernández-Pacheco</v>
      </c>
      <c r="S251" s="20" t="str">
        <f ca="1">IFERROR(__xludf.DUMMYFUNCTION("""COMPUTED_VALUE"""),"03 ORL")</f>
        <v>03 ORL</v>
      </c>
      <c r="T251" s="6" t="str">
        <f ca="1">IFERROR(__xludf.DUMMYFUNCTION("""COMPUTED_VALUE"""),"06 ORL")</f>
        <v>06 ORL</v>
      </c>
      <c r="U251" s="21"/>
      <c r="W251" s="21"/>
      <c r="X251" s="21"/>
    </row>
    <row r="252" spans="2:31" ht="16">
      <c r="B252" s="14" t="str">
        <f t="shared" ca="1" si="0"/>
        <v>MBM</v>
      </c>
      <c r="C252" s="23" t="str">
        <f ca="1">IFERROR(__xludf.DUMMYFUNCTION("""COMPUTED_VALUE"""),"MBM39")</f>
        <v>MBM39</v>
      </c>
      <c r="D252" s="6" t="str">
        <f ca="1">IFERROR(__xludf.DUMMYFUNCTION("""COMPUTED_VALUE"""),"PROPIOS")</f>
        <v>PROPIOS</v>
      </c>
      <c r="E252" s="6">
        <f ca="1">IFERROR(__xludf.DUMMYFUNCTION("""COMPUTED_VALUE"""),2026)</f>
        <v>2026</v>
      </c>
      <c r="F252" s="15">
        <f ca="1">IFERROR(__xludf.DUMMYFUNCTION("""COMPUTED_VALUE"""),2)</f>
        <v>2</v>
      </c>
      <c r="G252" s="6" t="str">
        <f ca="1">IFERROR(__xludf.DUMMYFUNCTION("""COMPUTED_VALUE"""),"Madrid- Juan Bravo")</f>
        <v>Madrid- Juan Bravo</v>
      </c>
      <c r="H252" s="6" t="str">
        <f ca="1">IFERROR(__xludf.DUMMYFUNCTION("""COMPUTED_VALUE"""),"C202612694221558027")</f>
        <v>C202612694221558027</v>
      </c>
      <c r="I252" s="6" t="str">
        <f ca="1">IFERROR(__xludf.DUMMYFUNCTION("""COMPUTED_VALUE"""),"MARTIN AGUADO BLAZQUEZ")</f>
        <v>MARTIN AGUADO BLAZQUEZ</v>
      </c>
      <c r="J252" s="16">
        <f ca="1">IFERROR(__xludf.DUMMYFUNCTION("""COMPUTED_VALUE"""),46048)</f>
        <v>46048</v>
      </c>
      <c r="K252" s="6" t="str">
        <f ca="1">IFERROR(__xludf.DUMMYFUNCTION("""COMPUTED_VALUE"""),"Factura audífonos")</f>
        <v>Factura audífonos</v>
      </c>
      <c r="L252" s="16">
        <f ca="1">IFERROR(__xludf.DUMMYFUNCTION("""COMPUTED_VALUE"""),46079)</f>
        <v>46079</v>
      </c>
      <c r="M252" s="23" t="str">
        <f ca="1">IFERROR(__xludf.DUMMYFUNCTION("""COMPUTED_VALUE"""),"NO")</f>
        <v>NO</v>
      </c>
      <c r="N252" s="15">
        <f ca="1">IFERROR(__xludf.DUMMYFUNCTION("""COMPUTED_VALUE"""),1)</f>
        <v>1</v>
      </c>
      <c r="O252" s="17" t="str">
        <f ca="1">IFERROR(__xludf.DUMMYFUNCTION("""COMPUTED_VALUE"""),"ADVANCED")</f>
        <v>ADVANCED</v>
      </c>
      <c r="P252" s="21">
        <f ca="1">IFERROR(__xludf.DUMMYFUNCTION("""COMPUTED_VALUE"""),2481.82)</f>
        <v>2481.8200000000002</v>
      </c>
      <c r="Q252" s="6" t="str">
        <f ca="1">IFERROR(__xludf.DUMMYFUNCTION("""COMPUTED_VALUE"""),"Maika Blázquez")</f>
        <v>Maika Blázquez</v>
      </c>
      <c r="R252" s="6" t="str">
        <f ca="1">IFERROR(__xludf.DUMMYFUNCTION("""COMPUTED_VALUE"""),"Javier García Domínguez")</f>
        <v>Javier García Domínguez</v>
      </c>
      <c r="S252" s="20" t="str">
        <f ca="1">IFERROR(__xludf.DUMMYFUNCTION("""COMPUTED_VALUE"""),"03 ORL")</f>
        <v>03 ORL</v>
      </c>
      <c r="T252" s="6" t="str">
        <f ca="1">IFERROR(__xludf.DUMMYFUNCTION("""COMPUTED_VALUE"""),"06 ORL")</f>
        <v>06 ORL</v>
      </c>
      <c r="U252" s="21"/>
      <c r="W252" s="21"/>
      <c r="X252" s="21"/>
    </row>
    <row r="253" spans="2:31" ht="16">
      <c r="B253" s="14" t="str">
        <f t="shared" ca="1" si="0"/>
        <v>#N/</v>
      </c>
      <c r="C253" s="23" t="str">
        <f ca="1">IFERROR(__xludf.DUMMYFUNCTION("""COMPUTED_VALUE"""),"#N/A")</f>
        <v>#N/A</v>
      </c>
      <c r="D253" s="6" t="str">
        <f ca="1">IFERROR(__xludf.DUMMYFUNCTION("""COMPUTED_VALUE"""),"PROPIOS")</f>
        <v>PROPIOS</v>
      </c>
      <c r="E253" s="6">
        <f ca="1">IFERROR(__xludf.DUMMYFUNCTION("""COMPUTED_VALUE"""),2026)</f>
        <v>2026</v>
      </c>
      <c r="F253" s="15">
        <f ca="1">IFERROR(__xludf.DUMMYFUNCTION("""COMPUTED_VALUE"""),2)</f>
        <v>2</v>
      </c>
      <c r="G253" s="6" t="str">
        <f ca="1">IFERROR(__xludf.DUMMYFUNCTION("""COMPUTED_VALUE"""),"San Javier")</f>
        <v>San Javier</v>
      </c>
      <c r="H253" s="6" t="str">
        <f ca="1">IFERROR(__xludf.DUMMYFUNCTION("""COMPUTED_VALUE"""),"C202612215332992198")</f>
        <v>C202612215332992198</v>
      </c>
      <c r="I253" s="6" t="str">
        <f ca="1">IFERROR(__xludf.DUMMYFUNCTION("""COMPUTED_VALUE"""),"FRANCISCA GARCIA LOPEZ")</f>
        <v>FRANCISCA GARCIA LOPEZ</v>
      </c>
      <c r="J253" s="16">
        <f ca="1">IFERROR(__xludf.DUMMYFUNCTION("""COMPUTED_VALUE"""),46044)</f>
        <v>46044</v>
      </c>
      <c r="K253" s="6" t="str">
        <f ca="1">IFERROR(__xludf.DUMMYFUNCTION("""COMPUTED_VALUE"""),"Factura audífonos")</f>
        <v>Factura audífonos</v>
      </c>
      <c r="L253" s="16">
        <f ca="1">IFERROR(__xludf.DUMMYFUNCTION("""COMPUTED_VALUE"""),46079)</f>
        <v>46079</v>
      </c>
      <c r="M253" s="23" t="str">
        <f ca="1">IFERROR(__xludf.DUMMYFUNCTION("""COMPUTED_VALUE"""),"NO")</f>
        <v>NO</v>
      </c>
      <c r="N253" s="15">
        <f ca="1">IFERROR(__xludf.DUMMYFUNCTION("""COMPUTED_VALUE"""),2)</f>
        <v>2</v>
      </c>
      <c r="O253" s="23" t="str">
        <f ca="1">IFERROR(__xludf.DUMMYFUNCTION("""COMPUTED_VALUE"""),"PRO")</f>
        <v>PRO</v>
      </c>
      <c r="P253" s="21">
        <f ca="1">IFERROR(__xludf.DUMMYFUNCTION("""COMPUTED_VALUE"""),4536.36)</f>
        <v>4536.3599999999997</v>
      </c>
      <c r="Q253" s="6" t="str">
        <f ca="1">IFERROR(__xludf.DUMMYFUNCTION("""COMPUTED_VALUE"""),"Iván Sánchez")</f>
        <v>Iván Sánchez</v>
      </c>
      <c r="R253" s="6" t="str">
        <f ca="1">IFERROR(__xludf.DUMMYFUNCTION("""COMPUTED_VALUE"""),"Ángel Onofre Pérez Coll
")</f>
        <v xml:space="preserve">Ángel Onofre Pérez Coll
</v>
      </c>
      <c r="S253" s="20" t="str">
        <f ca="1">IFERROR(__xludf.DUMMYFUNCTION("""COMPUTED_VALUE"""),"03 ORL")</f>
        <v>03 ORL</v>
      </c>
      <c r="T253" s="6" t="str">
        <f ca="1">IFERROR(__xludf.DUMMYFUNCTION("""COMPUTED_VALUE"""),"06 ORL")</f>
        <v>06 ORL</v>
      </c>
      <c r="U253" s="21"/>
      <c r="W253" s="21"/>
      <c r="X253" s="21"/>
    </row>
    <row r="254" spans="2:31" ht="16">
      <c r="B254" s="14" t="str">
        <f t="shared" ca="1" si="0"/>
        <v>ISL</v>
      </c>
      <c r="C254" s="23" t="str">
        <f ca="1">IFERROR(__xludf.DUMMYFUNCTION("""COMPUTED_VALUE"""),"ISL01")</f>
        <v>ISL01</v>
      </c>
      <c r="D254" s="6" t="str">
        <f ca="1">IFERROR(__xludf.DUMMYFUNCTION("""COMPUTED_VALUE"""),"PROPIOS")</f>
        <v>PROPIOS</v>
      </c>
      <c r="E254" s="6">
        <f ca="1">IFERROR(__xludf.DUMMYFUNCTION("""COMPUTED_VALUE"""),2026)</f>
        <v>2026</v>
      </c>
      <c r="F254" s="15">
        <f ca="1">IFERROR(__xludf.DUMMYFUNCTION("""COMPUTED_VALUE"""),2)</f>
        <v>2</v>
      </c>
      <c r="G254" s="6" t="str">
        <f ca="1">IFERROR(__xludf.DUMMYFUNCTION("""COMPUTED_VALUE"""),"San Javier")</f>
        <v>San Javier</v>
      </c>
      <c r="H254" s="6" t="str">
        <f ca="1">IFERROR(__xludf.DUMMYFUNCTION("""COMPUTED_VALUE"""),"C202621391629035747")</f>
        <v>C202621391629035747</v>
      </c>
      <c r="I254" s="6" t="str">
        <f ca="1">IFERROR(__xludf.DUMMYFUNCTION("""COMPUTED_VALUE"""),"MARIA PILAR MARTINEZ GARCERAN")</f>
        <v>MARIA PILAR MARTINEZ GARCERAN</v>
      </c>
      <c r="J254" s="16">
        <f ca="1">IFERROR(__xludf.DUMMYFUNCTION("""COMPUTED_VALUE"""),46066)</f>
        <v>46066</v>
      </c>
      <c r="K254" s="6" t="str">
        <f ca="1">IFERROR(__xludf.DUMMYFUNCTION("""COMPUTED_VALUE"""),"Factura audífonos")</f>
        <v>Factura audífonos</v>
      </c>
      <c r="L254" s="16">
        <f ca="1">IFERROR(__xludf.DUMMYFUNCTION("""COMPUTED_VALUE"""),46079)</f>
        <v>46079</v>
      </c>
      <c r="M254" s="23" t="str">
        <f ca="1">IFERROR(__xludf.DUMMYFUNCTION("""COMPUTED_VALUE"""),"NO")</f>
        <v>NO</v>
      </c>
      <c r="N254" s="15">
        <f ca="1">IFERROR(__xludf.DUMMYFUNCTION("""COMPUTED_VALUE"""),2)</f>
        <v>2</v>
      </c>
      <c r="O254" s="23" t="str">
        <f ca="1">IFERROR(__xludf.DUMMYFUNCTION("""COMPUTED_VALUE"""),"PRO")</f>
        <v>PRO</v>
      </c>
      <c r="P254" s="21">
        <f ca="1">IFERROR(__xludf.DUMMYFUNCTION("""COMPUTED_VALUE"""),4536.36)</f>
        <v>4536.3599999999997</v>
      </c>
      <c r="Q254" s="6" t="str">
        <f ca="1">IFERROR(__xludf.DUMMYFUNCTION("""COMPUTED_VALUE"""),"Iván Sánchez")</f>
        <v>Iván Sánchez</v>
      </c>
      <c r="R254" s="6" t="str">
        <f ca="1">IFERROR(__xludf.DUMMYFUNCTION("""COMPUTED_VALUE"""),"Alberto Raposo Jiménez")</f>
        <v>Alberto Raposo Jiménez</v>
      </c>
      <c r="S254" s="20" t="str">
        <f ca="1">IFERROR(__xludf.DUMMYFUNCTION("""COMPUTED_VALUE"""),"03 ORL")</f>
        <v>03 ORL</v>
      </c>
      <c r="T254" s="6" t="str">
        <f ca="1">IFERROR(__xludf.DUMMYFUNCTION("""COMPUTED_VALUE"""),"06 ORL")</f>
        <v>06 ORL</v>
      </c>
      <c r="U254" s="21"/>
      <c r="W254" s="21"/>
      <c r="X254" s="21"/>
    </row>
    <row r="255" spans="2:31" ht="16">
      <c r="B255" s="14" t="str">
        <f t="shared" ca="1" si="0"/>
        <v>MBM</v>
      </c>
      <c r="C255" s="23" t="str">
        <f ca="1">IFERROR(__xludf.DUMMYFUNCTION("""COMPUTED_VALUE"""),"MBM18")</f>
        <v>MBM18</v>
      </c>
      <c r="D255" s="6" t="str">
        <f ca="1">IFERROR(__xludf.DUMMYFUNCTION("""COMPUTED_VALUE"""),"PROPIOS")</f>
        <v>PROPIOS</v>
      </c>
      <c r="E255" s="6">
        <f ca="1">IFERROR(__xludf.DUMMYFUNCTION("""COMPUTED_VALUE"""),2026)</f>
        <v>2026</v>
      </c>
      <c r="F255" s="15">
        <f ca="1">IFERROR(__xludf.DUMMYFUNCTION("""COMPUTED_VALUE"""),2)</f>
        <v>2</v>
      </c>
      <c r="G255" s="6" t="str">
        <f ca="1">IFERROR(__xludf.DUMMYFUNCTION("""COMPUTED_VALUE"""),"Madrid- Moratalaz")</f>
        <v>Madrid- Moratalaz</v>
      </c>
      <c r="H255" s="6" t="str">
        <f ca="1">IFERROR(__xludf.DUMMYFUNCTION("""COMPUTED_VALUE"""),"C202622085534244744")</f>
        <v>C202622085534244744</v>
      </c>
      <c r="I255" s="6" t="str">
        <f ca="1">IFERROR(__xludf.DUMMYFUNCTION("""COMPUTED_VALUE"""),"MARIA  MATEO HERNANDEZ")</f>
        <v>MARIA  MATEO HERNANDEZ</v>
      </c>
      <c r="J255" s="16">
        <f ca="1">IFERROR(__xludf.DUMMYFUNCTION("""COMPUTED_VALUE"""),46073)</f>
        <v>46073</v>
      </c>
      <c r="K255" s="6" t="str">
        <f ca="1">IFERROR(__xludf.DUMMYFUNCTION("""COMPUTED_VALUE"""),"Factura audífonos")</f>
        <v>Factura audífonos</v>
      </c>
      <c r="L255" s="16">
        <f ca="1">IFERROR(__xludf.DUMMYFUNCTION("""COMPUTED_VALUE"""),46079)</f>
        <v>46079</v>
      </c>
      <c r="M255" s="23" t="str">
        <f ca="1">IFERROR(__xludf.DUMMYFUNCTION("""COMPUTED_VALUE"""),"NO")</f>
        <v>NO</v>
      </c>
      <c r="N255" s="15">
        <f ca="1">IFERROR(__xludf.DUMMYFUNCTION("""COMPUTED_VALUE"""),2)</f>
        <v>2</v>
      </c>
      <c r="O255" s="23" t="str">
        <f ca="1">IFERROR(__xludf.DUMMYFUNCTION("""COMPUTED_VALUE"""),"CONFORT")</f>
        <v>CONFORT</v>
      </c>
      <c r="P255" s="21">
        <f ca="1">IFERROR(__xludf.DUMMYFUNCTION("""COMPUTED_VALUE"""),3631.82)</f>
        <v>3631.82</v>
      </c>
      <c r="Q255" s="6" t="str">
        <f ca="1">IFERROR(__xludf.DUMMYFUNCTION("""COMPUTED_VALUE"""),"Maika Blázquez")</f>
        <v>Maika Blázquez</v>
      </c>
      <c r="R255" s="6" t="str">
        <f ca="1">IFERROR(__xludf.DUMMYFUNCTION("""COMPUTED_VALUE"""),"Esteban Scola Pliego")</f>
        <v>Esteban Scola Pliego</v>
      </c>
      <c r="S255" s="20" t="str">
        <f ca="1">IFERROR(__xludf.DUMMYFUNCTION("""COMPUTED_VALUE"""),"03 ORL")</f>
        <v>03 ORL</v>
      </c>
      <c r="T255" s="6" t="str">
        <f ca="1">IFERROR(__xludf.DUMMYFUNCTION("""COMPUTED_VALUE"""),"06 ORL")</f>
        <v>06 ORL</v>
      </c>
      <c r="U255" s="21"/>
      <c r="W255" s="21"/>
      <c r="X255" s="21"/>
    </row>
    <row r="256" spans="2:31" ht="16">
      <c r="B256" s="14" t="str">
        <f t="shared" ca="1" si="0"/>
        <v>ISL</v>
      </c>
      <c r="C256" s="23" t="str">
        <f ca="1">IFERROR(__xludf.DUMMYFUNCTION("""COMPUTED_VALUE"""),"ISL99")</f>
        <v>ISL99</v>
      </c>
      <c r="D256" s="6" t="str">
        <f ca="1">IFERROR(__xludf.DUMMYFUNCTION("""COMPUTED_VALUE"""),"PROPIOS")</f>
        <v>PROPIOS</v>
      </c>
      <c r="E256" s="6">
        <f ca="1">IFERROR(__xludf.DUMMYFUNCTION("""COMPUTED_VALUE"""),2026)</f>
        <v>2026</v>
      </c>
      <c r="F256" s="15">
        <f ca="1">IFERROR(__xludf.DUMMYFUNCTION("""COMPUTED_VALUE"""),2)</f>
        <v>2</v>
      </c>
      <c r="G256" s="6" t="str">
        <f ca="1">IFERROR(__xludf.DUMMYFUNCTION("""COMPUTED_VALUE"""),"Alicante")</f>
        <v>Alicante</v>
      </c>
      <c r="H256" s="6" t="str">
        <f ca="1">IFERROR(__xludf.DUMMYFUNCTION("""COMPUTED_VALUE"""),"ALC-3827")</f>
        <v>ALC-3827</v>
      </c>
      <c r="I256" s="6" t="str">
        <f ca="1">IFERROR(__xludf.DUMMYFUNCTION("""COMPUTED_VALUE"""),"RICARDO MARTINEZ CABAÑAS ESPAÑOL")</f>
        <v>RICARDO MARTINEZ CABAÑAS ESPAÑOL</v>
      </c>
      <c r="J256" s="16">
        <f ca="1">IFERROR(__xludf.DUMMYFUNCTION("""COMPUTED_VALUE"""),45348)</f>
        <v>45348</v>
      </c>
      <c r="K256" s="6" t="str">
        <f ca="1">IFERROR(__xludf.DUMMYFUNCTION("""COMPUTED_VALUE"""),"Factura audífonos")</f>
        <v>Factura audífonos</v>
      </c>
      <c r="L256" s="16">
        <f ca="1">IFERROR(__xludf.DUMMYFUNCTION("""COMPUTED_VALUE"""),46079)</f>
        <v>46079</v>
      </c>
      <c r="M256" s="23" t="str">
        <f ca="1">IFERROR(__xludf.DUMMYFUNCTION("""COMPUTED_VALUE"""),"NO")</f>
        <v>NO</v>
      </c>
      <c r="N256" s="15">
        <f ca="1">IFERROR(__xludf.DUMMYFUNCTION("""COMPUTED_VALUE"""),2)</f>
        <v>2</v>
      </c>
      <c r="O256" s="23" t="str">
        <f ca="1">IFERROR(__xludf.DUMMYFUNCTION("""COMPUTED_VALUE"""),"CONFORT")</f>
        <v>CONFORT</v>
      </c>
      <c r="P256" s="21">
        <f ca="1">IFERROR(__xludf.DUMMYFUNCTION("""COMPUTED_VALUE"""),3631.82)</f>
        <v>3631.82</v>
      </c>
      <c r="Q256" s="6" t="str">
        <f ca="1">IFERROR(__xludf.DUMMYFUNCTION("""COMPUTED_VALUE"""),"Iván Sánchez")</f>
        <v>Iván Sánchez</v>
      </c>
      <c r="R256" s="6" t="str">
        <f ca="1">IFERROR(__xludf.DUMMYFUNCTION("""COMPUTED_VALUE"""),"Cristina Muñoz Pinto")</f>
        <v>Cristina Muñoz Pinto</v>
      </c>
      <c r="S256" s="20" t="str">
        <f ca="1">IFERROR(__xludf.DUMMYFUNCTION("""COMPUTED_VALUE"""),"03 ORL")</f>
        <v>03 ORL</v>
      </c>
      <c r="T256" s="6" t="str">
        <f ca="1">IFERROR(__xludf.DUMMYFUNCTION("""COMPUTED_VALUE"""),"06 ORL")</f>
        <v>06 ORL</v>
      </c>
      <c r="U256" s="21"/>
      <c r="W256" s="21"/>
      <c r="X256" s="21"/>
      <c r="AE256" s="1"/>
    </row>
    <row r="257" spans="2:31" ht="16">
      <c r="B257" s="14" t="str">
        <f t="shared" ref="B257:B511" ca="1" si="1">IF($C257="","",LEFT(C257,3))</f>
        <v>ISL</v>
      </c>
      <c r="C257" s="23" t="str">
        <f ca="1">IFERROR(__xludf.DUMMYFUNCTION("""COMPUTED_VALUE"""),"ISL104")</f>
        <v>ISL104</v>
      </c>
      <c r="D257" s="6" t="str">
        <f ca="1">IFERROR(__xludf.DUMMYFUNCTION("""COMPUTED_VALUE"""),"PROPIOS")</f>
        <v>PROPIOS</v>
      </c>
      <c r="E257" s="6">
        <f ca="1">IFERROR(__xludf.DUMMYFUNCTION("""COMPUTED_VALUE"""),2026)</f>
        <v>2026</v>
      </c>
      <c r="F257" s="15">
        <f ca="1">IFERROR(__xludf.DUMMYFUNCTION("""COMPUTED_VALUE"""),2)</f>
        <v>2</v>
      </c>
      <c r="G257" s="6" t="str">
        <f ca="1">IFERROR(__xludf.DUMMYFUNCTION("""COMPUTED_VALUE"""),"El Albir (Benidorm)")</f>
        <v>El Albir (Benidorm)</v>
      </c>
      <c r="H257" s="6" t="str">
        <f ca="1">IFERROR(__xludf.DUMMYFUNCTION("""COMPUTED_VALUE"""),"C202512191013203444")</f>
        <v>C202512191013203444</v>
      </c>
      <c r="I257" s="6" t="str">
        <f ca="1">IFERROR(__xludf.DUMMYFUNCTION("""COMPUTED_VALUE"""),"RUTH ESTEVE MARTINEZ")</f>
        <v>RUTH ESTEVE MARTINEZ</v>
      </c>
      <c r="J257" s="16">
        <f ca="1">IFERROR(__xludf.DUMMYFUNCTION("""COMPUTED_VALUE"""),46010)</f>
        <v>46010</v>
      </c>
      <c r="K257" s="6" t="str">
        <f ca="1">IFERROR(__xludf.DUMMYFUNCTION("""COMPUTED_VALUE"""),"Factura audífonos")</f>
        <v>Factura audífonos</v>
      </c>
      <c r="L257" s="16">
        <f ca="1">IFERROR(__xludf.DUMMYFUNCTION("""COMPUTED_VALUE"""),46079)</f>
        <v>46079</v>
      </c>
      <c r="M257" s="17" t="str">
        <f ca="1">IFERROR(__xludf.DUMMYFUNCTION("""COMPUTED_VALUE"""),"NO")</f>
        <v>NO</v>
      </c>
      <c r="N257" s="15">
        <f ca="1">IFERROR(__xludf.DUMMYFUNCTION("""COMPUTED_VALUE"""),1)</f>
        <v>1</v>
      </c>
      <c r="O257" s="23" t="str">
        <f ca="1">IFERROR(__xludf.DUMMYFUNCTION("""COMPUTED_VALUE"""),"CONFORT")</f>
        <v>CONFORT</v>
      </c>
      <c r="P257" s="21">
        <f ca="1">IFERROR(__xludf.DUMMYFUNCTION("""COMPUTED_VALUE"""),2071.86)</f>
        <v>2071.86</v>
      </c>
      <c r="Q257" s="6" t="str">
        <f ca="1">IFERROR(__xludf.DUMMYFUNCTION("""COMPUTED_VALUE"""),"Ramon Ferrando")</f>
        <v>Ramon Ferrando</v>
      </c>
      <c r="R257" s="6" t="str">
        <f ca="1">IFERROR(__xludf.DUMMYFUNCTION("""COMPUTED_VALUE"""),"Isabel Polo Tomás")</f>
        <v>Isabel Polo Tomás</v>
      </c>
      <c r="S257" s="20" t="str">
        <f ca="1">IFERROR(__xludf.DUMMYFUNCTION("""COMPUTED_VALUE"""),"03 ORL")</f>
        <v>03 ORL</v>
      </c>
      <c r="T257" s="6" t="str">
        <f ca="1">IFERROR(__xludf.DUMMYFUNCTION("""COMPUTED_VALUE"""),"06 ORL")</f>
        <v>06 ORL</v>
      </c>
      <c r="U257" s="21"/>
      <c r="W257" s="21"/>
      <c r="X257" s="21"/>
    </row>
    <row r="258" spans="2:31" ht="16">
      <c r="B258" s="14" t="str">
        <f t="shared" ca="1" si="1"/>
        <v>RFV</v>
      </c>
      <c r="C258" s="23" t="str">
        <f ca="1">IFERROR(__xludf.DUMMYFUNCTION("""COMPUTED_VALUE"""),"RFV38")</f>
        <v>RFV38</v>
      </c>
      <c r="D258" s="6" t="str">
        <f ca="1">IFERROR(__xludf.DUMMYFUNCTION("""COMPUTED_VALUE"""),"PROPIOS")</f>
        <v>PROPIOS</v>
      </c>
      <c r="E258" s="6">
        <f ca="1">IFERROR(__xludf.DUMMYFUNCTION("""COMPUTED_VALUE"""),2026)</f>
        <v>2026</v>
      </c>
      <c r="F258" s="15">
        <f ca="1">IFERROR(__xludf.DUMMYFUNCTION("""COMPUTED_VALUE"""),2)</f>
        <v>2</v>
      </c>
      <c r="G258" s="6" t="str">
        <f ca="1">IFERROR(__xludf.DUMMYFUNCTION("""COMPUTED_VALUE"""),"El Albir (Benidorm)")</f>
        <v>El Albir (Benidorm)</v>
      </c>
      <c r="H258" s="6" t="str">
        <f ca="1">IFERROR(__xludf.DUMMYFUNCTION("""COMPUTED_VALUE"""),"C202615125517101826")</f>
        <v>C202615125517101826</v>
      </c>
      <c r="I258" s="6" t="str">
        <f ca="1">IFERROR(__xludf.DUMMYFUNCTION("""COMPUTED_VALUE"""),"MARIA PILAR DIAZ LOPEZ")</f>
        <v>MARIA PILAR DIAZ LOPEZ</v>
      </c>
      <c r="J258" s="16">
        <f ca="1">IFERROR(__xludf.DUMMYFUNCTION("""COMPUTED_VALUE"""),46027)</f>
        <v>46027</v>
      </c>
      <c r="K258" s="6" t="str">
        <f ca="1">IFERROR(__xludf.DUMMYFUNCTION("""COMPUTED_VALUE"""),"Factura audífonos")</f>
        <v>Factura audífonos</v>
      </c>
      <c r="L258" s="16">
        <f ca="1">IFERROR(__xludf.DUMMYFUNCTION("""COMPUTED_VALUE"""),46079)</f>
        <v>46079</v>
      </c>
      <c r="M258" s="23" t="str">
        <f ca="1">IFERROR(__xludf.DUMMYFUNCTION("""COMPUTED_VALUE"""),"NO")</f>
        <v>NO</v>
      </c>
      <c r="N258" s="15">
        <f ca="1">IFERROR(__xludf.DUMMYFUNCTION("""COMPUTED_VALUE"""),1)</f>
        <v>1</v>
      </c>
      <c r="O258" s="17" t="str">
        <f ca="1">IFERROR(__xludf.DUMMYFUNCTION("""COMPUTED_VALUE"""),"CONFORT")</f>
        <v>CONFORT</v>
      </c>
      <c r="P258" s="21">
        <f ca="1">IFERROR(__xludf.DUMMYFUNCTION("""COMPUTED_VALUE"""),2180.91)</f>
        <v>2180.91</v>
      </c>
      <c r="Q258" s="6" t="str">
        <f ca="1">IFERROR(__xludf.DUMMYFUNCTION("""COMPUTED_VALUE"""),"Ramon Ferrando")</f>
        <v>Ramon Ferrando</v>
      </c>
      <c r="R258" s="6" t="str">
        <f ca="1">IFERROR(__xludf.DUMMYFUNCTION("""COMPUTED_VALUE"""),"María Emilia García Ruiz")</f>
        <v>María Emilia García Ruiz</v>
      </c>
      <c r="S258" s="20" t="str">
        <f ca="1">IFERROR(__xludf.DUMMYFUNCTION("""COMPUTED_VALUE"""),"03 ORL")</f>
        <v>03 ORL</v>
      </c>
      <c r="T258" s="6" t="str">
        <f ca="1">IFERROR(__xludf.DUMMYFUNCTION("""COMPUTED_VALUE"""),"06 ORL")</f>
        <v>06 ORL</v>
      </c>
      <c r="U258" s="21"/>
      <c r="W258" s="21"/>
      <c r="X258" s="21"/>
    </row>
    <row r="259" spans="2:31" ht="16">
      <c r="B259" s="14" t="str">
        <f t="shared" ca="1" si="1"/>
        <v>ISL</v>
      </c>
      <c r="C259" s="23" t="str">
        <f ca="1">IFERROR(__xludf.DUMMYFUNCTION("""COMPUTED_VALUE"""),"ISL76")</f>
        <v>ISL76</v>
      </c>
      <c r="D259" s="6" t="str">
        <f ca="1">IFERROR(__xludf.DUMMYFUNCTION("""COMPUTED_VALUE"""),"PROPIOS")</f>
        <v>PROPIOS</v>
      </c>
      <c r="E259" s="6">
        <f ca="1">IFERROR(__xludf.DUMMYFUNCTION("""COMPUTED_VALUE"""),2026)</f>
        <v>2026</v>
      </c>
      <c r="F259" s="15">
        <f ca="1">IFERROR(__xludf.DUMMYFUNCTION("""COMPUTED_VALUE"""),2)</f>
        <v>2</v>
      </c>
      <c r="G259" s="6" t="str">
        <f ca="1">IFERROR(__xludf.DUMMYFUNCTION("""COMPUTED_VALUE"""),"Albacete")</f>
        <v>Albacete</v>
      </c>
      <c r="H259" s="6" t="str">
        <f ca="1">IFERROR(__xludf.DUMMYFUNCTION("""COMPUTED_VALUE"""),"C202612111484650878")</f>
        <v>C202612111484650878</v>
      </c>
      <c r="I259" s="6" t="str">
        <f ca="1">IFERROR(__xludf.DUMMYFUNCTION("""COMPUTED_VALUE"""),"MARIA CARMEN PINA DE YLLANA")</f>
        <v>MARIA CARMEN PINA DE YLLANA</v>
      </c>
      <c r="J259" s="16">
        <f ca="1">IFERROR(__xludf.DUMMYFUNCTION("""COMPUTED_VALUE"""),46043)</f>
        <v>46043</v>
      </c>
      <c r="K259" s="6" t="str">
        <f ca="1">IFERROR(__xludf.DUMMYFUNCTION("""COMPUTED_VALUE"""),"Factura audífonos")</f>
        <v>Factura audífonos</v>
      </c>
      <c r="L259" s="16">
        <f ca="1">IFERROR(__xludf.DUMMYFUNCTION("""COMPUTED_VALUE"""),46079)</f>
        <v>46079</v>
      </c>
      <c r="M259" s="23" t="str">
        <f ca="1">IFERROR(__xludf.DUMMYFUNCTION("""COMPUTED_VALUE"""),"NO")</f>
        <v>NO</v>
      </c>
      <c r="N259" s="15">
        <f ca="1">IFERROR(__xludf.DUMMYFUNCTION("""COMPUTED_VALUE"""),2)</f>
        <v>2</v>
      </c>
      <c r="O259" s="23" t="str">
        <f ca="1">IFERROR(__xludf.DUMMYFUNCTION("""COMPUTED_VALUE"""),"ADVANCED")</f>
        <v>ADVANCED</v>
      </c>
      <c r="P259" s="21">
        <f ca="1">IFERROR(__xludf.DUMMYFUNCTION("""COMPUTED_VALUE"""),4136.36)</f>
        <v>4136.3599999999997</v>
      </c>
      <c r="Q259" s="6" t="str">
        <f ca="1">IFERROR(__xludf.DUMMYFUNCTION("""COMPUTED_VALUE"""),"Iván Sánchez")</f>
        <v>Iván Sánchez</v>
      </c>
      <c r="R259" s="6" t="str">
        <f ca="1">IFERROR(__xludf.DUMMYFUNCTION("""COMPUTED_VALUE"""),"Pedro Seguí Moya")</f>
        <v>Pedro Seguí Moya</v>
      </c>
      <c r="S259" s="20" t="str">
        <f ca="1">IFERROR(__xludf.DUMMYFUNCTION("""COMPUTED_VALUE"""),"03 ORL")</f>
        <v>03 ORL</v>
      </c>
      <c r="T259" s="6" t="str">
        <f ca="1">IFERROR(__xludf.DUMMYFUNCTION("""COMPUTED_VALUE"""),"06 ORL")</f>
        <v>06 ORL</v>
      </c>
      <c r="U259" s="21"/>
      <c r="W259" s="21"/>
      <c r="X259" s="21"/>
    </row>
    <row r="260" spans="2:31" ht="16">
      <c r="B260" s="14" t="str">
        <f t="shared" ca="1" si="1"/>
        <v>ISL</v>
      </c>
      <c r="C260" s="23" t="str">
        <f ca="1">IFERROR(__xludf.DUMMYFUNCTION("""COMPUTED_VALUE"""),"ISL120")</f>
        <v>ISL120</v>
      </c>
      <c r="D260" s="6" t="str">
        <f ca="1">IFERROR(__xludf.DUMMYFUNCTION("""COMPUTED_VALUE"""),"PROPIOS")</f>
        <v>PROPIOS</v>
      </c>
      <c r="E260" s="6">
        <f ca="1">IFERROR(__xludf.DUMMYFUNCTION("""COMPUTED_VALUE"""),2026)</f>
        <v>2026</v>
      </c>
      <c r="F260" s="15">
        <f ca="1">IFERROR(__xludf.DUMMYFUNCTION("""COMPUTED_VALUE"""),2)</f>
        <v>2</v>
      </c>
      <c r="G260" s="6" t="str">
        <f ca="1">IFERROR(__xludf.DUMMYFUNCTION("""COMPUTED_VALUE"""),"Murcia")</f>
        <v>Murcia</v>
      </c>
      <c r="H260" s="6" t="str">
        <f ca="1">IFERROR(__xludf.DUMMYFUNCTION("""COMPUTED_VALUE"""),"C202612912325824973")</f>
        <v>C202612912325824973</v>
      </c>
      <c r="I260" s="6" t="str">
        <f ca="1">IFERROR(__xludf.DUMMYFUNCTION("""COMPUTED_VALUE"""),"FRANCISCO LAZARO NICOLAS")</f>
        <v>FRANCISCO LAZARO NICOLAS</v>
      </c>
      <c r="J260" s="16">
        <f ca="1">IFERROR(__xludf.DUMMYFUNCTION("""COMPUTED_VALUE"""),46051)</f>
        <v>46051</v>
      </c>
      <c r="K260" s="6" t="str">
        <f ca="1">IFERROR(__xludf.DUMMYFUNCTION("""COMPUTED_VALUE"""),"Factura audífonos")</f>
        <v>Factura audífonos</v>
      </c>
      <c r="L260" s="16">
        <f ca="1">IFERROR(__xludf.DUMMYFUNCTION("""COMPUTED_VALUE"""),46079)</f>
        <v>46079</v>
      </c>
      <c r="M260" s="23" t="str">
        <f ca="1">IFERROR(__xludf.DUMMYFUNCTION("""COMPUTED_VALUE"""),"NO")</f>
        <v>NO</v>
      </c>
      <c r="N260" s="15">
        <f ca="1">IFERROR(__xludf.DUMMYFUNCTION("""COMPUTED_VALUE"""),2)</f>
        <v>2</v>
      </c>
      <c r="O260" s="23" t="str">
        <f ca="1">IFERROR(__xludf.DUMMYFUNCTION("""COMPUTED_VALUE"""),"ADVANCED")</f>
        <v>ADVANCED</v>
      </c>
      <c r="P260" s="21">
        <f ca="1">IFERROR(__xludf.DUMMYFUNCTION("""COMPUTED_VALUE"""),4134.62)</f>
        <v>4134.62</v>
      </c>
      <c r="Q260" s="6" t="str">
        <f ca="1">IFERROR(__xludf.DUMMYFUNCTION("""COMPUTED_VALUE"""),"Iván Sánchez")</f>
        <v>Iván Sánchez</v>
      </c>
      <c r="R260" s="6" t="str">
        <f ca="1">IFERROR(__xludf.DUMMYFUNCTION("""COMPUTED_VALUE"""),"María López Robles")</f>
        <v>María López Robles</v>
      </c>
      <c r="S260" s="20" t="str">
        <f ca="1">IFERROR(__xludf.DUMMYFUNCTION("""COMPUTED_VALUE"""),"03 ORL")</f>
        <v>03 ORL</v>
      </c>
      <c r="T260" s="6" t="str">
        <f ca="1">IFERROR(__xludf.DUMMYFUNCTION("""COMPUTED_VALUE"""),"06 ORL")</f>
        <v>06 ORL</v>
      </c>
      <c r="U260" s="21"/>
      <c r="W260" s="21"/>
      <c r="X260" s="21"/>
    </row>
    <row r="261" spans="2:31" ht="16">
      <c r="B261" s="14" t="str">
        <f t="shared" ca="1" si="1"/>
        <v>ISL</v>
      </c>
      <c r="C261" s="23" t="str">
        <f ca="1">IFERROR(__xludf.DUMMYFUNCTION("""COMPUTED_VALUE"""),"ISL25")</f>
        <v>ISL25</v>
      </c>
      <c r="D261" s="6" t="str">
        <f ca="1">IFERROR(__xludf.DUMMYFUNCTION("""COMPUTED_VALUE"""),"PROPIOS")</f>
        <v>PROPIOS</v>
      </c>
      <c r="E261" s="6">
        <f ca="1">IFERROR(__xludf.DUMMYFUNCTION("""COMPUTED_VALUE"""),2026)</f>
        <v>2026</v>
      </c>
      <c r="F261" s="15">
        <f ca="1">IFERROR(__xludf.DUMMYFUNCTION("""COMPUTED_VALUE"""),2)</f>
        <v>2</v>
      </c>
      <c r="G261" s="6" t="str">
        <f ca="1">IFERROR(__xludf.DUMMYFUNCTION("""COMPUTED_VALUE"""),"Murcia")</f>
        <v>Murcia</v>
      </c>
      <c r="H261" s="6" t="str">
        <f ca="1">IFERROR(__xludf.DUMMYFUNCTION("""COMPUTED_VALUE"""),"C20262391419663611")</f>
        <v>C20262391419663611</v>
      </c>
      <c r="I261" s="6" t="str">
        <f ca="1">IFERROR(__xludf.DUMMYFUNCTION("""COMPUTED_VALUE"""),"MARIA TERESA ORBAÑANOS LARROUY")</f>
        <v>MARIA TERESA ORBAÑANOS LARROUY</v>
      </c>
      <c r="J261" s="16">
        <f ca="1">IFERROR(__xludf.DUMMYFUNCTION("""COMPUTED_VALUE"""),46056)</f>
        <v>46056</v>
      </c>
      <c r="K261" s="6" t="str">
        <f ca="1">IFERROR(__xludf.DUMMYFUNCTION("""COMPUTED_VALUE"""),"Factura audífonos")</f>
        <v>Factura audífonos</v>
      </c>
      <c r="L261" s="16">
        <f ca="1">IFERROR(__xludf.DUMMYFUNCTION("""COMPUTED_VALUE"""),46079)</f>
        <v>46079</v>
      </c>
      <c r="M261" s="23" t="str">
        <f ca="1">IFERROR(__xludf.DUMMYFUNCTION("""COMPUTED_VALUE"""),"NO")</f>
        <v>NO</v>
      </c>
      <c r="N261" s="15">
        <f ca="1">IFERROR(__xludf.DUMMYFUNCTION("""COMPUTED_VALUE"""),2)</f>
        <v>2</v>
      </c>
      <c r="O261" s="23" t="str">
        <f ca="1">IFERROR(__xludf.DUMMYFUNCTION("""COMPUTED_VALUE"""),"QUIET")</f>
        <v>QUIET</v>
      </c>
      <c r="P261" s="21">
        <f ca="1">IFERROR(__xludf.DUMMYFUNCTION("""COMPUTED_VALUE"""),2718.18)</f>
        <v>2718.18</v>
      </c>
      <c r="Q261" s="6" t="str">
        <f ca="1">IFERROR(__xludf.DUMMYFUNCTION("""COMPUTED_VALUE"""),"Iván Sánchez")</f>
        <v>Iván Sánchez</v>
      </c>
      <c r="R261" s="6" t="str">
        <f ca="1">IFERROR(__xludf.DUMMYFUNCTION("""COMPUTED_VALUE"""),"Enrique Viviente Rodríguez")</f>
        <v>Enrique Viviente Rodríguez</v>
      </c>
      <c r="S261" s="20" t="str">
        <f ca="1">IFERROR(__xludf.DUMMYFUNCTION("""COMPUTED_VALUE"""),"03 ORL")</f>
        <v>03 ORL</v>
      </c>
      <c r="T261" s="6" t="str">
        <f ca="1">IFERROR(__xludf.DUMMYFUNCTION("""COMPUTED_VALUE"""),"06 ORL")</f>
        <v>06 ORL</v>
      </c>
      <c r="U261" s="21"/>
      <c r="W261" s="21"/>
      <c r="X261" s="21"/>
    </row>
    <row r="262" spans="2:31" ht="16">
      <c r="B262" s="14" t="str">
        <f t="shared" ca="1" si="1"/>
        <v>MBM</v>
      </c>
      <c r="C262" s="23" t="str">
        <f ca="1">IFERROR(__xludf.DUMMYFUNCTION("""COMPUTED_VALUE"""),"MBM165")</f>
        <v>MBM165</v>
      </c>
      <c r="D262" s="6" t="str">
        <f ca="1">IFERROR(__xludf.DUMMYFUNCTION("""COMPUTED_VALUE"""),"PROPIOS")</f>
        <v>PROPIOS</v>
      </c>
      <c r="E262" s="6">
        <f ca="1">IFERROR(__xludf.DUMMYFUNCTION("""COMPUTED_VALUE"""),2026)</f>
        <v>2026</v>
      </c>
      <c r="F262" s="15">
        <f ca="1">IFERROR(__xludf.DUMMYFUNCTION("""COMPUTED_VALUE"""),2)</f>
        <v>2</v>
      </c>
      <c r="G262" s="6" t="str">
        <f ca="1">IFERROR(__xludf.DUMMYFUNCTION("""COMPUTED_VALUE"""),"Getafe")</f>
        <v>Getafe</v>
      </c>
      <c r="H262" s="6" t="str">
        <f ca="1">IFERROR(__xludf.DUMMYFUNCTION("""COMPUTED_VALUE"""),"C202622143610588879")</f>
        <v>C202622143610588879</v>
      </c>
      <c r="I262" s="6" t="str">
        <f ca="1">IFERROR(__xludf.DUMMYFUNCTION("""COMPUTED_VALUE"""),"JOSE LUIS DOMINGUEZ ALONSO")</f>
        <v>JOSE LUIS DOMINGUEZ ALONSO</v>
      </c>
      <c r="J262" s="16">
        <f ca="1">IFERROR(__xludf.DUMMYFUNCTION("""COMPUTED_VALUE"""),46055)</f>
        <v>46055</v>
      </c>
      <c r="K262" s="6" t="str">
        <f ca="1">IFERROR(__xludf.DUMMYFUNCTION("""COMPUTED_VALUE"""),"Factura audífonos")</f>
        <v>Factura audífonos</v>
      </c>
      <c r="L262" s="16">
        <f ca="1">IFERROR(__xludf.DUMMYFUNCTION("""COMPUTED_VALUE"""),46079)</f>
        <v>46079</v>
      </c>
      <c r="M262" s="23" t="str">
        <f ca="1">IFERROR(__xludf.DUMMYFUNCTION("""COMPUTED_VALUE"""),"NO")</f>
        <v>NO</v>
      </c>
      <c r="N262" s="15">
        <f ca="1">IFERROR(__xludf.DUMMYFUNCTION("""COMPUTED_VALUE"""),2)</f>
        <v>2</v>
      </c>
      <c r="O262" s="17" t="str">
        <f ca="1">IFERROR(__xludf.DUMMYFUNCTION("""COMPUTED_VALUE"""),"QUIET")</f>
        <v>QUIET</v>
      </c>
      <c r="P262" s="21">
        <f ca="1">IFERROR(__xludf.DUMMYFUNCTION("""COMPUTED_VALUE"""),2718.18)</f>
        <v>2718.18</v>
      </c>
      <c r="Q262" s="6" t="str">
        <f ca="1">IFERROR(__xludf.DUMMYFUNCTION("""COMPUTED_VALUE"""),"Maika Blázquez")</f>
        <v>Maika Blázquez</v>
      </c>
      <c r="R262" s="6" t="str">
        <f ca="1">IFERROR(__xludf.DUMMYFUNCTION("""COMPUTED_VALUE"""),"Paloma Pinacho Martínez")</f>
        <v>Paloma Pinacho Martínez</v>
      </c>
      <c r="S262" s="20" t="str">
        <f ca="1">IFERROR(__xludf.DUMMYFUNCTION("""COMPUTED_VALUE"""),"03 ORL")</f>
        <v>03 ORL</v>
      </c>
      <c r="T262" s="6" t="str">
        <f ca="1">IFERROR(__xludf.DUMMYFUNCTION("""COMPUTED_VALUE"""),"06 ORL")</f>
        <v>06 ORL</v>
      </c>
      <c r="U262" s="21"/>
      <c r="W262" s="21"/>
      <c r="X262" s="21"/>
    </row>
    <row r="263" spans="2:31" ht="16">
      <c r="B263" s="14" t="str">
        <f t="shared" ca="1" si="1"/>
        <v>ISL</v>
      </c>
      <c r="C263" s="23" t="str">
        <f ca="1">IFERROR(__xludf.DUMMYFUNCTION("""COMPUTED_VALUE"""),"ISL130")</f>
        <v>ISL130</v>
      </c>
      <c r="D263" s="6" t="str">
        <f ca="1">IFERROR(__xludf.DUMMYFUNCTION("""COMPUTED_VALUE"""),"PROPIOS")</f>
        <v>PROPIOS</v>
      </c>
      <c r="E263" s="6">
        <f ca="1">IFERROR(__xludf.DUMMYFUNCTION("""COMPUTED_VALUE"""),2026)</f>
        <v>2026</v>
      </c>
      <c r="F263" s="15">
        <f ca="1">IFERROR(__xludf.DUMMYFUNCTION("""COMPUTED_VALUE"""),2)</f>
        <v>2</v>
      </c>
      <c r="G263" s="6" t="str">
        <f ca="1">IFERROR(__xludf.DUMMYFUNCTION("""COMPUTED_VALUE"""),"Orihuela")</f>
        <v>Orihuela</v>
      </c>
      <c r="H263" s="6" t="str">
        <f ca="1">IFERROR(__xludf.DUMMYFUNCTION("""COMPUTED_VALUE"""),"C2026239206560406")</f>
        <v>C2026239206560406</v>
      </c>
      <c r="I263" s="6" t="str">
        <f ca="1">IFERROR(__xludf.DUMMYFUNCTION("""COMPUTED_VALUE"""),"JANET RICHARDSON")</f>
        <v>JANET RICHARDSON</v>
      </c>
      <c r="J263" s="16">
        <f ca="1">IFERROR(__xludf.DUMMYFUNCTION("""COMPUTED_VALUE"""),46056)</f>
        <v>46056</v>
      </c>
      <c r="K263" s="6" t="str">
        <f ca="1">IFERROR(__xludf.DUMMYFUNCTION("""COMPUTED_VALUE"""),"Factura audífonos")</f>
        <v>Factura audífonos</v>
      </c>
      <c r="L263" s="16">
        <f ca="1">IFERROR(__xludf.DUMMYFUNCTION("""COMPUTED_VALUE"""),46079)</f>
        <v>46079</v>
      </c>
      <c r="M263" s="23" t="str">
        <f ca="1">IFERROR(__xludf.DUMMYFUNCTION("""COMPUTED_VALUE"""),"NO")</f>
        <v>NO</v>
      </c>
      <c r="N263" s="15">
        <f ca="1">IFERROR(__xludf.DUMMYFUNCTION("""COMPUTED_VALUE"""),2)</f>
        <v>2</v>
      </c>
      <c r="O263" s="23" t="str">
        <f ca="1">IFERROR(__xludf.DUMMYFUNCTION("""COMPUTED_VALUE"""),"QUIET")</f>
        <v>QUIET</v>
      </c>
      <c r="P263" s="21">
        <f ca="1">IFERROR(__xludf.DUMMYFUNCTION("""COMPUTED_VALUE"""),2718.18)</f>
        <v>2718.18</v>
      </c>
      <c r="Q263" s="6" t="str">
        <f ca="1">IFERROR(__xludf.DUMMYFUNCTION("""COMPUTED_VALUE"""),"Iván Sánchez")</f>
        <v>Iván Sánchez</v>
      </c>
      <c r="R263" s="6" t="str">
        <f ca="1">IFERROR(__xludf.DUMMYFUNCTION("""COMPUTED_VALUE"""),"Paula Hernández Ruíz")</f>
        <v>Paula Hernández Ruíz</v>
      </c>
      <c r="S263" s="20" t="str">
        <f ca="1">IFERROR(__xludf.DUMMYFUNCTION("""COMPUTED_VALUE"""),"03 ORL")</f>
        <v>03 ORL</v>
      </c>
      <c r="T263" s="6" t="str">
        <f ca="1">IFERROR(__xludf.DUMMYFUNCTION("""COMPUTED_VALUE"""),"06 ORL")</f>
        <v>06 ORL</v>
      </c>
      <c r="U263" s="21"/>
      <c r="W263" s="21"/>
      <c r="X263" s="21"/>
    </row>
    <row r="264" spans="2:31" ht="16">
      <c r="B264" s="14" t="str">
        <f t="shared" ca="1" si="1"/>
        <v>RPG</v>
      </c>
      <c r="C264" s="23" t="str">
        <f ca="1">IFERROR(__xludf.DUMMYFUNCTION("""COMPUTED_VALUE"""),"RPG51")</f>
        <v>RPG51</v>
      </c>
      <c r="D264" s="6" t="str">
        <f ca="1">IFERROR(__xludf.DUMMYFUNCTION("""COMPUTED_VALUE"""),"PARTICIPADOS")</f>
        <v>PARTICIPADOS</v>
      </c>
      <c r="E264" s="6">
        <f ca="1">IFERROR(__xludf.DUMMYFUNCTION("""COMPUTED_VALUE"""),2026)</f>
        <v>2026</v>
      </c>
      <c r="F264" s="15">
        <f ca="1">IFERROR(__xludf.DUMMYFUNCTION("""COMPUTED_VALUE"""),2)</f>
        <v>2</v>
      </c>
      <c r="G264" s="6" t="str">
        <f ca="1">IFERROR(__xludf.DUMMYFUNCTION("""COMPUTED_VALUE"""),"Ourense")</f>
        <v>Ourense</v>
      </c>
      <c r="H264" s="6" t="str">
        <f ca="1">IFERROR(__xludf.DUMMYFUNCTION("""COMPUTED_VALUE"""),"C20261169422835459")</f>
        <v>C20261169422835459</v>
      </c>
      <c r="I264" s="6" t="str">
        <f ca="1">IFERROR(__xludf.DUMMYFUNCTION("""COMPUTED_VALUE"""),"FRANCISCO JAVIER REGUEIRO CACHEIRO")</f>
        <v>FRANCISCO JAVIER REGUEIRO CACHEIRO</v>
      </c>
      <c r="J264" s="16">
        <f ca="1">IFERROR(__xludf.DUMMYFUNCTION("""COMPUTED_VALUE"""),46038)</f>
        <v>46038</v>
      </c>
      <c r="K264" s="6" t="str">
        <f ca="1">IFERROR(__xludf.DUMMYFUNCTION("""COMPUTED_VALUE"""),"Factura audífonos")</f>
        <v>Factura audífonos</v>
      </c>
      <c r="L264" s="16">
        <f ca="1">IFERROR(__xludf.DUMMYFUNCTION("""COMPUTED_VALUE"""),46079)</f>
        <v>46079</v>
      </c>
      <c r="M264" s="23" t="str">
        <f ca="1">IFERROR(__xludf.DUMMYFUNCTION("""COMPUTED_VALUE"""),"NO")</f>
        <v>NO</v>
      </c>
      <c r="N264" s="15">
        <f ca="1">IFERROR(__xludf.DUMMYFUNCTION("""COMPUTED_VALUE"""),2)</f>
        <v>2</v>
      </c>
      <c r="O264" s="23" t="str">
        <f ca="1">IFERROR(__xludf.DUMMYFUNCTION("""COMPUTED_VALUE"""),"CONFORT")</f>
        <v>CONFORT</v>
      </c>
      <c r="P264" s="21">
        <f ca="1">IFERROR(__xludf.DUMMYFUNCTION("""COMPUTED_VALUE"""),3631.82)</f>
        <v>3631.82</v>
      </c>
      <c r="Q264" s="6" t="str">
        <f ca="1">IFERROR(__xludf.DUMMYFUNCTION("""COMPUTED_VALUE"""),"Kiko Ortega")</f>
        <v>Kiko Ortega</v>
      </c>
      <c r="R264" s="6" t="str">
        <f ca="1">IFERROR(__xludf.DUMMYFUNCTION("""COMPUTED_VALUE"""),"María Rey Marcos")</f>
        <v>María Rey Marcos</v>
      </c>
      <c r="S264" s="20" t="str">
        <f ca="1">IFERROR(__xludf.DUMMYFUNCTION("""COMPUTED_VALUE"""),"03 ORL")</f>
        <v>03 ORL</v>
      </c>
      <c r="T264" s="6" t="str">
        <f ca="1">IFERROR(__xludf.DUMMYFUNCTION("""COMPUTED_VALUE"""),"06 ORL")</f>
        <v>06 ORL</v>
      </c>
      <c r="U264" s="21"/>
      <c r="W264" s="21"/>
      <c r="X264" s="21"/>
    </row>
    <row r="265" spans="2:31" ht="16">
      <c r="B265" s="14" t="str">
        <f t="shared" ca="1" si="1"/>
        <v>ISL</v>
      </c>
      <c r="C265" s="23" t="str">
        <f ca="1">IFERROR(__xludf.DUMMYFUNCTION("""COMPUTED_VALUE"""),"ISL99")</f>
        <v>ISL99</v>
      </c>
      <c r="D265" s="6" t="str">
        <f ca="1">IFERROR(__xludf.DUMMYFUNCTION("""COMPUTED_VALUE"""),"PROPIOS")</f>
        <v>PROPIOS</v>
      </c>
      <c r="E265" s="6">
        <f ca="1">IFERROR(__xludf.DUMMYFUNCTION("""COMPUTED_VALUE"""),2026)</f>
        <v>2026</v>
      </c>
      <c r="F265" s="15">
        <f ca="1">IFERROR(__xludf.DUMMYFUNCTION("""COMPUTED_VALUE"""),2)</f>
        <v>2</v>
      </c>
      <c r="G265" s="6" t="str">
        <f ca="1">IFERROR(__xludf.DUMMYFUNCTION("""COMPUTED_VALUE"""),"Alicante")</f>
        <v>Alicante</v>
      </c>
      <c r="H265" s="6" t="str">
        <f ca="1">IFERROR(__xludf.DUMMYFUNCTION("""COMPUTED_VALUE"""),"C20262411338089577")</f>
        <v>C20262411338089577</v>
      </c>
      <c r="I265" s="6" t="str">
        <f ca="1">IFERROR(__xludf.DUMMYFUNCTION("""COMPUTED_VALUE"""),"JUANA COSMEN ALBELDA")</f>
        <v>JUANA COSMEN ALBELDA</v>
      </c>
      <c r="J265" s="16">
        <f ca="1">IFERROR(__xludf.DUMMYFUNCTION("""COMPUTED_VALUE"""),46057)</f>
        <v>46057</v>
      </c>
      <c r="K265" s="6" t="str">
        <f ca="1">IFERROR(__xludf.DUMMYFUNCTION("""COMPUTED_VALUE"""),"Factura audífonos")</f>
        <v>Factura audífonos</v>
      </c>
      <c r="L265" s="16">
        <f ca="1">IFERROR(__xludf.DUMMYFUNCTION("""COMPUTED_VALUE"""),46079)</f>
        <v>46079</v>
      </c>
      <c r="M265" s="23" t="str">
        <f ca="1">IFERROR(__xludf.DUMMYFUNCTION("""COMPUTED_VALUE"""),"NO")</f>
        <v>NO</v>
      </c>
      <c r="N265" s="15">
        <f ca="1">IFERROR(__xludf.DUMMYFUNCTION("""COMPUTED_VALUE"""),2)</f>
        <v>2</v>
      </c>
      <c r="O265" s="17" t="str">
        <f ca="1">IFERROR(__xludf.DUMMYFUNCTION("""COMPUTED_VALUE"""),"QUIET")</f>
        <v>QUIET</v>
      </c>
      <c r="P265" s="21">
        <f ca="1">IFERROR(__xludf.DUMMYFUNCTION("""COMPUTED_VALUE"""),2718.18)</f>
        <v>2718.18</v>
      </c>
      <c r="Q265" s="6" t="str">
        <f ca="1">IFERROR(__xludf.DUMMYFUNCTION("""COMPUTED_VALUE"""),"Iván Sánchez")</f>
        <v>Iván Sánchez</v>
      </c>
      <c r="R265" s="6" t="str">
        <f ca="1">IFERROR(__xludf.DUMMYFUNCTION("""COMPUTED_VALUE"""),"Cristina Muñoz Pinto")</f>
        <v>Cristina Muñoz Pinto</v>
      </c>
      <c r="S265" s="20" t="str">
        <f ca="1">IFERROR(__xludf.DUMMYFUNCTION("""COMPUTED_VALUE"""),"03 ORL")</f>
        <v>03 ORL</v>
      </c>
      <c r="T265" s="6" t="str">
        <f ca="1">IFERROR(__xludf.DUMMYFUNCTION("""COMPUTED_VALUE"""),"06 ORL")</f>
        <v>06 ORL</v>
      </c>
      <c r="U265" s="21"/>
      <c r="W265" s="21"/>
      <c r="X265" s="21"/>
    </row>
    <row r="266" spans="2:31" ht="16">
      <c r="B266" s="14" t="str">
        <f t="shared" ca="1" si="1"/>
        <v>ISL</v>
      </c>
      <c r="C266" s="23" t="str">
        <f ca="1">IFERROR(__xludf.DUMMYFUNCTION("""COMPUTED_VALUE"""),"ISL41")</f>
        <v>ISL41</v>
      </c>
      <c r="D266" s="6" t="str">
        <f ca="1">IFERROR(__xludf.DUMMYFUNCTION("""COMPUTED_VALUE"""),"PROPIOS")</f>
        <v>PROPIOS</v>
      </c>
      <c r="E266" s="6">
        <f ca="1">IFERROR(__xludf.DUMMYFUNCTION("""COMPUTED_VALUE"""),2026)</f>
        <v>2026</v>
      </c>
      <c r="F266" s="15">
        <f ca="1">IFERROR(__xludf.DUMMYFUNCTION("""COMPUTED_VALUE"""),2)</f>
        <v>2</v>
      </c>
      <c r="G266" s="6" t="str">
        <f ca="1">IFERROR(__xludf.DUMMYFUNCTION("""COMPUTED_VALUE"""),"Albacete")</f>
        <v>Albacete</v>
      </c>
      <c r="H266" s="6" t="str">
        <f ca="1">IFERROR(__xludf.DUMMYFUNCTION("""COMPUTED_VALUE"""),"C202612610443744715")</f>
        <v>C202612610443744715</v>
      </c>
      <c r="I266" s="6" t="str">
        <f ca="1">IFERROR(__xludf.DUMMYFUNCTION("""COMPUTED_VALUE"""),"ASCENSION GALERA CAMPOS")</f>
        <v>ASCENSION GALERA CAMPOS</v>
      </c>
      <c r="J266" s="16">
        <f ca="1">IFERROR(__xludf.DUMMYFUNCTION("""COMPUTED_VALUE"""),46048)</f>
        <v>46048</v>
      </c>
      <c r="K266" s="6" t="str">
        <f ca="1">IFERROR(__xludf.DUMMYFUNCTION("""COMPUTED_VALUE"""),"Factura audífonos")</f>
        <v>Factura audífonos</v>
      </c>
      <c r="L266" s="16">
        <f ca="1">IFERROR(__xludf.DUMMYFUNCTION("""COMPUTED_VALUE"""),46079)</f>
        <v>46079</v>
      </c>
      <c r="M266" s="17" t="str">
        <f ca="1">IFERROR(__xludf.DUMMYFUNCTION("""COMPUTED_VALUE"""),"NO")</f>
        <v>NO</v>
      </c>
      <c r="N266" s="15">
        <f ca="1">IFERROR(__xludf.DUMMYFUNCTION("""COMPUTED_VALUE"""),1)</f>
        <v>1</v>
      </c>
      <c r="O266" s="23" t="str">
        <f ca="1">IFERROR(__xludf.DUMMYFUNCTION("""COMPUTED_VALUE"""),"CONFORT")</f>
        <v>CONFORT</v>
      </c>
      <c r="P266" s="21">
        <f ca="1">IFERROR(__xludf.DUMMYFUNCTION("""COMPUTED_VALUE"""),2180.91)</f>
        <v>2180.91</v>
      </c>
      <c r="Q266" s="6" t="str">
        <f ca="1">IFERROR(__xludf.DUMMYFUNCTION("""COMPUTED_VALUE"""),"Iván Sánchez")</f>
        <v>Iván Sánchez</v>
      </c>
      <c r="R266" s="6" t="str">
        <f ca="1">IFERROR(__xludf.DUMMYFUNCTION("""COMPUTED_VALUE"""),"Javier García-Dueñas González")</f>
        <v>Javier García-Dueñas González</v>
      </c>
      <c r="S266" s="20" t="str">
        <f ca="1">IFERROR(__xludf.DUMMYFUNCTION("""COMPUTED_VALUE"""),"03 ORL")</f>
        <v>03 ORL</v>
      </c>
      <c r="T266" s="6" t="str">
        <f ca="1">IFERROR(__xludf.DUMMYFUNCTION("""COMPUTED_VALUE"""),"06 ORL")</f>
        <v>06 ORL</v>
      </c>
      <c r="U266" s="21"/>
      <c r="W266" s="21"/>
      <c r="X266" s="21"/>
    </row>
    <row r="267" spans="2:31" ht="16">
      <c r="B267" s="14" t="str">
        <f t="shared" ca="1" si="1"/>
        <v>LRM</v>
      </c>
      <c r="C267" s="23" t="str">
        <f ca="1">IFERROR(__xludf.DUMMYFUNCTION("""COMPUTED_VALUE"""),"LRM96")</f>
        <v>LRM96</v>
      </c>
      <c r="D267" s="6" t="str">
        <f ca="1">IFERROR(__xludf.DUMMYFUNCTION("""COMPUTED_VALUE"""),"PROPIOS")</f>
        <v>PROPIOS</v>
      </c>
      <c r="E267" s="6">
        <f ca="1">IFERROR(__xludf.DUMMYFUNCTION("""COMPUTED_VALUE"""),2026)</f>
        <v>2026</v>
      </c>
      <c r="F267" s="15">
        <f ca="1">IFERROR(__xludf.DUMMYFUNCTION("""COMPUTED_VALUE"""),2)</f>
        <v>2</v>
      </c>
      <c r="G267" s="6" t="str">
        <f ca="1">IFERROR(__xludf.DUMMYFUNCTION("""COMPUTED_VALUE"""),"Toledo")</f>
        <v>Toledo</v>
      </c>
      <c r="H267" s="6" t="str">
        <f ca="1">IFERROR(__xludf.DUMMYFUNCTION("""COMPUTED_VALUE"""),"C202512101139559327")</f>
        <v>C202512101139559327</v>
      </c>
      <c r="I267" s="6" t="str">
        <f ca="1">IFERROR(__xludf.DUMMYFUNCTION("""COMPUTED_VALUE"""),"Maria Sagrario Velez Segura")</f>
        <v>Maria Sagrario Velez Segura</v>
      </c>
      <c r="J267" s="16">
        <f ca="1">IFERROR(__xludf.DUMMYFUNCTION("""COMPUTED_VALUE"""),46001)</f>
        <v>46001</v>
      </c>
      <c r="K267" s="6" t="str">
        <f ca="1">IFERROR(__xludf.DUMMYFUNCTION("""COMPUTED_VALUE"""),"Factura audífonos")</f>
        <v>Factura audífonos</v>
      </c>
      <c r="L267" s="16">
        <f ca="1">IFERROR(__xludf.DUMMYFUNCTION("""COMPUTED_VALUE"""),46080)</f>
        <v>46080</v>
      </c>
      <c r="M267" s="23" t="str">
        <f ca="1">IFERROR(__xludf.DUMMYFUNCTION("""COMPUTED_VALUE"""),"NO")</f>
        <v>NO</v>
      </c>
      <c r="N267" s="15">
        <f ca="1">IFERROR(__xludf.DUMMYFUNCTION("""COMPUTED_VALUE"""),2)</f>
        <v>2</v>
      </c>
      <c r="O267" s="23" t="str">
        <f ca="1">IFERROR(__xludf.DUMMYFUNCTION("""COMPUTED_VALUE"""),"CONFORT")</f>
        <v>CONFORT</v>
      </c>
      <c r="P267" s="21">
        <f ca="1">IFERROR(__xludf.DUMMYFUNCTION("""COMPUTED_VALUE"""),3631.82)</f>
        <v>3631.82</v>
      </c>
      <c r="Q267" s="6" t="str">
        <f ca="1">IFERROR(__xludf.DUMMYFUNCTION("""COMPUTED_VALUE"""),"Lisandro Russian")</f>
        <v>Lisandro Russian</v>
      </c>
      <c r="R267" s="6" t="str">
        <f ca="1">IFERROR(__xludf.DUMMYFUNCTION("""COMPUTED_VALUE"""),"Luis Miguel Menéndez Colino")</f>
        <v>Luis Miguel Menéndez Colino</v>
      </c>
      <c r="S267" s="20" t="str">
        <f ca="1">IFERROR(__xludf.DUMMYFUNCTION("""COMPUTED_VALUE"""),"03 ORL")</f>
        <v>03 ORL</v>
      </c>
      <c r="T267" s="6" t="str">
        <f ca="1">IFERROR(__xludf.DUMMYFUNCTION("""COMPUTED_VALUE"""),"06 ORL")</f>
        <v>06 ORL</v>
      </c>
      <c r="U267" s="21"/>
      <c r="W267" s="21"/>
      <c r="X267" s="21"/>
    </row>
    <row r="268" spans="2:31" ht="16">
      <c r="B268" s="14" t="str">
        <f t="shared" ca="1" si="1"/>
        <v>LRM</v>
      </c>
      <c r="C268" s="23" t="str">
        <f ca="1">IFERROR(__xludf.DUMMYFUNCTION("""COMPUTED_VALUE"""),"LRM39")</f>
        <v>LRM39</v>
      </c>
      <c r="D268" s="6" t="str">
        <f ca="1">IFERROR(__xludf.DUMMYFUNCTION("""COMPUTED_VALUE"""),"PROPIOS")</f>
        <v>PROPIOS</v>
      </c>
      <c r="E268" s="6">
        <f ca="1">IFERROR(__xludf.DUMMYFUNCTION("""COMPUTED_VALUE"""),2026)</f>
        <v>2026</v>
      </c>
      <c r="F268" s="15">
        <f ca="1">IFERROR(__xludf.DUMMYFUNCTION("""COMPUTED_VALUE"""),2)</f>
        <v>2</v>
      </c>
      <c r="G268" s="6" t="str">
        <f ca="1">IFERROR(__xludf.DUMMYFUNCTION("""COMPUTED_VALUE"""),"Logroño")</f>
        <v>Logroño</v>
      </c>
      <c r="H268" s="6" t="str">
        <f ca="1">IFERROR(__xludf.DUMMYFUNCTION("""COMPUTED_VALUE"""),"C202612611462701422")</f>
        <v>C202612611462701422</v>
      </c>
      <c r="I268" s="6" t="str">
        <f ca="1">IFERROR(__xludf.DUMMYFUNCTION("""COMPUTED_VALUE"""),"MARIA GLORIA LANGARICA LOZANO")</f>
        <v>MARIA GLORIA LANGARICA LOZANO</v>
      </c>
      <c r="J268" s="16">
        <f ca="1">IFERROR(__xludf.DUMMYFUNCTION("""COMPUTED_VALUE"""),46048)</f>
        <v>46048</v>
      </c>
      <c r="K268" s="6" t="str">
        <f ca="1">IFERROR(__xludf.DUMMYFUNCTION("""COMPUTED_VALUE"""),"Factura audífonos")</f>
        <v>Factura audífonos</v>
      </c>
      <c r="L268" s="16">
        <f ca="1">IFERROR(__xludf.DUMMYFUNCTION("""COMPUTED_VALUE"""),46080)</f>
        <v>46080</v>
      </c>
      <c r="M268" s="23" t="str">
        <f ca="1">IFERROR(__xludf.DUMMYFUNCTION("""COMPUTED_VALUE"""),"NO")</f>
        <v>NO</v>
      </c>
      <c r="N268" s="15">
        <f ca="1">IFERROR(__xludf.DUMMYFUNCTION("""COMPUTED_VALUE"""),2)</f>
        <v>2</v>
      </c>
      <c r="O268" s="17" t="str">
        <f ca="1">IFERROR(__xludf.DUMMYFUNCTION("""COMPUTED_VALUE"""),"ADVANCED")</f>
        <v>ADVANCED</v>
      </c>
      <c r="P268" s="21">
        <f ca="1">IFERROR(__xludf.DUMMYFUNCTION("""COMPUTED_VALUE"""),4136.36)</f>
        <v>4136.3599999999997</v>
      </c>
      <c r="Q268" s="6" t="str">
        <f ca="1">IFERROR(__xludf.DUMMYFUNCTION("""COMPUTED_VALUE"""),"Lisandro Russian")</f>
        <v>Lisandro Russian</v>
      </c>
      <c r="R268" s="6" t="str">
        <f ca="1">IFERROR(__xludf.DUMMYFUNCTION("""COMPUTED_VALUE"""),"Fernando Salazar Barcelona")</f>
        <v>Fernando Salazar Barcelona</v>
      </c>
      <c r="S268" s="20" t="str">
        <f ca="1">IFERROR(__xludf.DUMMYFUNCTION("""COMPUTED_VALUE"""),"03 ORL")</f>
        <v>03 ORL</v>
      </c>
      <c r="T268" s="6" t="str">
        <f ca="1">IFERROR(__xludf.DUMMYFUNCTION("""COMPUTED_VALUE"""),"06 ORL")</f>
        <v>06 ORL</v>
      </c>
      <c r="U268" s="21"/>
      <c r="W268" s="21"/>
      <c r="X268" s="21"/>
    </row>
    <row r="269" spans="2:31" ht="16">
      <c r="B269" s="14" t="str">
        <f t="shared" ca="1" si="1"/>
        <v>ISL</v>
      </c>
      <c r="C269" s="23" t="str">
        <f ca="1">IFERROR(__xludf.DUMMYFUNCTION("""COMPUTED_VALUE"""),"ISL71")</f>
        <v>ISL71</v>
      </c>
      <c r="D269" s="6" t="str">
        <f ca="1">IFERROR(__xludf.DUMMYFUNCTION("""COMPUTED_VALUE"""),"PROPIOS")</f>
        <v>PROPIOS</v>
      </c>
      <c r="E269" s="6">
        <f ca="1">IFERROR(__xludf.DUMMYFUNCTION("""COMPUTED_VALUE"""),2026)</f>
        <v>2026</v>
      </c>
      <c r="F269" s="15">
        <f ca="1">IFERROR(__xludf.DUMMYFUNCTION("""COMPUTED_VALUE"""),2)</f>
        <v>2</v>
      </c>
      <c r="G269" s="6" t="str">
        <f ca="1">IFERROR(__xludf.DUMMYFUNCTION("""COMPUTED_VALUE"""),"Albacete")</f>
        <v>Albacete</v>
      </c>
      <c r="H269" s="6" t="str">
        <f ca="1">IFERROR(__xludf.DUMMYFUNCTION("""COMPUTED_VALUE"""),"C202612010227949902")</f>
        <v>C202612010227949902</v>
      </c>
      <c r="I269" s="6" t="str">
        <f ca="1">IFERROR(__xludf.DUMMYFUNCTION("""COMPUTED_VALUE"""),"MARÍA CARMEN LUJAN MOLINA")</f>
        <v>MARÍA CARMEN LUJAN MOLINA</v>
      </c>
      <c r="J269" s="16">
        <f ca="1">IFERROR(__xludf.DUMMYFUNCTION("""COMPUTED_VALUE"""),46042)</f>
        <v>46042</v>
      </c>
      <c r="K269" s="6" t="str">
        <f ca="1">IFERROR(__xludf.DUMMYFUNCTION("""COMPUTED_VALUE"""),"Factura audífonos")</f>
        <v>Factura audífonos</v>
      </c>
      <c r="L269" s="16">
        <f ca="1">IFERROR(__xludf.DUMMYFUNCTION("""COMPUTED_VALUE"""),46080)</f>
        <v>46080</v>
      </c>
      <c r="M269" s="17" t="str">
        <f ca="1">IFERROR(__xludf.DUMMYFUNCTION("""COMPUTED_VALUE"""),"NO")</f>
        <v>NO</v>
      </c>
      <c r="N269" s="15">
        <f ca="1">IFERROR(__xludf.DUMMYFUNCTION("""COMPUTED_VALUE"""),2)</f>
        <v>2</v>
      </c>
      <c r="O269" s="17" t="str">
        <f ca="1">IFERROR(__xludf.DUMMYFUNCTION("""COMPUTED_VALUE"""),"QUIET")</f>
        <v>QUIET</v>
      </c>
      <c r="P269" s="21">
        <f ca="1">IFERROR(__xludf.DUMMYFUNCTION("""COMPUTED_VALUE"""),2918.18)</f>
        <v>2918.18</v>
      </c>
      <c r="Q269" s="6" t="str">
        <f ca="1">IFERROR(__xludf.DUMMYFUNCTION("""COMPUTED_VALUE"""),"Iván Sánchez")</f>
        <v>Iván Sánchez</v>
      </c>
      <c r="R269" s="6" t="str">
        <f ca="1">IFERROR(__xludf.DUMMYFUNCTION("""COMPUTED_VALUE"""),"Máximo Rafael García Rodríguez")</f>
        <v>Máximo Rafael García Rodríguez</v>
      </c>
      <c r="S269" s="20" t="str">
        <f ca="1">IFERROR(__xludf.DUMMYFUNCTION("""COMPUTED_VALUE"""),"03 ORL")</f>
        <v>03 ORL</v>
      </c>
      <c r="T269" s="6" t="str">
        <f ca="1">IFERROR(__xludf.DUMMYFUNCTION("""COMPUTED_VALUE"""),"06 ORL")</f>
        <v>06 ORL</v>
      </c>
      <c r="U269" s="21"/>
      <c r="W269" s="21"/>
      <c r="X269" s="21"/>
    </row>
    <row r="270" spans="2:31" ht="16">
      <c r="B270" s="14" t="str">
        <f t="shared" ca="1" si="1"/>
        <v>ISL</v>
      </c>
      <c r="C270" s="23" t="str">
        <f ca="1">IFERROR(__xludf.DUMMYFUNCTION("""COMPUTED_VALUE"""),"ISL14")</f>
        <v>ISL14</v>
      </c>
      <c r="D270" s="6" t="str">
        <f ca="1">IFERROR(__xludf.DUMMYFUNCTION("""COMPUTED_VALUE"""),"PROPIOS")</f>
        <v>PROPIOS</v>
      </c>
      <c r="E270" s="6">
        <f ca="1">IFERROR(__xludf.DUMMYFUNCTION("""COMPUTED_VALUE"""),2026)</f>
        <v>2026</v>
      </c>
      <c r="F270" s="15">
        <f ca="1">IFERROR(__xludf.DUMMYFUNCTION("""COMPUTED_VALUE"""),2)</f>
        <v>2</v>
      </c>
      <c r="G270" s="6" t="str">
        <f ca="1">IFERROR(__xludf.DUMMYFUNCTION("""COMPUTED_VALUE"""),"Orihuela")</f>
        <v>Orihuela</v>
      </c>
      <c r="H270" s="6" t="str">
        <f ca="1">IFERROR(__xludf.DUMMYFUNCTION("""COMPUTED_VALUE"""),"LZN-450000442")</f>
        <v>LZN-450000442</v>
      </c>
      <c r="I270" s="6" t="str">
        <f ca="1">IFERROR(__xludf.DUMMYFUNCTION("""COMPUTED_VALUE"""),"MICHAEL ALBERT CUNNINGHAM")</f>
        <v>MICHAEL ALBERT CUNNINGHAM</v>
      </c>
      <c r="J270" s="16">
        <f ca="1">IFERROR(__xludf.DUMMYFUNCTION("""COMPUTED_VALUE"""),44957)</f>
        <v>44957</v>
      </c>
      <c r="K270" s="6" t="str">
        <f ca="1">IFERROR(__xludf.DUMMYFUNCTION("""COMPUTED_VALUE"""),"Factura audífonos")</f>
        <v>Factura audífonos</v>
      </c>
      <c r="L270" s="16">
        <f ca="1">IFERROR(__xludf.DUMMYFUNCTION("""COMPUTED_VALUE"""),46080)</f>
        <v>46080</v>
      </c>
      <c r="M270" s="23" t="str">
        <f ca="1">IFERROR(__xludf.DUMMYFUNCTION("""COMPUTED_VALUE"""),"NO")</f>
        <v>NO</v>
      </c>
      <c r="N270" s="15">
        <f ca="1">IFERROR(__xludf.DUMMYFUNCTION("""COMPUTED_VALUE"""),1)</f>
        <v>1</v>
      </c>
      <c r="O270" s="17" t="str">
        <f ca="1">IFERROR(__xludf.DUMMYFUNCTION("""COMPUTED_VALUE"""),"QUIET")</f>
        <v>QUIET</v>
      </c>
      <c r="P270" s="21">
        <f ca="1">IFERROR(__xludf.DUMMYFUNCTION("""COMPUTED_VALUE"""),1631.82)</f>
        <v>1631.82</v>
      </c>
      <c r="Q270" s="6" t="str">
        <f ca="1">IFERROR(__xludf.DUMMYFUNCTION("""COMPUTED_VALUE"""),"Iván Sánchez")</f>
        <v>Iván Sánchez</v>
      </c>
      <c r="R270" s="6" t="str">
        <f ca="1">IFERROR(__xludf.DUMMYFUNCTION("""COMPUTED_VALUE"""),"Carlos Velásquez Fermín")</f>
        <v>Carlos Velásquez Fermín</v>
      </c>
      <c r="S270" s="20" t="str">
        <f ca="1">IFERROR(__xludf.DUMMYFUNCTION("""COMPUTED_VALUE"""),"03 ORL")</f>
        <v>03 ORL</v>
      </c>
      <c r="T270" s="6" t="str">
        <f ca="1">IFERROR(__xludf.DUMMYFUNCTION("""COMPUTED_VALUE"""),"06 ORL")</f>
        <v>06 ORL</v>
      </c>
      <c r="U270" s="21"/>
      <c r="W270" s="21"/>
      <c r="X270" s="21"/>
      <c r="AE270" s="1"/>
    </row>
    <row r="271" spans="2:31" ht="16">
      <c r="B271" s="14" t="str">
        <f t="shared" ca="1" si="1"/>
        <v>ISL</v>
      </c>
      <c r="C271" s="23" t="str">
        <f ca="1">IFERROR(__xludf.DUMMYFUNCTION("""COMPUTED_VALUE"""),"ISL03")</f>
        <v>ISL03</v>
      </c>
      <c r="D271" s="6" t="str">
        <f ca="1">IFERROR(__xludf.DUMMYFUNCTION("""COMPUTED_VALUE"""),"PROPIOS")</f>
        <v>PROPIOS</v>
      </c>
      <c r="E271" s="6">
        <f ca="1">IFERROR(__xludf.DUMMYFUNCTION("""COMPUTED_VALUE"""),2026)</f>
        <v>2026</v>
      </c>
      <c r="F271" s="15">
        <f ca="1">IFERROR(__xludf.DUMMYFUNCTION("""COMPUTED_VALUE"""),2)</f>
        <v>2</v>
      </c>
      <c r="G271" s="6" t="str">
        <f ca="1">IFERROR(__xludf.DUMMYFUNCTION("""COMPUTED_VALUE"""),"Murcia")</f>
        <v>Murcia</v>
      </c>
      <c r="H271" s="6" t="str">
        <f ca="1">IFERROR(__xludf.DUMMYFUNCTION("""COMPUTED_VALUE"""),"C202612716322865727")</f>
        <v>C202612716322865727</v>
      </c>
      <c r="I271" s="6" t="str">
        <f ca="1">IFERROR(__xludf.DUMMYFUNCTION("""COMPUTED_VALUE"""),"DAVID GARCIA DIAZ")</f>
        <v>DAVID GARCIA DIAZ</v>
      </c>
      <c r="J271" s="16">
        <f ca="1">IFERROR(__xludf.DUMMYFUNCTION("""COMPUTED_VALUE"""),46049)</f>
        <v>46049</v>
      </c>
      <c r="K271" s="6" t="str">
        <f ca="1">IFERROR(__xludf.DUMMYFUNCTION("""COMPUTED_VALUE"""),"Factura audífonos")</f>
        <v>Factura audífonos</v>
      </c>
      <c r="L271" s="16">
        <f ca="1">IFERROR(__xludf.DUMMYFUNCTION("""COMPUTED_VALUE"""),46080)</f>
        <v>46080</v>
      </c>
      <c r="M271" s="23" t="str">
        <f ca="1">IFERROR(__xludf.DUMMYFUNCTION("""COMPUTED_VALUE"""),"NO")</f>
        <v>NO</v>
      </c>
      <c r="N271" s="15">
        <f ca="1">IFERROR(__xludf.DUMMYFUNCTION("""COMPUTED_VALUE"""),1)</f>
        <v>1</v>
      </c>
      <c r="O271" s="17" t="str">
        <f ca="1">IFERROR(__xludf.DUMMYFUNCTION("""COMPUTED_VALUE"""),"QUIET")</f>
        <v>QUIET</v>
      </c>
      <c r="P271" s="21">
        <f ca="1">IFERROR(__xludf.DUMMYFUNCTION("""COMPUTED_VALUE"""),1631.82)</f>
        <v>1631.82</v>
      </c>
      <c r="Q271" s="6" t="str">
        <f ca="1">IFERROR(__xludf.DUMMYFUNCTION("""COMPUTED_VALUE"""),"Iván Sánchez")</f>
        <v>Iván Sánchez</v>
      </c>
      <c r="R271" s="6" t="str">
        <f ca="1">IFERROR(__xludf.DUMMYFUNCTION("""COMPUTED_VALUE"""),"Alfonso Capitan Guarnizo")</f>
        <v>Alfonso Capitan Guarnizo</v>
      </c>
      <c r="S271" s="20" t="str">
        <f ca="1">IFERROR(__xludf.DUMMYFUNCTION("""COMPUTED_VALUE"""),"03 ORL")</f>
        <v>03 ORL</v>
      </c>
      <c r="T271" s="6" t="str">
        <f ca="1">IFERROR(__xludf.DUMMYFUNCTION("""COMPUTED_VALUE"""),"06 ORL")</f>
        <v>06 ORL</v>
      </c>
      <c r="U271" s="21"/>
      <c r="W271" s="21"/>
      <c r="X271" s="21"/>
    </row>
    <row r="272" spans="2:31" ht="13.5" customHeight="1">
      <c r="B272" s="14" t="str">
        <f t="shared" ca="1" si="1"/>
        <v>MBM</v>
      </c>
      <c r="C272" s="23" t="str">
        <f ca="1">IFERROR(__xludf.DUMMYFUNCTION("""COMPUTED_VALUE"""),"MBM01")</f>
        <v>MBM01</v>
      </c>
      <c r="D272" s="6" t="str">
        <f ca="1">IFERROR(__xludf.DUMMYFUNCTION("""COMPUTED_VALUE"""),"PROPIOS")</f>
        <v>PROPIOS</v>
      </c>
      <c r="E272" s="6">
        <f ca="1">IFERROR(__xludf.DUMMYFUNCTION("""COMPUTED_VALUE"""),2026)</f>
        <v>2026</v>
      </c>
      <c r="F272" s="15">
        <f ca="1">IFERROR(__xludf.DUMMYFUNCTION("""COMPUTED_VALUE"""),2)</f>
        <v>2</v>
      </c>
      <c r="G272" s="6" t="str">
        <f ca="1">IFERROR(__xludf.DUMMYFUNCTION("""COMPUTED_VALUE"""),"Alcorcón")</f>
        <v>Alcorcón</v>
      </c>
      <c r="H272" s="6" t="str">
        <f ca="1">IFERROR(__xludf.DUMMYFUNCTION("""COMPUTED_VALUE"""),"MAL-867")</f>
        <v>MAL-867</v>
      </c>
      <c r="I272" s="6" t="str">
        <f ca="1">IFERROR(__xludf.DUMMYFUNCTION("""COMPUTED_VALUE"""),"BENITA GARCIA RUIZ")</f>
        <v>BENITA GARCIA RUIZ</v>
      </c>
      <c r="J272" s="16">
        <f ca="1">IFERROR(__xludf.DUMMYFUNCTION("""COMPUTED_VALUE"""),45467)</f>
        <v>45467</v>
      </c>
      <c r="K272" s="6" t="str">
        <f ca="1">IFERROR(__xludf.DUMMYFUNCTION("""COMPUTED_VALUE"""),"Factura audífonos")</f>
        <v>Factura audífonos</v>
      </c>
      <c r="L272" s="16">
        <f ca="1">IFERROR(__xludf.DUMMYFUNCTION("""COMPUTED_VALUE"""),46080)</f>
        <v>46080</v>
      </c>
      <c r="M272" s="17" t="str">
        <f ca="1">IFERROR(__xludf.DUMMYFUNCTION("""COMPUTED_VALUE"""),"NO")</f>
        <v>NO</v>
      </c>
      <c r="N272" s="15">
        <f ca="1">IFERROR(__xludf.DUMMYFUNCTION("""COMPUTED_VALUE"""),2)</f>
        <v>2</v>
      </c>
      <c r="O272" s="17" t="str">
        <f ca="1">IFERROR(__xludf.DUMMYFUNCTION("""COMPUTED_VALUE"""),"CONFORT")</f>
        <v>CONFORT</v>
      </c>
      <c r="P272" s="21">
        <f ca="1">IFERROR(__xludf.DUMMYFUNCTION("""COMPUTED_VALUE"""),3631.82)</f>
        <v>3631.82</v>
      </c>
      <c r="Q272" s="6" t="str">
        <f ca="1">IFERROR(__xludf.DUMMYFUNCTION("""COMPUTED_VALUE"""),"Maika Blázquez")</f>
        <v>Maika Blázquez</v>
      </c>
      <c r="R272" s="6" t="str">
        <f ca="1">IFERROR(__xludf.DUMMYFUNCTION("""COMPUTED_VALUE"""),"Adolfo Toledano Muñoz")</f>
        <v>Adolfo Toledano Muñoz</v>
      </c>
      <c r="S272" s="20" t="str">
        <f ca="1">IFERROR(__xludf.DUMMYFUNCTION("""COMPUTED_VALUE"""),"03 ORL")</f>
        <v>03 ORL</v>
      </c>
      <c r="T272" s="6" t="str">
        <f ca="1">IFERROR(__xludf.DUMMYFUNCTION("""COMPUTED_VALUE"""),"06 ORL")</f>
        <v>06 ORL</v>
      </c>
      <c r="U272" s="21"/>
      <c r="W272" s="21"/>
      <c r="X272" s="21"/>
    </row>
    <row r="273" spans="2:24" ht="16">
      <c r="B273" s="14" t="str">
        <f t="shared" ca="1" si="1"/>
        <v>RFV</v>
      </c>
      <c r="C273" s="23" t="str">
        <f ca="1">IFERROR(__xludf.DUMMYFUNCTION("""COMPUTED_VALUE"""),"RFV38")</f>
        <v>RFV38</v>
      </c>
      <c r="D273" s="6" t="str">
        <f ca="1">IFERROR(__xludf.DUMMYFUNCTION("""COMPUTED_VALUE"""),"PROPIOS")</f>
        <v>PROPIOS</v>
      </c>
      <c r="E273" s="6">
        <f ca="1">IFERROR(__xludf.DUMMYFUNCTION("""COMPUTED_VALUE"""),2026)</f>
        <v>2026</v>
      </c>
      <c r="F273" s="15">
        <f ca="1">IFERROR(__xludf.DUMMYFUNCTION("""COMPUTED_VALUE"""),2)</f>
        <v>2</v>
      </c>
      <c r="G273" s="6" t="str">
        <f ca="1">IFERROR(__xludf.DUMMYFUNCTION("""COMPUTED_VALUE"""),"El Albir (Benidorm)")</f>
        <v>El Albir (Benidorm)</v>
      </c>
      <c r="H273" s="6" t="str">
        <f ca="1">IFERROR(__xludf.DUMMYFUNCTION("""COMPUTED_VALUE"""),"C202612112119316206")</f>
        <v>C202612112119316206</v>
      </c>
      <c r="I273" s="6" t="str">
        <f ca="1">IFERROR(__xludf.DUMMYFUNCTION("""COMPUTED_VALUE"""),"EVA  FONT ROMA")</f>
        <v>EVA  FONT ROMA</v>
      </c>
      <c r="J273" s="16">
        <f ca="1">IFERROR(__xludf.DUMMYFUNCTION("""COMPUTED_VALUE"""),46043)</f>
        <v>46043</v>
      </c>
      <c r="K273" s="6" t="str">
        <f ca="1">IFERROR(__xludf.DUMMYFUNCTION("""COMPUTED_VALUE"""),"Factura audífonos")</f>
        <v>Factura audífonos</v>
      </c>
      <c r="L273" s="16">
        <f ca="1">IFERROR(__xludf.DUMMYFUNCTION("""COMPUTED_VALUE"""),46080)</f>
        <v>46080</v>
      </c>
      <c r="M273" s="23" t="str">
        <f ca="1">IFERROR(__xludf.DUMMYFUNCTION("""COMPUTED_VALUE"""),"NO")</f>
        <v>NO</v>
      </c>
      <c r="N273" s="15">
        <f ca="1">IFERROR(__xludf.DUMMYFUNCTION("""COMPUTED_VALUE"""),2)</f>
        <v>2</v>
      </c>
      <c r="O273" s="17" t="str">
        <f ca="1">IFERROR(__xludf.DUMMYFUNCTION("""COMPUTED_VALUE"""),"ADVANCED")</f>
        <v>ADVANCED</v>
      </c>
      <c r="P273" s="21">
        <f ca="1">IFERROR(__xludf.DUMMYFUNCTION("""COMPUTED_VALUE"""),4136.36)</f>
        <v>4136.3599999999997</v>
      </c>
      <c r="Q273" s="6" t="str">
        <f ca="1">IFERROR(__xludf.DUMMYFUNCTION("""COMPUTED_VALUE"""),"Ramon Ferrando")</f>
        <v>Ramon Ferrando</v>
      </c>
      <c r="R273" s="6" t="str">
        <f ca="1">IFERROR(__xludf.DUMMYFUNCTION("""COMPUTED_VALUE"""),"María Emilia García Ruiz")</f>
        <v>María Emilia García Ruiz</v>
      </c>
      <c r="S273" s="20" t="str">
        <f ca="1">IFERROR(__xludf.DUMMYFUNCTION("""COMPUTED_VALUE"""),"03 ORL")</f>
        <v>03 ORL</v>
      </c>
      <c r="T273" s="6" t="str">
        <f ca="1">IFERROR(__xludf.DUMMYFUNCTION("""COMPUTED_VALUE"""),"06 ORL")</f>
        <v>06 ORL</v>
      </c>
      <c r="U273" s="21"/>
      <c r="W273" s="21"/>
      <c r="X273" s="21"/>
    </row>
    <row r="274" spans="2:24" ht="16">
      <c r="B274" s="14" t="str">
        <f t="shared" si="1"/>
        <v/>
      </c>
      <c r="C274" s="6"/>
      <c r="D274" s="6" t="str">
        <f ca="1">IFERROR(__xludf.DUMMYFUNCTION("""COMPUTED_VALUE"""),"ASOCIADOS")</f>
        <v>ASOCIADOS</v>
      </c>
      <c r="E274" s="6">
        <f ca="1">IFERROR(__xludf.DUMMYFUNCTION("""COMPUTED_VALUE"""),2026)</f>
        <v>2026</v>
      </c>
      <c r="F274" s="15">
        <f ca="1">IFERROR(__xludf.DUMMYFUNCTION("""COMPUTED_VALUE"""),2)</f>
        <v>2</v>
      </c>
      <c r="G274" s="6" t="str">
        <f ca="1">IFERROR(__xludf.DUMMYFUNCTION("""COMPUTED_VALUE"""),"Ponferrada")</f>
        <v>Ponferrada</v>
      </c>
      <c r="H274" s="6" t="str">
        <f ca="1">IFERROR(__xludf.DUMMYFUNCTION("""COMPUTED_VALUE"""),"C202612092032571289")</f>
        <v>C202612092032571289</v>
      </c>
      <c r="I274" s="6" t="str">
        <f ca="1">IFERROR(__xludf.DUMMYFUNCTION("""COMPUTED_VALUE"""),"TOMASA LOPEZ BLANCO")</f>
        <v>TOMASA LOPEZ BLANCO</v>
      </c>
      <c r="J274" s="16">
        <f ca="1">IFERROR(__xludf.DUMMYFUNCTION("""COMPUTED_VALUE"""),46042)</f>
        <v>46042</v>
      </c>
      <c r="K274" s="6" t="str">
        <f ca="1">IFERROR(__xludf.DUMMYFUNCTION("""COMPUTED_VALUE"""),"Factura audífonos")</f>
        <v>Factura audífonos</v>
      </c>
      <c r="L274" s="16">
        <f ca="1">IFERROR(__xludf.DUMMYFUNCTION("""COMPUTED_VALUE"""),46080)</f>
        <v>46080</v>
      </c>
      <c r="M274" s="23" t="str">
        <f ca="1">IFERROR(__xludf.DUMMYFUNCTION("""COMPUTED_VALUE"""),"NO")</f>
        <v>NO</v>
      </c>
      <c r="N274" s="15">
        <f ca="1">IFERROR(__xludf.DUMMYFUNCTION("""COMPUTED_VALUE"""),2)</f>
        <v>2</v>
      </c>
      <c r="O274" s="17" t="str">
        <f ca="1">IFERROR(__xludf.DUMMYFUNCTION("""COMPUTED_VALUE"""),"SOCIAL")</f>
        <v>SOCIAL</v>
      </c>
      <c r="P274" s="21">
        <f ca="1">IFERROR(__xludf.DUMMYFUNCTION("""COMPUTED_VALUE"""),2709.09)</f>
        <v>2709.09</v>
      </c>
      <c r="Q274" s="6" t="str">
        <f ca="1">IFERROR(__xludf.DUMMYFUNCTION("""COMPUTED_VALUE"""),"Alberto Moreno")</f>
        <v>Alberto Moreno</v>
      </c>
      <c r="R274" s="6" t="str">
        <f ca="1">IFERROR(__xludf.DUMMYFUNCTION("""COMPUTED_VALUE"""),"No recuerda ORL")</f>
        <v>No recuerda ORL</v>
      </c>
      <c r="S274" s="20" t="str">
        <f ca="1">IFERROR(__xludf.DUMMYFUNCTION("""COMPUTED_VALUE"""),"03 ORL")</f>
        <v>03 ORL</v>
      </c>
      <c r="T274" s="6" t="str">
        <f ca="1">IFERROR(__xludf.DUMMYFUNCTION("""COMPUTED_VALUE"""),"22 AUDIOMETRIA CLINICA")</f>
        <v>22 AUDIOMETRIA CLINICA</v>
      </c>
      <c r="U274" s="21"/>
      <c r="W274" s="21"/>
      <c r="X274" s="21"/>
    </row>
    <row r="275" spans="2:24" ht="16">
      <c r="B275" s="14" t="str">
        <f t="shared" ca="1" si="1"/>
        <v>MBM</v>
      </c>
      <c r="C275" s="23" t="str">
        <f ca="1">IFERROR(__xludf.DUMMYFUNCTION("""COMPUTED_VALUE"""),"MBM39")</f>
        <v>MBM39</v>
      </c>
      <c r="D275" s="6" t="str">
        <f ca="1">IFERROR(__xludf.DUMMYFUNCTION("""COMPUTED_VALUE"""),"PROPIOS")</f>
        <v>PROPIOS</v>
      </c>
      <c r="E275" s="6">
        <f ca="1">IFERROR(__xludf.DUMMYFUNCTION("""COMPUTED_VALUE"""),2026)</f>
        <v>2026</v>
      </c>
      <c r="F275" s="15">
        <f ca="1">IFERROR(__xludf.DUMMYFUNCTION("""COMPUTED_VALUE"""),2)</f>
        <v>2</v>
      </c>
      <c r="G275" s="6" t="str">
        <f ca="1">IFERROR(__xludf.DUMMYFUNCTION("""COMPUTED_VALUE"""),"Madrid- Juan Bravo")</f>
        <v>Madrid- Juan Bravo</v>
      </c>
      <c r="H275" s="6" t="str">
        <f ca="1">IFERROR(__xludf.DUMMYFUNCTION("""COMPUTED_VALUE"""),"C202612812503320736")</f>
        <v>C202612812503320736</v>
      </c>
      <c r="I275" s="6" t="str">
        <f ca="1">IFERROR(__xludf.DUMMYFUNCTION("""COMPUTED_VALUE"""),"PILAR  GARCIA VALDE-CASAS VALVERDE")</f>
        <v>PILAR  GARCIA VALDE-CASAS VALVERDE</v>
      </c>
      <c r="J275" s="16">
        <f ca="1">IFERROR(__xludf.DUMMYFUNCTION("""COMPUTED_VALUE"""),46050)</f>
        <v>46050</v>
      </c>
      <c r="K275" s="6" t="str">
        <f ca="1">IFERROR(__xludf.DUMMYFUNCTION("""COMPUTED_VALUE"""),"Factura audífonos")</f>
        <v>Factura audífonos</v>
      </c>
      <c r="L275" s="16">
        <f ca="1">IFERROR(__xludf.DUMMYFUNCTION("""COMPUTED_VALUE"""),46080)</f>
        <v>46080</v>
      </c>
      <c r="M275" s="17" t="str">
        <f ca="1">IFERROR(__xludf.DUMMYFUNCTION("""COMPUTED_VALUE"""),"NO")</f>
        <v>NO</v>
      </c>
      <c r="N275" s="15">
        <f ca="1">IFERROR(__xludf.DUMMYFUNCTION("""COMPUTED_VALUE"""),2)</f>
        <v>2</v>
      </c>
      <c r="O275" s="17" t="str">
        <f ca="1">IFERROR(__xludf.DUMMYFUNCTION("""COMPUTED_VALUE"""),"CONFORT")</f>
        <v>CONFORT</v>
      </c>
      <c r="P275" s="21">
        <f ca="1">IFERROR(__xludf.DUMMYFUNCTION("""COMPUTED_VALUE"""),3631.82)</f>
        <v>3631.82</v>
      </c>
      <c r="Q275" s="6" t="str">
        <f ca="1">IFERROR(__xludf.DUMMYFUNCTION("""COMPUTED_VALUE"""),"Maika Blázquez")</f>
        <v>Maika Blázquez</v>
      </c>
      <c r="R275" s="6" t="str">
        <f ca="1">IFERROR(__xludf.DUMMYFUNCTION("""COMPUTED_VALUE"""),"Javier García Domínguez")</f>
        <v>Javier García Domínguez</v>
      </c>
      <c r="S275" s="20" t="str">
        <f ca="1">IFERROR(__xludf.DUMMYFUNCTION("""COMPUTED_VALUE"""),"03 ORL")</f>
        <v>03 ORL</v>
      </c>
      <c r="T275" s="6" t="str">
        <f ca="1">IFERROR(__xludf.DUMMYFUNCTION("""COMPUTED_VALUE"""),"06 ORL")</f>
        <v>06 ORL</v>
      </c>
      <c r="U275" s="21"/>
      <c r="W275" s="21"/>
      <c r="X275" s="21"/>
    </row>
    <row r="276" spans="2:24" ht="16">
      <c r="B276" s="14" t="str">
        <f t="shared" ca="1" si="1"/>
        <v>MBM</v>
      </c>
      <c r="C276" s="23" t="str">
        <f ca="1">IFERROR(__xludf.DUMMYFUNCTION("""COMPUTED_VALUE"""),"MBM113")</f>
        <v>MBM113</v>
      </c>
      <c r="D276" s="6" t="str">
        <f ca="1">IFERROR(__xludf.DUMMYFUNCTION("""COMPUTED_VALUE"""),"PROPIOS")</f>
        <v>PROPIOS</v>
      </c>
      <c r="E276" s="6">
        <f ca="1">IFERROR(__xludf.DUMMYFUNCTION("""COMPUTED_VALUE"""),2026)</f>
        <v>2026</v>
      </c>
      <c r="F276" s="15">
        <f ca="1">IFERROR(__xludf.DUMMYFUNCTION("""COMPUTED_VALUE"""),2)</f>
        <v>2</v>
      </c>
      <c r="G276" s="6" t="str">
        <f ca="1">IFERROR(__xludf.DUMMYFUNCTION("""COMPUTED_VALUE"""),"Fuenlabrada")</f>
        <v>Fuenlabrada</v>
      </c>
      <c r="H276" s="6" t="str">
        <f ca="1">IFERROR(__xludf.DUMMYFUNCTION("""COMPUTED_VALUE"""),"C202612912135937734")</f>
        <v>C202612912135937734</v>
      </c>
      <c r="I276" s="6" t="str">
        <f ca="1">IFERROR(__xludf.DUMMYFUNCTION("""COMPUTED_VALUE"""),"MARIA LUISA GARCIA GARCIA")</f>
        <v>MARIA LUISA GARCIA GARCIA</v>
      </c>
      <c r="J276" s="16">
        <f ca="1">IFERROR(__xludf.DUMMYFUNCTION("""COMPUTED_VALUE"""),46051)</f>
        <v>46051</v>
      </c>
      <c r="K276" s="6" t="str">
        <f ca="1">IFERROR(__xludf.DUMMYFUNCTION("""COMPUTED_VALUE"""),"Factura audífonos")</f>
        <v>Factura audífonos</v>
      </c>
      <c r="L276" s="16">
        <f ca="1">IFERROR(__xludf.DUMMYFUNCTION("""COMPUTED_VALUE"""),46080)</f>
        <v>46080</v>
      </c>
      <c r="M276" s="23" t="str">
        <f ca="1">IFERROR(__xludf.DUMMYFUNCTION("""COMPUTED_VALUE"""),"NO")</f>
        <v>NO</v>
      </c>
      <c r="N276" s="15">
        <f ca="1">IFERROR(__xludf.DUMMYFUNCTION("""COMPUTED_VALUE"""),2)</f>
        <v>2</v>
      </c>
      <c r="O276" s="23" t="str">
        <f ca="1">IFERROR(__xludf.DUMMYFUNCTION("""COMPUTED_VALUE"""),"CONFORT")</f>
        <v>CONFORT</v>
      </c>
      <c r="P276" s="21">
        <f ca="1">IFERROR(__xludf.DUMMYFUNCTION("""COMPUTED_VALUE"""),3636.36)</f>
        <v>3636.36</v>
      </c>
      <c r="Q276" s="6" t="str">
        <f ca="1">IFERROR(__xludf.DUMMYFUNCTION("""COMPUTED_VALUE"""),"Maika Blázquez")</f>
        <v>Maika Blázquez</v>
      </c>
      <c r="R276" s="6" t="str">
        <f ca="1">IFERROR(__xludf.DUMMYFUNCTION("""COMPUTED_VALUE"""),"Estefania Miranda Sánchez")</f>
        <v>Estefania Miranda Sánchez</v>
      </c>
      <c r="S276" s="20" t="str">
        <f ca="1">IFERROR(__xludf.DUMMYFUNCTION("""COMPUTED_VALUE"""),"03 ORL")</f>
        <v>03 ORL</v>
      </c>
      <c r="T276" s="6" t="str">
        <f ca="1">IFERROR(__xludf.DUMMYFUNCTION("""COMPUTED_VALUE"""),"06 ORL")</f>
        <v>06 ORL</v>
      </c>
      <c r="U276" s="21"/>
      <c r="W276" s="21"/>
      <c r="X276" s="21"/>
    </row>
    <row r="277" spans="2:24" ht="16">
      <c r="B277" s="14" t="str">
        <f t="shared" ca="1" si="1"/>
        <v>MBM</v>
      </c>
      <c r="C277" s="23" t="str">
        <f ca="1">IFERROR(__xludf.DUMMYFUNCTION("""COMPUTED_VALUE"""),"MBM218")</f>
        <v>MBM218</v>
      </c>
      <c r="D277" s="6" t="str">
        <f ca="1">IFERROR(__xludf.DUMMYFUNCTION("""COMPUTED_VALUE"""),"PROPIOS")</f>
        <v>PROPIOS</v>
      </c>
      <c r="E277" s="6">
        <f ca="1">IFERROR(__xludf.DUMMYFUNCTION("""COMPUTED_VALUE"""),2026)</f>
        <v>2026</v>
      </c>
      <c r="F277" s="15">
        <f ca="1">IFERROR(__xludf.DUMMYFUNCTION("""COMPUTED_VALUE"""),2)</f>
        <v>2</v>
      </c>
      <c r="G277" s="6" t="str">
        <f ca="1">IFERROR(__xludf.DUMMYFUNCTION("""COMPUTED_VALUE"""),"Madrid- Juan Bravo")</f>
        <v>Madrid- Juan Bravo</v>
      </c>
      <c r="H277" s="6" t="str">
        <f ca="1">IFERROR(__xludf.DUMMYFUNCTION("""COMPUTED_VALUE"""),"C202612612247030125")</f>
        <v>C202612612247030125</v>
      </c>
      <c r="I277" s="6" t="str">
        <f ca="1">IFERROR(__xludf.DUMMYFUNCTION("""COMPUTED_VALUE"""),"ANA MARIA  RAMIRO LANCHAS")</f>
        <v>ANA MARIA  RAMIRO LANCHAS</v>
      </c>
      <c r="J277" s="16">
        <f ca="1">IFERROR(__xludf.DUMMYFUNCTION("""COMPUTED_VALUE"""),46048)</f>
        <v>46048</v>
      </c>
      <c r="K277" s="6" t="str">
        <f ca="1">IFERROR(__xludf.DUMMYFUNCTION("""COMPUTED_VALUE"""),"Factura audífonos")</f>
        <v>Factura audífonos</v>
      </c>
      <c r="L277" s="16">
        <f ca="1">IFERROR(__xludf.DUMMYFUNCTION("""COMPUTED_VALUE"""),46080)</f>
        <v>46080</v>
      </c>
      <c r="M277" s="23" t="str">
        <f ca="1">IFERROR(__xludf.DUMMYFUNCTION("""COMPUTED_VALUE"""),"NO")</f>
        <v>NO</v>
      </c>
      <c r="N277" s="15">
        <f ca="1">IFERROR(__xludf.DUMMYFUNCTION("""COMPUTED_VALUE"""),1)</f>
        <v>1</v>
      </c>
      <c r="O277" s="23" t="str">
        <f ca="1">IFERROR(__xludf.DUMMYFUNCTION("""COMPUTED_VALUE"""),"CONFORT")</f>
        <v>CONFORT</v>
      </c>
      <c r="P277" s="21">
        <f ca="1">IFERROR(__xludf.DUMMYFUNCTION("""COMPUTED_VALUE"""),2180.91)</f>
        <v>2180.91</v>
      </c>
      <c r="Q277" s="6" t="str">
        <f ca="1">IFERROR(__xludf.DUMMYFUNCTION("""COMPUTED_VALUE"""),"Maika Blázquez")</f>
        <v>Maika Blázquez</v>
      </c>
      <c r="R277" s="6" t="str">
        <f ca="1">IFERROR(__xludf.DUMMYFUNCTION("""COMPUTED_VALUE"""),"María Montserrat Asensi Díaz")</f>
        <v>María Montserrat Asensi Díaz</v>
      </c>
      <c r="S277" s="20" t="str">
        <f ca="1">IFERROR(__xludf.DUMMYFUNCTION("""COMPUTED_VALUE"""),"03 ORL")</f>
        <v>03 ORL</v>
      </c>
      <c r="T277" s="6" t="str">
        <f ca="1">IFERROR(__xludf.DUMMYFUNCTION("""COMPUTED_VALUE"""),"06 ORL")</f>
        <v>06 ORL</v>
      </c>
      <c r="U277" s="21"/>
      <c r="W277" s="21"/>
      <c r="X277" s="21"/>
    </row>
    <row r="278" spans="2:24" ht="16">
      <c r="B278" s="14" t="str">
        <f t="shared" ca="1" si="1"/>
        <v>ISL</v>
      </c>
      <c r="C278" s="23" t="str">
        <f ca="1">IFERROR(__xludf.DUMMYFUNCTION("""COMPUTED_VALUE"""),"ISL23")</f>
        <v>ISL23</v>
      </c>
      <c r="D278" s="6" t="str">
        <f ca="1">IFERROR(__xludf.DUMMYFUNCTION("""COMPUTED_VALUE"""),"PROPIOS")</f>
        <v>PROPIOS</v>
      </c>
      <c r="E278" s="6">
        <f ca="1">IFERROR(__xludf.DUMMYFUNCTION("""COMPUTED_VALUE"""),2026)</f>
        <v>2026</v>
      </c>
      <c r="F278" s="15">
        <f ca="1">IFERROR(__xludf.DUMMYFUNCTION("""COMPUTED_VALUE"""),2)</f>
        <v>2</v>
      </c>
      <c r="G278" s="6" t="str">
        <f ca="1">IFERROR(__xludf.DUMMYFUNCTION("""COMPUTED_VALUE"""),"Murcia")</f>
        <v>Murcia</v>
      </c>
      <c r="H278" s="6" t="str">
        <f ca="1">IFERROR(__xludf.DUMMYFUNCTION("""COMPUTED_VALUE"""),"MUR-1648")</f>
        <v>MUR-1648</v>
      </c>
      <c r="I278" s="6" t="str">
        <f ca="1">IFERROR(__xludf.DUMMYFUNCTION("""COMPUTED_VALUE"""),"CLAUDIA MARIA ARAUJO DE OLIVEIRA")</f>
        <v>CLAUDIA MARIA ARAUJO DE OLIVEIRA</v>
      </c>
      <c r="J278" s="16">
        <f ca="1">IFERROR(__xludf.DUMMYFUNCTION("""COMPUTED_VALUE"""),45209)</f>
        <v>45209</v>
      </c>
      <c r="K278" s="6" t="str">
        <f ca="1">IFERROR(__xludf.DUMMYFUNCTION("""COMPUTED_VALUE"""),"Factura audífonos")</f>
        <v>Factura audífonos</v>
      </c>
      <c r="L278" s="16">
        <f ca="1">IFERROR(__xludf.DUMMYFUNCTION("""COMPUTED_VALUE"""),46080)</f>
        <v>46080</v>
      </c>
      <c r="M278" s="23" t="str">
        <f ca="1">IFERROR(__xludf.DUMMYFUNCTION("""COMPUTED_VALUE"""),"NO")</f>
        <v>NO</v>
      </c>
      <c r="N278" s="15">
        <f ca="1">IFERROR(__xludf.DUMMYFUNCTION("""COMPUTED_VALUE"""),1)</f>
        <v>1</v>
      </c>
      <c r="O278" s="23" t="str">
        <f ca="1">IFERROR(__xludf.DUMMYFUNCTION("""COMPUTED_VALUE"""),"ADVANCED")</f>
        <v>ADVANCED</v>
      </c>
      <c r="P278" s="21">
        <f ca="1">IFERROR(__xludf.DUMMYFUNCTION("""COMPUTED_VALUE"""),2481.82)</f>
        <v>2481.8200000000002</v>
      </c>
      <c r="Q278" s="6" t="str">
        <f ca="1">IFERROR(__xludf.DUMMYFUNCTION("""COMPUTED_VALUE"""),"Iván Sánchez")</f>
        <v>Iván Sánchez</v>
      </c>
      <c r="R278" s="6" t="str">
        <f ca="1">IFERROR(__xludf.DUMMYFUNCTION("""COMPUTED_VALUE"""),"Enrique García Zamora")</f>
        <v>Enrique García Zamora</v>
      </c>
      <c r="S278" s="20" t="str">
        <f ca="1">IFERROR(__xludf.DUMMYFUNCTION("""COMPUTED_VALUE"""),"03 ORL")</f>
        <v>03 ORL</v>
      </c>
      <c r="T278" s="6" t="str">
        <f ca="1">IFERROR(__xludf.DUMMYFUNCTION("""COMPUTED_VALUE"""),"06 ORL")</f>
        <v>06 ORL</v>
      </c>
      <c r="U278" s="21"/>
      <c r="W278" s="21"/>
      <c r="X278" s="21"/>
    </row>
    <row r="279" spans="2:24" ht="16">
      <c r="B279" s="14" t="str">
        <f t="shared" ca="1" si="1"/>
        <v>LAA</v>
      </c>
      <c r="C279" s="23" t="str">
        <f ca="1">IFERROR(__xludf.DUMMYFUNCTION("""COMPUTED_VALUE"""),"LAA72")</f>
        <v>LAA72</v>
      </c>
      <c r="D279" s="6" t="str">
        <f ca="1">IFERROR(__xludf.DUMMYFUNCTION("""COMPUTED_VALUE"""),"PROPIOS")</f>
        <v>PROPIOS</v>
      </c>
      <c r="E279" s="6">
        <f ca="1">IFERROR(__xludf.DUMMYFUNCTION("""COMPUTED_VALUE"""),2026)</f>
        <v>2026</v>
      </c>
      <c r="F279" s="15">
        <f ca="1">IFERROR(__xludf.DUMMYFUNCTION("""COMPUTED_VALUE"""),2)</f>
        <v>2</v>
      </c>
      <c r="G279" s="6" t="str">
        <f ca="1">IFERROR(__xludf.DUMMYFUNCTION("""COMPUTED_VALUE"""),"Jerez de la Frontera")</f>
        <v>Jerez de la Frontera</v>
      </c>
      <c r="H279" s="6" t="str">
        <f ca="1">IFERROR(__xludf.DUMMYFUNCTION("""COMPUTED_VALUE"""),"C202612312493748894")</f>
        <v>C202612312493748894</v>
      </c>
      <c r="I279" s="6" t="str">
        <f ca="1">IFERROR(__xludf.DUMMYFUNCTION("""COMPUTED_VALUE"""),"PAQUI ALPRESA GAMEZ")</f>
        <v>PAQUI ALPRESA GAMEZ</v>
      </c>
      <c r="J279" s="16">
        <f ca="1">IFERROR(__xludf.DUMMYFUNCTION("""COMPUTED_VALUE"""),46045)</f>
        <v>46045</v>
      </c>
      <c r="K279" s="6" t="str">
        <f ca="1">IFERROR(__xludf.DUMMYFUNCTION("""COMPUTED_VALUE"""),"Factura audífonos")</f>
        <v>Factura audífonos</v>
      </c>
      <c r="L279" s="16">
        <f ca="1">IFERROR(__xludf.DUMMYFUNCTION("""COMPUTED_VALUE"""),46080)</f>
        <v>46080</v>
      </c>
      <c r="M279" s="17" t="str">
        <f ca="1">IFERROR(__xludf.DUMMYFUNCTION("""COMPUTED_VALUE"""),"NO")</f>
        <v>NO</v>
      </c>
      <c r="N279" s="15">
        <f ca="1">IFERROR(__xludf.DUMMYFUNCTION("""COMPUTED_VALUE"""),1)</f>
        <v>1</v>
      </c>
      <c r="O279" s="17" t="str">
        <f ca="1">IFERROR(__xludf.DUMMYFUNCTION("""COMPUTED_VALUE"""),"ADVANCED")</f>
        <v>ADVANCED</v>
      </c>
      <c r="P279" s="21">
        <f ca="1">IFERROR(__xludf.DUMMYFUNCTION("""COMPUTED_VALUE"""),2481.82)</f>
        <v>2481.8200000000002</v>
      </c>
      <c r="Q279" s="6" t="str">
        <f ca="1">IFERROR(__xludf.DUMMYFUNCTION("""COMPUTED_VALUE"""),"Luis Alberto Rodríguez")</f>
        <v>Luis Alberto Rodríguez</v>
      </c>
      <c r="R279" s="6" t="str">
        <f ca="1">IFERROR(__xludf.DUMMYFUNCTION("""COMPUTED_VALUE"""),"Vicente Mira Escartí")</f>
        <v>Vicente Mira Escartí</v>
      </c>
      <c r="S279" s="20" t="str">
        <f ca="1">IFERROR(__xludf.DUMMYFUNCTION("""COMPUTED_VALUE"""),"03 ORL")</f>
        <v>03 ORL</v>
      </c>
      <c r="T279" s="6" t="str">
        <f ca="1">IFERROR(__xludf.DUMMYFUNCTION("""COMPUTED_VALUE"""),"06 ORL")</f>
        <v>06 ORL</v>
      </c>
      <c r="U279" s="21"/>
      <c r="W279" s="21"/>
      <c r="X279" s="21"/>
    </row>
    <row r="280" spans="2:24" ht="16">
      <c r="B280" s="14" t="str">
        <f t="shared" ca="1" si="1"/>
        <v>MBM</v>
      </c>
      <c r="C280" s="23" t="str">
        <f ca="1">IFERROR(__xludf.DUMMYFUNCTION("""COMPUTED_VALUE"""),"MBM184")</f>
        <v>MBM184</v>
      </c>
      <c r="D280" s="6" t="str">
        <f ca="1">IFERROR(__xludf.DUMMYFUNCTION("""COMPUTED_VALUE"""),"PROPIOS")</f>
        <v>PROPIOS</v>
      </c>
      <c r="E280" s="6">
        <f ca="1">IFERROR(__xludf.DUMMYFUNCTION("""COMPUTED_VALUE"""),2026)</f>
        <v>2026</v>
      </c>
      <c r="F280" s="15">
        <f ca="1">IFERROR(__xludf.DUMMYFUNCTION("""COMPUTED_VALUE"""),2)</f>
        <v>2</v>
      </c>
      <c r="G280" s="6" t="str">
        <f ca="1">IFERROR(__xludf.DUMMYFUNCTION("""COMPUTED_VALUE"""),"Madrid- Monforte de Lemos")</f>
        <v>Madrid- Monforte de Lemos</v>
      </c>
      <c r="H280" s="6" t="str">
        <f ca="1">IFERROR(__xludf.DUMMYFUNCTION("""COMPUTED_VALUE"""),"C202511271747274571")</f>
        <v>C202511271747274571</v>
      </c>
      <c r="I280" s="6" t="str">
        <f ca="1">IFERROR(__xludf.DUMMYFUNCTION("""COMPUTED_VALUE"""),"MARIA ANGELES HERNANDO GONZALEZ")</f>
        <v>MARIA ANGELES HERNANDO GONZALEZ</v>
      </c>
      <c r="J280" s="16">
        <f ca="1">IFERROR(__xludf.DUMMYFUNCTION("""COMPUTED_VALUE"""),45988)</f>
        <v>45988</v>
      </c>
      <c r="K280" s="6" t="str">
        <f ca="1">IFERROR(__xludf.DUMMYFUNCTION("""COMPUTED_VALUE"""),"Factura audífonos")</f>
        <v>Factura audífonos</v>
      </c>
      <c r="L280" s="16">
        <f ca="1">IFERROR(__xludf.DUMMYFUNCTION("""COMPUTED_VALUE"""),46080)</f>
        <v>46080</v>
      </c>
      <c r="M280" s="23" t="str">
        <f ca="1">IFERROR(__xludf.DUMMYFUNCTION("""COMPUTED_VALUE"""),"NO")</f>
        <v>NO</v>
      </c>
      <c r="N280" s="15">
        <f ca="1">IFERROR(__xludf.DUMMYFUNCTION("""COMPUTED_VALUE"""),2)</f>
        <v>2</v>
      </c>
      <c r="O280" s="23" t="str">
        <f ca="1">IFERROR(__xludf.DUMMYFUNCTION("""COMPUTED_VALUE"""),"CONFORT")</f>
        <v>CONFORT</v>
      </c>
      <c r="P280" s="21">
        <f ca="1">IFERROR(__xludf.DUMMYFUNCTION("""COMPUTED_VALUE"""),3631.82)</f>
        <v>3631.82</v>
      </c>
      <c r="Q280" s="6" t="str">
        <f ca="1">IFERROR(__xludf.DUMMYFUNCTION("""COMPUTED_VALUE"""),"Maika Blázquez")</f>
        <v>Maika Blázquez</v>
      </c>
      <c r="R280" s="6" t="str">
        <f ca="1">IFERROR(__xludf.DUMMYFUNCTION("""COMPUTED_VALUE"""),"Victoria García Peces")</f>
        <v>Victoria García Peces</v>
      </c>
      <c r="S280" s="20" t="str">
        <f ca="1">IFERROR(__xludf.DUMMYFUNCTION("""COMPUTED_VALUE"""),"03 ORL")</f>
        <v>03 ORL</v>
      </c>
      <c r="T280" s="6" t="str">
        <f ca="1">IFERROR(__xludf.DUMMYFUNCTION("""COMPUTED_VALUE"""),"06 ORL")</f>
        <v>06 ORL</v>
      </c>
      <c r="U280" s="21"/>
      <c r="W280" s="21"/>
      <c r="X280" s="21"/>
    </row>
    <row r="281" spans="2:24" ht="16">
      <c r="B281" s="14" t="str">
        <f t="shared" ca="1" si="1"/>
        <v>MBM</v>
      </c>
      <c r="C281" s="23" t="str">
        <f ca="1">IFERROR(__xludf.DUMMYFUNCTION("""COMPUTED_VALUE"""),"MBM18")</f>
        <v>MBM18</v>
      </c>
      <c r="D281" s="6" t="str">
        <f ca="1">IFERROR(__xludf.DUMMYFUNCTION("""COMPUTED_VALUE"""),"PROPIOS")</f>
        <v>PROPIOS</v>
      </c>
      <c r="E281" s="6">
        <f ca="1">IFERROR(__xludf.DUMMYFUNCTION("""COMPUTED_VALUE"""),2026)</f>
        <v>2026</v>
      </c>
      <c r="F281" s="15">
        <f ca="1">IFERROR(__xludf.DUMMYFUNCTION("""COMPUTED_VALUE"""),2)</f>
        <v>2</v>
      </c>
      <c r="G281" s="6" t="str">
        <f ca="1">IFERROR(__xludf.DUMMYFUNCTION("""COMPUTED_VALUE"""),"Madrid- Moratalaz")</f>
        <v>Madrid- Moratalaz</v>
      </c>
      <c r="H281" s="6" t="str">
        <f ca="1">IFERROR(__xludf.DUMMYFUNCTION("""COMPUTED_VALUE"""),"C202621816453016654")</f>
        <v>C202621816453016654</v>
      </c>
      <c r="I281" s="6" t="str">
        <f ca="1">IFERROR(__xludf.DUMMYFUNCTION("""COMPUTED_VALUE"""),"GERMANIA AMERICA VEGA QUINDE")</f>
        <v>GERMANIA AMERICA VEGA QUINDE</v>
      </c>
      <c r="J281" s="16">
        <f ca="1">IFERROR(__xludf.DUMMYFUNCTION("""COMPUTED_VALUE"""),46071)</f>
        <v>46071</v>
      </c>
      <c r="K281" s="6" t="str">
        <f ca="1">IFERROR(__xludf.DUMMYFUNCTION("""COMPUTED_VALUE"""),"Factura audífonos")</f>
        <v>Factura audífonos</v>
      </c>
      <c r="L281" s="16">
        <f ca="1">IFERROR(__xludf.DUMMYFUNCTION("""COMPUTED_VALUE"""),46080)</f>
        <v>46080</v>
      </c>
      <c r="M281" s="23" t="str">
        <f ca="1">IFERROR(__xludf.DUMMYFUNCTION("""COMPUTED_VALUE"""),"NO")</f>
        <v>NO</v>
      </c>
      <c r="N281" s="15">
        <f ca="1">IFERROR(__xludf.DUMMYFUNCTION("""COMPUTED_VALUE"""),2)</f>
        <v>2</v>
      </c>
      <c r="O281" s="23" t="str">
        <f ca="1">IFERROR(__xludf.DUMMYFUNCTION("""COMPUTED_VALUE"""),"SOCIAL")</f>
        <v>SOCIAL</v>
      </c>
      <c r="P281" s="21">
        <f ca="1">IFERROR(__xludf.DUMMYFUNCTION("""COMPUTED_VALUE"""),2263.64)</f>
        <v>2263.64</v>
      </c>
      <c r="Q281" s="6" t="str">
        <f ca="1">IFERROR(__xludf.DUMMYFUNCTION("""COMPUTED_VALUE"""),"Maika Blázquez")</f>
        <v>Maika Blázquez</v>
      </c>
      <c r="R281" s="6" t="str">
        <f ca="1">IFERROR(__xludf.DUMMYFUNCTION("""COMPUTED_VALUE"""),"Esteban Scola Pliego")</f>
        <v>Esteban Scola Pliego</v>
      </c>
      <c r="S281" s="20" t="str">
        <f ca="1">IFERROR(__xludf.DUMMYFUNCTION("""COMPUTED_VALUE"""),"03 ORL")</f>
        <v>03 ORL</v>
      </c>
      <c r="T281" s="6" t="str">
        <f ca="1">IFERROR(__xludf.DUMMYFUNCTION("""COMPUTED_VALUE"""),"06 ORL")</f>
        <v>06 ORL</v>
      </c>
      <c r="U281" s="21"/>
      <c r="W281" s="21"/>
      <c r="X281" s="21"/>
    </row>
    <row r="282" spans="2:24" ht="16">
      <c r="B282" s="14" t="str">
        <f t="shared" ca="1" si="1"/>
        <v>RFV</v>
      </c>
      <c r="C282" s="23" t="str">
        <f ca="1">IFERROR(__xludf.DUMMYFUNCTION("""COMPUTED_VALUE"""),"RFV26")</f>
        <v>RFV26</v>
      </c>
      <c r="D282" s="6" t="str">
        <f ca="1">IFERROR(__xludf.DUMMYFUNCTION("""COMPUTED_VALUE"""),"PROPIOS")</f>
        <v>PROPIOS</v>
      </c>
      <c r="E282" s="6">
        <f ca="1">IFERROR(__xludf.DUMMYFUNCTION("""COMPUTED_VALUE"""),2026)</f>
        <v>2026</v>
      </c>
      <c r="F282" s="15">
        <f ca="1">IFERROR(__xludf.DUMMYFUNCTION("""COMPUTED_VALUE"""),2)</f>
        <v>2</v>
      </c>
      <c r="G282" s="6" t="str">
        <f ca="1">IFERROR(__xludf.DUMMYFUNCTION("""COMPUTED_VALUE"""),"Valencia- Cádiz")</f>
        <v>Valencia- Cádiz</v>
      </c>
      <c r="H282" s="6" t="str">
        <f ca="1">IFERROR(__xludf.DUMMYFUNCTION("""COMPUTED_VALUE"""),"C202612094313079021")</f>
        <v>C202612094313079021</v>
      </c>
      <c r="I282" s="6" t="str">
        <f ca="1">IFERROR(__xludf.DUMMYFUNCTION("""COMPUTED_VALUE"""),"JUAN GOMEZ CAPUZ")</f>
        <v>JUAN GOMEZ CAPUZ</v>
      </c>
      <c r="J282" s="16">
        <f ca="1">IFERROR(__xludf.DUMMYFUNCTION("""COMPUTED_VALUE"""),46042)</f>
        <v>46042</v>
      </c>
      <c r="K282" s="6" t="str">
        <f ca="1">IFERROR(__xludf.DUMMYFUNCTION("""COMPUTED_VALUE"""),"Factura audífonos")</f>
        <v>Factura audífonos</v>
      </c>
      <c r="L282" s="16">
        <f ca="1">IFERROR(__xludf.DUMMYFUNCTION("""COMPUTED_VALUE"""),46080)</f>
        <v>46080</v>
      </c>
      <c r="M282" s="17" t="str">
        <f ca="1">IFERROR(__xludf.DUMMYFUNCTION("""COMPUTED_VALUE"""),"NO")</f>
        <v>NO</v>
      </c>
      <c r="N282" s="15">
        <f ca="1">IFERROR(__xludf.DUMMYFUNCTION("""COMPUTED_VALUE"""),2)</f>
        <v>2</v>
      </c>
      <c r="O282" s="23" t="str">
        <f ca="1">IFERROR(__xludf.DUMMYFUNCTION("""COMPUTED_VALUE"""),"ADVANCED")</f>
        <v>ADVANCED</v>
      </c>
      <c r="P282" s="21">
        <f ca="1">IFERROR(__xludf.DUMMYFUNCTION("""COMPUTED_VALUE"""),4136.36)</f>
        <v>4136.3599999999997</v>
      </c>
      <c r="Q282" s="6" t="str">
        <f ca="1">IFERROR(__xludf.DUMMYFUNCTION("""COMPUTED_VALUE"""),"Ramon Ferrando")</f>
        <v>Ramon Ferrando</v>
      </c>
      <c r="R282" s="6" t="str">
        <f ca="1">IFERROR(__xludf.DUMMYFUNCTION("""COMPUTED_VALUE"""),"Ainhoa García-Lliberos de Miguel")</f>
        <v>Ainhoa García-Lliberos de Miguel</v>
      </c>
      <c r="S282" s="20" t="str">
        <f ca="1">IFERROR(__xludf.DUMMYFUNCTION("""COMPUTED_VALUE"""),"03 ORL")</f>
        <v>03 ORL</v>
      </c>
      <c r="T282" s="6" t="str">
        <f ca="1">IFERROR(__xludf.DUMMYFUNCTION("""COMPUTED_VALUE"""),"06 ORL")</f>
        <v>06 ORL</v>
      </c>
      <c r="U282" s="21"/>
      <c r="W282" s="21"/>
      <c r="X282" s="21"/>
    </row>
    <row r="283" spans="2:24" ht="16">
      <c r="B283" s="14" t="str">
        <f t="shared" ca="1" si="1"/>
        <v>RFV</v>
      </c>
      <c r="C283" s="23" t="str">
        <f ca="1">IFERROR(__xludf.DUMMYFUNCTION("""COMPUTED_VALUE"""),"RFV08")</f>
        <v>RFV08</v>
      </c>
      <c r="D283" s="6" t="str">
        <f ca="1">IFERROR(__xludf.DUMMYFUNCTION("""COMPUTED_VALUE"""),"PROPIOS")</f>
        <v>PROPIOS</v>
      </c>
      <c r="E283" s="6">
        <f ca="1">IFERROR(__xludf.DUMMYFUNCTION("""COMPUTED_VALUE"""),2026)</f>
        <v>2026</v>
      </c>
      <c r="F283" s="15">
        <f ca="1">IFERROR(__xludf.DUMMYFUNCTION("""COMPUTED_VALUE"""),2)</f>
        <v>2</v>
      </c>
      <c r="G283" s="6" t="str">
        <f ca="1">IFERROR(__xludf.DUMMYFUNCTION("""COMPUTED_VALUE"""),"Valencia- Cádiz")</f>
        <v>Valencia- Cádiz</v>
      </c>
      <c r="H283" s="6" t="str">
        <f ca="1">IFERROR(__xludf.DUMMYFUNCTION("""COMPUTED_VALUE"""),"C202618174141196214")</f>
        <v>C202618174141196214</v>
      </c>
      <c r="I283" s="6" t="str">
        <f ca="1">IFERROR(__xludf.DUMMYFUNCTION("""COMPUTED_VALUE"""),"RAUL PASTOR MIRALLES")</f>
        <v>RAUL PASTOR MIRALLES</v>
      </c>
      <c r="J283" s="16">
        <f ca="1">IFERROR(__xludf.DUMMYFUNCTION("""COMPUTED_VALUE"""),46030)</f>
        <v>46030</v>
      </c>
      <c r="K283" s="6" t="str">
        <f ca="1">IFERROR(__xludf.DUMMYFUNCTION("""COMPUTED_VALUE"""),"Factura audífonos")</f>
        <v>Factura audífonos</v>
      </c>
      <c r="L283" s="16">
        <f ca="1">IFERROR(__xludf.DUMMYFUNCTION("""COMPUTED_VALUE"""),46080)</f>
        <v>46080</v>
      </c>
      <c r="M283" s="17" t="str">
        <f ca="1">IFERROR(__xludf.DUMMYFUNCTION("""COMPUTED_VALUE"""),"NO")</f>
        <v>NO</v>
      </c>
      <c r="N283" s="15">
        <f ca="1">IFERROR(__xludf.DUMMYFUNCTION("""COMPUTED_VALUE"""),1)</f>
        <v>1</v>
      </c>
      <c r="O283" s="23" t="str">
        <f ca="1">IFERROR(__xludf.DUMMYFUNCTION("""COMPUTED_VALUE"""),"ADVANCED")</f>
        <v>ADVANCED</v>
      </c>
      <c r="P283" s="21">
        <f ca="1">IFERROR(__xludf.DUMMYFUNCTION("""COMPUTED_VALUE"""),2481.82)</f>
        <v>2481.8200000000002</v>
      </c>
      <c r="Q283" s="6" t="str">
        <f ca="1">IFERROR(__xludf.DUMMYFUNCTION("""COMPUTED_VALUE"""),"Ramon Ferrando")</f>
        <v>Ramon Ferrando</v>
      </c>
      <c r="R283" s="6" t="str">
        <f ca="1">IFERROR(__xludf.DUMMYFUNCTION("""COMPUTED_VALUE"""),"Abel Guzmán Calvete")</f>
        <v>Abel Guzmán Calvete</v>
      </c>
      <c r="S283" s="20" t="str">
        <f ca="1">IFERROR(__xludf.DUMMYFUNCTION("""COMPUTED_VALUE"""),"03 ORL")</f>
        <v>03 ORL</v>
      </c>
      <c r="T283" s="6" t="str">
        <f ca="1">IFERROR(__xludf.DUMMYFUNCTION("""COMPUTED_VALUE"""),"06 ORL")</f>
        <v>06 ORL</v>
      </c>
      <c r="U283" s="21"/>
      <c r="W283" s="21"/>
      <c r="X283" s="21"/>
    </row>
    <row r="284" spans="2:24" ht="16">
      <c r="B284" s="14" t="str">
        <f t="shared" si="1"/>
        <v/>
      </c>
      <c r="C284" s="23"/>
      <c r="D284" s="6" t="str">
        <f ca="1">IFERROR(__xludf.DUMMYFUNCTION("""COMPUTED_VALUE"""),"PROPIOS")</f>
        <v>PROPIOS</v>
      </c>
      <c r="E284" s="6">
        <f ca="1">IFERROR(__xludf.DUMMYFUNCTION("""COMPUTED_VALUE"""),2026)</f>
        <v>2026</v>
      </c>
      <c r="F284" s="15">
        <f ca="1">IFERROR(__xludf.DUMMYFUNCTION("""COMPUTED_VALUE"""),2)</f>
        <v>2</v>
      </c>
      <c r="G284" s="6" t="str">
        <f ca="1">IFERROR(__xludf.DUMMYFUNCTION("""COMPUTED_VALUE"""),"Valencia- Cádiz")</f>
        <v>Valencia- Cádiz</v>
      </c>
      <c r="H284" s="6" t="str">
        <f ca="1">IFERROR(__xludf.DUMMYFUNCTION("""COMPUTED_VALUE"""),"C202612010474530470")</f>
        <v>C202612010474530470</v>
      </c>
      <c r="I284" s="6" t="str">
        <f ca="1">IFERROR(__xludf.DUMMYFUNCTION("""COMPUTED_VALUE"""),"RAFAEL CORTINA UREÑA")</f>
        <v>RAFAEL CORTINA UREÑA</v>
      </c>
      <c r="J284" s="16">
        <f ca="1">IFERROR(__xludf.DUMMYFUNCTION("""COMPUTED_VALUE"""),46042)</f>
        <v>46042</v>
      </c>
      <c r="K284" s="6" t="str">
        <f ca="1">IFERROR(__xludf.DUMMYFUNCTION("""COMPUTED_VALUE"""),"Factura audífonos")</f>
        <v>Factura audífonos</v>
      </c>
      <c r="L284" s="16">
        <f ca="1">IFERROR(__xludf.DUMMYFUNCTION("""COMPUTED_VALUE"""),46080)</f>
        <v>46080</v>
      </c>
      <c r="M284" s="23" t="str">
        <f ca="1">IFERROR(__xludf.DUMMYFUNCTION("""COMPUTED_VALUE"""),"NO")</f>
        <v>NO</v>
      </c>
      <c r="N284" s="15">
        <f ca="1">IFERROR(__xludf.DUMMYFUNCTION("""COMPUTED_VALUE"""),2)</f>
        <v>2</v>
      </c>
      <c r="O284" s="23" t="str">
        <f ca="1">IFERROR(__xludf.DUMMYFUNCTION("""COMPUTED_VALUE"""),"ADVANCED")</f>
        <v>ADVANCED</v>
      </c>
      <c r="P284" s="21">
        <f ca="1">IFERROR(__xludf.DUMMYFUNCTION("""COMPUTED_VALUE"""),4136.36)</f>
        <v>4136.3599999999997</v>
      </c>
      <c r="Q284" s="6" t="str">
        <f ca="1">IFERROR(__xludf.DUMMYFUNCTION("""COMPUTED_VALUE"""),"Ramon Ferrando")</f>
        <v>Ramon Ferrando</v>
      </c>
      <c r="R284" s="6" t="str">
        <f ca="1">IFERROR(__xludf.DUMMYFUNCTION("""COMPUTED_VALUE"""),"No recuerda ORL")</f>
        <v>No recuerda ORL</v>
      </c>
      <c r="S284" s="20" t="str">
        <f ca="1">IFERROR(__xludf.DUMMYFUNCTION("""COMPUTED_VALUE"""),"03 ORL")</f>
        <v>03 ORL</v>
      </c>
      <c r="T284" s="6" t="str">
        <f ca="1">IFERROR(__xludf.DUMMYFUNCTION("""COMPUTED_VALUE"""),"06 ORL")</f>
        <v>06 ORL</v>
      </c>
      <c r="U284" s="21"/>
      <c r="W284" s="21"/>
      <c r="X284" s="21"/>
    </row>
    <row r="285" spans="2:24" ht="16.5" customHeight="1">
      <c r="B285" s="14" t="str">
        <f t="shared" ca="1" si="1"/>
        <v>MBM</v>
      </c>
      <c r="C285" s="23" t="str">
        <f ca="1">IFERROR(__xludf.DUMMYFUNCTION("""COMPUTED_VALUE"""),"MBM46")</f>
        <v>MBM46</v>
      </c>
      <c r="D285" s="6" t="str">
        <f ca="1">IFERROR(__xludf.DUMMYFUNCTION("""COMPUTED_VALUE"""),"PROPIOS")</f>
        <v>PROPIOS</v>
      </c>
      <c r="E285" s="6">
        <f ca="1">IFERROR(__xludf.DUMMYFUNCTION("""COMPUTED_VALUE"""),2026)</f>
        <v>2026</v>
      </c>
      <c r="F285" s="15">
        <f ca="1">IFERROR(__xludf.DUMMYFUNCTION("""COMPUTED_VALUE"""),2)</f>
        <v>2</v>
      </c>
      <c r="G285" s="6" t="str">
        <f ca="1">IFERROR(__xludf.DUMMYFUNCTION("""COMPUTED_VALUE"""),"Toledo")</f>
        <v>Toledo</v>
      </c>
      <c r="H285" s="6" t="str">
        <f ca="1">IFERROR(__xludf.DUMMYFUNCTION("""COMPUTED_VALUE"""),"C202611910505946252")</f>
        <v>C202611910505946252</v>
      </c>
      <c r="I285" s="6" t="str">
        <f ca="1">IFERROR(__xludf.DUMMYFUNCTION("""COMPUTED_VALUE"""),"Maria Milagros Sanchez Maestre")</f>
        <v>Maria Milagros Sanchez Maestre</v>
      </c>
      <c r="J285" s="16">
        <f ca="1">IFERROR(__xludf.DUMMYFUNCTION("""COMPUTED_VALUE"""),46041)</f>
        <v>46041</v>
      </c>
      <c r="K285" s="6" t="str">
        <f ca="1">IFERROR(__xludf.DUMMYFUNCTION("""COMPUTED_VALUE"""),"Factura audífonos")</f>
        <v>Factura audífonos</v>
      </c>
      <c r="L285" s="16">
        <f ca="1">IFERROR(__xludf.DUMMYFUNCTION("""COMPUTED_VALUE"""),46080)</f>
        <v>46080</v>
      </c>
      <c r="M285" s="23" t="str">
        <f ca="1">IFERROR(__xludf.DUMMYFUNCTION("""COMPUTED_VALUE"""),"NO")</f>
        <v>NO</v>
      </c>
      <c r="N285" s="15">
        <f ca="1">IFERROR(__xludf.DUMMYFUNCTION("""COMPUTED_VALUE"""),2)</f>
        <v>2</v>
      </c>
      <c r="O285" s="23" t="str">
        <f ca="1">IFERROR(__xludf.DUMMYFUNCTION("""COMPUTED_VALUE"""),"QUIET")</f>
        <v>QUIET</v>
      </c>
      <c r="P285" s="21">
        <f ca="1">IFERROR(__xludf.DUMMYFUNCTION("""COMPUTED_VALUE"""),2718.18)</f>
        <v>2718.18</v>
      </c>
      <c r="Q285" s="6" t="str">
        <f ca="1">IFERROR(__xludf.DUMMYFUNCTION("""COMPUTED_VALUE"""),"Maika Blázquez")</f>
        <v>Maika Blázquez</v>
      </c>
      <c r="R285" s="6" t="str">
        <f ca="1">IFERROR(__xludf.DUMMYFUNCTION("""COMPUTED_VALUE"""),"Jonathan Esteban Sánchez")</f>
        <v>Jonathan Esteban Sánchez</v>
      </c>
      <c r="S285" s="20" t="str">
        <f ca="1">IFERROR(__xludf.DUMMYFUNCTION("""COMPUTED_VALUE"""),"03 ORL")</f>
        <v>03 ORL</v>
      </c>
      <c r="T285" s="6" t="str">
        <f ca="1">IFERROR(__xludf.DUMMYFUNCTION("""COMPUTED_VALUE"""),"06 ORL")</f>
        <v>06 ORL</v>
      </c>
      <c r="U285" s="21"/>
      <c r="W285" s="21"/>
      <c r="X285" s="21"/>
    </row>
    <row r="286" spans="2:24" ht="16">
      <c r="B286" s="14" t="str">
        <f t="shared" ca="1" si="1"/>
        <v>LAA</v>
      </c>
      <c r="C286" s="23" t="str">
        <f ca="1">IFERROR(__xludf.DUMMYFUNCTION("""COMPUTED_VALUE"""),"LAA30")</f>
        <v>LAA30</v>
      </c>
      <c r="D286" s="6" t="str">
        <f ca="1">IFERROR(__xludf.DUMMYFUNCTION("""COMPUTED_VALUE"""),"ASOCIADOS")</f>
        <v>ASOCIADOS</v>
      </c>
      <c r="E286" s="6">
        <f ca="1">IFERROR(__xludf.DUMMYFUNCTION("""COMPUTED_VALUE"""),2026)</f>
        <v>2026</v>
      </c>
      <c r="F286" s="15">
        <f ca="1">IFERROR(__xludf.DUMMYFUNCTION("""COMPUTED_VALUE"""),3)</f>
        <v>3</v>
      </c>
      <c r="G286" s="6" t="str">
        <f ca="1">IFERROR(__xludf.DUMMYFUNCTION("""COMPUTED_VALUE"""),"Sevilla- Ciencias")</f>
        <v>Sevilla- Ciencias</v>
      </c>
      <c r="H286" s="6" t="str">
        <f ca="1">IFERROR(__xludf.DUMMYFUNCTION("""COMPUTED_VALUE"""),"C202622115532416084")</f>
        <v>C202622115532416084</v>
      </c>
      <c r="I286" s="6" t="str">
        <f ca="1">IFERROR(__xludf.DUMMYFUNCTION("""COMPUTED_VALUE"""),"Carmen Flores Atanet")</f>
        <v>Carmen Flores Atanet</v>
      </c>
      <c r="J286" s="16">
        <f ca="1">IFERROR(__xludf.DUMMYFUNCTION("""COMPUTED_VALUE"""),46083)</f>
        <v>46083</v>
      </c>
      <c r="K286" s="6" t="str">
        <f ca="1">IFERROR(__xludf.DUMMYFUNCTION("""COMPUTED_VALUE"""),"Factura audífonos")</f>
        <v>Factura audífonos</v>
      </c>
      <c r="L286" s="16">
        <f ca="1">IFERROR(__xludf.DUMMYFUNCTION("""COMPUTED_VALUE"""),46112)</f>
        <v>46112</v>
      </c>
      <c r="M286" s="23" t="str">
        <f ca="1">IFERROR(__xludf.DUMMYFUNCTION("""COMPUTED_VALUE"""),"NO")</f>
        <v>NO</v>
      </c>
      <c r="N286" s="15">
        <f ca="1">IFERROR(__xludf.DUMMYFUNCTION("""COMPUTED_VALUE"""),2)</f>
        <v>2</v>
      </c>
      <c r="O286" s="23" t="str">
        <f ca="1">IFERROR(__xludf.DUMMYFUNCTION("""COMPUTED_VALUE"""),"ADVANCED")</f>
        <v>ADVANCED</v>
      </c>
      <c r="P286" s="21">
        <f ca="1">IFERROR(__xludf.DUMMYFUNCTION("""COMPUTED_VALUE"""),3632)</f>
        <v>3632</v>
      </c>
      <c r="Q286" s="6" t="str">
        <f ca="1">IFERROR(__xludf.DUMMYFUNCTION("""COMPUTED_VALUE"""),"Luis Alberto Rodríguez")</f>
        <v>Luis Alberto Rodríguez</v>
      </c>
      <c r="R286" s="6" t="str">
        <f ca="1">IFERROR(__xludf.DUMMYFUNCTION("""COMPUTED_VALUE"""),"Juan Pedro Benaixa")</f>
        <v>Juan Pedro Benaixa</v>
      </c>
      <c r="S286" s="20" t="str">
        <f ca="1">IFERROR(__xludf.DUMMYFUNCTION("""COMPUTED_VALUE"""),"03 ORL")</f>
        <v>03 ORL</v>
      </c>
      <c r="T286" s="6" t="str">
        <f ca="1">IFERROR(__xludf.DUMMYFUNCTION("""COMPUTED_VALUE"""),"06 ORL")</f>
        <v>06 ORL</v>
      </c>
      <c r="U286" s="21"/>
      <c r="W286" s="21"/>
      <c r="X286" s="21"/>
    </row>
    <row r="287" spans="2:24" ht="16">
      <c r="B287" s="14" t="str">
        <f t="shared" ca="1" si="1"/>
        <v>LAA</v>
      </c>
      <c r="C287" s="23" t="str">
        <f ca="1">IFERROR(__xludf.DUMMYFUNCTION("""COMPUTED_VALUE"""),"LAA86")</f>
        <v>LAA86</v>
      </c>
      <c r="D287" s="6" t="str">
        <f ca="1">IFERROR(__xludf.DUMMYFUNCTION("""COMPUTED_VALUE"""),"ASOCIADOS")</f>
        <v>ASOCIADOS</v>
      </c>
      <c r="E287" s="6">
        <f ca="1">IFERROR(__xludf.DUMMYFUNCTION("""COMPUTED_VALUE"""),2026)</f>
        <v>2026</v>
      </c>
      <c r="F287" s="15">
        <f ca="1">IFERROR(__xludf.DUMMYFUNCTION("""COMPUTED_VALUE"""),3)</f>
        <v>3</v>
      </c>
      <c r="G287" s="6" t="str">
        <f ca="1">IFERROR(__xludf.DUMMYFUNCTION("""COMPUTED_VALUE"""),"Sevilla- Ciencias")</f>
        <v>Sevilla- Ciencias</v>
      </c>
      <c r="H287" s="6" t="str">
        <f ca="1">IFERROR(__xludf.DUMMYFUNCTION("""COMPUTED_VALUE"""),"C2026221849556447")</f>
        <v>C2026221849556447</v>
      </c>
      <c r="I287" s="6" t="str">
        <f ca="1">IFERROR(__xludf.DUMMYFUNCTION("""COMPUTED_VALUE"""),"Carmen Quiros Cachero")</f>
        <v>Carmen Quiros Cachero</v>
      </c>
      <c r="J287" s="16">
        <f ca="1">IFERROR(__xludf.DUMMYFUNCTION("""COMPUTED_VALUE"""),46083)</f>
        <v>46083</v>
      </c>
      <c r="K287" s="6" t="str">
        <f ca="1">IFERROR(__xludf.DUMMYFUNCTION("""COMPUTED_VALUE"""),"Factura audífonos")</f>
        <v>Factura audífonos</v>
      </c>
      <c r="L287" s="16">
        <f ca="1">IFERROR(__xludf.DUMMYFUNCTION("""COMPUTED_VALUE"""),46112)</f>
        <v>46112</v>
      </c>
      <c r="M287" s="23" t="str">
        <f ca="1">IFERROR(__xludf.DUMMYFUNCTION("""COMPUTED_VALUE"""),"NO")</f>
        <v>NO</v>
      </c>
      <c r="N287" s="15">
        <f ca="1">IFERROR(__xludf.DUMMYFUNCTION("""COMPUTED_VALUE"""),2)</f>
        <v>2</v>
      </c>
      <c r="O287" s="23" t="str">
        <f ca="1">IFERROR(__xludf.DUMMYFUNCTION("""COMPUTED_VALUE"""),"ADVANCED")</f>
        <v>ADVANCED</v>
      </c>
      <c r="P287" s="21">
        <f ca="1">IFERROR(__xludf.DUMMYFUNCTION("""COMPUTED_VALUE"""),3632)</f>
        <v>3632</v>
      </c>
      <c r="Q287" s="6" t="str">
        <f ca="1">IFERROR(__xludf.DUMMYFUNCTION("""COMPUTED_VALUE"""),"Luis Alberto Rodríguez")</f>
        <v>Luis Alberto Rodríguez</v>
      </c>
      <c r="R287" s="6" t="str">
        <f ca="1">IFERROR(__xludf.DUMMYFUNCTION("""COMPUTED_VALUE"""),"María Del Pilar Gómez Tapiador")</f>
        <v>María Del Pilar Gómez Tapiador</v>
      </c>
      <c r="S287" s="20" t="str">
        <f ca="1">IFERROR(__xludf.DUMMYFUNCTION("""COMPUTED_VALUE"""),"03 ORL")</f>
        <v>03 ORL</v>
      </c>
      <c r="T287" s="6" t="str">
        <f ca="1">IFERROR(__xludf.DUMMYFUNCTION("""COMPUTED_VALUE"""),"06 ORL")</f>
        <v>06 ORL</v>
      </c>
      <c r="U287" s="21"/>
      <c r="W287" s="21"/>
      <c r="X287" s="21"/>
    </row>
    <row r="288" spans="2:24" ht="16">
      <c r="B288" s="14" t="str">
        <f t="shared" ca="1" si="1"/>
        <v>LRM</v>
      </c>
      <c r="C288" s="23" t="str">
        <f ca="1">IFERROR(__xludf.DUMMYFUNCTION("""COMPUTED_VALUE"""),"LRM101")</f>
        <v>LRM101</v>
      </c>
      <c r="D288" s="6" t="str">
        <f ca="1">IFERROR(__xludf.DUMMYFUNCTION("""COMPUTED_VALUE"""),"ASOCIADOS")</f>
        <v>ASOCIADOS</v>
      </c>
      <c r="E288" s="6">
        <f ca="1">IFERROR(__xludf.DUMMYFUNCTION("""COMPUTED_VALUE"""),2026)</f>
        <v>2026</v>
      </c>
      <c r="F288" s="15">
        <f ca="1">IFERROR(__xludf.DUMMYFUNCTION("""COMPUTED_VALUE"""),3)</f>
        <v>3</v>
      </c>
      <c r="G288" s="6" t="str">
        <f ca="1">IFERROR(__xludf.DUMMYFUNCTION("""COMPUTED_VALUE"""),"Cáceres")</f>
        <v>Cáceres</v>
      </c>
      <c r="H288" s="6" t="str">
        <f ca="1">IFERROR(__xludf.DUMMYFUNCTION("""COMPUTED_VALUE"""),"C202612611314553565")</f>
        <v>C202612611314553565</v>
      </c>
      <c r="I288" s="6" t="str">
        <f ca="1">IFERROR(__xludf.DUMMYFUNCTION("""COMPUTED_VALUE"""),"MARIA GUADALUPE MORA PEÑA")</f>
        <v>MARIA GUADALUPE MORA PEÑA</v>
      </c>
      <c r="J288" s="16">
        <f ca="1">IFERROR(__xludf.DUMMYFUNCTION("""COMPUTED_VALUE"""),46048)</f>
        <v>46048</v>
      </c>
      <c r="K288" s="6" t="str">
        <f ca="1">IFERROR(__xludf.DUMMYFUNCTION("""COMPUTED_VALUE"""),"Factura audífonos")</f>
        <v>Factura audífonos</v>
      </c>
      <c r="L288" s="16">
        <f ca="1">IFERROR(__xludf.DUMMYFUNCTION("""COMPUTED_VALUE"""),46083)</f>
        <v>46083</v>
      </c>
      <c r="M288" s="23" t="str">
        <f ca="1">IFERROR(__xludf.DUMMYFUNCTION("""COMPUTED_VALUE"""),"NO")</f>
        <v>NO</v>
      </c>
      <c r="N288" s="15">
        <f ca="1">IFERROR(__xludf.DUMMYFUNCTION("""COMPUTED_VALUE"""),2)</f>
        <v>2</v>
      </c>
      <c r="O288" s="17" t="str">
        <f ca="1">IFERROR(__xludf.DUMMYFUNCTION("""COMPUTED_VALUE"""),"CONFORT")</f>
        <v>CONFORT</v>
      </c>
      <c r="P288" s="21">
        <f ca="1">IFERROR(__xludf.DUMMYFUNCTION("""COMPUTED_VALUE"""),3668.18)</f>
        <v>3668.18</v>
      </c>
      <c r="Q288" s="6" t="str">
        <f ca="1">IFERROR(__xludf.DUMMYFUNCTION("""COMPUTED_VALUE"""),"Lisandro Russian")</f>
        <v>Lisandro Russian</v>
      </c>
      <c r="R288" s="6" t="str">
        <f ca="1">IFERROR(__xludf.DUMMYFUNCTION("""COMPUTED_VALUE"""),"Manuel Martí Peña")</f>
        <v>Manuel Martí Peña</v>
      </c>
      <c r="S288" s="20" t="str">
        <f ca="1">IFERROR(__xludf.DUMMYFUNCTION("""COMPUTED_VALUE"""),"03 ORL")</f>
        <v>03 ORL</v>
      </c>
      <c r="T288" s="6" t="str">
        <f ca="1">IFERROR(__xludf.DUMMYFUNCTION("""COMPUTED_VALUE"""),"06 ORL")</f>
        <v>06 ORL</v>
      </c>
      <c r="U288" s="21"/>
      <c r="W288" s="21"/>
      <c r="X288" s="21"/>
    </row>
    <row r="289" spans="2:31" ht="16">
      <c r="B289" s="14" t="str">
        <f t="shared" ca="1" si="1"/>
        <v>LRM</v>
      </c>
      <c r="C289" s="23" t="str">
        <f ca="1">IFERROR(__xludf.DUMMYFUNCTION("""COMPUTED_VALUE"""),"LRM153")</f>
        <v>LRM153</v>
      </c>
      <c r="D289" s="6" t="str">
        <f ca="1">IFERROR(__xludf.DUMMYFUNCTION("""COMPUTED_VALUE"""),"ASOCIADOS")</f>
        <v>ASOCIADOS</v>
      </c>
      <c r="E289" s="6">
        <f ca="1">IFERROR(__xludf.DUMMYFUNCTION("""COMPUTED_VALUE"""),2026)</f>
        <v>2026</v>
      </c>
      <c r="F289" s="15">
        <f ca="1">IFERROR(__xludf.DUMMYFUNCTION("""COMPUTED_VALUE"""),3)</f>
        <v>3</v>
      </c>
      <c r="G289" s="6" t="str">
        <f ca="1">IFERROR(__xludf.DUMMYFUNCTION("""COMPUTED_VALUE"""),"Cáceres")</f>
        <v>Cáceres</v>
      </c>
      <c r="H289" s="6" t="str">
        <f ca="1">IFERROR(__xludf.DUMMYFUNCTION("""COMPUTED_VALUE"""),"C20262293320029948")</f>
        <v>C20262293320029948</v>
      </c>
      <c r="I289" s="6" t="str">
        <f ca="1">IFERROR(__xludf.DUMMYFUNCTION("""COMPUTED_VALUE"""),"FELIPE MENDOZA PIZARRO")</f>
        <v>FELIPE MENDOZA PIZARRO</v>
      </c>
      <c r="J289" s="16">
        <f ca="1">IFERROR(__xludf.DUMMYFUNCTION("""COMPUTED_VALUE"""),46055)</f>
        <v>46055</v>
      </c>
      <c r="K289" s="6" t="str">
        <f ca="1">IFERROR(__xludf.DUMMYFUNCTION("""COMPUTED_VALUE"""),"Factura audífonos")</f>
        <v>Factura audífonos</v>
      </c>
      <c r="L289" s="16">
        <f ca="1">IFERROR(__xludf.DUMMYFUNCTION("""COMPUTED_VALUE"""),46083)</f>
        <v>46083</v>
      </c>
      <c r="M289" s="17" t="str">
        <f ca="1">IFERROR(__xludf.DUMMYFUNCTION("""COMPUTED_VALUE"""),"NO")</f>
        <v>NO</v>
      </c>
      <c r="N289" s="15">
        <f ca="1">IFERROR(__xludf.DUMMYFUNCTION("""COMPUTED_VALUE"""),2)</f>
        <v>2</v>
      </c>
      <c r="O289" s="17" t="str">
        <f ca="1">IFERROR(__xludf.DUMMYFUNCTION("""COMPUTED_VALUE"""),"CONFORT")</f>
        <v>CONFORT</v>
      </c>
      <c r="P289" s="21">
        <f ca="1">IFERROR(__xludf.DUMMYFUNCTION("""COMPUTED_VALUE"""),3940.91)</f>
        <v>3940.91</v>
      </c>
      <c r="Q289" s="6" t="str">
        <f ca="1">IFERROR(__xludf.DUMMYFUNCTION("""COMPUTED_VALUE"""),"Lisandro Russian")</f>
        <v>Lisandro Russian</v>
      </c>
      <c r="R289" s="6" t="str">
        <f ca="1">IFERROR(__xludf.DUMMYFUNCTION("""COMPUTED_VALUE"""),"Daniela Carolina Laguado Bulgheroni")</f>
        <v>Daniela Carolina Laguado Bulgheroni</v>
      </c>
      <c r="S289" s="20" t="str">
        <f ca="1">IFERROR(__xludf.DUMMYFUNCTION("""COMPUTED_VALUE"""),"03 ORL")</f>
        <v>03 ORL</v>
      </c>
      <c r="T289" s="6" t="str">
        <f ca="1">IFERROR(__xludf.DUMMYFUNCTION("""COMPUTED_VALUE"""),"06 ORL")</f>
        <v>06 ORL</v>
      </c>
      <c r="U289" s="21"/>
      <c r="W289" s="21"/>
      <c r="X289" s="21"/>
    </row>
    <row r="290" spans="2:31" ht="16">
      <c r="B290" s="14" t="str">
        <f t="shared" ca="1" si="1"/>
        <v>MBM</v>
      </c>
      <c r="C290" s="23" t="str">
        <f ca="1">IFERROR(__xludf.DUMMYFUNCTION("""COMPUTED_VALUE"""),"MBM184")</f>
        <v>MBM184</v>
      </c>
      <c r="D290" s="6" t="str">
        <f ca="1">IFERROR(__xludf.DUMMYFUNCTION("""COMPUTED_VALUE"""),"PROPIOS")</f>
        <v>PROPIOS</v>
      </c>
      <c r="E290" s="6">
        <f ca="1">IFERROR(__xludf.DUMMYFUNCTION("""COMPUTED_VALUE"""),2026)</f>
        <v>2026</v>
      </c>
      <c r="F290" s="15">
        <f ca="1">IFERROR(__xludf.DUMMYFUNCTION("""COMPUTED_VALUE"""),3)</f>
        <v>3</v>
      </c>
      <c r="G290" s="6" t="str">
        <f ca="1">IFERROR(__xludf.DUMMYFUNCTION("""COMPUTED_VALUE"""),"Madrid- Monforte de Lemos")</f>
        <v>Madrid- Monforte de Lemos</v>
      </c>
      <c r="H290" s="6" t="str">
        <f ca="1">IFERROR(__xludf.DUMMYFUNCTION("""COMPUTED_VALUE"""),"C202618105216372686")</f>
        <v>C202618105216372686</v>
      </c>
      <c r="I290" s="6" t="str">
        <f ca="1">IFERROR(__xludf.DUMMYFUNCTION("""COMPUTED_VALUE"""),"FREDY HERNANDEZ PAQUIRACHI")</f>
        <v>FREDY HERNANDEZ PAQUIRACHI</v>
      </c>
      <c r="J290" s="16">
        <f ca="1">IFERROR(__xludf.DUMMYFUNCTION("""COMPUTED_VALUE"""),46030)</f>
        <v>46030</v>
      </c>
      <c r="K290" s="6" t="str">
        <f ca="1">IFERROR(__xludf.DUMMYFUNCTION("""COMPUTED_VALUE"""),"Factura audífonos")</f>
        <v>Factura audífonos</v>
      </c>
      <c r="L290" s="16">
        <f ca="1">IFERROR(__xludf.DUMMYFUNCTION("""COMPUTED_VALUE"""),46083)</f>
        <v>46083</v>
      </c>
      <c r="M290" s="23" t="str">
        <f ca="1">IFERROR(__xludf.DUMMYFUNCTION("""COMPUTED_VALUE"""),"NO")</f>
        <v>NO</v>
      </c>
      <c r="N290" s="15">
        <f ca="1">IFERROR(__xludf.DUMMYFUNCTION("""COMPUTED_VALUE"""),1)</f>
        <v>1</v>
      </c>
      <c r="O290" s="23" t="str">
        <f ca="1">IFERROR(__xludf.DUMMYFUNCTION("""COMPUTED_VALUE"""),"QUIET")</f>
        <v>QUIET</v>
      </c>
      <c r="P290" s="21">
        <f ca="1">IFERROR(__xludf.DUMMYFUNCTION("""COMPUTED_VALUE"""),1631.82)</f>
        <v>1631.82</v>
      </c>
      <c r="Q290" s="6" t="str">
        <f ca="1">IFERROR(__xludf.DUMMYFUNCTION("""COMPUTED_VALUE"""),"Maika Blázquez")</f>
        <v>Maika Blázquez</v>
      </c>
      <c r="R290" s="6" t="str">
        <f ca="1">IFERROR(__xludf.DUMMYFUNCTION("""COMPUTED_VALUE"""),"Victoria García Peces")</f>
        <v>Victoria García Peces</v>
      </c>
      <c r="S290" s="20" t="str">
        <f ca="1">IFERROR(__xludf.DUMMYFUNCTION("""COMPUTED_VALUE"""),"03 ORL")</f>
        <v>03 ORL</v>
      </c>
      <c r="T290" s="6" t="str">
        <f ca="1">IFERROR(__xludf.DUMMYFUNCTION("""COMPUTED_VALUE"""),"06 ORL")</f>
        <v>06 ORL</v>
      </c>
      <c r="U290" s="21"/>
      <c r="W290" s="21"/>
      <c r="X290" s="21"/>
    </row>
    <row r="291" spans="2:31" ht="16">
      <c r="B291" s="14" t="str">
        <f t="shared" ca="1" si="1"/>
        <v>MBM</v>
      </c>
      <c r="C291" s="23" t="str">
        <f ca="1">IFERROR(__xludf.DUMMYFUNCTION("""COMPUTED_VALUE"""),"MBM132")</f>
        <v>MBM132</v>
      </c>
      <c r="D291" s="6" t="str">
        <f ca="1">IFERROR(__xludf.DUMMYFUNCTION("""COMPUTED_VALUE"""),"PARTICIPADOS")</f>
        <v>PARTICIPADOS</v>
      </c>
      <c r="E291" s="6">
        <f ca="1">IFERROR(__xludf.DUMMYFUNCTION("""COMPUTED_VALUE"""),2026)</f>
        <v>2026</v>
      </c>
      <c r="F291" s="15">
        <f ca="1">IFERROR(__xludf.DUMMYFUNCTION("""COMPUTED_VALUE"""),3)</f>
        <v>3</v>
      </c>
      <c r="G291" s="6" t="str">
        <f ca="1">IFERROR(__xludf.DUMMYFUNCTION("""COMPUTED_VALUE"""),"Madrid- La Oca")</f>
        <v>Madrid- La Oca</v>
      </c>
      <c r="H291" s="6" t="str">
        <f ca="1">IFERROR(__xludf.DUMMYFUNCTION("""COMPUTED_VALUE"""),"C202611916431516801")</f>
        <v>C202611916431516801</v>
      </c>
      <c r="I291" s="6" t="str">
        <f ca="1">IFERROR(__xludf.DUMMYFUNCTION("""COMPUTED_VALUE"""),"JOSE MARIA DIEGO CASTELAO ALBELA")</f>
        <v>JOSE MARIA DIEGO CASTELAO ALBELA</v>
      </c>
      <c r="J291" s="16">
        <f ca="1">IFERROR(__xludf.DUMMYFUNCTION("""COMPUTED_VALUE"""),46041)</f>
        <v>46041</v>
      </c>
      <c r="K291" s="6" t="str">
        <f ca="1">IFERROR(__xludf.DUMMYFUNCTION("""COMPUTED_VALUE"""),"Factura audífonos")</f>
        <v>Factura audífonos</v>
      </c>
      <c r="L291" s="16">
        <f ca="1">IFERROR(__xludf.DUMMYFUNCTION("""COMPUTED_VALUE"""),46083)</f>
        <v>46083</v>
      </c>
      <c r="M291" s="23" t="str">
        <f ca="1">IFERROR(__xludf.DUMMYFUNCTION("""COMPUTED_VALUE"""),"NO")</f>
        <v>NO</v>
      </c>
      <c r="N291" s="15">
        <f ca="1">IFERROR(__xludf.DUMMYFUNCTION("""COMPUTED_VALUE"""),2)</f>
        <v>2</v>
      </c>
      <c r="O291" s="17" t="str">
        <f ca="1">IFERROR(__xludf.DUMMYFUNCTION("""COMPUTED_VALUE"""),"ADVANCED")</f>
        <v>ADVANCED</v>
      </c>
      <c r="P291" s="21">
        <f ca="1">IFERROR(__xludf.DUMMYFUNCTION("""COMPUTED_VALUE"""),4136.36)</f>
        <v>4136.3599999999997</v>
      </c>
      <c r="Q291" s="6" t="str">
        <f ca="1">IFERROR(__xludf.DUMMYFUNCTION("""COMPUTED_VALUE"""),"Maika Blázquez")</f>
        <v>Maika Blázquez</v>
      </c>
      <c r="R291" s="6" t="str">
        <f ca="1">IFERROR(__xludf.DUMMYFUNCTION("""COMPUTED_VALUE"""),"Laura Ruano De Pablo")</f>
        <v>Laura Ruano De Pablo</v>
      </c>
      <c r="S291" s="20" t="str">
        <f ca="1">IFERROR(__xludf.DUMMYFUNCTION("""COMPUTED_VALUE"""),"03 ORL")</f>
        <v>03 ORL</v>
      </c>
      <c r="T291" s="6" t="str">
        <f ca="1">IFERROR(__xludf.DUMMYFUNCTION("""COMPUTED_VALUE"""),"22 AUDIOMETRIA CLINICA")</f>
        <v>22 AUDIOMETRIA CLINICA</v>
      </c>
      <c r="U291" s="21"/>
      <c r="W291" s="21"/>
      <c r="X291" s="21"/>
    </row>
    <row r="292" spans="2:31" ht="16">
      <c r="B292" s="14" t="str">
        <f t="shared" si="1"/>
        <v/>
      </c>
      <c r="C292" s="23"/>
      <c r="D292" s="6" t="str">
        <f ca="1">IFERROR(__xludf.DUMMYFUNCTION("""COMPUTED_VALUE"""),"ASOCIADOS")</f>
        <v>ASOCIADOS</v>
      </c>
      <c r="E292" s="6">
        <f ca="1">IFERROR(__xludf.DUMMYFUNCTION("""COMPUTED_VALUE"""),2026)</f>
        <v>2026</v>
      </c>
      <c r="F292" s="15">
        <f ca="1">IFERROR(__xludf.DUMMYFUNCTION("""COMPUTED_VALUE"""),3)</f>
        <v>3</v>
      </c>
      <c r="G292" s="6" t="str">
        <f ca="1">IFERROR(__xludf.DUMMYFUNCTION("""COMPUTED_VALUE"""),"Ponferrada")</f>
        <v>Ponferrada</v>
      </c>
      <c r="H292" s="6" t="str">
        <f ca="1">IFERROR(__xludf.DUMMYFUNCTION("""COMPUTED_VALUE"""),"PON-1022")</f>
        <v>PON-1022</v>
      </c>
      <c r="I292" s="6" t="str">
        <f ca="1">IFERROR(__xludf.DUMMYFUNCTION("""COMPUTED_VALUE"""),"MARIA PILAR RODRIGUEZ FERNANDEZ")</f>
        <v>MARIA PILAR RODRIGUEZ FERNANDEZ</v>
      </c>
      <c r="J292" s="16">
        <f ca="1">IFERROR(__xludf.DUMMYFUNCTION("""COMPUTED_VALUE"""),45971)</f>
        <v>45971</v>
      </c>
      <c r="K292" s="6" t="str">
        <f ca="1">IFERROR(__xludf.DUMMYFUNCTION("""COMPUTED_VALUE"""),"Factura audífonos")</f>
        <v>Factura audífonos</v>
      </c>
      <c r="L292" s="16">
        <f ca="1">IFERROR(__xludf.DUMMYFUNCTION("""COMPUTED_VALUE"""),46083)</f>
        <v>46083</v>
      </c>
      <c r="M292" s="23" t="str">
        <f ca="1">IFERROR(__xludf.DUMMYFUNCTION("""COMPUTED_VALUE"""),"NO")</f>
        <v>NO</v>
      </c>
      <c r="N292" s="15">
        <f ca="1">IFERROR(__xludf.DUMMYFUNCTION("""COMPUTED_VALUE"""),2)</f>
        <v>2</v>
      </c>
      <c r="O292" s="17" t="str">
        <f ca="1">IFERROR(__xludf.DUMMYFUNCTION("""COMPUTED_VALUE"""),"CONFORT")</f>
        <v>CONFORT</v>
      </c>
      <c r="P292" s="21">
        <f ca="1">IFERROR(__xludf.DUMMYFUNCTION("""COMPUTED_VALUE"""),3909.09)</f>
        <v>3909.09</v>
      </c>
      <c r="Q292" s="6" t="str">
        <f ca="1">IFERROR(__xludf.DUMMYFUNCTION("""COMPUTED_VALUE"""),"Alberto Moreno")</f>
        <v>Alberto Moreno</v>
      </c>
      <c r="R292" s="6" t="str">
        <f ca="1">IFERROR(__xludf.DUMMYFUNCTION("""COMPUTED_VALUE"""),"No recuerda ORL")</f>
        <v>No recuerda ORL</v>
      </c>
      <c r="S292" s="20" t="str">
        <f ca="1">IFERROR(__xludf.DUMMYFUNCTION("""COMPUTED_VALUE"""),"03 ORL")</f>
        <v>03 ORL</v>
      </c>
      <c r="T292" s="6" t="str">
        <f ca="1">IFERROR(__xludf.DUMMYFUNCTION("""COMPUTED_VALUE"""),"06 ORL")</f>
        <v>06 ORL</v>
      </c>
      <c r="U292" s="21"/>
      <c r="W292" s="21"/>
      <c r="X292" s="21"/>
    </row>
    <row r="293" spans="2:31" ht="16">
      <c r="B293" s="14" t="str">
        <f t="shared" ca="1" si="1"/>
        <v>LAA</v>
      </c>
      <c r="C293" s="23" t="str">
        <f ca="1">IFERROR(__xludf.DUMMYFUNCTION("""COMPUTED_VALUE"""),"LAA63")</f>
        <v>LAA63</v>
      </c>
      <c r="D293" s="6" t="str">
        <f ca="1">IFERROR(__xludf.DUMMYFUNCTION("""COMPUTED_VALUE"""),"PROPIOS")</f>
        <v>PROPIOS</v>
      </c>
      <c r="E293" s="6">
        <f ca="1">IFERROR(__xludf.DUMMYFUNCTION("""COMPUTED_VALUE"""),2026)</f>
        <v>2026</v>
      </c>
      <c r="F293" s="15">
        <f ca="1">IFERROR(__xludf.DUMMYFUNCTION("""COMPUTED_VALUE"""),3)</f>
        <v>3</v>
      </c>
      <c r="G293" s="6" t="str">
        <f ca="1">IFERROR(__xludf.DUMMYFUNCTION("""COMPUTED_VALUE"""),"Madrid- Canillas")</f>
        <v>Madrid- Canillas</v>
      </c>
      <c r="H293" s="6" t="str">
        <f ca="1">IFERROR(__xludf.DUMMYFUNCTION("""COMPUTED_VALUE"""),"C20262311251509611")</f>
        <v>C20262311251509611</v>
      </c>
      <c r="I293" s="6" t="str">
        <f ca="1">IFERROR(__xludf.DUMMYFUNCTION("""COMPUTED_VALUE"""),"FELIX DE LA FUENTE SANTERO")</f>
        <v>FELIX DE LA FUENTE SANTERO</v>
      </c>
      <c r="J293" s="16">
        <f ca="1">IFERROR(__xludf.DUMMYFUNCTION("""COMPUTED_VALUE"""),46056)</f>
        <v>46056</v>
      </c>
      <c r="K293" s="6" t="str">
        <f ca="1">IFERROR(__xludf.DUMMYFUNCTION("""COMPUTED_VALUE"""),"Factura audífonos")</f>
        <v>Factura audífonos</v>
      </c>
      <c r="L293" s="16">
        <f ca="1">IFERROR(__xludf.DUMMYFUNCTION("""COMPUTED_VALUE"""),46083)</f>
        <v>46083</v>
      </c>
      <c r="M293" s="23" t="str">
        <f ca="1">IFERROR(__xludf.DUMMYFUNCTION("""COMPUTED_VALUE"""),"NO")</f>
        <v>NO</v>
      </c>
      <c r="N293" s="15">
        <f ca="1">IFERROR(__xludf.DUMMYFUNCTION("""COMPUTED_VALUE"""),2)</f>
        <v>2</v>
      </c>
      <c r="O293" s="23" t="str">
        <f ca="1">IFERROR(__xludf.DUMMYFUNCTION("""COMPUTED_VALUE"""),"QUIET")</f>
        <v>QUIET</v>
      </c>
      <c r="P293" s="21">
        <f ca="1">IFERROR(__xludf.DUMMYFUNCTION("""COMPUTED_VALUE"""),2718.18)</f>
        <v>2718.18</v>
      </c>
      <c r="Q293" s="6" t="str">
        <f ca="1">IFERROR(__xludf.DUMMYFUNCTION("""COMPUTED_VALUE"""),"Maika Blázquez")</f>
        <v>Maika Blázquez</v>
      </c>
      <c r="R293" s="6" t="str">
        <f ca="1">IFERROR(__xludf.DUMMYFUNCTION("""COMPUTED_VALUE"""),"Julio López Moya")</f>
        <v>Julio López Moya</v>
      </c>
      <c r="S293" s="20" t="str">
        <f ca="1">IFERROR(__xludf.DUMMYFUNCTION("""COMPUTED_VALUE"""),"03 ORL")</f>
        <v>03 ORL</v>
      </c>
      <c r="T293" s="6" t="str">
        <f ca="1">IFERROR(__xludf.DUMMYFUNCTION("""COMPUTED_VALUE"""),"06 ORL")</f>
        <v>06 ORL</v>
      </c>
      <c r="U293" s="21"/>
      <c r="W293" s="21"/>
      <c r="X293" s="21"/>
      <c r="AE293" s="1"/>
    </row>
    <row r="294" spans="2:31" ht="16">
      <c r="B294" s="14" t="str">
        <f t="shared" ca="1" si="1"/>
        <v>MBM</v>
      </c>
      <c r="C294" s="23" t="str">
        <f ca="1">IFERROR(__xludf.DUMMYFUNCTION("""COMPUTED_VALUE"""),"MBM39")</f>
        <v>MBM39</v>
      </c>
      <c r="D294" s="6" t="str">
        <f ca="1">IFERROR(__xludf.DUMMYFUNCTION("""COMPUTED_VALUE"""),"PROPIOS")</f>
        <v>PROPIOS</v>
      </c>
      <c r="E294" s="6">
        <f ca="1">IFERROR(__xludf.DUMMYFUNCTION("""COMPUTED_VALUE"""),2026)</f>
        <v>2026</v>
      </c>
      <c r="F294" s="15">
        <f ca="1">IFERROR(__xludf.DUMMYFUNCTION("""COMPUTED_VALUE"""),3)</f>
        <v>3</v>
      </c>
      <c r="G294" s="6" t="str">
        <f ca="1">IFERROR(__xludf.DUMMYFUNCTION("""COMPUTED_VALUE"""),"Sevilla- Montoto")</f>
        <v>Sevilla- Montoto</v>
      </c>
      <c r="H294" s="6" t="str">
        <f ca="1">IFERROR(__xludf.DUMMYFUNCTION("""COMPUTED_VALUE"""),"C202512308404010215")</f>
        <v>C202512308404010215</v>
      </c>
      <c r="I294" s="6" t="str">
        <f ca="1">IFERROR(__xludf.DUMMYFUNCTION("""COMPUTED_VALUE"""),"ROSARIO DORADO JIMENEZ")</f>
        <v>ROSARIO DORADO JIMENEZ</v>
      </c>
      <c r="J294" s="16">
        <f ca="1">IFERROR(__xludf.DUMMYFUNCTION("""COMPUTED_VALUE"""),46021)</f>
        <v>46021</v>
      </c>
      <c r="K294" s="6" t="str">
        <f ca="1">IFERROR(__xludf.DUMMYFUNCTION("""COMPUTED_VALUE"""),"Factura audífonos")</f>
        <v>Factura audífonos</v>
      </c>
      <c r="L294" s="16">
        <f ca="1">IFERROR(__xludf.DUMMYFUNCTION("""COMPUTED_VALUE"""),46083)</f>
        <v>46083</v>
      </c>
      <c r="M294" s="23" t="str">
        <f ca="1">IFERROR(__xludf.DUMMYFUNCTION("""COMPUTED_VALUE"""),"NO")</f>
        <v>NO</v>
      </c>
      <c r="N294" s="15">
        <f ca="1">IFERROR(__xludf.DUMMYFUNCTION("""COMPUTED_VALUE"""),2)</f>
        <v>2</v>
      </c>
      <c r="O294" s="23" t="str">
        <f ca="1">IFERROR(__xludf.DUMMYFUNCTION("""COMPUTED_VALUE"""),"QUIET")</f>
        <v>QUIET</v>
      </c>
      <c r="P294" s="21">
        <f ca="1">IFERROR(__xludf.DUMMYFUNCTION("""COMPUTED_VALUE"""),2174.55)</f>
        <v>2174.5500000000002</v>
      </c>
      <c r="Q294" s="6" t="str">
        <f ca="1">IFERROR(__xludf.DUMMYFUNCTION("""COMPUTED_VALUE"""),"Maika Blázquez")</f>
        <v>Maika Blázquez</v>
      </c>
      <c r="R294" s="6" t="str">
        <f ca="1">IFERROR(__xludf.DUMMYFUNCTION("""COMPUTED_VALUE"""),"Javier García Domínguez")</f>
        <v>Javier García Domínguez</v>
      </c>
      <c r="S294" s="20" t="str">
        <f ca="1">IFERROR(__xludf.DUMMYFUNCTION("""COMPUTED_VALUE"""),"03 ORL")</f>
        <v>03 ORL</v>
      </c>
      <c r="T294" s="6" t="str">
        <f ca="1">IFERROR(__xludf.DUMMYFUNCTION("""COMPUTED_VALUE"""),"06 ORL")</f>
        <v>06 ORL</v>
      </c>
      <c r="U294" s="21"/>
      <c r="W294" s="21"/>
      <c r="X294" s="21"/>
    </row>
    <row r="295" spans="2:31" ht="16">
      <c r="B295" s="14" t="str">
        <f t="shared" ca="1" si="1"/>
        <v>PSC</v>
      </c>
      <c r="C295" s="23" t="str">
        <f ca="1">IFERROR(__xludf.DUMMYFUNCTION("""COMPUTED_VALUE"""),"PSC47")</f>
        <v>PSC47</v>
      </c>
      <c r="D295" s="6" t="str">
        <f ca="1">IFERROR(__xludf.DUMMYFUNCTION("""COMPUTED_VALUE"""),"ASOCIADOS")</f>
        <v>ASOCIADOS</v>
      </c>
      <c r="E295" s="6">
        <f ca="1">IFERROR(__xludf.DUMMYFUNCTION("""COMPUTED_VALUE"""),2026)</f>
        <v>2026</v>
      </c>
      <c r="F295" s="15">
        <f ca="1">IFERROR(__xludf.DUMMYFUNCTION("""COMPUTED_VALUE"""),3)</f>
        <v>3</v>
      </c>
      <c r="G295" s="6" t="str">
        <f ca="1">IFERROR(__xludf.DUMMYFUNCTION("""COMPUTED_VALUE"""),"Ponferrada")</f>
        <v>Ponferrada</v>
      </c>
      <c r="H295" s="6" t="str">
        <f ca="1">IFERROR(__xludf.DUMMYFUNCTION("""COMPUTED_VALUE"""),"PON-1019")</f>
        <v>PON-1019</v>
      </c>
      <c r="I295" s="6" t="str">
        <f ca="1">IFERROR(__xludf.DUMMYFUNCTION("""COMPUTED_VALUE"""),"RICARDO PARRADO SANTOS")</f>
        <v>RICARDO PARRADO SANTOS</v>
      </c>
      <c r="J295" s="16">
        <f ca="1">IFERROR(__xludf.DUMMYFUNCTION("""COMPUTED_VALUE"""),45967)</f>
        <v>45967</v>
      </c>
      <c r="K295" s="6" t="str">
        <f ca="1">IFERROR(__xludf.DUMMYFUNCTION("""COMPUTED_VALUE"""),"Factura audífonos")</f>
        <v>Factura audífonos</v>
      </c>
      <c r="L295" s="16">
        <f ca="1">IFERROR(__xludf.DUMMYFUNCTION("""COMPUTED_VALUE"""),46084)</f>
        <v>46084</v>
      </c>
      <c r="M295" s="23" t="str">
        <f ca="1">IFERROR(__xludf.DUMMYFUNCTION("""COMPUTED_VALUE"""),"NO")</f>
        <v>NO</v>
      </c>
      <c r="N295" s="15">
        <f ca="1">IFERROR(__xludf.DUMMYFUNCTION("""COMPUTED_VALUE"""),2)</f>
        <v>2</v>
      </c>
      <c r="O295" s="23" t="str">
        <f ca="1">IFERROR(__xludf.DUMMYFUNCTION("""COMPUTED_VALUE"""),"CONFORT")</f>
        <v>CONFORT</v>
      </c>
      <c r="P295" s="21">
        <f ca="1">IFERROR(__xludf.DUMMYFUNCTION("""COMPUTED_VALUE"""),3909.09)</f>
        <v>3909.09</v>
      </c>
      <c r="Q295" s="6" t="str">
        <f ca="1">IFERROR(__xludf.DUMMYFUNCTION("""COMPUTED_VALUE"""),"Alberto Moreno")</f>
        <v>Alberto Moreno</v>
      </c>
      <c r="R295" s="6" t="str">
        <f ca="1">IFERROR(__xludf.DUMMYFUNCTION("""COMPUTED_VALUE"""),"Mónica Granda Rosales")</f>
        <v>Mónica Granda Rosales</v>
      </c>
      <c r="S295" s="20" t="str">
        <f ca="1">IFERROR(__xludf.DUMMYFUNCTION("""COMPUTED_VALUE"""),"03 ORL")</f>
        <v>03 ORL</v>
      </c>
      <c r="T295" s="6" t="str">
        <f ca="1">IFERROR(__xludf.DUMMYFUNCTION("""COMPUTED_VALUE"""),"06 ORL")</f>
        <v>06 ORL</v>
      </c>
      <c r="U295" s="21"/>
      <c r="W295" s="21"/>
      <c r="X295" s="21"/>
    </row>
    <row r="296" spans="2:31" ht="16">
      <c r="B296" s="14" t="str">
        <f t="shared" ca="1" si="1"/>
        <v>LRM</v>
      </c>
      <c r="C296" s="23" t="str">
        <f ca="1">IFERROR(__xludf.DUMMYFUNCTION("""COMPUTED_VALUE"""),"LRM253")</f>
        <v>LRM253</v>
      </c>
      <c r="D296" s="6" t="str">
        <f ca="1">IFERROR(__xludf.DUMMYFUNCTION("""COMPUTED_VALUE"""),"ASOCIADOS")</f>
        <v>ASOCIADOS</v>
      </c>
      <c r="E296" s="6">
        <f ca="1">IFERROR(__xludf.DUMMYFUNCTION("""COMPUTED_VALUE"""),2026)</f>
        <v>2026</v>
      </c>
      <c r="F296" s="15">
        <f ca="1">IFERROR(__xludf.DUMMYFUNCTION("""COMPUTED_VALUE"""),3)</f>
        <v>3</v>
      </c>
      <c r="G296" s="6" t="str">
        <f ca="1">IFERROR(__xludf.DUMMYFUNCTION("""COMPUTED_VALUE"""),"Cáceres")</f>
        <v>Cáceres</v>
      </c>
      <c r="H296" s="6" t="str">
        <f ca="1">IFERROR(__xludf.DUMMYFUNCTION("""COMPUTED_VALUE"""),"C202612912533959944")</f>
        <v>C202612912533959944</v>
      </c>
      <c r="I296" s="6" t="str">
        <f ca="1">IFERROR(__xludf.DUMMYFUNCTION("""COMPUTED_VALUE"""),"CARMEN ROLO PEREZ")</f>
        <v>CARMEN ROLO PEREZ</v>
      </c>
      <c r="J296" s="16">
        <f ca="1">IFERROR(__xludf.DUMMYFUNCTION("""COMPUTED_VALUE"""),46051)</f>
        <v>46051</v>
      </c>
      <c r="K296" s="6" t="str">
        <f ca="1">IFERROR(__xludf.DUMMYFUNCTION("""COMPUTED_VALUE"""),"Factura audífonos")</f>
        <v>Factura audífonos</v>
      </c>
      <c r="L296" s="16">
        <f ca="1">IFERROR(__xludf.DUMMYFUNCTION("""COMPUTED_VALUE"""),46084)</f>
        <v>46084</v>
      </c>
      <c r="M296" s="23" t="str">
        <f ca="1">IFERROR(__xludf.DUMMYFUNCTION("""COMPUTED_VALUE"""),"NO")</f>
        <v>NO</v>
      </c>
      <c r="N296" s="15">
        <f ca="1">IFERROR(__xludf.DUMMYFUNCTION("""COMPUTED_VALUE"""),2)</f>
        <v>2</v>
      </c>
      <c r="O296" s="23" t="str">
        <f ca="1">IFERROR(__xludf.DUMMYFUNCTION("""COMPUTED_VALUE"""),"PRO")</f>
        <v>PRO</v>
      </c>
      <c r="P296" s="21">
        <f ca="1">IFERROR(__xludf.DUMMYFUNCTION("""COMPUTED_VALUE"""),4818.18)</f>
        <v>4818.18</v>
      </c>
      <c r="Q296" s="6" t="str">
        <f ca="1">IFERROR(__xludf.DUMMYFUNCTION("""COMPUTED_VALUE"""),"Lisandro Russian")</f>
        <v>Lisandro Russian</v>
      </c>
      <c r="R296" s="6" t="str">
        <f ca="1">IFERROR(__xludf.DUMMYFUNCTION("""COMPUTED_VALUE"""),"Marta García Jiménez")</f>
        <v>Marta García Jiménez</v>
      </c>
      <c r="S296" s="20" t="str">
        <f ca="1">IFERROR(__xludf.DUMMYFUNCTION("""COMPUTED_VALUE"""),"03 ORL")</f>
        <v>03 ORL</v>
      </c>
      <c r="T296" s="6" t="str">
        <f ca="1">IFERROR(__xludf.DUMMYFUNCTION("""COMPUTED_VALUE"""),"06 ORL")</f>
        <v>06 ORL</v>
      </c>
      <c r="U296" s="21"/>
      <c r="W296" s="21"/>
      <c r="X296" s="21"/>
    </row>
    <row r="297" spans="2:31" ht="16">
      <c r="B297" s="14" t="str">
        <f t="shared" ca="1" si="1"/>
        <v>LRM</v>
      </c>
      <c r="C297" s="23" t="str">
        <f ca="1">IFERROR(__xludf.DUMMYFUNCTION("""COMPUTED_VALUE"""),"LRM153")</f>
        <v>LRM153</v>
      </c>
      <c r="D297" s="6" t="str">
        <f ca="1">IFERROR(__xludf.DUMMYFUNCTION("""COMPUTED_VALUE"""),"ASOCIADOS")</f>
        <v>ASOCIADOS</v>
      </c>
      <c r="E297" s="6">
        <f ca="1">IFERROR(__xludf.DUMMYFUNCTION("""COMPUTED_VALUE"""),2026)</f>
        <v>2026</v>
      </c>
      <c r="F297" s="15">
        <f ca="1">IFERROR(__xludf.DUMMYFUNCTION("""COMPUTED_VALUE"""),3)</f>
        <v>3</v>
      </c>
      <c r="G297" s="6" t="str">
        <f ca="1">IFERROR(__xludf.DUMMYFUNCTION("""COMPUTED_VALUE"""),"Cáceres")</f>
        <v>Cáceres</v>
      </c>
      <c r="H297" s="6" t="str">
        <f ca="1">IFERROR(__xludf.DUMMYFUNCTION("""COMPUTED_VALUE"""),"C202612713251872039")</f>
        <v>C202612713251872039</v>
      </c>
      <c r="I297" s="6" t="str">
        <f ca="1">IFERROR(__xludf.DUMMYFUNCTION("""COMPUTED_VALUE"""),"LUIS CARABOT ALVAREZ")</f>
        <v>LUIS CARABOT ALVAREZ</v>
      </c>
      <c r="J297" s="16">
        <f ca="1">IFERROR(__xludf.DUMMYFUNCTION("""COMPUTED_VALUE"""),46049)</f>
        <v>46049</v>
      </c>
      <c r="K297" s="6" t="str">
        <f ca="1">IFERROR(__xludf.DUMMYFUNCTION("""COMPUTED_VALUE"""),"Factura audífonos")</f>
        <v>Factura audífonos</v>
      </c>
      <c r="L297" s="16">
        <f ca="1">IFERROR(__xludf.DUMMYFUNCTION("""COMPUTED_VALUE"""),46084)</f>
        <v>46084</v>
      </c>
      <c r="M297" s="23" t="str">
        <f ca="1">IFERROR(__xludf.DUMMYFUNCTION("""COMPUTED_VALUE"""),"NO")</f>
        <v>NO</v>
      </c>
      <c r="N297" s="15">
        <f ca="1">IFERROR(__xludf.DUMMYFUNCTION("""COMPUTED_VALUE"""),2)</f>
        <v>2</v>
      </c>
      <c r="O297" s="23" t="str">
        <f ca="1">IFERROR(__xludf.DUMMYFUNCTION("""COMPUTED_VALUE"""),"PRO")</f>
        <v>PRO</v>
      </c>
      <c r="P297" s="21">
        <f ca="1">IFERROR(__xludf.DUMMYFUNCTION("""COMPUTED_VALUE"""),4990.91)</f>
        <v>4990.91</v>
      </c>
      <c r="Q297" s="6" t="str">
        <f ca="1">IFERROR(__xludf.DUMMYFUNCTION("""COMPUTED_VALUE"""),"Lisandro Russian")</f>
        <v>Lisandro Russian</v>
      </c>
      <c r="R297" s="6" t="str">
        <f ca="1">IFERROR(__xludf.DUMMYFUNCTION("""COMPUTED_VALUE"""),"Daniela Carolina Laguado Bulgheroni")</f>
        <v>Daniela Carolina Laguado Bulgheroni</v>
      </c>
      <c r="S297" s="20" t="str">
        <f ca="1">IFERROR(__xludf.DUMMYFUNCTION("""COMPUTED_VALUE"""),"03 ORL")</f>
        <v>03 ORL</v>
      </c>
      <c r="T297" s="6" t="str">
        <f ca="1">IFERROR(__xludf.DUMMYFUNCTION("""COMPUTED_VALUE"""),"06 ORL")</f>
        <v>06 ORL</v>
      </c>
      <c r="U297" s="21"/>
      <c r="W297" s="21"/>
      <c r="X297" s="21"/>
    </row>
    <row r="298" spans="2:31" ht="16">
      <c r="B298" s="14" t="str">
        <f t="shared" si="1"/>
        <v/>
      </c>
      <c r="C298" s="23"/>
      <c r="D298" s="6" t="str">
        <f ca="1">IFERROR(__xludf.DUMMYFUNCTION("""COMPUTED_VALUE"""),"PROPIOS")</f>
        <v>PROPIOS</v>
      </c>
      <c r="E298" s="6">
        <f ca="1">IFERROR(__xludf.DUMMYFUNCTION("""COMPUTED_VALUE"""),2026)</f>
        <v>2026</v>
      </c>
      <c r="F298" s="15">
        <f ca="1">IFERROR(__xludf.DUMMYFUNCTION("""COMPUTED_VALUE"""),3)</f>
        <v>3</v>
      </c>
      <c r="G298" s="6" t="str">
        <f ca="1">IFERROR(__xludf.DUMMYFUNCTION("""COMPUTED_VALUE"""),"Madrid- Canillas")</f>
        <v>Madrid- Canillas</v>
      </c>
      <c r="H298" s="6" t="str">
        <f ca="1">IFERROR(__xludf.DUMMYFUNCTION("""COMPUTED_VALUE"""),"C202621016226994416")</f>
        <v>C202621016226994416</v>
      </c>
      <c r="I298" s="6" t="str">
        <f ca="1">IFERROR(__xludf.DUMMYFUNCTION("""COMPUTED_VALUE"""),"CARLOS DURO MELERO")</f>
        <v>CARLOS DURO MELERO</v>
      </c>
      <c r="J298" s="16">
        <f ca="1">IFERROR(__xludf.DUMMYFUNCTION("""COMPUTED_VALUE"""),46063)</f>
        <v>46063</v>
      </c>
      <c r="K298" s="6" t="str">
        <f ca="1">IFERROR(__xludf.DUMMYFUNCTION("""COMPUTED_VALUE"""),"Factura audífonos")</f>
        <v>Factura audífonos</v>
      </c>
      <c r="L298" s="16">
        <f ca="1">IFERROR(__xludf.DUMMYFUNCTION("""COMPUTED_VALUE"""),46084)</f>
        <v>46084</v>
      </c>
      <c r="M298" s="23" t="str">
        <f ca="1">IFERROR(__xludf.DUMMYFUNCTION("""COMPUTED_VALUE"""),"NO")</f>
        <v>NO</v>
      </c>
      <c r="N298" s="15">
        <f ca="1">IFERROR(__xludf.DUMMYFUNCTION("""COMPUTED_VALUE"""),2)</f>
        <v>2</v>
      </c>
      <c r="O298" s="23" t="str">
        <f ca="1">IFERROR(__xludf.DUMMYFUNCTION("""COMPUTED_VALUE"""),"PRO")</f>
        <v>PRO</v>
      </c>
      <c r="P298" s="21">
        <f ca="1">IFERROR(__xludf.DUMMYFUNCTION("""COMPUTED_VALUE"""),4536.36)</f>
        <v>4536.3599999999997</v>
      </c>
      <c r="Q298" s="6" t="str">
        <f ca="1">IFERROR(__xludf.DUMMYFUNCTION("""COMPUTED_VALUE"""),"Maika Blázquez")</f>
        <v>Maika Blázquez</v>
      </c>
      <c r="R298" s="6" t="str">
        <f ca="1">IFERROR(__xludf.DUMMYFUNCTION("""COMPUTED_VALUE"""),"No recuerda ORL")</f>
        <v>No recuerda ORL</v>
      </c>
      <c r="S298" s="20" t="str">
        <f ca="1">IFERROR(__xludf.DUMMYFUNCTION("""COMPUTED_VALUE"""),"03 ORL")</f>
        <v>03 ORL</v>
      </c>
      <c r="T298" s="6" t="str">
        <f ca="1">IFERROR(__xludf.DUMMYFUNCTION("""COMPUTED_VALUE"""),"06 ORL")</f>
        <v>06 ORL</v>
      </c>
      <c r="U298" s="21"/>
      <c r="W298" s="21"/>
      <c r="X298" s="21"/>
    </row>
    <row r="299" spans="2:31" ht="16">
      <c r="B299" s="14" t="str">
        <f t="shared" ca="1" si="1"/>
        <v>ISL</v>
      </c>
      <c r="C299" s="23" t="str">
        <f ca="1">IFERROR(__xludf.DUMMYFUNCTION("""COMPUTED_VALUE"""),"ISL34")</f>
        <v>ISL34</v>
      </c>
      <c r="D299" s="6" t="str">
        <f ca="1">IFERROR(__xludf.DUMMYFUNCTION("""COMPUTED_VALUE"""),"PROPIOS")</f>
        <v>PROPIOS</v>
      </c>
      <c r="E299" s="6">
        <f ca="1">IFERROR(__xludf.DUMMYFUNCTION("""COMPUTED_VALUE"""),2026)</f>
        <v>2026</v>
      </c>
      <c r="F299" s="15">
        <f ca="1">IFERROR(__xludf.DUMMYFUNCTION("""COMPUTED_VALUE"""),3)</f>
        <v>3</v>
      </c>
      <c r="G299" s="6" t="str">
        <f ca="1">IFERROR(__xludf.DUMMYFUNCTION("""COMPUTED_VALUE"""),"Alicante")</f>
        <v>Alicante</v>
      </c>
      <c r="H299" s="6" t="str">
        <f ca="1">IFERROR(__xludf.DUMMYFUNCTION("""COMPUTED_VALUE"""),"C202612682640857253")</f>
        <v>C202612682640857253</v>
      </c>
      <c r="I299" s="6" t="str">
        <f ca="1">IFERROR(__xludf.DUMMYFUNCTION("""COMPUTED_VALUE"""),"JOSE GALLEGO ALBURQUERQUE")</f>
        <v>JOSE GALLEGO ALBURQUERQUE</v>
      </c>
      <c r="J299" s="16">
        <f ca="1">IFERROR(__xludf.DUMMYFUNCTION("""COMPUTED_VALUE"""),46048)</f>
        <v>46048</v>
      </c>
      <c r="K299" s="6" t="str">
        <f ca="1">IFERROR(__xludf.DUMMYFUNCTION("""COMPUTED_VALUE"""),"Factura audífonos")</f>
        <v>Factura audífonos</v>
      </c>
      <c r="L299" s="16">
        <f ca="1">IFERROR(__xludf.DUMMYFUNCTION("""COMPUTED_VALUE"""),46085)</f>
        <v>46085</v>
      </c>
      <c r="M299" s="23" t="str">
        <f ca="1">IFERROR(__xludf.DUMMYFUNCTION("""COMPUTED_VALUE"""),"NO")</f>
        <v>NO</v>
      </c>
      <c r="N299" s="15">
        <f ca="1">IFERROR(__xludf.DUMMYFUNCTION("""COMPUTED_VALUE"""),1)</f>
        <v>1</v>
      </c>
      <c r="O299" s="23" t="str">
        <f ca="1">IFERROR(__xludf.DUMMYFUNCTION("""COMPUTED_VALUE"""),"PRO")</f>
        <v>PRO</v>
      </c>
      <c r="P299" s="21">
        <f ca="1">IFERROR(__xludf.DUMMYFUNCTION("""COMPUTED_VALUE"""),2180.91)</f>
        <v>2180.91</v>
      </c>
      <c r="Q299" s="6" t="str">
        <f ca="1">IFERROR(__xludf.DUMMYFUNCTION("""COMPUTED_VALUE"""),"Iván Sánchez")</f>
        <v>Iván Sánchez</v>
      </c>
      <c r="R299" s="6" t="str">
        <f ca="1">IFERROR(__xludf.DUMMYFUNCTION("""COMPUTED_VALUE"""),"Francisco Pastor Beviá")</f>
        <v>Francisco Pastor Beviá</v>
      </c>
      <c r="S299" s="20" t="str">
        <f ca="1">IFERROR(__xludf.DUMMYFUNCTION("""COMPUTED_VALUE"""),"03 ORL")</f>
        <v>03 ORL</v>
      </c>
      <c r="T299" s="6" t="str">
        <f ca="1">IFERROR(__xludf.DUMMYFUNCTION("""COMPUTED_VALUE"""),"06 ORL")</f>
        <v>06 ORL</v>
      </c>
      <c r="U299" s="21"/>
      <c r="W299" s="21"/>
      <c r="X299" s="21"/>
    </row>
    <row r="300" spans="2:31" ht="16">
      <c r="B300" s="14" t="str">
        <f t="shared" ca="1" si="1"/>
        <v>LAA</v>
      </c>
      <c r="C300" s="23" t="str">
        <f ca="1">IFERROR(__xludf.DUMMYFUNCTION("""COMPUTED_VALUE"""),"LAA17")</f>
        <v>LAA17</v>
      </c>
      <c r="D300" s="6" t="str">
        <f ca="1">IFERROR(__xludf.DUMMYFUNCTION("""COMPUTED_VALUE"""),"PROPIOS")</f>
        <v>PROPIOS</v>
      </c>
      <c r="E300" s="6">
        <f ca="1">IFERROR(__xludf.DUMMYFUNCTION("""COMPUTED_VALUE"""),2026)</f>
        <v>2026</v>
      </c>
      <c r="F300" s="15">
        <f ca="1">IFERROR(__xludf.DUMMYFUNCTION("""COMPUTED_VALUE"""),3)</f>
        <v>3</v>
      </c>
      <c r="G300" s="6" t="str">
        <f ca="1">IFERROR(__xludf.DUMMYFUNCTION("""COMPUTED_VALUE"""),"Sevilla- Montoto")</f>
        <v>Sevilla- Montoto</v>
      </c>
      <c r="H300" s="6" t="str">
        <f ca="1">IFERROR(__xludf.DUMMYFUNCTION("""COMPUTED_VALUE"""),"C202622164933142863")</f>
        <v>C202622164933142863</v>
      </c>
      <c r="I300" s="6" t="str">
        <f ca="1">IFERROR(__xludf.DUMMYFUNCTION("""COMPUTED_VALUE"""),"CARMEN PEREZ ORTEGA")</f>
        <v>CARMEN PEREZ ORTEGA</v>
      </c>
      <c r="J300" s="16">
        <f ca="1">IFERROR(__xludf.DUMMYFUNCTION("""COMPUTED_VALUE"""),46055)</f>
        <v>46055</v>
      </c>
      <c r="K300" s="6" t="str">
        <f ca="1">IFERROR(__xludf.DUMMYFUNCTION("""COMPUTED_VALUE"""),"Factura audífonos")</f>
        <v>Factura audífonos</v>
      </c>
      <c r="L300" s="16">
        <f ca="1">IFERROR(__xludf.DUMMYFUNCTION("""COMPUTED_VALUE"""),46085)</f>
        <v>46085</v>
      </c>
      <c r="M300" s="17" t="str">
        <f ca="1">IFERROR(__xludf.DUMMYFUNCTION("""COMPUTED_VALUE"""),"NO")</f>
        <v>NO</v>
      </c>
      <c r="N300" s="15">
        <f ca="1">IFERROR(__xludf.DUMMYFUNCTION("""COMPUTED_VALUE"""),2)</f>
        <v>2</v>
      </c>
      <c r="O300" s="23" t="str">
        <f ca="1">IFERROR(__xludf.DUMMYFUNCTION("""COMPUTED_VALUE"""),"QUIET")</f>
        <v>QUIET</v>
      </c>
      <c r="P300" s="21">
        <f ca="1">IFERROR(__xludf.DUMMYFUNCTION("""COMPUTED_VALUE"""),2582.27)</f>
        <v>2582.27</v>
      </c>
      <c r="Q300" s="6" t="str">
        <f ca="1">IFERROR(__xludf.DUMMYFUNCTION("""COMPUTED_VALUE"""),"Luis Alberto Rodríguez")</f>
        <v>Luis Alberto Rodríguez</v>
      </c>
      <c r="R300" s="6" t="str">
        <f ca="1">IFERROR(__xludf.DUMMYFUNCTION("""COMPUTED_VALUE"""),"Francisco Ropero Romero")</f>
        <v>Francisco Ropero Romero</v>
      </c>
      <c r="S300" s="20" t="str">
        <f ca="1">IFERROR(__xludf.DUMMYFUNCTION("""COMPUTED_VALUE"""),"03 ORL")</f>
        <v>03 ORL</v>
      </c>
      <c r="T300" s="6" t="str">
        <f ca="1">IFERROR(__xludf.DUMMYFUNCTION("""COMPUTED_VALUE"""),"06 ORL")</f>
        <v>06 ORL</v>
      </c>
      <c r="U300" s="21"/>
      <c r="W300" s="21"/>
      <c r="X300" s="21"/>
    </row>
    <row r="301" spans="2:31" ht="16">
      <c r="B301" s="14" t="str">
        <f t="shared" ca="1" si="1"/>
        <v>MBM</v>
      </c>
      <c r="C301" s="23" t="str">
        <f ca="1">IFERROR(__xludf.DUMMYFUNCTION("""COMPUTED_VALUE"""),"MBM129")</f>
        <v>MBM129</v>
      </c>
      <c r="D301" s="6" t="str">
        <f ca="1">IFERROR(__xludf.DUMMYFUNCTION("""COMPUTED_VALUE"""),"PROPIOS")</f>
        <v>PROPIOS</v>
      </c>
      <c r="E301" s="6">
        <f ca="1">IFERROR(__xludf.DUMMYFUNCTION("""COMPUTED_VALUE"""),2026)</f>
        <v>2026</v>
      </c>
      <c r="F301" s="15">
        <f ca="1">IFERROR(__xludf.DUMMYFUNCTION("""COMPUTED_VALUE"""),3)</f>
        <v>3</v>
      </c>
      <c r="G301" s="6" t="str">
        <f ca="1">IFERROR(__xludf.DUMMYFUNCTION("""COMPUTED_VALUE"""),"Leganés")</f>
        <v>Leganés</v>
      </c>
      <c r="H301" s="6" t="str">
        <f ca="1">IFERROR(__xludf.DUMMYFUNCTION("""COMPUTED_VALUE"""),"C20262910536173084")</f>
        <v>C20262910536173084</v>
      </c>
      <c r="I301" s="6" t="str">
        <f ca="1">IFERROR(__xludf.DUMMYFUNCTION("""COMPUTED_VALUE"""),"MANUEL MEILAN TEIJEIRO")</f>
        <v>MANUEL MEILAN TEIJEIRO</v>
      </c>
      <c r="J301" s="16">
        <f ca="1">IFERROR(__xludf.DUMMYFUNCTION("""COMPUTED_VALUE"""),46062)</f>
        <v>46062</v>
      </c>
      <c r="K301" s="6" t="str">
        <f ca="1">IFERROR(__xludf.DUMMYFUNCTION("""COMPUTED_VALUE"""),"Factura audífonos")</f>
        <v>Factura audífonos</v>
      </c>
      <c r="L301" s="16">
        <f ca="1">IFERROR(__xludf.DUMMYFUNCTION("""COMPUTED_VALUE"""),46085)</f>
        <v>46085</v>
      </c>
      <c r="M301" s="23" t="str">
        <f ca="1">IFERROR(__xludf.DUMMYFUNCTION("""COMPUTED_VALUE"""),"NO")</f>
        <v>NO</v>
      </c>
      <c r="N301" s="15">
        <f ca="1">IFERROR(__xludf.DUMMYFUNCTION("""COMPUTED_VALUE"""),2)</f>
        <v>2</v>
      </c>
      <c r="O301" s="23" t="str">
        <f ca="1">IFERROR(__xludf.DUMMYFUNCTION("""COMPUTED_VALUE"""),"ADVANCED")</f>
        <v>ADVANCED</v>
      </c>
      <c r="P301" s="21">
        <f ca="1">IFERROR(__xludf.DUMMYFUNCTION("""COMPUTED_VALUE"""),3929.09)</f>
        <v>3929.09</v>
      </c>
      <c r="Q301" s="6" t="str">
        <f ca="1">IFERROR(__xludf.DUMMYFUNCTION("""COMPUTED_VALUE"""),"Maika Blázquez")</f>
        <v>Maika Blázquez</v>
      </c>
      <c r="R301" s="6" t="str">
        <f ca="1">IFERROR(__xludf.DUMMYFUNCTION("""COMPUTED_VALUE"""),"Laura del Toro Gil")</f>
        <v>Laura del Toro Gil</v>
      </c>
      <c r="S301" s="20" t="str">
        <f ca="1">IFERROR(__xludf.DUMMYFUNCTION("""COMPUTED_VALUE"""),"01 MARKETING ON LINE")</f>
        <v>01 MARKETING ON LINE</v>
      </c>
      <c r="T301" s="6" t="str">
        <f ca="1">IFERROR(__xludf.DUMMYFUNCTION("""COMPUTED_VALUE"""),"04 AUDIFONO,ES")</f>
        <v>04 AUDIFONO,ES</v>
      </c>
      <c r="U301" s="21"/>
      <c r="W301" s="21"/>
      <c r="X301" s="21"/>
    </row>
    <row r="302" spans="2:31" ht="16">
      <c r="B302" s="14" t="str">
        <f t="shared" ca="1" si="1"/>
        <v>#N/</v>
      </c>
      <c r="C302" s="23" t="str">
        <f ca="1">IFERROR(__xludf.DUMMYFUNCTION("""COMPUTED_VALUE"""),"#N/A")</f>
        <v>#N/A</v>
      </c>
      <c r="D302" s="6" t="str">
        <f ca="1">IFERROR(__xludf.DUMMYFUNCTION("""COMPUTED_VALUE"""),"ASOCIADOS")</f>
        <v>ASOCIADOS</v>
      </c>
      <c r="E302" s="6">
        <f ca="1">IFERROR(__xludf.DUMMYFUNCTION("""COMPUTED_VALUE"""),2026)</f>
        <v>2026</v>
      </c>
      <c r="F302" s="15">
        <f ca="1">IFERROR(__xludf.DUMMYFUNCTION("""COMPUTED_VALUE"""),3)</f>
        <v>3</v>
      </c>
      <c r="G302" s="6" t="str">
        <f ca="1">IFERROR(__xludf.DUMMYFUNCTION("""COMPUTED_VALUE"""),"Sevilla- Ciencias")</f>
        <v>Sevilla- Ciencias</v>
      </c>
      <c r="H302" s="6" t="str">
        <f ca="1">IFERROR(__xludf.DUMMYFUNCTION("""COMPUTED_VALUE"""),"C202612710482835479")</f>
        <v>C202612710482835479</v>
      </c>
      <c r="I302" s="6" t="str">
        <f ca="1">IFERROR(__xludf.DUMMYFUNCTION("""COMPUTED_VALUE"""),"MARIA JOSE  GALVIN CAÑERO")</f>
        <v>MARIA JOSE  GALVIN CAÑERO</v>
      </c>
      <c r="J302" s="16">
        <f ca="1">IFERROR(__xludf.DUMMYFUNCTION("""COMPUTED_VALUE"""),46049)</f>
        <v>46049</v>
      </c>
      <c r="K302" s="6" t="str">
        <f ca="1">IFERROR(__xludf.DUMMYFUNCTION("""COMPUTED_VALUE"""),"Factura audífonos")</f>
        <v>Factura audífonos</v>
      </c>
      <c r="L302" s="16">
        <f ca="1">IFERROR(__xludf.DUMMYFUNCTION("""COMPUTED_VALUE"""),46085)</f>
        <v>46085</v>
      </c>
      <c r="M302" s="23" t="str">
        <f ca="1">IFERROR(__xludf.DUMMYFUNCTION("""COMPUTED_VALUE"""),"NO")</f>
        <v>NO</v>
      </c>
      <c r="N302" s="15">
        <f ca="1">IFERROR(__xludf.DUMMYFUNCTION("""COMPUTED_VALUE"""),2)</f>
        <v>2</v>
      </c>
      <c r="O302" s="23" t="str">
        <f ca="1">IFERROR(__xludf.DUMMYFUNCTION("""COMPUTED_VALUE"""),"QUIET")</f>
        <v>QUIET</v>
      </c>
      <c r="P302" s="21">
        <f ca="1">IFERROR(__xludf.DUMMYFUNCTION("""COMPUTED_VALUE"""),2718.19)</f>
        <v>2718.19</v>
      </c>
      <c r="Q302" s="6" t="str">
        <f ca="1">IFERROR(__xludf.DUMMYFUNCTION("""COMPUTED_VALUE"""),"Luis Alberto Rodríguez")</f>
        <v>Luis Alberto Rodríguez</v>
      </c>
      <c r="R302" s="6" t="str">
        <f ca="1">IFERROR(__xludf.DUMMYFUNCTION("""COMPUTED_VALUE"""),"Julio César Ariza Lizcano")</f>
        <v>Julio César Ariza Lizcano</v>
      </c>
      <c r="S302" s="20" t="str">
        <f ca="1">IFERROR(__xludf.DUMMYFUNCTION("""COMPUTED_VALUE"""),"01 MARKETING ON LINE")</f>
        <v>01 MARKETING ON LINE</v>
      </c>
      <c r="T302" s="6" t="str">
        <f ca="1">IFERROR(__xludf.DUMMYFUNCTION("""COMPUTED_VALUE"""),"36 CENTRO AUDÍFONOS")</f>
        <v>36 CENTRO AUDÍFONOS</v>
      </c>
      <c r="U302" s="21"/>
      <c r="W302" s="21"/>
      <c r="X302" s="21"/>
    </row>
    <row r="303" spans="2:31" ht="16">
      <c r="B303" s="14" t="str">
        <f t="shared" ca="1" si="1"/>
        <v>PSC</v>
      </c>
      <c r="C303" s="23" t="str">
        <f ca="1">IFERROR(__xludf.DUMMYFUNCTION("""COMPUTED_VALUE"""),"PSC22")</f>
        <v>PSC22</v>
      </c>
      <c r="D303" s="6" t="str">
        <f ca="1">IFERROR(__xludf.DUMMYFUNCTION("""COMPUTED_VALUE"""),"ASOCIADOS")</f>
        <v>ASOCIADOS</v>
      </c>
      <c r="E303" s="6">
        <f ca="1">IFERROR(__xludf.DUMMYFUNCTION("""COMPUTED_VALUE"""),2026)</f>
        <v>2026</v>
      </c>
      <c r="F303" s="15">
        <f ca="1">IFERROR(__xludf.DUMMYFUNCTION("""COMPUTED_VALUE"""),3)</f>
        <v>3</v>
      </c>
      <c r="G303" s="6" t="str">
        <f ca="1">IFERROR(__xludf.DUMMYFUNCTION("""COMPUTED_VALUE"""),"Salamanca")</f>
        <v>Salamanca</v>
      </c>
      <c r="H303" s="6" t="str">
        <f ca="1">IFERROR(__xludf.DUMMYFUNCTION("""COMPUTED_VALUE"""),"C202621017151617842")</f>
        <v>C202621017151617842</v>
      </c>
      <c r="I303" s="6" t="str">
        <f ca="1">IFERROR(__xludf.DUMMYFUNCTION("""COMPUTED_VALUE"""),"HILARIO VICENTE DAZA")</f>
        <v>HILARIO VICENTE DAZA</v>
      </c>
      <c r="J303" s="16">
        <f ca="1">IFERROR(__xludf.DUMMYFUNCTION("""COMPUTED_VALUE"""),46063)</f>
        <v>46063</v>
      </c>
      <c r="K303" s="6" t="str">
        <f ca="1">IFERROR(__xludf.DUMMYFUNCTION("""COMPUTED_VALUE"""),"Factura audífonos")</f>
        <v>Factura audífonos</v>
      </c>
      <c r="L303" s="16">
        <f ca="1">IFERROR(__xludf.DUMMYFUNCTION("""COMPUTED_VALUE"""),46085)</f>
        <v>46085</v>
      </c>
      <c r="M303" s="23" t="str">
        <f ca="1">IFERROR(__xludf.DUMMYFUNCTION("""COMPUTED_VALUE"""),"NO")</f>
        <v>NO</v>
      </c>
      <c r="N303" s="15">
        <f ca="1">IFERROR(__xludf.DUMMYFUNCTION("""COMPUTED_VALUE"""),2)</f>
        <v>2</v>
      </c>
      <c r="O303" s="23" t="str">
        <f ca="1">IFERROR(__xludf.DUMMYFUNCTION("""COMPUTED_VALUE"""),"QUIET")</f>
        <v>QUIET</v>
      </c>
      <c r="P303" s="21">
        <f ca="1">IFERROR(__xludf.DUMMYFUNCTION("""COMPUTED_VALUE"""),2974.55)</f>
        <v>2974.55</v>
      </c>
      <c r="Q303" s="6" t="str">
        <f ca="1">IFERROR(__xludf.DUMMYFUNCTION("""COMPUTED_VALUE"""),"Alberto Moreno")</f>
        <v>Alberto Moreno</v>
      </c>
      <c r="R303" s="6" t="str">
        <f ca="1">IFERROR(__xludf.DUMMYFUNCTION("""COMPUTED_VALUE"""),"Luis Miguel Rincón Esteban")</f>
        <v>Luis Miguel Rincón Esteban</v>
      </c>
      <c r="S303" s="20" t="str">
        <f ca="1">IFERROR(__xludf.DUMMYFUNCTION("""COMPUTED_VALUE"""),"03 ORL")</f>
        <v>03 ORL</v>
      </c>
      <c r="T303" s="6" t="str">
        <f ca="1">IFERROR(__xludf.DUMMYFUNCTION("""COMPUTED_VALUE"""),"06 ORL")</f>
        <v>06 ORL</v>
      </c>
      <c r="U303" s="21"/>
      <c r="W303" s="21"/>
      <c r="X303" s="21"/>
    </row>
    <row r="304" spans="2:31" ht="16">
      <c r="B304" s="14" t="str">
        <f t="shared" ca="1" si="1"/>
        <v>MBM</v>
      </c>
      <c r="C304" s="23" t="str">
        <f ca="1">IFERROR(__xludf.DUMMYFUNCTION("""COMPUTED_VALUE"""),"MBM50")</f>
        <v>MBM50</v>
      </c>
      <c r="D304" s="6" t="str">
        <f ca="1">IFERROR(__xludf.DUMMYFUNCTION("""COMPUTED_VALUE"""),"PROPIOS")</f>
        <v>PROPIOS</v>
      </c>
      <c r="E304" s="6">
        <f ca="1">IFERROR(__xludf.DUMMYFUNCTION("""COMPUTED_VALUE"""),2026)</f>
        <v>2026</v>
      </c>
      <c r="F304" s="15">
        <f ca="1">IFERROR(__xludf.DUMMYFUNCTION("""COMPUTED_VALUE"""),3)</f>
        <v>3</v>
      </c>
      <c r="G304" s="6" t="str">
        <f ca="1">IFERROR(__xludf.DUMMYFUNCTION("""COMPUTED_VALUE"""),"Madrid- Canillas")</f>
        <v>Madrid- Canillas</v>
      </c>
      <c r="H304" s="6" t="str">
        <f ca="1">IFERROR(__xludf.DUMMYFUNCTION("""COMPUTED_VALUE"""),"C20262316552057584")</f>
        <v>C20262316552057584</v>
      </c>
      <c r="I304" s="6" t="str">
        <f ca="1">IFERROR(__xludf.DUMMYFUNCTION("""COMPUTED_VALUE"""),"BRAULIA GOMEZ BERMEJO")</f>
        <v>BRAULIA GOMEZ BERMEJO</v>
      </c>
      <c r="J304" s="16">
        <f ca="1">IFERROR(__xludf.DUMMYFUNCTION("""COMPUTED_VALUE"""),46056)</f>
        <v>46056</v>
      </c>
      <c r="K304" s="6" t="str">
        <f ca="1">IFERROR(__xludf.DUMMYFUNCTION("""COMPUTED_VALUE"""),"Factura audífonos")</f>
        <v>Factura audífonos</v>
      </c>
      <c r="L304" s="16">
        <f ca="1">IFERROR(__xludf.DUMMYFUNCTION("""COMPUTED_VALUE"""),46085)</f>
        <v>46085</v>
      </c>
      <c r="M304" s="23" t="str">
        <f ca="1">IFERROR(__xludf.DUMMYFUNCTION("""COMPUTED_VALUE"""),"NO")</f>
        <v>NO</v>
      </c>
      <c r="N304" s="15">
        <f ca="1">IFERROR(__xludf.DUMMYFUNCTION("""COMPUTED_VALUE"""),2)</f>
        <v>2</v>
      </c>
      <c r="O304" s="23" t="str">
        <f ca="1">IFERROR(__xludf.DUMMYFUNCTION("""COMPUTED_VALUE"""),"CONFORT")</f>
        <v>CONFORT</v>
      </c>
      <c r="P304" s="21">
        <f ca="1">IFERROR(__xludf.DUMMYFUNCTION("""COMPUTED_VALUE"""),3631.82)</f>
        <v>3631.82</v>
      </c>
      <c r="Q304" s="6" t="str">
        <f ca="1">IFERROR(__xludf.DUMMYFUNCTION("""COMPUTED_VALUE"""),"Maika Blázquez")</f>
        <v>Maika Blázquez</v>
      </c>
      <c r="R304" s="6" t="str">
        <f ca="1">IFERROR(__xludf.DUMMYFUNCTION("""COMPUTED_VALUE"""),"José Gustavo Barroso Braojos")</f>
        <v>José Gustavo Barroso Braojos</v>
      </c>
      <c r="S304" s="20" t="str">
        <f ca="1">IFERROR(__xludf.DUMMYFUNCTION("""COMPUTED_VALUE"""),"02 MARKETING OFF LINE")</f>
        <v>02 MARKETING OFF LINE</v>
      </c>
      <c r="T304" s="6" t="str">
        <f ca="1">IFERROR(__xludf.DUMMYFUNCTION("""COMPUTED_VALUE"""),"18 ESCAPARATE")</f>
        <v>18 ESCAPARATE</v>
      </c>
      <c r="U304" s="21"/>
      <c r="W304" s="21"/>
      <c r="X304" s="21"/>
    </row>
    <row r="305" spans="2:24" ht="16">
      <c r="B305" s="14" t="str">
        <f t="shared" ca="1" si="1"/>
        <v>MBM</v>
      </c>
      <c r="C305" s="23" t="str">
        <f ca="1">IFERROR(__xludf.DUMMYFUNCTION("""COMPUTED_VALUE"""),"MBM201")</f>
        <v>MBM201</v>
      </c>
      <c r="D305" s="6" t="str">
        <f ca="1">IFERROR(__xludf.DUMMYFUNCTION("""COMPUTED_VALUE"""),"PROPIOS")</f>
        <v>PROPIOS</v>
      </c>
      <c r="E305" s="6">
        <f ca="1">IFERROR(__xludf.DUMMYFUNCTION("""COMPUTED_VALUE"""),2026)</f>
        <v>2026</v>
      </c>
      <c r="F305" s="15">
        <f ca="1">IFERROR(__xludf.DUMMYFUNCTION("""COMPUTED_VALUE"""),3)</f>
        <v>3</v>
      </c>
      <c r="G305" s="6" t="str">
        <f ca="1">IFERROR(__xludf.DUMMYFUNCTION("""COMPUTED_VALUE"""),"Madrid- Moratalaz")</f>
        <v>Madrid- Moratalaz</v>
      </c>
      <c r="H305" s="6" t="str">
        <f ca="1">IFERROR(__xludf.DUMMYFUNCTION("""COMPUTED_VALUE"""),"C202621110313220358")</f>
        <v>C202621110313220358</v>
      </c>
      <c r="I305" s="6" t="str">
        <f ca="1">IFERROR(__xludf.DUMMYFUNCTION("""COMPUTED_VALUE"""),"BERNARDINA  FERNANDEZ POSADA")</f>
        <v>BERNARDINA  FERNANDEZ POSADA</v>
      </c>
      <c r="J305" s="16">
        <f ca="1">IFERROR(__xludf.DUMMYFUNCTION("""COMPUTED_VALUE"""),46064)</f>
        <v>46064</v>
      </c>
      <c r="K305" s="6" t="str">
        <f ca="1">IFERROR(__xludf.DUMMYFUNCTION("""COMPUTED_VALUE"""),"Factura audífonos")</f>
        <v>Factura audífonos</v>
      </c>
      <c r="L305" s="16">
        <f ca="1">IFERROR(__xludf.DUMMYFUNCTION("""COMPUTED_VALUE"""),46085)</f>
        <v>46085</v>
      </c>
      <c r="M305" s="23" t="str">
        <f ca="1">IFERROR(__xludf.DUMMYFUNCTION("""COMPUTED_VALUE"""),"NO")</f>
        <v>NO</v>
      </c>
      <c r="N305" s="15">
        <f ca="1">IFERROR(__xludf.DUMMYFUNCTION("""COMPUTED_VALUE"""),2)</f>
        <v>2</v>
      </c>
      <c r="O305" s="23" t="str">
        <f ca="1">IFERROR(__xludf.DUMMYFUNCTION("""COMPUTED_VALUE"""),"CONFORT")</f>
        <v>CONFORT</v>
      </c>
      <c r="P305" s="21">
        <f ca="1">IFERROR(__xludf.DUMMYFUNCTION("""COMPUTED_VALUE"""),3631.82)</f>
        <v>3631.82</v>
      </c>
      <c r="Q305" s="6" t="str">
        <f ca="1">IFERROR(__xludf.DUMMYFUNCTION("""COMPUTED_VALUE"""),"Maika Blázquez")</f>
        <v>Maika Blázquez</v>
      </c>
      <c r="R305" s="6" t="str">
        <f ca="1">IFERROR(__xludf.DUMMYFUNCTION("""COMPUTED_VALUE"""),"María Cecilia Scola Torres")</f>
        <v>María Cecilia Scola Torres</v>
      </c>
      <c r="S305" s="20" t="str">
        <f ca="1">IFERROR(__xludf.DUMMYFUNCTION("""COMPUTED_VALUE"""),"03 ORL")</f>
        <v>03 ORL</v>
      </c>
      <c r="T305" s="6" t="str">
        <f ca="1">IFERROR(__xludf.DUMMYFUNCTION("""COMPUTED_VALUE"""),"06 ORL")</f>
        <v>06 ORL</v>
      </c>
      <c r="U305" s="21"/>
      <c r="W305" s="21"/>
      <c r="X305" s="21"/>
    </row>
    <row r="306" spans="2:24" ht="16">
      <c r="B306" s="14" t="str">
        <f t="shared" ca="1" si="1"/>
        <v>RFV</v>
      </c>
      <c r="C306" s="23" t="str">
        <f ca="1">IFERROR(__xludf.DUMMYFUNCTION("""COMPUTED_VALUE"""),"RFV22")</f>
        <v>RFV22</v>
      </c>
      <c r="D306" s="6" t="str">
        <f ca="1">IFERROR(__xludf.DUMMYFUNCTION("""COMPUTED_VALUE"""),"PROPIOS")</f>
        <v>PROPIOS</v>
      </c>
      <c r="E306" s="6">
        <f ca="1">IFERROR(__xludf.DUMMYFUNCTION("""COMPUTED_VALUE"""),2026)</f>
        <v>2026</v>
      </c>
      <c r="F306" s="15">
        <f ca="1">IFERROR(__xludf.DUMMYFUNCTION("""COMPUTED_VALUE"""),3)</f>
        <v>3</v>
      </c>
      <c r="G306" s="6" t="str">
        <f ca="1">IFERROR(__xludf.DUMMYFUNCTION("""COMPUTED_VALUE"""),"Valencia- Cádiz")</f>
        <v>Valencia- Cádiz</v>
      </c>
      <c r="H306" s="6" t="str">
        <f ca="1">IFERROR(__xludf.DUMMYFUNCTION("""COMPUTED_VALUE"""),"C202571175228315")</f>
        <v>C202571175228315</v>
      </c>
      <c r="I306" s="6" t="str">
        <f ca="1">IFERROR(__xludf.DUMMYFUNCTION("""COMPUTED_VALUE"""),"CARMEN LORENTE MUÑOZ")</f>
        <v>CARMEN LORENTE MUÑOZ</v>
      </c>
      <c r="J306" s="16">
        <f ca="1">IFERROR(__xludf.DUMMYFUNCTION("""COMPUTED_VALUE"""),45826)</f>
        <v>45826</v>
      </c>
      <c r="K306" s="6" t="str">
        <f ca="1">IFERROR(__xludf.DUMMYFUNCTION("""COMPUTED_VALUE"""),"Factura audífonos")</f>
        <v>Factura audífonos</v>
      </c>
      <c r="L306" s="16">
        <f ca="1">IFERROR(__xludf.DUMMYFUNCTION("""COMPUTED_VALUE"""),46085)</f>
        <v>46085</v>
      </c>
      <c r="M306" s="23" t="str">
        <f ca="1">IFERROR(__xludf.DUMMYFUNCTION("""COMPUTED_VALUE"""),"NO")</f>
        <v>NO</v>
      </c>
      <c r="N306" s="15">
        <f ca="1">IFERROR(__xludf.DUMMYFUNCTION("""COMPUTED_VALUE"""),2)</f>
        <v>2</v>
      </c>
      <c r="O306" s="23" t="str">
        <f ca="1">IFERROR(__xludf.DUMMYFUNCTION("""COMPUTED_VALUE"""),"ADVANCED")</f>
        <v>ADVANCED</v>
      </c>
      <c r="P306" s="21">
        <f ca="1">IFERROR(__xludf.DUMMYFUNCTION("""COMPUTED_VALUE"""),4000)</f>
        <v>4000</v>
      </c>
      <c r="Q306" s="6" t="str">
        <f ca="1">IFERROR(__xludf.DUMMYFUNCTION("""COMPUTED_VALUE"""),"Ramon Ferrando")</f>
        <v>Ramon Ferrando</v>
      </c>
      <c r="R306" s="6" t="str">
        <f ca="1">IFERROR(__xludf.DUMMYFUNCTION("""COMPUTED_VALUE"""),"Martín Eduardo Marcano Acuña")</f>
        <v>Martín Eduardo Marcano Acuña</v>
      </c>
      <c r="S306" s="20" t="str">
        <f ca="1">IFERROR(__xludf.DUMMYFUNCTION("""COMPUTED_VALUE"""),"03 ORL")</f>
        <v>03 ORL</v>
      </c>
      <c r="T306" s="6" t="str">
        <f ca="1">IFERROR(__xludf.DUMMYFUNCTION("""COMPUTED_VALUE"""),"06 ORL")</f>
        <v>06 ORL</v>
      </c>
      <c r="U306" s="21"/>
      <c r="W306" s="21"/>
      <c r="X306" s="21"/>
    </row>
    <row r="307" spans="2:24" ht="16">
      <c r="B307" s="14" t="str">
        <f t="shared" ca="1" si="1"/>
        <v>MBM</v>
      </c>
      <c r="C307" s="23" t="str">
        <f ca="1">IFERROR(__xludf.DUMMYFUNCTION("""COMPUTED_VALUE"""),"MBM15")</f>
        <v>MBM15</v>
      </c>
      <c r="D307" s="6" t="str">
        <f ca="1">IFERROR(__xludf.DUMMYFUNCTION("""COMPUTED_VALUE"""),"PARTICIPADOS")</f>
        <v>PARTICIPADOS</v>
      </c>
      <c r="E307" s="6">
        <f ca="1">IFERROR(__xludf.DUMMYFUNCTION("""COMPUTED_VALUE"""),2026)</f>
        <v>2026</v>
      </c>
      <c r="F307" s="15">
        <f ca="1">IFERROR(__xludf.DUMMYFUNCTION("""COMPUTED_VALUE"""),3)</f>
        <v>3</v>
      </c>
      <c r="G307" s="6" t="str">
        <f ca="1">IFERROR(__xludf.DUMMYFUNCTION("""COMPUTED_VALUE"""),"Madrid- La Oca")</f>
        <v>Madrid- La Oca</v>
      </c>
      <c r="H307" s="6" t="str">
        <f ca="1">IFERROR(__xludf.DUMMYFUNCTION("""COMPUTED_VALUE"""),"C20262694053947352")</f>
        <v>C20262694053947352</v>
      </c>
      <c r="I307" s="6" t="str">
        <f ca="1">IFERROR(__xludf.DUMMYFUNCTION("""COMPUTED_VALUE"""),"JULIO HARO SANCHEZ")</f>
        <v>JULIO HARO SANCHEZ</v>
      </c>
      <c r="J307" s="16">
        <f ca="1">IFERROR(__xludf.DUMMYFUNCTION("""COMPUTED_VALUE"""),46059)</f>
        <v>46059</v>
      </c>
      <c r="K307" s="6" t="str">
        <f ca="1">IFERROR(__xludf.DUMMYFUNCTION("""COMPUTED_VALUE"""),"Factura audífonos")</f>
        <v>Factura audífonos</v>
      </c>
      <c r="L307" s="16">
        <f ca="1">IFERROR(__xludf.DUMMYFUNCTION("""COMPUTED_VALUE"""),46086)</f>
        <v>46086</v>
      </c>
      <c r="M307" s="23" t="str">
        <f ca="1">IFERROR(__xludf.DUMMYFUNCTION("""COMPUTED_VALUE"""),"NO")</f>
        <v>NO</v>
      </c>
      <c r="N307" s="15">
        <f ca="1">IFERROR(__xludf.DUMMYFUNCTION("""COMPUTED_VALUE"""),2)</f>
        <v>2</v>
      </c>
      <c r="O307" s="23" t="str">
        <f ca="1">IFERROR(__xludf.DUMMYFUNCTION("""COMPUTED_VALUE"""),"CONFORT")</f>
        <v>CONFORT</v>
      </c>
      <c r="P307" s="21">
        <f ca="1">IFERROR(__xludf.DUMMYFUNCTION("""COMPUTED_VALUE"""),3631.82)</f>
        <v>3631.82</v>
      </c>
      <c r="Q307" s="6" t="str">
        <f ca="1">IFERROR(__xludf.DUMMYFUNCTION("""COMPUTED_VALUE"""),"Maika Blázquez")</f>
        <v>Maika Blázquez</v>
      </c>
      <c r="R307" s="6" t="str">
        <f ca="1">IFERROR(__xludf.DUMMYFUNCTION("""COMPUTED_VALUE"""),"César Charles Martínez")</f>
        <v>César Charles Martínez</v>
      </c>
      <c r="S307" s="20" t="str">
        <f ca="1">IFERROR(__xludf.DUMMYFUNCTION("""COMPUTED_VALUE"""),"03 ORL")</f>
        <v>03 ORL</v>
      </c>
      <c r="T307" s="6" t="str">
        <f ca="1">IFERROR(__xludf.DUMMYFUNCTION("""COMPUTED_VALUE"""),"06 ORL")</f>
        <v>06 ORL</v>
      </c>
      <c r="U307" s="21"/>
      <c r="W307" s="21"/>
      <c r="X307" s="21"/>
    </row>
    <row r="308" spans="2:24" ht="16">
      <c r="B308" s="14" t="str">
        <f t="shared" ca="1" si="1"/>
        <v>MBM</v>
      </c>
      <c r="C308" s="23" t="str">
        <f ca="1">IFERROR(__xludf.DUMMYFUNCTION("""COMPUTED_VALUE"""),"MBM108")</f>
        <v>MBM108</v>
      </c>
      <c r="D308" s="6" t="str">
        <f ca="1">IFERROR(__xludf.DUMMYFUNCTION("""COMPUTED_VALUE"""),"PROPIOS")</f>
        <v>PROPIOS</v>
      </c>
      <c r="E308" s="6">
        <f ca="1">IFERROR(__xludf.DUMMYFUNCTION("""COMPUTED_VALUE"""),2026)</f>
        <v>2026</v>
      </c>
      <c r="F308" s="15">
        <f ca="1">IFERROR(__xludf.DUMMYFUNCTION("""COMPUTED_VALUE"""),3)</f>
        <v>3</v>
      </c>
      <c r="G308" s="6" t="str">
        <f ca="1">IFERROR(__xludf.DUMMYFUNCTION("""COMPUTED_VALUE"""),"Leganés")</f>
        <v>Leganés</v>
      </c>
      <c r="H308" s="6" t="str">
        <f ca="1">IFERROR(__xludf.DUMMYFUNCTION("""COMPUTED_VALUE"""),"C20261991035083818")</f>
        <v>C20261991035083818</v>
      </c>
      <c r="I308" s="6" t="str">
        <f ca="1">IFERROR(__xludf.DUMMYFUNCTION("""COMPUTED_VALUE"""),"ROSA MARIA CABALLERO GARCIA")</f>
        <v>ROSA MARIA CABALLERO GARCIA</v>
      </c>
      <c r="J308" s="16">
        <f ca="1">IFERROR(__xludf.DUMMYFUNCTION("""COMPUTED_VALUE"""),46031)</f>
        <v>46031</v>
      </c>
      <c r="K308" s="6" t="str">
        <f ca="1">IFERROR(__xludf.DUMMYFUNCTION("""COMPUTED_VALUE"""),"Factura audífonos")</f>
        <v>Factura audífonos</v>
      </c>
      <c r="L308" s="16">
        <f ca="1">IFERROR(__xludf.DUMMYFUNCTION("""COMPUTED_VALUE"""),46086)</f>
        <v>46086</v>
      </c>
      <c r="M308" s="17" t="str">
        <f ca="1">IFERROR(__xludf.DUMMYFUNCTION("""COMPUTED_VALUE"""),"NO")</f>
        <v>NO</v>
      </c>
      <c r="N308" s="15">
        <f ca="1">IFERROR(__xludf.DUMMYFUNCTION("""COMPUTED_VALUE"""),1)</f>
        <v>1</v>
      </c>
      <c r="O308" s="23" t="str">
        <f ca="1">IFERROR(__xludf.DUMMYFUNCTION("""COMPUTED_VALUE"""),"ADVANCED")</f>
        <v>ADVANCED</v>
      </c>
      <c r="P308" s="21">
        <f ca="1">IFERROR(__xludf.DUMMYFUNCTION("""COMPUTED_VALUE"""),2481.82)</f>
        <v>2481.8200000000002</v>
      </c>
      <c r="Q308" s="6" t="str">
        <f ca="1">IFERROR(__xludf.DUMMYFUNCTION("""COMPUTED_VALUE"""),"Maika Blázquez")</f>
        <v>Maika Blázquez</v>
      </c>
      <c r="R308" s="6" t="str">
        <f ca="1">IFERROR(__xludf.DUMMYFUNCTION("""COMPUTED_VALUE"""),"Mar Lasso de la Vega Zamora")</f>
        <v>Mar Lasso de la Vega Zamora</v>
      </c>
      <c r="S308" s="20" t="str">
        <f ca="1">IFERROR(__xludf.DUMMYFUNCTION("""COMPUTED_VALUE"""),"03 ORL")</f>
        <v>03 ORL</v>
      </c>
      <c r="T308" s="6" t="str">
        <f ca="1">IFERROR(__xludf.DUMMYFUNCTION("""COMPUTED_VALUE"""),"06 ORL")</f>
        <v>06 ORL</v>
      </c>
      <c r="U308" s="21"/>
      <c r="W308" s="21"/>
      <c r="X308" s="21"/>
    </row>
    <row r="309" spans="2:24" ht="16">
      <c r="B309" s="14" t="str">
        <f t="shared" ca="1" si="1"/>
        <v>LAA</v>
      </c>
      <c r="C309" s="23" t="str">
        <f ca="1">IFERROR(__xludf.DUMMYFUNCTION("""COMPUTED_VALUE"""),"LAA77")</f>
        <v>LAA77</v>
      </c>
      <c r="D309" s="6" t="str">
        <f ca="1">IFERROR(__xludf.DUMMYFUNCTION("""COMPUTED_VALUE"""),"PROPIOS")</f>
        <v>PROPIOS</v>
      </c>
      <c r="E309" s="6">
        <f ca="1">IFERROR(__xludf.DUMMYFUNCTION("""COMPUTED_VALUE"""),2026)</f>
        <v>2026</v>
      </c>
      <c r="F309" s="15">
        <f ca="1">IFERROR(__xludf.DUMMYFUNCTION("""COMPUTED_VALUE"""),3)</f>
        <v>3</v>
      </c>
      <c r="G309" s="6" t="str">
        <f ca="1">IFERROR(__xludf.DUMMYFUNCTION("""COMPUTED_VALUE"""),"Sevilla- Montoto")</f>
        <v>Sevilla- Montoto</v>
      </c>
      <c r="H309" s="6" t="str">
        <f ca="1">IFERROR(__xludf.DUMMYFUNCTION("""COMPUTED_VALUE"""),"C202621718165514877")</f>
        <v>C202621718165514877</v>
      </c>
      <c r="I309" s="6" t="str">
        <f ca="1">IFERROR(__xludf.DUMMYFUNCTION("""COMPUTED_VALUE"""),"MARIA PAULA ROSALES SALAMANCA")</f>
        <v>MARIA PAULA ROSALES SALAMANCA</v>
      </c>
      <c r="J309" s="16">
        <f ca="1">IFERROR(__xludf.DUMMYFUNCTION("""COMPUTED_VALUE"""),46070)</f>
        <v>46070</v>
      </c>
      <c r="K309" s="6" t="str">
        <f ca="1">IFERROR(__xludf.DUMMYFUNCTION("""COMPUTED_VALUE"""),"Factura audífonos")</f>
        <v>Factura audífonos</v>
      </c>
      <c r="L309" s="16">
        <f ca="1">IFERROR(__xludf.DUMMYFUNCTION("""COMPUTED_VALUE"""),46086)</f>
        <v>46086</v>
      </c>
      <c r="M309" s="23" t="str">
        <f ca="1">IFERROR(__xludf.DUMMYFUNCTION("""COMPUTED_VALUE"""),"NO")</f>
        <v>NO</v>
      </c>
      <c r="N309" s="15">
        <f ca="1">IFERROR(__xludf.DUMMYFUNCTION("""COMPUTED_VALUE"""),2)</f>
        <v>2</v>
      </c>
      <c r="O309" s="23" t="str">
        <f ca="1">IFERROR(__xludf.DUMMYFUNCTION("""COMPUTED_VALUE"""),"CONFORT")</f>
        <v>CONFORT</v>
      </c>
      <c r="P309" s="21">
        <f ca="1">IFERROR(__xludf.DUMMYFUNCTION("""COMPUTED_VALUE"""),3631.82)</f>
        <v>3631.82</v>
      </c>
      <c r="Q309" s="6" t="str">
        <f ca="1">IFERROR(__xludf.DUMMYFUNCTION("""COMPUTED_VALUE"""),"Luis Alberto Rodríguez")</f>
        <v>Luis Alberto Rodríguez</v>
      </c>
      <c r="R309" s="6" t="str">
        <f ca="1">IFERROR(__xludf.DUMMYFUNCTION("""COMPUTED_VALUE"""),"Mercedes Ceballos Cauto")</f>
        <v>Mercedes Ceballos Cauto</v>
      </c>
      <c r="S309" s="20" t="str">
        <f ca="1">IFERROR(__xludf.DUMMYFUNCTION("""COMPUTED_VALUE"""),"03 ORL")</f>
        <v>03 ORL</v>
      </c>
      <c r="T309" s="6" t="str">
        <f ca="1">IFERROR(__xludf.DUMMYFUNCTION("""COMPUTED_VALUE"""),"06 ORL")</f>
        <v>06 ORL</v>
      </c>
      <c r="U309" s="21"/>
      <c r="W309" s="21"/>
      <c r="X309" s="21"/>
    </row>
    <row r="310" spans="2:24" ht="16">
      <c r="B310" s="14" t="str">
        <f t="shared" ca="1" si="1"/>
        <v>LAA</v>
      </c>
      <c r="C310" s="23" t="str">
        <f ca="1">IFERROR(__xludf.DUMMYFUNCTION("""COMPUTED_VALUE"""),"LAA57")</f>
        <v>LAA57</v>
      </c>
      <c r="D310" s="6" t="str">
        <f ca="1">IFERROR(__xludf.DUMMYFUNCTION("""COMPUTED_VALUE"""),"ASOCIADOS")</f>
        <v>ASOCIADOS</v>
      </c>
      <c r="E310" s="6">
        <f ca="1">IFERROR(__xludf.DUMMYFUNCTION("""COMPUTED_VALUE"""),2026)</f>
        <v>2026</v>
      </c>
      <c r="F310" s="15">
        <f ca="1">IFERROR(__xludf.DUMMYFUNCTION("""COMPUTED_VALUE"""),3)</f>
        <v>3</v>
      </c>
      <c r="G310" s="6" t="str">
        <f ca="1">IFERROR(__xludf.DUMMYFUNCTION("""COMPUTED_VALUE"""),"Badajoz")</f>
        <v>Badajoz</v>
      </c>
      <c r="H310" s="6" t="str">
        <f ca="1">IFERROR(__xludf.DUMMYFUNCTION("""COMPUTED_VALUE"""),"C20261261114890876")</f>
        <v>C20261261114890876</v>
      </c>
      <c r="I310" s="6" t="str">
        <f ca="1">IFERROR(__xludf.DUMMYFUNCTION("""COMPUTED_VALUE"""),"JOSE ROYANO MORUJO")</f>
        <v>JOSE ROYANO MORUJO</v>
      </c>
      <c r="J310" s="16">
        <f ca="1">IFERROR(__xludf.DUMMYFUNCTION("""COMPUTED_VALUE"""),46048)</f>
        <v>46048</v>
      </c>
      <c r="K310" s="6" t="str">
        <f ca="1">IFERROR(__xludf.DUMMYFUNCTION("""COMPUTED_VALUE"""),"Factura audífonos")</f>
        <v>Factura audífonos</v>
      </c>
      <c r="L310" s="16">
        <f ca="1">IFERROR(__xludf.DUMMYFUNCTION("""COMPUTED_VALUE"""),46086)</f>
        <v>46086</v>
      </c>
      <c r="M310" s="23" t="str">
        <f ca="1">IFERROR(__xludf.DUMMYFUNCTION("""COMPUTED_VALUE"""),"NO")</f>
        <v>NO</v>
      </c>
      <c r="N310" s="15">
        <f ca="1">IFERROR(__xludf.DUMMYFUNCTION("""COMPUTED_VALUE"""),1)</f>
        <v>1</v>
      </c>
      <c r="O310" s="23" t="str">
        <f ca="1">IFERROR(__xludf.DUMMYFUNCTION("""COMPUTED_VALUE"""),"QUIET")</f>
        <v>QUIET</v>
      </c>
      <c r="P310" s="21">
        <f ca="1">IFERROR(__xludf.DUMMYFUNCTION("""COMPUTED_VALUE"""),1631.82)</f>
        <v>1631.82</v>
      </c>
      <c r="Q310" s="6" t="str">
        <f ca="1">IFERROR(__xludf.DUMMYFUNCTION("""COMPUTED_VALUE"""),"Luis Alberto Rodríguez")</f>
        <v>Luis Alberto Rodríguez</v>
      </c>
      <c r="R310" s="6" t="str">
        <f ca="1">IFERROR(__xludf.DUMMYFUNCTION("""COMPUTED_VALUE"""),"Raquel Solís Vázquez")</f>
        <v>Raquel Solís Vázquez</v>
      </c>
      <c r="S310" s="20" t="str">
        <f ca="1">IFERROR(__xludf.DUMMYFUNCTION("""COMPUTED_VALUE"""),"03 ORL")</f>
        <v>03 ORL</v>
      </c>
      <c r="T310" s="6" t="str">
        <f ca="1">IFERROR(__xludf.DUMMYFUNCTION("""COMPUTED_VALUE"""),"06 ORL")</f>
        <v>06 ORL</v>
      </c>
      <c r="U310" s="21"/>
      <c r="W310" s="21"/>
      <c r="X310" s="21"/>
    </row>
    <row r="311" spans="2:24" ht="16">
      <c r="B311" s="14" t="str">
        <f t="shared" ca="1" si="1"/>
        <v>LAA</v>
      </c>
      <c r="C311" s="23" t="str">
        <f ca="1">IFERROR(__xludf.DUMMYFUNCTION("""COMPUTED_VALUE"""),"LAA57")</f>
        <v>LAA57</v>
      </c>
      <c r="D311" s="6" t="str">
        <f ca="1">IFERROR(__xludf.DUMMYFUNCTION("""COMPUTED_VALUE"""),"ASOCIADOS")</f>
        <v>ASOCIADOS</v>
      </c>
      <c r="E311" s="6">
        <f ca="1">IFERROR(__xludf.DUMMYFUNCTION("""COMPUTED_VALUE"""),2026)</f>
        <v>2026</v>
      </c>
      <c r="F311" s="15">
        <f ca="1">IFERROR(__xludf.DUMMYFUNCTION("""COMPUTED_VALUE"""),3)</f>
        <v>3</v>
      </c>
      <c r="G311" s="6" t="str">
        <f ca="1">IFERROR(__xludf.DUMMYFUNCTION("""COMPUTED_VALUE"""),"Badajoz")</f>
        <v>Badajoz</v>
      </c>
      <c r="H311" s="6" t="str">
        <f ca="1">IFERROR(__xludf.DUMMYFUNCTION("""COMPUTED_VALUE"""),"C202612611454602570")</f>
        <v>C202612611454602570</v>
      </c>
      <c r="I311" s="6" t="str">
        <f ca="1">IFERROR(__xludf.DUMMYFUNCTION("""COMPUTED_VALUE"""),"GLORIA PILAR GOMEZ MARIN")</f>
        <v>GLORIA PILAR GOMEZ MARIN</v>
      </c>
      <c r="J311" s="16">
        <f ca="1">IFERROR(__xludf.DUMMYFUNCTION("""COMPUTED_VALUE"""),46048)</f>
        <v>46048</v>
      </c>
      <c r="K311" s="6" t="str">
        <f ca="1">IFERROR(__xludf.DUMMYFUNCTION("""COMPUTED_VALUE"""),"Factura audífonos")</f>
        <v>Factura audífonos</v>
      </c>
      <c r="L311" s="16">
        <f ca="1">IFERROR(__xludf.DUMMYFUNCTION("""COMPUTED_VALUE"""),46086)</f>
        <v>46086</v>
      </c>
      <c r="M311" s="23" t="str">
        <f ca="1">IFERROR(__xludf.DUMMYFUNCTION("""COMPUTED_VALUE"""),"NO")</f>
        <v>NO</v>
      </c>
      <c r="N311" s="15">
        <f ca="1">IFERROR(__xludf.DUMMYFUNCTION("""COMPUTED_VALUE"""),1)</f>
        <v>1</v>
      </c>
      <c r="O311" s="17" t="str">
        <f ca="1">IFERROR(__xludf.DUMMYFUNCTION("""COMPUTED_VALUE"""),"QUIET")</f>
        <v>QUIET</v>
      </c>
      <c r="P311" s="21">
        <f ca="1">IFERROR(__xludf.DUMMYFUNCTION("""COMPUTED_VALUE"""),1631.82)</f>
        <v>1631.82</v>
      </c>
      <c r="Q311" s="6" t="str">
        <f ca="1">IFERROR(__xludf.DUMMYFUNCTION("""COMPUTED_VALUE"""),"Luis Alberto Rodríguez")</f>
        <v>Luis Alberto Rodríguez</v>
      </c>
      <c r="R311" s="6" t="str">
        <f ca="1">IFERROR(__xludf.DUMMYFUNCTION("""COMPUTED_VALUE"""),"Raquel Solís Vázquez")</f>
        <v>Raquel Solís Vázquez</v>
      </c>
      <c r="S311" s="20" t="str">
        <f ca="1">IFERROR(__xludf.DUMMYFUNCTION("""COMPUTED_VALUE"""),"03 ORL")</f>
        <v>03 ORL</v>
      </c>
      <c r="T311" s="6" t="str">
        <f ca="1">IFERROR(__xludf.DUMMYFUNCTION("""COMPUTED_VALUE"""),"06 ORL")</f>
        <v>06 ORL</v>
      </c>
      <c r="U311" s="21"/>
      <c r="W311" s="21"/>
      <c r="X311" s="21"/>
    </row>
    <row r="312" spans="2:24" ht="16">
      <c r="B312" s="14" t="str">
        <f t="shared" ca="1" si="1"/>
        <v>MBM</v>
      </c>
      <c r="C312" s="23" t="str">
        <f ca="1">IFERROR(__xludf.DUMMYFUNCTION("""COMPUTED_VALUE"""),"MBM11")</f>
        <v>MBM11</v>
      </c>
      <c r="D312" s="6" t="str">
        <f ca="1">IFERROR(__xludf.DUMMYFUNCTION("""COMPUTED_VALUE"""),"PROPIOS")</f>
        <v>PROPIOS</v>
      </c>
      <c r="E312" s="6">
        <f ca="1">IFERROR(__xludf.DUMMYFUNCTION("""COMPUTED_VALUE"""),2026)</f>
        <v>2026</v>
      </c>
      <c r="F312" s="15">
        <f ca="1">IFERROR(__xludf.DUMMYFUNCTION("""COMPUTED_VALUE"""),3)</f>
        <v>3</v>
      </c>
      <c r="G312" s="6" t="str">
        <f ca="1">IFERROR(__xludf.DUMMYFUNCTION("""COMPUTED_VALUE"""),"Madrid- Juan Bravo")</f>
        <v>Madrid- Juan Bravo</v>
      </c>
      <c r="H312" s="6" t="str">
        <f ca="1">IFERROR(__xludf.DUMMYFUNCTION("""COMPUTED_VALUE"""),"C202612194212888765")</f>
        <v>C202612194212888765</v>
      </c>
      <c r="I312" s="6" t="str">
        <f ca="1">IFERROR(__xludf.DUMMYFUNCTION("""COMPUTED_VALUE"""),"JESUS CARLOS BRIZ PINDAO")</f>
        <v>JESUS CARLOS BRIZ PINDAO</v>
      </c>
      <c r="J312" s="16">
        <f ca="1">IFERROR(__xludf.DUMMYFUNCTION("""COMPUTED_VALUE"""),46043)</f>
        <v>46043</v>
      </c>
      <c r="K312" s="6" t="str">
        <f ca="1">IFERROR(__xludf.DUMMYFUNCTION("""COMPUTED_VALUE"""),"Factura audífonos")</f>
        <v>Factura audífonos</v>
      </c>
      <c r="L312" s="16">
        <f ca="1">IFERROR(__xludf.DUMMYFUNCTION("""COMPUTED_VALUE"""),46086)</f>
        <v>46086</v>
      </c>
      <c r="M312" s="23" t="str">
        <f ca="1">IFERROR(__xludf.DUMMYFUNCTION("""COMPUTED_VALUE"""),"NO")</f>
        <v>NO</v>
      </c>
      <c r="N312" s="15">
        <f ca="1">IFERROR(__xludf.DUMMYFUNCTION("""COMPUTED_VALUE"""),2)</f>
        <v>2</v>
      </c>
      <c r="O312" s="23" t="str">
        <f ca="1">IFERROR(__xludf.DUMMYFUNCTION("""COMPUTED_VALUE"""),"QUIET")</f>
        <v>QUIET</v>
      </c>
      <c r="P312" s="21">
        <f ca="1">IFERROR(__xludf.DUMMYFUNCTION("""COMPUTED_VALUE"""),2718.18)</f>
        <v>2718.18</v>
      </c>
      <c r="Q312" s="6" t="str">
        <f ca="1">IFERROR(__xludf.DUMMYFUNCTION("""COMPUTED_VALUE"""),"Maika Blázquez")</f>
        <v>Maika Blázquez</v>
      </c>
      <c r="R312" s="6" t="str">
        <f ca="1">IFERROR(__xludf.DUMMYFUNCTION("""COMPUTED_VALUE"""),"Antonio Rodríguez Rivero")</f>
        <v>Antonio Rodríguez Rivero</v>
      </c>
      <c r="S312" s="20" t="str">
        <f ca="1">IFERROR(__xludf.DUMMYFUNCTION("""COMPUTED_VALUE"""),"03 ORL")</f>
        <v>03 ORL</v>
      </c>
      <c r="T312" s="6" t="str">
        <f ca="1">IFERROR(__xludf.DUMMYFUNCTION("""COMPUTED_VALUE"""),"22 AUDIOMETRIA CLINICA")</f>
        <v>22 AUDIOMETRIA CLINICA</v>
      </c>
      <c r="U312" s="21"/>
      <c r="W312" s="21"/>
      <c r="X312" s="21"/>
    </row>
    <row r="313" spans="2:24" ht="16">
      <c r="B313" s="14" t="str">
        <f t="shared" ca="1" si="1"/>
        <v>RPG</v>
      </c>
      <c r="C313" s="23" t="str">
        <f ca="1">IFERROR(__xludf.DUMMYFUNCTION("""COMPUTED_VALUE"""),"RPG30")</f>
        <v>RPG30</v>
      </c>
      <c r="D313" s="6" t="str">
        <f ca="1">IFERROR(__xludf.DUMMYFUNCTION("""COMPUTED_VALUE"""),"PARTICIPADOS")</f>
        <v>PARTICIPADOS</v>
      </c>
      <c r="E313" s="6">
        <f ca="1">IFERROR(__xludf.DUMMYFUNCTION("""COMPUTED_VALUE"""),2026)</f>
        <v>2026</v>
      </c>
      <c r="F313" s="15">
        <f ca="1">IFERROR(__xludf.DUMMYFUNCTION("""COMPUTED_VALUE"""),3)</f>
        <v>3</v>
      </c>
      <c r="G313" s="6" t="str">
        <f ca="1">IFERROR(__xludf.DUMMYFUNCTION("""COMPUTED_VALUE"""),"Lugo")</f>
        <v>Lugo</v>
      </c>
      <c r="H313" s="6" t="str">
        <f ca="1">IFERROR(__xludf.DUMMYFUNCTION("""COMPUTED_VALUE"""),"C202621010559256864")</f>
        <v>C202621010559256864</v>
      </c>
      <c r="I313" s="6" t="str">
        <f ca="1">IFERROR(__xludf.DUMMYFUNCTION("""COMPUTED_VALUE"""),"ARMANDO VIDAL VILLMARÍN")</f>
        <v>ARMANDO VIDAL VILLMARÍN</v>
      </c>
      <c r="J313" s="16">
        <f ca="1">IFERROR(__xludf.DUMMYFUNCTION("""COMPUTED_VALUE"""),46063)</f>
        <v>46063</v>
      </c>
      <c r="K313" s="6" t="str">
        <f ca="1">IFERROR(__xludf.DUMMYFUNCTION("""COMPUTED_VALUE"""),"Factura audífonos")</f>
        <v>Factura audífonos</v>
      </c>
      <c r="L313" s="16">
        <f ca="1">IFERROR(__xludf.DUMMYFUNCTION("""COMPUTED_VALUE"""),46087)</f>
        <v>46087</v>
      </c>
      <c r="M313" s="23" t="str">
        <f ca="1">IFERROR(__xludf.DUMMYFUNCTION("""COMPUTED_VALUE"""),"NO")</f>
        <v>NO</v>
      </c>
      <c r="N313" s="15">
        <f ca="1">IFERROR(__xludf.DUMMYFUNCTION("""COMPUTED_VALUE"""),2)</f>
        <v>2</v>
      </c>
      <c r="O313" s="23" t="str">
        <f ca="1">IFERROR(__xludf.DUMMYFUNCTION("""COMPUTED_VALUE"""),"QUIET")</f>
        <v>QUIET</v>
      </c>
      <c r="P313" s="21">
        <f ca="1">IFERROR(__xludf.DUMMYFUNCTION("""COMPUTED_VALUE"""),2918.18)</f>
        <v>2918.18</v>
      </c>
      <c r="Q313" s="6" t="str">
        <f ca="1">IFERROR(__xludf.DUMMYFUNCTION("""COMPUTED_VALUE"""),"Kiko Ortega")</f>
        <v>Kiko Ortega</v>
      </c>
      <c r="R313" s="6" t="str">
        <f ca="1">IFERROR(__xludf.DUMMYFUNCTION("""COMPUTED_VALUE"""),"Pedro Juiz López")</f>
        <v>Pedro Juiz López</v>
      </c>
      <c r="S313" s="20" t="str">
        <f ca="1">IFERROR(__xludf.DUMMYFUNCTION("""COMPUTED_VALUE"""),"03 ORL")</f>
        <v>03 ORL</v>
      </c>
      <c r="T313" s="6" t="str">
        <f ca="1">IFERROR(__xludf.DUMMYFUNCTION("""COMPUTED_VALUE"""),"06 ORL")</f>
        <v>06 ORL</v>
      </c>
      <c r="U313" s="21"/>
      <c r="W313" s="21"/>
      <c r="X313" s="21"/>
    </row>
    <row r="314" spans="2:24" ht="16">
      <c r="B314" s="14" t="str">
        <f t="shared" ca="1" si="1"/>
        <v>MBM</v>
      </c>
      <c r="C314" s="23" t="str">
        <f ca="1">IFERROR(__xludf.DUMMYFUNCTION("""COMPUTED_VALUE"""),"MBM29")</f>
        <v>MBM29</v>
      </c>
      <c r="D314" s="6" t="str">
        <f ca="1">IFERROR(__xludf.DUMMYFUNCTION("""COMPUTED_VALUE"""),"PROPIOS")</f>
        <v>PROPIOS</v>
      </c>
      <c r="E314" s="6">
        <f ca="1">IFERROR(__xludf.DUMMYFUNCTION("""COMPUTED_VALUE"""),2026)</f>
        <v>2026</v>
      </c>
      <c r="F314" s="15">
        <f ca="1">IFERROR(__xludf.DUMMYFUNCTION("""COMPUTED_VALUE"""),3)</f>
        <v>3</v>
      </c>
      <c r="G314" s="6" t="str">
        <f ca="1">IFERROR(__xludf.DUMMYFUNCTION("""COMPUTED_VALUE"""),"Leganés")</f>
        <v>Leganés</v>
      </c>
      <c r="H314" s="6" t="str">
        <f ca="1">IFERROR(__xludf.DUMMYFUNCTION("""COMPUTED_VALUE"""),"C202612217611917668")</f>
        <v>C202612217611917668</v>
      </c>
      <c r="I314" s="6" t="str">
        <f ca="1">IFERROR(__xludf.DUMMYFUNCTION("""COMPUTED_VALUE"""),"MARIA JESÚS MANJÓN CABIDA")</f>
        <v>MARIA JESÚS MANJÓN CABIDA</v>
      </c>
      <c r="J314" s="16">
        <f ca="1">IFERROR(__xludf.DUMMYFUNCTION("""COMPUTED_VALUE"""),46044)</f>
        <v>46044</v>
      </c>
      <c r="K314" s="6" t="str">
        <f ca="1">IFERROR(__xludf.DUMMYFUNCTION("""COMPUTED_VALUE"""),"Factura audífonos")</f>
        <v>Factura audífonos</v>
      </c>
      <c r="L314" s="16">
        <f ca="1">IFERROR(__xludf.DUMMYFUNCTION("""COMPUTED_VALUE"""),46087)</f>
        <v>46087</v>
      </c>
      <c r="M314" s="23" t="str">
        <f ca="1">IFERROR(__xludf.DUMMYFUNCTION("""COMPUTED_VALUE"""),"NO")</f>
        <v>NO</v>
      </c>
      <c r="N314" s="15">
        <f ca="1">IFERROR(__xludf.DUMMYFUNCTION("""COMPUTED_VALUE"""),1)</f>
        <v>1</v>
      </c>
      <c r="O314" s="23" t="str">
        <f ca="1">IFERROR(__xludf.DUMMYFUNCTION("""COMPUTED_VALUE"""),"CONFORT")</f>
        <v>CONFORT</v>
      </c>
      <c r="P314" s="21">
        <f ca="1">IFERROR(__xludf.DUMMYFUNCTION("""COMPUTED_VALUE"""),2180.91)</f>
        <v>2180.91</v>
      </c>
      <c r="Q314" s="6" t="str">
        <f ca="1">IFERROR(__xludf.DUMMYFUNCTION("""COMPUTED_VALUE"""),"Maika Blázquez")</f>
        <v>Maika Blázquez</v>
      </c>
      <c r="R314" s="6" t="str">
        <f ca="1">IFERROR(__xludf.DUMMYFUNCTION("""COMPUTED_VALUE"""),"Guillermo Plaza Mayor")</f>
        <v>Guillermo Plaza Mayor</v>
      </c>
      <c r="S314" s="20" t="str">
        <f ca="1">IFERROR(__xludf.DUMMYFUNCTION("""COMPUTED_VALUE"""),"03 ORL")</f>
        <v>03 ORL</v>
      </c>
      <c r="T314" s="6" t="str">
        <f ca="1">IFERROR(__xludf.DUMMYFUNCTION("""COMPUTED_VALUE"""),"06 ORL")</f>
        <v>06 ORL</v>
      </c>
      <c r="U314" s="21"/>
      <c r="W314" s="21"/>
      <c r="X314" s="21"/>
    </row>
    <row r="315" spans="2:24" ht="16">
      <c r="B315" s="14" t="str">
        <f t="shared" ca="1" si="1"/>
        <v>LAA</v>
      </c>
      <c r="C315" s="23" t="str">
        <f ca="1">IFERROR(__xludf.DUMMYFUNCTION("""COMPUTED_VALUE"""),"LAA78")</f>
        <v>LAA78</v>
      </c>
      <c r="D315" s="6" t="str">
        <f ca="1">IFERROR(__xludf.DUMMYFUNCTION("""COMPUTED_VALUE"""),"PROPIOS")</f>
        <v>PROPIOS</v>
      </c>
      <c r="E315" s="6">
        <f ca="1">IFERROR(__xludf.DUMMYFUNCTION("""COMPUTED_VALUE"""),2026)</f>
        <v>2026</v>
      </c>
      <c r="F315" s="15">
        <f ca="1">IFERROR(__xludf.DUMMYFUNCTION("""COMPUTED_VALUE"""),3)</f>
        <v>3</v>
      </c>
      <c r="G315" s="6" t="str">
        <f ca="1">IFERROR(__xludf.DUMMYFUNCTION("""COMPUTED_VALUE"""),"Jerez de la Frontera")</f>
        <v>Jerez de la Frontera</v>
      </c>
      <c r="H315" s="6" t="str">
        <f ca="1">IFERROR(__xludf.DUMMYFUNCTION("""COMPUTED_VALUE"""),"C202622121114157053")</f>
        <v>C202622121114157053</v>
      </c>
      <c r="I315" s="6" t="str">
        <f ca="1">IFERROR(__xludf.DUMMYFUNCTION("""COMPUTED_VALUE"""),"JOSE MARIA RUIZ VEGA")</f>
        <v>JOSE MARIA RUIZ VEGA</v>
      </c>
      <c r="J315" s="16">
        <f ca="1">IFERROR(__xludf.DUMMYFUNCTION("""COMPUTED_VALUE"""),46055)</f>
        <v>46055</v>
      </c>
      <c r="K315" s="6" t="str">
        <f ca="1">IFERROR(__xludf.DUMMYFUNCTION("""COMPUTED_VALUE"""),"Factura audífonos")</f>
        <v>Factura audífonos</v>
      </c>
      <c r="L315" s="16">
        <f ca="1">IFERROR(__xludf.DUMMYFUNCTION("""COMPUTED_VALUE"""),46087)</f>
        <v>46087</v>
      </c>
      <c r="M315" s="23" t="str">
        <f ca="1">IFERROR(__xludf.DUMMYFUNCTION("""COMPUTED_VALUE"""),"NO")</f>
        <v>NO</v>
      </c>
      <c r="N315" s="15">
        <f ca="1">IFERROR(__xludf.DUMMYFUNCTION("""COMPUTED_VALUE"""),2)</f>
        <v>2</v>
      </c>
      <c r="O315" s="23" t="str">
        <f ca="1">IFERROR(__xludf.DUMMYFUNCTION("""COMPUTED_VALUE"""),"CONFORT")</f>
        <v>CONFORT</v>
      </c>
      <c r="P315" s="21">
        <f ca="1">IFERROR(__xludf.DUMMYFUNCTION("""COMPUTED_VALUE"""),3631.82)</f>
        <v>3631.82</v>
      </c>
      <c r="Q315" s="6" t="str">
        <f ca="1">IFERROR(__xludf.DUMMYFUNCTION("""COMPUTED_VALUE"""),"Luis Alberto Rodríguez")</f>
        <v>Luis Alberto Rodríguez</v>
      </c>
      <c r="R315" s="6" t="str">
        <f ca="1">IFERROR(__xludf.DUMMYFUNCTION("""COMPUTED_VALUE"""),"Maria Del Carmen Salom Coveñas")</f>
        <v>Maria Del Carmen Salom Coveñas</v>
      </c>
      <c r="S315" s="20" t="str">
        <f ca="1">IFERROR(__xludf.DUMMYFUNCTION("""COMPUTED_VALUE"""),"03 ORL")</f>
        <v>03 ORL</v>
      </c>
      <c r="T315" s="6" t="str">
        <f ca="1">IFERROR(__xludf.DUMMYFUNCTION("""COMPUTED_VALUE"""),"06 ORL")</f>
        <v>06 ORL</v>
      </c>
      <c r="U315" s="21"/>
      <c r="W315" s="21"/>
      <c r="X315" s="21"/>
    </row>
    <row r="316" spans="2:24" ht="16">
      <c r="B316" s="14" t="str">
        <f t="shared" ca="1" si="1"/>
        <v>RFV</v>
      </c>
      <c r="C316" s="23" t="str">
        <f ca="1">IFERROR(__xludf.DUMMYFUNCTION("""COMPUTED_VALUE"""),"RFV08")</f>
        <v>RFV08</v>
      </c>
      <c r="D316" s="6" t="str">
        <f ca="1">IFERROR(__xludf.DUMMYFUNCTION("""COMPUTED_VALUE"""),"PROPIOS")</f>
        <v>PROPIOS</v>
      </c>
      <c r="E316" s="6">
        <f ca="1">IFERROR(__xludf.DUMMYFUNCTION("""COMPUTED_VALUE"""),2026)</f>
        <v>2026</v>
      </c>
      <c r="F316" s="15">
        <f ca="1">IFERROR(__xludf.DUMMYFUNCTION("""COMPUTED_VALUE"""),3)</f>
        <v>3</v>
      </c>
      <c r="G316" s="6" t="str">
        <f ca="1">IFERROR(__xludf.DUMMYFUNCTION("""COMPUTED_VALUE"""),"Valencia- Cádiz")</f>
        <v>Valencia- Cádiz</v>
      </c>
      <c r="H316" s="6" t="str">
        <f ca="1">IFERROR(__xludf.DUMMYFUNCTION("""COMPUTED_VALUE"""),"C202611593737313090")</f>
        <v>C202611593737313090</v>
      </c>
      <c r="I316" s="6" t="str">
        <f ca="1">IFERROR(__xludf.DUMMYFUNCTION("""COMPUTED_VALUE"""),"JOSEFA PUERTAS FENOLLAR")</f>
        <v>JOSEFA PUERTAS FENOLLAR</v>
      </c>
      <c r="J316" s="16">
        <f ca="1">IFERROR(__xludf.DUMMYFUNCTION("""COMPUTED_VALUE"""),46037)</f>
        <v>46037</v>
      </c>
      <c r="K316" s="6" t="str">
        <f ca="1">IFERROR(__xludf.DUMMYFUNCTION("""COMPUTED_VALUE"""),"Factura audífonos")</f>
        <v>Factura audífonos</v>
      </c>
      <c r="L316" s="16">
        <f ca="1">IFERROR(__xludf.DUMMYFUNCTION("""COMPUTED_VALUE"""),46087)</f>
        <v>46087</v>
      </c>
      <c r="M316" s="23" t="str">
        <f ca="1">IFERROR(__xludf.DUMMYFUNCTION("""COMPUTED_VALUE"""),"NO")</f>
        <v>NO</v>
      </c>
      <c r="N316" s="15">
        <f ca="1">IFERROR(__xludf.DUMMYFUNCTION("""COMPUTED_VALUE"""),2)</f>
        <v>2</v>
      </c>
      <c r="O316" s="17" t="str">
        <f ca="1">IFERROR(__xludf.DUMMYFUNCTION("""COMPUTED_VALUE"""),"QUIET")</f>
        <v>QUIET</v>
      </c>
      <c r="P316" s="21">
        <f ca="1">IFERROR(__xludf.DUMMYFUNCTION("""COMPUTED_VALUE"""),2718.18)</f>
        <v>2718.18</v>
      </c>
      <c r="Q316" s="6" t="str">
        <f ca="1">IFERROR(__xludf.DUMMYFUNCTION("""COMPUTED_VALUE"""),"Ramon Ferrando")</f>
        <v>Ramon Ferrando</v>
      </c>
      <c r="R316" s="6" t="str">
        <f ca="1">IFERROR(__xludf.DUMMYFUNCTION("""COMPUTED_VALUE"""),"Abel Guzmán Calvete")</f>
        <v>Abel Guzmán Calvete</v>
      </c>
      <c r="S316" s="20" t="str">
        <f ca="1">IFERROR(__xludf.DUMMYFUNCTION("""COMPUTED_VALUE"""),"03 ORL")</f>
        <v>03 ORL</v>
      </c>
      <c r="T316" s="6" t="str">
        <f ca="1">IFERROR(__xludf.DUMMYFUNCTION("""COMPUTED_VALUE"""),"06 ORL")</f>
        <v>06 ORL</v>
      </c>
      <c r="U316" s="21"/>
      <c r="W316" s="21"/>
      <c r="X316" s="21"/>
    </row>
    <row r="317" spans="2:24" ht="16">
      <c r="B317" s="14" t="str">
        <f t="shared" ca="1" si="1"/>
        <v>MBM</v>
      </c>
      <c r="C317" s="23" t="str">
        <f ca="1">IFERROR(__xludf.DUMMYFUNCTION("""COMPUTED_VALUE"""),"MBM01")</f>
        <v>MBM01</v>
      </c>
      <c r="D317" s="6" t="str">
        <f ca="1">IFERROR(__xludf.DUMMYFUNCTION("""COMPUTED_VALUE"""),"PROPIOS")</f>
        <v>PROPIOS</v>
      </c>
      <c r="E317" s="6">
        <f ca="1">IFERROR(__xludf.DUMMYFUNCTION("""COMPUTED_VALUE"""),2026)</f>
        <v>2026</v>
      </c>
      <c r="F317" s="15">
        <f ca="1">IFERROR(__xludf.DUMMYFUNCTION("""COMPUTED_VALUE"""),3)</f>
        <v>3</v>
      </c>
      <c r="G317" s="6" t="str">
        <f ca="1">IFERROR(__xludf.DUMMYFUNCTION("""COMPUTED_VALUE"""),"Alcorcón")</f>
        <v>Alcorcón</v>
      </c>
      <c r="H317" s="6" t="str">
        <f ca="1">IFERROR(__xludf.DUMMYFUNCTION("""COMPUTED_VALUE"""),"C2025912124743909")</f>
        <v>C2025912124743909</v>
      </c>
      <c r="I317" s="6" t="str">
        <f ca="1">IFERROR(__xludf.DUMMYFUNCTION("""COMPUTED_VALUE"""),"MARIA CONCEPCION GARROTE HERNANDEZ")</f>
        <v>MARIA CONCEPCION GARROTE HERNANDEZ</v>
      </c>
      <c r="J317" s="16">
        <f ca="1">IFERROR(__xludf.DUMMYFUNCTION("""COMPUTED_VALUE"""),45910)</f>
        <v>45910</v>
      </c>
      <c r="K317" s="6" t="str">
        <f ca="1">IFERROR(__xludf.DUMMYFUNCTION("""COMPUTED_VALUE"""),"Factura audífonos")</f>
        <v>Factura audífonos</v>
      </c>
      <c r="L317" s="16">
        <f ca="1">IFERROR(__xludf.DUMMYFUNCTION("""COMPUTED_VALUE"""),46087)</f>
        <v>46087</v>
      </c>
      <c r="M317" s="23" t="str">
        <f ca="1">IFERROR(__xludf.DUMMYFUNCTION("""COMPUTED_VALUE"""),"NO")</f>
        <v>NO</v>
      </c>
      <c r="N317" s="15">
        <f ca="1">IFERROR(__xludf.DUMMYFUNCTION("""COMPUTED_VALUE"""),1)</f>
        <v>1</v>
      </c>
      <c r="O317" s="23" t="str">
        <f ca="1">IFERROR(__xludf.DUMMYFUNCTION("""COMPUTED_VALUE"""),"ADVANCED")</f>
        <v>ADVANCED</v>
      </c>
      <c r="P317" s="21">
        <f ca="1">IFERROR(__xludf.DUMMYFUNCTION("""COMPUTED_VALUE"""),1240.91)</f>
        <v>1240.9100000000001</v>
      </c>
      <c r="Q317" s="6" t="str">
        <f ca="1">IFERROR(__xludf.DUMMYFUNCTION("""COMPUTED_VALUE"""),"Maika Blázquez")</f>
        <v>Maika Blázquez</v>
      </c>
      <c r="R317" s="6" t="str">
        <f ca="1">IFERROR(__xludf.DUMMYFUNCTION("""COMPUTED_VALUE"""),"Adolfo Toledano Muñoz")</f>
        <v>Adolfo Toledano Muñoz</v>
      </c>
      <c r="S317" s="20" t="str">
        <f ca="1">IFERROR(__xludf.DUMMYFUNCTION("""COMPUTED_VALUE"""),"03 ORL")</f>
        <v>03 ORL</v>
      </c>
      <c r="T317" s="6" t="str">
        <f ca="1">IFERROR(__xludf.DUMMYFUNCTION("""COMPUTED_VALUE"""),"06 ORL")</f>
        <v>06 ORL</v>
      </c>
      <c r="U317" s="21"/>
      <c r="W317" s="21"/>
      <c r="X317" s="21"/>
    </row>
    <row r="318" spans="2:24" ht="16">
      <c r="B318" s="14" t="str">
        <f t="shared" ca="1" si="1"/>
        <v>MBM</v>
      </c>
      <c r="C318" s="23" t="str">
        <f ca="1">IFERROR(__xludf.DUMMYFUNCTION("""COMPUTED_VALUE"""),"MBM30")</f>
        <v>MBM30</v>
      </c>
      <c r="D318" s="6" t="str">
        <f ca="1">IFERROR(__xludf.DUMMYFUNCTION("""COMPUTED_VALUE"""),"PARTICIPADOS")</f>
        <v>PARTICIPADOS</v>
      </c>
      <c r="E318" s="6">
        <f ca="1">IFERROR(__xludf.DUMMYFUNCTION("""COMPUTED_VALUE"""),2026)</f>
        <v>2026</v>
      </c>
      <c r="F318" s="15">
        <f ca="1">IFERROR(__xludf.DUMMYFUNCTION("""COMPUTED_VALUE"""),3)</f>
        <v>3</v>
      </c>
      <c r="G318" s="6" t="str">
        <f ca="1">IFERROR(__xludf.DUMMYFUNCTION("""COMPUTED_VALUE"""),"Madrid- Costa Rica")</f>
        <v>Madrid- Costa Rica</v>
      </c>
      <c r="H318" s="6" t="str">
        <f ca="1">IFERROR(__xludf.DUMMYFUNCTION("""COMPUTED_VALUE"""),"C202611317543889810")</f>
        <v>C202611317543889810</v>
      </c>
      <c r="I318" s="6" t="str">
        <f ca="1">IFERROR(__xludf.DUMMYFUNCTION("""COMPUTED_VALUE"""),"MARIA DEL CARMEN DE CASTRO MOLINERO")</f>
        <v>MARIA DEL CARMEN DE CASTRO MOLINERO</v>
      </c>
      <c r="J318" s="16">
        <f ca="1">IFERROR(__xludf.DUMMYFUNCTION("""COMPUTED_VALUE"""),46035)</f>
        <v>46035</v>
      </c>
      <c r="K318" s="6" t="str">
        <f ca="1">IFERROR(__xludf.DUMMYFUNCTION("""COMPUTED_VALUE"""),"Factura audífonos")</f>
        <v>Factura audífonos</v>
      </c>
      <c r="L318" s="16">
        <f ca="1">IFERROR(__xludf.DUMMYFUNCTION("""COMPUTED_VALUE"""),46087)</f>
        <v>46087</v>
      </c>
      <c r="M318" s="23" t="str">
        <f ca="1">IFERROR(__xludf.DUMMYFUNCTION("""COMPUTED_VALUE"""),"NO")</f>
        <v>NO</v>
      </c>
      <c r="N318" s="15">
        <f ca="1">IFERROR(__xludf.DUMMYFUNCTION("""COMPUTED_VALUE"""),2)</f>
        <v>2</v>
      </c>
      <c r="O318" s="23" t="str">
        <f ca="1">IFERROR(__xludf.DUMMYFUNCTION("""COMPUTED_VALUE"""),"QUIET")</f>
        <v>QUIET</v>
      </c>
      <c r="P318" s="21">
        <f ca="1">IFERROR(__xludf.DUMMYFUNCTION("""COMPUTED_VALUE"""),2718.18)</f>
        <v>2718.18</v>
      </c>
      <c r="Q318" s="6" t="str">
        <f ca="1">IFERROR(__xludf.DUMMYFUNCTION("""COMPUTED_VALUE"""),"Maika Blázquez")</f>
        <v>Maika Blázquez</v>
      </c>
      <c r="R318" s="6" t="str">
        <f ca="1">IFERROR(__xludf.DUMMYFUNCTION("""COMPUTED_VALUE"""),"Guillermo San Juan de la Moreta")</f>
        <v>Guillermo San Juan de la Moreta</v>
      </c>
      <c r="S318" s="20" t="str">
        <f ca="1">IFERROR(__xludf.DUMMYFUNCTION("""COMPUTED_VALUE"""),"03 ORL")</f>
        <v>03 ORL</v>
      </c>
      <c r="T318" s="6" t="str">
        <f ca="1">IFERROR(__xludf.DUMMYFUNCTION("""COMPUTED_VALUE"""),"06 ORL")</f>
        <v>06 ORL</v>
      </c>
      <c r="U318" s="21"/>
      <c r="W318" s="21"/>
      <c r="X318" s="21"/>
    </row>
    <row r="319" spans="2:24" ht="16">
      <c r="B319" s="14" t="str">
        <f t="shared" ca="1" si="1"/>
        <v>PSC</v>
      </c>
      <c r="C319" s="23" t="str">
        <f ca="1">IFERROR(__xludf.DUMMYFUNCTION("""COMPUTED_VALUE"""),"PSC37")</f>
        <v>PSC37</v>
      </c>
      <c r="D319" s="6" t="str">
        <f ca="1">IFERROR(__xludf.DUMMYFUNCTION("""COMPUTED_VALUE"""),"ASOCIADOS")</f>
        <v>ASOCIADOS</v>
      </c>
      <c r="E319" s="6">
        <f ca="1">IFERROR(__xludf.DUMMYFUNCTION("""COMPUTED_VALUE"""),2026)</f>
        <v>2026</v>
      </c>
      <c r="F319" s="15">
        <f ca="1">IFERROR(__xludf.DUMMYFUNCTION("""COMPUTED_VALUE"""),3)</f>
        <v>3</v>
      </c>
      <c r="G319" s="6" t="str">
        <f ca="1">IFERROR(__xludf.DUMMYFUNCTION("""COMPUTED_VALUE"""),"Ponferrada")</f>
        <v>Ponferrada</v>
      </c>
      <c r="H319" s="6" t="str">
        <f ca="1">IFERROR(__xludf.DUMMYFUNCTION("""COMPUTED_VALUE"""),"C202612102311216182")</f>
        <v>C202612102311216182</v>
      </c>
      <c r="I319" s="6" t="str">
        <f ca="1">IFERROR(__xludf.DUMMYFUNCTION("""COMPUTED_VALUE"""),"MARCELINA RODRIGUEZ CASARES")</f>
        <v>MARCELINA RODRIGUEZ CASARES</v>
      </c>
      <c r="J319" s="16">
        <f ca="1">IFERROR(__xludf.DUMMYFUNCTION("""COMPUTED_VALUE"""),46024)</f>
        <v>46024</v>
      </c>
      <c r="K319" s="6" t="str">
        <f ca="1">IFERROR(__xludf.DUMMYFUNCTION("""COMPUTED_VALUE"""),"Factura audífonos")</f>
        <v>Factura audífonos</v>
      </c>
      <c r="L319" s="16">
        <f ca="1">IFERROR(__xludf.DUMMYFUNCTION("""COMPUTED_VALUE"""),46090)</f>
        <v>46090</v>
      </c>
      <c r="M319" s="23" t="str">
        <f ca="1">IFERROR(__xludf.DUMMYFUNCTION("""COMPUTED_VALUE"""),"NO")</f>
        <v>NO</v>
      </c>
      <c r="N319" s="15">
        <f ca="1">IFERROR(__xludf.DUMMYFUNCTION("""COMPUTED_VALUE"""),1)</f>
        <v>1</v>
      </c>
      <c r="O319" s="23" t="str">
        <f ca="1">IFERROR(__xludf.DUMMYFUNCTION("""COMPUTED_VALUE"""),"CONFORT")</f>
        <v>CONFORT</v>
      </c>
      <c r="P319" s="21">
        <f ca="1">IFERROR(__xludf.DUMMYFUNCTION("""COMPUTED_VALUE"""),1909.09)</f>
        <v>1909.09</v>
      </c>
      <c r="Q319" s="6" t="str">
        <f ca="1">IFERROR(__xludf.DUMMYFUNCTION("""COMPUTED_VALUE"""),"Alberto Moreno")</f>
        <v>Alberto Moreno</v>
      </c>
      <c r="R319" s="6" t="str">
        <f ca="1">IFERROR(__xludf.DUMMYFUNCTION("""COMPUTED_VALUE"""),"Diana Lysbeth Lourido Piedrahita")</f>
        <v>Diana Lysbeth Lourido Piedrahita</v>
      </c>
      <c r="S319" s="20" t="str">
        <f ca="1">IFERROR(__xludf.DUMMYFUNCTION("""COMPUTED_VALUE"""),"03 ORL")</f>
        <v>03 ORL</v>
      </c>
      <c r="T319" s="6" t="str">
        <f ca="1">IFERROR(__xludf.DUMMYFUNCTION("""COMPUTED_VALUE"""),"06 ORL")</f>
        <v>06 ORL</v>
      </c>
      <c r="U319" s="21"/>
      <c r="W319" s="21"/>
      <c r="X319" s="21"/>
    </row>
    <row r="320" spans="2:24" ht="16">
      <c r="B320" s="14" t="str">
        <f t="shared" si="1"/>
        <v/>
      </c>
      <c r="C320" s="23"/>
      <c r="D320" s="6" t="str">
        <f ca="1">IFERROR(__xludf.DUMMYFUNCTION("""COMPUTED_VALUE"""),"PROPIOS")</f>
        <v>PROPIOS</v>
      </c>
      <c r="E320" s="6">
        <f ca="1">IFERROR(__xludf.DUMMYFUNCTION("""COMPUTED_VALUE"""),2026)</f>
        <v>2026</v>
      </c>
      <c r="F320" s="15">
        <f ca="1">IFERROR(__xludf.DUMMYFUNCTION("""COMPUTED_VALUE"""),3)</f>
        <v>3</v>
      </c>
      <c r="G320" s="6" t="str">
        <f ca="1">IFERROR(__xludf.DUMMYFUNCTION("""COMPUTED_VALUE"""),"Logroño")</f>
        <v>Logroño</v>
      </c>
      <c r="H320" s="6" t="str">
        <f ca="1">IFERROR(__xludf.DUMMYFUNCTION("""COMPUTED_VALUE"""),"C202632125733295959")</f>
        <v>C202632125733295959</v>
      </c>
      <c r="I320" s="6" t="str">
        <f ca="1">IFERROR(__xludf.DUMMYFUNCTION("""COMPUTED_VALUE"""),"RUFINO JOSE EZQUERRO JULVE")</f>
        <v>RUFINO JOSE EZQUERRO JULVE</v>
      </c>
      <c r="J320" s="16">
        <f ca="1">IFERROR(__xludf.DUMMYFUNCTION("""COMPUTED_VALUE"""),46083)</f>
        <v>46083</v>
      </c>
      <c r="K320" s="6" t="str">
        <f ca="1">IFERROR(__xludf.DUMMYFUNCTION("""COMPUTED_VALUE"""),"Factura audífonos")</f>
        <v>Factura audífonos</v>
      </c>
      <c r="L320" s="16">
        <f ca="1">IFERROR(__xludf.DUMMYFUNCTION("""COMPUTED_VALUE"""),46090)</f>
        <v>46090</v>
      </c>
      <c r="M320" s="17" t="str">
        <f ca="1">IFERROR(__xludf.DUMMYFUNCTION("""COMPUTED_VALUE"""),"NO")</f>
        <v>NO</v>
      </c>
      <c r="N320" s="15">
        <f ca="1">IFERROR(__xludf.DUMMYFUNCTION("""COMPUTED_VALUE"""),1)</f>
        <v>1</v>
      </c>
      <c r="O320" s="17" t="str">
        <f ca="1">IFERROR(__xludf.DUMMYFUNCTION("""COMPUTED_VALUE"""),"CONFORT")</f>
        <v>CONFORT</v>
      </c>
      <c r="P320" s="21">
        <f ca="1">IFERROR(__xludf.DUMMYFUNCTION("""COMPUTED_VALUE"""),2481.82)</f>
        <v>2481.8200000000002</v>
      </c>
      <c r="Q320" s="6" t="str">
        <f ca="1">IFERROR(__xludf.DUMMYFUNCTION("""COMPUTED_VALUE"""),"Lisandro Russian")</f>
        <v>Lisandro Russian</v>
      </c>
      <c r="R320" s="6" t="str">
        <f ca="1">IFERROR(__xludf.DUMMYFUNCTION("""COMPUTED_VALUE"""),"No recuerda ORL")</f>
        <v>No recuerda ORL</v>
      </c>
      <c r="S320" s="20" t="str">
        <f ca="1">IFERROR(__xludf.DUMMYFUNCTION("""COMPUTED_VALUE"""),"03 ORL")</f>
        <v>03 ORL</v>
      </c>
      <c r="T320" s="6" t="str">
        <f ca="1">IFERROR(__xludf.DUMMYFUNCTION("""COMPUTED_VALUE"""),"06 ORL")</f>
        <v>06 ORL</v>
      </c>
      <c r="U320" s="21"/>
      <c r="W320" s="21"/>
      <c r="X320" s="21"/>
    </row>
    <row r="321" spans="2:24" ht="16">
      <c r="B321" s="14" t="str">
        <f t="shared" ca="1" si="1"/>
        <v>PSC</v>
      </c>
      <c r="C321" s="23" t="str">
        <f ca="1">IFERROR(__xludf.DUMMYFUNCTION("""COMPUTED_VALUE"""),"PSC37")</f>
        <v>PSC37</v>
      </c>
      <c r="D321" s="6" t="str">
        <f ca="1">IFERROR(__xludf.DUMMYFUNCTION("""COMPUTED_VALUE"""),"ASOCIADOS")</f>
        <v>ASOCIADOS</v>
      </c>
      <c r="E321" s="6">
        <f ca="1">IFERROR(__xludf.DUMMYFUNCTION("""COMPUTED_VALUE"""),2026)</f>
        <v>2026</v>
      </c>
      <c r="F321" s="15">
        <f ca="1">IFERROR(__xludf.DUMMYFUNCTION("""COMPUTED_VALUE"""),3)</f>
        <v>3</v>
      </c>
      <c r="G321" s="6" t="str">
        <f ca="1">IFERROR(__xludf.DUMMYFUNCTION("""COMPUTED_VALUE"""),"Ponferrada")</f>
        <v>Ponferrada</v>
      </c>
      <c r="H321" s="6" t="str">
        <f ca="1">IFERROR(__xludf.DUMMYFUNCTION("""COMPUTED_VALUE"""),"C202639113431676201")</f>
        <v>C202639113431676201</v>
      </c>
      <c r="I321" s="6" t="str">
        <f ca="1">IFERROR(__xludf.DUMMYFUNCTION("""COMPUTED_VALUE"""),"JOSE MANUEL RODERA PEREZ [CARLA RODERA MARTINEZ]")</f>
        <v>JOSE MANUEL RODERA PEREZ [CARLA RODERA MARTINEZ]</v>
      </c>
      <c r="J321" s="16">
        <f ca="1">IFERROR(__xludf.DUMMYFUNCTION("""COMPUTED_VALUE"""),46090)</f>
        <v>46090</v>
      </c>
      <c r="K321" s="6" t="str">
        <f ca="1">IFERROR(__xludf.DUMMYFUNCTION("""COMPUTED_VALUE"""),"Factura audífonos")</f>
        <v>Factura audífonos</v>
      </c>
      <c r="L321" s="16">
        <f ca="1">IFERROR(__xludf.DUMMYFUNCTION("""COMPUTED_VALUE"""),46090)</f>
        <v>46090</v>
      </c>
      <c r="M321" s="23" t="str">
        <f ca="1">IFERROR(__xludf.DUMMYFUNCTION("""COMPUTED_VALUE"""),"NO")</f>
        <v>NO</v>
      </c>
      <c r="N321" s="15">
        <f ca="1">IFERROR(__xludf.DUMMYFUNCTION("""COMPUTED_VALUE"""),2)</f>
        <v>2</v>
      </c>
      <c r="O321" s="23" t="str">
        <f ca="1">IFERROR(__xludf.DUMMYFUNCTION("""COMPUTED_VALUE"""),"CONFORT")</f>
        <v>CONFORT</v>
      </c>
      <c r="P321" s="21">
        <f ca="1">IFERROR(__xludf.DUMMYFUNCTION("""COMPUTED_VALUE"""),3909.09)</f>
        <v>3909.09</v>
      </c>
      <c r="Q321" s="6" t="str">
        <f ca="1">IFERROR(__xludf.DUMMYFUNCTION("""COMPUTED_VALUE"""),"Alberto Moreno")</f>
        <v>Alberto Moreno</v>
      </c>
      <c r="R321" s="6" t="str">
        <f ca="1">IFERROR(__xludf.DUMMYFUNCTION("""COMPUTED_VALUE"""),"Diana Lysbeth Lourido Piedrahita")</f>
        <v>Diana Lysbeth Lourido Piedrahita</v>
      </c>
      <c r="S321" s="20" t="str">
        <f ca="1">IFERROR(__xludf.DUMMYFUNCTION("""COMPUTED_VALUE"""),"03 ORL")</f>
        <v>03 ORL</v>
      </c>
      <c r="T321" s="6" t="str">
        <f ca="1">IFERROR(__xludf.DUMMYFUNCTION("""COMPUTED_VALUE"""),"06 ORL")</f>
        <v>06 ORL</v>
      </c>
      <c r="U321" s="21"/>
      <c r="W321" s="21"/>
      <c r="X321" s="21"/>
    </row>
    <row r="322" spans="2:24" ht="16">
      <c r="B322" s="14" t="str">
        <f t="shared" ca="1" si="1"/>
        <v>ISL</v>
      </c>
      <c r="C322" s="23" t="str">
        <f ca="1">IFERROR(__xludf.DUMMYFUNCTION("""COMPUTED_VALUE"""),"ISL122")</f>
        <v>ISL122</v>
      </c>
      <c r="D322" s="6" t="str">
        <f ca="1">IFERROR(__xludf.DUMMYFUNCTION("""COMPUTED_VALUE"""),"PROPIOS")</f>
        <v>PROPIOS</v>
      </c>
      <c r="E322" s="6">
        <f ca="1">IFERROR(__xludf.DUMMYFUNCTION("""COMPUTED_VALUE"""),2026)</f>
        <v>2026</v>
      </c>
      <c r="F322" s="15">
        <f ca="1">IFERROR(__xludf.DUMMYFUNCTION("""COMPUTED_VALUE"""),3)</f>
        <v>3</v>
      </c>
      <c r="G322" s="6" t="str">
        <f ca="1">IFERROR(__xludf.DUMMYFUNCTION("""COMPUTED_VALUE"""),"Murcia")</f>
        <v>Murcia</v>
      </c>
      <c r="H322" s="6" t="str">
        <f ca="1">IFERROR(__xludf.DUMMYFUNCTION("""COMPUTED_VALUE"""),"C202611517324913825")</f>
        <v>C202611517324913825</v>
      </c>
      <c r="I322" s="6" t="str">
        <f ca="1">IFERROR(__xludf.DUMMYFUNCTION("""COMPUTED_VALUE"""),"MARIA  RUIZ JIMENEZ")</f>
        <v>MARIA  RUIZ JIMENEZ</v>
      </c>
      <c r="J322" s="16">
        <f ca="1">IFERROR(__xludf.DUMMYFUNCTION("""COMPUTED_VALUE"""),46037)</f>
        <v>46037</v>
      </c>
      <c r="K322" s="6" t="str">
        <f ca="1">IFERROR(__xludf.DUMMYFUNCTION("""COMPUTED_VALUE"""),"Factura audífonos")</f>
        <v>Factura audífonos</v>
      </c>
      <c r="L322" s="16">
        <f ca="1">IFERROR(__xludf.DUMMYFUNCTION("""COMPUTED_VALUE"""),46090)</f>
        <v>46090</v>
      </c>
      <c r="M322" s="23" t="str">
        <f ca="1">IFERROR(__xludf.DUMMYFUNCTION("""COMPUTED_VALUE"""),"NO")</f>
        <v>NO</v>
      </c>
      <c r="N322" s="15">
        <f ca="1">IFERROR(__xludf.DUMMYFUNCTION("""COMPUTED_VALUE"""),1)</f>
        <v>1</v>
      </c>
      <c r="O322" s="23" t="str">
        <f ca="1">IFERROR(__xludf.DUMMYFUNCTION("""COMPUTED_VALUE"""),"ADVANCED")</f>
        <v>ADVANCED</v>
      </c>
      <c r="P322" s="21">
        <f ca="1">IFERROR(__xludf.DUMMYFUNCTION("""COMPUTED_VALUE"""),2481.82)</f>
        <v>2481.8200000000002</v>
      </c>
      <c r="Q322" s="6" t="str">
        <f ca="1">IFERROR(__xludf.DUMMYFUNCTION("""COMPUTED_VALUE"""),"Iván Sánchez")</f>
        <v>Iván Sánchez</v>
      </c>
      <c r="R322" s="6" t="str">
        <f ca="1">IFERROR(__xludf.DUMMYFUNCTION("""COMPUTED_VALUE"""),"María Agustina Sevilla García")</f>
        <v>María Agustina Sevilla García</v>
      </c>
      <c r="S322" s="20" t="str">
        <f ca="1">IFERROR(__xludf.DUMMYFUNCTION("""COMPUTED_VALUE"""),"03 ORL")</f>
        <v>03 ORL</v>
      </c>
      <c r="T322" s="6" t="str">
        <f ca="1">IFERROR(__xludf.DUMMYFUNCTION("""COMPUTED_VALUE"""),"06 ORL")</f>
        <v>06 ORL</v>
      </c>
      <c r="U322" s="21"/>
      <c r="W322" s="21"/>
      <c r="X322" s="21"/>
    </row>
    <row r="323" spans="2:24" ht="16">
      <c r="B323" s="14" t="str">
        <f t="shared" ca="1" si="1"/>
        <v>#N/</v>
      </c>
      <c r="C323" s="23" t="str">
        <f ca="1">IFERROR(__xludf.DUMMYFUNCTION("""COMPUTED_VALUE"""),"#N/A")</f>
        <v>#N/A</v>
      </c>
      <c r="D323" s="6" t="str">
        <f ca="1">IFERROR(__xludf.DUMMYFUNCTION("""COMPUTED_VALUE"""),"PROPIOS")</f>
        <v>PROPIOS</v>
      </c>
      <c r="E323" s="6">
        <f ca="1">IFERROR(__xludf.DUMMYFUNCTION("""COMPUTED_VALUE"""),2026)</f>
        <v>2026</v>
      </c>
      <c r="F323" s="15">
        <f ca="1">IFERROR(__xludf.DUMMYFUNCTION("""COMPUTED_VALUE"""),3)</f>
        <v>3</v>
      </c>
      <c r="G323" s="6" t="str">
        <f ca="1">IFERROR(__xludf.DUMMYFUNCTION("""COMPUTED_VALUE"""),"Móstoles")</f>
        <v>Móstoles</v>
      </c>
      <c r="H323" s="6" t="str">
        <f ca="1">IFERROR(__xludf.DUMMYFUNCTION("""COMPUTED_VALUE"""),"C202622410524405030")</f>
        <v>C202622410524405030</v>
      </c>
      <c r="I323" s="6" t="str">
        <f ca="1">IFERROR(__xludf.DUMMYFUNCTION("""COMPUTED_VALUE"""),"JOAQUIN CARRASCO TAGLE")</f>
        <v>JOAQUIN CARRASCO TAGLE</v>
      </c>
      <c r="J323" s="16">
        <f ca="1">IFERROR(__xludf.DUMMYFUNCTION("""COMPUTED_VALUE"""),46077)</f>
        <v>46077</v>
      </c>
      <c r="K323" s="6" t="str">
        <f ca="1">IFERROR(__xludf.DUMMYFUNCTION("""COMPUTED_VALUE"""),"Factura audífonos")</f>
        <v>Factura audífonos</v>
      </c>
      <c r="L323" s="16">
        <f ca="1">IFERROR(__xludf.DUMMYFUNCTION("""COMPUTED_VALUE"""),46090)</f>
        <v>46090</v>
      </c>
      <c r="M323" s="23" t="str">
        <f ca="1">IFERROR(__xludf.DUMMYFUNCTION("""COMPUTED_VALUE"""),"NO")</f>
        <v>NO</v>
      </c>
      <c r="N323" s="15">
        <f ca="1">IFERROR(__xludf.DUMMYFUNCTION("""COMPUTED_VALUE"""),2)</f>
        <v>2</v>
      </c>
      <c r="O323" s="17" t="str">
        <f ca="1">IFERROR(__xludf.DUMMYFUNCTION("""COMPUTED_VALUE"""),"CONFORT")</f>
        <v>CONFORT</v>
      </c>
      <c r="P323" s="21">
        <f ca="1">IFERROR(__xludf.DUMMYFUNCTION("""COMPUTED_VALUE"""),3631.82)</f>
        <v>3631.82</v>
      </c>
      <c r="Q323" s="6" t="str">
        <f ca="1">IFERROR(__xludf.DUMMYFUNCTION("""COMPUTED_VALUE"""),"Maika Blázquez")</f>
        <v>Maika Blázquez</v>
      </c>
      <c r="R323" s="6" t="str">
        <f ca="1">IFERROR(__xludf.DUMMYFUNCTION("""COMPUTED_VALUE"""),"Doctor Tomas Jesús Hunrubia Parra")</f>
        <v>Doctor Tomas Jesús Hunrubia Parra</v>
      </c>
      <c r="S323" s="20" t="str">
        <f ca="1">IFERROR(__xludf.DUMMYFUNCTION("""COMPUTED_VALUE"""),"03 ORL")</f>
        <v>03 ORL</v>
      </c>
      <c r="T323" s="6" t="str">
        <f ca="1">IFERROR(__xludf.DUMMYFUNCTION("""COMPUTED_VALUE"""),"06 ORL")</f>
        <v>06 ORL</v>
      </c>
      <c r="U323" s="21"/>
      <c r="W323" s="21"/>
      <c r="X323" s="21"/>
    </row>
    <row r="324" spans="2:24" ht="16">
      <c r="B324" s="14" t="str">
        <f t="shared" ca="1" si="1"/>
        <v>LAA</v>
      </c>
      <c r="C324" s="23" t="str">
        <f ca="1">IFERROR(__xludf.DUMMYFUNCTION("""COMPUTED_VALUE"""),"LAA72")</f>
        <v>LAA72</v>
      </c>
      <c r="D324" s="6" t="str">
        <f ca="1">IFERROR(__xludf.DUMMYFUNCTION("""COMPUTED_VALUE"""),"PROPIOS")</f>
        <v>PROPIOS</v>
      </c>
      <c r="E324" s="6">
        <f ca="1">IFERROR(__xludf.DUMMYFUNCTION("""COMPUTED_VALUE"""),2026)</f>
        <v>2026</v>
      </c>
      <c r="F324" s="15">
        <f ca="1">IFERROR(__xludf.DUMMYFUNCTION("""COMPUTED_VALUE"""),3)</f>
        <v>3</v>
      </c>
      <c r="G324" s="6" t="str">
        <f ca="1">IFERROR(__xludf.DUMMYFUNCTION("""COMPUTED_VALUE"""),"Jerez de la Frontera")</f>
        <v>Jerez de la Frontera</v>
      </c>
      <c r="H324" s="6" t="str">
        <f ca="1">IFERROR(__xludf.DUMMYFUNCTION("""COMPUTED_VALUE"""),"C202621313435342663")</f>
        <v>C202621313435342663</v>
      </c>
      <c r="I324" s="6" t="str">
        <f ca="1">IFERROR(__xludf.DUMMYFUNCTION("""COMPUTED_VALUE"""),"FRANCISCO JAVIER FERNANDEZ ORTEGA")</f>
        <v>FRANCISCO JAVIER FERNANDEZ ORTEGA</v>
      </c>
      <c r="J324" s="16">
        <f ca="1">IFERROR(__xludf.DUMMYFUNCTION("""COMPUTED_VALUE"""),46066)</f>
        <v>46066</v>
      </c>
      <c r="K324" s="6" t="str">
        <f ca="1">IFERROR(__xludf.DUMMYFUNCTION("""COMPUTED_VALUE"""),"Factura audífonos")</f>
        <v>Factura audífonos</v>
      </c>
      <c r="L324" s="16">
        <f ca="1">IFERROR(__xludf.DUMMYFUNCTION("""COMPUTED_VALUE"""),46091)</f>
        <v>46091</v>
      </c>
      <c r="M324" s="23" t="str">
        <f ca="1">IFERROR(__xludf.DUMMYFUNCTION("""COMPUTED_VALUE"""),"NO")</f>
        <v>NO</v>
      </c>
      <c r="N324" s="15">
        <f ca="1">IFERROR(__xludf.DUMMYFUNCTION("""COMPUTED_VALUE"""),1)</f>
        <v>1</v>
      </c>
      <c r="O324" s="23" t="str">
        <f ca="1">IFERROR(__xludf.DUMMYFUNCTION("""COMPUTED_VALUE"""),"QUIET")</f>
        <v>QUIET</v>
      </c>
      <c r="P324" s="21">
        <f ca="1">IFERROR(__xludf.DUMMYFUNCTION("""COMPUTED_VALUE"""),1634.62)</f>
        <v>1634.62</v>
      </c>
      <c r="Q324" s="6" t="str">
        <f ca="1">IFERROR(__xludf.DUMMYFUNCTION("""COMPUTED_VALUE"""),"Luis Alberto Rodríguez")</f>
        <v>Luis Alberto Rodríguez</v>
      </c>
      <c r="R324" s="6" t="str">
        <f ca="1">IFERROR(__xludf.DUMMYFUNCTION("""COMPUTED_VALUE"""),"Vicente Mira Escartí")</f>
        <v>Vicente Mira Escartí</v>
      </c>
      <c r="S324" s="20" t="str">
        <f ca="1">IFERROR(__xludf.DUMMYFUNCTION("""COMPUTED_VALUE"""),"03 ORL")</f>
        <v>03 ORL</v>
      </c>
      <c r="T324" s="6" t="str">
        <f ca="1">IFERROR(__xludf.DUMMYFUNCTION("""COMPUTED_VALUE"""),"06 ORL")</f>
        <v>06 ORL</v>
      </c>
      <c r="U324" s="21"/>
      <c r="W324" s="21"/>
      <c r="X324" s="21"/>
    </row>
    <row r="325" spans="2:24" ht="16">
      <c r="B325" s="14" t="str">
        <f t="shared" ca="1" si="1"/>
        <v>ISL</v>
      </c>
      <c r="C325" s="23" t="str">
        <f ca="1">IFERROR(__xludf.DUMMYFUNCTION("""COMPUTED_VALUE"""),"ISL119")</f>
        <v>ISL119</v>
      </c>
      <c r="D325" s="6" t="str">
        <f ca="1">IFERROR(__xludf.DUMMYFUNCTION("""COMPUTED_VALUE"""),"PROPIOS")</f>
        <v>PROPIOS</v>
      </c>
      <c r="E325" s="6">
        <f ca="1">IFERROR(__xludf.DUMMYFUNCTION("""COMPUTED_VALUE"""),2026)</f>
        <v>2026</v>
      </c>
      <c r="F325" s="15">
        <f ca="1">IFERROR(__xludf.DUMMYFUNCTION("""COMPUTED_VALUE"""),3)</f>
        <v>3</v>
      </c>
      <c r="G325" s="6" t="str">
        <f ca="1">IFERROR(__xludf.DUMMYFUNCTION("""COMPUTED_VALUE"""),"Valencia- Parra")</f>
        <v>Valencia- Parra</v>
      </c>
      <c r="H325" s="6" t="str">
        <f ca="1">IFERROR(__xludf.DUMMYFUNCTION("""COMPUTED_VALUE"""),"C202612710171441691")</f>
        <v>C202612710171441691</v>
      </c>
      <c r="I325" s="6" t="str">
        <f ca="1">IFERROR(__xludf.DUMMYFUNCTION("""COMPUTED_VALUE"""),"MONTSERRAT  ORIOL GIMENEZ")</f>
        <v>MONTSERRAT  ORIOL GIMENEZ</v>
      </c>
      <c r="J325" s="16">
        <f ca="1">IFERROR(__xludf.DUMMYFUNCTION("""COMPUTED_VALUE"""),46049)</f>
        <v>46049</v>
      </c>
      <c r="K325" s="6" t="str">
        <f ca="1">IFERROR(__xludf.DUMMYFUNCTION("""COMPUTED_VALUE"""),"Factura audífonos")</f>
        <v>Factura audífonos</v>
      </c>
      <c r="L325" s="16">
        <f ca="1">IFERROR(__xludf.DUMMYFUNCTION("""COMPUTED_VALUE"""),46091)</f>
        <v>46091</v>
      </c>
      <c r="M325" s="23" t="str">
        <f ca="1">IFERROR(__xludf.DUMMYFUNCTION("""COMPUTED_VALUE"""),"NO")</f>
        <v>NO</v>
      </c>
      <c r="N325" s="15">
        <f ca="1">IFERROR(__xludf.DUMMYFUNCTION("""COMPUTED_VALUE"""),2)</f>
        <v>2</v>
      </c>
      <c r="O325" s="23" t="str">
        <f ca="1">IFERROR(__xludf.DUMMYFUNCTION("""COMPUTED_VALUE"""),"CONFORT")</f>
        <v>CONFORT</v>
      </c>
      <c r="P325" s="21">
        <f ca="1">IFERROR(__xludf.DUMMYFUNCTION("""COMPUTED_VALUE"""),3631.82)</f>
        <v>3631.82</v>
      </c>
      <c r="Q325" s="6" t="str">
        <f ca="1">IFERROR(__xludf.DUMMYFUNCTION("""COMPUTED_VALUE"""),"Ramon Ferrando")</f>
        <v>Ramon Ferrando</v>
      </c>
      <c r="R325" s="6" t="str">
        <f ca="1">IFERROR(__xludf.DUMMYFUNCTION("""COMPUTED_VALUE"""),"María José Lesmas Navarro")</f>
        <v>María José Lesmas Navarro</v>
      </c>
      <c r="S325" s="20" t="str">
        <f ca="1">IFERROR(__xludf.DUMMYFUNCTION("""COMPUTED_VALUE"""),"03 ORL")</f>
        <v>03 ORL</v>
      </c>
      <c r="T325" s="6" t="str">
        <f ca="1">IFERROR(__xludf.DUMMYFUNCTION("""COMPUTED_VALUE"""),"06 ORL")</f>
        <v>06 ORL</v>
      </c>
      <c r="U325" s="21"/>
      <c r="W325" s="21"/>
      <c r="X325" s="21"/>
    </row>
    <row r="326" spans="2:24" ht="16">
      <c r="B326" s="14" t="str">
        <f t="shared" ca="1" si="1"/>
        <v>LRM</v>
      </c>
      <c r="C326" s="23" t="str">
        <f ca="1">IFERROR(__xludf.DUMMYFUNCTION("""COMPUTED_VALUE"""),"LRM101")</f>
        <v>LRM101</v>
      </c>
      <c r="D326" s="6" t="str">
        <f ca="1">IFERROR(__xludf.DUMMYFUNCTION("""COMPUTED_VALUE"""),"ASOCIADOS")</f>
        <v>ASOCIADOS</v>
      </c>
      <c r="E326" s="6">
        <f ca="1">IFERROR(__xludf.DUMMYFUNCTION("""COMPUTED_VALUE"""),2026)</f>
        <v>2026</v>
      </c>
      <c r="F326" s="15">
        <f ca="1">IFERROR(__xludf.DUMMYFUNCTION("""COMPUTED_VALUE"""),3)</f>
        <v>3</v>
      </c>
      <c r="G326" s="6" t="str">
        <f ca="1">IFERROR(__xludf.DUMMYFUNCTION("""COMPUTED_VALUE"""),"Cáceres")</f>
        <v>Cáceres</v>
      </c>
      <c r="H326" s="6" t="str">
        <f ca="1">IFERROR(__xludf.DUMMYFUNCTION("""COMPUTED_VALUE"""),"C202625111314903698")</f>
        <v>C202625111314903698</v>
      </c>
      <c r="I326" s="6" t="str">
        <f ca="1">IFERROR(__xludf.DUMMYFUNCTION("""COMPUTED_VALUE"""),"JESUS CAÑAS MURILLO")</f>
        <v>JESUS CAÑAS MURILLO</v>
      </c>
      <c r="J326" s="16">
        <f ca="1">IFERROR(__xludf.DUMMYFUNCTION("""COMPUTED_VALUE"""),46058)</f>
        <v>46058</v>
      </c>
      <c r="K326" s="6" t="str">
        <f ca="1">IFERROR(__xludf.DUMMYFUNCTION("""COMPUTED_VALUE"""),"Factura audífonos")</f>
        <v>Factura audífonos</v>
      </c>
      <c r="L326" s="16">
        <f ca="1">IFERROR(__xludf.DUMMYFUNCTION("""COMPUTED_VALUE"""),46092)</f>
        <v>46092</v>
      </c>
      <c r="M326" s="23" t="str">
        <f ca="1">IFERROR(__xludf.DUMMYFUNCTION("""COMPUTED_VALUE"""),"NO")</f>
        <v>NO</v>
      </c>
      <c r="N326" s="15">
        <f ca="1">IFERROR(__xludf.DUMMYFUNCTION("""COMPUTED_VALUE"""),2)</f>
        <v>2</v>
      </c>
      <c r="O326" s="23" t="str">
        <f ca="1">IFERROR(__xludf.DUMMYFUNCTION("""COMPUTED_VALUE"""),"ADVANCED")</f>
        <v>ADVANCED</v>
      </c>
      <c r="P326" s="21">
        <f ca="1">IFERROR(__xludf.DUMMYFUNCTION("""COMPUTED_VALUE"""),4500)</f>
        <v>4500</v>
      </c>
      <c r="Q326" s="6" t="str">
        <f ca="1">IFERROR(__xludf.DUMMYFUNCTION("""COMPUTED_VALUE"""),"Lisandro Russian")</f>
        <v>Lisandro Russian</v>
      </c>
      <c r="R326" s="6" t="str">
        <f ca="1">IFERROR(__xludf.DUMMYFUNCTION("""COMPUTED_VALUE"""),"Manuel Martí Peña")</f>
        <v>Manuel Martí Peña</v>
      </c>
      <c r="S326" s="20" t="str">
        <f ca="1">IFERROR(__xludf.DUMMYFUNCTION("""COMPUTED_VALUE"""),"03 ORL")</f>
        <v>03 ORL</v>
      </c>
      <c r="T326" s="6" t="str">
        <f ca="1">IFERROR(__xludf.DUMMYFUNCTION("""COMPUTED_VALUE"""),"06 ORL")</f>
        <v>06 ORL</v>
      </c>
      <c r="U326" s="21"/>
      <c r="W326" s="21"/>
      <c r="X326" s="21"/>
    </row>
    <row r="327" spans="2:24" ht="16">
      <c r="B327" s="14" t="str">
        <f t="shared" ca="1" si="1"/>
        <v>LAA</v>
      </c>
      <c r="C327" s="23" t="str">
        <f ca="1">IFERROR(__xludf.DUMMYFUNCTION("""COMPUTED_VALUE"""),"LAA87")</f>
        <v>LAA87</v>
      </c>
      <c r="D327" s="6" t="str">
        <f ca="1">IFERROR(__xludf.DUMMYFUNCTION("""COMPUTED_VALUE"""),"PROPIOS")</f>
        <v>PROPIOS</v>
      </c>
      <c r="E327" s="6">
        <f ca="1">IFERROR(__xludf.DUMMYFUNCTION("""COMPUTED_VALUE"""),2026)</f>
        <v>2026</v>
      </c>
      <c r="F327" s="15">
        <f ca="1">IFERROR(__xludf.DUMMYFUNCTION("""COMPUTED_VALUE"""),3)</f>
        <v>3</v>
      </c>
      <c r="G327" s="6" t="str">
        <f ca="1">IFERROR(__xludf.DUMMYFUNCTION("""COMPUTED_VALUE"""),"Sevilla- Montoto")</f>
        <v>Sevilla- Montoto</v>
      </c>
      <c r="H327" s="6" t="str">
        <f ca="1">IFERROR(__xludf.DUMMYFUNCTION("""COMPUTED_VALUE"""),"C202626161811777206")</f>
        <v>C202626161811777206</v>
      </c>
      <c r="I327" s="6" t="str">
        <f ca="1">IFERROR(__xludf.DUMMYFUNCTION("""COMPUTED_VALUE"""),"NOEMI LEON BOLIVAR")</f>
        <v>NOEMI LEON BOLIVAR</v>
      </c>
      <c r="J327" s="16">
        <f ca="1">IFERROR(__xludf.DUMMYFUNCTION("""COMPUTED_VALUE"""),46059)</f>
        <v>46059</v>
      </c>
      <c r="K327" s="6" t="str">
        <f ca="1">IFERROR(__xludf.DUMMYFUNCTION("""COMPUTED_VALUE"""),"Factura audífonos")</f>
        <v>Factura audífonos</v>
      </c>
      <c r="L327" s="16">
        <f ca="1">IFERROR(__xludf.DUMMYFUNCTION("""COMPUTED_VALUE"""),46092)</f>
        <v>46092</v>
      </c>
      <c r="M327" s="23" t="str">
        <f ca="1">IFERROR(__xludf.DUMMYFUNCTION("""COMPUTED_VALUE"""),"NO")</f>
        <v>NO</v>
      </c>
      <c r="N327" s="15">
        <f ca="1">IFERROR(__xludf.DUMMYFUNCTION("""COMPUTED_VALUE"""),2)</f>
        <v>2</v>
      </c>
      <c r="O327" s="23" t="str">
        <f ca="1">IFERROR(__xludf.DUMMYFUNCTION("""COMPUTED_VALUE"""),"ADVANCED")</f>
        <v>ADVANCED</v>
      </c>
      <c r="P327" s="21">
        <f ca="1">IFERROR(__xludf.DUMMYFUNCTION("""COMPUTED_VALUE"""),3409.09)</f>
        <v>3409.09</v>
      </c>
      <c r="Q327" s="6" t="str">
        <f ca="1">IFERROR(__xludf.DUMMYFUNCTION("""COMPUTED_VALUE"""),"Luis Alberto Rodríguez")</f>
        <v>Luis Alberto Rodríguez</v>
      </c>
      <c r="R327" s="6" t="str">
        <f ca="1">IFERROR(__xludf.DUMMYFUNCTION("""COMPUTED_VALUE"""),"Richard Chávez León")</f>
        <v>Richard Chávez León</v>
      </c>
      <c r="S327" s="20" t="str">
        <f ca="1">IFERROR(__xludf.DUMMYFUNCTION("""COMPUTED_VALUE"""),"03 ORL")</f>
        <v>03 ORL</v>
      </c>
      <c r="T327" s="6" t="str">
        <f ca="1">IFERROR(__xludf.DUMMYFUNCTION("""COMPUTED_VALUE"""),"06 ORL")</f>
        <v>06 ORL</v>
      </c>
      <c r="U327" s="21"/>
      <c r="W327" s="21"/>
      <c r="X327" s="21"/>
    </row>
    <row r="328" spans="2:24" ht="16">
      <c r="B328" s="14" t="str">
        <f t="shared" ca="1" si="1"/>
        <v>PSC</v>
      </c>
      <c r="C328" s="23" t="str">
        <f ca="1">IFERROR(__xludf.DUMMYFUNCTION("""COMPUTED_VALUE"""),"PSC47")</f>
        <v>PSC47</v>
      </c>
      <c r="D328" s="6" t="str">
        <f ca="1">IFERROR(__xludf.DUMMYFUNCTION("""COMPUTED_VALUE"""),"ASOCIADOS")</f>
        <v>ASOCIADOS</v>
      </c>
      <c r="E328" s="6">
        <f ca="1">IFERROR(__xludf.DUMMYFUNCTION("""COMPUTED_VALUE"""),2026)</f>
        <v>2026</v>
      </c>
      <c r="F328" s="15">
        <f ca="1">IFERROR(__xludf.DUMMYFUNCTION("""COMPUTED_VALUE"""),3)</f>
        <v>3</v>
      </c>
      <c r="G328" s="6" t="str">
        <f ca="1">IFERROR(__xludf.DUMMYFUNCTION("""COMPUTED_VALUE"""),"León")</f>
        <v>León</v>
      </c>
      <c r="H328" s="6" t="str">
        <f ca="1">IFERROR(__xludf.DUMMYFUNCTION("""COMPUTED_VALUE"""),"C202632184716530211")</f>
        <v>C202632184716530211</v>
      </c>
      <c r="I328" s="6" t="str">
        <f ca="1">IFERROR(__xludf.DUMMYFUNCTION("""COMPUTED_VALUE"""),"Juan Simon Alija")</f>
        <v>Juan Simon Alija</v>
      </c>
      <c r="J328" s="16">
        <f ca="1">IFERROR(__xludf.DUMMYFUNCTION("""COMPUTED_VALUE"""),46083)</f>
        <v>46083</v>
      </c>
      <c r="K328" s="6" t="str">
        <f ca="1">IFERROR(__xludf.DUMMYFUNCTION("""COMPUTED_VALUE"""),"Factura audífonos")</f>
        <v>Factura audífonos</v>
      </c>
      <c r="L328" s="16">
        <f ca="1">IFERROR(__xludf.DUMMYFUNCTION("""COMPUTED_VALUE"""),46092)</f>
        <v>46092</v>
      </c>
      <c r="M328" s="23" t="str">
        <f ca="1">IFERROR(__xludf.DUMMYFUNCTION("""COMPUTED_VALUE"""),"NO")</f>
        <v>NO</v>
      </c>
      <c r="N328" s="15">
        <f ca="1">IFERROR(__xludf.DUMMYFUNCTION("""COMPUTED_VALUE"""),2)</f>
        <v>2</v>
      </c>
      <c r="O328" s="23" t="str">
        <f ca="1">IFERROR(__xludf.DUMMYFUNCTION("""COMPUTED_VALUE"""),"CONFORT")</f>
        <v>CONFORT</v>
      </c>
      <c r="P328" s="21">
        <f ca="1">IFERROR(__xludf.DUMMYFUNCTION("""COMPUTED_VALUE"""),2045.45)</f>
        <v>2045.45</v>
      </c>
      <c r="Q328" s="6" t="str">
        <f ca="1">IFERROR(__xludf.DUMMYFUNCTION("""COMPUTED_VALUE"""),"Alberto Moreno")</f>
        <v>Alberto Moreno</v>
      </c>
      <c r="R328" s="6" t="str">
        <f ca="1">IFERROR(__xludf.DUMMYFUNCTION("""COMPUTED_VALUE"""),"Mónica Granda Rosales")</f>
        <v>Mónica Granda Rosales</v>
      </c>
      <c r="S328" s="20" t="str">
        <f ca="1">IFERROR(__xludf.DUMMYFUNCTION("""COMPUTED_VALUE"""),"03 ORL")</f>
        <v>03 ORL</v>
      </c>
      <c r="T328" s="6" t="str">
        <f ca="1">IFERROR(__xludf.DUMMYFUNCTION("""COMPUTED_VALUE"""),"06 ORL")</f>
        <v>06 ORL</v>
      </c>
      <c r="U328" s="21"/>
      <c r="W328" s="21"/>
      <c r="X328" s="21"/>
    </row>
    <row r="329" spans="2:24" ht="16">
      <c r="B329" s="14" t="str">
        <f t="shared" si="1"/>
        <v/>
      </c>
      <c r="C329" s="23"/>
      <c r="D329" s="6" t="str">
        <f ca="1">IFERROR(__xludf.DUMMYFUNCTION("""COMPUTED_VALUE"""),"PROPIOS")</f>
        <v>PROPIOS</v>
      </c>
      <c r="E329" s="6">
        <f ca="1">IFERROR(__xludf.DUMMYFUNCTION("""COMPUTED_VALUE"""),2026)</f>
        <v>2026</v>
      </c>
      <c r="F329" s="15">
        <f ca="1">IFERROR(__xludf.DUMMYFUNCTION("""COMPUTED_VALUE"""),3)</f>
        <v>3</v>
      </c>
      <c r="G329" s="6" t="str">
        <f ca="1">IFERROR(__xludf.DUMMYFUNCTION("""COMPUTED_VALUE"""),"Logroño")</f>
        <v>Logroño</v>
      </c>
      <c r="H329" s="6" t="str">
        <f ca="1">IFERROR(__xludf.DUMMYFUNCTION("""COMPUTED_VALUE"""),"C202621716540384597")</f>
        <v>C202621716540384597</v>
      </c>
      <c r="I329" s="6" t="str">
        <f ca="1">IFERROR(__xludf.DUMMYFUNCTION("""COMPUTED_VALUE"""),"Adrián Quesada Sáenz de Jubera")</f>
        <v>Adrián Quesada Sáenz de Jubera</v>
      </c>
      <c r="J329" s="16">
        <f ca="1">IFERROR(__xludf.DUMMYFUNCTION("""COMPUTED_VALUE"""),46070)</f>
        <v>46070</v>
      </c>
      <c r="K329" s="6" t="str">
        <f ca="1">IFERROR(__xludf.DUMMYFUNCTION("""COMPUTED_VALUE"""),"Factura audífonos")</f>
        <v>Factura audífonos</v>
      </c>
      <c r="L329" s="16">
        <f ca="1">IFERROR(__xludf.DUMMYFUNCTION("""COMPUTED_VALUE"""),46092)</f>
        <v>46092</v>
      </c>
      <c r="M329" s="23" t="str">
        <f ca="1">IFERROR(__xludf.DUMMYFUNCTION("""COMPUTED_VALUE"""),"NO")</f>
        <v>NO</v>
      </c>
      <c r="N329" s="15">
        <f ca="1">IFERROR(__xludf.DUMMYFUNCTION("""COMPUTED_VALUE"""),2)</f>
        <v>2</v>
      </c>
      <c r="O329" s="23" t="str">
        <f ca="1">IFERROR(__xludf.DUMMYFUNCTION("""COMPUTED_VALUE"""),"PRO")</f>
        <v>PRO</v>
      </c>
      <c r="P329" s="21">
        <f ca="1">IFERROR(__xludf.DUMMYFUNCTION("""COMPUTED_VALUE"""),4536.36)</f>
        <v>4536.3599999999997</v>
      </c>
      <c r="Q329" s="6" t="str">
        <f ca="1">IFERROR(__xludf.DUMMYFUNCTION("""COMPUTED_VALUE"""),"Lisandro Russian")</f>
        <v>Lisandro Russian</v>
      </c>
      <c r="R329" s="6" t="str">
        <f ca="1">IFERROR(__xludf.DUMMYFUNCTION("""COMPUTED_VALUE"""),"No recuerda ORL")</f>
        <v>No recuerda ORL</v>
      </c>
      <c r="S329" s="20" t="str">
        <f ca="1">IFERROR(__xludf.DUMMYFUNCTION("""COMPUTED_VALUE"""),"03 ORL")</f>
        <v>03 ORL</v>
      </c>
      <c r="T329" s="6" t="str">
        <f ca="1">IFERROR(__xludf.DUMMYFUNCTION("""COMPUTED_VALUE"""),"06 ORL")</f>
        <v>06 ORL</v>
      </c>
      <c r="U329" s="21"/>
      <c r="W329" s="21"/>
      <c r="X329" s="21"/>
    </row>
    <row r="330" spans="2:24" ht="16">
      <c r="B330" s="14" t="str">
        <f t="shared" si="1"/>
        <v/>
      </c>
      <c r="C330" s="23"/>
      <c r="D330" s="6" t="str">
        <f ca="1">IFERROR(__xludf.DUMMYFUNCTION("""COMPUTED_VALUE"""),"PARTICIPADOS")</f>
        <v>PARTICIPADOS</v>
      </c>
      <c r="E330" s="6">
        <f ca="1">IFERROR(__xludf.DUMMYFUNCTION("""COMPUTED_VALUE"""),2026)</f>
        <v>2026</v>
      </c>
      <c r="F330" s="15">
        <f ca="1">IFERROR(__xludf.DUMMYFUNCTION("""COMPUTED_VALUE"""),3)</f>
        <v>3</v>
      </c>
      <c r="G330" s="6" t="str">
        <f ca="1">IFERROR(__xludf.DUMMYFUNCTION("""COMPUTED_VALUE"""),"Madrid- La Oca")</f>
        <v>Madrid- La Oca</v>
      </c>
      <c r="H330" s="6" t="str">
        <f ca="1">IFERROR(__xludf.DUMMYFUNCTION("""COMPUTED_VALUE"""),"C202624152054679765")</f>
        <v>C202624152054679765</v>
      </c>
      <c r="I330" s="6" t="str">
        <f ca="1">IFERROR(__xludf.DUMMYFUNCTION("""COMPUTED_VALUE"""),"MARIA LUZ FERNANDEZ DE ORO")</f>
        <v>MARIA LUZ FERNANDEZ DE ORO</v>
      </c>
      <c r="J330" s="16">
        <f ca="1">IFERROR(__xludf.DUMMYFUNCTION("""COMPUTED_VALUE"""),46057)</f>
        <v>46057</v>
      </c>
      <c r="K330" s="6" t="str">
        <f ca="1">IFERROR(__xludf.DUMMYFUNCTION("""COMPUTED_VALUE"""),"Factura audífonos")</f>
        <v>Factura audífonos</v>
      </c>
      <c r="L330" s="16">
        <f ca="1">IFERROR(__xludf.DUMMYFUNCTION("""COMPUTED_VALUE"""),46092)</f>
        <v>46092</v>
      </c>
      <c r="M330" s="17" t="str">
        <f ca="1">IFERROR(__xludf.DUMMYFUNCTION("""COMPUTED_VALUE"""),"NO")</f>
        <v>NO</v>
      </c>
      <c r="N330" s="15">
        <f ca="1">IFERROR(__xludf.DUMMYFUNCTION("""COMPUTED_VALUE"""),2)</f>
        <v>2</v>
      </c>
      <c r="O330" s="23" t="str">
        <f ca="1">IFERROR(__xludf.DUMMYFUNCTION("""COMPUTED_VALUE"""),"QUIET")</f>
        <v>QUIET</v>
      </c>
      <c r="P330" s="21">
        <f ca="1">IFERROR(__xludf.DUMMYFUNCTION("""COMPUTED_VALUE"""),2718.18)</f>
        <v>2718.18</v>
      </c>
      <c r="Q330" s="6" t="str">
        <f ca="1">IFERROR(__xludf.DUMMYFUNCTION("""COMPUTED_VALUE"""),"Maika Blázquez")</f>
        <v>Maika Blázquez</v>
      </c>
      <c r="R330" s="6" t="str">
        <f ca="1">IFERROR(__xludf.DUMMYFUNCTION("""COMPUTED_VALUE"""),"No recuerda ORL")</f>
        <v>No recuerda ORL</v>
      </c>
      <c r="S330" s="20" t="str">
        <f ca="1">IFERROR(__xludf.DUMMYFUNCTION("""COMPUTED_VALUE"""),"03 ORL")</f>
        <v>03 ORL</v>
      </c>
      <c r="T330" s="6" t="str">
        <f ca="1">IFERROR(__xludf.DUMMYFUNCTION("""COMPUTED_VALUE"""),"06 ORL")</f>
        <v>06 ORL</v>
      </c>
      <c r="U330" s="21"/>
      <c r="W330" s="21"/>
      <c r="X330" s="21"/>
    </row>
    <row r="331" spans="2:24" ht="16">
      <c r="B331" s="14" t="str">
        <f t="shared" ca="1" si="1"/>
        <v>MBM</v>
      </c>
      <c r="C331" s="23" t="str">
        <f ca="1">IFERROR(__xludf.DUMMYFUNCTION("""COMPUTED_VALUE"""),"MBM46")</f>
        <v>MBM46</v>
      </c>
      <c r="D331" s="6" t="str">
        <f ca="1">IFERROR(__xludf.DUMMYFUNCTION("""COMPUTED_VALUE"""),"PARTICIPADOS")</f>
        <v>PARTICIPADOS</v>
      </c>
      <c r="E331" s="6">
        <f ca="1">IFERROR(__xludf.DUMMYFUNCTION("""COMPUTED_VALUE"""),2026)</f>
        <v>2026</v>
      </c>
      <c r="F331" s="15">
        <f ca="1">IFERROR(__xludf.DUMMYFUNCTION("""COMPUTED_VALUE"""),3)</f>
        <v>3</v>
      </c>
      <c r="G331" s="6" t="str">
        <f ca="1">IFERROR(__xludf.DUMMYFUNCTION("""COMPUTED_VALUE"""),"Talavera")</f>
        <v>Talavera</v>
      </c>
      <c r="H331" s="6" t="str">
        <f ca="1">IFERROR(__xludf.DUMMYFUNCTION("""COMPUTED_VALUE"""),"C202612315311030212")</f>
        <v>C202612315311030212</v>
      </c>
      <c r="I331" s="6" t="str">
        <f ca="1">IFERROR(__xludf.DUMMYFUNCTION("""COMPUTED_VALUE"""),"MARIA LUISA GARVÍN MARTÍN")</f>
        <v>MARIA LUISA GARVÍN MARTÍN</v>
      </c>
      <c r="J331" s="16">
        <f ca="1">IFERROR(__xludf.DUMMYFUNCTION("""COMPUTED_VALUE"""),46045)</f>
        <v>46045</v>
      </c>
      <c r="K331" s="6" t="str">
        <f ca="1">IFERROR(__xludf.DUMMYFUNCTION("""COMPUTED_VALUE"""),"Factura audífonos")</f>
        <v>Factura audífonos</v>
      </c>
      <c r="L331" s="16">
        <f ca="1">IFERROR(__xludf.DUMMYFUNCTION("""COMPUTED_VALUE"""),46092)</f>
        <v>46092</v>
      </c>
      <c r="M331" s="23" t="str">
        <f ca="1">IFERROR(__xludf.DUMMYFUNCTION("""COMPUTED_VALUE"""),"NO")</f>
        <v>NO</v>
      </c>
      <c r="N331" s="15">
        <f ca="1">IFERROR(__xludf.DUMMYFUNCTION("""COMPUTED_VALUE"""),2)</f>
        <v>2</v>
      </c>
      <c r="O331" s="23" t="str">
        <f ca="1">IFERROR(__xludf.DUMMYFUNCTION("""COMPUTED_VALUE"""),"CONFORT")</f>
        <v>CONFORT</v>
      </c>
      <c r="P331" s="21">
        <f ca="1">IFERROR(__xludf.DUMMYFUNCTION("""COMPUTED_VALUE"""),3450.23)</f>
        <v>3450.23</v>
      </c>
      <c r="Q331" s="6" t="str">
        <f ca="1">IFERROR(__xludf.DUMMYFUNCTION("""COMPUTED_VALUE"""),"Maika Blázquez")</f>
        <v>Maika Blázquez</v>
      </c>
      <c r="R331" s="6" t="str">
        <f ca="1">IFERROR(__xludf.DUMMYFUNCTION("""COMPUTED_VALUE"""),"Jonathan Esteban Sánchez")</f>
        <v>Jonathan Esteban Sánchez</v>
      </c>
      <c r="S331" s="20" t="str">
        <f ca="1">IFERROR(__xludf.DUMMYFUNCTION("""COMPUTED_VALUE"""),"03 ORL")</f>
        <v>03 ORL</v>
      </c>
      <c r="T331" s="6" t="str">
        <f ca="1">IFERROR(__xludf.DUMMYFUNCTION("""COMPUTED_VALUE"""),"06 ORL")</f>
        <v>06 ORL</v>
      </c>
      <c r="U331" s="21"/>
      <c r="W331" s="21"/>
      <c r="X331" s="21"/>
    </row>
    <row r="332" spans="2:24" ht="16">
      <c r="B332" s="14" t="str">
        <f t="shared" si="1"/>
        <v/>
      </c>
      <c r="C332" s="23"/>
      <c r="D332" s="6" t="str">
        <f ca="1">IFERROR(__xludf.DUMMYFUNCTION("""COMPUTED_VALUE"""),"PROPIOS")</f>
        <v>PROPIOS</v>
      </c>
      <c r="E332" s="6">
        <f ca="1">IFERROR(__xludf.DUMMYFUNCTION("""COMPUTED_VALUE"""),2026)</f>
        <v>2026</v>
      </c>
      <c r="F332" s="15">
        <f ca="1">IFERROR(__xludf.DUMMYFUNCTION("""COMPUTED_VALUE"""),3)</f>
        <v>3</v>
      </c>
      <c r="G332" s="6" t="str">
        <f ca="1">IFERROR(__xludf.DUMMYFUNCTION("""COMPUTED_VALUE"""),"Getafe")</f>
        <v>Getafe</v>
      </c>
      <c r="H332" s="6" t="str">
        <f ca="1">IFERROR(__xludf.DUMMYFUNCTION("""COMPUTED_VALUE"""),"C202629115751490744")</f>
        <v>C202629115751490744</v>
      </c>
      <c r="I332" s="6" t="str">
        <f ca="1">IFERROR(__xludf.DUMMYFUNCTION("""COMPUTED_VALUE"""),"MARIA ISABEL GARCIA TRABAS")</f>
        <v>MARIA ISABEL GARCIA TRABAS</v>
      </c>
      <c r="J332" s="16">
        <f ca="1">IFERROR(__xludf.DUMMYFUNCTION("""COMPUTED_VALUE"""),46062)</f>
        <v>46062</v>
      </c>
      <c r="K332" s="6" t="str">
        <f ca="1">IFERROR(__xludf.DUMMYFUNCTION("""COMPUTED_VALUE"""),"Factura audífonos")</f>
        <v>Factura audífonos</v>
      </c>
      <c r="L332" s="16">
        <f ca="1">IFERROR(__xludf.DUMMYFUNCTION("""COMPUTED_VALUE"""),46092)</f>
        <v>46092</v>
      </c>
      <c r="M332" s="23" t="str">
        <f ca="1">IFERROR(__xludf.DUMMYFUNCTION("""COMPUTED_VALUE"""),"NO")</f>
        <v>NO</v>
      </c>
      <c r="N332" s="15">
        <f ca="1">IFERROR(__xludf.DUMMYFUNCTION("""COMPUTED_VALUE"""),1)</f>
        <v>1</v>
      </c>
      <c r="O332" s="23" t="str">
        <f ca="1">IFERROR(__xludf.DUMMYFUNCTION("""COMPUTED_VALUE"""),"CONFORT")</f>
        <v>CONFORT</v>
      </c>
      <c r="P332" s="21">
        <f ca="1">IFERROR(__xludf.DUMMYFUNCTION("""COMPUTED_VALUE"""),2180.91)</f>
        <v>2180.91</v>
      </c>
      <c r="Q332" s="6" t="str">
        <f ca="1">IFERROR(__xludf.DUMMYFUNCTION("""COMPUTED_VALUE"""),"Maika Blázquez")</f>
        <v>Maika Blázquez</v>
      </c>
      <c r="R332" s="6" t="str">
        <f ca="1">IFERROR(__xludf.DUMMYFUNCTION("""COMPUTED_VALUE"""),"No recuerda ORL")</f>
        <v>No recuerda ORL</v>
      </c>
      <c r="S332" s="20" t="str">
        <f ca="1">IFERROR(__xludf.DUMMYFUNCTION("""COMPUTED_VALUE"""),"03 ORL")</f>
        <v>03 ORL</v>
      </c>
      <c r="T332" s="6" t="str">
        <f ca="1">IFERROR(__xludf.DUMMYFUNCTION("""COMPUTED_VALUE"""),"06 ORL")</f>
        <v>06 ORL</v>
      </c>
      <c r="U332" s="21"/>
      <c r="W332" s="21"/>
      <c r="X332" s="21"/>
    </row>
    <row r="333" spans="2:24" ht="16">
      <c r="B333" s="14" t="str">
        <f t="shared" si="1"/>
        <v/>
      </c>
      <c r="C333" s="23"/>
      <c r="D333" s="6" t="str">
        <f ca="1">IFERROR(__xludf.DUMMYFUNCTION("""COMPUTED_VALUE"""),"PROPIOS")</f>
        <v>PROPIOS</v>
      </c>
      <c r="E333" s="6">
        <f ca="1">IFERROR(__xludf.DUMMYFUNCTION("""COMPUTED_VALUE"""),2026)</f>
        <v>2026</v>
      </c>
      <c r="F333" s="15">
        <f ca="1">IFERROR(__xludf.DUMMYFUNCTION("""COMPUTED_VALUE"""),3)</f>
        <v>3</v>
      </c>
      <c r="G333" s="6" t="str">
        <f ca="1">IFERROR(__xludf.DUMMYFUNCTION("""COMPUTED_VALUE"""),"Getafe")</f>
        <v>Getafe</v>
      </c>
      <c r="H333" s="6" t="str">
        <f ca="1">IFERROR(__xludf.DUMMYFUNCTION("""COMPUTED_VALUE"""),"C202612817105071565")</f>
        <v>C202612817105071565</v>
      </c>
      <c r="I333" s="6" t="str">
        <f ca="1">IFERROR(__xludf.DUMMYFUNCTION("""COMPUTED_VALUE"""),"MARIA LUISA ARROYO HERNÁNDEZ")</f>
        <v>MARIA LUISA ARROYO HERNÁNDEZ</v>
      </c>
      <c r="J333" s="16">
        <f ca="1">IFERROR(__xludf.DUMMYFUNCTION("""COMPUTED_VALUE"""),46050)</f>
        <v>46050</v>
      </c>
      <c r="K333" s="6" t="str">
        <f ca="1">IFERROR(__xludf.DUMMYFUNCTION("""COMPUTED_VALUE"""),"Factura audífonos")</f>
        <v>Factura audífonos</v>
      </c>
      <c r="L333" s="16">
        <f ca="1">IFERROR(__xludf.DUMMYFUNCTION("""COMPUTED_VALUE"""),46092)</f>
        <v>46092</v>
      </c>
      <c r="M333" s="23" t="str">
        <f ca="1">IFERROR(__xludf.DUMMYFUNCTION("""COMPUTED_VALUE"""),"NO")</f>
        <v>NO</v>
      </c>
      <c r="N333" s="15">
        <f ca="1">IFERROR(__xludf.DUMMYFUNCTION("""COMPUTED_VALUE"""),2)</f>
        <v>2</v>
      </c>
      <c r="O333" s="23" t="str">
        <f ca="1">IFERROR(__xludf.DUMMYFUNCTION("""COMPUTED_VALUE"""),"ADVANCED")</f>
        <v>ADVANCED</v>
      </c>
      <c r="P333" s="21">
        <f ca="1">IFERROR(__xludf.DUMMYFUNCTION("""COMPUTED_VALUE"""),4136.36)</f>
        <v>4136.3599999999997</v>
      </c>
      <c r="Q333" s="6" t="str">
        <f ca="1">IFERROR(__xludf.DUMMYFUNCTION("""COMPUTED_VALUE"""),"Maika Blázquez")</f>
        <v>Maika Blázquez</v>
      </c>
      <c r="R333" s="6" t="str">
        <f ca="1">IFERROR(__xludf.DUMMYFUNCTION("""COMPUTED_VALUE"""),"No recuerda ORL")</f>
        <v>No recuerda ORL</v>
      </c>
      <c r="S333" s="20" t="str">
        <f ca="1">IFERROR(__xludf.DUMMYFUNCTION("""COMPUTED_VALUE"""),"03 ORL")</f>
        <v>03 ORL</v>
      </c>
      <c r="T333" s="6" t="str">
        <f ca="1">IFERROR(__xludf.DUMMYFUNCTION("""COMPUTED_VALUE"""),"06 ORL")</f>
        <v>06 ORL</v>
      </c>
      <c r="U333" s="21"/>
      <c r="W333" s="21"/>
      <c r="X333" s="21"/>
    </row>
    <row r="334" spans="2:24" ht="16">
      <c r="B334" s="14" t="str">
        <f t="shared" ca="1" si="1"/>
        <v>#N/</v>
      </c>
      <c r="C334" s="23" t="str">
        <f ca="1">IFERROR(__xludf.DUMMYFUNCTION("""COMPUTED_VALUE"""),"#N/A")</f>
        <v>#N/A</v>
      </c>
      <c r="D334" s="6" t="str">
        <f ca="1">IFERROR(__xludf.DUMMYFUNCTION("""COMPUTED_VALUE"""),"ASOCIADOS")</f>
        <v>ASOCIADOS</v>
      </c>
      <c r="E334" s="6">
        <f ca="1">IFERROR(__xludf.DUMMYFUNCTION("""COMPUTED_VALUE"""),2026)</f>
        <v>2026</v>
      </c>
      <c r="F334" s="15">
        <f ca="1">IFERROR(__xludf.DUMMYFUNCTION("""COMPUTED_VALUE"""),3)</f>
        <v>3</v>
      </c>
      <c r="G334" s="6" t="str">
        <f ca="1">IFERROR(__xludf.DUMMYFUNCTION("""COMPUTED_VALUE"""),"Cáceres")</f>
        <v>Cáceres</v>
      </c>
      <c r="H334" s="6" t="str">
        <f ca="1">IFERROR(__xludf.DUMMYFUNCTION("""COMPUTED_VALUE"""),"C202621010453855460")</f>
        <v>C202621010453855460</v>
      </c>
      <c r="I334" s="6" t="str">
        <f ca="1">IFERROR(__xludf.DUMMYFUNCTION("""COMPUTED_VALUE"""),"ISABEL PULIDO COLLADO")</f>
        <v>ISABEL PULIDO COLLADO</v>
      </c>
      <c r="J334" s="16">
        <f ca="1">IFERROR(__xludf.DUMMYFUNCTION("""COMPUTED_VALUE"""),46063)</f>
        <v>46063</v>
      </c>
      <c r="K334" s="6" t="str">
        <f ca="1">IFERROR(__xludf.DUMMYFUNCTION("""COMPUTED_VALUE"""),"Factura audífonos")</f>
        <v>Factura audífonos</v>
      </c>
      <c r="L334" s="16">
        <f ca="1">IFERROR(__xludf.DUMMYFUNCTION("""COMPUTED_VALUE"""),46093)</f>
        <v>46093</v>
      </c>
      <c r="M334" s="17" t="str">
        <f ca="1">IFERROR(__xludf.DUMMYFUNCTION("""COMPUTED_VALUE"""),"NO")</f>
        <v>NO</v>
      </c>
      <c r="N334" s="15">
        <f ca="1">IFERROR(__xludf.DUMMYFUNCTION("""COMPUTED_VALUE"""),2)</f>
        <v>2</v>
      </c>
      <c r="O334" s="23" t="str">
        <f ca="1">IFERROR(__xludf.DUMMYFUNCTION("""COMPUTED_VALUE"""),"ADVANCED")</f>
        <v>ADVANCED</v>
      </c>
      <c r="P334" s="21">
        <f ca="1">IFERROR(__xludf.DUMMYFUNCTION("""COMPUTED_VALUE"""),4500)</f>
        <v>4500</v>
      </c>
      <c r="Q334" s="6" t="str">
        <f ca="1">IFERROR(__xludf.DUMMYFUNCTION("""COMPUTED_VALUE"""),"Lisandro Russian")</f>
        <v>Lisandro Russian</v>
      </c>
      <c r="R334" s="6" t="str">
        <f ca="1">IFERROR(__xludf.DUMMYFUNCTION("""COMPUTED_VALUE"""),"Isabel Bustillo García")</f>
        <v>Isabel Bustillo García</v>
      </c>
      <c r="S334" s="20" t="str">
        <f ca="1">IFERROR(__xludf.DUMMYFUNCTION("""COMPUTED_VALUE"""),"03 ORL")</f>
        <v>03 ORL</v>
      </c>
      <c r="T334" s="6" t="str">
        <f ca="1">IFERROR(__xludf.DUMMYFUNCTION("""COMPUTED_VALUE"""),"06 ORL")</f>
        <v>06 ORL</v>
      </c>
      <c r="U334" s="21"/>
      <c r="W334" s="21"/>
      <c r="X334" s="21"/>
    </row>
    <row r="335" spans="2:24" ht="16">
      <c r="B335" s="14" t="str">
        <f t="shared" ca="1" si="1"/>
        <v>#N/</v>
      </c>
      <c r="C335" s="23" t="str">
        <f ca="1">IFERROR(__xludf.DUMMYFUNCTION("""COMPUTED_VALUE"""),"#N/A")</f>
        <v>#N/A</v>
      </c>
      <c r="D335" s="6" t="str">
        <f ca="1">IFERROR(__xludf.DUMMYFUNCTION("""COMPUTED_VALUE"""),"PROPIOS")</f>
        <v>PROPIOS</v>
      </c>
      <c r="E335" s="6">
        <f ca="1">IFERROR(__xludf.DUMMYFUNCTION("""COMPUTED_VALUE"""),2026)</f>
        <v>2026</v>
      </c>
      <c r="F335" s="15">
        <f ca="1">IFERROR(__xludf.DUMMYFUNCTION("""COMPUTED_VALUE"""),3)</f>
        <v>3</v>
      </c>
      <c r="G335" s="6" t="str">
        <f ca="1">IFERROR(__xludf.DUMMYFUNCTION("""COMPUTED_VALUE"""),"Alcorcón")</f>
        <v>Alcorcón</v>
      </c>
      <c r="H335" s="6" t="str">
        <f ca="1">IFERROR(__xludf.DUMMYFUNCTION("""COMPUTED_VALUE"""),"C202512221454137699")</f>
        <v>C202512221454137699</v>
      </c>
      <c r="I335" s="6" t="str">
        <f ca="1">IFERROR(__xludf.DUMMYFUNCTION("""COMPUTED_VALUE"""),"JESUS SANCHEZ SANCHEZ")</f>
        <v>JESUS SANCHEZ SANCHEZ</v>
      </c>
      <c r="J335" s="16">
        <f ca="1">IFERROR(__xludf.DUMMYFUNCTION("""COMPUTED_VALUE"""),46013)</f>
        <v>46013</v>
      </c>
      <c r="K335" s="6" t="str">
        <f ca="1">IFERROR(__xludf.DUMMYFUNCTION("""COMPUTED_VALUE"""),"Factura audífonos")</f>
        <v>Factura audífonos</v>
      </c>
      <c r="L335" s="16">
        <f ca="1">IFERROR(__xludf.DUMMYFUNCTION("""COMPUTED_VALUE"""),46093)</f>
        <v>46093</v>
      </c>
      <c r="M335" s="23" t="str">
        <f ca="1">IFERROR(__xludf.DUMMYFUNCTION("""COMPUTED_VALUE"""),"NO")</f>
        <v>NO</v>
      </c>
      <c r="N335" s="15">
        <f ca="1">IFERROR(__xludf.DUMMYFUNCTION("""COMPUTED_VALUE"""),2)</f>
        <v>2</v>
      </c>
      <c r="O335" s="23" t="str">
        <f ca="1">IFERROR(__xludf.DUMMYFUNCTION("""COMPUTED_VALUE"""),"ADVANCED")</f>
        <v>ADVANCED</v>
      </c>
      <c r="P335" s="21">
        <f ca="1">IFERROR(__xludf.DUMMYFUNCTION("""COMPUTED_VALUE"""),3604.55)</f>
        <v>3604.55</v>
      </c>
      <c r="Q335" s="6" t="str">
        <f ca="1">IFERROR(__xludf.DUMMYFUNCTION("""COMPUTED_VALUE"""),"Maika Blázquez")</f>
        <v>Maika Blázquez</v>
      </c>
      <c r="R335" s="6" t="str">
        <f ca="1">IFERROR(__xludf.DUMMYFUNCTION("""COMPUTED_VALUE"""),"Falening Melissa de la Rosa Astacio")</f>
        <v>Falening Melissa de la Rosa Astacio</v>
      </c>
      <c r="S335" s="20" t="str">
        <f ca="1">IFERROR(__xludf.DUMMYFUNCTION("""COMPUTED_VALUE"""),"03 ORL")</f>
        <v>03 ORL</v>
      </c>
      <c r="T335" s="6" t="str">
        <f ca="1">IFERROR(__xludf.DUMMYFUNCTION("""COMPUTED_VALUE"""),"06 ORL")</f>
        <v>06 ORL</v>
      </c>
      <c r="U335" s="21"/>
      <c r="W335" s="21"/>
      <c r="X335" s="21"/>
    </row>
    <row r="336" spans="2:24" ht="16">
      <c r="B336" s="14" t="str">
        <f t="shared" ca="1" si="1"/>
        <v>ISL</v>
      </c>
      <c r="C336" s="23" t="str">
        <f ca="1">IFERROR(__xludf.DUMMYFUNCTION("""COMPUTED_VALUE"""),"ISL131")</f>
        <v>ISL131</v>
      </c>
      <c r="D336" s="6" t="str">
        <f ca="1">IFERROR(__xludf.DUMMYFUNCTION("""COMPUTED_VALUE"""),"PROPIOS")</f>
        <v>PROPIOS</v>
      </c>
      <c r="E336" s="6">
        <f ca="1">IFERROR(__xludf.DUMMYFUNCTION("""COMPUTED_VALUE"""),2026)</f>
        <v>2026</v>
      </c>
      <c r="F336" s="15">
        <f ca="1">IFERROR(__xludf.DUMMYFUNCTION("""COMPUTED_VALUE"""),3)</f>
        <v>3</v>
      </c>
      <c r="G336" s="6" t="str">
        <f ca="1">IFERROR(__xludf.DUMMYFUNCTION("""COMPUTED_VALUE"""),"Alicante")</f>
        <v>Alicante</v>
      </c>
      <c r="H336" s="6" t="str">
        <f ca="1">IFERROR(__xludf.DUMMYFUNCTION("""COMPUTED_VALUE"""),"ALC-1920")</f>
        <v>ALC-1920</v>
      </c>
      <c r="I336" s="6" t="str">
        <f ca="1">IFERROR(__xludf.DUMMYFUNCTION("""COMPUTED_VALUE"""),"JOAN PEREZ LLEDO")</f>
        <v>JOAN PEREZ LLEDO</v>
      </c>
      <c r="J336" s="16">
        <f ca="1">IFERROR(__xludf.DUMMYFUNCTION("""COMPUTED_VALUE"""),43605)</f>
        <v>43605</v>
      </c>
      <c r="K336" s="6" t="str">
        <f ca="1">IFERROR(__xludf.DUMMYFUNCTION("""COMPUTED_VALUE"""),"Factura audífonos")</f>
        <v>Factura audífonos</v>
      </c>
      <c r="L336" s="16">
        <f ca="1">IFERROR(__xludf.DUMMYFUNCTION("""COMPUTED_VALUE"""),46093)</f>
        <v>46093</v>
      </c>
      <c r="M336" s="23" t="str">
        <f ca="1">IFERROR(__xludf.DUMMYFUNCTION("""COMPUTED_VALUE"""),"NO")</f>
        <v>NO</v>
      </c>
      <c r="N336" s="15">
        <f ca="1">IFERROR(__xludf.DUMMYFUNCTION("""COMPUTED_VALUE"""),2)</f>
        <v>2</v>
      </c>
      <c r="O336" s="23" t="str">
        <f ca="1">IFERROR(__xludf.DUMMYFUNCTION("""COMPUTED_VALUE"""),"CONFORT")</f>
        <v>CONFORT</v>
      </c>
      <c r="P336" s="21">
        <f ca="1">IFERROR(__xludf.DUMMYFUNCTION("""COMPUTED_VALUE"""),3631.82)</f>
        <v>3631.82</v>
      </c>
      <c r="Q336" s="6" t="str">
        <f ca="1">IFERROR(__xludf.DUMMYFUNCTION("""COMPUTED_VALUE"""),"Iván Sánchez")</f>
        <v>Iván Sánchez</v>
      </c>
      <c r="R336" s="6" t="str">
        <f ca="1">IFERROR(__xludf.DUMMYFUNCTION("""COMPUTED_VALUE"""),"Pilar Beladiez Romero")</f>
        <v>Pilar Beladiez Romero</v>
      </c>
      <c r="S336" s="20" t="str">
        <f ca="1">IFERROR(__xludf.DUMMYFUNCTION("""COMPUTED_VALUE"""),"03 ORL")</f>
        <v>03 ORL</v>
      </c>
      <c r="T336" s="6" t="str">
        <f ca="1">IFERROR(__xludf.DUMMYFUNCTION("""COMPUTED_VALUE"""),"06 ORL")</f>
        <v>06 ORL</v>
      </c>
      <c r="U336" s="21"/>
      <c r="W336" s="21"/>
      <c r="X336" s="21"/>
    </row>
    <row r="337" spans="2:24" ht="16">
      <c r="B337" s="14" t="str">
        <f t="shared" ca="1" si="1"/>
        <v>RFV</v>
      </c>
      <c r="C337" s="23" t="str">
        <f ca="1">IFERROR(__xludf.DUMMYFUNCTION("""COMPUTED_VALUE"""),"RFV47")</f>
        <v>RFV47</v>
      </c>
      <c r="D337" s="6" t="str">
        <f ca="1">IFERROR(__xludf.DUMMYFUNCTION("""COMPUTED_VALUE"""),"PROPIOS")</f>
        <v>PROPIOS</v>
      </c>
      <c r="E337" s="6">
        <f ca="1">IFERROR(__xludf.DUMMYFUNCTION("""COMPUTED_VALUE"""),2026)</f>
        <v>2026</v>
      </c>
      <c r="F337" s="15">
        <f ca="1">IFERROR(__xludf.DUMMYFUNCTION("""COMPUTED_VALUE"""),3)</f>
        <v>3</v>
      </c>
      <c r="G337" s="6" t="str">
        <f ca="1">IFERROR(__xludf.DUMMYFUNCTION("""COMPUTED_VALUE"""),"Almería")</f>
        <v>Almería</v>
      </c>
      <c r="H337" s="6" t="str">
        <f ca="1">IFERROR(__xludf.DUMMYFUNCTION("""COMPUTED_VALUE"""),"C202622611224941360")</f>
        <v>C202622611224941360</v>
      </c>
      <c r="I337" s="6" t="str">
        <f ca="1">IFERROR(__xludf.DUMMYFUNCTION("""COMPUTED_VALUE"""),"ANTONIA GONZALEZ HERNANDEZ")</f>
        <v>ANTONIA GONZALEZ HERNANDEZ</v>
      </c>
      <c r="J337" s="16">
        <f ca="1">IFERROR(__xludf.DUMMYFUNCTION("""COMPUTED_VALUE"""),46079)</f>
        <v>46079</v>
      </c>
      <c r="K337" s="6" t="str">
        <f ca="1">IFERROR(__xludf.DUMMYFUNCTION("""COMPUTED_VALUE"""),"Factura audífonos")</f>
        <v>Factura audífonos</v>
      </c>
      <c r="L337" s="16">
        <f ca="1">IFERROR(__xludf.DUMMYFUNCTION("""COMPUTED_VALUE"""),46093)</f>
        <v>46093</v>
      </c>
      <c r="M337" s="23" t="str">
        <f ca="1">IFERROR(__xludf.DUMMYFUNCTION("""COMPUTED_VALUE"""),"NO")</f>
        <v>NO</v>
      </c>
      <c r="N337" s="15">
        <f ca="1">IFERROR(__xludf.DUMMYFUNCTION("""COMPUTED_VALUE"""),2)</f>
        <v>2</v>
      </c>
      <c r="O337" s="23" t="str">
        <f ca="1">IFERROR(__xludf.DUMMYFUNCTION("""COMPUTED_VALUE"""),"QUIET")</f>
        <v>QUIET</v>
      </c>
      <c r="P337" s="21">
        <f ca="1">IFERROR(__xludf.DUMMYFUNCTION("""COMPUTED_VALUE"""),2718.18)</f>
        <v>2718.18</v>
      </c>
      <c r="Q337" s="6" t="str">
        <f ca="1">IFERROR(__xludf.DUMMYFUNCTION("""COMPUTED_VALUE"""),"Ramon Ferrando")</f>
        <v>Ramon Ferrando</v>
      </c>
      <c r="R337" s="6" t="str">
        <f ca="1">IFERROR(__xludf.DUMMYFUNCTION("""COMPUTED_VALUE"""),"Elisheba Haro Hernández")</f>
        <v>Elisheba Haro Hernández</v>
      </c>
      <c r="S337" s="20" t="str">
        <f ca="1">IFERROR(__xludf.DUMMYFUNCTION("""COMPUTED_VALUE"""),"03 ORL")</f>
        <v>03 ORL</v>
      </c>
      <c r="T337" s="6" t="str">
        <f ca="1">IFERROR(__xludf.DUMMYFUNCTION("""COMPUTED_VALUE"""),"06 ORL")</f>
        <v>06 ORL</v>
      </c>
      <c r="U337" s="21"/>
      <c r="W337" s="21"/>
      <c r="X337" s="21"/>
    </row>
    <row r="338" spans="2:24" ht="16">
      <c r="B338" s="14" t="str">
        <f t="shared" si="1"/>
        <v/>
      </c>
      <c r="C338" s="23"/>
      <c r="D338" s="6" t="str">
        <f ca="1">IFERROR(__xludf.DUMMYFUNCTION("""COMPUTED_VALUE"""),"ASOCIADOS")</f>
        <v>ASOCIADOS</v>
      </c>
      <c r="E338" s="6">
        <f ca="1">IFERROR(__xludf.DUMMYFUNCTION("""COMPUTED_VALUE"""),2026)</f>
        <v>2026</v>
      </c>
      <c r="F338" s="15">
        <f ca="1">IFERROR(__xludf.DUMMYFUNCTION("""COMPUTED_VALUE"""),3)</f>
        <v>3</v>
      </c>
      <c r="G338" s="6" t="str">
        <f ca="1">IFERROR(__xludf.DUMMYFUNCTION("""COMPUTED_VALUE"""),"Badajoz")</f>
        <v>Badajoz</v>
      </c>
      <c r="H338" s="6" t="str">
        <f ca="1">IFERROR(__xludf.DUMMYFUNCTION("""COMPUTED_VALUE"""),"C202612812525992196")</f>
        <v>C202612812525992196</v>
      </c>
      <c r="I338" s="6" t="str">
        <f ca="1">IFERROR(__xludf.DUMMYFUNCTION("""COMPUTED_VALUE"""),"BELEN VAZQUEZ FALCON")</f>
        <v>BELEN VAZQUEZ FALCON</v>
      </c>
      <c r="J338" s="16">
        <f ca="1">IFERROR(__xludf.DUMMYFUNCTION("""COMPUTED_VALUE"""),46050)</f>
        <v>46050</v>
      </c>
      <c r="K338" s="6" t="str">
        <f ca="1">IFERROR(__xludf.DUMMYFUNCTION("""COMPUTED_VALUE"""),"Factura audífonos")</f>
        <v>Factura audífonos</v>
      </c>
      <c r="L338" s="16">
        <f ca="1">IFERROR(__xludf.DUMMYFUNCTION("""COMPUTED_VALUE"""),46093)</f>
        <v>46093</v>
      </c>
      <c r="M338" s="17" t="str">
        <f ca="1">IFERROR(__xludf.DUMMYFUNCTION("""COMPUTED_VALUE"""),"NO")</f>
        <v>NO</v>
      </c>
      <c r="N338" s="15">
        <f ca="1">IFERROR(__xludf.DUMMYFUNCTION("""COMPUTED_VALUE"""),2)</f>
        <v>2</v>
      </c>
      <c r="O338" s="23" t="str">
        <f ca="1">IFERROR(__xludf.DUMMYFUNCTION("""COMPUTED_VALUE"""),"QUIET")</f>
        <v>QUIET</v>
      </c>
      <c r="P338" s="21">
        <f ca="1">IFERROR(__xludf.DUMMYFUNCTION("""COMPUTED_VALUE"""),3181.82)</f>
        <v>3181.82</v>
      </c>
      <c r="Q338" s="6" t="str">
        <f ca="1">IFERROR(__xludf.DUMMYFUNCTION("""COMPUTED_VALUE"""),"Luis Alberto Rodríguez")</f>
        <v>Luis Alberto Rodríguez</v>
      </c>
      <c r="R338" s="6" t="str">
        <f ca="1">IFERROR(__xludf.DUMMYFUNCTION("""COMPUTED_VALUE"""),"No recuerda ORL")</f>
        <v>No recuerda ORL</v>
      </c>
      <c r="S338" s="20" t="str">
        <f ca="1">IFERROR(__xludf.DUMMYFUNCTION("""COMPUTED_VALUE"""),"03 ORL")</f>
        <v>03 ORL</v>
      </c>
      <c r="T338" s="6" t="str">
        <f ca="1">IFERROR(__xludf.DUMMYFUNCTION("""COMPUTED_VALUE"""),"06 ORL")</f>
        <v>06 ORL</v>
      </c>
      <c r="U338" s="21"/>
      <c r="W338" s="21"/>
      <c r="X338" s="21"/>
    </row>
    <row r="339" spans="2:24" ht="16">
      <c r="B339" s="14" t="str">
        <f t="shared" ca="1" si="1"/>
        <v>ISL</v>
      </c>
      <c r="C339" s="23" t="str">
        <f ca="1">IFERROR(__xludf.DUMMYFUNCTION("""COMPUTED_VALUE"""),"ISL104")</f>
        <v>ISL104</v>
      </c>
      <c r="D339" s="6" t="str">
        <f ca="1">IFERROR(__xludf.DUMMYFUNCTION("""COMPUTED_VALUE"""),"PROPIOS")</f>
        <v>PROPIOS</v>
      </c>
      <c r="E339" s="6">
        <f ca="1">IFERROR(__xludf.DUMMYFUNCTION("""COMPUTED_VALUE"""),2026)</f>
        <v>2026</v>
      </c>
      <c r="F339" s="15">
        <f ca="1">IFERROR(__xludf.DUMMYFUNCTION("""COMPUTED_VALUE"""),3)</f>
        <v>3</v>
      </c>
      <c r="G339" s="6" t="str">
        <f ca="1">IFERROR(__xludf.DUMMYFUNCTION("""COMPUTED_VALUE"""),"El Albir (Benidorm)")</f>
        <v>El Albir (Benidorm)</v>
      </c>
      <c r="H339" s="6" t="str">
        <f ca="1">IFERROR(__xludf.DUMMYFUNCTION("""COMPUTED_VALUE"""),"C202611512533720770")</f>
        <v>C202611512533720770</v>
      </c>
      <c r="I339" s="6" t="str">
        <f ca="1">IFERROR(__xludf.DUMMYFUNCTION("""COMPUTED_VALUE"""),"IVAN CVETANOV CVETANOV")</f>
        <v>IVAN CVETANOV CVETANOV</v>
      </c>
      <c r="J339" s="16">
        <f ca="1">IFERROR(__xludf.DUMMYFUNCTION("""COMPUTED_VALUE"""),46037)</f>
        <v>46037</v>
      </c>
      <c r="K339" s="6" t="str">
        <f ca="1">IFERROR(__xludf.DUMMYFUNCTION("""COMPUTED_VALUE"""),"Factura audífonos")</f>
        <v>Factura audífonos</v>
      </c>
      <c r="L339" s="16">
        <f ca="1">IFERROR(__xludf.DUMMYFUNCTION("""COMPUTED_VALUE"""),46093)</f>
        <v>46093</v>
      </c>
      <c r="M339" s="23" t="str">
        <f ca="1">IFERROR(__xludf.DUMMYFUNCTION("""COMPUTED_VALUE"""),"NO")</f>
        <v>NO</v>
      </c>
      <c r="N339" s="15">
        <f ca="1">IFERROR(__xludf.DUMMYFUNCTION("""COMPUTED_VALUE"""),2)</f>
        <v>2</v>
      </c>
      <c r="O339" s="23" t="str">
        <f ca="1">IFERROR(__xludf.DUMMYFUNCTION("""COMPUTED_VALUE"""),"ADVANCED")</f>
        <v>ADVANCED</v>
      </c>
      <c r="P339" s="21">
        <f ca="1">IFERROR(__xludf.DUMMYFUNCTION("""COMPUTED_VALUE"""),4136.36)</f>
        <v>4136.3599999999997</v>
      </c>
      <c r="Q339" s="6" t="str">
        <f ca="1">IFERROR(__xludf.DUMMYFUNCTION("""COMPUTED_VALUE"""),"Ramon Ferrando")</f>
        <v>Ramon Ferrando</v>
      </c>
      <c r="R339" s="6" t="str">
        <f ca="1">IFERROR(__xludf.DUMMYFUNCTION("""COMPUTED_VALUE"""),"Isabel Polo Tomás")</f>
        <v>Isabel Polo Tomás</v>
      </c>
      <c r="S339" s="20" t="str">
        <f ca="1">IFERROR(__xludf.DUMMYFUNCTION("""COMPUTED_VALUE"""),"03 ORL")</f>
        <v>03 ORL</v>
      </c>
      <c r="T339" s="6" t="str">
        <f ca="1">IFERROR(__xludf.DUMMYFUNCTION("""COMPUTED_VALUE"""),"06 ORL")</f>
        <v>06 ORL</v>
      </c>
      <c r="U339" s="21"/>
      <c r="W339" s="21"/>
      <c r="X339" s="21"/>
    </row>
    <row r="340" spans="2:24" ht="16">
      <c r="B340" s="14" t="str">
        <f t="shared" ca="1" si="1"/>
        <v>MBM</v>
      </c>
      <c r="C340" s="23" t="str">
        <f ca="1">IFERROR(__xludf.DUMMYFUNCTION("""COMPUTED_VALUE"""),"MBM149")</f>
        <v>MBM149</v>
      </c>
      <c r="D340" s="6" t="str">
        <f ca="1">IFERROR(__xludf.DUMMYFUNCTION("""COMPUTED_VALUE"""),"PROPIOS")</f>
        <v>PROPIOS</v>
      </c>
      <c r="E340" s="6">
        <f ca="1">IFERROR(__xludf.DUMMYFUNCTION("""COMPUTED_VALUE"""),2026)</f>
        <v>2026</v>
      </c>
      <c r="F340" s="15">
        <f ca="1">IFERROR(__xludf.DUMMYFUNCTION("""COMPUTED_VALUE"""),3)</f>
        <v>3</v>
      </c>
      <c r="G340" s="6" t="str">
        <f ca="1">IFERROR(__xludf.DUMMYFUNCTION("""COMPUTED_VALUE"""),"Fuenlabrada")</f>
        <v>Fuenlabrada</v>
      </c>
      <c r="H340" s="6" t="str">
        <f ca="1">IFERROR(__xludf.DUMMYFUNCTION("""COMPUTED_VALUE"""),"C20262316461416241")</f>
        <v>C20262316461416241</v>
      </c>
      <c r="I340" s="6" t="str">
        <f ca="1">IFERROR(__xludf.DUMMYFUNCTION("""COMPUTED_VALUE"""),"JESUS  LOPEZ ROMOJARO")</f>
        <v>JESUS  LOPEZ ROMOJARO</v>
      </c>
      <c r="J340" s="16">
        <f ca="1">IFERROR(__xludf.DUMMYFUNCTION("""COMPUTED_VALUE"""),46056)</f>
        <v>46056</v>
      </c>
      <c r="K340" s="6" t="str">
        <f ca="1">IFERROR(__xludf.DUMMYFUNCTION("""COMPUTED_VALUE"""),"Factura audífonos")</f>
        <v>Factura audífonos</v>
      </c>
      <c r="L340" s="16">
        <f ca="1">IFERROR(__xludf.DUMMYFUNCTION("""COMPUTED_VALUE"""),46093)</f>
        <v>46093</v>
      </c>
      <c r="M340" s="23" t="str">
        <f ca="1">IFERROR(__xludf.DUMMYFUNCTION("""COMPUTED_VALUE"""),"NO")</f>
        <v>NO</v>
      </c>
      <c r="N340" s="15">
        <f ca="1">IFERROR(__xludf.DUMMYFUNCTION("""COMPUTED_VALUE"""),2)</f>
        <v>2</v>
      </c>
      <c r="O340" s="23" t="str">
        <f ca="1">IFERROR(__xludf.DUMMYFUNCTION("""COMPUTED_VALUE"""),"CONFORT")</f>
        <v>CONFORT</v>
      </c>
      <c r="P340" s="21">
        <f ca="1">IFERROR(__xludf.DUMMYFUNCTION("""COMPUTED_VALUE"""),3450)</f>
        <v>3450</v>
      </c>
      <c r="Q340" s="6" t="str">
        <f ca="1">IFERROR(__xludf.DUMMYFUNCTION("""COMPUTED_VALUE"""),"Maika Blázquez")</f>
        <v>Maika Blázquez</v>
      </c>
      <c r="R340" s="6" t="str">
        <f ca="1">IFERROR(__xludf.DUMMYFUNCTION("""COMPUTED_VALUE"""),"María Garrote Garrote")</f>
        <v>María Garrote Garrote</v>
      </c>
      <c r="S340" s="20" t="str">
        <f ca="1">IFERROR(__xludf.DUMMYFUNCTION("""COMPUTED_VALUE"""),"03 ORL")</f>
        <v>03 ORL</v>
      </c>
      <c r="T340" s="6" t="str">
        <f ca="1">IFERROR(__xludf.DUMMYFUNCTION("""COMPUTED_VALUE"""),"06 ORL")</f>
        <v>06 ORL</v>
      </c>
      <c r="U340" s="21"/>
      <c r="W340" s="21"/>
      <c r="X340" s="21"/>
    </row>
    <row r="341" spans="2:24" ht="16">
      <c r="B341" s="14" t="str">
        <f t="shared" ca="1" si="1"/>
        <v>MBM</v>
      </c>
      <c r="C341" s="23" t="str">
        <f ca="1">IFERROR(__xludf.DUMMYFUNCTION("""COMPUTED_VALUE"""),"MBM43")</f>
        <v>MBM43</v>
      </c>
      <c r="D341" s="6" t="str">
        <f ca="1">IFERROR(__xludf.DUMMYFUNCTION("""COMPUTED_VALUE"""),"PROPIOS")</f>
        <v>PROPIOS</v>
      </c>
      <c r="E341" s="6">
        <f ca="1">IFERROR(__xludf.DUMMYFUNCTION("""COMPUTED_VALUE"""),2026)</f>
        <v>2026</v>
      </c>
      <c r="F341" s="15">
        <f ca="1">IFERROR(__xludf.DUMMYFUNCTION("""COMPUTED_VALUE"""),3)</f>
        <v>3</v>
      </c>
      <c r="G341" s="6" t="str">
        <f ca="1">IFERROR(__xludf.DUMMYFUNCTION("""COMPUTED_VALUE"""),"Leganés")</f>
        <v>Leganés</v>
      </c>
      <c r="H341" s="6" t="str">
        <f ca="1">IFERROR(__xludf.DUMMYFUNCTION("""COMPUTED_VALUE"""),"C202622164039316792")</f>
        <v>C202622164039316792</v>
      </c>
      <c r="I341" s="6" t="str">
        <f ca="1">IFERROR(__xludf.DUMMYFUNCTION("""COMPUTED_VALUE"""),"ROSARIO SUAREZ LLAMAS")</f>
        <v>ROSARIO SUAREZ LLAMAS</v>
      </c>
      <c r="J341" s="16">
        <f ca="1">IFERROR(__xludf.DUMMYFUNCTION("""COMPUTED_VALUE"""),46055)</f>
        <v>46055</v>
      </c>
      <c r="K341" s="6" t="str">
        <f ca="1">IFERROR(__xludf.DUMMYFUNCTION("""COMPUTED_VALUE"""),"Factura audífonos")</f>
        <v>Factura audífonos</v>
      </c>
      <c r="L341" s="16">
        <f ca="1">IFERROR(__xludf.DUMMYFUNCTION("""COMPUTED_VALUE"""),46093)</f>
        <v>46093</v>
      </c>
      <c r="M341" s="23" t="str">
        <f ca="1">IFERROR(__xludf.DUMMYFUNCTION("""COMPUTED_VALUE"""),"NO")</f>
        <v>NO</v>
      </c>
      <c r="N341" s="15">
        <f ca="1">IFERROR(__xludf.DUMMYFUNCTION("""COMPUTED_VALUE"""),2)</f>
        <v>2</v>
      </c>
      <c r="O341" s="23" t="str">
        <f ca="1">IFERROR(__xludf.DUMMYFUNCTION("""COMPUTED_VALUE"""),"QUIET")</f>
        <v>QUIET</v>
      </c>
      <c r="P341" s="21">
        <f ca="1">IFERROR(__xludf.DUMMYFUNCTION("""COMPUTED_VALUE"""),2718.18)</f>
        <v>2718.18</v>
      </c>
      <c r="Q341" s="6" t="str">
        <f ca="1">IFERROR(__xludf.DUMMYFUNCTION("""COMPUTED_VALUE"""),"Maika Blázquez")</f>
        <v>Maika Blázquez</v>
      </c>
      <c r="R341" s="6" t="str">
        <f ca="1">IFERROR(__xludf.DUMMYFUNCTION("""COMPUTED_VALUE"""),"Jesús Ramos Fernández")</f>
        <v>Jesús Ramos Fernández</v>
      </c>
      <c r="S341" s="20" t="str">
        <f ca="1">IFERROR(__xludf.DUMMYFUNCTION("""COMPUTED_VALUE"""),"03 ORL")</f>
        <v>03 ORL</v>
      </c>
      <c r="T341" s="6" t="str">
        <f ca="1">IFERROR(__xludf.DUMMYFUNCTION("""COMPUTED_VALUE"""),"06 ORL")</f>
        <v>06 ORL</v>
      </c>
      <c r="U341" s="21"/>
      <c r="W341" s="21"/>
      <c r="X341" s="21"/>
    </row>
    <row r="342" spans="2:24" ht="16">
      <c r="B342" s="14" t="str">
        <f t="shared" si="1"/>
        <v/>
      </c>
      <c r="C342" s="23"/>
      <c r="D342" s="6" t="str">
        <f ca="1">IFERROR(__xludf.DUMMYFUNCTION("""COMPUTED_VALUE"""),"PROPIOS")</f>
        <v>PROPIOS</v>
      </c>
      <c r="E342" s="6">
        <f ca="1">IFERROR(__xludf.DUMMYFUNCTION("""COMPUTED_VALUE"""),2026)</f>
        <v>2026</v>
      </c>
      <c r="F342" s="15">
        <f ca="1">IFERROR(__xludf.DUMMYFUNCTION("""COMPUTED_VALUE"""),3)</f>
        <v>3</v>
      </c>
      <c r="G342" s="6" t="str">
        <f ca="1">IFERROR(__xludf.DUMMYFUNCTION("""COMPUTED_VALUE"""),"Leganés")</f>
        <v>Leganés</v>
      </c>
      <c r="H342" s="6" t="str">
        <f ca="1">IFERROR(__xludf.DUMMYFUNCTION("""COMPUTED_VALUE"""),"C202621016352397078")</f>
        <v>C202621016352397078</v>
      </c>
      <c r="I342" s="6" t="str">
        <f ca="1">IFERROR(__xludf.DUMMYFUNCTION("""COMPUTED_VALUE"""),"EUSTAQUIO MARTIN RODRIGUEZ")</f>
        <v>EUSTAQUIO MARTIN RODRIGUEZ</v>
      </c>
      <c r="J342" s="16">
        <f ca="1">IFERROR(__xludf.DUMMYFUNCTION("""COMPUTED_VALUE"""),46063)</f>
        <v>46063</v>
      </c>
      <c r="K342" s="6" t="str">
        <f ca="1">IFERROR(__xludf.DUMMYFUNCTION("""COMPUTED_VALUE"""),"Factura audífonos")</f>
        <v>Factura audífonos</v>
      </c>
      <c r="L342" s="16">
        <f ca="1">IFERROR(__xludf.DUMMYFUNCTION("""COMPUTED_VALUE"""),46093)</f>
        <v>46093</v>
      </c>
      <c r="M342" s="23" t="str">
        <f ca="1">IFERROR(__xludf.DUMMYFUNCTION("""COMPUTED_VALUE"""),"NO")</f>
        <v>NO</v>
      </c>
      <c r="N342" s="15">
        <f ca="1">IFERROR(__xludf.DUMMYFUNCTION("""COMPUTED_VALUE"""),1)</f>
        <v>1</v>
      </c>
      <c r="O342" s="23" t="str">
        <f ca="1">IFERROR(__xludf.DUMMYFUNCTION("""COMPUTED_VALUE"""),"ADVANCED")</f>
        <v>ADVANCED</v>
      </c>
      <c r="P342" s="21">
        <f ca="1">IFERROR(__xludf.DUMMYFUNCTION("""COMPUTED_VALUE"""),2071.82)</f>
        <v>2071.8200000000002</v>
      </c>
      <c r="Q342" s="6" t="str">
        <f ca="1">IFERROR(__xludf.DUMMYFUNCTION("""COMPUTED_VALUE"""),"Maika Blázquez")</f>
        <v>Maika Blázquez</v>
      </c>
      <c r="R342" s="6" t="str">
        <f ca="1">IFERROR(__xludf.DUMMYFUNCTION("""COMPUTED_VALUE"""),"No recuerda ORL")</f>
        <v>No recuerda ORL</v>
      </c>
      <c r="S342" s="20" t="str">
        <f ca="1">IFERROR(__xludf.DUMMYFUNCTION("""COMPUTED_VALUE"""),"03 ORL")</f>
        <v>03 ORL</v>
      </c>
      <c r="T342" s="6" t="str">
        <f ca="1">IFERROR(__xludf.DUMMYFUNCTION("""COMPUTED_VALUE"""),"06 ORL")</f>
        <v>06 ORL</v>
      </c>
      <c r="U342" s="21"/>
      <c r="W342" s="21"/>
      <c r="X342" s="21"/>
    </row>
    <row r="343" spans="2:24" ht="16">
      <c r="B343" s="14" t="str">
        <f t="shared" ca="1" si="1"/>
        <v>MBM</v>
      </c>
      <c r="C343" s="23" t="str">
        <f ca="1">IFERROR(__xludf.DUMMYFUNCTION("""COMPUTED_VALUE"""),"MBM119")</f>
        <v>MBM119</v>
      </c>
      <c r="D343" s="6" t="str">
        <f ca="1">IFERROR(__xludf.DUMMYFUNCTION("""COMPUTED_VALUE"""),"PARTICIPADOS")</f>
        <v>PARTICIPADOS</v>
      </c>
      <c r="E343" s="6">
        <f ca="1">IFERROR(__xludf.DUMMYFUNCTION("""COMPUTED_VALUE"""),2026)</f>
        <v>2026</v>
      </c>
      <c r="F343" s="15">
        <f ca="1">IFERROR(__xludf.DUMMYFUNCTION("""COMPUTED_VALUE"""),3)</f>
        <v>3</v>
      </c>
      <c r="G343" s="6" t="str">
        <f ca="1">IFERROR(__xludf.DUMMYFUNCTION("""COMPUTED_VALUE"""),"Madrid- La Oca")</f>
        <v>Madrid- La Oca</v>
      </c>
      <c r="H343" s="6" t="str">
        <f ca="1">IFERROR(__xludf.DUMMYFUNCTION("""COMPUTED_VALUE"""),"C20262161005416181")</f>
        <v>C20262161005416181</v>
      </c>
      <c r="I343" s="6" t="str">
        <f ca="1">IFERROR(__xludf.DUMMYFUNCTION("""COMPUTED_VALUE"""),"JOSEFA SANCHEZ LILLO")</f>
        <v>JOSEFA SANCHEZ LILLO</v>
      </c>
      <c r="J343" s="16">
        <f ca="1">IFERROR(__xludf.DUMMYFUNCTION("""COMPUTED_VALUE"""),46069)</f>
        <v>46069</v>
      </c>
      <c r="K343" s="6" t="str">
        <f ca="1">IFERROR(__xludf.DUMMYFUNCTION("""COMPUTED_VALUE"""),"Factura audífonos")</f>
        <v>Factura audífonos</v>
      </c>
      <c r="L343" s="16">
        <f ca="1">IFERROR(__xludf.DUMMYFUNCTION("""COMPUTED_VALUE"""),46093)</f>
        <v>46093</v>
      </c>
      <c r="M343" s="23" t="str">
        <f ca="1">IFERROR(__xludf.DUMMYFUNCTION("""COMPUTED_VALUE"""),"NO")</f>
        <v>NO</v>
      </c>
      <c r="N343" s="15">
        <f ca="1">IFERROR(__xludf.DUMMYFUNCTION("""COMPUTED_VALUE"""),2)</f>
        <v>2</v>
      </c>
      <c r="O343" s="23" t="str">
        <f ca="1">IFERROR(__xludf.DUMMYFUNCTION("""COMPUTED_VALUE"""),"QUIET")</f>
        <v>QUIET</v>
      </c>
      <c r="P343" s="21">
        <f ca="1">IFERROR(__xludf.DUMMYFUNCTION("""COMPUTED_VALUE"""),2718.18)</f>
        <v>2718.18</v>
      </c>
      <c r="Q343" s="6" t="str">
        <f ca="1">IFERROR(__xludf.DUMMYFUNCTION("""COMPUTED_VALUE"""),"Maika Blázquez")</f>
        <v>Maika Blázquez</v>
      </c>
      <c r="R343" s="6" t="str">
        <f ca="1">IFERROR(__xludf.DUMMYFUNCTION("""COMPUTED_VALUE"""),"Inmaculada Sancho Martín")</f>
        <v>Inmaculada Sancho Martín</v>
      </c>
      <c r="S343" s="20" t="str">
        <f ca="1">IFERROR(__xludf.DUMMYFUNCTION("""COMPUTED_VALUE"""),"03 ORL")</f>
        <v>03 ORL</v>
      </c>
      <c r="T343" s="6" t="str">
        <f ca="1">IFERROR(__xludf.DUMMYFUNCTION("""COMPUTED_VALUE"""),"06 ORL")</f>
        <v>06 ORL</v>
      </c>
      <c r="U343" s="21"/>
      <c r="W343" s="21"/>
      <c r="X343" s="21"/>
    </row>
    <row r="344" spans="2:24" ht="16">
      <c r="B344" s="14" t="str">
        <f t="shared" si="1"/>
        <v/>
      </c>
      <c r="C344" s="23"/>
      <c r="D344" s="6" t="str">
        <f ca="1">IFERROR(__xludf.DUMMYFUNCTION("""COMPUTED_VALUE"""),"PARTICIPADOS")</f>
        <v>PARTICIPADOS</v>
      </c>
      <c r="E344" s="6">
        <f ca="1">IFERROR(__xludf.DUMMYFUNCTION("""COMPUTED_VALUE"""),2026)</f>
        <v>2026</v>
      </c>
      <c r="F344" s="15">
        <f ca="1">IFERROR(__xludf.DUMMYFUNCTION("""COMPUTED_VALUE"""),3)</f>
        <v>3</v>
      </c>
      <c r="G344" s="6" t="str">
        <f ca="1">IFERROR(__xludf.DUMMYFUNCTION("""COMPUTED_VALUE"""),"Ourense")</f>
        <v>Ourense</v>
      </c>
      <c r="H344" s="6" t="str">
        <f ca="1">IFERROR(__xludf.DUMMYFUNCTION("""COMPUTED_VALUE"""),"C202612394246602895")</f>
        <v>C202612394246602895</v>
      </c>
      <c r="I344" s="6" t="str">
        <f ca="1">IFERROR(__xludf.DUMMYFUNCTION("""COMPUTED_VALUE"""),"MANUEL ARIAS FERNANDEZ")</f>
        <v>MANUEL ARIAS FERNANDEZ</v>
      </c>
      <c r="J344" s="16">
        <f ca="1">IFERROR(__xludf.DUMMYFUNCTION("""COMPUTED_VALUE"""),46045)</f>
        <v>46045</v>
      </c>
      <c r="K344" s="6" t="str">
        <f ca="1">IFERROR(__xludf.DUMMYFUNCTION("""COMPUTED_VALUE"""),"Factura audífonos")</f>
        <v>Factura audífonos</v>
      </c>
      <c r="L344" s="16">
        <f ca="1">IFERROR(__xludf.DUMMYFUNCTION("""COMPUTED_VALUE"""),46093)</f>
        <v>46093</v>
      </c>
      <c r="M344" s="23" t="str">
        <f ca="1">IFERROR(__xludf.DUMMYFUNCTION("""COMPUTED_VALUE"""),"NO")</f>
        <v>NO</v>
      </c>
      <c r="N344" s="15">
        <f ca="1">IFERROR(__xludf.DUMMYFUNCTION("""COMPUTED_VALUE"""),2)</f>
        <v>2</v>
      </c>
      <c r="O344" s="23" t="str">
        <f ca="1">IFERROR(__xludf.DUMMYFUNCTION("""COMPUTED_VALUE"""),"ADVANCED")</f>
        <v>ADVANCED</v>
      </c>
      <c r="P344" s="21">
        <f ca="1">IFERROR(__xludf.DUMMYFUNCTION("""COMPUTED_VALUE"""),4112.5)</f>
        <v>4112.5</v>
      </c>
      <c r="Q344" s="6" t="str">
        <f ca="1">IFERROR(__xludf.DUMMYFUNCTION("""COMPUTED_VALUE"""),"Kiko Ortega")</f>
        <v>Kiko Ortega</v>
      </c>
      <c r="R344" s="6" t="str">
        <f ca="1">IFERROR(__xludf.DUMMYFUNCTION("""COMPUTED_VALUE"""),"No recuerda ORL")</f>
        <v>No recuerda ORL</v>
      </c>
      <c r="S344" s="20" t="str">
        <f ca="1">IFERROR(__xludf.DUMMYFUNCTION("""COMPUTED_VALUE"""),"03 ORL")</f>
        <v>03 ORL</v>
      </c>
      <c r="T344" s="6" t="str">
        <f ca="1">IFERROR(__xludf.DUMMYFUNCTION("""COMPUTED_VALUE"""),"06 ORL")</f>
        <v>06 ORL</v>
      </c>
      <c r="U344" s="21"/>
      <c r="W344" s="21"/>
      <c r="X344" s="21"/>
    </row>
    <row r="345" spans="2:24" ht="16">
      <c r="B345" s="14" t="str">
        <f t="shared" ca="1" si="1"/>
        <v>MBM</v>
      </c>
      <c r="C345" s="23" t="str">
        <f ca="1">IFERROR(__xludf.DUMMYFUNCTION("""COMPUTED_VALUE"""),"MBM186")</f>
        <v>MBM186</v>
      </c>
      <c r="D345" s="6" t="str">
        <f ca="1">IFERROR(__xludf.DUMMYFUNCTION("""COMPUTED_VALUE"""),"PROPIOS")</f>
        <v>PROPIOS</v>
      </c>
      <c r="E345" s="6">
        <f ca="1">IFERROR(__xludf.DUMMYFUNCTION("""COMPUTED_VALUE"""),2026)</f>
        <v>2026</v>
      </c>
      <c r="F345" s="15">
        <f ca="1">IFERROR(__xludf.DUMMYFUNCTION("""COMPUTED_VALUE"""),3)</f>
        <v>3</v>
      </c>
      <c r="G345" s="6" t="str">
        <f ca="1">IFERROR(__xludf.DUMMYFUNCTION("""COMPUTED_VALUE"""),"Torrejón de Ardoz")</f>
        <v>Torrejón de Ardoz</v>
      </c>
      <c r="H345" s="6" t="str">
        <f ca="1">IFERROR(__xludf.DUMMYFUNCTION("""COMPUTED_VALUE"""),"C202512292241175146")</f>
        <v>C202512292241175146</v>
      </c>
      <c r="I345" s="6" t="str">
        <f ca="1">IFERROR(__xludf.DUMMYFUNCTION("""COMPUTED_VALUE"""),"MARIA ISABEL BURGOS GUERRERO")</f>
        <v>MARIA ISABEL BURGOS GUERRERO</v>
      </c>
      <c r="J345" s="16">
        <f ca="1">IFERROR(__xludf.DUMMYFUNCTION("""COMPUTED_VALUE"""),45993)</f>
        <v>45993</v>
      </c>
      <c r="K345" s="6" t="str">
        <f ca="1">IFERROR(__xludf.DUMMYFUNCTION("""COMPUTED_VALUE"""),"Factura audífonos")</f>
        <v>Factura audífonos</v>
      </c>
      <c r="L345" s="16">
        <f ca="1">IFERROR(__xludf.DUMMYFUNCTION("""COMPUTED_VALUE"""),46093)</f>
        <v>46093</v>
      </c>
      <c r="M345" s="23" t="str">
        <f ca="1">IFERROR(__xludf.DUMMYFUNCTION("""COMPUTED_VALUE"""),"NO")</f>
        <v>NO</v>
      </c>
      <c r="N345" s="15">
        <f ca="1">IFERROR(__xludf.DUMMYFUNCTION("""COMPUTED_VALUE"""),1)</f>
        <v>1</v>
      </c>
      <c r="O345" s="23" t="str">
        <f ca="1">IFERROR(__xludf.DUMMYFUNCTION("""COMPUTED_VALUE"""),"ADVANCED")</f>
        <v>ADVANCED</v>
      </c>
      <c r="P345" s="21">
        <f ca="1">IFERROR(__xludf.DUMMYFUNCTION("""COMPUTED_VALUE"""),2481.82)</f>
        <v>2481.8200000000002</v>
      </c>
      <c r="Q345" s="6" t="str">
        <f ca="1">IFERROR(__xludf.DUMMYFUNCTION("""COMPUTED_VALUE"""),"Maika Blázquez")</f>
        <v>Maika Blázquez</v>
      </c>
      <c r="R345" s="6" t="str">
        <f ca="1">IFERROR(__xludf.DUMMYFUNCTION("""COMPUTED_VALUE"""),"Marta Abad Pascual")</f>
        <v>Marta Abad Pascual</v>
      </c>
      <c r="S345" s="20" t="str">
        <f ca="1">IFERROR(__xludf.DUMMYFUNCTION("""COMPUTED_VALUE"""),"03 ORL")</f>
        <v>03 ORL</v>
      </c>
      <c r="T345" s="6" t="str">
        <f ca="1">IFERROR(__xludf.DUMMYFUNCTION("""COMPUTED_VALUE"""),"06 ORL")</f>
        <v>06 ORL</v>
      </c>
      <c r="U345" s="21"/>
      <c r="W345" s="21"/>
      <c r="X345" s="21"/>
    </row>
    <row r="346" spans="2:24" ht="16">
      <c r="B346" s="14" t="str">
        <f t="shared" ca="1" si="1"/>
        <v>PSC</v>
      </c>
      <c r="C346" s="23" t="str">
        <f ca="1">IFERROR(__xludf.DUMMYFUNCTION("""COMPUTED_VALUE"""),"PSC06")</f>
        <v>PSC06</v>
      </c>
      <c r="D346" s="6" t="str">
        <f ca="1">IFERROR(__xludf.DUMMYFUNCTION("""COMPUTED_VALUE"""),"ASOCIADOS")</f>
        <v>ASOCIADOS</v>
      </c>
      <c r="E346" s="6">
        <f ca="1">IFERROR(__xludf.DUMMYFUNCTION("""COMPUTED_VALUE"""),2026)</f>
        <v>2026</v>
      </c>
      <c r="F346" s="15">
        <f ca="1">IFERROR(__xludf.DUMMYFUNCTION("""COMPUTED_VALUE"""),3)</f>
        <v>3</v>
      </c>
      <c r="G346" s="6" t="str">
        <f ca="1">IFERROR(__xludf.DUMMYFUNCTION("""COMPUTED_VALUE"""),"Valladolid")</f>
        <v>Valladolid</v>
      </c>
      <c r="H346" s="6" t="str">
        <f ca="1">IFERROR(__xludf.DUMMYFUNCTION("""COMPUTED_VALUE"""),"C202612711165063565")</f>
        <v>C202612711165063565</v>
      </c>
      <c r="I346" s="6" t="str">
        <f ca="1">IFERROR(__xludf.DUMMYFUNCTION("""COMPUTED_VALUE"""),"RAMIRO SANDONIS ZORITA")</f>
        <v>RAMIRO SANDONIS ZORITA</v>
      </c>
      <c r="J346" s="16">
        <f ca="1">IFERROR(__xludf.DUMMYFUNCTION("""COMPUTED_VALUE"""),46049)</f>
        <v>46049</v>
      </c>
      <c r="K346" s="6" t="str">
        <f ca="1">IFERROR(__xludf.DUMMYFUNCTION("""COMPUTED_VALUE"""),"Factura audífonos")</f>
        <v>Factura audífonos</v>
      </c>
      <c r="L346" s="16">
        <f ca="1">IFERROR(__xludf.DUMMYFUNCTION("""COMPUTED_VALUE"""),46093)</f>
        <v>46093</v>
      </c>
      <c r="M346" s="23" t="str">
        <f ca="1">IFERROR(__xludf.DUMMYFUNCTION("""COMPUTED_VALUE"""),"NO")</f>
        <v>NO</v>
      </c>
      <c r="N346" s="15">
        <f ca="1">IFERROR(__xludf.DUMMYFUNCTION("""COMPUTED_VALUE"""),2)</f>
        <v>2</v>
      </c>
      <c r="O346" s="23" t="str">
        <f ca="1">IFERROR(__xludf.DUMMYFUNCTION("""COMPUTED_VALUE"""),"ADVANCED")</f>
        <v>ADVANCED</v>
      </c>
      <c r="P346" s="21">
        <f ca="1">IFERROR(__xludf.DUMMYFUNCTION("""COMPUTED_VALUE"""),3977.27)</f>
        <v>3977.27</v>
      </c>
      <c r="Q346" s="6" t="str">
        <f ca="1">IFERROR(__xludf.DUMMYFUNCTION("""COMPUTED_VALUE"""),"Alberto Moreno")</f>
        <v>Alberto Moreno</v>
      </c>
      <c r="R346" s="6" t="str">
        <f ca="1">IFERROR(__xludf.DUMMYFUNCTION("""COMPUTED_VALUE"""),"Carlos Miguel Salvador Martínez")</f>
        <v>Carlos Miguel Salvador Martínez</v>
      </c>
      <c r="S346" s="20" t="str">
        <f ca="1">IFERROR(__xludf.DUMMYFUNCTION("""COMPUTED_VALUE"""),"03 ORL")</f>
        <v>03 ORL</v>
      </c>
      <c r="T346" s="6" t="str">
        <f ca="1">IFERROR(__xludf.DUMMYFUNCTION("""COMPUTED_VALUE"""),"06 ORL")</f>
        <v>06 ORL</v>
      </c>
      <c r="U346" s="21"/>
      <c r="W346" s="21"/>
      <c r="X346" s="21"/>
    </row>
    <row r="347" spans="2:24" ht="16">
      <c r="B347" s="14" t="str">
        <f t="shared" ca="1" si="1"/>
        <v>LRM</v>
      </c>
      <c r="C347" s="23" t="str">
        <f ca="1">IFERROR(__xludf.DUMMYFUNCTION("""COMPUTED_VALUE"""),"LRM56")</f>
        <v>LRM56</v>
      </c>
      <c r="D347" s="6" t="str">
        <f ca="1">IFERROR(__xludf.DUMMYFUNCTION("""COMPUTED_VALUE"""),"ASOCIADOS")</f>
        <v>ASOCIADOS</v>
      </c>
      <c r="E347" s="6">
        <f ca="1">IFERROR(__xludf.DUMMYFUNCTION("""COMPUTED_VALUE"""),2026)</f>
        <v>2026</v>
      </c>
      <c r="F347" s="15">
        <f ca="1">IFERROR(__xludf.DUMMYFUNCTION("""COMPUTED_VALUE"""),3)</f>
        <v>3</v>
      </c>
      <c r="G347" s="6" t="str">
        <f ca="1">IFERROR(__xludf.DUMMYFUNCTION("""COMPUTED_VALUE"""),"Zaragoza- León XIII")</f>
        <v>Zaragoza- León XIII</v>
      </c>
      <c r="H347" s="6" t="str">
        <f ca="1">IFERROR(__xludf.DUMMYFUNCTION("""COMPUTED_VALUE"""),"C202621015561480898")</f>
        <v>C202621015561480898</v>
      </c>
      <c r="I347" s="6" t="str">
        <f ca="1">IFERROR(__xludf.DUMMYFUNCTION("""COMPUTED_VALUE"""),"JOSÉ GARCÍA AMORÓS")</f>
        <v>JOSÉ GARCÍA AMORÓS</v>
      </c>
      <c r="J347" s="16">
        <f ca="1">IFERROR(__xludf.DUMMYFUNCTION("""COMPUTED_VALUE"""),46063)</f>
        <v>46063</v>
      </c>
      <c r="K347" s="6" t="str">
        <f ca="1">IFERROR(__xludf.DUMMYFUNCTION("""COMPUTED_VALUE"""),"Factura audífonos")</f>
        <v>Factura audífonos</v>
      </c>
      <c r="L347" s="16">
        <f ca="1">IFERROR(__xludf.DUMMYFUNCTION("""COMPUTED_VALUE"""),46093)</f>
        <v>46093</v>
      </c>
      <c r="M347" s="23" t="str">
        <f ca="1">IFERROR(__xludf.DUMMYFUNCTION("""COMPUTED_VALUE"""),"NO")</f>
        <v>NO</v>
      </c>
      <c r="N347" s="15">
        <f ca="1">IFERROR(__xludf.DUMMYFUNCTION("""COMPUTED_VALUE"""),2)</f>
        <v>2</v>
      </c>
      <c r="O347" s="23" t="str">
        <f ca="1">IFERROR(__xludf.DUMMYFUNCTION("""COMPUTED_VALUE"""),"CONFORT")</f>
        <v>CONFORT</v>
      </c>
      <c r="P347" s="21">
        <f ca="1">IFERROR(__xludf.DUMMYFUNCTION("""COMPUTED_VALUE"""),3627.27)</f>
        <v>3627.27</v>
      </c>
      <c r="Q347" s="6" t="str">
        <f ca="1">IFERROR(__xludf.DUMMYFUNCTION("""COMPUTED_VALUE"""),"Ignacio Berdejo")</f>
        <v>Ignacio Berdejo</v>
      </c>
      <c r="R347" s="6" t="str">
        <f ca="1">IFERROR(__xludf.DUMMYFUNCTION("""COMPUTED_VALUE"""),"Jaime Leache Pueyo")</f>
        <v>Jaime Leache Pueyo</v>
      </c>
      <c r="S347" s="20" t="str">
        <f ca="1">IFERROR(__xludf.DUMMYFUNCTION("""COMPUTED_VALUE"""),"03 ORL")</f>
        <v>03 ORL</v>
      </c>
      <c r="T347" s="6" t="str">
        <f ca="1">IFERROR(__xludf.DUMMYFUNCTION("""COMPUTED_VALUE"""),"06 ORL")</f>
        <v>06 ORL</v>
      </c>
      <c r="U347" s="21"/>
      <c r="W347" s="21"/>
      <c r="X347" s="21"/>
    </row>
    <row r="348" spans="2:24" ht="16">
      <c r="B348" s="14" t="str">
        <f t="shared" ca="1" si="1"/>
        <v>MBM</v>
      </c>
      <c r="C348" s="23" t="str">
        <f ca="1">IFERROR(__xludf.DUMMYFUNCTION("""COMPUTED_VALUE"""),"MBM111")</f>
        <v>MBM111</v>
      </c>
      <c r="D348" s="6" t="str">
        <f ca="1">IFERROR(__xludf.DUMMYFUNCTION("""COMPUTED_VALUE"""),"PROPIOS")</f>
        <v>PROPIOS</v>
      </c>
      <c r="E348" s="6">
        <f ca="1">IFERROR(__xludf.DUMMYFUNCTION("""COMPUTED_VALUE"""),2026)</f>
        <v>2026</v>
      </c>
      <c r="F348" s="15">
        <f ca="1">IFERROR(__xludf.DUMMYFUNCTION("""COMPUTED_VALUE"""),3)</f>
        <v>3</v>
      </c>
      <c r="G348" s="6" t="str">
        <f ca="1">IFERROR(__xludf.DUMMYFUNCTION("""COMPUTED_VALUE"""),"Fuenlabrada")</f>
        <v>Fuenlabrada</v>
      </c>
      <c r="H348" s="6" t="str">
        <f ca="1">IFERROR(__xludf.DUMMYFUNCTION("""COMPUTED_VALUE"""),"C202621011101747504")</f>
        <v>C202621011101747504</v>
      </c>
      <c r="I348" s="6" t="str">
        <f ca="1">IFERROR(__xludf.DUMMYFUNCTION("""COMPUTED_VALUE"""),"VICTORIANA GOMEZ DIAZ")</f>
        <v>VICTORIANA GOMEZ DIAZ</v>
      </c>
      <c r="J348" s="16">
        <f ca="1">IFERROR(__xludf.DUMMYFUNCTION("""COMPUTED_VALUE"""),46063)</f>
        <v>46063</v>
      </c>
      <c r="K348" s="6" t="str">
        <f ca="1">IFERROR(__xludf.DUMMYFUNCTION("""COMPUTED_VALUE"""),"Factura audífonos")</f>
        <v>Factura audífonos</v>
      </c>
      <c r="L348" s="16">
        <f ca="1">IFERROR(__xludf.DUMMYFUNCTION("""COMPUTED_VALUE"""),46094)</f>
        <v>46094</v>
      </c>
      <c r="M348" s="23" t="str">
        <f ca="1">IFERROR(__xludf.DUMMYFUNCTION("""COMPUTED_VALUE"""),"NO")</f>
        <v>NO</v>
      </c>
      <c r="N348" s="15">
        <f ca="1">IFERROR(__xludf.DUMMYFUNCTION("""COMPUTED_VALUE"""),2)</f>
        <v>2</v>
      </c>
      <c r="O348" s="23" t="str">
        <f ca="1">IFERROR(__xludf.DUMMYFUNCTION("""COMPUTED_VALUE"""),"QUIET")</f>
        <v>QUIET</v>
      </c>
      <c r="P348" s="21">
        <f ca="1">IFERROR(__xludf.DUMMYFUNCTION("""COMPUTED_VALUE"""),2718.19)</f>
        <v>2718.19</v>
      </c>
      <c r="Q348" s="6" t="str">
        <f ca="1">IFERROR(__xludf.DUMMYFUNCTION("""COMPUTED_VALUE"""),"Maika Blázquez")</f>
        <v>Maika Blázquez</v>
      </c>
      <c r="R348" s="6" t="str">
        <f ca="1">IFERROR(__xludf.DUMMYFUNCTION("""COMPUTED_VALUE"""),"Elisabeth Amarillo Espitia")</f>
        <v>Elisabeth Amarillo Espitia</v>
      </c>
      <c r="S348" s="20" t="str">
        <f ca="1">IFERROR(__xludf.DUMMYFUNCTION("""COMPUTED_VALUE"""),"03 ORL")</f>
        <v>03 ORL</v>
      </c>
      <c r="T348" s="6" t="str">
        <f ca="1">IFERROR(__xludf.DUMMYFUNCTION("""COMPUTED_VALUE"""),"06 ORL")</f>
        <v>06 ORL</v>
      </c>
      <c r="U348" s="21"/>
      <c r="W348" s="21"/>
      <c r="X348" s="21"/>
    </row>
    <row r="349" spans="2:24" ht="16">
      <c r="B349" s="14" t="str">
        <f t="shared" ca="1" si="1"/>
        <v>LRM</v>
      </c>
      <c r="C349" s="23" t="str">
        <f ca="1">IFERROR(__xludf.DUMMYFUNCTION("""COMPUTED_VALUE"""),"LRM253")</f>
        <v>LRM253</v>
      </c>
      <c r="D349" s="6" t="str">
        <f ca="1">IFERROR(__xludf.DUMMYFUNCTION("""COMPUTED_VALUE"""),"ASOCIADOS")</f>
        <v>ASOCIADOS</v>
      </c>
      <c r="E349" s="6">
        <f ca="1">IFERROR(__xludf.DUMMYFUNCTION("""COMPUTED_VALUE"""),2026)</f>
        <v>2026</v>
      </c>
      <c r="F349" s="15">
        <f ca="1">IFERROR(__xludf.DUMMYFUNCTION("""COMPUTED_VALUE"""),3)</f>
        <v>3</v>
      </c>
      <c r="G349" s="6" t="str">
        <f ca="1">IFERROR(__xludf.DUMMYFUNCTION("""COMPUTED_VALUE"""),"Cáceres")</f>
        <v>Cáceres</v>
      </c>
      <c r="H349" s="6" t="str">
        <f ca="1">IFERROR(__xludf.DUMMYFUNCTION("""COMPUTED_VALUE"""),"C202622011432399380")</f>
        <v>C202622011432399380</v>
      </c>
      <c r="I349" s="6" t="str">
        <f ca="1">IFERROR(__xludf.DUMMYFUNCTION("""COMPUTED_VALUE"""),"FRANCISCA MENA BERMEJO")</f>
        <v>FRANCISCA MENA BERMEJO</v>
      </c>
      <c r="J349" s="16">
        <f ca="1">IFERROR(__xludf.DUMMYFUNCTION("""COMPUTED_VALUE"""),46073)</f>
        <v>46073</v>
      </c>
      <c r="K349" s="6" t="str">
        <f ca="1">IFERROR(__xludf.DUMMYFUNCTION("""COMPUTED_VALUE"""),"Factura audífonos")</f>
        <v>Factura audífonos</v>
      </c>
      <c r="L349" s="16">
        <f ca="1">IFERROR(__xludf.DUMMYFUNCTION("""COMPUTED_VALUE"""),46094)</f>
        <v>46094</v>
      </c>
      <c r="M349" s="17" t="str">
        <f ca="1">IFERROR(__xludf.DUMMYFUNCTION("""COMPUTED_VALUE"""),"NO")</f>
        <v>NO</v>
      </c>
      <c r="N349" s="15">
        <f ca="1">IFERROR(__xludf.DUMMYFUNCTION("""COMPUTED_VALUE"""),2)</f>
        <v>2</v>
      </c>
      <c r="O349" s="23" t="str">
        <f ca="1">IFERROR(__xludf.DUMMYFUNCTION("""COMPUTED_VALUE"""),"QUIET")</f>
        <v>QUIET</v>
      </c>
      <c r="P349" s="21">
        <f ca="1">IFERROR(__xludf.DUMMYFUNCTION("""COMPUTED_VALUE"""),3345.45)</f>
        <v>3345.45</v>
      </c>
      <c r="Q349" s="6" t="str">
        <f ca="1">IFERROR(__xludf.DUMMYFUNCTION("""COMPUTED_VALUE"""),"Lisandro Russian")</f>
        <v>Lisandro Russian</v>
      </c>
      <c r="R349" s="6" t="str">
        <f ca="1">IFERROR(__xludf.DUMMYFUNCTION("""COMPUTED_VALUE"""),"Marta García Jiménez")</f>
        <v>Marta García Jiménez</v>
      </c>
      <c r="S349" s="20" t="str">
        <f ca="1">IFERROR(__xludf.DUMMYFUNCTION("""COMPUTED_VALUE"""),"03 ORL")</f>
        <v>03 ORL</v>
      </c>
      <c r="T349" s="6" t="str">
        <f ca="1">IFERROR(__xludf.DUMMYFUNCTION("""COMPUTED_VALUE"""),"06 ORL")</f>
        <v>06 ORL</v>
      </c>
      <c r="U349" s="21"/>
      <c r="W349" s="21"/>
      <c r="X349" s="21"/>
    </row>
    <row r="350" spans="2:24" ht="16">
      <c r="B350" s="14" t="str">
        <f t="shared" ca="1" si="1"/>
        <v>MBM</v>
      </c>
      <c r="C350" s="23" t="str">
        <f ca="1">IFERROR(__xludf.DUMMYFUNCTION("""COMPUTED_VALUE"""),"MBM164")</f>
        <v>MBM164</v>
      </c>
      <c r="D350" s="6" t="str">
        <f ca="1">IFERROR(__xludf.DUMMYFUNCTION("""COMPUTED_VALUE"""),"PROPIOS")</f>
        <v>PROPIOS</v>
      </c>
      <c r="E350" s="6">
        <f ca="1">IFERROR(__xludf.DUMMYFUNCTION("""COMPUTED_VALUE"""),2026)</f>
        <v>2026</v>
      </c>
      <c r="F350" s="15">
        <f ca="1">IFERROR(__xludf.DUMMYFUNCTION("""COMPUTED_VALUE"""),3)</f>
        <v>3</v>
      </c>
      <c r="G350" s="6" t="str">
        <f ca="1">IFERROR(__xludf.DUMMYFUNCTION("""COMPUTED_VALUE"""),"Fuenlabrada")</f>
        <v>Fuenlabrada</v>
      </c>
      <c r="H350" s="6" t="str">
        <f ca="1">IFERROR(__xludf.DUMMYFUNCTION("""COMPUTED_VALUE"""),"C20261995748626997")</f>
        <v>C20261995748626997</v>
      </c>
      <c r="I350" s="6" t="str">
        <f ca="1">IFERROR(__xludf.DUMMYFUNCTION("""COMPUTED_VALUE"""),"ALFREDO  ANGUERA TEJEDOR")</f>
        <v>ALFREDO  ANGUERA TEJEDOR</v>
      </c>
      <c r="J350" s="16">
        <f ca="1">IFERROR(__xludf.DUMMYFUNCTION("""COMPUTED_VALUE"""),46031)</f>
        <v>46031</v>
      </c>
      <c r="K350" s="6" t="str">
        <f ca="1">IFERROR(__xludf.DUMMYFUNCTION("""COMPUTED_VALUE"""),"Factura audífonos")</f>
        <v>Factura audífonos</v>
      </c>
      <c r="L350" s="16">
        <f ca="1">IFERROR(__xludf.DUMMYFUNCTION("""COMPUTED_VALUE"""),46094)</f>
        <v>46094</v>
      </c>
      <c r="M350" s="23" t="str">
        <f ca="1">IFERROR(__xludf.DUMMYFUNCTION("""COMPUTED_VALUE"""),"NO")</f>
        <v>NO</v>
      </c>
      <c r="N350" s="15">
        <f ca="1">IFERROR(__xludf.DUMMYFUNCTION("""COMPUTED_VALUE"""),2)</f>
        <v>2</v>
      </c>
      <c r="O350" s="23" t="str">
        <f ca="1">IFERROR(__xludf.DUMMYFUNCTION("""COMPUTED_VALUE"""),"QUIET")</f>
        <v>QUIET</v>
      </c>
      <c r="P350" s="21">
        <f ca="1">IFERROR(__xludf.DUMMYFUNCTION("""COMPUTED_VALUE"""),2718.18)</f>
        <v>2718.18</v>
      </c>
      <c r="Q350" s="6" t="str">
        <f ca="1">IFERROR(__xludf.DUMMYFUNCTION("""COMPUTED_VALUE"""),"Maika Blázquez")</f>
        <v>Maika Blázquez</v>
      </c>
      <c r="R350" s="6" t="str">
        <f ca="1">IFERROR(__xludf.DUMMYFUNCTION("""COMPUTED_VALUE"""),"Paloma Martín-Aragón Martín")</f>
        <v>Paloma Martín-Aragón Martín</v>
      </c>
      <c r="S350" s="20" t="str">
        <f ca="1">IFERROR(__xludf.DUMMYFUNCTION("""COMPUTED_VALUE"""),"03 ORL")</f>
        <v>03 ORL</v>
      </c>
      <c r="T350" s="6" t="str">
        <f ca="1">IFERROR(__xludf.DUMMYFUNCTION("""COMPUTED_VALUE"""),"06 ORL")</f>
        <v>06 ORL</v>
      </c>
      <c r="U350" s="21"/>
      <c r="W350" s="21"/>
      <c r="X350" s="21"/>
    </row>
    <row r="351" spans="2:24" ht="16">
      <c r="B351" s="14" t="str">
        <f t="shared" ca="1" si="1"/>
        <v>LAA</v>
      </c>
      <c r="C351" s="23" t="str">
        <f ca="1">IFERROR(__xludf.DUMMYFUNCTION("""COMPUTED_VALUE"""),"LAA20")</f>
        <v>LAA20</v>
      </c>
      <c r="D351" s="6" t="str">
        <f ca="1">IFERROR(__xludf.DUMMYFUNCTION("""COMPUTED_VALUE"""),"ASOCIADOS")</f>
        <v>ASOCIADOS</v>
      </c>
      <c r="E351" s="6">
        <f ca="1">IFERROR(__xludf.DUMMYFUNCTION("""COMPUTED_VALUE"""),2026)</f>
        <v>2026</v>
      </c>
      <c r="F351" s="15">
        <f ca="1">IFERROR(__xludf.DUMMYFUNCTION("""COMPUTED_VALUE"""),3)</f>
        <v>3</v>
      </c>
      <c r="G351" s="6" t="str">
        <f ca="1">IFERROR(__xludf.DUMMYFUNCTION("""COMPUTED_VALUE"""),"Badajoz")</f>
        <v>Badajoz</v>
      </c>
      <c r="H351" s="6" t="str">
        <f ca="1">IFERROR(__xludf.DUMMYFUNCTION("""COMPUTED_VALUE"""),"C202621017524846584")</f>
        <v>C202621017524846584</v>
      </c>
      <c r="I351" s="6" t="str">
        <f ca="1">IFERROR(__xludf.DUMMYFUNCTION("""COMPUTED_VALUE"""),"AGUSTINA  ROAS PLATA")</f>
        <v>AGUSTINA  ROAS PLATA</v>
      </c>
      <c r="J351" s="16">
        <f ca="1">IFERROR(__xludf.DUMMYFUNCTION("""COMPUTED_VALUE"""),46063)</f>
        <v>46063</v>
      </c>
      <c r="K351" s="6" t="str">
        <f ca="1">IFERROR(__xludf.DUMMYFUNCTION("""COMPUTED_VALUE"""),"Factura audífonos")</f>
        <v>Factura audífonos</v>
      </c>
      <c r="L351" s="16">
        <f ca="1">IFERROR(__xludf.DUMMYFUNCTION("""COMPUTED_VALUE"""),46094)</f>
        <v>46094</v>
      </c>
      <c r="M351" s="23" t="str">
        <f ca="1">IFERROR(__xludf.DUMMYFUNCTION("""COMPUTED_VALUE"""),"NO")</f>
        <v>NO</v>
      </c>
      <c r="N351" s="15">
        <f ca="1">IFERROR(__xludf.DUMMYFUNCTION("""COMPUTED_VALUE"""),2)</f>
        <v>2</v>
      </c>
      <c r="O351" s="23" t="str">
        <f ca="1">IFERROR(__xludf.DUMMYFUNCTION("""COMPUTED_VALUE"""),"SOCIAL")</f>
        <v>SOCIAL</v>
      </c>
      <c r="P351" s="21">
        <f ca="1">IFERROR(__xludf.DUMMYFUNCTION("""COMPUTED_VALUE"""),2909.09)</f>
        <v>2909.09</v>
      </c>
      <c r="Q351" s="6" t="str">
        <f ca="1">IFERROR(__xludf.DUMMYFUNCTION("""COMPUTED_VALUE"""),"Luis Alberto Rodríguez")</f>
        <v>Luis Alberto Rodríguez</v>
      </c>
      <c r="R351" s="6" t="str">
        <f ca="1">IFERROR(__xludf.DUMMYFUNCTION("""COMPUTED_VALUE"""),"Isidoro Rubio Correa")</f>
        <v>Isidoro Rubio Correa</v>
      </c>
      <c r="S351" s="20" t="str">
        <f ca="1">IFERROR(__xludf.DUMMYFUNCTION("""COMPUTED_VALUE"""),"03 ORL")</f>
        <v>03 ORL</v>
      </c>
      <c r="T351" s="6" t="str">
        <f ca="1">IFERROR(__xludf.DUMMYFUNCTION("""COMPUTED_VALUE"""),"06 ORL")</f>
        <v>06 ORL</v>
      </c>
      <c r="U351" s="21"/>
      <c r="W351" s="21"/>
      <c r="X351" s="21"/>
    </row>
    <row r="352" spans="2:24" ht="16">
      <c r="B352" s="14" t="str">
        <f t="shared" ca="1" si="1"/>
        <v>ISL</v>
      </c>
      <c r="C352" s="23" t="str">
        <f ca="1">IFERROR(__xludf.DUMMYFUNCTION("""COMPUTED_VALUE"""),"ISL50")</f>
        <v>ISL50</v>
      </c>
      <c r="D352" s="6" t="str">
        <f ca="1">IFERROR(__xludf.DUMMYFUNCTION("""COMPUTED_VALUE"""),"PROPIOS")</f>
        <v>PROPIOS</v>
      </c>
      <c r="E352" s="6">
        <f ca="1">IFERROR(__xludf.DUMMYFUNCTION("""COMPUTED_VALUE"""),2026)</f>
        <v>2026</v>
      </c>
      <c r="F352" s="15">
        <f ca="1">IFERROR(__xludf.DUMMYFUNCTION("""COMPUTED_VALUE"""),3)</f>
        <v>3</v>
      </c>
      <c r="G352" s="6" t="str">
        <f ca="1">IFERROR(__xludf.DUMMYFUNCTION("""COMPUTED_VALUE"""),"Orihuela")</f>
        <v>Orihuela</v>
      </c>
      <c r="H352" s="6" t="str">
        <f ca="1">IFERROR(__xludf.DUMMYFUNCTION("""COMPUTED_VALUE"""),"C202621111234619933")</f>
        <v>C202621111234619933</v>
      </c>
      <c r="I352" s="6" t="str">
        <f ca="1">IFERROR(__xludf.DUMMYFUNCTION("""COMPUTED_VALUE"""),"TREVOR HOWARD BYLES")</f>
        <v>TREVOR HOWARD BYLES</v>
      </c>
      <c r="J352" s="16">
        <f ca="1">IFERROR(__xludf.DUMMYFUNCTION("""COMPUTED_VALUE"""),46064)</f>
        <v>46064</v>
      </c>
      <c r="K352" s="6" t="str">
        <f ca="1">IFERROR(__xludf.DUMMYFUNCTION("""COMPUTED_VALUE"""),"Factura audífonos")</f>
        <v>Factura audífonos</v>
      </c>
      <c r="L352" s="16">
        <f ca="1">IFERROR(__xludf.DUMMYFUNCTION("""COMPUTED_VALUE"""),46094)</f>
        <v>46094</v>
      </c>
      <c r="M352" s="23" t="str">
        <f ca="1">IFERROR(__xludf.DUMMYFUNCTION("""COMPUTED_VALUE"""),"NO")</f>
        <v>NO</v>
      </c>
      <c r="N352" s="15">
        <f ca="1">IFERROR(__xludf.DUMMYFUNCTION("""COMPUTED_VALUE"""),2)</f>
        <v>2</v>
      </c>
      <c r="O352" s="23" t="str">
        <f ca="1">IFERROR(__xludf.DUMMYFUNCTION("""COMPUTED_VALUE"""),"QUIET")</f>
        <v>QUIET</v>
      </c>
      <c r="P352" s="21">
        <f ca="1">IFERROR(__xludf.DUMMYFUNCTION("""COMPUTED_VALUE"""),2718.18)</f>
        <v>2718.18</v>
      </c>
      <c r="Q352" s="6" t="str">
        <f ca="1">IFERROR(__xludf.DUMMYFUNCTION("""COMPUTED_VALUE"""),"Iván Sánchez")</f>
        <v>Iván Sánchez</v>
      </c>
      <c r="R352" s="6" t="str">
        <f ca="1">IFERROR(__xludf.DUMMYFUNCTION("""COMPUTED_VALUE"""),"José García Morillas")</f>
        <v>José García Morillas</v>
      </c>
      <c r="S352" s="20" t="str">
        <f ca="1">IFERROR(__xludf.DUMMYFUNCTION("""COMPUTED_VALUE"""),"03 ORL")</f>
        <v>03 ORL</v>
      </c>
      <c r="T352" s="6" t="str">
        <f ca="1">IFERROR(__xludf.DUMMYFUNCTION("""COMPUTED_VALUE"""),"06 ORL")</f>
        <v>06 ORL</v>
      </c>
      <c r="U352" s="21"/>
      <c r="W352" s="21"/>
      <c r="X352" s="21"/>
    </row>
    <row r="353" spans="2:24" ht="16">
      <c r="B353" s="14" t="str">
        <f t="shared" si="1"/>
        <v/>
      </c>
      <c r="C353" s="23"/>
      <c r="D353" s="6" t="str">
        <f ca="1">IFERROR(__xludf.DUMMYFUNCTION("""COMPUTED_VALUE"""),"PROPIOS")</f>
        <v>PROPIOS</v>
      </c>
      <c r="E353" s="6">
        <f ca="1">IFERROR(__xludf.DUMMYFUNCTION("""COMPUTED_VALUE"""),2026)</f>
        <v>2026</v>
      </c>
      <c r="F353" s="15">
        <f ca="1">IFERROR(__xludf.DUMMYFUNCTION("""COMPUTED_VALUE"""),3)</f>
        <v>3</v>
      </c>
      <c r="G353" s="6" t="str">
        <f ca="1">IFERROR(__xludf.DUMMYFUNCTION("""COMPUTED_VALUE"""),"Leganés")</f>
        <v>Leganés</v>
      </c>
      <c r="H353" s="6" t="str">
        <f ca="1">IFERROR(__xludf.DUMMYFUNCTION("""COMPUTED_VALUE"""),"C202624102735834323")</f>
        <v>C202624102735834323</v>
      </c>
      <c r="I353" s="6" t="str">
        <f ca="1">IFERROR(__xludf.DUMMYFUNCTION("""COMPUTED_VALUE"""),"JACINTO AJENJO BARBADO")</f>
        <v>JACINTO AJENJO BARBADO</v>
      </c>
      <c r="J353" s="16">
        <f ca="1">IFERROR(__xludf.DUMMYFUNCTION("""COMPUTED_VALUE"""),46057)</f>
        <v>46057</v>
      </c>
      <c r="K353" s="6" t="str">
        <f ca="1">IFERROR(__xludf.DUMMYFUNCTION("""COMPUTED_VALUE"""),"Factura audífonos")</f>
        <v>Factura audífonos</v>
      </c>
      <c r="L353" s="16">
        <f ca="1">IFERROR(__xludf.DUMMYFUNCTION("""COMPUTED_VALUE"""),46094)</f>
        <v>46094</v>
      </c>
      <c r="M353" s="23" t="str">
        <f ca="1">IFERROR(__xludf.DUMMYFUNCTION("""COMPUTED_VALUE"""),"NO")</f>
        <v>NO</v>
      </c>
      <c r="N353" s="15">
        <f ca="1">IFERROR(__xludf.DUMMYFUNCTION("""COMPUTED_VALUE"""),2)</f>
        <v>2</v>
      </c>
      <c r="O353" s="23" t="str">
        <f ca="1">IFERROR(__xludf.DUMMYFUNCTION("""COMPUTED_VALUE"""),"QUIET")</f>
        <v>QUIET</v>
      </c>
      <c r="P353" s="21">
        <f ca="1">IFERROR(__xludf.DUMMYFUNCTION("""COMPUTED_VALUE"""),2718.18)</f>
        <v>2718.18</v>
      </c>
      <c r="Q353" s="6" t="str">
        <f ca="1">IFERROR(__xludf.DUMMYFUNCTION("""COMPUTED_VALUE"""),"Maika Blázquez")</f>
        <v>Maika Blázquez</v>
      </c>
      <c r="R353" s="6" t="str">
        <f ca="1">IFERROR(__xludf.DUMMYFUNCTION("""COMPUTED_VALUE"""),"No recuerda ORL")</f>
        <v>No recuerda ORL</v>
      </c>
      <c r="S353" s="20" t="str">
        <f ca="1">IFERROR(__xludf.DUMMYFUNCTION("""COMPUTED_VALUE"""),"03 ORL")</f>
        <v>03 ORL</v>
      </c>
      <c r="T353" s="6" t="str">
        <f ca="1">IFERROR(__xludf.DUMMYFUNCTION("""COMPUTED_VALUE"""),"06 ORL")</f>
        <v>06 ORL</v>
      </c>
      <c r="U353" s="21"/>
      <c r="W353" s="21"/>
      <c r="X353" s="21"/>
    </row>
    <row r="354" spans="2:24" ht="16">
      <c r="B354" s="14" t="str">
        <f t="shared" ca="1" si="1"/>
        <v>ISL</v>
      </c>
      <c r="C354" s="23" t="str">
        <f ca="1">IFERROR(__xludf.DUMMYFUNCTION("""COMPUTED_VALUE"""),"ISL103")</f>
        <v>ISL103</v>
      </c>
      <c r="D354" s="6" t="str">
        <f ca="1">IFERROR(__xludf.DUMMYFUNCTION("""COMPUTED_VALUE"""),"PROPIOS")</f>
        <v>PROPIOS</v>
      </c>
      <c r="E354" s="6">
        <f ca="1">IFERROR(__xludf.DUMMYFUNCTION("""COMPUTED_VALUE"""),2026)</f>
        <v>2026</v>
      </c>
      <c r="F354" s="15">
        <f ca="1">IFERROR(__xludf.DUMMYFUNCTION("""COMPUTED_VALUE"""),3)</f>
        <v>3</v>
      </c>
      <c r="G354" s="6" t="str">
        <f ca="1">IFERROR(__xludf.DUMMYFUNCTION("""COMPUTED_VALUE"""),"Alicante")</f>
        <v>Alicante</v>
      </c>
      <c r="H354" s="6" t="str">
        <f ca="1">IFERROR(__xludf.DUMMYFUNCTION("""COMPUTED_VALUE"""),"C2025128164031616")</f>
        <v>C2025128164031616</v>
      </c>
      <c r="I354" s="6" t="str">
        <f ca="1">IFERROR(__xludf.DUMMYFUNCTION("""COMPUTED_VALUE"""),"YANA BRUNEEL")</f>
        <v>YANA BRUNEEL</v>
      </c>
      <c r="J354" s="16">
        <f ca="1">IFERROR(__xludf.DUMMYFUNCTION("""COMPUTED_VALUE"""),45667)</f>
        <v>45667</v>
      </c>
      <c r="K354" s="6" t="str">
        <f ca="1">IFERROR(__xludf.DUMMYFUNCTION("""COMPUTED_VALUE"""),"Factura audífonos")</f>
        <v>Factura audífonos</v>
      </c>
      <c r="L354" s="16">
        <f ca="1">IFERROR(__xludf.DUMMYFUNCTION("""COMPUTED_VALUE"""),46094)</f>
        <v>46094</v>
      </c>
      <c r="M354" s="23" t="str">
        <f ca="1">IFERROR(__xludf.DUMMYFUNCTION("""COMPUTED_VALUE"""),"NO")</f>
        <v>NO</v>
      </c>
      <c r="N354" s="15">
        <f ca="1">IFERROR(__xludf.DUMMYFUNCTION("""COMPUTED_VALUE"""),2)</f>
        <v>2</v>
      </c>
      <c r="O354" s="23" t="str">
        <f ca="1">IFERROR(__xludf.DUMMYFUNCTION("""COMPUTED_VALUE"""),"QUIET")</f>
        <v>QUIET</v>
      </c>
      <c r="P354" s="21">
        <f ca="1">IFERROR(__xludf.DUMMYFUNCTION("""COMPUTED_VALUE"""),2718.18)</f>
        <v>2718.18</v>
      </c>
      <c r="Q354" s="6" t="str">
        <f ca="1">IFERROR(__xludf.DUMMYFUNCTION("""COMPUTED_VALUE"""),"Iván Sánchez")</f>
        <v>Iván Sánchez</v>
      </c>
      <c r="R354" s="6" t="str">
        <f ca="1">IFERROR(__xludf.DUMMYFUNCTION("""COMPUTED_VALUE"""),"Isabel Menaches Guardiola")</f>
        <v>Isabel Menaches Guardiola</v>
      </c>
      <c r="S354" s="20" t="str">
        <f ca="1">IFERROR(__xludf.DUMMYFUNCTION("""COMPUTED_VALUE"""),"03 ORL")</f>
        <v>03 ORL</v>
      </c>
      <c r="T354" s="6" t="str">
        <f ca="1">IFERROR(__xludf.DUMMYFUNCTION("""COMPUTED_VALUE"""),"06 ORL")</f>
        <v>06 ORL</v>
      </c>
      <c r="U354" s="21"/>
      <c r="W354" s="21"/>
      <c r="X354" s="21"/>
    </row>
    <row r="355" spans="2:24" ht="16">
      <c r="B355" s="14" t="str">
        <f t="shared" ca="1" si="1"/>
        <v>LAA</v>
      </c>
      <c r="C355" s="23" t="str">
        <f ca="1">IFERROR(__xludf.DUMMYFUNCTION("""COMPUTED_VALUE"""),"LAA30")</f>
        <v>LAA30</v>
      </c>
      <c r="D355" s="6" t="str">
        <f ca="1">IFERROR(__xludf.DUMMYFUNCTION("""COMPUTED_VALUE"""),"PROPIOS")</f>
        <v>PROPIOS</v>
      </c>
      <c r="E355" s="6">
        <f ca="1">IFERROR(__xludf.DUMMYFUNCTION("""COMPUTED_VALUE"""),2026)</f>
        <v>2026</v>
      </c>
      <c r="F355" s="15">
        <f ca="1">IFERROR(__xludf.DUMMYFUNCTION("""COMPUTED_VALUE"""),3)</f>
        <v>3</v>
      </c>
      <c r="G355" s="6" t="str">
        <f ca="1">IFERROR(__xludf.DUMMYFUNCTION("""COMPUTED_VALUE"""),"Sevilla- Montoto")</f>
        <v>Sevilla- Montoto</v>
      </c>
      <c r="H355" s="6" t="str">
        <f ca="1">IFERROR(__xludf.DUMMYFUNCTION("""COMPUTED_VALUE"""),"C202621011441871135")</f>
        <v>C202621011441871135</v>
      </c>
      <c r="I355" s="6" t="str">
        <f ca="1">IFERROR(__xludf.DUMMYFUNCTION("""COMPUTED_VALUE"""),"NIDIA ROSA MUÑOZ BEDOLLA")</f>
        <v>NIDIA ROSA MUÑOZ BEDOLLA</v>
      </c>
      <c r="J355" s="16">
        <f ca="1">IFERROR(__xludf.DUMMYFUNCTION("""COMPUTED_VALUE"""),46063)</f>
        <v>46063</v>
      </c>
      <c r="K355" s="6" t="str">
        <f ca="1">IFERROR(__xludf.DUMMYFUNCTION("""COMPUTED_VALUE"""),"Factura audífonos")</f>
        <v>Factura audífonos</v>
      </c>
      <c r="L355" s="16">
        <f ca="1">IFERROR(__xludf.DUMMYFUNCTION("""COMPUTED_VALUE"""),46094)</f>
        <v>46094</v>
      </c>
      <c r="M355" s="23" t="str">
        <f ca="1">IFERROR(__xludf.DUMMYFUNCTION("""COMPUTED_VALUE"""),"NO")</f>
        <v>NO</v>
      </c>
      <c r="N355" s="15">
        <f ca="1">IFERROR(__xludf.DUMMYFUNCTION("""COMPUTED_VALUE"""),2)</f>
        <v>2</v>
      </c>
      <c r="O355" s="23" t="str">
        <f ca="1">IFERROR(__xludf.DUMMYFUNCTION("""COMPUTED_VALUE"""),"QUIET")</f>
        <v>QUIET</v>
      </c>
      <c r="P355" s="21">
        <f ca="1">IFERROR(__xludf.DUMMYFUNCTION("""COMPUTED_VALUE"""),2581.82)</f>
        <v>2581.8200000000002</v>
      </c>
      <c r="Q355" s="6" t="str">
        <f ca="1">IFERROR(__xludf.DUMMYFUNCTION("""COMPUTED_VALUE"""),"Luis Alberto Rodríguez")</f>
        <v>Luis Alberto Rodríguez</v>
      </c>
      <c r="R355" s="6" t="str">
        <f ca="1">IFERROR(__xludf.DUMMYFUNCTION("""COMPUTED_VALUE"""),"Juan Pedro Benaixa")</f>
        <v>Juan Pedro Benaixa</v>
      </c>
      <c r="S355" s="20" t="str">
        <f ca="1">IFERROR(__xludf.DUMMYFUNCTION("""COMPUTED_VALUE"""),"03 ORL")</f>
        <v>03 ORL</v>
      </c>
      <c r="T355" s="6" t="str">
        <f ca="1">IFERROR(__xludf.DUMMYFUNCTION("""COMPUTED_VALUE"""),"06 ORL")</f>
        <v>06 ORL</v>
      </c>
      <c r="U355" s="21"/>
      <c r="W355" s="21"/>
      <c r="X355" s="21"/>
    </row>
    <row r="356" spans="2:24" ht="16">
      <c r="B356" s="14" t="str">
        <f t="shared" ca="1" si="1"/>
        <v>RFV</v>
      </c>
      <c r="C356" s="23" t="str">
        <f ca="1">IFERROR(__xludf.DUMMYFUNCTION("""COMPUTED_VALUE"""),"RFV29")</f>
        <v>RFV29</v>
      </c>
      <c r="D356" s="6" t="str">
        <f ca="1">IFERROR(__xludf.DUMMYFUNCTION("""COMPUTED_VALUE"""),"PROPIOS")</f>
        <v>PROPIOS</v>
      </c>
      <c r="E356" s="6">
        <f ca="1">IFERROR(__xludf.DUMMYFUNCTION("""COMPUTED_VALUE"""),2026)</f>
        <v>2026</v>
      </c>
      <c r="F356" s="15">
        <f ca="1">IFERROR(__xludf.DUMMYFUNCTION("""COMPUTED_VALUE"""),3)</f>
        <v>3</v>
      </c>
      <c r="G356" s="6" t="str">
        <f ca="1">IFERROR(__xludf.DUMMYFUNCTION("""COMPUTED_VALUE"""),"Valencia- Parra")</f>
        <v>Valencia- Parra</v>
      </c>
      <c r="H356" s="6" t="str">
        <f ca="1">IFERROR(__xludf.DUMMYFUNCTION("""COMPUTED_VALUE"""),"C20261308590460009")</f>
        <v>C20261308590460009</v>
      </c>
      <c r="I356" s="6" t="str">
        <f ca="1">IFERROR(__xludf.DUMMYFUNCTION("""COMPUTED_VALUE"""),"VICENTE REAL BENLLOCH")</f>
        <v>VICENTE REAL BENLLOCH</v>
      </c>
      <c r="J356" s="16">
        <f ca="1">IFERROR(__xludf.DUMMYFUNCTION("""COMPUTED_VALUE"""),46052)</f>
        <v>46052</v>
      </c>
      <c r="K356" s="6" t="str">
        <f ca="1">IFERROR(__xludf.DUMMYFUNCTION("""COMPUTED_VALUE"""),"Factura audífonos")</f>
        <v>Factura audífonos</v>
      </c>
      <c r="L356" s="16">
        <f ca="1">IFERROR(__xludf.DUMMYFUNCTION("""COMPUTED_VALUE"""),46094)</f>
        <v>46094</v>
      </c>
      <c r="M356" s="23" t="str">
        <f ca="1">IFERROR(__xludf.DUMMYFUNCTION("""COMPUTED_VALUE"""),"NO")</f>
        <v>NO</v>
      </c>
      <c r="N356" s="15">
        <f ca="1">IFERROR(__xludf.DUMMYFUNCTION("""COMPUTED_VALUE"""),2)</f>
        <v>2</v>
      </c>
      <c r="O356" s="23" t="str">
        <f ca="1">IFERROR(__xludf.DUMMYFUNCTION("""COMPUTED_VALUE"""),"ADVANCED")</f>
        <v>ADVANCED</v>
      </c>
      <c r="P356" s="21">
        <f ca="1">IFERROR(__xludf.DUMMYFUNCTION("""COMPUTED_VALUE"""),4136.36)</f>
        <v>4136.3599999999997</v>
      </c>
      <c r="Q356" s="6" t="str">
        <f ca="1">IFERROR(__xludf.DUMMYFUNCTION("""COMPUTED_VALUE"""),"Ramon Ferrando")</f>
        <v>Ramon Ferrando</v>
      </c>
      <c r="R356" s="6" t="str">
        <f ca="1">IFERROR(__xludf.DUMMYFUNCTION("""COMPUTED_VALUE"""),"Fe Rubio Escolano")</f>
        <v>Fe Rubio Escolano</v>
      </c>
      <c r="S356" s="20" t="str">
        <f ca="1">IFERROR(__xludf.DUMMYFUNCTION("""COMPUTED_VALUE"""),"03 ORL")</f>
        <v>03 ORL</v>
      </c>
      <c r="T356" s="6" t="str">
        <f ca="1">IFERROR(__xludf.DUMMYFUNCTION("""COMPUTED_VALUE"""),"06 ORL")</f>
        <v>06 ORL</v>
      </c>
      <c r="U356" s="21"/>
      <c r="W356" s="21"/>
      <c r="X356" s="21"/>
    </row>
    <row r="357" spans="2:24" ht="16">
      <c r="B357" s="14" t="str">
        <f t="shared" ca="1" si="1"/>
        <v>MBM</v>
      </c>
      <c r="C357" s="23" t="str">
        <f ca="1">IFERROR(__xludf.DUMMYFUNCTION("""COMPUTED_VALUE"""),"MBM85")</f>
        <v>MBM85</v>
      </c>
      <c r="D357" s="6" t="str">
        <f ca="1">IFERROR(__xludf.DUMMYFUNCTION("""COMPUTED_VALUE"""),"PROPIOS")</f>
        <v>PROPIOS</v>
      </c>
      <c r="E357" s="6">
        <f ca="1">IFERROR(__xludf.DUMMYFUNCTION("""COMPUTED_VALUE"""),2026)</f>
        <v>2026</v>
      </c>
      <c r="F357" s="15">
        <f ca="1">IFERROR(__xludf.DUMMYFUNCTION("""COMPUTED_VALUE"""),3)</f>
        <v>3</v>
      </c>
      <c r="G357" s="6" t="str">
        <f ca="1">IFERROR(__xludf.DUMMYFUNCTION("""COMPUTED_VALUE"""),"Móstoles")</f>
        <v>Móstoles</v>
      </c>
      <c r="H357" s="6" t="str">
        <f ca="1">IFERROR(__xludf.DUMMYFUNCTION("""COMPUTED_VALUE"""),"C202621016145893070")</f>
        <v>C202621016145893070</v>
      </c>
      <c r="I357" s="6" t="str">
        <f ca="1">IFERROR(__xludf.DUMMYFUNCTION("""COMPUTED_VALUE"""),"ALEXANDER RINCON OCAMPO")</f>
        <v>ALEXANDER RINCON OCAMPO</v>
      </c>
      <c r="J357" s="16">
        <f ca="1">IFERROR(__xludf.DUMMYFUNCTION("""COMPUTED_VALUE"""),46063)</f>
        <v>46063</v>
      </c>
      <c r="K357" s="6" t="str">
        <f ca="1">IFERROR(__xludf.DUMMYFUNCTION("""COMPUTED_VALUE"""),"Factura audífonos")</f>
        <v>Factura audífonos</v>
      </c>
      <c r="L357" s="16">
        <f ca="1">IFERROR(__xludf.DUMMYFUNCTION("""COMPUTED_VALUE"""),46097)</f>
        <v>46097</v>
      </c>
      <c r="M357" s="23" t="str">
        <f ca="1">IFERROR(__xludf.DUMMYFUNCTION("""COMPUTED_VALUE"""),"NO")</f>
        <v>NO</v>
      </c>
      <c r="N357" s="15">
        <f ca="1">IFERROR(__xludf.DUMMYFUNCTION("""COMPUTED_VALUE"""),2)</f>
        <v>2</v>
      </c>
      <c r="O357" s="23" t="str">
        <f ca="1">IFERROR(__xludf.DUMMYFUNCTION("""COMPUTED_VALUE"""),"QUIET")</f>
        <v>QUIET</v>
      </c>
      <c r="P357" s="21">
        <f ca="1">IFERROR(__xludf.DUMMYFUNCTION("""COMPUTED_VALUE"""),2718.18)</f>
        <v>2718.18</v>
      </c>
      <c r="Q357" s="6" t="str">
        <f ca="1">IFERROR(__xludf.DUMMYFUNCTION("""COMPUTED_VALUE"""),"Maika Blázquez")</f>
        <v>Maika Blázquez</v>
      </c>
      <c r="R357" s="6" t="str">
        <f ca="1">IFERROR(__xludf.DUMMYFUNCTION("""COMPUTED_VALUE"""),"Víctor José González Arias")</f>
        <v>Víctor José González Arias</v>
      </c>
      <c r="S357" s="20" t="str">
        <f ca="1">IFERROR(__xludf.DUMMYFUNCTION("""COMPUTED_VALUE"""),"01 MARKETING ON LINE")</f>
        <v>01 MARKETING ON LINE</v>
      </c>
      <c r="T357" s="6" t="str">
        <f ca="1">IFERROR(__xludf.DUMMYFUNCTION("""COMPUTED_VALUE"""),"01 WEB AUDICOST")</f>
        <v>01 WEB AUDICOST</v>
      </c>
      <c r="U357" s="21"/>
      <c r="W357" s="21"/>
      <c r="X357" s="21"/>
    </row>
    <row r="358" spans="2:24" ht="16">
      <c r="B358" s="14" t="str">
        <f t="shared" ca="1" si="1"/>
        <v>ISL</v>
      </c>
      <c r="C358" s="23" t="str">
        <f ca="1">IFERROR(__xludf.DUMMYFUNCTION("""COMPUTED_VALUE"""),"ISL10")</f>
        <v>ISL10</v>
      </c>
      <c r="D358" s="6" t="str">
        <f ca="1">IFERROR(__xludf.DUMMYFUNCTION("""COMPUTED_VALUE"""),"PROPIOS")</f>
        <v>PROPIOS</v>
      </c>
      <c r="E358" s="6">
        <f ca="1">IFERROR(__xludf.DUMMYFUNCTION("""COMPUTED_VALUE"""),2026)</f>
        <v>2026</v>
      </c>
      <c r="F358" s="15">
        <f ca="1">IFERROR(__xludf.DUMMYFUNCTION("""COMPUTED_VALUE"""),3)</f>
        <v>3</v>
      </c>
      <c r="G358" s="6" t="str">
        <f ca="1">IFERROR(__xludf.DUMMYFUNCTION("""COMPUTED_VALUE"""),"San Javier")</f>
        <v>San Javier</v>
      </c>
      <c r="H358" s="6" t="str">
        <f ca="1">IFERROR(__xludf.DUMMYFUNCTION("""COMPUTED_VALUE"""),"C202612993357512770")</f>
        <v>C202612993357512770</v>
      </c>
      <c r="I358" s="6" t="str">
        <f ca="1">IFERROR(__xludf.DUMMYFUNCTION("""COMPUTED_VALUE"""),"CARMEN FERNANDEZ GURRICHARRI")</f>
        <v>CARMEN FERNANDEZ GURRICHARRI</v>
      </c>
      <c r="J358" s="16">
        <f ca="1">IFERROR(__xludf.DUMMYFUNCTION("""COMPUTED_VALUE"""),46051)</f>
        <v>46051</v>
      </c>
      <c r="K358" s="6" t="str">
        <f ca="1">IFERROR(__xludf.DUMMYFUNCTION("""COMPUTED_VALUE"""),"Factura audífonos")</f>
        <v>Factura audífonos</v>
      </c>
      <c r="L358" s="16">
        <f ca="1">IFERROR(__xludf.DUMMYFUNCTION("""COMPUTED_VALUE"""),46097)</f>
        <v>46097</v>
      </c>
      <c r="M358" s="23" t="str">
        <f ca="1">IFERROR(__xludf.DUMMYFUNCTION("""COMPUTED_VALUE"""),"NO")</f>
        <v>NO</v>
      </c>
      <c r="N358" s="15">
        <f ca="1">IFERROR(__xludf.DUMMYFUNCTION("""COMPUTED_VALUE"""),2)</f>
        <v>2</v>
      </c>
      <c r="O358" s="23" t="str">
        <f ca="1">IFERROR(__xludf.DUMMYFUNCTION("""COMPUTED_VALUE"""),"ADVANCED")</f>
        <v>ADVANCED</v>
      </c>
      <c r="P358" s="21">
        <f ca="1">IFERROR(__xludf.DUMMYFUNCTION("""COMPUTED_VALUE"""),4136.36)</f>
        <v>4136.3599999999997</v>
      </c>
      <c r="Q358" s="6" t="str">
        <f ca="1">IFERROR(__xludf.DUMMYFUNCTION("""COMPUTED_VALUE"""),"Iván Sánchez")</f>
        <v>Iván Sánchez</v>
      </c>
      <c r="R358" s="6" t="str">
        <f ca="1">IFERROR(__xludf.DUMMYFUNCTION("""COMPUTED_VALUE"""),"Antonio Galindo Fernández")</f>
        <v>Antonio Galindo Fernández</v>
      </c>
      <c r="S358" s="20" t="str">
        <f ca="1">IFERROR(__xludf.DUMMYFUNCTION("""COMPUTED_VALUE"""),"03 ORL")</f>
        <v>03 ORL</v>
      </c>
      <c r="T358" s="6" t="str">
        <f ca="1">IFERROR(__xludf.DUMMYFUNCTION("""COMPUTED_VALUE"""),"06 ORL")</f>
        <v>06 ORL</v>
      </c>
      <c r="U358" s="21"/>
      <c r="W358" s="21"/>
      <c r="X358" s="21"/>
    </row>
    <row r="359" spans="2:24" ht="16">
      <c r="B359" s="14" t="str">
        <f t="shared" ca="1" si="1"/>
        <v>PSC</v>
      </c>
      <c r="C359" s="23" t="str">
        <f ca="1">IFERROR(__xludf.DUMMYFUNCTION("""COMPUTED_VALUE"""),"PSC30")</f>
        <v>PSC30</v>
      </c>
      <c r="D359" s="6" t="str">
        <f ca="1">IFERROR(__xludf.DUMMYFUNCTION("""COMPUTED_VALUE"""),"ASOCIADOS")</f>
        <v>ASOCIADOS</v>
      </c>
      <c r="E359" s="6">
        <f ca="1">IFERROR(__xludf.DUMMYFUNCTION("""COMPUTED_VALUE"""),2026)</f>
        <v>2026</v>
      </c>
      <c r="F359" s="15">
        <f ca="1">IFERROR(__xludf.DUMMYFUNCTION("""COMPUTED_VALUE"""),3)</f>
        <v>3</v>
      </c>
      <c r="G359" s="6" t="str">
        <f ca="1">IFERROR(__xludf.DUMMYFUNCTION("""COMPUTED_VALUE"""),"León")</f>
        <v>León</v>
      </c>
      <c r="H359" s="6" t="str">
        <f ca="1">IFERROR(__xludf.DUMMYFUNCTION("""COMPUTED_VALUE"""),"C202622510583014355")</f>
        <v>C202622510583014355</v>
      </c>
      <c r="I359" s="6" t="str">
        <f ca="1">IFERROR(__xludf.DUMMYFUNCTION("""COMPUTED_VALUE"""),"Elina Encarnación Carro Alvarez")</f>
        <v>Elina Encarnación Carro Alvarez</v>
      </c>
      <c r="J359" s="16">
        <f ca="1">IFERROR(__xludf.DUMMYFUNCTION("""COMPUTED_VALUE"""),46078)</f>
        <v>46078</v>
      </c>
      <c r="K359" s="6" t="str">
        <f ca="1">IFERROR(__xludf.DUMMYFUNCTION("""COMPUTED_VALUE"""),"Factura audífonos")</f>
        <v>Factura audífonos</v>
      </c>
      <c r="L359" s="16">
        <f ca="1">IFERROR(__xludf.DUMMYFUNCTION("""COMPUTED_VALUE"""),46097)</f>
        <v>46097</v>
      </c>
      <c r="M359" s="23" t="str">
        <f ca="1">IFERROR(__xludf.DUMMYFUNCTION("""COMPUTED_VALUE"""),"NO")</f>
        <v>NO</v>
      </c>
      <c r="N359" s="15">
        <f ca="1">IFERROR(__xludf.DUMMYFUNCTION("""COMPUTED_VALUE"""),2)</f>
        <v>2</v>
      </c>
      <c r="O359" s="23" t="str">
        <f ca="1">IFERROR(__xludf.DUMMYFUNCTION("""COMPUTED_VALUE"""),"PRO")</f>
        <v>PRO</v>
      </c>
      <c r="P359" s="21">
        <f ca="1">IFERROR(__xludf.DUMMYFUNCTION("""COMPUTED_VALUE"""),5363.64)</f>
        <v>5363.64</v>
      </c>
      <c r="Q359" s="6" t="str">
        <f ca="1">IFERROR(__xludf.DUMMYFUNCTION("""COMPUTED_VALUE"""),"Alberto Moreno")</f>
        <v>Alberto Moreno</v>
      </c>
      <c r="R359" s="6" t="str">
        <f ca="1">IFERROR(__xludf.DUMMYFUNCTION("""COMPUTED_VALUE"""),"Rafael Pérez González")</f>
        <v>Rafael Pérez González</v>
      </c>
      <c r="S359" s="20" t="str">
        <f ca="1">IFERROR(__xludf.DUMMYFUNCTION("""COMPUTED_VALUE"""),"03 ORL")</f>
        <v>03 ORL</v>
      </c>
      <c r="T359" s="6" t="str">
        <f ca="1">IFERROR(__xludf.DUMMYFUNCTION("""COMPUTED_VALUE"""),"06 ORL")</f>
        <v>06 ORL</v>
      </c>
      <c r="U359" s="21"/>
      <c r="W359" s="21"/>
      <c r="X359" s="21"/>
    </row>
    <row r="360" spans="2:24" ht="16">
      <c r="B360" s="14" t="str">
        <f t="shared" ca="1" si="1"/>
        <v>ISL</v>
      </c>
      <c r="C360" s="23" t="str">
        <f ca="1">IFERROR(__xludf.DUMMYFUNCTION("""COMPUTED_VALUE"""),"ISL83")</f>
        <v>ISL83</v>
      </c>
      <c r="D360" s="6" t="str">
        <f ca="1">IFERROR(__xludf.DUMMYFUNCTION("""COMPUTED_VALUE"""),"PROPIOS")</f>
        <v>PROPIOS</v>
      </c>
      <c r="E360" s="6">
        <f ca="1">IFERROR(__xludf.DUMMYFUNCTION("""COMPUTED_VALUE"""),2026)</f>
        <v>2026</v>
      </c>
      <c r="F360" s="15">
        <f ca="1">IFERROR(__xludf.DUMMYFUNCTION("""COMPUTED_VALUE"""),3)</f>
        <v>3</v>
      </c>
      <c r="G360" s="6" t="str">
        <f ca="1">IFERROR(__xludf.DUMMYFUNCTION("""COMPUTED_VALUE"""),"Murcia")</f>
        <v>Murcia</v>
      </c>
      <c r="H360" s="6" t="str">
        <f ca="1">IFERROR(__xludf.DUMMYFUNCTION("""COMPUTED_VALUE"""),"C20262916846685199")</f>
        <v>C20262916846685199</v>
      </c>
      <c r="I360" s="6" t="str">
        <f ca="1">IFERROR(__xludf.DUMMYFUNCTION("""COMPUTED_VALUE"""),"MERCEDES ROS LOPEZ")</f>
        <v>MERCEDES ROS LOPEZ</v>
      </c>
      <c r="J360" s="16">
        <f ca="1">IFERROR(__xludf.DUMMYFUNCTION("""COMPUTED_VALUE"""),46062)</f>
        <v>46062</v>
      </c>
      <c r="K360" s="6" t="str">
        <f ca="1">IFERROR(__xludf.DUMMYFUNCTION("""COMPUTED_VALUE"""),"Factura audífonos")</f>
        <v>Factura audífonos</v>
      </c>
      <c r="L360" s="16">
        <f ca="1">IFERROR(__xludf.DUMMYFUNCTION("""COMPUTED_VALUE"""),46097)</f>
        <v>46097</v>
      </c>
      <c r="M360" s="23" t="str">
        <f ca="1">IFERROR(__xludf.DUMMYFUNCTION("""COMPUTED_VALUE"""),"NO")</f>
        <v>NO</v>
      </c>
      <c r="N360" s="15">
        <f ca="1">IFERROR(__xludf.DUMMYFUNCTION("""COMPUTED_VALUE"""),2)</f>
        <v>2</v>
      </c>
      <c r="O360" s="23" t="str">
        <f ca="1">IFERROR(__xludf.DUMMYFUNCTION("""COMPUTED_VALUE"""),"QUIET")</f>
        <v>QUIET</v>
      </c>
      <c r="P360" s="21">
        <f ca="1">IFERROR(__xludf.DUMMYFUNCTION("""COMPUTED_VALUE"""),2718.18)</f>
        <v>2718.18</v>
      </c>
      <c r="Q360" s="6" t="str">
        <f ca="1">IFERROR(__xludf.DUMMYFUNCTION("""COMPUTED_VALUE"""),"Iván Sánchez")</f>
        <v>Iván Sánchez</v>
      </c>
      <c r="R360" s="6" t="str">
        <f ca="1">IFERROR(__xludf.DUMMYFUNCTION("""COMPUTED_VALUE"""),"Aida Aviñoa Arias")</f>
        <v>Aida Aviñoa Arias</v>
      </c>
      <c r="S360" s="20" t="str">
        <f ca="1">IFERROR(__xludf.DUMMYFUNCTION("""COMPUTED_VALUE"""),"03 ORL")</f>
        <v>03 ORL</v>
      </c>
      <c r="T360" s="6" t="str">
        <f ca="1">IFERROR(__xludf.DUMMYFUNCTION("""COMPUTED_VALUE"""),"06 ORL")</f>
        <v>06 ORL</v>
      </c>
      <c r="U360" s="21"/>
      <c r="W360" s="21"/>
      <c r="X360" s="21"/>
    </row>
    <row r="361" spans="2:24" ht="16">
      <c r="B361" s="14" t="str">
        <f t="shared" ca="1" si="1"/>
        <v>PSC</v>
      </c>
      <c r="C361" s="23" t="str">
        <f ca="1">IFERROR(__xludf.DUMMYFUNCTION("""COMPUTED_VALUE"""),"PSC30")</f>
        <v>PSC30</v>
      </c>
      <c r="D361" s="6" t="str">
        <f ca="1">IFERROR(__xludf.DUMMYFUNCTION("""COMPUTED_VALUE"""),"ASOCIADOS")</f>
        <v>ASOCIADOS</v>
      </c>
      <c r="E361" s="6">
        <f ca="1">IFERROR(__xludf.DUMMYFUNCTION("""COMPUTED_VALUE"""),2026)</f>
        <v>2026</v>
      </c>
      <c r="F361" s="15">
        <f ca="1">IFERROR(__xludf.DUMMYFUNCTION("""COMPUTED_VALUE"""),3)</f>
        <v>3</v>
      </c>
      <c r="G361" s="6" t="str">
        <f ca="1">IFERROR(__xludf.DUMMYFUNCTION("""COMPUTED_VALUE"""),"León")</f>
        <v>León</v>
      </c>
      <c r="H361" s="6" t="str">
        <f ca="1">IFERROR(__xludf.DUMMYFUNCTION("""COMPUTED_VALUE"""),"C202625115344189237")</f>
        <v>C202625115344189237</v>
      </c>
      <c r="I361" s="6" t="str">
        <f ca="1">IFERROR(__xludf.DUMMYFUNCTION("""COMPUTED_VALUE"""),"Roberto Alonso Fernandez")</f>
        <v>Roberto Alonso Fernandez</v>
      </c>
      <c r="J361" s="16">
        <f ca="1">IFERROR(__xludf.DUMMYFUNCTION("""COMPUTED_VALUE"""),46058)</f>
        <v>46058</v>
      </c>
      <c r="K361" s="6" t="str">
        <f ca="1">IFERROR(__xludf.DUMMYFUNCTION("""COMPUTED_VALUE"""),"Factura audífonos")</f>
        <v>Factura audífonos</v>
      </c>
      <c r="L361" s="16">
        <f ca="1">IFERROR(__xludf.DUMMYFUNCTION("""COMPUTED_VALUE"""),46097)</f>
        <v>46097</v>
      </c>
      <c r="M361" s="23" t="str">
        <f ca="1">IFERROR(__xludf.DUMMYFUNCTION("""COMPUTED_VALUE"""),"NO")</f>
        <v>NO</v>
      </c>
      <c r="N361" s="15">
        <f ca="1">IFERROR(__xludf.DUMMYFUNCTION("""COMPUTED_VALUE"""),2)</f>
        <v>2</v>
      </c>
      <c r="O361" s="17" t="str">
        <f ca="1">IFERROR(__xludf.DUMMYFUNCTION("""COMPUTED_VALUE"""),"ADVANCED")</f>
        <v>ADVANCED</v>
      </c>
      <c r="P361" s="21">
        <f ca="1">IFERROR(__xludf.DUMMYFUNCTION("""COMPUTED_VALUE"""),3846.15)</f>
        <v>3846.15</v>
      </c>
      <c r="Q361" s="6" t="str">
        <f ca="1">IFERROR(__xludf.DUMMYFUNCTION("""COMPUTED_VALUE"""),"Alberto Moreno")</f>
        <v>Alberto Moreno</v>
      </c>
      <c r="R361" s="6" t="str">
        <f ca="1">IFERROR(__xludf.DUMMYFUNCTION("""COMPUTED_VALUE"""),"Rafael Pérez González")</f>
        <v>Rafael Pérez González</v>
      </c>
      <c r="S361" s="20" t="str">
        <f ca="1">IFERROR(__xludf.DUMMYFUNCTION("""COMPUTED_VALUE"""),"03 ORL")</f>
        <v>03 ORL</v>
      </c>
      <c r="T361" s="6" t="str">
        <f ca="1">IFERROR(__xludf.DUMMYFUNCTION("""COMPUTED_VALUE"""),"06 ORL")</f>
        <v>06 ORL</v>
      </c>
      <c r="U361" s="21"/>
      <c r="W361" s="21"/>
      <c r="X361" s="21"/>
    </row>
    <row r="362" spans="2:24" ht="16">
      <c r="B362" s="14" t="str">
        <f t="shared" ca="1" si="1"/>
        <v>RFV</v>
      </c>
      <c r="C362" s="23" t="str">
        <f ca="1">IFERROR(__xludf.DUMMYFUNCTION("""COMPUTED_VALUE"""),"RFV38")</f>
        <v>RFV38</v>
      </c>
      <c r="D362" s="6" t="str">
        <f ca="1">IFERROR(__xludf.DUMMYFUNCTION("""COMPUTED_VALUE"""),"PROPIOS")</f>
        <v>PROPIOS</v>
      </c>
      <c r="E362" s="6">
        <f ca="1">IFERROR(__xludf.DUMMYFUNCTION("""COMPUTED_VALUE"""),2026)</f>
        <v>2026</v>
      </c>
      <c r="F362" s="15">
        <f ca="1">IFERROR(__xludf.DUMMYFUNCTION("""COMPUTED_VALUE"""),3)</f>
        <v>3</v>
      </c>
      <c r="G362" s="6" t="str">
        <f ca="1">IFERROR(__xludf.DUMMYFUNCTION("""COMPUTED_VALUE"""),"El Albir (Benidorm)")</f>
        <v>El Albir (Benidorm)</v>
      </c>
      <c r="H362" s="6" t="str">
        <f ca="1">IFERROR(__xludf.DUMMYFUNCTION("""COMPUTED_VALUE"""),"C20262281716801642")</f>
        <v>C20262281716801642</v>
      </c>
      <c r="I362" s="6" t="str">
        <f ca="1">IFERROR(__xludf.DUMMYFUNCTION("""COMPUTED_VALUE"""),"BENITA CONDE SUAREZ")</f>
        <v>BENITA CONDE SUAREZ</v>
      </c>
      <c r="J362" s="16">
        <f ca="1">IFERROR(__xludf.DUMMYFUNCTION("""COMPUTED_VALUE"""),46055)</f>
        <v>46055</v>
      </c>
      <c r="K362" s="6" t="str">
        <f ca="1">IFERROR(__xludf.DUMMYFUNCTION("""COMPUTED_VALUE"""),"Factura audífonos")</f>
        <v>Factura audífonos</v>
      </c>
      <c r="L362" s="16">
        <f ca="1">IFERROR(__xludf.DUMMYFUNCTION("""COMPUTED_VALUE"""),46097)</f>
        <v>46097</v>
      </c>
      <c r="M362" s="23" t="str">
        <f ca="1">IFERROR(__xludf.DUMMYFUNCTION("""COMPUTED_VALUE"""),"NO")</f>
        <v>NO</v>
      </c>
      <c r="N362" s="15">
        <f ca="1">IFERROR(__xludf.DUMMYFUNCTION("""COMPUTED_VALUE"""),2)</f>
        <v>2</v>
      </c>
      <c r="O362" s="23" t="str">
        <f ca="1">IFERROR(__xludf.DUMMYFUNCTION("""COMPUTED_VALUE"""),"ADVANCED")</f>
        <v>ADVANCED</v>
      </c>
      <c r="P362" s="21">
        <f ca="1">IFERROR(__xludf.DUMMYFUNCTION("""COMPUTED_VALUE"""),4136.36)</f>
        <v>4136.3599999999997</v>
      </c>
      <c r="Q362" s="6" t="str">
        <f ca="1">IFERROR(__xludf.DUMMYFUNCTION("""COMPUTED_VALUE"""),"Ramon Ferrando")</f>
        <v>Ramon Ferrando</v>
      </c>
      <c r="R362" s="6" t="str">
        <f ca="1">IFERROR(__xludf.DUMMYFUNCTION("""COMPUTED_VALUE"""),"María Emilia García Ruiz")</f>
        <v>María Emilia García Ruiz</v>
      </c>
      <c r="S362" s="20" t="str">
        <f ca="1">IFERROR(__xludf.DUMMYFUNCTION("""COMPUTED_VALUE"""),"03 ORL")</f>
        <v>03 ORL</v>
      </c>
      <c r="T362" s="6" t="str">
        <f ca="1">IFERROR(__xludf.DUMMYFUNCTION("""COMPUTED_VALUE"""),"06 ORL")</f>
        <v>06 ORL</v>
      </c>
      <c r="W362" s="20"/>
    </row>
    <row r="363" spans="2:24" ht="16">
      <c r="B363" s="14" t="str">
        <f t="shared" ca="1" si="1"/>
        <v>LRM</v>
      </c>
      <c r="C363" s="23" t="str">
        <f ca="1">IFERROR(__xludf.DUMMYFUNCTION("""COMPUTED_VALUE"""),"LRM101")</f>
        <v>LRM101</v>
      </c>
      <c r="D363" s="6" t="str">
        <f ca="1">IFERROR(__xludf.DUMMYFUNCTION("""COMPUTED_VALUE"""),"ASOCIADOS")</f>
        <v>ASOCIADOS</v>
      </c>
      <c r="E363" s="6">
        <f ca="1">IFERROR(__xludf.DUMMYFUNCTION("""COMPUTED_VALUE"""),2026)</f>
        <v>2026</v>
      </c>
      <c r="F363" s="15">
        <f ca="1">IFERROR(__xludf.DUMMYFUNCTION("""COMPUTED_VALUE"""),3)</f>
        <v>3</v>
      </c>
      <c r="G363" s="6" t="str">
        <f ca="1">IFERROR(__xludf.DUMMYFUNCTION("""COMPUTED_VALUE"""),"Cáceres")</f>
        <v>Cáceres</v>
      </c>
      <c r="H363" s="6" t="str">
        <f ca="1">IFERROR(__xludf.DUMMYFUNCTION("""COMPUTED_VALUE"""),"C202621812563506")</f>
        <v>C202621812563506</v>
      </c>
      <c r="I363" s="6" t="str">
        <f ca="1">IFERROR(__xludf.DUMMYFUNCTION("""COMPUTED_VALUE"""),"EVELIA ARIAS MORENO")</f>
        <v>EVELIA ARIAS MORENO</v>
      </c>
      <c r="J363" s="16">
        <f ca="1">IFERROR(__xludf.DUMMYFUNCTION("""COMPUTED_VALUE"""),46071)</f>
        <v>46071</v>
      </c>
      <c r="K363" s="6" t="str">
        <f ca="1">IFERROR(__xludf.DUMMYFUNCTION("""COMPUTED_VALUE"""),"Factura audífonos")</f>
        <v>Factura audífonos</v>
      </c>
      <c r="L363" s="16">
        <f ca="1">IFERROR(__xludf.DUMMYFUNCTION("""COMPUTED_VALUE"""),46098)</f>
        <v>46098</v>
      </c>
      <c r="M363" s="23" t="str">
        <f ca="1">IFERROR(__xludf.DUMMYFUNCTION("""COMPUTED_VALUE"""),"NO")</f>
        <v>NO</v>
      </c>
      <c r="N363" s="15">
        <f ca="1">IFERROR(__xludf.DUMMYFUNCTION("""COMPUTED_VALUE"""),2)</f>
        <v>2</v>
      </c>
      <c r="O363" s="23" t="str">
        <f ca="1">IFERROR(__xludf.DUMMYFUNCTION("""COMPUTED_VALUE"""),"CONFORT")</f>
        <v>CONFORT</v>
      </c>
      <c r="P363" s="21">
        <f ca="1">IFERROR(__xludf.DUMMYFUNCTION("""COMPUTED_VALUE"""),3909.09)</f>
        <v>3909.09</v>
      </c>
      <c r="Q363" s="6" t="str">
        <f ca="1">IFERROR(__xludf.DUMMYFUNCTION("""COMPUTED_VALUE"""),"Lisandro Russian")</f>
        <v>Lisandro Russian</v>
      </c>
      <c r="R363" s="6" t="str">
        <f ca="1">IFERROR(__xludf.DUMMYFUNCTION("""COMPUTED_VALUE"""),"Manuel Martí Peña")</f>
        <v>Manuel Martí Peña</v>
      </c>
      <c r="S363" s="20" t="str">
        <f ca="1">IFERROR(__xludf.DUMMYFUNCTION("""COMPUTED_VALUE"""),"03 ORL")</f>
        <v>03 ORL</v>
      </c>
      <c r="T363" s="6" t="str">
        <f ca="1">IFERROR(__xludf.DUMMYFUNCTION("""COMPUTED_VALUE"""),"06 ORL")</f>
        <v>06 ORL</v>
      </c>
      <c r="U363" s="21"/>
      <c r="W363" s="21"/>
      <c r="X363" s="21"/>
    </row>
    <row r="364" spans="2:24" ht="16">
      <c r="B364" s="14" t="str">
        <f t="shared" ca="1" si="1"/>
        <v>ISL</v>
      </c>
      <c r="C364" s="23" t="str">
        <f ca="1">IFERROR(__xludf.DUMMYFUNCTION("""COMPUTED_VALUE"""),"ISL45")</f>
        <v>ISL45</v>
      </c>
      <c r="D364" s="6" t="str">
        <f ca="1">IFERROR(__xludf.DUMMYFUNCTION("""COMPUTED_VALUE"""),"PROPIOS")</f>
        <v>PROPIOS</v>
      </c>
      <c r="E364" s="6">
        <f ca="1">IFERROR(__xludf.DUMMYFUNCTION("""COMPUTED_VALUE"""),2026)</f>
        <v>2026</v>
      </c>
      <c r="F364" s="15">
        <f ca="1">IFERROR(__xludf.DUMMYFUNCTION("""COMPUTED_VALUE"""),3)</f>
        <v>3</v>
      </c>
      <c r="G364" s="6" t="str">
        <f ca="1">IFERROR(__xludf.DUMMYFUNCTION("""COMPUTED_VALUE"""),"Murcia")</f>
        <v>Murcia</v>
      </c>
      <c r="H364" s="6" t="str">
        <f ca="1">IFERROR(__xludf.DUMMYFUNCTION("""COMPUTED_VALUE"""),"C202621616274682965")</f>
        <v>C202621616274682965</v>
      </c>
      <c r="I364" s="6" t="str">
        <f ca="1">IFERROR(__xludf.DUMMYFUNCTION("""COMPUTED_VALUE"""),"SUSANA ROPERO SANCHEZ")</f>
        <v>SUSANA ROPERO SANCHEZ</v>
      </c>
      <c r="J364" s="16">
        <f ca="1">IFERROR(__xludf.DUMMYFUNCTION("""COMPUTED_VALUE"""),46069)</f>
        <v>46069</v>
      </c>
      <c r="K364" s="6" t="str">
        <f ca="1">IFERROR(__xludf.DUMMYFUNCTION("""COMPUTED_VALUE"""),"Factura audífonos")</f>
        <v>Factura audífonos</v>
      </c>
      <c r="L364" s="16">
        <f ca="1">IFERROR(__xludf.DUMMYFUNCTION("""COMPUTED_VALUE"""),46098)</f>
        <v>46098</v>
      </c>
      <c r="M364" s="23" t="str">
        <f ca="1">IFERROR(__xludf.DUMMYFUNCTION("""COMPUTED_VALUE"""),"NO")</f>
        <v>NO</v>
      </c>
      <c r="N364" s="15">
        <f ca="1">IFERROR(__xludf.DUMMYFUNCTION("""COMPUTED_VALUE"""),2)</f>
        <v>2</v>
      </c>
      <c r="O364" s="23" t="str">
        <f ca="1">IFERROR(__xludf.DUMMYFUNCTION("""COMPUTED_VALUE"""),"QUIET")</f>
        <v>QUIET</v>
      </c>
      <c r="P364" s="21">
        <f ca="1">IFERROR(__xludf.DUMMYFUNCTION("""COMPUTED_VALUE"""),2718.18)</f>
        <v>2718.18</v>
      </c>
      <c r="Q364" s="6" t="str">
        <f ca="1">IFERROR(__xludf.DUMMYFUNCTION("""COMPUTED_VALUE"""),"Iván Sánchez")</f>
        <v>Iván Sánchez</v>
      </c>
      <c r="R364" s="6" t="str">
        <f ca="1">IFERROR(__xludf.DUMMYFUNCTION("""COMPUTED_VALUE"""),"Jesús Miguel Iniesta Turpín")</f>
        <v>Jesús Miguel Iniesta Turpín</v>
      </c>
      <c r="S364" s="20" t="str">
        <f ca="1">IFERROR(__xludf.DUMMYFUNCTION("""COMPUTED_VALUE"""),"03 ORL")</f>
        <v>03 ORL</v>
      </c>
      <c r="T364" s="6" t="str">
        <f ca="1">IFERROR(__xludf.DUMMYFUNCTION("""COMPUTED_VALUE"""),"06 ORL")</f>
        <v>06 ORL</v>
      </c>
      <c r="U364" s="21"/>
      <c r="W364" s="21"/>
      <c r="X364" s="21"/>
    </row>
    <row r="365" spans="2:24" ht="16">
      <c r="B365" s="14" t="str">
        <f t="shared" ca="1" si="1"/>
        <v>MBM</v>
      </c>
      <c r="C365" s="23" t="str">
        <f ca="1">IFERROR(__xludf.DUMMYFUNCTION("""COMPUTED_VALUE"""),"MBM165")</f>
        <v>MBM165</v>
      </c>
      <c r="D365" s="6" t="str">
        <f ca="1">IFERROR(__xludf.DUMMYFUNCTION("""COMPUTED_VALUE"""),"PROPIOS")</f>
        <v>PROPIOS</v>
      </c>
      <c r="E365" s="6">
        <f ca="1">IFERROR(__xludf.DUMMYFUNCTION("""COMPUTED_VALUE"""),2026)</f>
        <v>2026</v>
      </c>
      <c r="F365" s="15">
        <f ca="1">IFERROR(__xludf.DUMMYFUNCTION("""COMPUTED_VALUE"""),3)</f>
        <v>3</v>
      </c>
      <c r="G365" s="6" t="str">
        <f ca="1">IFERROR(__xludf.DUMMYFUNCTION("""COMPUTED_VALUE"""),"Getafe")</f>
        <v>Getafe</v>
      </c>
      <c r="H365" s="6" t="str">
        <f ca="1">IFERROR(__xludf.DUMMYFUNCTION("""COMPUTED_VALUE"""),"C202612114575178474")</f>
        <v>C202612114575178474</v>
      </c>
      <c r="I365" s="6" t="str">
        <f ca="1">IFERROR(__xludf.DUMMYFUNCTION("""COMPUTED_VALUE"""),"MABEL HERRERA DONOSO")</f>
        <v>MABEL HERRERA DONOSO</v>
      </c>
      <c r="J365" s="16">
        <f ca="1">IFERROR(__xludf.DUMMYFUNCTION("""COMPUTED_VALUE"""),46043)</f>
        <v>46043</v>
      </c>
      <c r="K365" s="6" t="str">
        <f ca="1">IFERROR(__xludf.DUMMYFUNCTION("""COMPUTED_VALUE"""),"Factura audífonos")</f>
        <v>Factura audífonos</v>
      </c>
      <c r="L365" s="16">
        <f ca="1">IFERROR(__xludf.DUMMYFUNCTION("""COMPUTED_VALUE"""),46098)</f>
        <v>46098</v>
      </c>
      <c r="M365" s="23" t="str">
        <f ca="1">IFERROR(__xludf.DUMMYFUNCTION("""COMPUTED_VALUE"""),"NO")</f>
        <v>NO</v>
      </c>
      <c r="N365" s="15">
        <f ca="1">IFERROR(__xludf.DUMMYFUNCTION("""COMPUTED_VALUE"""),2)</f>
        <v>2</v>
      </c>
      <c r="O365" s="23" t="str">
        <f ca="1">IFERROR(__xludf.DUMMYFUNCTION("""COMPUTED_VALUE"""),"ADVANCED")</f>
        <v>ADVANCED</v>
      </c>
      <c r="P365" s="21">
        <f ca="1">IFERROR(__xludf.DUMMYFUNCTION("""COMPUTED_VALUE"""),4136.36)</f>
        <v>4136.3599999999997</v>
      </c>
      <c r="Q365" s="6" t="str">
        <f ca="1">IFERROR(__xludf.DUMMYFUNCTION("""COMPUTED_VALUE"""),"Maika Blázquez")</f>
        <v>Maika Blázquez</v>
      </c>
      <c r="R365" s="6" t="str">
        <f ca="1">IFERROR(__xludf.DUMMYFUNCTION("""COMPUTED_VALUE"""),"Paloma Pinacho Martínez")</f>
        <v>Paloma Pinacho Martínez</v>
      </c>
      <c r="S365" s="20" t="str">
        <f ca="1">IFERROR(__xludf.DUMMYFUNCTION("""COMPUTED_VALUE"""),"03 ORL")</f>
        <v>03 ORL</v>
      </c>
      <c r="T365" s="6" t="str">
        <f ca="1">IFERROR(__xludf.DUMMYFUNCTION("""COMPUTED_VALUE"""),"06 ORL")</f>
        <v>06 ORL</v>
      </c>
      <c r="U365" s="21"/>
      <c r="W365" s="21"/>
      <c r="X365" s="21"/>
    </row>
    <row r="366" spans="2:24" ht="16">
      <c r="B366" s="14" t="str">
        <f t="shared" ca="1" si="1"/>
        <v>MBM</v>
      </c>
      <c r="C366" s="23" t="str">
        <f ca="1">IFERROR(__xludf.DUMMYFUNCTION("""COMPUTED_VALUE"""),"MBM45")</f>
        <v>MBM45</v>
      </c>
      <c r="D366" s="6" t="str">
        <f ca="1">IFERROR(__xludf.DUMMYFUNCTION("""COMPUTED_VALUE"""),"PROPIOS")</f>
        <v>PROPIOS</v>
      </c>
      <c r="E366" s="6">
        <f ca="1">IFERROR(__xludf.DUMMYFUNCTION("""COMPUTED_VALUE"""),2026)</f>
        <v>2026</v>
      </c>
      <c r="F366" s="15">
        <f ca="1">IFERROR(__xludf.DUMMYFUNCTION("""COMPUTED_VALUE"""),3)</f>
        <v>3</v>
      </c>
      <c r="G366" s="6" t="str">
        <f ca="1">IFERROR(__xludf.DUMMYFUNCTION("""COMPUTED_VALUE"""),"Madrid- Canillas")</f>
        <v>Madrid- Canillas</v>
      </c>
      <c r="H366" s="6" t="str">
        <f ca="1">IFERROR(__xludf.DUMMYFUNCTION("""COMPUTED_VALUE"""),"C202621718623559730")</f>
        <v>C202621718623559730</v>
      </c>
      <c r="I366" s="6" t="str">
        <f ca="1">IFERROR(__xludf.DUMMYFUNCTION("""COMPUTED_VALUE"""),"RAFAEL RODRIGO CÁMARA")</f>
        <v>RAFAEL RODRIGO CÁMARA</v>
      </c>
      <c r="J366" s="16">
        <f ca="1">IFERROR(__xludf.DUMMYFUNCTION("""COMPUTED_VALUE"""),46070)</f>
        <v>46070</v>
      </c>
      <c r="K366" s="6" t="str">
        <f ca="1">IFERROR(__xludf.DUMMYFUNCTION("""COMPUTED_VALUE"""),"Factura audífonos")</f>
        <v>Factura audífonos</v>
      </c>
      <c r="L366" s="16">
        <f ca="1">IFERROR(__xludf.DUMMYFUNCTION("""COMPUTED_VALUE"""),46098)</f>
        <v>46098</v>
      </c>
      <c r="M366" s="23" t="str">
        <f ca="1">IFERROR(__xludf.DUMMYFUNCTION("""COMPUTED_VALUE"""),"NO")</f>
        <v>NO</v>
      </c>
      <c r="N366" s="15">
        <f ca="1">IFERROR(__xludf.DUMMYFUNCTION("""COMPUTED_VALUE"""),2)</f>
        <v>2</v>
      </c>
      <c r="O366" s="23" t="str">
        <f ca="1">IFERROR(__xludf.DUMMYFUNCTION("""COMPUTED_VALUE"""),"ADVANCED")</f>
        <v>ADVANCED</v>
      </c>
      <c r="P366" s="21">
        <f ca="1">IFERROR(__xludf.DUMMYFUNCTION("""COMPUTED_VALUE"""),3929.55)</f>
        <v>3929.55</v>
      </c>
      <c r="Q366" s="6" t="str">
        <f ca="1">IFERROR(__xludf.DUMMYFUNCTION("""COMPUTED_VALUE"""),"Maika Blázquez")</f>
        <v>Maika Blázquez</v>
      </c>
      <c r="R366" s="6" t="str">
        <f ca="1">IFERROR(__xludf.DUMMYFUNCTION("""COMPUTED_VALUE"""),"Joaquín Alacio Casero")</f>
        <v>Joaquín Alacio Casero</v>
      </c>
      <c r="S366" s="20" t="str">
        <f ca="1">IFERROR(__xludf.DUMMYFUNCTION("""COMPUTED_VALUE"""),"03 ORL")</f>
        <v>03 ORL</v>
      </c>
      <c r="T366" s="6" t="str">
        <f ca="1">IFERROR(__xludf.DUMMYFUNCTION("""COMPUTED_VALUE"""),"06 ORL")</f>
        <v>06 ORL</v>
      </c>
      <c r="U366" s="21"/>
      <c r="W366" s="21"/>
      <c r="X366" s="21"/>
    </row>
    <row r="367" spans="2:24" ht="16">
      <c r="B367" s="14" t="str">
        <f t="shared" ca="1" si="1"/>
        <v>MBM</v>
      </c>
      <c r="C367" s="23" t="str">
        <f ca="1">IFERROR(__xludf.DUMMYFUNCTION("""COMPUTED_VALUE"""),"MBM07")</f>
        <v>MBM07</v>
      </c>
      <c r="D367" s="6" t="str">
        <f ca="1">IFERROR(__xludf.DUMMYFUNCTION("""COMPUTED_VALUE"""),"PARTICIPADOS")</f>
        <v>PARTICIPADOS</v>
      </c>
      <c r="E367" s="6">
        <f ca="1">IFERROR(__xludf.DUMMYFUNCTION("""COMPUTED_VALUE"""),2026)</f>
        <v>2026</v>
      </c>
      <c r="F367" s="15">
        <f ca="1">IFERROR(__xludf.DUMMYFUNCTION("""COMPUTED_VALUE"""),3)</f>
        <v>3</v>
      </c>
      <c r="G367" s="6" t="str">
        <f ca="1">IFERROR(__xludf.DUMMYFUNCTION("""COMPUTED_VALUE"""),"Madrid- La Oca")</f>
        <v>Madrid- La Oca</v>
      </c>
      <c r="H367" s="6" t="str">
        <f ca="1">IFERROR(__xludf.DUMMYFUNCTION("""COMPUTED_VALUE"""),"C202621893610185506")</f>
        <v>C202621893610185506</v>
      </c>
      <c r="I367" s="6" t="str">
        <f ca="1">IFERROR(__xludf.DUMMYFUNCTION("""COMPUTED_VALUE"""),"CARMEN DIEZ MIGUEL")</f>
        <v>CARMEN DIEZ MIGUEL</v>
      </c>
      <c r="J367" s="16">
        <f ca="1">IFERROR(__xludf.DUMMYFUNCTION("""COMPUTED_VALUE"""),46071)</f>
        <v>46071</v>
      </c>
      <c r="K367" s="6" t="str">
        <f ca="1">IFERROR(__xludf.DUMMYFUNCTION("""COMPUTED_VALUE"""),"Factura audífonos")</f>
        <v>Factura audífonos</v>
      </c>
      <c r="L367" s="16">
        <f ca="1">IFERROR(__xludf.DUMMYFUNCTION("""COMPUTED_VALUE"""),46098)</f>
        <v>46098</v>
      </c>
      <c r="M367" s="23" t="str">
        <f ca="1">IFERROR(__xludf.DUMMYFUNCTION("""COMPUTED_VALUE"""),"NO")</f>
        <v>NO</v>
      </c>
      <c r="N367" s="15">
        <f ca="1">IFERROR(__xludf.DUMMYFUNCTION("""COMPUTED_VALUE"""),2)</f>
        <v>2</v>
      </c>
      <c r="O367" s="23" t="str">
        <f ca="1">IFERROR(__xludf.DUMMYFUNCTION("""COMPUTED_VALUE"""),"QUIET")</f>
        <v>QUIET</v>
      </c>
      <c r="P367" s="21">
        <f ca="1">IFERROR(__xludf.DUMMYFUNCTION("""COMPUTED_VALUE"""),2718.18)</f>
        <v>2718.18</v>
      </c>
      <c r="Q367" s="6" t="str">
        <f ca="1">IFERROR(__xludf.DUMMYFUNCTION("""COMPUTED_VALUE"""),"Maika Blázquez")</f>
        <v>Maika Blázquez</v>
      </c>
      <c r="R367" s="6" t="str">
        <f ca="1">IFERROR(__xludf.DUMMYFUNCTION("""COMPUTED_VALUE"""),"Andreas Schilling Borghesi")</f>
        <v>Andreas Schilling Borghesi</v>
      </c>
      <c r="S367" s="20" t="str">
        <f ca="1">IFERROR(__xludf.DUMMYFUNCTION("""COMPUTED_VALUE"""),"03 ORL")</f>
        <v>03 ORL</v>
      </c>
      <c r="T367" s="6" t="str">
        <f ca="1">IFERROR(__xludf.DUMMYFUNCTION("""COMPUTED_VALUE"""),"06 ORL")</f>
        <v>06 ORL</v>
      </c>
      <c r="U367" s="21"/>
      <c r="W367" s="21"/>
      <c r="X367" s="21"/>
    </row>
    <row r="368" spans="2:24" ht="16">
      <c r="B368" s="14" t="str">
        <f t="shared" ca="1" si="1"/>
        <v>#N/</v>
      </c>
      <c r="C368" s="23" t="str">
        <f ca="1">IFERROR(__xludf.DUMMYFUNCTION("""COMPUTED_VALUE"""),"#N/A")</f>
        <v>#N/A</v>
      </c>
      <c r="D368" s="6" t="str">
        <f ca="1">IFERROR(__xludf.DUMMYFUNCTION("""COMPUTED_VALUE"""),"PROPIOS")</f>
        <v>PROPIOS</v>
      </c>
      <c r="E368" s="6">
        <f ca="1">IFERROR(__xludf.DUMMYFUNCTION("""COMPUTED_VALUE"""),2026)</f>
        <v>2026</v>
      </c>
      <c r="F368" s="15">
        <f ca="1">IFERROR(__xludf.DUMMYFUNCTION("""COMPUTED_VALUE"""),3)</f>
        <v>3</v>
      </c>
      <c r="G368" s="6" t="str">
        <f ca="1">IFERROR(__xludf.DUMMYFUNCTION("""COMPUTED_VALUE"""),"Fuenlabrada")</f>
        <v>Fuenlabrada</v>
      </c>
      <c r="H368" s="6" t="str">
        <f ca="1">IFERROR(__xludf.DUMMYFUNCTION("""COMPUTED_VALUE"""),"C202621710526973724")</f>
        <v>C202621710526973724</v>
      </c>
      <c r="I368" s="6" t="str">
        <f ca="1">IFERROR(__xludf.DUMMYFUNCTION("""COMPUTED_VALUE"""),"GERMAN  ENCINAS SANCHEZ")</f>
        <v>GERMAN  ENCINAS SANCHEZ</v>
      </c>
      <c r="J368" s="16">
        <f ca="1">IFERROR(__xludf.DUMMYFUNCTION("""COMPUTED_VALUE"""),46070)</f>
        <v>46070</v>
      </c>
      <c r="K368" s="6" t="str">
        <f ca="1">IFERROR(__xludf.DUMMYFUNCTION("""COMPUTED_VALUE"""),"Factura audífonos")</f>
        <v>Factura audífonos</v>
      </c>
      <c r="L368" s="16">
        <f ca="1">IFERROR(__xludf.DUMMYFUNCTION("""COMPUTED_VALUE"""),46098)</f>
        <v>46098</v>
      </c>
      <c r="M368" s="23" t="str">
        <f ca="1">IFERROR(__xludf.DUMMYFUNCTION("""COMPUTED_VALUE"""),"NO")</f>
        <v>NO</v>
      </c>
      <c r="N368" s="15">
        <f ca="1">IFERROR(__xludf.DUMMYFUNCTION("""COMPUTED_VALUE"""),2)</f>
        <v>2</v>
      </c>
      <c r="O368" s="23" t="str">
        <f ca="1">IFERROR(__xludf.DUMMYFUNCTION("""COMPUTED_VALUE"""),"QUIET")</f>
        <v>QUIET</v>
      </c>
      <c r="P368" s="21">
        <f ca="1">IFERROR(__xludf.DUMMYFUNCTION("""COMPUTED_VALUE"""),2718.18)</f>
        <v>2718.18</v>
      </c>
      <c r="Q368" s="6" t="str">
        <f ca="1">IFERROR(__xludf.DUMMYFUNCTION("""COMPUTED_VALUE"""),"Maika Blázquez")</f>
        <v>Maika Blázquez</v>
      </c>
      <c r="R368" s="6" t="str">
        <f ca="1">IFERROR(__xludf.DUMMYFUNCTION("""COMPUTED_VALUE"""),"Angela Gastañaga Echevarría")</f>
        <v>Angela Gastañaga Echevarría</v>
      </c>
      <c r="S368" s="20" t="str">
        <f ca="1">IFERROR(__xludf.DUMMYFUNCTION("""COMPUTED_VALUE"""),"03 ORL")</f>
        <v>03 ORL</v>
      </c>
      <c r="T368" s="6" t="str">
        <f ca="1">IFERROR(__xludf.DUMMYFUNCTION("""COMPUTED_VALUE"""),"06 ORL")</f>
        <v>06 ORL</v>
      </c>
      <c r="U368" s="21"/>
      <c r="W368" s="21"/>
      <c r="X368" s="21"/>
    </row>
    <row r="369" spans="2:24" ht="16">
      <c r="B369" s="14" t="str">
        <f t="shared" ca="1" si="1"/>
        <v>LRM</v>
      </c>
      <c r="C369" s="23" t="str">
        <f ca="1">IFERROR(__xludf.DUMMYFUNCTION("""COMPUTED_VALUE"""),"LRM55")</f>
        <v>LRM55</v>
      </c>
      <c r="D369" s="6" t="str">
        <f ca="1">IFERROR(__xludf.DUMMYFUNCTION("""COMPUTED_VALUE"""),"PARTICIPADOS")</f>
        <v>PARTICIPADOS</v>
      </c>
      <c r="E369" s="6">
        <f ca="1">IFERROR(__xludf.DUMMYFUNCTION("""COMPUTED_VALUE"""),2026)</f>
        <v>2026</v>
      </c>
      <c r="F369" s="15">
        <f ca="1">IFERROR(__xludf.DUMMYFUNCTION("""COMPUTED_VALUE"""),3)</f>
        <v>3</v>
      </c>
      <c r="G369" s="6" t="str">
        <f ca="1">IFERROR(__xludf.DUMMYFUNCTION("""COMPUTED_VALUE"""),"Madrid- La Oca")</f>
        <v>Madrid- La Oca</v>
      </c>
      <c r="H369" s="6" t="str">
        <f ca="1">IFERROR(__xludf.DUMMYFUNCTION("""COMPUTED_VALUE"""),"C202621893749939587")</f>
        <v>C202621893749939587</v>
      </c>
      <c r="I369" s="6" t="str">
        <f ca="1">IFERROR(__xludf.DUMMYFUNCTION("""COMPUTED_VALUE"""),"JOSE FARO BARREIROS")</f>
        <v>JOSE FARO BARREIROS</v>
      </c>
      <c r="J369" s="16">
        <f ca="1">IFERROR(__xludf.DUMMYFUNCTION("""COMPUTED_VALUE"""),46071)</f>
        <v>46071</v>
      </c>
      <c r="K369" s="6" t="str">
        <f ca="1">IFERROR(__xludf.DUMMYFUNCTION("""COMPUTED_VALUE"""),"Factura audífonos")</f>
        <v>Factura audífonos</v>
      </c>
      <c r="L369" s="16">
        <f ca="1">IFERROR(__xludf.DUMMYFUNCTION("""COMPUTED_VALUE"""),46098)</f>
        <v>46098</v>
      </c>
      <c r="M369" s="23" t="str">
        <f ca="1">IFERROR(__xludf.DUMMYFUNCTION("""COMPUTED_VALUE"""),"NO")</f>
        <v>NO</v>
      </c>
      <c r="N369" s="15">
        <f ca="1">IFERROR(__xludf.DUMMYFUNCTION("""COMPUTED_VALUE"""),2)</f>
        <v>2</v>
      </c>
      <c r="O369" s="17" t="str">
        <f ca="1">IFERROR(__xludf.DUMMYFUNCTION("""COMPUTED_VALUE"""),"QUIET")</f>
        <v>QUIET</v>
      </c>
      <c r="P369" s="21">
        <f ca="1">IFERROR(__xludf.DUMMYFUNCTION("""COMPUTED_VALUE"""),2718.18)</f>
        <v>2718.18</v>
      </c>
      <c r="Q369" s="6" t="str">
        <f ca="1">IFERROR(__xludf.DUMMYFUNCTION("""COMPUTED_VALUE"""),"Maika Blázquez")</f>
        <v>Maika Blázquez</v>
      </c>
      <c r="R369" s="6" t="str">
        <f ca="1">IFERROR(__xludf.DUMMYFUNCTION("""COMPUTED_VALUE"""),"Iván Muerte Moreno")</f>
        <v>Iván Muerte Moreno</v>
      </c>
      <c r="S369" s="20" t="str">
        <f ca="1">IFERROR(__xludf.DUMMYFUNCTION("""COMPUTED_VALUE"""),"03 ORL")</f>
        <v>03 ORL</v>
      </c>
      <c r="T369" s="6" t="str">
        <f ca="1">IFERROR(__xludf.DUMMYFUNCTION("""COMPUTED_VALUE"""),"06 ORL")</f>
        <v>06 ORL</v>
      </c>
      <c r="U369" s="21"/>
      <c r="W369" s="21"/>
      <c r="X369" s="21"/>
    </row>
    <row r="370" spans="2:24" ht="16">
      <c r="B370" s="14" t="str">
        <f t="shared" ca="1" si="1"/>
        <v>ISL</v>
      </c>
      <c r="C370" s="23" t="str">
        <f ca="1">IFERROR(__xludf.DUMMYFUNCTION("""COMPUTED_VALUE"""),"ISL14")</f>
        <v>ISL14</v>
      </c>
      <c r="D370" s="6" t="str">
        <f ca="1">IFERROR(__xludf.DUMMYFUNCTION("""COMPUTED_VALUE"""),"PROPIOS")</f>
        <v>PROPIOS</v>
      </c>
      <c r="E370" s="6">
        <f ca="1">IFERROR(__xludf.DUMMYFUNCTION("""COMPUTED_VALUE"""),2026)</f>
        <v>2026</v>
      </c>
      <c r="F370" s="15">
        <f ca="1">IFERROR(__xludf.DUMMYFUNCTION("""COMPUTED_VALUE"""),3)</f>
        <v>3</v>
      </c>
      <c r="G370" s="6" t="str">
        <f ca="1">IFERROR(__xludf.DUMMYFUNCTION("""COMPUTED_VALUE"""),"Alicante")</f>
        <v>Alicante</v>
      </c>
      <c r="H370" s="6" t="str">
        <f ca="1">IFERROR(__xludf.DUMMYFUNCTION("""COMPUTED_VALUE"""),"C2026317132549990")</f>
        <v>C2026317132549990</v>
      </c>
      <c r="I370" s="6" t="str">
        <f ca="1">IFERROR(__xludf.DUMMYFUNCTION("""COMPUTED_VALUE"""),"AGUSTINA BECERRO MARTIN [JORGE ENRIQUE ESPINOSA DIAZ]")</f>
        <v>AGUSTINA BECERRO MARTIN [JORGE ENRIQUE ESPINOSA DIAZ]</v>
      </c>
      <c r="J370" s="16">
        <f ca="1">IFERROR(__xludf.DUMMYFUNCTION("""COMPUTED_VALUE"""),46098)</f>
        <v>46098</v>
      </c>
      <c r="K370" s="6" t="str">
        <f ca="1">IFERROR(__xludf.DUMMYFUNCTION("""COMPUTED_VALUE"""),"Factura audífonos")</f>
        <v>Factura audífonos</v>
      </c>
      <c r="L370" s="16">
        <f ca="1">IFERROR(__xludf.DUMMYFUNCTION("""COMPUTED_VALUE"""),46098)</f>
        <v>46098</v>
      </c>
      <c r="M370" s="23" t="str">
        <f ca="1">IFERROR(__xludf.DUMMYFUNCTION("""COMPUTED_VALUE"""),"NO")</f>
        <v>NO</v>
      </c>
      <c r="N370" s="15">
        <f ca="1">IFERROR(__xludf.DUMMYFUNCTION("""COMPUTED_VALUE"""),2)</f>
        <v>2</v>
      </c>
      <c r="O370" s="23" t="str">
        <f ca="1">IFERROR(__xludf.DUMMYFUNCTION("""COMPUTED_VALUE"""),"QUIET")</f>
        <v>QUIET</v>
      </c>
      <c r="P370" s="21">
        <f ca="1">IFERROR(__xludf.DUMMYFUNCTION("""COMPUTED_VALUE"""),2718.18)</f>
        <v>2718.18</v>
      </c>
      <c r="Q370" s="6" t="str">
        <f ca="1">IFERROR(__xludf.DUMMYFUNCTION("""COMPUTED_VALUE"""),"Iván Sánchez")</f>
        <v>Iván Sánchez</v>
      </c>
      <c r="R370" s="6" t="str">
        <f ca="1">IFERROR(__xludf.DUMMYFUNCTION("""COMPUTED_VALUE"""),"Carlos Velásquez Fermín")</f>
        <v>Carlos Velásquez Fermín</v>
      </c>
      <c r="S370" s="20" t="str">
        <f ca="1">IFERROR(__xludf.DUMMYFUNCTION("""COMPUTED_VALUE"""),"03 ORL")</f>
        <v>03 ORL</v>
      </c>
      <c r="T370" s="6" t="str">
        <f ca="1">IFERROR(__xludf.DUMMYFUNCTION("""COMPUTED_VALUE"""),"06 ORL")</f>
        <v>06 ORL</v>
      </c>
      <c r="U370" s="21"/>
      <c r="W370" s="21"/>
      <c r="X370" s="21"/>
    </row>
    <row r="371" spans="2:24" ht="16">
      <c r="B371" s="14" t="str">
        <f t="shared" ca="1" si="1"/>
        <v>LAA</v>
      </c>
      <c r="C371" s="23" t="str">
        <f ca="1">IFERROR(__xludf.DUMMYFUNCTION("""COMPUTED_VALUE"""),"LAA63")</f>
        <v>LAA63</v>
      </c>
      <c r="D371" s="6" t="str">
        <f ca="1">IFERROR(__xludf.DUMMYFUNCTION("""COMPUTED_VALUE"""),"PROPIOS")</f>
        <v>PROPIOS</v>
      </c>
      <c r="E371" s="6">
        <f ca="1">IFERROR(__xludf.DUMMYFUNCTION("""COMPUTED_VALUE"""),2026)</f>
        <v>2026</v>
      </c>
      <c r="F371" s="15">
        <f ca="1">IFERROR(__xludf.DUMMYFUNCTION("""COMPUTED_VALUE"""),3)</f>
        <v>3</v>
      </c>
      <c r="G371" s="6" t="str">
        <f ca="1">IFERROR(__xludf.DUMMYFUNCTION("""COMPUTED_VALUE"""),"Getafe")</f>
        <v>Getafe</v>
      </c>
      <c r="H371" s="6" t="str">
        <f ca="1">IFERROR(__xludf.DUMMYFUNCTION("""COMPUTED_VALUE"""),"C20262213438613479")</f>
        <v>C20262213438613479</v>
      </c>
      <c r="I371" s="6" t="str">
        <f ca="1">IFERROR(__xludf.DUMMYFUNCTION("""COMPUTED_VALUE"""),"JUAN GARCIA SANTAMARIA")</f>
        <v>JUAN GARCIA SANTAMARIA</v>
      </c>
      <c r="J371" s="16">
        <f ca="1">IFERROR(__xludf.DUMMYFUNCTION("""COMPUTED_VALUE"""),46055)</f>
        <v>46055</v>
      </c>
      <c r="K371" s="6" t="str">
        <f ca="1">IFERROR(__xludf.DUMMYFUNCTION("""COMPUTED_VALUE"""),"Factura audífonos")</f>
        <v>Factura audífonos</v>
      </c>
      <c r="L371" s="16">
        <f ca="1">IFERROR(__xludf.DUMMYFUNCTION("""COMPUTED_VALUE"""),46098)</f>
        <v>46098</v>
      </c>
      <c r="M371" s="17" t="str">
        <f ca="1">IFERROR(__xludf.DUMMYFUNCTION("""COMPUTED_VALUE"""),"NO")</f>
        <v>NO</v>
      </c>
      <c r="N371" s="15">
        <f ca="1">IFERROR(__xludf.DUMMYFUNCTION("""COMPUTED_VALUE"""),2)</f>
        <v>2</v>
      </c>
      <c r="O371" s="23" t="str">
        <f ca="1">IFERROR(__xludf.DUMMYFUNCTION("""COMPUTED_VALUE"""),"QUIET")</f>
        <v>QUIET</v>
      </c>
      <c r="P371" s="21">
        <f ca="1">IFERROR(__xludf.DUMMYFUNCTION("""COMPUTED_VALUE"""),2581.82)</f>
        <v>2581.8200000000002</v>
      </c>
      <c r="Q371" s="6" t="str">
        <f ca="1">IFERROR(__xludf.DUMMYFUNCTION("""COMPUTED_VALUE"""),"Maika Blázquez")</f>
        <v>Maika Blázquez</v>
      </c>
      <c r="R371" s="6" t="str">
        <f ca="1">IFERROR(__xludf.DUMMYFUNCTION("""COMPUTED_VALUE"""),"Julio López Moya")</f>
        <v>Julio López Moya</v>
      </c>
      <c r="S371" s="20" t="str">
        <f ca="1">IFERROR(__xludf.DUMMYFUNCTION("""COMPUTED_VALUE"""),"03 ORL")</f>
        <v>03 ORL</v>
      </c>
      <c r="T371" s="6" t="str">
        <f ca="1">IFERROR(__xludf.DUMMYFUNCTION("""COMPUTED_VALUE"""),"06 ORL")</f>
        <v>06 ORL</v>
      </c>
      <c r="U371" s="21"/>
      <c r="W371" s="21"/>
      <c r="X371" s="21"/>
    </row>
    <row r="372" spans="2:24" ht="16">
      <c r="B372" s="14" t="str">
        <f t="shared" ca="1" si="1"/>
        <v>LAA</v>
      </c>
      <c r="C372" s="23" t="str">
        <f ca="1">IFERROR(__xludf.DUMMYFUNCTION("""COMPUTED_VALUE"""),"LAA70")</f>
        <v>LAA70</v>
      </c>
      <c r="D372" s="6" t="str">
        <f ca="1">IFERROR(__xludf.DUMMYFUNCTION("""COMPUTED_VALUE"""),"PROPIOS")</f>
        <v>PROPIOS</v>
      </c>
      <c r="E372" s="6">
        <f ca="1">IFERROR(__xludf.DUMMYFUNCTION("""COMPUTED_VALUE"""),2026)</f>
        <v>2026</v>
      </c>
      <c r="F372" s="15">
        <f ca="1">IFERROR(__xludf.DUMMYFUNCTION("""COMPUTED_VALUE"""),3)</f>
        <v>3</v>
      </c>
      <c r="G372" s="6" t="str">
        <f ca="1">IFERROR(__xludf.DUMMYFUNCTION("""COMPUTED_VALUE"""),"Jerez de la Frontera")</f>
        <v>Jerez de la Frontera</v>
      </c>
      <c r="H372" s="6" t="str">
        <f ca="1">IFERROR(__xludf.DUMMYFUNCTION("""COMPUTED_VALUE"""),"C202622594953676825")</f>
        <v>C202622594953676825</v>
      </c>
      <c r="I372" s="6" t="str">
        <f ca="1">IFERROR(__xludf.DUMMYFUNCTION("""COMPUTED_VALUE"""),"SOLEDAD ESPINOSA CASTELLANO")</f>
        <v>SOLEDAD ESPINOSA CASTELLANO</v>
      </c>
      <c r="J372" s="16">
        <f ca="1">IFERROR(__xludf.DUMMYFUNCTION("""COMPUTED_VALUE"""),46078)</f>
        <v>46078</v>
      </c>
      <c r="K372" s="6" t="str">
        <f ca="1">IFERROR(__xludf.DUMMYFUNCTION("""COMPUTED_VALUE"""),"Factura audífonos")</f>
        <v>Factura audífonos</v>
      </c>
      <c r="L372" s="16">
        <f ca="1">IFERROR(__xludf.DUMMYFUNCTION("""COMPUTED_VALUE"""),46099)</f>
        <v>46099</v>
      </c>
      <c r="M372" s="23" t="str">
        <f ca="1">IFERROR(__xludf.DUMMYFUNCTION("""COMPUTED_VALUE"""),"NO")</f>
        <v>NO</v>
      </c>
      <c r="N372" s="15">
        <f ca="1">IFERROR(__xludf.DUMMYFUNCTION("""COMPUTED_VALUE"""),1)</f>
        <v>1</v>
      </c>
      <c r="O372" s="23" t="str">
        <f ca="1">IFERROR(__xludf.DUMMYFUNCTION("""COMPUTED_VALUE"""),"ADVANCED")</f>
        <v>ADVANCED</v>
      </c>
      <c r="P372" s="21">
        <f ca="1">IFERROR(__xludf.DUMMYFUNCTION("""COMPUTED_VALUE"""),2481.82)</f>
        <v>2481.8200000000002</v>
      </c>
      <c r="Q372" s="6" t="str">
        <f ca="1">IFERROR(__xludf.DUMMYFUNCTION("""COMPUTED_VALUE"""),"Luis Alberto Rodríguez")</f>
        <v>Luis Alberto Rodríguez</v>
      </c>
      <c r="R372" s="6" t="str">
        <f ca="1">IFERROR(__xludf.DUMMYFUNCTION("""COMPUTED_VALUE"""),"Guillermo Sierra Galera")</f>
        <v>Guillermo Sierra Galera</v>
      </c>
      <c r="S372" s="20" t="str">
        <f ca="1">IFERROR(__xludf.DUMMYFUNCTION("""COMPUTED_VALUE"""),"03 ORL")</f>
        <v>03 ORL</v>
      </c>
      <c r="T372" s="6" t="str">
        <f ca="1">IFERROR(__xludf.DUMMYFUNCTION("""COMPUTED_VALUE"""),"06 ORL")</f>
        <v>06 ORL</v>
      </c>
      <c r="U372" s="21"/>
      <c r="W372" s="21"/>
      <c r="X372" s="21"/>
    </row>
    <row r="373" spans="2:24" ht="16">
      <c r="B373" s="14" t="str">
        <f t="shared" ca="1" si="1"/>
        <v>MBM</v>
      </c>
      <c r="C373" s="23" t="str">
        <f ca="1">IFERROR(__xludf.DUMMYFUNCTION("""COMPUTED_VALUE"""),"MBM190")</f>
        <v>MBM190</v>
      </c>
      <c r="D373" s="6" t="str">
        <f ca="1">IFERROR(__xludf.DUMMYFUNCTION("""COMPUTED_VALUE"""),"PROPIOS")</f>
        <v>PROPIOS</v>
      </c>
      <c r="E373" s="6">
        <f ca="1">IFERROR(__xludf.DUMMYFUNCTION("""COMPUTED_VALUE"""),2026)</f>
        <v>2026</v>
      </c>
      <c r="F373" s="15">
        <f ca="1">IFERROR(__xludf.DUMMYFUNCTION("""COMPUTED_VALUE"""),3)</f>
        <v>3</v>
      </c>
      <c r="G373" s="6" t="str">
        <f ca="1">IFERROR(__xludf.DUMMYFUNCTION("""COMPUTED_VALUE"""),"Fuenlabrada")</f>
        <v>Fuenlabrada</v>
      </c>
      <c r="H373" s="6" t="str">
        <f ca="1">IFERROR(__xludf.DUMMYFUNCTION("""COMPUTED_VALUE"""),"C202622092248328206")</f>
        <v>C202622092248328206</v>
      </c>
      <c r="I373" s="6" t="str">
        <f ca="1">IFERROR(__xludf.DUMMYFUNCTION("""COMPUTED_VALUE"""),"FRANCISCO POLICARPO VERAS")</f>
        <v>FRANCISCO POLICARPO VERAS</v>
      </c>
      <c r="J373" s="16">
        <f ca="1">IFERROR(__xludf.DUMMYFUNCTION("""COMPUTED_VALUE"""),46073)</f>
        <v>46073</v>
      </c>
      <c r="K373" s="6" t="str">
        <f ca="1">IFERROR(__xludf.DUMMYFUNCTION("""COMPUTED_VALUE"""),"Factura audífonos")</f>
        <v>Factura audífonos</v>
      </c>
      <c r="L373" s="16">
        <f ca="1">IFERROR(__xludf.DUMMYFUNCTION("""COMPUTED_VALUE"""),46099)</f>
        <v>46099</v>
      </c>
      <c r="M373" s="23" t="str">
        <f ca="1">IFERROR(__xludf.DUMMYFUNCTION("""COMPUTED_VALUE"""),"NO")</f>
        <v>NO</v>
      </c>
      <c r="N373" s="15">
        <f ca="1">IFERROR(__xludf.DUMMYFUNCTION("""COMPUTED_VALUE"""),2)</f>
        <v>2</v>
      </c>
      <c r="O373" s="23" t="str">
        <f ca="1">IFERROR(__xludf.DUMMYFUNCTION("""COMPUTED_VALUE"""),"QUIET")</f>
        <v>QUIET</v>
      </c>
      <c r="P373" s="21">
        <f ca="1">IFERROR(__xludf.DUMMYFUNCTION("""COMPUTED_VALUE"""),2718.18)</f>
        <v>2718.18</v>
      </c>
      <c r="Q373" s="6" t="str">
        <f ca="1">IFERROR(__xludf.DUMMYFUNCTION("""COMPUTED_VALUE"""),"Maika Blázquez")</f>
        <v>Maika Blázquez</v>
      </c>
      <c r="R373" s="6" t="str">
        <f ca="1">IFERROR(__xludf.DUMMYFUNCTION("""COMPUTED_VALUE"""),"Cristina García García")</f>
        <v>Cristina García García</v>
      </c>
      <c r="S373" s="20" t="str">
        <f ca="1">IFERROR(__xludf.DUMMYFUNCTION("""COMPUTED_VALUE"""),"03 ORL")</f>
        <v>03 ORL</v>
      </c>
      <c r="T373" s="6" t="str">
        <f ca="1">IFERROR(__xludf.DUMMYFUNCTION("""COMPUTED_VALUE"""),"06 ORL")</f>
        <v>06 ORL</v>
      </c>
      <c r="U373" s="21"/>
      <c r="W373" s="21"/>
      <c r="X373" s="21"/>
    </row>
    <row r="374" spans="2:24" ht="16">
      <c r="B374" s="14" t="str">
        <f t="shared" ca="1" si="1"/>
        <v>MBM</v>
      </c>
      <c r="C374" s="23" t="str">
        <f ca="1">IFERROR(__xludf.DUMMYFUNCTION("""COMPUTED_VALUE"""),"MBM108")</f>
        <v>MBM108</v>
      </c>
      <c r="D374" s="6" t="str">
        <f ca="1">IFERROR(__xludf.DUMMYFUNCTION("""COMPUTED_VALUE"""),"PROPIOS")</f>
        <v>PROPIOS</v>
      </c>
      <c r="E374" s="6">
        <f ca="1">IFERROR(__xludf.DUMMYFUNCTION("""COMPUTED_VALUE"""),2026)</f>
        <v>2026</v>
      </c>
      <c r="F374" s="15">
        <f ca="1">IFERROR(__xludf.DUMMYFUNCTION("""COMPUTED_VALUE"""),3)</f>
        <v>3</v>
      </c>
      <c r="G374" s="6" t="str">
        <f ca="1">IFERROR(__xludf.DUMMYFUNCTION("""COMPUTED_VALUE"""),"Leganés")</f>
        <v>Leganés</v>
      </c>
      <c r="H374" s="6" t="str">
        <f ca="1">IFERROR(__xludf.DUMMYFUNCTION("""COMPUTED_VALUE"""),"C202612092442830153")</f>
        <v>C202612092442830153</v>
      </c>
      <c r="I374" s="6" t="str">
        <f ca="1">IFERROR(__xludf.DUMMYFUNCTION("""COMPUTED_VALUE"""),"ALVARO LADRON DE GUEVARA CUESTA")</f>
        <v>ALVARO LADRON DE GUEVARA CUESTA</v>
      </c>
      <c r="J374" s="16">
        <f ca="1">IFERROR(__xludf.DUMMYFUNCTION("""COMPUTED_VALUE"""),46042)</f>
        <v>46042</v>
      </c>
      <c r="K374" s="6" t="str">
        <f ca="1">IFERROR(__xludf.DUMMYFUNCTION("""COMPUTED_VALUE"""),"Factura audífonos")</f>
        <v>Factura audífonos</v>
      </c>
      <c r="L374" s="16">
        <f ca="1">IFERROR(__xludf.DUMMYFUNCTION("""COMPUTED_VALUE"""),46099)</f>
        <v>46099</v>
      </c>
      <c r="M374" s="23" t="str">
        <f ca="1">IFERROR(__xludf.DUMMYFUNCTION("""COMPUTED_VALUE"""),"NO")</f>
        <v>NO</v>
      </c>
      <c r="N374" s="15">
        <f ca="1">IFERROR(__xludf.DUMMYFUNCTION("""COMPUTED_VALUE"""),1)</f>
        <v>1</v>
      </c>
      <c r="O374" s="23" t="str">
        <f ca="1">IFERROR(__xludf.DUMMYFUNCTION("""COMPUTED_VALUE"""),"ADVANCED")</f>
        <v>ADVANCED</v>
      </c>
      <c r="P374" s="21">
        <f ca="1">IFERROR(__xludf.DUMMYFUNCTION("""COMPUTED_VALUE"""),2481.82)</f>
        <v>2481.8200000000002</v>
      </c>
      <c r="Q374" s="6" t="str">
        <f ca="1">IFERROR(__xludf.DUMMYFUNCTION("""COMPUTED_VALUE"""),"Maika Blázquez")</f>
        <v>Maika Blázquez</v>
      </c>
      <c r="R374" s="6" t="str">
        <f ca="1">IFERROR(__xludf.DUMMYFUNCTION("""COMPUTED_VALUE"""),"Mar Lasso de la Vega Zamora")</f>
        <v>Mar Lasso de la Vega Zamora</v>
      </c>
      <c r="S374" s="20" t="str">
        <f ca="1">IFERROR(__xludf.DUMMYFUNCTION("""COMPUTED_VALUE"""),"03 ORL")</f>
        <v>03 ORL</v>
      </c>
      <c r="T374" s="6" t="str">
        <f ca="1">IFERROR(__xludf.DUMMYFUNCTION("""COMPUTED_VALUE"""),"06 ORL")</f>
        <v>06 ORL</v>
      </c>
      <c r="U374" s="21"/>
      <c r="W374" s="21"/>
      <c r="X374" s="21"/>
    </row>
    <row r="375" spans="2:24" ht="16">
      <c r="B375" s="14" t="str">
        <f t="shared" ca="1" si="1"/>
        <v>PSC</v>
      </c>
      <c r="C375" s="23" t="str">
        <f ca="1">IFERROR(__xludf.DUMMYFUNCTION("""COMPUTED_VALUE"""),"PSC49")</f>
        <v>PSC49</v>
      </c>
      <c r="D375" s="6" t="str">
        <f ca="1">IFERROR(__xludf.DUMMYFUNCTION("""COMPUTED_VALUE"""),"ASOCIADOS")</f>
        <v>ASOCIADOS</v>
      </c>
      <c r="E375" s="6">
        <f ca="1">IFERROR(__xludf.DUMMYFUNCTION("""COMPUTED_VALUE"""),2026)</f>
        <v>2026</v>
      </c>
      <c r="F375" s="15">
        <f ca="1">IFERROR(__xludf.DUMMYFUNCTION("""COMPUTED_VALUE"""),3)</f>
        <v>3</v>
      </c>
      <c r="G375" s="6" t="str">
        <f ca="1">IFERROR(__xludf.DUMMYFUNCTION("""COMPUTED_VALUE"""),"Valladolid")</f>
        <v>Valladolid</v>
      </c>
      <c r="H375" s="6" t="str">
        <f ca="1">IFERROR(__xludf.DUMMYFUNCTION("""COMPUTED_VALUE"""),"VLL-61")</f>
        <v>VLL-61</v>
      </c>
      <c r="I375" s="6" t="str">
        <f ca="1">IFERROR(__xludf.DUMMYFUNCTION("""COMPUTED_VALUE"""),"TOMAS DEL CAMPO LOPEZ")</f>
        <v>TOMAS DEL CAMPO LOPEZ</v>
      </c>
      <c r="J375" s="16">
        <f ca="1">IFERROR(__xludf.DUMMYFUNCTION("""COMPUTED_VALUE"""),45180)</f>
        <v>45180</v>
      </c>
      <c r="K375" s="6" t="str">
        <f ca="1">IFERROR(__xludf.DUMMYFUNCTION("""COMPUTED_VALUE"""),"Factura audífonos")</f>
        <v>Factura audífonos</v>
      </c>
      <c r="L375" s="16">
        <f ca="1">IFERROR(__xludf.DUMMYFUNCTION("""COMPUTED_VALUE"""),46099)</f>
        <v>46099</v>
      </c>
      <c r="M375" s="23" t="str">
        <f ca="1">IFERROR(__xludf.DUMMYFUNCTION("""COMPUTED_VALUE"""),"NO")</f>
        <v>NO</v>
      </c>
      <c r="N375" s="15">
        <f ca="1">IFERROR(__xludf.DUMMYFUNCTION("""COMPUTED_VALUE"""),1)</f>
        <v>1</v>
      </c>
      <c r="O375" s="23" t="str">
        <f ca="1">IFERROR(__xludf.DUMMYFUNCTION("""COMPUTED_VALUE"""),"ADVANCED")</f>
        <v>ADVANCED</v>
      </c>
      <c r="P375" s="21">
        <f ca="1">IFERROR(__xludf.DUMMYFUNCTION("""COMPUTED_VALUE"""),1636.36)</f>
        <v>1636.36</v>
      </c>
      <c r="Q375" s="6" t="str">
        <f ca="1">IFERROR(__xludf.DUMMYFUNCTION("""COMPUTED_VALUE"""),"Alberto Moreno")</f>
        <v>Alberto Moreno</v>
      </c>
      <c r="R375" s="6" t="str">
        <f ca="1">IFERROR(__xludf.DUMMYFUNCTION("""COMPUTED_VALUE"""),"Patricia Viveros Diez")</f>
        <v>Patricia Viveros Diez</v>
      </c>
      <c r="S375" s="20" t="str">
        <f ca="1">IFERROR(__xludf.DUMMYFUNCTION("""COMPUTED_VALUE"""),"03 ORL")</f>
        <v>03 ORL</v>
      </c>
      <c r="T375" s="6" t="str">
        <f ca="1">IFERROR(__xludf.DUMMYFUNCTION("""COMPUTED_VALUE"""),"06 ORL")</f>
        <v>06 ORL</v>
      </c>
      <c r="U375" s="21"/>
      <c r="W375" s="21"/>
      <c r="X375" s="21"/>
    </row>
    <row r="376" spans="2:24" ht="16">
      <c r="B376" s="14" t="str">
        <f t="shared" ca="1" si="1"/>
        <v>MBM</v>
      </c>
      <c r="C376" s="23" t="str">
        <f ca="1">IFERROR(__xludf.DUMMYFUNCTION("""COMPUTED_VALUE"""),"MBM50")</f>
        <v>MBM50</v>
      </c>
      <c r="D376" s="6" t="str">
        <f ca="1">IFERROR(__xludf.DUMMYFUNCTION("""COMPUTED_VALUE"""),"PROPIOS")</f>
        <v>PROPIOS</v>
      </c>
      <c r="E376" s="6">
        <f ca="1">IFERROR(__xludf.DUMMYFUNCTION("""COMPUTED_VALUE"""),2026)</f>
        <v>2026</v>
      </c>
      <c r="F376" s="15">
        <f ca="1">IFERROR(__xludf.DUMMYFUNCTION("""COMPUTED_VALUE"""),3)</f>
        <v>3</v>
      </c>
      <c r="G376" s="6" t="str">
        <f ca="1">IFERROR(__xludf.DUMMYFUNCTION("""COMPUTED_VALUE"""),"Madrid- Canillas")</f>
        <v>Madrid- Canillas</v>
      </c>
      <c r="H376" s="6" t="str">
        <f ca="1">IFERROR(__xludf.DUMMYFUNCTION("""COMPUTED_VALUE"""),"C20262261201663579")</f>
        <v>C20262261201663579</v>
      </c>
      <c r="I376" s="6" t="str">
        <f ca="1">IFERROR(__xludf.DUMMYFUNCTION("""COMPUTED_VALUE"""),"CARMEN ESTEBAN MARTÍNEZ")</f>
        <v>CARMEN ESTEBAN MARTÍNEZ</v>
      </c>
      <c r="J376" s="16">
        <f ca="1">IFERROR(__xludf.DUMMYFUNCTION("""COMPUTED_VALUE"""),46079)</f>
        <v>46079</v>
      </c>
      <c r="K376" s="6" t="str">
        <f ca="1">IFERROR(__xludf.DUMMYFUNCTION("""COMPUTED_VALUE"""),"Factura audífonos")</f>
        <v>Factura audífonos</v>
      </c>
      <c r="L376" s="16">
        <f ca="1">IFERROR(__xludf.DUMMYFUNCTION("""COMPUTED_VALUE"""),46099)</f>
        <v>46099</v>
      </c>
      <c r="M376" s="23" t="str">
        <f ca="1">IFERROR(__xludf.DUMMYFUNCTION("""COMPUTED_VALUE"""),"NO")</f>
        <v>NO</v>
      </c>
      <c r="N376" s="15">
        <f ca="1">IFERROR(__xludf.DUMMYFUNCTION("""COMPUTED_VALUE"""),2)</f>
        <v>2</v>
      </c>
      <c r="O376" s="23" t="str">
        <f ca="1">IFERROR(__xludf.DUMMYFUNCTION("""COMPUTED_VALUE"""),"QUIET")</f>
        <v>QUIET</v>
      </c>
      <c r="P376" s="21">
        <f ca="1">IFERROR(__xludf.DUMMYFUNCTION("""COMPUTED_VALUE"""),2718.18)</f>
        <v>2718.18</v>
      </c>
      <c r="Q376" s="6" t="str">
        <f ca="1">IFERROR(__xludf.DUMMYFUNCTION("""COMPUTED_VALUE"""),"Maika Blázquez")</f>
        <v>Maika Blázquez</v>
      </c>
      <c r="R376" s="6" t="str">
        <f ca="1">IFERROR(__xludf.DUMMYFUNCTION("""COMPUTED_VALUE"""),"José Gustavo Barroso Braojos")</f>
        <v>José Gustavo Barroso Braojos</v>
      </c>
      <c r="S376" s="20" t="str">
        <f ca="1">IFERROR(__xludf.DUMMYFUNCTION("""COMPUTED_VALUE"""),"03 ORL")</f>
        <v>03 ORL</v>
      </c>
      <c r="T376" s="6" t="str">
        <f ca="1">IFERROR(__xludf.DUMMYFUNCTION("""COMPUTED_VALUE"""),"06 ORL")</f>
        <v>06 ORL</v>
      </c>
      <c r="U376" s="21"/>
      <c r="W376" s="21"/>
      <c r="X376" s="21"/>
    </row>
    <row r="377" spans="2:24" ht="16">
      <c r="B377" s="14" t="str">
        <f t="shared" si="1"/>
        <v/>
      </c>
      <c r="C377" s="23"/>
      <c r="D377" s="6" t="str">
        <f ca="1">IFERROR(__xludf.DUMMYFUNCTION("""COMPUTED_VALUE"""),"ASOCIADOS")</f>
        <v>ASOCIADOS</v>
      </c>
      <c r="E377" s="6">
        <f ca="1">IFERROR(__xludf.DUMMYFUNCTION("""COMPUTED_VALUE"""),2026)</f>
        <v>2026</v>
      </c>
      <c r="F377" s="15">
        <f ca="1">IFERROR(__xludf.DUMMYFUNCTION("""COMPUTED_VALUE"""),3)</f>
        <v>3</v>
      </c>
      <c r="G377" s="6" t="str">
        <f ca="1">IFERROR(__xludf.DUMMYFUNCTION("""COMPUTED_VALUE"""),"Ponferrada")</f>
        <v>Ponferrada</v>
      </c>
      <c r="H377" s="6" t="str">
        <f ca="1">IFERROR(__xludf.DUMMYFUNCTION("""COMPUTED_VALUE"""),"C202613011434597541")</f>
        <v>C202613011434597541</v>
      </c>
      <c r="I377" s="6" t="str">
        <f ca="1">IFERROR(__xludf.DUMMYFUNCTION("""COMPUTED_VALUE"""),"PORFILIO ALBA PONCELAS")</f>
        <v>PORFILIO ALBA PONCELAS</v>
      </c>
      <c r="J377" s="16">
        <f ca="1">IFERROR(__xludf.DUMMYFUNCTION("""COMPUTED_VALUE"""),46052)</f>
        <v>46052</v>
      </c>
      <c r="K377" s="6" t="str">
        <f ca="1">IFERROR(__xludf.DUMMYFUNCTION("""COMPUTED_VALUE"""),"Factura audífonos")</f>
        <v>Factura audífonos</v>
      </c>
      <c r="L377" s="16">
        <f ca="1">IFERROR(__xludf.DUMMYFUNCTION("""COMPUTED_VALUE"""),46099)</f>
        <v>46099</v>
      </c>
      <c r="M377" s="23" t="str">
        <f ca="1">IFERROR(__xludf.DUMMYFUNCTION("""COMPUTED_VALUE"""),"NO")</f>
        <v>NO</v>
      </c>
      <c r="N377" s="15">
        <f ca="1">IFERROR(__xludf.DUMMYFUNCTION("""COMPUTED_VALUE"""),2)</f>
        <v>2</v>
      </c>
      <c r="O377" s="23" t="str">
        <f ca="1">IFERROR(__xludf.DUMMYFUNCTION("""COMPUTED_VALUE"""),"ADVANCED")</f>
        <v>ADVANCED</v>
      </c>
      <c r="P377" s="21">
        <f ca="1">IFERROR(__xludf.DUMMYFUNCTION("""COMPUTED_VALUE"""),3909.09)</f>
        <v>3909.09</v>
      </c>
      <c r="Q377" s="6" t="str">
        <f ca="1">IFERROR(__xludf.DUMMYFUNCTION("""COMPUTED_VALUE"""),"Alberto Moreno")</f>
        <v>Alberto Moreno</v>
      </c>
      <c r="R377" s="1" t="str">
        <f ca="1">IFERROR(__xludf.DUMMYFUNCTION("""COMPUTED_VALUE"""),"No recuerda ORL")</f>
        <v>No recuerda ORL</v>
      </c>
      <c r="S377" s="20" t="str">
        <f ca="1">IFERROR(__xludf.DUMMYFUNCTION("""COMPUTED_VALUE"""),"03 ORL")</f>
        <v>03 ORL</v>
      </c>
      <c r="T377" s="6" t="str">
        <f ca="1">IFERROR(__xludf.DUMMYFUNCTION("""COMPUTED_VALUE"""),"22 AUDIOMETRIA CLINICA")</f>
        <v>22 AUDIOMETRIA CLINICA</v>
      </c>
      <c r="U377" s="21"/>
      <c r="W377" s="21"/>
      <c r="X377" s="21"/>
    </row>
    <row r="378" spans="2:24" ht="16">
      <c r="B378" s="14" t="str">
        <f t="shared" ca="1" si="1"/>
        <v>MBM</v>
      </c>
      <c r="C378" s="23" t="str">
        <f ca="1">IFERROR(__xludf.DUMMYFUNCTION("""COMPUTED_VALUE"""),"MBM201")</f>
        <v>MBM201</v>
      </c>
      <c r="D378" s="6" t="str">
        <f ca="1">IFERROR(__xludf.DUMMYFUNCTION("""COMPUTED_VALUE"""),"PROPIOS")</f>
        <v>PROPIOS</v>
      </c>
      <c r="E378" s="6">
        <f ca="1">IFERROR(__xludf.DUMMYFUNCTION("""COMPUTED_VALUE"""),2026)</f>
        <v>2026</v>
      </c>
      <c r="F378" s="15">
        <f ca="1">IFERROR(__xludf.DUMMYFUNCTION("""COMPUTED_VALUE"""),3)</f>
        <v>3</v>
      </c>
      <c r="G378" s="6" t="str">
        <f ca="1">IFERROR(__xludf.DUMMYFUNCTION("""COMPUTED_VALUE"""),"Madrid- Juan Bravo")</f>
        <v>Madrid- Juan Bravo</v>
      </c>
      <c r="H378" s="6" t="str">
        <f ca="1">IFERROR(__xludf.DUMMYFUNCTION("""COMPUTED_VALUE"""),"C202622595331963569")</f>
        <v>C202622595331963569</v>
      </c>
      <c r="I378" s="6" t="str">
        <f ca="1">IFERROR(__xludf.DUMMYFUNCTION("""COMPUTED_VALUE"""),"ALMUDENA HAURIE MENA")</f>
        <v>ALMUDENA HAURIE MENA</v>
      </c>
      <c r="J378" s="16">
        <f ca="1">IFERROR(__xludf.DUMMYFUNCTION("""COMPUTED_VALUE"""),46078)</f>
        <v>46078</v>
      </c>
      <c r="K378" s="6" t="str">
        <f ca="1">IFERROR(__xludf.DUMMYFUNCTION("""COMPUTED_VALUE"""),"Factura audífonos")</f>
        <v>Factura audífonos</v>
      </c>
      <c r="L378" s="16">
        <f ca="1">IFERROR(__xludf.DUMMYFUNCTION("""COMPUTED_VALUE"""),46099)</f>
        <v>46099</v>
      </c>
      <c r="M378" s="23" t="str">
        <f ca="1">IFERROR(__xludf.DUMMYFUNCTION("""COMPUTED_VALUE"""),"NO")</f>
        <v>NO</v>
      </c>
      <c r="N378" s="15">
        <f ca="1">IFERROR(__xludf.DUMMYFUNCTION("""COMPUTED_VALUE"""),2)</f>
        <v>2</v>
      </c>
      <c r="O378" s="23" t="str">
        <f ca="1">IFERROR(__xludf.DUMMYFUNCTION("""COMPUTED_VALUE"""),"QUIET")</f>
        <v>QUIET</v>
      </c>
      <c r="P378" s="21">
        <f ca="1">IFERROR(__xludf.DUMMYFUNCTION("""COMPUTED_VALUE"""),2718.18)</f>
        <v>2718.18</v>
      </c>
      <c r="Q378" s="6" t="str">
        <f ca="1">IFERROR(__xludf.DUMMYFUNCTION("""COMPUTED_VALUE"""),"Maika Blázquez")</f>
        <v>Maika Blázquez</v>
      </c>
      <c r="R378" s="6" t="str">
        <f ca="1">IFERROR(__xludf.DUMMYFUNCTION("""COMPUTED_VALUE"""),"María Cecilia Scola Torres")</f>
        <v>María Cecilia Scola Torres</v>
      </c>
      <c r="S378" s="20" t="str">
        <f ca="1">IFERROR(__xludf.DUMMYFUNCTION("""COMPUTED_VALUE"""),"03 ORL")</f>
        <v>03 ORL</v>
      </c>
      <c r="T378" s="6" t="str">
        <f ca="1">IFERROR(__xludf.DUMMYFUNCTION("""COMPUTED_VALUE"""),"06 ORL")</f>
        <v>06 ORL</v>
      </c>
      <c r="U378" s="21"/>
      <c r="W378" s="21"/>
      <c r="X378" s="21"/>
    </row>
    <row r="379" spans="2:24" ht="16">
      <c r="B379" s="14" t="str">
        <f t="shared" ca="1" si="1"/>
        <v>MBM</v>
      </c>
      <c r="C379" s="23" t="str">
        <f ca="1">IFERROR(__xludf.DUMMYFUNCTION("""COMPUTED_VALUE"""),"MBM03")</f>
        <v>MBM03</v>
      </c>
      <c r="D379" s="6" t="str">
        <f ca="1">IFERROR(__xludf.DUMMYFUNCTION("""COMPUTED_VALUE"""),"PROPIOS")</f>
        <v>PROPIOS</v>
      </c>
      <c r="E379" s="6">
        <f ca="1">IFERROR(__xludf.DUMMYFUNCTION("""COMPUTED_VALUE"""),2026)</f>
        <v>2026</v>
      </c>
      <c r="F379" s="15">
        <f ca="1">IFERROR(__xludf.DUMMYFUNCTION("""COMPUTED_VALUE"""),3)</f>
        <v>3</v>
      </c>
      <c r="G379" s="6" t="str">
        <f ca="1">IFERROR(__xludf.DUMMYFUNCTION("""COMPUTED_VALUE"""),"Getafe")</f>
        <v>Getafe</v>
      </c>
      <c r="H379" s="6" t="str">
        <f ca="1">IFERROR(__xludf.DUMMYFUNCTION("""COMPUTED_VALUE"""),"C202611410423796600")</f>
        <v>C202611410423796600</v>
      </c>
      <c r="I379" s="6" t="str">
        <f ca="1">IFERROR(__xludf.DUMMYFUNCTION("""COMPUTED_VALUE"""),"PILAR SANCHO HERNANDEZ")</f>
        <v>PILAR SANCHO HERNANDEZ</v>
      </c>
      <c r="J379" s="16">
        <f ca="1">IFERROR(__xludf.DUMMYFUNCTION("""COMPUTED_VALUE"""),46036)</f>
        <v>46036</v>
      </c>
      <c r="K379" s="6" t="str">
        <f ca="1">IFERROR(__xludf.DUMMYFUNCTION("""COMPUTED_VALUE"""),"Factura audífonos")</f>
        <v>Factura audífonos</v>
      </c>
      <c r="L379" s="16">
        <f ca="1">IFERROR(__xludf.DUMMYFUNCTION("""COMPUTED_VALUE"""),46099)</f>
        <v>46099</v>
      </c>
      <c r="M379" s="23" t="str">
        <f ca="1">IFERROR(__xludf.DUMMYFUNCTION("""COMPUTED_VALUE"""),"NO")</f>
        <v>NO</v>
      </c>
      <c r="N379" s="15">
        <f ca="1">IFERROR(__xludf.DUMMYFUNCTION("""COMPUTED_VALUE"""),1)</f>
        <v>1</v>
      </c>
      <c r="O379" s="23" t="str">
        <f ca="1">IFERROR(__xludf.DUMMYFUNCTION("""COMPUTED_VALUE"""),"CONFORT")</f>
        <v>CONFORT</v>
      </c>
      <c r="P379" s="21">
        <f ca="1">IFERROR(__xludf.DUMMYFUNCTION("""COMPUTED_VALUE"""),2180.91)</f>
        <v>2180.91</v>
      </c>
      <c r="Q379" s="6" t="str">
        <f ca="1">IFERROR(__xludf.DUMMYFUNCTION("""COMPUTED_VALUE"""),"Maika Blázquez")</f>
        <v>Maika Blázquez</v>
      </c>
      <c r="R379" s="6" t="str">
        <f ca="1">IFERROR(__xludf.DUMMYFUNCTION("""COMPUTED_VALUE"""),"Alejandro Harguindey Antoli-Candela")</f>
        <v>Alejandro Harguindey Antoli-Candela</v>
      </c>
      <c r="S379" s="20" t="str">
        <f ca="1">IFERROR(__xludf.DUMMYFUNCTION("""COMPUTED_VALUE"""),"03 ORL")</f>
        <v>03 ORL</v>
      </c>
      <c r="T379" s="6" t="str">
        <f ca="1">IFERROR(__xludf.DUMMYFUNCTION("""COMPUTED_VALUE"""),"06 ORL")</f>
        <v>06 ORL</v>
      </c>
      <c r="U379" s="21"/>
      <c r="W379" s="21"/>
      <c r="X379" s="21"/>
    </row>
    <row r="380" spans="2:24" ht="16">
      <c r="B380" s="14" t="str">
        <f t="shared" ca="1" si="1"/>
        <v>ISL</v>
      </c>
      <c r="C380" s="23" t="str">
        <f ca="1">IFERROR(__xludf.DUMMYFUNCTION("""COMPUTED_VALUE"""),"ISL128")</f>
        <v>ISL128</v>
      </c>
      <c r="D380" s="6" t="str">
        <f ca="1">IFERROR(__xludf.DUMMYFUNCTION("""COMPUTED_VALUE"""),"PROPIOS")</f>
        <v>PROPIOS</v>
      </c>
      <c r="E380" s="6">
        <f ca="1">IFERROR(__xludf.DUMMYFUNCTION("""COMPUTED_VALUE"""),2026)</f>
        <v>2026</v>
      </c>
      <c r="F380" s="15">
        <f ca="1">IFERROR(__xludf.DUMMYFUNCTION("""COMPUTED_VALUE"""),3)</f>
        <v>3</v>
      </c>
      <c r="G380" s="6" t="str">
        <f ca="1">IFERROR(__xludf.DUMMYFUNCTION("""COMPUTED_VALUE"""),"Murcia")</f>
        <v>Murcia</v>
      </c>
      <c r="H380" s="6" t="str">
        <f ca="1">IFERROR(__xludf.DUMMYFUNCTION("""COMPUTED_VALUE"""),"C202621610292016314")</f>
        <v>C202621610292016314</v>
      </c>
      <c r="I380" s="6" t="str">
        <f ca="1">IFERROR(__xludf.DUMMYFUNCTION("""COMPUTED_VALUE"""),"FRANCISCO MOTOS VELEZ")</f>
        <v>FRANCISCO MOTOS VELEZ</v>
      </c>
      <c r="J380" s="16">
        <f ca="1">IFERROR(__xludf.DUMMYFUNCTION("""COMPUTED_VALUE"""),46069)</f>
        <v>46069</v>
      </c>
      <c r="K380" s="6" t="str">
        <f ca="1">IFERROR(__xludf.DUMMYFUNCTION("""COMPUTED_VALUE"""),"Factura audífonos")</f>
        <v>Factura audífonos</v>
      </c>
      <c r="L380" s="16">
        <f ca="1">IFERROR(__xludf.DUMMYFUNCTION("""COMPUTED_VALUE"""),46099)</f>
        <v>46099</v>
      </c>
      <c r="M380" s="23" t="str">
        <f ca="1">IFERROR(__xludf.DUMMYFUNCTION("""COMPUTED_VALUE"""),"NO")</f>
        <v>NO</v>
      </c>
      <c r="N380" s="15">
        <f ca="1">IFERROR(__xludf.DUMMYFUNCTION("""COMPUTED_VALUE"""),2)</f>
        <v>2</v>
      </c>
      <c r="O380" s="23" t="str">
        <f ca="1">IFERROR(__xludf.DUMMYFUNCTION("""COMPUTED_VALUE"""),"QUIET")</f>
        <v>QUIET</v>
      </c>
      <c r="P380" s="21">
        <f ca="1">IFERROR(__xludf.DUMMYFUNCTION("""COMPUTED_VALUE"""),2717.31)</f>
        <v>2717.31</v>
      </c>
      <c r="Q380" s="6" t="str">
        <f ca="1">IFERROR(__xludf.DUMMYFUNCTION("""COMPUTED_VALUE"""),"Iván Sánchez")</f>
        <v>Iván Sánchez</v>
      </c>
      <c r="R380" s="1" t="str">
        <f ca="1">IFERROR(__xludf.DUMMYFUNCTION("""COMPUTED_VALUE"""),"Nuria Salas Barrio")</f>
        <v>Nuria Salas Barrio</v>
      </c>
      <c r="S380" s="20" t="str">
        <f ca="1">IFERROR(__xludf.DUMMYFUNCTION("""COMPUTED_VALUE"""),"03 ORL")</f>
        <v>03 ORL</v>
      </c>
      <c r="T380" s="6" t="str">
        <f ca="1">IFERROR(__xludf.DUMMYFUNCTION("""COMPUTED_VALUE"""),"06 ORL")</f>
        <v>06 ORL</v>
      </c>
      <c r="U380" s="21"/>
      <c r="W380" s="21"/>
      <c r="X380" s="21"/>
    </row>
    <row r="381" spans="2:24" ht="16">
      <c r="B381" s="14" t="str">
        <f t="shared" ca="1" si="1"/>
        <v>ISL</v>
      </c>
      <c r="C381" s="23" t="str">
        <f ca="1">IFERROR(__xludf.DUMMYFUNCTION("""COMPUTED_VALUE"""),"ISL74")</f>
        <v>ISL74</v>
      </c>
      <c r="D381" s="6" t="str">
        <f ca="1">IFERROR(__xludf.DUMMYFUNCTION("""COMPUTED_VALUE"""),"PROPIOS")</f>
        <v>PROPIOS</v>
      </c>
      <c r="E381" s="6">
        <f ca="1">IFERROR(__xludf.DUMMYFUNCTION("""COMPUTED_VALUE"""),2026)</f>
        <v>2026</v>
      </c>
      <c r="F381" s="15">
        <f ca="1">IFERROR(__xludf.DUMMYFUNCTION("""COMPUTED_VALUE"""),3)</f>
        <v>3</v>
      </c>
      <c r="G381" s="6" t="str">
        <f ca="1">IFERROR(__xludf.DUMMYFUNCTION("""COMPUTED_VALUE"""),"Alicante")</f>
        <v>Alicante</v>
      </c>
      <c r="H381" s="6" t="str">
        <f ca="1">IFERROR(__xludf.DUMMYFUNCTION("""COMPUTED_VALUE"""),"C202621615224716087")</f>
        <v>C202621615224716087</v>
      </c>
      <c r="I381" s="6" t="str">
        <f ca="1">IFERROR(__xludf.DUMMYFUNCTION("""COMPUTED_VALUE"""),"LUIS RAMON MATAIX")</f>
        <v>LUIS RAMON MATAIX</v>
      </c>
      <c r="J381" s="16">
        <f ca="1">IFERROR(__xludf.DUMMYFUNCTION("""COMPUTED_VALUE"""),46069)</f>
        <v>46069</v>
      </c>
      <c r="K381" s="6" t="str">
        <f ca="1">IFERROR(__xludf.DUMMYFUNCTION("""COMPUTED_VALUE"""),"Factura audífonos")</f>
        <v>Factura audífonos</v>
      </c>
      <c r="L381" s="16">
        <f ca="1">IFERROR(__xludf.DUMMYFUNCTION("""COMPUTED_VALUE"""),46099)</f>
        <v>46099</v>
      </c>
      <c r="M381" s="23" t="str">
        <f ca="1">IFERROR(__xludf.DUMMYFUNCTION("""COMPUTED_VALUE"""),"NO")</f>
        <v>NO</v>
      </c>
      <c r="N381" s="15">
        <f ca="1">IFERROR(__xludf.DUMMYFUNCTION("""COMPUTED_VALUE"""),1)</f>
        <v>1</v>
      </c>
      <c r="O381" s="23" t="str">
        <f ca="1">IFERROR(__xludf.DUMMYFUNCTION("""COMPUTED_VALUE"""),"ADVANCED")</f>
        <v>ADVANCED</v>
      </c>
      <c r="P381" s="21">
        <f ca="1">IFERROR(__xludf.DUMMYFUNCTION("""COMPUTED_VALUE"""),2481.82)</f>
        <v>2481.8200000000002</v>
      </c>
      <c r="Q381" s="6" t="str">
        <f ca="1">IFERROR(__xludf.DUMMYFUNCTION("""COMPUTED_VALUE"""),"Iván Sánchez")</f>
        <v>Iván Sánchez</v>
      </c>
      <c r="R381" s="6" t="str">
        <f ca="1">IFERROR(__xludf.DUMMYFUNCTION("""COMPUTED_VALUE"""),"Oscar Alemán López")</f>
        <v>Oscar Alemán López</v>
      </c>
      <c r="S381" s="20" t="str">
        <f ca="1">IFERROR(__xludf.DUMMYFUNCTION("""COMPUTED_VALUE"""),"03 ORL")</f>
        <v>03 ORL</v>
      </c>
      <c r="T381" s="6" t="str">
        <f ca="1">IFERROR(__xludf.DUMMYFUNCTION("""COMPUTED_VALUE"""),"06 ORL")</f>
        <v>06 ORL</v>
      </c>
      <c r="U381" s="21"/>
      <c r="W381" s="21"/>
      <c r="X381" s="21"/>
    </row>
    <row r="382" spans="2:24" ht="16">
      <c r="B382" s="14" t="str">
        <f t="shared" ca="1" si="1"/>
        <v>LRM</v>
      </c>
      <c r="C382" s="23" t="str">
        <f ca="1">IFERROR(__xludf.DUMMYFUNCTION("""COMPUTED_VALUE"""),"LRM117")</f>
        <v>LRM117</v>
      </c>
      <c r="D382" s="6" t="str">
        <f ca="1">IFERROR(__xludf.DUMMYFUNCTION("""COMPUTED_VALUE"""),"PROPIOS")</f>
        <v>PROPIOS</v>
      </c>
      <c r="E382" s="6">
        <f ca="1">IFERROR(__xludf.DUMMYFUNCTION("""COMPUTED_VALUE"""),2026)</f>
        <v>2026</v>
      </c>
      <c r="F382" s="15">
        <f ca="1">IFERROR(__xludf.DUMMYFUNCTION("""COMPUTED_VALUE"""),3)</f>
        <v>3</v>
      </c>
      <c r="G382" s="6" t="str">
        <f ca="1">IFERROR(__xludf.DUMMYFUNCTION("""COMPUTED_VALUE"""),"Fuenlabrada")</f>
        <v>Fuenlabrada</v>
      </c>
      <c r="H382" s="6" t="str">
        <f ca="1">IFERROR(__xludf.DUMMYFUNCTION("""COMPUTED_VALUE"""),"C20262101044647935")</f>
        <v>C20262101044647935</v>
      </c>
      <c r="I382" s="6" t="str">
        <f ca="1">IFERROR(__xludf.DUMMYFUNCTION("""COMPUTED_VALUE"""),"MANUEL COBOS SANCHEZ")</f>
        <v>MANUEL COBOS SANCHEZ</v>
      </c>
      <c r="J382" s="16">
        <f ca="1">IFERROR(__xludf.DUMMYFUNCTION("""COMPUTED_VALUE"""),46063)</f>
        <v>46063</v>
      </c>
      <c r="K382" s="6" t="str">
        <f ca="1">IFERROR(__xludf.DUMMYFUNCTION("""COMPUTED_VALUE"""),"Factura audífonos")</f>
        <v>Factura audífonos</v>
      </c>
      <c r="L382" s="16">
        <f ca="1">IFERROR(__xludf.DUMMYFUNCTION("""COMPUTED_VALUE"""),46100)</f>
        <v>46100</v>
      </c>
      <c r="M382" s="23" t="str">
        <f ca="1">IFERROR(__xludf.DUMMYFUNCTION("""COMPUTED_VALUE"""),"NO")</f>
        <v>NO</v>
      </c>
      <c r="N382" s="15">
        <f ca="1">IFERROR(__xludf.DUMMYFUNCTION("""COMPUTED_VALUE"""),2)</f>
        <v>2</v>
      </c>
      <c r="O382" s="23" t="str">
        <f ca="1">IFERROR(__xludf.DUMMYFUNCTION("""COMPUTED_VALUE"""),"QUIET")</f>
        <v>QUIET</v>
      </c>
      <c r="P382" s="21">
        <f ca="1">IFERROR(__xludf.DUMMYFUNCTION("""COMPUTED_VALUE"""),2528.18)</f>
        <v>2528.1799999999998</v>
      </c>
      <c r="Q382" s="6" t="str">
        <f ca="1">IFERROR(__xludf.DUMMYFUNCTION("""COMPUTED_VALUE"""),"Lisandro Russian")</f>
        <v>Lisandro Russian</v>
      </c>
      <c r="R382" s="6" t="str">
        <f ca="1">IFERROR(__xludf.DUMMYFUNCTION("""COMPUTED_VALUE"""),"Ramón Martínez Carranza")</f>
        <v>Ramón Martínez Carranza</v>
      </c>
      <c r="S382" s="20" t="str">
        <f ca="1">IFERROR(__xludf.DUMMYFUNCTION("""COMPUTED_VALUE"""),"03 ORL")</f>
        <v>03 ORL</v>
      </c>
      <c r="T382" s="6" t="str">
        <f ca="1">IFERROR(__xludf.DUMMYFUNCTION("""COMPUTED_VALUE"""),"06 ORL")</f>
        <v>06 ORL</v>
      </c>
      <c r="U382" s="21"/>
      <c r="W382" s="21"/>
      <c r="X382" s="21"/>
    </row>
    <row r="383" spans="2:24" ht="16">
      <c r="B383" s="14" t="str">
        <f t="shared" ca="1" si="1"/>
        <v>PSC</v>
      </c>
      <c r="C383" s="23" t="str">
        <f ca="1">IFERROR(__xludf.DUMMYFUNCTION("""COMPUTED_VALUE"""),"PSC47")</f>
        <v>PSC47</v>
      </c>
      <c r="D383" s="6" t="str">
        <f ca="1">IFERROR(__xludf.DUMMYFUNCTION("""COMPUTED_VALUE"""),"ASOCIADOS")</f>
        <v>ASOCIADOS</v>
      </c>
      <c r="E383" s="6">
        <f ca="1">IFERROR(__xludf.DUMMYFUNCTION("""COMPUTED_VALUE"""),2026)</f>
        <v>2026</v>
      </c>
      <c r="F383" s="15">
        <f ca="1">IFERROR(__xludf.DUMMYFUNCTION("""COMPUTED_VALUE"""),3)</f>
        <v>3</v>
      </c>
      <c r="G383" s="6" t="str">
        <f ca="1">IFERROR(__xludf.DUMMYFUNCTION("""COMPUTED_VALUE"""),"Ponferrada")</f>
        <v>Ponferrada</v>
      </c>
      <c r="H383" s="6" t="str">
        <f ca="1">IFERROR(__xludf.DUMMYFUNCTION("""COMPUTED_VALUE"""),"C202512191234333691")</f>
        <v>C202512191234333691</v>
      </c>
      <c r="I383" s="6" t="str">
        <f ca="1">IFERROR(__xludf.DUMMYFUNCTION("""COMPUTED_VALUE"""),"ANA CRISTINA   MENDEZ ARIAS")</f>
        <v>ANA CRISTINA   MENDEZ ARIAS</v>
      </c>
      <c r="J383" s="16">
        <f ca="1">IFERROR(__xludf.DUMMYFUNCTION("""COMPUTED_VALUE"""),46010)</f>
        <v>46010</v>
      </c>
      <c r="K383" s="6" t="str">
        <f ca="1">IFERROR(__xludf.DUMMYFUNCTION("""COMPUTED_VALUE"""),"Factura audífonos")</f>
        <v>Factura audífonos</v>
      </c>
      <c r="L383" s="16">
        <f ca="1">IFERROR(__xludf.DUMMYFUNCTION("""COMPUTED_VALUE"""),46100)</f>
        <v>46100</v>
      </c>
      <c r="M383" s="23" t="str">
        <f ca="1">IFERROR(__xludf.DUMMYFUNCTION("""COMPUTED_VALUE"""),"NO")</f>
        <v>NO</v>
      </c>
      <c r="N383" s="15">
        <f ca="1">IFERROR(__xludf.DUMMYFUNCTION("""COMPUTED_VALUE"""),1)</f>
        <v>1</v>
      </c>
      <c r="O383" s="17" t="str">
        <f ca="1">IFERROR(__xludf.DUMMYFUNCTION("""COMPUTED_VALUE"""),"CONFORT")</f>
        <v>CONFORT</v>
      </c>
      <c r="P383" s="21">
        <f ca="1">IFERROR(__xludf.DUMMYFUNCTION("""COMPUTED_VALUE"""),2090.91)</f>
        <v>2090.91</v>
      </c>
      <c r="Q383" s="6" t="str">
        <f ca="1">IFERROR(__xludf.DUMMYFUNCTION("""COMPUTED_VALUE"""),"Alberto Moreno")</f>
        <v>Alberto Moreno</v>
      </c>
      <c r="R383" s="6" t="str">
        <f ca="1">IFERROR(__xludf.DUMMYFUNCTION("""COMPUTED_VALUE"""),"Mónica Granda Rosales")</f>
        <v>Mónica Granda Rosales</v>
      </c>
      <c r="S383" s="20" t="str">
        <f ca="1">IFERROR(__xludf.DUMMYFUNCTION("""COMPUTED_VALUE"""),"03 ORL")</f>
        <v>03 ORL</v>
      </c>
      <c r="T383" s="6" t="str">
        <f ca="1">IFERROR(__xludf.DUMMYFUNCTION("""COMPUTED_VALUE"""),"06 ORL")</f>
        <v>06 ORL</v>
      </c>
      <c r="U383" s="21"/>
      <c r="W383" s="21"/>
      <c r="X383" s="21"/>
    </row>
    <row r="384" spans="2:24" ht="16">
      <c r="B384" s="14" t="str">
        <f t="shared" si="1"/>
        <v/>
      </c>
      <c r="C384" s="23"/>
      <c r="D384" s="6" t="str">
        <f ca="1">IFERROR(__xludf.DUMMYFUNCTION("""COMPUTED_VALUE"""),"PROPIOS")</f>
        <v>PROPIOS</v>
      </c>
      <c r="E384" s="6">
        <f ca="1">IFERROR(__xludf.DUMMYFUNCTION("""COMPUTED_VALUE"""),2026)</f>
        <v>2026</v>
      </c>
      <c r="F384" s="15">
        <f ca="1">IFERROR(__xludf.DUMMYFUNCTION("""COMPUTED_VALUE"""),3)</f>
        <v>3</v>
      </c>
      <c r="G384" s="6" t="str">
        <f ca="1">IFERROR(__xludf.DUMMYFUNCTION("""COMPUTED_VALUE"""),"Logroño")</f>
        <v>Logroño</v>
      </c>
      <c r="H384" s="6" t="str">
        <f ca="1">IFERROR(__xludf.DUMMYFUNCTION("""COMPUTED_VALUE"""),"C202511121113594439")</f>
        <v>C202511121113594439</v>
      </c>
      <c r="I384" s="6" t="str">
        <f ca="1">IFERROR(__xludf.DUMMYFUNCTION("""COMPUTED_VALUE"""),"SILVIA REVUELTO GONZALEZ")</f>
        <v>SILVIA REVUELTO GONZALEZ</v>
      </c>
      <c r="J384" s="16">
        <f ca="1">IFERROR(__xludf.DUMMYFUNCTION("""COMPUTED_VALUE"""),45973)</f>
        <v>45973</v>
      </c>
      <c r="K384" s="6" t="str">
        <f ca="1">IFERROR(__xludf.DUMMYFUNCTION("""COMPUTED_VALUE"""),"Factura audífonos")</f>
        <v>Factura audífonos</v>
      </c>
      <c r="L384" s="16">
        <f ca="1">IFERROR(__xludf.DUMMYFUNCTION("""COMPUTED_VALUE"""),46100)</f>
        <v>46100</v>
      </c>
      <c r="M384" s="23" t="str">
        <f ca="1">IFERROR(__xludf.DUMMYFUNCTION("""COMPUTED_VALUE"""),"NO")</f>
        <v>NO</v>
      </c>
      <c r="N384" s="15">
        <f ca="1">IFERROR(__xludf.DUMMYFUNCTION("""COMPUTED_VALUE"""),1)</f>
        <v>1</v>
      </c>
      <c r="O384" s="23" t="str">
        <f ca="1">IFERROR(__xludf.DUMMYFUNCTION("""COMPUTED_VALUE"""),"QUIET")</f>
        <v>QUIET</v>
      </c>
      <c r="P384" s="21">
        <f ca="1">IFERROR(__xludf.DUMMYFUNCTION("""COMPUTED_VALUE"""),1454.55)</f>
        <v>1454.55</v>
      </c>
      <c r="Q384" s="6" t="str">
        <f ca="1">IFERROR(__xludf.DUMMYFUNCTION("""COMPUTED_VALUE"""),"Lisandro Russian")</f>
        <v>Lisandro Russian</v>
      </c>
      <c r="R384" s="6" t="str">
        <f ca="1">IFERROR(__xludf.DUMMYFUNCTION("""COMPUTED_VALUE"""),"No recuerda ORL")</f>
        <v>No recuerda ORL</v>
      </c>
      <c r="S384" s="20" t="str">
        <f ca="1">IFERROR(__xludf.DUMMYFUNCTION("""COMPUTED_VALUE"""),"03 ORL")</f>
        <v>03 ORL</v>
      </c>
      <c r="T384" s="6" t="str">
        <f ca="1">IFERROR(__xludf.DUMMYFUNCTION("""COMPUTED_VALUE"""),"06 ORL")</f>
        <v>06 ORL</v>
      </c>
      <c r="U384" s="21"/>
      <c r="W384" s="21"/>
      <c r="X384" s="21"/>
    </row>
    <row r="385" spans="2:24" ht="16">
      <c r="B385" s="14" t="str">
        <f t="shared" ca="1" si="1"/>
        <v>MBM</v>
      </c>
      <c r="C385" s="23" t="str">
        <f ca="1">IFERROR(__xludf.DUMMYFUNCTION("""COMPUTED_VALUE"""),"MBM225")</f>
        <v>MBM225</v>
      </c>
      <c r="D385" s="6" t="str">
        <f ca="1">IFERROR(__xludf.DUMMYFUNCTION("""COMPUTED_VALUE"""),"PROPIOS")</f>
        <v>PROPIOS</v>
      </c>
      <c r="E385" s="6">
        <f ca="1">IFERROR(__xludf.DUMMYFUNCTION("""COMPUTED_VALUE"""),2026)</f>
        <v>2026</v>
      </c>
      <c r="F385" s="15">
        <f ca="1">IFERROR(__xludf.DUMMYFUNCTION("""COMPUTED_VALUE"""),3)</f>
        <v>3</v>
      </c>
      <c r="G385" s="6" t="str">
        <f ca="1">IFERROR(__xludf.DUMMYFUNCTION("""COMPUTED_VALUE"""),"Fuenlabrada")</f>
        <v>Fuenlabrada</v>
      </c>
      <c r="H385" s="6" t="str">
        <f ca="1">IFERROR(__xludf.DUMMYFUNCTION("""COMPUTED_VALUE"""),"C202621118050393364")</f>
        <v>C202621118050393364</v>
      </c>
      <c r="I385" s="6" t="str">
        <f ca="1">IFERROR(__xludf.DUMMYFUNCTION("""COMPUTED_VALUE"""),"Mª MAR MENDOZA MARTINEZ")</f>
        <v>Mª MAR MENDOZA MARTINEZ</v>
      </c>
      <c r="J385" s="16">
        <f ca="1">IFERROR(__xludf.DUMMYFUNCTION("""COMPUTED_VALUE"""),46064)</f>
        <v>46064</v>
      </c>
      <c r="K385" s="6" t="str">
        <f ca="1">IFERROR(__xludf.DUMMYFUNCTION("""COMPUTED_VALUE"""),"Factura audífonos")</f>
        <v>Factura audífonos</v>
      </c>
      <c r="L385" s="16">
        <f ca="1">IFERROR(__xludf.DUMMYFUNCTION("""COMPUTED_VALUE"""),46100)</f>
        <v>46100</v>
      </c>
      <c r="M385" s="23" t="str">
        <f ca="1">IFERROR(__xludf.DUMMYFUNCTION("""COMPUTED_VALUE"""),"NO")</f>
        <v>NO</v>
      </c>
      <c r="N385" s="15">
        <f ca="1">IFERROR(__xludf.DUMMYFUNCTION("""COMPUTED_VALUE"""),2)</f>
        <v>2</v>
      </c>
      <c r="O385" s="23" t="str">
        <f ca="1">IFERROR(__xludf.DUMMYFUNCTION("""COMPUTED_VALUE"""),"QUIET")</f>
        <v>QUIET</v>
      </c>
      <c r="P385" s="21">
        <f ca="1">IFERROR(__xludf.DUMMYFUNCTION("""COMPUTED_VALUE"""),2718.19)</f>
        <v>2718.19</v>
      </c>
      <c r="Q385" s="6" t="str">
        <f ca="1">IFERROR(__xludf.DUMMYFUNCTION("""COMPUTED_VALUE"""),"Maika Blázquez")</f>
        <v>Maika Blázquez</v>
      </c>
      <c r="R385" s="6" t="str">
        <f ca="1">IFERROR(__xludf.DUMMYFUNCTION("""COMPUTED_VALUE"""),"Fabio Fernández Mateos")</f>
        <v>Fabio Fernández Mateos</v>
      </c>
      <c r="S385" s="20" t="str">
        <f ca="1">IFERROR(__xludf.DUMMYFUNCTION("""COMPUTED_VALUE"""),"03 ORL")</f>
        <v>03 ORL</v>
      </c>
      <c r="T385" s="6" t="str">
        <f ca="1">IFERROR(__xludf.DUMMYFUNCTION("""COMPUTED_VALUE"""),"06 ORL")</f>
        <v>06 ORL</v>
      </c>
      <c r="U385" s="21"/>
      <c r="W385" s="21"/>
      <c r="X385" s="21"/>
    </row>
    <row r="386" spans="2:24" ht="16">
      <c r="B386" s="14" t="str">
        <f t="shared" ca="1" si="1"/>
        <v>LRM</v>
      </c>
      <c r="C386" s="23" t="str">
        <f ca="1">IFERROR(__xludf.DUMMYFUNCTION("""COMPUTED_VALUE"""),"LRM156")</f>
        <v>LRM156</v>
      </c>
      <c r="D386" s="6" t="str">
        <f ca="1">IFERROR(__xludf.DUMMYFUNCTION("""COMPUTED_VALUE"""),"ASOCIADOS")</f>
        <v>ASOCIADOS</v>
      </c>
      <c r="E386" s="6">
        <f ca="1">IFERROR(__xludf.DUMMYFUNCTION("""COMPUTED_VALUE"""),2026)</f>
        <v>2026</v>
      </c>
      <c r="F386" s="15">
        <f ca="1">IFERROR(__xludf.DUMMYFUNCTION("""COMPUTED_VALUE"""),3)</f>
        <v>3</v>
      </c>
      <c r="G386" s="6" t="str">
        <f ca="1">IFERROR(__xludf.DUMMYFUNCTION("""COMPUTED_VALUE"""),"Cáceres")</f>
        <v>Cáceres</v>
      </c>
      <c r="H386" s="6" t="str">
        <f ca="1">IFERROR(__xludf.DUMMYFUNCTION("""COMPUTED_VALUE"""),"C202624192054929412")</f>
        <v>C202624192054929412</v>
      </c>
      <c r="I386" s="6" t="str">
        <f ca="1">IFERROR(__xludf.DUMMYFUNCTION("""COMPUTED_VALUE"""),"ROMUALDO GRAJERA GUERRA")</f>
        <v>ROMUALDO GRAJERA GUERRA</v>
      </c>
      <c r="J386" s="16">
        <f ca="1">IFERROR(__xludf.DUMMYFUNCTION("""COMPUTED_VALUE"""),46057)</f>
        <v>46057</v>
      </c>
      <c r="K386" s="6" t="str">
        <f ca="1">IFERROR(__xludf.DUMMYFUNCTION("""COMPUTED_VALUE"""),"Factura audífonos")</f>
        <v>Factura audífonos</v>
      </c>
      <c r="L386" s="16">
        <f ca="1">IFERROR(__xludf.DUMMYFUNCTION("""COMPUTED_VALUE"""),46101)</f>
        <v>46101</v>
      </c>
      <c r="M386" s="17" t="str">
        <f ca="1">IFERROR(__xludf.DUMMYFUNCTION("""COMPUTED_VALUE"""),"NO")</f>
        <v>NO</v>
      </c>
      <c r="N386" s="15">
        <f ca="1">IFERROR(__xludf.DUMMYFUNCTION("""COMPUTED_VALUE"""),2)</f>
        <v>2</v>
      </c>
      <c r="O386" s="23" t="str">
        <f ca="1">IFERROR(__xludf.DUMMYFUNCTION("""COMPUTED_VALUE"""),"PRO")</f>
        <v>PRO</v>
      </c>
      <c r="P386" s="21">
        <f ca="1">IFERROR(__xludf.DUMMYFUNCTION("""COMPUTED_VALUE"""),4990.91)</f>
        <v>4990.91</v>
      </c>
      <c r="Q386" s="6" t="str">
        <f ca="1">IFERROR(__xludf.DUMMYFUNCTION("""COMPUTED_VALUE"""),"Lisandro Russian")</f>
        <v>Lisandro Russian</v>
      </c>
      <c r="R386" s="6" t="str">
        <f ca="1">IFERROR(__xludf.DUMMYFUNCTION("""COMPUTED_VALUE"""),"Esther De La O Corrochano")</f>
        <v>Esther De La O Corrochano</v>
      </c>
      <c r="S386" s="20" t="str">
        <f ca="1">IFERROR(__xludf.DUMMYFUNCTION("""COMPUTED_VALUE"""),"03 ORL")</f>
        <v>03 ORL</v>
      </c>
      <c r="T386" s="6" t="str">
        <f ca="1">IFERROR(__xludf.DUMMYFUNCTION("""COMPUTED_VALUE"""),"06 ORL")</f>
        <v>06 ORL</v>
      </c>
      <c r="U386" s="21"/>
      <c r="W386" s="21"/>
      <c r="X386" s="21"/>
    </row>
    <row r="387" spans="2:24" ht="16">
      <c r="B387" s="14" t="str">
        <f t="shared" si="1"/>
        <v/>
      </c>
      <c r="C387" s="23"/>
      <c r="D387" s="6" t="str">
        <f ca="1">IFERROR(__xludf.DUMMYFUNCTION("""COMPUTED_VALUE"""),"PROPIOS")</f>
        <v>PROPIOS</v>
      </c>
      <c r="E387" s="6">
        <f ca="1">IFERROR(__xludf.DUMMYFUNCTION("""COMPUTED_VALUE"""),2026)</f>
        <v>2026</v>
      </c>
      <c r="F387" s="15">
        <f ca="1">IFERROR(__xludf.DUMMYFUNCTION("""COMPUTED_VALUE"""),3)</f>
        <v>3</v>
      </c>
      <c r="G387" s="6" t="str">
        <f ca="1">IFERROR(__xludf.DUMMYFUNCTION("""COMPUTED_VALUE"""),"Valencia- Cádiz")</f>
        <v>Valencia- Cádiz</v>
      </c>
      <c r="H387" s="6" t="str">
        <f ca="1">IFERROR(__xludf.DUMMYFUNCTION("""COMPUTED_VALUE"""),"C202612993442906741")</f>
        <v>C202612993442906741</v>
      </c>
      <c r="I387" s="6" t="str">
        <f ca="1">IFERROR(__xludf.DUMMYFUNCTION("""COMPUTED_VALUE"""),"VICENT  FERRANDIS MAS")</f>
        <v>VICENT  FERRANDIS MAS</v>
      </c>
      <c r="J387" s="16">
        <f ca="1">IFERROR(__xludf.DUMMYFUNCTION("""COMPUTED_VALUE"""),46051)</f>
        <v>46051</v>
      </c>
      <c r="K387" s="6" t="str">
        <f ca="1">IFERROR(__xludf.DUMMYFUNCTION("""COMPUTED_VALUE"""),"Factura audífonos")</f>
        <v>Factura audífonos</v>
      </c>
      <c r="L387" s="16">
        <f ca="1">IFERROR(__xludf.DUMMYFUNCTION("""COMPUTED_VALUE"""),46101)</f>
        <v>46101</v>
      </c>
      <c r="M387" s="23" t="str">
        <f ca="1">IFERROR(__xludf.DUMMYFUNCTION("""COMPUTED_VALUE"""),"NO")</f>
        <v>NO</v>
      </c>
      <c r="N387" s="15">
        <f ca="1">IFERROR(__xludf.DUMMYFUNCTION("""COMPUTED_VALUE"""),1)</f>
        <v>1</v>
      </c>
      <c r="O387" s="23" t="str">
        <f ca="1">IFERROR(__xludf.DUMMYFUNCTION("""COMPUTED_VALUE"""),"ADVANCED")</f>
        <v>ADVANCED</v>
      </c>
      <c r="P387" s="21">
        <f ca="1">IFERROR(__xludf.DUMMYFUNCTION("""COMPUTED_VALUE"""),2481.82)</f>
        <v>2481.8200000000002</v>
      </c>
      <c r="Q387" s="6" t="str">
        <f ca="1">IFERROR(__xludf.DUMMYFUNCTION("""COMPUTED_VALUE"""),"Ramon Ferrando")</f>
        <v>Ramon Ferrando</v>
      </c>
      <c r="R387" s="6" t="str">
        <f ca="1">IFERROR(__xludf.DUMMYFUNCTION("""COMPUTED_VALUE"""),"No recuerda ORL")</f>
        <v>No recuerda ORL</v>
      </c>
      <c r="S387" s="20" t="str">
        <f ca="1">IFERROR(__xludf.DUMMYFUNCTION("""COMPUTED_VALUE"""),"03 ORL")</f>
        <v>03 ORL</v>
      </c>
      <c r="T387" s="6" t="str">
        <f ca="1">IFERROR(__xludf.DUMMYFUNCTION("""COMPUTED_VALUE"""),"06 ORL")</f>
        <v>06 ORL</v>
      </c>
      <c r="U387" s="21"/>
      <c r="W387" s="21"/>
      <c r="X387" s="21"/>
    </row>
    <row r="388" spans="2:24" ht="16">
      <c r="B388" s="14" t="str">
        <f t="shared" ca="1" si="1"/>
        <v>ISL</v>
      </c>
      <c r="C388" s="23" t="str">
        <f ca="1">IFERROR(__xludf.DUMMYFUNCTION("""COMPUTED_VALUE"""),"ISL147")</f>
        <v>ISL147</v>
      </c>
      <c r="D388" s="6" t="str">
        <f ca="1">IFERROR(__xludf.DUMMYFUNCTION("""COMPUTED_VALUE"""),"PROPIOS")</f>
        <v>PROPIOS</v>
      </c>
      <c r="E388" s="6">
        <f ca="1">IFERROR(__xludf.DUMMYFUNCTION("""COMPUTED_VALUE"""),2026)</f>
        <v>2026</v>
      </c>
      <c r="F388" s="15">
        <f ca="1">IFERROR(__xludf.DUMMYFUNCTION("""COMPUTED_VALUE"""),3)</f>
        <v>3</v>
      </c>
      <c r="G388" s="6" t="str">
        <f ca="1">IFERROR(__xludf.DUMMYFUNCTION("""COMPUTED_VALUE"""),"Murcia")</f>
        <v>Murcia</v>
      </c>
      <c r="H388" s="6" t="str">
        <f ca="1">IFERROR(__xludf.DUMMYFUNCTION("""COMPUTED_VALUE"""),"C202611516129372")</f>
        <v>C202611516129372</v>
      </c>
      <c r="I388" s="6" t="str">
        <f ca="1">IFERROR(__xludf.DUMMYFUNCTION("""COMPUTED_VALUE"""),"REMEDIOS LUZ MENDOZA MARTINEZ")</f>
        <v>REMEDIOS LUZ MENDOZA MARTINEZ</v>
      </c>
      <c r="J388" s="16">
        <f ca="1">IFERROR(__xludf.DUMMYFUNCTION("""COMPUTED_VALUE"""),45729)</f>
        <v>45729</v>
      </c>
      <c r="K388" s="6" t="str">
        <f ca="1">IFERROR(__xludf.DUMMYFUNCTION("""COMPUTED_VALUE"""),"Factura audífonos")</f>
        <v>Factura audífonos</v>
      </c>
      <c r="L388" s="16">
        <f ca="1">IFERROR(__xludf.DUMMYFUNCTION("""COMPUTED_VALUE"""),46101)</f>
        <v>46101</v>
      </c>
      <c r="M388" s="23" t="str">
        <f ca="1">IFERROR(__xludf.DUMMYFUNCTION("""COMPUTED_VALUE"""),"NO")</f>
        <v>NO</v>
      </c>
      <c r="N388" s="15">
        <f ca="1">IFERROR(__xludf.DUMMYFUNCTION("""COMPUTED_VALUE"""),2)</f>
        <v>2</v>
      </c>
      <c r="O388" s="23" t="str">
        <f ca="1">IFERROR(__xludf.DUMMYFUNCTION("""COMPUTED_VALUE"""),"QUIET")</f>
        <v>QUIET</v>
      </c>
      <c r="P388" s="21">
        <f ca="1">IFERROR(__xludf.DUMMYFUNCTION("""COMPUTED_VALUE"""),2718.19)</f>
        <v>2718.19</v>
      </c>
      <c r="Q388" s="6" t="str">
        <f ca="1">IFERROR(__xludf.DUMMYFUNCTION("""COMPUTED_VALUE"""),"Iván Sánchez")</f>
        <v>Iván Sánchez</v>
      </c>
      <c r="R388" s="6" t="str">
        <f ca="1">IFERROR(__xludf.DUMMYFUNCTION("""COMPUTED_VALUE"""),"Miguel Lucas Herrera")</f>
        <v>Miguel Lucas Herrera</v>
      </c>
      <c r="S388" s="20" t="str">
        <f ca="1">IFERROR(__xludf.DUMMYFUNCTION("""COMPUTED_VALUE"""),"03 ORL")</f>
        <v>03 ORL</v>
      </c>
      <c r="T388" s="6" t="str">
        <f ca="1">IFERROR(__xludf.DUMMYFUNCTION("""COMPUTED_VALUE"""),"06 ORL")</f>
        <v>06 ORL</v>
      </c>
      <c r="U388" s="21"/>
      <c r="W388" s="21"/>
      <c r="X388" s="21"/>
    </row>
    <row r="389" spans="2:24" ht="16">
      <c r="B389" s="14" t="str">
        <f t="shared" ca="1" si="1"/>
        <v>LRM</v>
      </c>
      <c r="C389" s="23" t="str">
        <f ca="1">IFERROR(__xludf.DUMMYFUNCTION("""COMPUTED_VALUE"""),"LRM56")</f>
        <v>LRM56</v>
      </c>
      <c r="D389" s="6" t="str">
        <f ca="1">IFERROR(__xludf.DUMMYFUNCTION("""COMPUTED_VALUE"""),"ASOCIADOS")</f>
        <v>ASOCIADOS</v>
      </c>
      <c r="E389" s="6">
        <f ca="1">IFERROR(__xludf.DUMMYFUNCTION("""COMPUTED_VALUE"""),2026)</f>
        <v>2026</v>
      </c>
      <c r="F389" s="15">
        <f ca="1">IFERROR(__xludf.DUMMYFUNCTION("""COMPUTED_VALUE"""),3)</f>
        <v>3</v>
      </c>
      <c r="G389" s="6" t="str">
        <f ca="1">IFERROR(__xludf.DUMMYFUNCTION("""COMPUTED_VALUE"""),"Zaragoza- Santander")</f>
        <v>Zaragoza- Santander</v>
      </c>
      <c r="H389" s="6" t="str">
        <f ca="1">IFERROR(__xludf.DUMMYFUNCTION("""COMPUTED_VALUE"""),"C202621716393454417")</f>
        <v>C202621716393454417</v>
      </c>
      <c r="I389" s="6" t="str">
        <f ca="1">IFERROR(__xludf.DUMMYFUNCTION("""COMPUTED_VALUE"""),"RAUL PENA ALPIN")</f>
        <v>RAUL PENA ALPIN</v>
      </c>
      <c r="J389" s="16">
        <f ca="1">IFERROR(__xludf.DUMMYFUNCTION("""COMPUTED_VALUE"""),46070)</f>
        <v>46070</v>
      </c>
      <c r="K389" s="6" t="str">
        <f ca="1">IFERROR(__xludf.DUMMYFUNCTION("""COMPUTED_VALUE"""),"Factura audífonos")</f>
        <v>Factura audífonos</v>
      </c>
      <c r="L389" s="16">
        <f ca="1">IFERROR(__xludf.DUMMYFUNCTION("""COMPUTED_VALUE"""),46101)</f>
        <v>46101</v>
      </c>
      <c r="M389" s="17" t="str">
        <f ca="1">IFERROR(__xludf.DUMMYFUNCTION("""COMPUTED_VALUE"""),"NO")</f>
        <v>NO</v>
      </c>
      <c r="N389" s="15">
        <f ca="1">IFERROR(__xludf.DUMMYFUNCTION("""COMPUTED_VALUE"""),2)</f>
        <v>2</v>
      </c>
      <c r="O389" s="23" t="str">
        <f ca="1">IFERROR(__xludf.DUMMYFUNCTION("""COMPUTED_VALUE"""),"CONFORT")</f>
        <v>CONFORT</v>
      </c>
      <c r="P389" s="21">
        <f ca="1">IFERROR(__xludf.DUMMYFUNCTION("""COMPUTED_VALUE"""),3424.55)</f>
        <v>3424.55</v>
      </c>
      <c r="Q389" s="6" t="str">
        <f ca="1">IFERROR(__xludf.DUMMYFUNCTION("""COMPUTED_VALUE"""),"Ignacio Berdejo")</f>
        <v>Ignacio Berdejo</v>
      </c>
      <c r="R389" s="6" t="str">
        <f ca="1">IFERROR(__xludf.DUMMYFUNCTION("""COMPUTED_VALUE"""),"Jaime Leache Pueyo")</f>
        <v>Jaime Leache Pueyo</v>
      </c>
      <c r="S389" s="20" t="str">
        <f ca="1">IFERROR(__xludf.DUMMYFUNCTION("""COMPUTED_VALUE"""),"03 ORL")</f>
        <v>03 ORL</v>
      </c>
      <c r="T389" s="6" t="str">
        <f ca="1">IFERROR(__xludf.DUMMYFUNCTION("""COMPUTED_VALUE"""),"06 ORL")</f>
        <v>06 ORL</v>
      </c>
      <c r="U389" s="21"/>
      <c r="W389" s="21"/>
      <c r="X389" s="21"/>
    </row>
    <row r="390" spans="2:24" ht="16">
      <c r="B390" s="14" t="str">
        <f t="shared" ca="1" si="1"/>
        <v>LRM</v>
      </c>
      <c r="C390" s="23" t="str">
        <f ca="1">IFERROR(__xludf.DUMMYFUNCTION("""COMPUTED_VALUE"""),"LRM56")</f>
        <v>LRM56</v>
      </c>
      <c r="D390" s="6" t="str">
        <f ca="1">IFERROR(__xludf.DUMMYFUNCTION("""COMPUTED_VALUE"""),"ASOCIADOS")</f>
        <v>ASOCIADOS</v>
      </c>
      <c r="E390" s="6">
        <f ca="1">IFERROR(__xludf.DUMMYFUNCTION("""COMPUTED_VALUE"""),2026)</f>
        <v>2026</v>
      </c>
      <c r="F390" s="15">
        <f ca="1">IFERROR(__xludf.DUMMYFUNCTION("""COMPUTED_VALUE"""),3)</f>
        <v>3</v>
      </c>
      <c r="G390" s="6" t="str">
        <f ca="1">IFERROR(__xludf.DUMMYFUNCTION("""COMPUTED_VALUE"""),"Zaragoza- Santander")</f>
        <v>Zaragoza- Santander</v>
      </c>
      <c r="H390" s="6" t="str">
        <f ca="1">IFERROR(__xludf.DUMMYFUNCTION("""COMPUTED_VALUE"""),"C202621117354786888")</f>
        <v>C202621117354786888</v>
      </c>
      <c r="I390" s="6" t="str">
        <f ca="1">IFERROR(__xludf.DUMMYFUNCTION("""COMPUTED_VALUE"""),"MARIA JESUS ZAPATA QUIRANT")</f>
        <v>MARIA JESUS ZAPATA QUIRANT</v>
      </c>
      <c r="J390" s="16">
        <f ca="1">IFERROR(__xludf.DUMMYFUNCTION("""COMPUTED_VALUE"""),46064)</f>
        <v>46064</v>
      </c>
      <c r="K390" s="6" t="str">
        <f ca="1">IFERROR(__xludf.DUMMYFUNCTION("""COMPUTED_VALUE"""),"Factura audífonos")</f>
        <v>Factura audífonos</v>
      </c>
      <c r="L390" s="16">
        <f ca="1">IFERROR(__xludf.DUMMYFUNCTION("""COMPUTED_VALUE"""),46101)</f>
        <v>46101</v>
      </c>
      <c r="M390" s="23" t="str">
        <f ca="1">IFERROR(__xludf.DUMMYFUNCTION("""COMPUTED_VALUE"""),"NO")</f>
        <v>NO</v>
      </c>
      <c r="N390" s="15">
        <f ca="1">IFERROR(__xludf.DUMMYFUNCTION("""COMPUTED_VALUE"""),2)</f>
        <v>2</v>
      </c>
      <c r="O390" s="23" t="str">
        <f ca="1">IFERROR(__xludf.DUMMYFUNCTION("""COMPUTED_VALUE"""),"CONFORT")</f>
        <v>CONFORT</v>
      </c>
      <c r="P390" s="21">
        <f ca="1">IFERROR(__xludf.DUMMYFUNCTION("""COMPUTED_VALUE"""),3604.55)</f>
        <v>3604.55</v>
      </c>
      <c r="Q390" s="6" t="str">
        <f ca="1">IFERROR(__xludf.DUMMYFUNCTION("""COMPUTED_VALUE"""),"Ignacio Berdejo")</f>
        <v>Ignacio Berdejo</v>
      </c>
      <c r="R390" s="6" t="str">
        <f ca="1">IFERROR(__xludf.DUMMYFUNCTION("""COMPUTED_VALUE"""),"Jaime Leache Pueyo")</f>
        <v>Jaime Leache Pueyo</v>
      </c>
      <c r="S390" s="20" t="str">
        <f ca="1">IFERROR(__xludf.DUMMYFUNCTION("""COMPUTED_VALUE"""),"03 ORL")</f>
        <v>03 ORL</v>
      </c>
      <c r="T390" s="6" t="str">
        <f ca="1">IFERROR(__xludf.DUMMYFUNCTION("""COMPUTED_VALUE"""),"06 ORL")</f>
        <v>06 ORL</v>
      </c>
      <c r="U390" s="21"/>
      <c r="W390" s="21"/>
      <c r="X390" s="21"/>
    </row>
    <row r="391" spans="2:24" ht="16">
      <c r="B391" s="14" t="str">
        <f t="shared" si="1"/>
        <v/>
      </c>
      <c r="C391" s="23"/>
      <c r="D391" s="6" t="str">
        <f ca="1">IFERROR(__xludf.DUMMYFUNCTION("""COMPUTED_VALUE"""),"PROPIOS")</f>
        <v>PROPIOS</v>
      </c>
      <c r="E391" s="6">
        <f ca="1">IFERROR(__xludf.DUMMYFUNCTION("""COMPUTED_VALUE"""),2026)</f>
        <v>2026</v>
      </c>
      <c r="F391" s="15">
        <f ca="1">IFERROR(__xludf.DUMMYFUNCTION("""COMPUTED_VALUE"""),3)</f>
        <v>3</v>
      </c>
      <c r="G391" s="6" t="str">
        <f ca="1">IFERROR(__xludf.DUMMYFUNCTION("""COMPUTED_VALUE"""),"Getafe")</f>
        <v>Getafe</v>
      </c>
      <c r="H391" s="6" t="str">
        <f ca="1">IFERROR(__xludf.DUMMYFUNCTION("""COMPUTED_VALUE"""),"C202622382858055948")</f>
        <v>C202622382858055948</v>
      </c>
      <c r="I391" s="6" t="str">
        <f ca="1">IFERROR(__xludf.DUMMYFUNCTION("""COMPUTED_VALUE"""),"LUIS MANUEL SEGURA DE LA VALLINA")</f>
        <v>LUIS MANUEL SEGURA DE LA VALLINA</v>
      </c>
      <c r="J391" s="16">
        <f ca="1">IFERROR(__xludf.DUMMYFUNCTION("""COMPUTED_VALUE"""),46076)</f>
        <v>46076</v>
      </c>
      <c r="K391" s="6" t="str">
        <f ca="1">IFERROR(__xludf.DUMMYFUNCTION("""COMPUTED_VALUE"""),"Factura audífonos")</f>
        <v>Factura audífonos</v>
      </c>
      <c r="L391" s="16">
        <f ca="1">IFERROR(__xludf.DUMMYFUNCTION("""COMPUTED_VALUE"""),46104)</f>
        <v>46104</v>
      </c>
      <c r="M391" s="23" t="str">
        <f ca="1">IFERROR(__xludf.DUMMYFUNCTION("""COMPUTED_VALUE"""),"NO")</f>
        <v>NO</v>
      </c>
      <c r="N391" s="15">
        <f ca="1">IFERROR(__xludf.DUMMYFUNCTION("""COMPUTED_VALUE"""),2)</f>
        <v>2</v>
      </c>
      <c r="O391" s="23" t="str">
        <f ca="1">IFERROR(__xludf.DUMMYFUNCTION("""COMPUTED_VALUE"""),"QUIET")</f>
        <v>QUIET</v>
      </c>
      <c r="P391" s="21">
        <f ca="1">IFERROR(__xludf.DUMMYFUNCTION("""COMPUTED_VALUE"""),2718.18)</f>
        <v>2718.18</v>
      </c>
      <c r="Q391" s="6" t="str">
        <f ca="1">IFERROR(__xludf.DUMMYFUNCTION("""COMPUTED_VALUE"""),"Maika Blázquez")</f>
        <v>Maika Blázquez</v>
      </c>
      <c r="R391" s="6" t="str">
        <f ca="1">IFERROR(__xludf.DUMMYFUNCTION("""COMPUTED_VALUE"""),"No recuerda ORL")</f>
        <v>No recuerda ORL</v>
      </c>
      <c r="S391" s="20" t="str">
        <f ca="1">IFERROR(__xludf.DUMMYFUNCTION("""COMPUTED_VALUE"""),"03 ORL")</f>
        <v>03 ORL</v>
      </c>
      <c r="T391" s="6" t="str">
        <f ca="1">IFERROR(__xludf.DUMMYFUNCTION("""COMPUTED_VALUE"""),"06 ORL")</f>
        <v>06 ORL</v>
      </c>
      <c r="U391" s="21"/>
      <c r="W391" s="21"/>
      <c r="X391" s="21"/>
    </row>
    <row r="392" spans="2:24" ht="16">
      <c r="B392" s="14" t="str">
        <f t="shared" ca="1" si="1"/>
        <v>MBM</v>
      </c>
      <c r="C392" s="23" t="str">
        <f ca="1">IFERROR(__xludf.DUMMYFUNCTION("""COMPUTED_VALUE"""),"MBM17")</f>
        <v>MBM17</v>
      </c>
      <c r="D392" s="6" t="str">
        <f ca="1">IFERROR(__xludf.DUMMYFUNCTION("""COMPUTED_VALUE"""),"PROPIOS")</f>
        <v>PROPIOS</v>
      </c>
      <c r="E392" s="6">
        <f ca="1">IFERROR(__xludf.DUMMYFUNCTION("""COMPUTED_VALUE"""),2026)</f>
        <v>2026</v>
      </c>
      <c r="F392" s="15">
        <f ca="1">IFERROR(__xludf.DUMMYFUNCTION("""COMPUTED_VALUE"""),3)</f>
        <v>3</v>
      </c>
      <c r="G392" s="6" t="str">
        <f ca="1">IFERROR(__xludf.DUMMYFUNCTION("""COMPUTED_VALUE"""),"Toledo")</f>
        <v>Toledo</v>
      </c>
      <c r="H392" s="6" t="str">
        <f ca="1">IFERROR(__xludf.DUMMYFUNCTION("""COMPUTED_VALUE"""),"C202625181340624")</f>
        <v>C202625181340624</v>
      </c>
      <c r="I392" s="6" t="str">
        <f ca="1">IFERROR(__xludf.DUMMYFUNCTION("""COMPUTED_VALUE"""),"Benito Angel  Valero Conejo")</f>
        <v>Benito Angel  Valero Conejo</v>
      </c>
      <c r="J392" s="16">
        <f ca="1">IFERROR(__xludf.DUMMYFUNCTION("""COMPUTED_VALUE"""),46058)</f>
        <v>46058</v>
      </c>
      <c r="K392" s="6" t="str">
        <f ca="1">IFERROR(__xludf.DUMMYFUNCTION("""COMPUTED_VALUE"""),"Factura audífonos")</f>
        <v>Factura audífonos</v>
      </c>
      <c r="L392" s="16">
        <f ca="1">IFERROR(__xludf.DUMMYFUNCTION("""COMPUTED_VALUE"""),46104)</f>
        <v>46104</v>
      </c>
      <c r="M392" s="23" t="str">
        <f ca="1">IFERROR(__xludf.DUMMYFUNCTION("""COMPUTED_VALUE"""),"NO")</f>
        <v>NO</v>
      </c>
      <c r="N392" s="15">
        <f ca="1">IFERROR(__xludf.DUMMYFUNCTION("""COMPUTED_VALUE"""),2)</f>
        <v>2</v>
      </c>
      <c r="O392" s="23" t="str">
        <f ca="1">IFERROR(__xludf.DUMMYFUNCTION("""COMPUTED_VALUE"""),"CONFORT")</f>
        <v>CONFORT</v>
      </c>
      <c r="P392" s="21">
        <f ca="1">IFERROR(__xludf.DUMMYFUNCTION("""COMPUTED_VALUE"""),3450.24)</f>
        <v>3450.24</v>
      </c>
      <c r="Q392" s="6" t="str">
        <f ca="1">IFERROR(__xludf.DUMMYFUNCTION("""COMPUTED_VALUE"""),"Maika Blázquez")</f>
        <v>Maika Blázquez</v>
      </c>
      <c r="R392" s="6" t="str">
        <f ca="1">IFERROR(__xludf.DUMMYFUNCTION("""COMPUTED_VALUE"""),"Eduardo Martín Sanz")</f>
        <v>Eduardo Martín Sanz</v>
      </c>
      <c r="S392" s="20" t="str">
        <f ca="1">IFERROR(__xludf.DUMMYFUNCTION("""COMPUTED_VALUE"""),"03 ORL")</f>
        <v>03 ORL</v>
      </c>
      <c r="T392" s="6" t="str">
        <f ca="1">IFERROR(__xludf.DUMMYFUNCTION("""COMPUTED_VALUE"""),"06 ORL")</f>
        <v>06 ORL</v>
      </c>
      <c r="U392" s="21"/>
      <c r="W392" s="21"/>
      <c r="X392" s="21"/>
    </row>
    <row r="393" spans="2:24" ht="16">
      <c r="B393" s="14" t="str">
        <f t="shared" ca="1" si="1"/>
        <v>AMM</v>
      </c>
      <c r="C393" s="23" t="str">
        <f ca="1">IFERROR(__xludf.DUMMYFUNCTION("""COMPUTED_VALUE"""),"AMM09")</f>
        <v>AMM09</v>
      </c>
      <c r="D393" s="6" t="str">
        <f ca="1">IFERROR(__xludf.DUMMYFUNCTION("""COMPUTED_VALUE"""),"ASOCIADOS")</f>
        <v>ASOCIADOS</v>
      </c>
      <c r="E393" s="6">
        <f ca="1">IFERROR(__xludf.DUMMYFUNCTION("""COMPUTED_VALUE"""),2026)</f>
        <v>2026</v>
      </c>
      <c r="F393" s="15">
        <f ca="1">IFERROR(__xludf.DUMMYFUNCTION("""COMPUTED_VALUE"""),3)</f>
        <v>3</v>
      </c>
      <c r="G393" s="6" t="str">
        <f ca="1">IFERROR(__xludf.DUMMYFUNCTION("""COMPUTED_VALUE"""),"Vitoria")</f>
        <v>Vitoria</v>
      </c>
      <c r="H393" s="6" t="str">
        <f ca="1">IFERROR(__xludf.DUMMYFUNCTION("""COMPUTED_VALUE"""),"VIT-737")</f>
        <v>VIT-737</v>
      </c>
      <c r="I393" s="6" t="str">
        <f ca="1">IFERROR(__xludf.DUMMYFUNCTION("""COMPUTED_VALUE"""),"CARMEN CAÑO PADILLA")</f>
        <v>CARMEN CAÑO PADILLA</v>
      </c>
      <c r="J393" s="16">
        <f ca="1">IFERROR(__xludf.DUMMYFUNCTION("""COMPUTED_VALUE"""),46058)</f>
        <v>46058</v>
      </c>
      <c r="K393" s="6" t="str">
        <f ca="1">IFERROR(__xludf.DUMMYFUNCTION("""COMPUTED_VALUE"""),"Factura audífonos")</f>
        <v>Factura audífonos</v>
      </c>
      <c r="L393" s="16">
        <f ca="1">IFERROR(__xludf.DUMMYFUNCTION("""COMPUTED_VALUE"""),46104)</f>
        <v>46104</v>
      </c>
      <c r="M393" s="23" t="str">
        <f ca="1">IFERROR(__xludf.DUMMYFUNCTION("""COMPUTED_VALUE"""),"NO")</f>
        <v>NO</v>
      </c>
      <c r="N393" s="15">
        <f ca="1">IFERROR(__xludf.DUMMYFUNCTION("""COMPUTED_VALUE"""),2)</f>
        <v>2</v>
      </c>
      <c r="O393" s="23" t="str">
        <f ca="1">IFERROR(__xludf.DUMMYFUNCTION("""COMPUTED_VALUE"""),"PRO")</f>
        <v>PRO</v>
      </c>
      <c r="P393" s="21">
        <f ca="1">IFERROR(__xludf.DUMMYFUNCTION("""COMPUTED_VALUE"""),4181.82)</f>
        <v>4181.82</v>
      </c>
      <c r="Q393" s="6" t="str">
        <f ca="1">IFERROR(__xludf.DUMMYFUNCTION("""COMPUTED_VALUE"""),"Lisandro Russian")</f>
        <v>Lisandro Russian</v>
      </c>
      <c r="R393" s="6" t="str">
        <f ca="1">IFERROR(__xludf.DUMMYFUNCTION("""COMPUTED_VALUE"""),"José María Anda Fernández")</f>
        <v>José María Anda Fernández</v>
      </c>
      <c r="S393" s="20" t="str">
        <f ca="1">IFERROR(__xludf.DUMMYFUNCTION("""COMPUTED_VALUE"""),"03 ORL")</f>
        <v>03 ORL</v>
      </c>
      <c r="T393" s="6" t="str">
        <f ca="1">IFERROR(__xludf.DUMMYFUNCTION("""COMPUTED_VALUE"""),"06 ORL")</f>
        <v>06 ORL</v>
      </c>
      <c r="U393" s="21"/>
      <c r="W393" s="21"/>
      <c r="X393" s="21"/>
    </row>
    <row r="394" spans="2:24" ht="16">
      <c r="B394" s="14" t="str">
        <f t="shared" ca="1" si="1"/>
        <v>RFV</v>
      </c>
      <c r="C394" s="23" t="str">
        <f ca="1">IFERROR(__xludf.DUMMYFUNCTION("""COMPUTED_VALUE"""),"RFV19")</f>
        <v>RFV19</v>
      </c>
      <c r="D394" s="6" t="str">
        <f ca="1">IFERROR(__xludf.DUMMYFUNCTION("""COMPUTED_VALUE"""),"PROPIOS")</f>
        <v>PROPIOS</v>
      </c>
      <c r="E394" s="6">
        <f ca="1">IFERROR(__xludf.DUMMYFUNCTION("""COMPUTED_VALUE"""),2026)</f>
        <v>2026</v>
      </c>
      <c r="F394" s="15">
        <f ca="1">IFERROR(__xludf.DUMMYFUNCTION("""COMPUTED_VALUE"""),3)</f>
        <v>3</v>
      </c>
      <c r="G394" s="6" t="str">
        <f ca="1">IFERROR(__xludf.DUMMYFUNCTION("""COMPUTED_VALUE"""),"Valencia- Cádiz")</f>
        <v>Valencia- Cádiz</v>
      </c>
      <c r="H394" s="6" t="str">
        <f ca="1">IFERROR(__xludf.DUMMYFUNCTION("""COMPUTED_VALUE"""),"C20262382716053575")</f>
        <v>C20262382716053575</v>
      </c>
      <c r="I394" s="6" t="str">
        <f ca="1">IFERROR(__xludf.DUMMYFUNCTION("""COMPUTED_VALUE"""),"AZUCENA BUJEDO MARTINEZ")</f>
        <v>AZUCENA BUJEDO MARTINEZ</v>
      </c>
      <c r="J394" s="16">
        <f ca="1">IFERROR(__xludf.DUMMYFUNCTION("""COMPUTED_VALUE"""),46056)</f>
        <v>46056</v>
      </c>
      <c r="K394" s="6" t="str">
        <f ca="1">IFERROR(__xludf.DUMMYFUNCTION("""COMPUTED_VALUE"""),"Factura audífonos")</f>
        <v>Factura audífonos</v>
      </c>
      <c r="L394" s="16">
        <f ca="1">IFERROR(__xludf.DUMMYFUNCTION("""COMPUTED_VALUE"""),46104)</f>
        <v>46104</v>
      </c>
      <c r="M394" s="23" t="str">
        <f ca="1">IFERROR(__xludf.DUMMYFUNCTION("""COMPUTED_VALUE"""),"NO")</f>
        <v>NO</v>
      </c>
      <c r="N394" s="15">
        <f ca="1">IFERROR(__xludf.DUMMYFUNCTION("""COMPUTED_VALUE"""),2)</f>
        <v>2</v>
      </c>
      <c r="O394" s="23" t="str">
        <f ca="1">IFERROR(__xludf.DUMMYFUNCTION("""COMPUTED_VALUE"""),"CONFORT")</f>
        <v>CONFORT</v>
      </c>
      <c r="P394" s="21">
        <f ca="1">IFERROR(__xludf.DUMMYFUNCTION("""COMPUTED_VALUE"""),3631.82)</f>
        <v>3631.82</v>
      </c>
      <c r="Q394" s="6" t="str">
        <f ca="1">IFERROR(__xludf.DUMMYFUNCTION("""COMPUTED_VALUE"""),"Ramon Ferrando")</f>
        <v>Ramon Ferrando</v>
      </c>
      <c r="R394" s="6" t="str">
        <f ca="1">IFERROR(__xludf.DUMMYFUNCTION("""COMPUTED_VALUE"""),"Luis Martínez Bernabeu")</f>
        <v>Luis Martínez Bernabeu</v>
      </c>
      <c r="S394" s="20" t="str">
        <f ca="1">IFERROR(__xludf.DUMMYFUNCTION("""COMPUTED_VALUE"""),"03 ORL")</f>
        <v>03 ORL</v>
      </c>
      <c r="T394" s="6" t="str">
        <f ca="1">IFERROR(__xludf.DUMMYFUNCTION("""COMPUTED_VALUE"""),"06 ORL")</f>
        <v>06 ORL</v>
      </c>
      <c r="U394" s="21"/>
      <c r="W394" s="21"/>
      <c r="X394" s="21"/>
    </row>
    <row r="395" spans="2:24" ht="16">
      <c r="B395" s="14" t="str">
        <f t="shared" ca="1" si="1"/>
        <v>MBM</v>
      </c>
      <c r="C395" s="23" t="str">
        <f ca="1">IFERROR(__xludf.DUMMYFUNCTION("""COMPUTED_VALUE"""),"MBM52")</f>
        <v>MBM52</v>
      </c>
      <c r="D395" s="6" t="str">
        <f ca="1">IFERROR(__xludf.DUMMYFUNCTION("""COMPUTED_VALUE"""),"PARTICIPADOS")</f>
        <v>PARTICIPADOS</v>
      </c>
      <c r="E395" s="6">
        <f ca="1">IFERROR(__xludf.DUMMYFUNCTION("""COMPUTED_VALUE"""),2026)</f>
        <v>2026</v>
      </c>
      <c r="F395" s="15">
        <f ca="1">IFERROR(__xludf.DUMMYFUNCTION("""COMPUTED_VALUE"""),3)</f>
        <v>3</v>
      </c>
      <c r="G395" s="6" t="str">
        <f ca="1">IFERROR(__xludf.DUMMYFUNCTION("""COMPUTED_VALUE"""),"Madrid- La Oca")</f>
        <v>Madrid- La Oca</v>
      </c>
      <c r="H395" s="6" t="str">
        <f ca="1">IFERROR(__xludf.DUMMYFUNCTION("""COMPUTED_VALUE"""),"C202411616195766")</f>
        <v>C202411616195766</v>
      </c>
      <c r="I395" s="6" t="str">
        <f ca="1">IFERROR(__xludf.DUMMYFUNCTION("""COMPUTED_VALUE"""),"MANUELA ROCES GARCIA")</f>
        <v>MANUELA ROCES GARCIA</v>
      </c>
      <c r="J395" s="16">
        <f ca="1">IFERROR(__xludf.DUMMYFUNCTION("""COMPUTED_VALUE"""),45602)</f>
        <v>45602</v>
      </c>
      <c r="K395" s="6" t="str">
        <f ca="1">IFERROR(__xludf.DUMMYFUNCTION("""COMPUTED_VALUE"""),"Factura audífonos")</f>
        <v>Factura audífonos</v>
      </c>
      <c r="L395" s="16">
        <f ca="1">IFERROR(__xludf.DUMMYFUNCTION("""COMPUTED_VALUE"""),46104)</f>
        <v>46104</v>
      </c>
      <c r="M395" s="23" t="str">
        <f ca="1">IFERROR(__xludf.DUMMYFUNCTION("""COMPUTED_VALUE"""),"SI")</f>
        <v>SI</v>
      </c>
      <c r="N395" s="15">
        <f ca="1">IFERROR(__xludf.DUMMYFUNCTION("""COMPUTED_VALUE"""),2)</f>
        <v>2</v>
      </c>
      <c r="O395" s="23" t="str">
        <f ca="1">IFERROR(__xludf.DUMMYFUNCTION("""COMPUTED_VALUE"""),"QUIET")</f>
        <v>QUIET</v>
      </c>
      <c r="P395" s="21">
        <f ca="1">IFERROR(__xludf.DUMMYFUNCTION("""COMPUTED_VALUE"""),2446.91)</f>
        <v>2446.91</v>
      </c>
      <c r="Q395" s="6" t="str">
        <f ca="1">IFERROR(__xludf.DUMMYFUNCTION("""COMPUTED_VALUE"""),"Maika Blázquez")</f>
        <v>Maika Blázquez</v>
      </c>
      <c r="R395" s="6" t="str">
        <f ca="1">IFERROR(__xludf.DUMMYFUNCTION("""COMPUTED_VALUE"""),"José Joaquín Gutiérrez Barquín")</f>
        <v>José Joaquín Gutiérrez Barquín</v>
      </c>
      <c r="S395" s="20" t="str">
        <f ca="1">IFERROR(__xludf.DUMMYFUNCTION("""COMPUTED_VALUE"""),"04 TIENDA")</f>
        <v>04 TIENDA</v>
      </c>
      <c r="T395" s="6" t="str">
        <f ca="1">IFERROR(__xludf.DUMMYFUNCTION("""COMPUTED_VALUE"""),"19 CLIENTE RECOMPRA ESPONTANEA")</f>
        <v>19 CLIENTE RECOMPRA ESPONTANEA</v>
      </c>
      <c r="U395" s="21"/>
      <c r="W395" s="21"/>
      <c r="X395" s="21"/>
    </row>
    <row r="396" spans="2:24" ht="16">
      <c r="B396" s="14" t="str">
        <f t="shared" ca="1" si="1"/>
        <v>PSC</v>
      </c>
      <c r="C396" s="23" t="str">
        <f ca="1">IFERROR(__xludf.DUMMYFUNCTION("""COMPUTED_VALUE"""),"PSC02")</f>
        <v>PSC02</v>
      </c>
      <c r="D396" s="6" t="str">
        <f ca="1">IFERROR(__xludf.DUMMYFUNCTION("""COMPUTED_VALUE"""),"ASOCIADOS")</f>
        <v>ASOCIADOS</v>
      </c>
      <c r="E396" s="6">
        <f ca="1">IFERROR(__xludf.DUMMYFUNCTION("""COMPUTED_VALUE"""),2026)</f>
        <v>2026</v>
      </c>
      <c r="F396" s="15">
        <f ca="1">IFERROR(__xludf.DUMMYFUNCTION("""COMPUTED_VALUE"""),3)</f>
        <v>3</v>
      </c>
      <c r="G396" s="6" t="str">
        <f ca="1">IFERROR(__xludf.DUMMYFUNCTION("""COMPUTED_VALUE"""),"Salamanca")</f>
        <v>Salamanca</v>
      </c>
      <c r="H396" s="6" t="str">
        <f ca="1">IFERROR(__xludf.DUMMYFUNCTION("""COMPUTED_VALUE"""),"C202625124123012239")</f>
        <v>C202625124123012239</v>
      </c>
      <c r="I396" s="6" t="str">
        <f ca="1">IFERROR(__xludf.DUMMYFUNCTION("""COMPUTED_VALUE"""),"JAVIER CASADO LEON")</f>
        <v>JAVIER CASADO LEON</v>
      </c>
      <c r="J396" s="16">
        <f ca="1">IFERROR(__xludf.DUMMYFUNCTION("""COMPUTED_VALUE"""),46058)</f>
        <v>46058</v>
      </c>
      <c r="K396" s="6" t="str">
        <f ca="1">IFERROR(__xludf.DUMMYFUNCTION("""COMPUTED_VALUE"""),"Factura audífonos")</f>
        <v>Factura audífonos</v>
      </c>
      <c r="L396" s="16">
        <f ca="1">IFERROR(__xludf.DUMMYFUNCTION("""COMPUTED_VALUE"""),46104)</f>
        <v>46104</v>
      </c>
      <c r="M396" s="23" t="str">
        <f ca="1">IFERROR(__xludf.DUMMYFUNCTION("""COMPUTED_VALUE"""),"NO")</f>
        <v>NO</v>
      </c>
      <c r="N396" s="15">
        <f ca="1">IFERROR(__xludf.DUMMYFUNCTION("""COMPUTED_VALUE"""),1)</f>
        <v>1</v>
      </c>
      <c r="O396" s="23" t="str">
        <f ca="1">IFERROR(__xludf.DUMMYFUNCTION("""COMPUTED_VALUE"""),"QUIET")</f>
        <v>QUIET</v>
      </c>
      <c r="P396" s="21">
        <f ca="1">IFERROR(__xludf.DUMMYFUNCTION("""COMPUTED_VALUE"""),1784.55)</f>
        <v>1784.55</v>
      </c>
      <c r="Q396" s="6" t="str">
        <f ca="1">IFERROR(__xludf.DUMMYFUNCTION("""COMPUTED_VALUE"""),"Alberto Moreno")</f>
        <v>Alberto Moreno</v>
      </c>
      <c r="R396" s="6" t="str">
        <f ca="1">IFERROR(__xludf.DUMMYFUNCTION("""COMPUTED_VALUE"""),"Ángel Muñoz Herrera")</f>
        <v>Ángel Muñoz Herrera</v>
      </c>
      <c r="S396" s="20" t="str">
        <f ca="1">IFERROR(__xludf.DUMMYFUNCTION("""COMPUTED_VALUE"""),"03 ORL")</f>
        <v>03 ORL</v>
      </c>
      <c r="T396" s="6" t="str">
        <f ca="1">IFERROR(__xludf.DUMMYFUNCTION("""COMPUTED_VALUE"""),"06 ORL")</f>
        <v>06 ORL</v>
      </c>
      <c r="U396" s="21"/>
      <c r="W396" s="21"/>
      <c r="X396" s="21"/>
    </row>
    <row r="397" spans="2:24" ht="16">
      <c r="B397" s="14" t="str">
        <f t="shared" ca="1" si="1"/>
        <v>ISL</v>
      </c>
      <c r="C397" s="23" t="str">
        <f ca="1">IFERROR(__xludf.DUMMYFUNCTION("""COMPUTED_VALUE"""),"ISL149")</f>
        <v>ISL149</v>
      </c>
      <c r="D397" s="6" t="str">
        <f ca="1">IFERROR(__xludf.DUMMYFUNCTION("""COMPUTED_VALUE"""),"PROPIOS")</f>
        <v>PROPIOS</v>
      </c>
      <c r="E397" s="6">
        <f ca="1">IFERROR(__xludf.DUMMYFUNCTION("""COMPUTED_VALUE"""),2026)</f>
        <v>2026</v>
      </c>
      <c r="F397" s="15">
        <f ca="1">IFERROR(__xludf.DUMMYFUNCTION("""COMPUTED_VALUE"""),3)</f>
        <v>3</v>
      </c>
      <c r="G397" s="6" t="str">
        <f ca="1">IFERROR(__xludf.DUMMYFUNCTION("""COMPUTED_VALUE"""),"San Javier")</f>
        <v>San Javier</v>
      </c>
      <c r="H397" s="6" t="str">
        <f ca="1">IFERROR(__xludf.DUMMYFUNCTION("""COMPUTED_VALUE"""),"C202621317332705391")</f>
        <v>C202621317332705391</v>
      </c>
      <c r="I397" s="6" t="str">
        <f ca="1">IFERROR(__xludf.DUMMYFUNCTION("""COMPUTED_VALUE"""),"JOSEFA GARCIA MARTINEZ")</f>
        <v>JOSEFA GARCIA MARTINEZ</v>
      </c>
      <c r="J397" s="16">
        <f ca="1">IFERROR(__xludf.DUMMYFUNCTION("""COMPUTED_VALUE"""),46066)</f>
        <v>46066</v>
      </c>
      <c r="K397" s="6" t="str">
        <f ca="1">IFERROR(__xludf.DUMMYFUNCTION("""COMPUTED_VALUE"""),"Factura audífonos")</f>
        <v>Factura audífonos</v>
      </c>
      <c r="L397" s="16">
        <f ca="1">IFERROR(__xludf.DUMMYFUNCTION("""COMPUTED_VALUE"""),46104)</f>
        <v>46104</v>
      </c>
      <c r="M397" s="23" t="str">
        <f ca="1">IFERROR(__xludf.DUMMYFUNCTION("""COMPUTED_VALUE"""),"NO")</f>
        <v>NO</v>
      </c>
      <c r="N397" s="15">
        <f ca="1">IFERROR(__xludf.DUMMYFUNCTION("""COMPUTED_VALUE"""),2)</f>
        <v>2</v>
      </c>
      <c r="O397" s="23" t="str">
        <f ca="1">IFERROR(__xludf.DUMMYFUNCTION("""COMPUTED_VALUE"""),"CONFORT")</f>
        <v>CONFORT</v>
      </c>
      <c r="P397" s="21">
        <f ca="1">IFERROR(__xludf.DUMMYFUNCTION("""COMPUTED_VALUE"""),3631.82)</f>
        <v>3631.82</v>
      </c>
      <c r="Q397" s="6" t="str">
        <f ca="1">IFERROR(__xludf.DUMMYFUNCTION("""COMPUTED_VALUE"""),"Iván Sánchez")</f>
        <v>Iván Sánchez</v>
      </c>
      <c r="R397" s="6" t="str">
        <f ca="1">IFERROR(__xludf.DUMMYFUNCTION("""COMPUTED_VALUE"""),"Ángel Onofre Pérez Coll")</f>
        <v>Ángel Onofre Pérez Coll</v>
      </c>
      <c r="S397" s="20" t="str">
        <f ca="1">IFERROR(__xludf.DUMMYFUNCTION("""COMPUTED_VALUE"""),"03 ORL")</f>
        <v>03 ORL</v>
      </c>
      <c r="T397" s="6" t="str">
        <f ca="1">IFERROR(__xludf.DUMMYFUNCTION("""COMPUTED_VALUE"""),"06 ORL")</f>
        <v>06 ORL</v>
      </c>
      <c r="U397" s="21"/>
      <c r="W397" s="21"/>
      <c r="X397" s="21"/>
    </row>
    <row r="398" spans="2:24" ht="16">
      <c r="B398" s="14" t="str">
        <f t="shared" ca="1" si="1"/>
        <v>MBM</v>
      </c>
      <c r="C398" s="23" t="str">
        <f ca="1">IFERROR(__xludf.DUMMYFUNCTION("""COMPUTED_VALUE"""),"MBM133")</f>
        <v>MBM133</v>
      </c>
      <c r="D398" s="6" t="str">
        <f ca="1">IFERROR(__xludf.DUMMYFUNCTION("""COMPUTED_VALUE"""),"PROPIOS")</f>
        <v>PROPIOS</v>
      </c>
      <c r="E398" s="6">
        <f ca="1">IFERROR(__xludf.DUMMYFUNCTION("""COMPUTED_VALUE"""),2026)</f>
        <v>2026</v>
      </c>
      <c r="F398" s="15">
        <f ca="1">IFERROR(__xludf.DUMMYFUNCTION("""COMPUTED_VALUE"""),3)</f>
        <v>3</v>
      </c>
      <c r="G398" s="6" t="str">
        <f ca="1">IFERROR(__xludf.DUMMYFUNCTION("""COMPUTED_VALUE"""),"Madrid- Moratalaz")</f>
        <v>Madrid- Moratalaz</v>
      </c>
      <c r="H398" s="6" t="str">
        <f ca="1">IFERROR(__xludf.DUMMYFUNCTION("""COMPUTED_VALUE"""),"C202621711017242970")</f>
        <v>C202621711017242970</v>
      </c>
      <c r="I398" s="6" t="str">
        <f ca="1">IFERROR(__xludf.DUMMYFUNCTION("""COMPUTED_VALUE"""),"CARLOS CORNA BUSTOS")</f>
        <v>CARLOS CORNA BUSTOS</v>
      </c>
      <c r="J398" s="16">
        <f ca="1">IFERROR(__xludf.DUMMYFUNCTION("""COMPUTED_VALUE"""),46070)</f>
        <v>46070</v>
      </c>
      <c r="K398" s="6" t="str">
        <f ca="1">IFERROR(__xludf.DUMMYFUNCTION("""COMPUTED_VALUE"""),"Factura audífonos")</f>
        <v>Factura audífonos</v>
      </c>
      <c r="L398" s="16">
        <f ca="1">IFERROR(__xludf.DUMMYFUNCTION("""COMPUTED_VALUE"""),46104)</f>
        <v>46104</v>
      </c>
      <c r="M398" s="17" t="str">
        <f ca="1">IFERROR(__xludf.DUMMYFUNCTION("""COMPUTED_VALUE"""),"NO")</f>
        <v>NO</v>
      </c>
      <c r="N398" s="15">
        <f ca="1">IFERROR(__xludf.DUMMYFUNCTION("""COMPUTED_VALUE"""),2)</f>
        <v>2</v>
      </c>
      <c r="O398" s="23" t="str">
        <f ca="1">IFERROR(__xludf.DUMMYFUNCTION("""COMPUTED_VALUE"""),"CONFORT")</f>
        <v>CONFORT</v>
      </c>
      <c r="P398" s="21">
        <f ca="1">IFERROR(__xludf.DUMMYFUNCTION("""COMPUTED_VALUE"""),3450.22)</f>
        <v>3450.22</v>
      </c>
      <c r="Q398" s="6" t="str">
        <f ca="1">IFERROR(__xludf.DUMMYFUNCTION("""COMPUTED_VALUE"""),"Maika Blázquez")</f>
        <v>Maika Blázquez</v>
      </c>
      <c r="R398" s="6" t="str">
        <f ca="1">IFERROR(__xludf.DUMMYFUNCTION("""COMPUTED_VALUE"""),"Laura Yeguas Ramírez")</f>
        <v>Laura Yeguas Ramírez</v>
      </c>
      <c r="S398" s="20" t="str">
        <f ca="1">IFERROR(__xludf.DUMMYFUNCTION("""COMPUTED_VALUE"""),"03 ORL")</f>
        <v>03 ORL</v>
      </c>
      <c r="T398" s="6" t="str">
        <f ca="1">IFERROR(__xludf.DUMMYFUNCTION("""COMPUTED_VALUE"""),"06 ORL")</f>
        <v>06 ORL</v>
      </c>
      <c r="U398" s="21"/>
      <c r="W398" s="21"/>
      <c r="X398" s="21"/>
    </row>
    <row r="399" spans="2:24" ht="16">
      <c r="B399" s="14" t="str">
        <f t="shared" si="1"/>
        <v/>
      </c>
      <c r="C399" s="23"/>
      <c r="D399" s="6" t="str">
        <f ca="1">IFERROR(__xludf.DUMMYFUNCTION("""COMPUTED_VALUE"""),"PROPIOS")</f>
        <v>PROPIOS</v>
      </c>
      <c r="E399" s="6">
        <f ca="1">IFERROR(__xludf.DUMMYFUNCTION("""COMPUTED_VALUE"""),2026)</f>
        <v>2026</v>
      </c>
      <c r="F399" s="15">
        <f ca="1">IFERROR(__xludf.DUMMYFUNCTION("""COMPUTED_VALUE"""),3)</f>
        <v>3</v>
      </c>
      <c r="G399" s="6" t="str">
        <f ca="1">IFERROR(__xludf.DUMMYFUNCTION("""COMPUTED_VALUE"""),"Logroño")</f>
        <v>Logroño</v>
      </c>
      <c r="H399" s="6" t="str">
        <f ca="1">IFERROR(__xludf.DUMMYFUNCTION("""COMPUTED_VALUE"""),"C20263910389459500")</f>
        <v>C20263910389459500</v>
      </c>
      <c r="I399" s="6" t="str">
        <f ca="1">IFERROR(__xludf.DUMMYFUNCTION("""COMPUTED_VALUE"""),"PRUDENCIO ACEVEDO MARTINEZ")</f>
        <v>PRUDENCIO ACEVEDO MARTINEZ</v>
      </c>
      <c r="J399" s="16">
        <f ca="1">IFERROR(__xludf.DUMMYFUNCTION("""COMPUTED_VALUE"""),46090)</f>
        <v>46090</v>
      </c>
      <c r="K399" s="6" t="str">
        <f ca="1">IFERROR(__xludf.DUMMYFUNCTION("""COMPUTED_VALUE"""),"Factura audífonos")</f>
        <v>Factura audífonos</v>
      </c>
      <c r="L399" s="16">
        <f ca="1">IFERROR(__xludf.DUMMYFUNCTION("""COMPUTED_VALUE"""),46104)</f>
        <v>46104</v>
      </c>
      <c r="M399" s="23" t="str">
        <f ca="1">IFERROR(__xludf.DUMMYFUNCTION("""COMPUTED_VALUE"""),"NO")</f>
        <v>NO</v>
      </c>
      <c r="N399" s="15">
        <f ca="1">IFERROR(__xludf.DUMMYFUNCTION("""COMPUTED_VALUE"""),2)</f>
        <v>2</v>
      </c>
      <c r="O399" s="23" t="str">
        <f ca="1">IFERROR(__xludf.DUMMYFUNCTION("""COMPUTED_VALUE"""),"CONFORT")</f>
        <v>CONFORT</v>
      </c>
      <c r="P399" s="21">
        <f ca="1">IFERROR(__xludf.DUMMYFUNCTION("""COMPUTED_VALUE"""),3631.82)</f>
        <v>3631.82</v>
      </c>
      <c r="Q399" s="6" t="str">
        <f ca="1">IFERROR(__xludf.DUMMYFUNCTION("""COMPUTED_VALUE"""),"Lisandro Russian")</f>
        <v>Lisandro Russian</v>
      </c>
      <c r="R399" s="6" t="str">
        <f ca="1">IFERROR(__xludf.DUMMYFUNCTION("""COMPUTED_VALUE"""),"No recuerda ORL")</f>
        <v>No recuerda ORL</v>
      </c>
      <c r="S399" s="20" t="str">
        <f ca="1">IFERROR(__xludf.DUMMYFUNCTION("""COMPUTED_VALUE"""),"03 ORL")</f>
        <v>03 ORL</v>
      </c>
      <c r="T399" s="6" t="str">
        <f ca="1">IFERROR(__xludf.DUMMYFUNCTION("""COMPUTED_VALUE"""),"06 ORL")</f>
        <v>06 ORL</v>
      </c>
      <c r="U399" s="21"/>
      <c r="W399" s="21"/>
      <c r="X399" s="21"/>
    </row>
    <row r="400" spans="2:24" ht="16">
      <c r="B400" s="14" t="str">
        <f t="shared" ca="1" si="1"/>
        <v>PSC</v>
      </c>
      <c r="C400" s="23" t="str">
        <f ca="1">IFERROR(__xludf.DUMMYFUNCTION("""COMPUTED_VALUE"""),"PSC30")</f>
        <v>PSC30</v>
      </c>
      <c r="D400" s="6" t="str">
        <f ca="1">IFERROR(__xludf.DUMMYFUNCTION("""COMPUTED_VALUE"""),"ASOCIADOS")</f>
        <v>ASOCIADOS</v>
      </c>
      <c r="E400" s="6">
        <f ca="1">IFERROR(__xludf.DUMMYFUNCTION("""COMPUTED_VALUE"""),2026)</f>
        <v>2026</v>
      </c>
      <c r="F400" s="15">
        <f ca="1">IFERROR(__xludf.DUMMYFUNCTION("""COMPUTED_VALUE"""),3)</f>
        <v>3</v>
      </c>
      <c r="G400" s="6" t="str">
        <f ca="1">IFERROR(__xludf.DUMMYFUNCTION("""COMPUTED_VALUE"""),"León")</f>
        <v>León</v>
      </c>
      <c r="H400" s="6" t="str">
        <f ca="1">IFERROR(__xludf.DUMMYFUNCTION("""COMPUTED_VALUE"""),"C202631217351288577")</f>
        <v>C202631217351288577</v>
      </c>
      <c r="I400" s="6" t="str">
        <f ca="1">IFERROR(__xludf.DUMMYFUNCTION("""COMPUTED_VALUE"""),"CELESTINA FERNANDEZ FERNANDEZ")</f>
        <v>CELESTINA FERNANDEZ FERNANDEZ</v>
      </c>
      <c r="J400" s="16">
        <f ca="1">IFERROR(__xludf.DUMMYFUNCTION("""COMPUTED_VALUE"""),46093)</f>
        <v>46093</v>
      </c>
      <c r="K400" s="6" t="str">
        <f ca="1">IFERROR(__xludf.DUMMYFUNCTION("""COMPUTED_VALUE"""),"Factura audífonos")</f>
        <v>Factura audífonos</v>
      </c>
      <c r="L400" s="16">
        <f ca="1">IFERROR(__xludf.DUMMYFUNCTION("""COMPUTED_VALUE"""),46104)</f>
        <v>46104</v>
      </c>
      <c r="M400" s="23" t="str">
        <f ca="1">IFERROR(__xludf.DUMMYFUNCTION("""COMPUTED_VALUE"""),"NO")</f>
        <v>NO</v>
      </c>
      <c r="N400" s="15">
        <f ca="1">IFERROR(__xludf.DUMMYFUNCTION("""COMPUTED_VALUE"""),2)</f>
        <v>2</v>
      </c>
      <c r="O400" s="23" t="str">
        <f ca="1">IFERROR(__xludf.DUMMYFUNCTION("""COMPUTED_VALUE"""),"INTERTON")</f>
        <v>INTERTON</v>
      </c>
      <c r="P400" s="21">
        <f ca="1">IFERROR(__xludf.DUMMYFUNCTION("""COMPUTED_VALUE"""),1909.09)</f>
        <v>1909.09</v>
      </c>
      <c r="Q400" s="6" t="str">
        <f ca="1">IFERROR(__xludf.DUMMYFUNCTION("""COMPUTED_VALUE"""),"Alberto Moreno")</f>
        <v>Alberto Moreno</v>
      </c>
      <c r="R400" s="6" t="str">
        <f ca="1">IFERROR(__xludf.DUMMYFUNCTION("""COMPUTED_VALUE"""),"Rafael Pérez González")</f>
        <v>Rafael Pérez González</v>
      </c>
      <c r="S400" s="20" t="str">
        <f ca="1">IFERROR(__xludf.DUMMYFUNCTION("""COMPUTED_VALUE"""),"03 ORL")</f>
        <v>03 ORL</v>
      </c>
      <c r="T400" s="6" t="str">
        <f ca="1">IFERROR(__xludf.DUMMYFUNCTION("""COMPUTED_VALUE"""),"06 ORL")</f>
        <v>06 ORL</v>
      </c>
      <c r="U400" s="21"/>
      <c r="W400" s="21"/>
      <c r="X400" s="21"/>
    </row>
    <row r="401" spans="2:24" ht="16">
      <c r="B401" s="14" t="str">
        <f t="shared" ca="1" si="1"/>
        <v>#N/</v>
      </c>
      <c r="C401" s="23" t="str">
        <f ca="1">IFERROR(__xludf.DUMMYFUNCTION("""COMPUTED_VALUE"""),"#N/A")</f>
        <v>#N/A</v>
      </c>
      <c r="D401" s="6" t="str">
        <f ca="1">IFERROR(__xludf.DUMMYFUNCTION("""COMPUTED_VALUE"""),"PROPIOS")</f>
        <v>PROPIOS</v>
      </c>
      <c r="E401" s="6">
        <f ca="1">IFERROR(__xludf.DUMMYFUNCTION("""COMPUTED_VALUE"""),2026)</f>
        <v>2026</v>
      </c>
      <c r="F401" s="15">
        <f ca="1">IFERROR(__xludf.DUMMYFUNCTION("""COMPUTED_VALUE"""),3)</f>
        <v>3</v>
      </c>
      <c r="G401" s="6" t="str">
        <f ca="1">IFERROR(__xludf.DUMMYFUNCTION("""COMPUTED_VALUE"""),"Jerez de la Frontera")</f>
        <v>Jerez de la Frontera</v>
      </c>
      <c r="H401" s="6" t="str">
        <f ca="1">IFERROR(__xludf.DUMMYFUNCTION("""COMPUTED_VALUE"""),"C202634164844964727")</f>
        <v>C202634164844964727</v>
      </c>
      <c r="I401" s="6" t="str">
        <f ca="1">IFERROR(__xludf.DUMMYFUNCTION("""COMPUTED_VALUE"""),"BELEN DE LA CUADRA GUERRERO")</f>
        <v>BELEN DE LA CUADRA GUERRERO</v>
      </c>
      <c r="J401" s="16">
        <f ca="1">IFERROR(__xludf.DUMMYFUNCTION("""COMPUTED_VALUE"""),46085)</f>
        <v>46085</v>
      </c>
      <c r="K401" s="6" t="str">
        <f ca="1">IFERROR(__xludf.DUMMYFUNCTION("""COMPUTED_VALUE"""),"Factura audífonos")</f>
        <v>Factura audífonos</v>
      </c>
      <c r="L401" s="16">
        <f ca="1">IFERROR(__xludf.DUMMYFUNCTION("""COMPUTED_VALUE"""),46105)</f>
        <v>46105</v>
      </c>
      <c r="M401" s="23" t="str">
        <f ca="1">IFERROR(__xludf.DUMMYFUNCTION("""COMPUTED_VALUE"""),"NO")</f>
        <v>NO</v>
      </c>
      <c r="N401" s="15">
        <f ca="1">IFERROR(__xludf.DUMMYFUNCTION("""COMPUTED_VALUE"""),1)</f>
        <v>1</v>
      </c>
      <c r="O401" s="23" t="str">
        <f ca="1">IFERROR(__xludf.DUMMYFUNCTION("""COMPUTED_VALUE"""),"PRO")</f>
        <v>PRO</v>
      </c>
      <c r="P401" s="21">
        <f ca="1">IFERROR(__xludf.DUMMYFUNCTION("""COMPUTED_VALUE"""),2722.73)</f>
        <v>2722.73</v>
      </c>
      <c r="Q401" s="6" t="str">
        <f ca="1">IFERROR(__xludf.DUMMYFUNCTION("""COMPUTED_VALUE"""),"Luis Alberto Rodríguez")</f>
        <v>Luis Alberto Rodríguez</v>
      </c>
      <c r="R401" s="6" t="str">
        <f ca="1">IFERROR(__xludf.DUMMYFUNCTION("""COMPUTED_VALUE"""),"Miguel García Teno")</f>
        <v>Miguel García Teno</v>
      </c>
      <c r="S401" s="20" t="str">
        <f ca="1">IFERROR(__xludf.DUMMYFUNCTION("""COMPUTED_VALUE"""),"03 ORL")</f>
        <v>03 ORL</v>
      </c>
      <c r="T401" s="6" t="str">
        <f ca="1">IFERROR(__xludf.DUMMYFUNCTION("""COMPUTED_VALUE"""),"06 ORL")</f>
        <v>06 ORL</v>
      </c>
      <c r="U401" s="21"/>
      <c r="W401" s="21"/>
      <c r="X401" s="21"/>
    </row>
    <row r="402" spans="2:24" ht="16">
      <c r="B402" s="14" t="str">
        <f t="shared" si="1"/>
        <v/>
      </c>
      <c r="C402" s="23"/>
      <c r="D402" s="6" t="str">
        <f ca="1">IFERROR(__xludf.DUMMYFUNCTION("""COMPUTED_VALUE"""),"PROPIOS")</f>
        <v>PROPIOS</v>
      </c>
      <c r="E402" s="6">
        <f ca="1">IFERROR(__xludf.DUMMYFUNCTION("""COMPUTED_VALUE"""),2026)</f>
        <v>2026</v>
      </c>
      <c r="F402" s="15">
        <f ca="1">IFERROR(__xludf.DUMMYFUNCTION("""COMPUTED_VALUE"""),3)</f>
        <v>3</v>
      </c>
      <c r="G402" s="6" t="str">
        <f ca="1">IFERROR(__xludf.DUMMYFUNCTION("""COMPUTED_VALUE"""),"Murcia")</f>
        <v>Murcia</v>
      </c>
      <c r="H402" s="6" t="str">
        <f ca="1">IFERROR(__xludf.DUMMYFUNCTION("""COMPUTED_VALUE"""),"C20261591023671225")</f>
        <v>C20261591023671225</v>
      </c>
      <c r="I402" s="6" t="str">
        <f ca="1">IFERROR(__xludf.DUMMYFUNCTION("""COMPUTED_VALUE"""),"MATILDE MARTINEZ LOPEZ")</f>
        <v>MATILDE MARTINEZ LOPEZ</v>
      </c>
      <c r="J402" s="16">
        <f ca="1">IFERROR(__xludf.DUMMYFUNCTION("""COMPUTED_VALUE"""),46027)</f>
        <v>46027</v>
      </c>
      <c r="K402" s="6" t="str">
        <f ca="1">IFERROR(__xludf.DUMMYFUNCTION("""COMPUTED_VALUE"""),"Factura audífonos")</f>
        <v>Factura audífonos</v>
      </c>
      <c r="L402" s="16">
        <f ca="1">IFERROR(__xludf.DUMMYFUNCTION("""COMPUTED_VALUE"""),46105)</f>
        <v>46105</v>
      </c>
      <c r="M402" s="23" t="str">
        <f ca="1">IFERROR(__xludf.DUMMYFUNCTION("""COMPUTED_VALUE"""),"NO")</f>
        <v>NO</v>
      </c>
      <c r="N402" s="15">
        <f ca="1">IFERROR(__xludf.DUMMYFUNCTION("""COMPUTED_VALUE"""),1)</f>
        <v>1</v>
      </c>
      <c r="O402" s="23" t="str">
        <f ca="1">IFERROR(__xludf.DUMMYFUNCTION("""COMPUTED_VALUE"""),"CONFORT")</f>
        <v>CONFORT</v>
      </c>
      <c r="P402" s="21">
        <f ca="1">IFERROR(__xludf.DUMMYFUNCTION("""COMPUTED_VALUE"""),2180.91)</f>
        <v>2180.91</v>
      </c>
      <c r="Q402" s="6" t="str">
        <f ca="1">IFERROR(__xludf.DUMMYFUNCTION("""COMPUTED_VALUE"""),"Iván Sánchez")</f>
        <v>Iván Sánchez</v>
      </c>
      <c r="R402" s="6" t="str">
        <f ca="1">IFERROR(__xludf.DUMMYFUNCTION("""COMPUTED_VALUE"""),"No recuerda ORL")</f>
        <v>No recuerda ORL</v>
      </c>
      <c r="S402" s="20" t="str">
        <f ca="1">IFERROR(__xludf.DUMMYFUNCTION("""COMPUTED_VALUE"""),"04 TIENDA")</f>
        <v>04 TIENDA</v>
      </c>
      <c r="T402" s="6" t="str">
        <f ca="1">IFERROR(__xludf.DUMMYFUNCTION("""COMPUTED_VALUE"""),"07 BOCA/BOCA")</f>
        <v>07 BOCA/BOCA</v>
      </c>
      <c r="U402" s="21"/>
      <c r="W402" s="21"/>
      <c r="X402" s="21"/>
    </row>
    <row r="403" spans="2:24" ht="16">
      <c r="B403" s="14" t="str">
        <f t="shared" ca="1" si="1"/>
        <v>ISL</v>
      </c>
      <c r="C403" s="23" t="str">
        <f ca="1">IFERROR(__xludf.DUMMYFUNCTION("""COMPUTED_VALUE"""),"ISL24")</f>
        <v>ISL24</v>
      </c>
      <c r="D403" s="6" t="str">
        <f ca="1">IFERROR(__xludf.DUMMYFUNCTION("""COMPUTED_VALUE"""),"PROPIOS")</f>
        <v>PROPIOS</v>
      </c>
      <c r="E403" s="6">
        <f ca="1">IFERROR(__xludf.DUMMYFUNCTION("""COMPUTED_VALUE"""),2026)</f>
        <v>2026</v>
      </c>
      <c r="F403" s="15">
        <f ca="1">IFERROR(__xludf.DUMMYFUNCTION("""COMPUTED_VALUE"""),3)</f>
        <v>3</v>
      </c>
      <c r="G403" s="6" t="str">
        <f ca="1">IFERROR(__xludf.DUMMYFUNCTION("""COMPUTED_VALUE"""),"Murcia")</f>
        <v>Murcia</v>
      </c>
      <c r="H403" s="6" t="str">
        <f ca="1">IFERROR(__xludf.DUMMYFUNCTION("""COMPUTED_VALUE"""),"C202621612391370804")</f>
        <v>C202621612391370804</v>
      </c>
      <c r="I403" s="6" t="str">
        <f ca="1">IFERROR(__xludf.DUMMYFUNCTION("""COMPUTED_VALUE"""),"MARIA DEL PILAR ALEMAN VERA")</f>
        <v>MARIA DEL PILAR ALEMAN VERA</v>
      </c>
      <c r="J403" s="16">
        <f ca="1">IFERROR(__xludf.DUMMYFUNCTION("""COMPUTED_VALUE"""),46069)</f>
        <v>46069</v>
      </c>
      <c r="K403" s="6" t="str">
        <f ca="1">IFERROR(__xludf.DUMMYFUNCTION("""COMPUTED_VALUE"""),"Factura audífonos")</f>
        <v>Factura audífonos</v>
      </c>
      <c r="L403" s="16">
        <f ca="1">IFERROR(__xludf.DUMMYFUNCTION("""COMPUTED_VALUE"""),46105)</f>
        <v>46105</v>
      </c>
      <c r="M403" s="23" t="str">
        <f ca="1">IFERROR(__xludf.DUMMYFUNCTION("""COMPUTED_VALUE"""),"NO")</f>
        <v>NO</v>
      </c>
      <c r="N403" s="15">
        <f ca="1">IFERROR(__xludf.DUMMYFUNCTION("""COMPUTED_VALUE"""),2)</f>
        <v>2</v>
      </c>
      <c r="O403" s="23" t="str">
        <f ca="1">IFERROR(__xludf.DUMMYFUNCTION("""COMPUTED_VALUE"""),"QUIET")</f>
        <v>QUIET</v>
      </c>
      <c r="P403" s="21">
        <f ca="1">IFERROR(__xludf.DUMMYFUNCTION("""COMPUTED_VALUE"""),2718.18)</f>
        <v>2718.18</v>
      </c>
      <c r="Q403" s="6" t="str">
        <f ca="1">IFERROR(__xludf.DUMMYFUNCTION("""COMPUTED_VALUE"""),"Iván Sánchez")</f>
        <v>Iván Sánchez</v>
      </c>
      <c r="R403" s="6" t="str">
        <f ca="1">IFERROR(__xludf.DUMMYFUNCTION("""COMPUTED_VALUE"""),"Enrique López Meseguer")</f>
        <v>Enrique López Meseguer</v>
      </c>
      <c r="S403" s="20" t="str">
        <f ca="1">IFERROR(__xludf.DUMMYFUNCTION("""COMPUTED_VALUE"""),"03 ORL")</f>
        <v>03 ORL</v>
      </c>
      <c r="T403" s="6" t="str">
        <f ca="1">IFERROR(__xludf.DUMMYFUNCTION("""COMPUTED_VALUE"""),"06 ORL")</f>
        <v>06 ORL</v>
      </c>
      <c r="U403" s="21"/>
      <c r="W403" s="21"/>
      <c r="X403" s="21"/>
    </row>
    <row r="404" spans="2:24" ht="16">
      <c r="B404" s="14" t="str">
        <f t="shared" ca="1" si="1"/>
        <v>RFV</v>
      </c>
      <c r="C404" s="23" t="str">
        <f ca="1">IFERROR(__xludf.DUMMYFUNCTION("""COMPUTED_VALUE"""),"RFV15")</f>
        <v>RFV15</v>
      </c>
      <c r="D404" s="6" t="str">
        <f ca="1">IFERROR(__xludf.DUMMYFUNCTION("""COMPUTED_VALUE"""),"PROPIOS")</f>
        <v>PROPIOS</v>
      </c>
      <c r="E404" s="6">
        <f ca="1">IFERROR(__xludf.DUMMYFUNCTION("""COMPUTED_VALUE"""),2026)</f>
        <v>2026</v>
      </c>
      <c r="F404" s="15">
        <f ca="1">IFERROR(__xludf.DUMMYFUNCTION("""COMPUTED_VALUE"""),3)</f>
        <v>3</v>
      </c>
      <c r="G404" s="6" t="str">
        <f ca="1">IFERROR(__xludf.DUMMYFUNCTION("""COMPUTED_VALUE"""),"Valencia- Cádiz")</f>
        <v>Valencia- Cádiz</v>
      </c>
      <c r="H404" s="6" t="str">
        <f ca="1">IFERROR(__xludf.DUMMYFUNCTION("""COMPUTED_VALUE"""),"C202623123339316530")</f>
        <v>C202623123339316530</v>
      </c>
      <c r="I404" s="6" t="str">
        <f ca="1">IFERROR(__xludf.DUMMYFUNCTION("""COMPUTED_VALUE"""),"IDALINA MUNNO")</f>
        <v>IDALINA MUNNO</v>
      </c>
      <c r="J404" s="16">
        <f ca="1">IFERROR(__xludf.DUMMYFUNCTION("""COMPUTED_VALUE"""),46056)</f>
        <v>46056</v>
      </c>
      <c r="K404" s="6" t="str">
        <f ca="1">IFERROR(__xludf.DUMMYFUNCTION("""COMPUTED_VALUE"""),"Factura audífonos")</f>
        <v>Factura audífonos</v>
      </c>
      <c r="L404" s="16">
        <f ca="1">IFERROR(__xludf.DUMMYFUNCTION("""COMPUTED_VALUE"""),46105)</f>
        <v>46105</v>
      </c>
      <c r="M404" s="23" t="str">
        <f ca="1">IFERROR(__xludf.DUMMYFUNCTION("""COMPUTED_VALUE"""),"NO")</f>
        <v>NO</v>
      </c>
      <c r="N404" s="15">
        <f ca="1">IFERROR(__xludf.DUMMYFUNCTION("""COMPUTED_VALUE"""),1)</f>
        <v>1</v>
      </c>
      <c r="O404" s="23" t="str">
        <f ca="1">IFERROR(__xludf.DUMMYFUNCTION("""COMPUTED_VALUE"""),"QUIET")</f>
        <v>QUIET</v>
      </c>
      <c r="P404" s="21">
        <f ca="1">IFERROR(__xludf.DUMMYFUNCTION("""COMPUTED_VALUE"""),1631.82)</f>
        <v>1631.82</v>
      </c>
      <c r="Q404" s="6" t="str">
        <f ca="1">IFERROR(__xludf.DUMMYFUNCTION("""COMPUTED_VALUE"""),"Ramon Ferrando")</f>
        <v>Ramon Ferrando</v>
      </c>
      <c r="R404" s="6" t="str">
        <f ca="1">IFERROR(__xludf.DUMMYFUNCTION("""COMPUTED_VALUE"""),"Jean Franco Intraprendente Martini")</f>
        <v>Jean Franco Intraprendente Martini</v>
      </c>
      <c r="S404" s="20" t="str">
        <f ca="1">IFERROR(__xludf.DUMMYFUNCTION("""COMPUTED_VALUE"""),"03 ORL")</f>
        <v>03 ORL</v>
      </c>
      <c r="T404" s="6" t="str">
        <f ca="1">IFERROR(__xludf.DUMMYFUNCTION("""COMPUTED_VALUE"""),"06 ORL")</f>
        <v>06 ORL</v>
      </c>
      <c r="U404" s="21"/>
      <c r="W404" s="21"/>
      <c r="X404" s="21"/>
    </row>
    <row r="405" spans="2:24" ht="16">
      <c r="B405" s="14" t="str">
        <f t="shared" ca="1" si="1"/>
        <v>LRM</v>
      </c>
      <c r="C405" s="23" t="str">
        <f ca="1">IFERROR(__xludf.DUMMYFUNCTION("""COMPUTED_VALUE"""),"LRM113")</f>
        <v>LRM113</v>
      </c>
      <c r="D405" s="6" t="str">
        <f ca="1">IFERROR(__xludf.DUMMYFUNCTION("""COMPUTED_VALUE"""),"ASOCIADOS")</f>
        <v>ASOCIADOS</v>
      </c>
      <c r="E405" s="6">
        <f ca="1">IFERROR(__xludf.DUMMYFUNCTION("""COMPUTED_VALUE"""),2026)</f>
        <v>2026</v>
      </c>
      <c r="F405" s="15">
        <f ca="1">IFERROR(__xludf.DUMMYFUNCTION("""COMPUTED_VALUE"""),3)</f>
        <v>3</v>
      </c>
      <c r="G405" s="6" t="str">
        <f ca="1">IFERROR(__xludf.DUMMYFUNCTION("""COMPUTED_VALUE"""),"Cáceres")</f>
        <v>Cáceres</v>
      </c>
      <c r="H405" s="6" t="str">
        <f ca="1">IFERROR(__xludf.DUMMYFUNCTION("""COMPUTED_VALUE"""),"C202622418504788966")</f>
        <v>C202622418504788966</v>
      </c>
      <c r="I405" s="6" t="str">
        <f ca="1">IFERROR(__xludf.DUMMYFUNCTION("""COMPUTED_VALUE"""),"JUAN JOSE RICO BORREGUERO")</f>
        <v>JUAN JOSE RICO BORREGUERO</v>
      </c>
      <c r="J405" s="16">
        <f ca="1">IFERROR(__xludf.DUMMYFUNCTION("""COMPUTED_VALUE"""),46077)</f>
        <v>46077</v>
      </c>
      <c r="K405" s="6" t="str">
        <f ca="1">IFERROR(__xludf.DUMMYFUNCTION("""COMPUTED_VALUE"""),"Factura audífonos")</f>
        <v>Factura audífonos</v>
      </c>
      <c r="L405" s="16">
        <f ca="1">IFERROR(__xludf.DUMMYFUNCTION("""COMPUTED_VALUE"""),46105)</f>
        <v>46105</v>
      </c>
      <c r="M405" s="23" t="str">
        <f ca="1">IFERROR(__xludf.DUMMYFUNCTION("""COMPUTED_VALUE"""),"NO")</f>
        <v>NO</v>
      </c>
      <c r="N405" s="15">
        <f ca="1">IFERROR(__xludf.DUMMYFUNCTION("""COMPUTED_VALUE"""),2)</f>
        <v>2</v>
      </c>
      <c r="O405" s="23" t="str">
        <f ca="1">IFERROR(__xludf.DUMMYFUNCTION("""COMPUTED_VALUE"""),"CONFORT")</f>
        <v>CONFORT</v>
      </c>
      <c r="P405" s="21">
        <f ca="1">IFERROR(__xludf.DUMMYFUNCTION("""COMPUTED_VALUE"""),3678.18)</f>
        <v>3678.18</v>
      </c>
      <c r="Q405" s="6" t="str">
        <f ca="1">IFERROR(__xludf.DUMMYFUNCTION("""COMPUTED_VALUE"""),"Lisandro Russian")</f>
        <v>Lisandro Russian</v>
      </c>
      <c r="R405" s="6" t="str">
        <f ca="1">IFERROR(__xludf.DUMMYFUNCTION("""COMPUTED_VALUE"""),"Raed Maqued El Maqued")</f>
        <v>Raed Maqued El Maqued</v>
      </c>
      <c r="S405" s="20" t="str">
        <f ca="1">IFERROR(__xludf.DUMMYFUNCTION("""COMPUTED_VALUE"""),"03 ORL")</f>
        <v>03 ORL</v>
      </c>
      <c r="T405" s="6" t="str">
        <f ca="1">IFERROR(__xludf.DUMMYFUNCTION("""COMPUTED_VALUE"""),"06 ORL")</f>
        <v>06 ORL</v>
      </c>
      <c r="U405" s="21"/>
      <c r="W405" s="21"/>
      <c r="X405" s="21"/>
    </row>
    <row r="406" spans="2:24" ht="16">
      <c r="B406" s="14" t="str">
        <f t="shared" ca="1" si="1"/>
        <v>RFV</v>
      </c>
      <c r="C406" s="23" t="str">
        <f ca="1">IFERROR(__xludf.DUMMYFUNCTION("""COMPUTED_VALUE"""),"RFV16")</f>
        <v>RFV16</v>
      </c>
      <c r="D406" s="6" t="str">
        <f ca="1">IFERROR(__xludf.DUMMYFUNCTION("""COMPUTED_VALUE"""),"PROPIOS")</f>
        <v>PROPIOS</v>
      </c>
      <c r="E406" s="6">
        <f ca="1">IFERROR(__xludf.DUMMYFUNCTION("""COMPUTED_VALUE"""),2026)</f>
        <v>2026</v>
      </c>
      <c r="F406" s="15">
        <f ca="1">IFERROR(__xludf.DUMMYFUNCTION("""COMPUTED_VALUE"""),3)</f>
        <v>3</v>
      </c>
      <c r="G406" s="6" t="str">
        <f ca="1">IFERROR(__xludf.DUMMYFUNCTION("""COMPUTED_VALUE"""),"Valencia- Parra")</f>
        <v>Valencia- Parra</v>
      </c>
      <c r="H406" s="6" t="str">
        <f ca="1">IFERROR(__xludf.DUMMYFUNCTION("""COMPUTED_VALUE"""),"C202621011591130907")</f>
        <v>C202621011591130907</v>
      </c>
      <c r="I406" s="6" t="str">
        <f ca="1">IFERROR(__xludf.DUMMYFUNCTION("""COMPUTED_VALUE"""),"VICTOR PUENTES FENOLLOSA")</f>
        <v>VICTOR PUENTES FENOLLOSA</v>
      </c>
      <c r="J406" s="16">
        <f ca="1">IFERROR(__xludf.DUMMYFUNCTION("""COMPUTED_VALUE"""),46063)</f>
        <v>46063</v>
      </c>
      <c r="K406" s="6" t="str">
        <f ca="1">IFERROR(__xludf.DUMMYFUNCTION("""COMPUTED_VALUE"""),"Factura audífonos")</f>
        <v>Factura audífonos</v>
      </c>
      <c r="L406" s="16">
        <f ca="1">IFERROR(__xludf.DUMMYFUNCTION("""COMPUTED_VALUE"""),46105)</f>
        <v>46105</v>
      </c>
      <c r="M406" s="23" t="str">
        <f ca="1">IFERROR(__xludf.DUMMYFUNCTION("""COMPUTED_VALUE"""),"NO")</f>
        <v>NO</v>
      </c>
      <c r="N406" s="15">
        <f ca="1">IFERROR(__xludf.DUMMYFUNCTION("""COMPUTED_VALUE"""),2)</f>
        <v>2</v>
      </c>
      <c r="O406" s="23" t="str">
        <f ca="1">IFERROR(__xludf.DUMMYFUNCTION("""COMPUTED_VALUE"""),"QUIET")</f>
        <v>QUIET</v>
      </c>
      <c r="P406" s="21">
        <f ca="1">IFERROR(__xludf.DUMMYFUNCTION("""COMPUTED_VALUE"""),2718.18)</f>
        <v>2718.18</v>
      </c>
      <c r="Q406" s="6" t="str">
        <f ca="1">IFERROR(__xludf.DUMMYFUNCTION("""COMPUTED_VALUE"""),"Ramon Ferrando")</f>
        <v>Ramon Ferrando</v>
      </c>
      <c r="R406" s="6" t="str">
        <f ca="1">IFERROR(__xludf.DUMMYFUNCTION("""COMPUTED_VALUE"""),"José Manuel Tamarit Conejeros")</f>
        <v>José Manuel Tamarit Conejeros</v>
      </c>
      <c r="S406" s="20" t="str">
        <f ca="1">IFERROR(__xludf.DUMMYFUNCTION("""COMPUTED_VALUE"""),"03 ORL")</f>
        <v>03 ORL</v>
      </c>
      <c r="T406" s="6" t="str">
        <f ca="1">IFERROR(__xludf.DUMMYFUNCTION("""COMPUTED_VALUE"""),"06 ORL")</f>
        <v>06 ORL</v>
      </c>
      <c r="U406" s="21"/>
      <c r="W406" s="21"/>
      <c r="X406" s="21"/>
    </row>
    <row r="407" spans="2:24" ht="16">
      <c r="B407" s="14" t="str">
        <f t="shared" si="1"/>
        <v/>
      </c>
      <c r="C407" s="23"/>
      <c r="D407" s="6" t="str">
        <f ca="1">IFERROR(__xludf.DUMMYFUNCTION("""COMPUTED_VALUE"""),"PROPIOS")</f>
        <v>PROPIOS</v>
      </c>
      <c r="E407" s="6">
        <f ca="1">IFERROR(__xludf.DUMMYFUNCTION("""COMPUTED_VALUE"""),2026)</f>
        <v>2026</v>
      </c>
      <c r="F407" s="15">
        <f ca="1">IFERROR(__xludf.DUMMYFUNCTION("""COMPUTED_VALUE"""),3)</f>
        <v>3</v>
      </c>
      <c r="G407" s="6" t="str">
        <f ca="1">IFERROR(__xludf.DUMMYFUNCTION("""COMPUTED_VALUE"""),"Madrid- Juan Bravo")</f>
        <v>Madrid- Juan Bravo</v>
      </c>
      <c r="H407" s="6" t="str">
        <f ca="1">IFERROR(__xludf.DUMMYFUNCTION("""COMPUTED_VALUE"""),"C202617182211952993")</f>
        <v>C202617182211952993</v>
      </c>
      <c r="I407" s="6" t="str">
        <f ca="1">IFERROR(__xludf.DUMMYFUNCTION("""COMPUTED_VALUE"""),"LUCIA RUIZ HORCHE")</f>
        <v>LUCIA RUIZ HORCHE</v>
      </c>
      <c r="J407" s="16">
        <f ca="1">IFERROR(__xludf.DUMMYFUNCTION("""COMPUTED_VALUE"""),46029)</f>
        <v>46029</v>
      </c>
      <c r="K407" s="6" t="str">
        <f ca="1">IFERROR(__xludf.DUMMYFUNCTION("""COMPUTED_VALUE"""),"Factura audífonos")</f>
        <v>Factura audífonos</v>
      </c>
      <c r="L407" s="16">
        <f ca="1">IFERROR(__xludf.DUMMYFUNCTION("""COMPUTED_VALUE"""),46105)</f>
        <v>46105</v>
      </c>
      <c r="M407" s="23" t="str">
        <f ca="1">IFERROR(__xludf.DUMMYFUNCTION("""COMPUTED_VALUE"""),"NO")</f>
        <v>NO</v>
      </c>
      <c r="N407" s="15">
        <f ca="1">IFERROR(__xludf.DUMMYFUNCTION("""COMPUTED_VALUE"""),2)</f>
        <v>2</v>
      </c>
      <c r="O407" s="23" t="str">
        <f ca="1">IFERROR(__xludf.DUMMYFUNCTION("""COMPUTED_VALUE"""),"CONFORT")</f>
        <v>CONFORT</v>
      </c>
      <c r="P407" s="21">
        <f ca="1">IFERROR(__xludf.DUMMYFUNCTION("""COMPUTED_VALUE"""),3945.95)</f>
        <v>3945.95</v>
      </c>
      <c r="Q407" s="6" t="str">
        <f ca="1">IFERROR(__xludf.DUMMYFUNCTION("""COMPUTED_VALUE"""),"Maika Blázquez")</f>
        <v>Maika Blázquez</v>
      </c>
      <c r="R407" s="6" t="str">
        <f ca="1">IFERROR(__xludf.DUMMYFUNCTION("""COMPUTED_VALUE"""),"No recuerda ORL")</f>
        <v>No recuerda ORL</v>
      </c>
      <c r="S407" s="20" t="str">
        <f ca="1">IFERROR(__xludf.DUMMYFUNCTION("""COMPUTED_VALUE"""),"03 ORL")</f>
        <v>03 ORL</v>
      </c>
      <c r="T407" s="6" t="str">
        <f ca="1">IFERROR(__xludf.DUMMYFUNCTION("""COMPUTED_VALUE"""),"06 ORL")</f>
        <v>06 ORL</v>
      </c>
      <c r="U407" s="21"/>
      <c r="W407" s="21"/>
      <c r="X407" s="21"/>
    </row>
    <row r="408" spans="2:24" ht="16">
      <c r="B408" s="14" t="str">
        <f t="shared" ca="1" si="1"/>
        <v>LAA</v>
      </c>
      <c r="C408" s="23" t="str">
        <f ca="1">IFERROR(__xludf.DUMMYFUNCTION("""COMPUTED_VALUE"""),"LAA08")</f>
        <v>LAA08</v>
      </c>
      <c r="D408" s="6" t="str">
        <f ca="1">IFERROR(__xludf.DUMMYFUNCTION("""COMPUTED_VALUE"""),"PROPIOS")</f>
        <v>PROPIOS</v>
      </c>
      <c r="E408" s="6">
        <f ca="1">IFERROR(__xludf.DUMMYFUNCTION("""COMPUTED_VALUE"""),2026)</f>
        <v>2026</v>
      </c>
      <c r="F408" s="15">
        <f ca="1">IFERROR(__xludf.DUMMYFUNCTION("""COMPUTED_VALUE"""),3)</f>
        <v>3</v>
      </c>
      <c r="G408" s="6" t="str">
        <f ca="1">IFERROR(__xludf.DUMMYFUNCTION("""COMPUTED_VALUE"""),"Sevilla- Montoto")</f>
        <v>Sevilla- Montoto</v>
      </c>
      <c r="H408" s="6" t="str">
        <f ca="1">IFERROR(__xludf.DUMMYFUNCTION("""COMPUTED_VALUE"""),"C202618111858546960")</f>
        <v>C202618111858546960</v>
      </c>
      <c r="I408" s="6" t="str">
        <f ca="1">IFERROR(__xludf.DUMMYFUNCTION("""COMPUTED_VALUE"""),"ANDREA ROSA BOZADA")</f>
        <v>ANDREA ROSA BOZADA</v>
      </c>
      <c r="J408" s="16">
        <f ca="1">IFERROR(__xludf.DUMMYFUNCTION("""COMPUTED_VALUE"""),46030)</f>
        <v>46030</v>
      </c>
      <c r="K408" s="6" t="str">
        <f ca="1">IFERROR(__xludf.DUMMYFUNCTION("""COMPUTED_VALUE"""),"Factura audífonos")</f>
        <v>Factura audífonos</v>
      </c>
      <c r="L408" s="16">
        <f ca="1">IFERROR(__xludf.DUMMYFUNCTION("""COMPUTED_VALUE"""),46105)</f>
        <v>46105</v>
      </c>
      <c r="M408" s="23" t="str">
        <f ca="1">IFERROR(__xludf.DUMMYFUNCTION("""COMPUTED_VALUE"""),"NO")</f>
        <v>NO</v>
      </c>
      <c r="N408" s="15">
        <f ca="1">IFERROR(__xludf.DUMMYFUNCTION("""COMPUTED_VALUE"""),2)</f>
        <v>2</v>
      </c>
      <c r="O408" s="23" t="str">
        <f ca="1">IFERROR(__xludf.DUMMYFUNCTION("""COMPUTED_VALUE"""),"PRO")</f>
        <v>PRO</v>
      </c>
      <c r="P408" s="21">
        <f ca="1">IFERROR(__xludf.DUMMYFUNCTION("""COMPUTED_VALUE"""),4536.36)</f>
        <v>4536.3599999999997</v>
      </c>
      <c r="Q408" s="6" t="str">
        <f ca="1">IFERROR(__xludf.DUMMYFUNCTION("""COMPUTED_VALUE"""),"Luis Alberto Rodríguez")</f>
        <v>Luis Alberto Rodríguez</v>
      </c>
      <c r="R408" s="6" t="str">
        <f ca="1">IFERROR(__xludf.DUMMYFUNCTION("""COMPUTED_VALUE"""),"David Castro Gutiérrez de Agüero")</f>
        <v>David Castro Gutiérrez de Agüero</v>
      </c>
      <c r="S408" s="20" t="str">
        <f ca="1">IFERROR(__xludf.DUMMYFUNCTION("""COMPUTED_VALUE"""),"03 ORL")</f>
        <v>03 ORL</v>
      </c>
      <c r="T408" s="6" t="str">
        <f ca="1">IFERROR(__xludf.DUMMYFUNCTION("""COMPUTED_VALUE"""),"06 ORL")</f>
        <v>06 ORL</v>
      </c>
      <c r="U408" s="21"/>
      <c r="W408" s="21"/>
      <c r="X408" s="21"/>
    </row>
    <row r="409" spans="2:24" ht="16">
      <c r="B409" s="14" t="str">
        <f t="shared" ca="1" si="1"/>
        <v>LAA</v>
      </c>
      <c r="C409" s="23" t="str">
        <f ca="1">IFERROR(__xludf.DUMMYFUNCTION("""COMPUTED_VALUE"""),"LAA84")</f>
        <v>LAA84</v>
      </c>
      <c r="D409" s="6" t="str">
        <f ca="1">IFERROR(__xludf.DUMMYFUNCTION("""COMPUTED_VALUE"""),"PROPIOS")</f>
        <v>PROPIOS</v>
      </c>
      <c r="E409" s="6">
        <f ca="1">IFERROR(__xludf.DUMMYFUNCTION("""COMPUTED_VALUE"""),2026)</f>
        <v>2026</v>
      </c>
      <c r="F409" s="15">
        <f ca="1">IFERROR(__xludf.DUMMYFUNCTION("""COMPUTED_VALUE"""),3)</f>
        <v>3</v>
      </c>
      <c r="G409" s="6" t="str">
        <f ca="1">IFERROR(__xludf.DUMMYFUNCTION("""COMPUTED_VALUE"""),"Valencia- Cádiz")</f>
        <v>Valencia- Cádiz</v>
      </c>
      <c r="H409" s="6" t="str">
        <f ca="1">IFERROR(__xludf.DUMMYFUNCTION("""COMPUTED_VALUE"""),"C202613010311166949")</f>
        <v>C202613010311166949</v>
      </c>
      <c r="I409" s="6" t="str">
        <f ca="1">IFERROR(__xludf.DUMMYFUNCTION("""COMPUTED_VALUE"""),"ADRIANA  SAILEMA SAILEMA")</f>
        <v>ADRIANA  SAILEMA SAILEMA</v>
      </c>
      <c r="J409" s="16">
        <f ca="1">IFERROR(__xludf.DUMMYFUNCTION("""COMPUTED_VALUE"""),46052)</f>
        <v>46052</v>
      </c>
      <c r="K409" s="6" t="str">
        <f ca="1">IFERROR(__xludf.DUMMYFUNCTION("""COMPUTED_VALUE"""),"Factura audífonos")</f>
        <v>Factura audífonos</v>
      </c>
      <c r="L409" s="16">
        <f ca="1">IFERROR(__xludf.DUMMYFUNCTION("""COMPUTED_VALUE"""),46105)</f>
        <v>46105</v>
      </c>
      <c r="M409" s="23" t="str">
        <f ca="1">IFERROR(__xludf.DUMMYFUNCTION("""COMPUTED_VALUE"""),"NO")</f>
        <v>NO</v>
      </c>
      <c r="N409" s="15">
        <f ca="1">IFERROR(__xludf.DUMMYFUNCTION("""COMPUTED_VALUE"""),1)</f>
        <v>1</v>
      </c>
      <c r="O409" s="23" t="str">
        <f ca="1">IFERROR(__xludf.DUMMYFUNCTION("""COMPUTED_VALUE"""),"CONFORT")</f>
        <v>CONFORT</v>
      </c>
      <c r="P409" s="21">
        <f ca="1">IFERROR(__xludf.DUMMYFUNCTION("""COMPUTED_VALUE"""),2180.91)</f>
        <v>2180.91</v>
      </c>
      <c r="Q409" s="6" t="str">
        <f ca="1">IFERROR(__xludf.DUMMYFUNCTION("""COMPUTED_VALUE"""),"Ramon Ferrando")</f>
        <v>Ramon Ferrando</v>
      </c>
      <c r="R409" s="6" t="str">
        <f ca="1">IFERROR(__xludf.DUMMYFUNCTION("""COMPUTED_VALUE"""),"Catalina Riera Sala")</f>
        <v>Catalina Riera Sala</v>
      </c>
      <c r="S409" s="20" t="str">
        <f ca="1">IFERROR(__xludf.DUMMYFUNCTION("""COMPUTED_VALUE"""),"03 ORL")</f>
        <v>03 ORL</v>
      </c>
      <c r="T409" s="6" t="str">
        <f ca="1">IFERROR(__xludf.DUMMYFUNCTION("""COMPUTED_VALUE"""),"06 ORL")</f>
        <v>06 ORL</v>
      </c>
      <c r="U409" s="21"/>
      <c r="W409" s="21"/>
      <c r="X409" s="21"/>
    </row>
    <row r="410" spans="2:24" ht="16">
      <c r="B410" s="14" t="str">
        <f t="shared" ca="1" si="1"/>
        <v>MBM</v>
      </c>
      <c r="C410" s="23" t="str">
        <f ca="1">IFERROR(__xludf.DUMMYFUNCTION("""COMPUTED_VALUE"""),"MBM90")</f>
        <v>MBM90</v>
      </c>
      <c r="D410" s="6" t="str">
        <f ca="1">IFERROR(__xludf.DUMMYFUNCTION("""COMPUTED_VALUE"""),"PROPIOS")</f>
        <v>PROPIOS</v>
      </c>
      <c r="E410" s="6">
        <f ca="1">IFERROR(__xludf.DUMMYFUNCTION("""COMPUTED_VALUE"""),2026)</f>
        <v>2026</v>
      </c>
      <c r="F410" s="15">
        <f ca="1">IFERROR(__xludf.DUMMYFUNCTION("""COMPUTED_VALUE"""),3)</f>
        <v>3</v>
      </c>
      <c r="G410" s="6" t="str">
        <f ca="1">IFERROR(__xludf.DUMMYFUNCTION("""COMPUTED_VALUE"""),"Leganés")</f>
        <v>Leganés</v>
      </c>
      <c r="H410" s="6" t="str">
        <f ca="1">IFERROR(__xludf.DUMMYFUNCTION("""COMPUTED_VALUE"""),"C202622383152566603")</f>
        <v>C202622383152566603</v>
      </c>
      <c r="I410" s="6" t="str">
        <f ca="1">IFERROR(__xludf.DUMMYFUNCTION("""COMPUTED_VALUE"""),"MARIANO GARCIA MAESO")</f>
        <v>MARIANO GARCIA MAESO</v>
      </c>
      <c r="J410" s="16">
        <f ca="1">IFERROR(__xludf.DUMMYFUNCTION("""COMPUTED_VALUE"""),46076)</f>
        <v>46076</v>
      </c>
      <c r="K410" s="6" t="str">
        <f ca="1">IFERROR(__xludf.DUMMYFUNCTION("""COMPUTED_VALUE"""),"Factura audífonos")</f>
        <v>Factura audífonos</v>
      </c>
      <c r="L410" s="16">
        <f ca="1">IFERROR(__xludf.DUMMYFUNCTION("""COMPUTED_VALUE"""),46105)</f>
        <v>46105</v>
      </c>
      <c r="M410" s="23" t="str">
        <f ca="1">IFERROR(__xludf.DUMMYFUNCTION("""COMPUTED_VALUE"""),"NO")</f>
        <v>NO</v>
      </c>
      <c r="N410" s="15">
        <f ca="1">IFERROR(__xludf.DUMMYFUNCTION("""COMPUTED_VALUE"""),2)</f>
        <v>2</v>
      </c>
      <c r="O410" s="23" t="str">
        <f ca="1">IFERROR(__xludf.DUMMYFUNCTION("""COMPUTED_VALUE"""),"CONFORT")</f>
        <v>CONFORT</v>
      </c>
      <c r="P410" s="21">
        <f ca="1">IFERROR(__xludf.DUMMYFUNCTION("""COMPUTED_VALUE"""),3631.82)</f>
        <v>3631.82</v>
      </c>
      <c r="Q410" s="6" t="str">
        <f ca="1">IFERROR(__xludf.DUMMYFUNCTION("""COMPUTED_VALUE"""),"Maika Blázquez")</f>
        <v>Maika Blázquez</v>
      </c>
      <c r="R410" s="6" t="str">
        <f ca="1">IFERROR(__xludf.DUMMYFUNCTION("""COMPUTED_VALUE"""),"Ana Ruiz Fornells Noreña")</f>
        <v>Ana Ruiz Fornells Noreña</v>
      </c>
      <c r="S410" s="20" t="str">
        <f ca="1">IFERROR(__xludf.DUMMYFUNCTION("""COMPUTED_VALUE"""),"03 ORL")</f>
        <v>03 ORL</v>
      </c>
      <c r="T410" s="6" t="str">
        <f ca="1">IFERROR(__xludf.DUMMYFUNCTION("""COMPUTED_VALUE"""),"06 ORL")</f>
        <v>06 ORL</v>
      </c>
      <c r="U410" s="21"/>
      <c r="W410" s="21"/>
      <c r="X410" s="21"/>
    </row>
    <row r="411" spans="2:24" ht="16">
      <c r="B411" s="14" t="str">
        <f t="shared" ca="1" si="1"/>
        <v>MBM</v>
      </c>
      <c r="C411" s="23" t="str">
        <f ca="1">IFERROR(__xludf.DUMMYFUNCTION("""COMPUTED_VALUE"""),"MBM39")</f>
        <v>MBM39</v>
      </c>
      <c r="D411" s="6" t="str">
        <f ca="1">IFERROR(__xludf.DUMMYFUNCTION("""COMPUTED_VALUE"""),"PROPIOS")</f>
        <v>PROPIOS</v>
      </c>
      <c r="E411" s="6">
        <f ca="1">IFERROR(__xludf.DUMMYFUNCTION("""COMPUTED_VALUE"""),2026)</f>
        <v>2026</v>
      </c>
      <c r="F411" s="15">
        <f ca="1">IFERROR(__xludf.DUMMYFUNCTION("""COMPUTED_VALUE"""),3)</f>
        <v>3</v>
      </c>
      <c r="G411" s="6" t="str">
        <f ca="1">IFERROR(__xludf.DUMMYFUNCTION("""COMPUTED_VALUE"""),"Madrid- Juan Bravo")</f>
        <v>Madrid- Juan Bravo</v>
      </c>
      <c r="H411" s="6" t="str">
        <f ca="1">IFERROR(__xludf.DUMMYFUNCTION("""COMPUTED_VALUE"""),"C202622417564128522")</f>
        <v>C202622417564128522</v>
      </c>
      <c r="I411" s="6" t="str">
        <f ca="1">IFERROR(__xludf.DUMMYFUNCTION("""COMPUTED_VALUE"""),"MERCEDES    DE JUAN GINES")</f>
        <v>MERCEDES    DE JUAN GINES</v>
      </c>
      <c r="J411" s="16">
        <f ca="1">IFERROR(__xludf.DUMMYFUNCTION("""COMPUTED_VALUE"""),46077)</f>
        <v>46077</v>
      </c>
      <c r="K411" s="6" t="str">
        <f ca="1">IFERROR(__xludf.DUMMYFUNCTION("""COMPUTED_VALUE"""),"Factura audífonos")</f>
        <v>Factura audífonos</v>
      </c>
      <c r="L411" s="16">
        <f ca="1">IFERROR(__xludf.DUMMYFUNCTION("""COMPUTED_VALUE"""),46105)</f>
        <v>46105</v>
      </c>
      <c r="M411" s="23" t="str">
        <f ca="1">IFERROR(__xludf.DUMMYFUNCTION("""COMPUTED_VALUE"""),"NO")</f>
        <v>NO</v>
      </c>
      <c r="N411" s="15">
        <f ca="1">IFERROR(__xludf.DUMMYFUNCTION("""COMPUTED_VALUE"""),2)</f>
        <v>2</v>
      </c>
      <c r="O411" s="23" t="str">
        <f ca="1">IFERROR(__xludf.DUMMYFUNCTION("""COMPUTED_VALUE"""),"ADVANCED")</f>
        <v>ADVANCED</v>
      </c>
      <c r="P411" s="21">
        <f ca="1">IFERROR(__xludf.DUMMYFUNCTION("""COMPUTED_VALUE"""),4136.36)</f>
        <v>4136.3599999999997</v>
      </c>
      <c r="Q411" s="6" t="str">
        <f ca="1">IFERROR(__xludf.DUMMYFUNCTION("""COMPUTED_VALUE"""),"Maika Blázquez")</f>
        <v>Maika Blázquez</v>
      </c>
      <c r="R411" s="6" t="str">
        <f ca="1">IFERROR(__xludf.DUMMYFUNCTION("""COMPUTED_VALUE"""),"Javier García Domínguez")</f>
        <v>Javier García Domínguez</v>
      </c>
      <c r="S411" s="20" t="str">
        <f ca="1">IFERROR(__xludf.DUMMYFUNCTION("""COMPUTED_VALUE"""),"03 ORL")</f>
        <v>03 ORL</v>
      </c>
      <c r="T411" s="6" t="str">
        <f ca="1">IFERROR(__xludf.DUMMYFUNCTION("""COMPUTED_VALUE"""),"06 ORL")</f>
        <v>06 ORL</v>
      </c>
      <c r="U411" s="21"/>
      <c r="W411" s="21"/>
      <c r="X411" s="21"/>
    </row>
    <row r="412" spans="2:24" ht="16">
      <c r="B412" s="14" t="str">
        <f t="shared" ca="1" si="1"/>
        <v>MBM</v>
      </c>
      <c r="C412" s="23" t="str">
        <f ca="1">IFERROR(__xludf.DUMMYFUNCTION("""COMPUTED_VALUE"""),"MBM113")</f>
        <v>MBM113</v>
      </c>
      <c r="D412" s="6" t="str">
        <f ca="1">IFERROR(__xludf.DUMMYFUNCTION("""COMPUTED_VALUE"""),"PROPIOS")</f>
        <v>PROPIOS</v>
      </c>
      <c r="E412" s="6">
        <f ca="1">IFERROR(__xludf.DUMMYFUNCTION("""COMPUTED_VALUE"""),2026)</f>
        <v>2026</v>
      </c>
      <c r="F412" s="15">
        <f ca="1">IFERROR(__xludf.DUMMYFUNCTION("""COMPUTED_VALUE"""),3)</f>
        <v>3</v>
      </c>
      <c r="G412" s="6" t="str">
        <f ca="1">IFERROR(__xludf.DUMMYFUNCTION("""COMPUTED_VALUE"""),"Fuenlabrada")</f>
        <v>Fuenlabrada</v>
      </c>
      <c r="H412" s="6" t="str">
        <f ca="1">IFERROR(__xludf.DUMMYFUNCTION("""COMPUTED_VALUE"""),"C202621016017740583")</f>
        <v>C202621016017740583</v>
      </c>
      <c r="I412" s="6" t="str">
        <f ca="1">IFERROR(__xludf.DUMMYFUNCTION("""COMPUTED_VALUE"""),"SOCORRO JIMENEZ LLORENTES")</f>
        <v>SOCORRO JIMENEZ LLORENTES</v>
      </c>
      <c r="J412" s="16">
        <f ca="1">IFERROR(__xludf.DUMMYFUNCTION("""COMPUTED_VALUE"""),46063)</f>
        <v>46063</v>
      </c>
      <c r="K412" s="6" t="str">
        <f ca="1">IFERROR(__xludf.DUMMYFUNCTION("""COMPUTED_VALUE"""),"Factura audífonos")</f>
        <v>Factura audífonos</v>
      </c>
      <c r="L412" s="16">
        <f ca="1">IFERROR(__xludf.DUMMYFUNCTION("""COMPUTED_VALUE"""),46106)</f>
        <v>46106</v>
      </c>
      <c r="M412" s="23" t="str">
        <f ca="1">IFERROR(__xludf.DUMMYFUNCTION("""COMPUTED_VALUE"""),"NO")</f>
        <v>NO</v>
      </c>
      <c r="N412" s="15">
        <f ca="1">IFERROR(__xludf.DUMMYFUNCTION("""COMPUTED_VALUE"""),2)</f>
        <v>2</v>
      </c>
      <c r="O412" s="23" t="str">
        <f ca="1">IFERROR(__xludf.DUMMYFUNCTION("""COMPUTED_VALUE"""),"QUIET")</f>
        <v>QUIET</v>
      </c>
      <c r="P412" s="21">
        <f ca="1">IFERROR(__xludf.DUMMYFUNCTION("""COMPUTED_VALUE"""),2718.18)</f>
        <v>2718.18</v>
      </c>
      <c r="Q412" s="6" t="str">
        <f ca="1">IFERROR(__xludf.DUMMYFUNCTION("""COMPUTED_VALUE"""),"Maika Blázquez")</f>
        <v>Maika Blázquez</v>
      </c>
      <c r="R412" s="6" t="str">
        <f ca="1">IFERROR(__xludf.DUMMYFUNCTION("""COMPUTED_VALUE"""),"Estefania Miranda Sánchez")</f>
        <v>Estefania Miranda Sánchez</v>
      </c>
      <c r="S412" s="20" t="str">
        <f ca="1">IFERROR(__xludf.DUMMYFUNCTION("""COMPUTED_VALUE"""),"03 ORL")</f>
        <v>03 ORL</v>
      </c>
      <c r="T412" s="6" t="str">
        <f ca="1">IFERROR(__xludf.DUMMYFUNCTION("""COMPUTED_VALUE"""),"06 ORL")</f>
        <v>06 ORL</v>
      </c>
      <c r="U412" s="21"/>
      <c r="W412" s="21"/>
      <c r="X412" s="21"/>
    </row>
    <row r="413" spans="2:24" ht="16">
      <c r="B413" s="14" t="str">
        <f t="shared" ca="1" si="1"/>
        <v>ISL</v>
      </c>
      <c r="C413" s="23" t="str">
        <f ca="1">IFERROR(__xludf.DUMMYFUNCTION("""COMPUTED_VALUE"""),"ISL128")</f>
        <v>ISL128</v>
      </c>
      <c r="D413" s="6" t="str">
        <f ca="1">IFERROR(__xludf.DUMMYFUNCTION("""COMPUTED_VALUE"""),"PROPIOS")</f>
        <v>PROPIOS</v>
      </c>
      <c r="E413" s="6">
        <f ca="1">IFERROR(__xludf.DUMMYFUNCTION("""COMPUTED_VALUE"""),2026)</f>
        <v>2026</v>
      </c>
      <c r="F413" s="15">
        <f ca="1">IFERROR(__xludf.DUMMYFUNCTION("""COMPUTED_VALUE"""),3)</f>
        <v>3</v>
      </c>
      <c r="G413" s="6" t="str">
        <f ca="1">IFERROR(__xludf.DUMMYFUNCTION("""COMPUTED_VALUE"""),"Murcia")</f>
        <v>Murcia</v>
      </c>
      <c r="H413" s="6" t="str">
        <f ca="1">IFERROR(__xludf.DUMMYFUNCTION("""COMPUTED_VALUE"""),"C202625152152410682")</f>
        <v>C202625152152410682</v>
      </c>
      <c r="I413" s="6" t="str">
        <f ca="1">IFERROR(__xludf.DUMMYFUNCTION("""COMPUTED_VALUE"""),"ENCARNACION CAMPILLO SOTO")</f>
        <v>ENCARNACION CAMPILLO SOTO</v>
      </c>
      <c r="J413" s="16">
        <f ca="1">IFERROR(__xludf.DUMMYFUNCTION("""COMPUTED_VALUE"""),46058)</f>
        <v>46058</v>
      </c>
      <c r="K413" s="6" t="str">
        <f ca="1">IFERROR(__xludf.DUMMYFUNCTION("""COMPUTED_VALUE"""),"Factura audífonos")</f>
        <v>Factura audífonos</v>
      </c>
      <c r="L413" s="16">
        <f ca="1">IFERROR(__xludf.DUMMYFUNCTION("""COMPUTED_VALUE"""),46106)</f>
        <v>46106</v>
      </c>
      <c r="M413" s="23" t="str">
        <f ca="1">IFERROR(__xludf.DUMMYFUNCTION("""COMPUTED_VALUE"""),"NO")</f>
        <v>NO</v>
      </c>
      <c r="N413" s="15">
        <f ca="1">IFERROR(__xludf.DUMMYFUNCTION("""COMPUTED_VALUE"""),2)</f>
        <v>2</v>
      </c>
      <c r="O413" s="23" t="str">
        <f ca="1">IFERROR(__xludf.DUMMYFUNCTION("""COMPUTED_VALUE"""),"QUIET")</f>
        <v>QUIET</v>
      </c>
      <c r="P413" s="21">
        <f ca="1">IFERROR(__xludf.DUMMYFUNCTION("""COMPUTED_VALUE"""),2718.19)</f>
        <v>2718.19</v>
      </c>
      <c r="Q413" s="6" t="str">
        <f ca="1">IFERROR(__xludf.DUMMYFUNCTION("""COMPUTED_VALUE"""),"Iván Sánchez")</f>
        <v>Iván Sánchez</v>
      </c>
      <c r="R413" s="6" t="str">
        <f ca="1">IFERROR(__xludf.DUMMYFUNCTION("""COMPUTED_VALUE"""),"Nuria Salas Barrio")</f>
        <v>Nuria Salas Barrio</v>
      </c>
      <c r="S413" s="20" t="str">
        <f ca="1">IFERROR(__xludf.DUMMYFUNCTION("""COMPUTED_VALUE"""),"03 ORL")</f>
        <v>03 ORL</v>
      </c>
      <c r="T413" s="6" t="str">
        <f ca="1">IFERROR(__xludf.DUMMYFUNCTION("""COMPUTED_VALUE"""),"06 ORL")</f>
        <v>06 ORL</v>
      </c>
      <c r="U413" s="21"/>
      <c r="W413" s="21"/>
      <c r="X413" s="21"/>
    </row>
    <row r="414" spans="2:24" ht="16">
      <c r="B414" s="14" t="str">
        <f t="shared" ca="1" si="1"/>
        <v>#N/</v>
      </c>
      <c r="C414" s="23" t="str">
        <f ca="1">IFERROR(__xludf.DUMMYFUNCTION("""COMPUTED_VALUE"""),"#N/A")</f>
        <v>#N/A</v>
      </c>
      <c r="D414" s="6" t="str">
        <f ca="1">IFERROR(__xludf.DUMMYFUNCTION("""COMPUTED_VALUE"""),"PROPIOS")</f>
        <v>PROPIOS</v>
      </c>
      <c r="E414" s="6">
        <f ca="1">IFERROR(__xludf.DUMMYFUNCTION("""COMPUTED_VALUE"""),2026)</f>
        <v>2026</v>
      </c>
      <c r="F414" s="15">
        <f ca="1">IFERROR(__xludf.DUMMYFUNCTION("""COMPUTED_VALUE"""),3)</f>
        <v>3</v>
      </c>
      <c r="G414" s="6" t="str">
        <f ca="1">IFERROR(__xludf.DUMMYFUNCTION("""COMPUTED_VALUE"""),"Almería")</f>
        <v>Almería</v>
      </c>
      <c r="H414" s="6" t="str">
        <f ca="1">IFERROR(__xludf.DUMMYFUNCTION("""COMPUTED_VALUE"""),"C202631215153684101")</f>
        <v>C202631215153684101</v>
      </c>
      <c r="I414" s="6" t="str">
        <f ca="1">IFERROR(__xludf.DUMMYFUNCTION("""COMPUTED_VALUE"""),"VICTORIA CAMPOS SANTOS")</f>
        <v>VICTORIA CAMPOS SANTOS</v>
      </c>
      <c r="J414" s="16">
        <f ca="1">IFERROR(__xludf.DUMMYFUNCTION("""COMPUTED_VALUE"""),46093)</f>
        <v>46093</v>
      </c>
      <c r="K414" s="6" t="str">
        <f ca="1">IFERROR(__xludf.DUMMYFUNCTION("""COMPUTED_VALUE"""),"Factura audífonos")</f>
        <v>Factura audífonos</v>
      </c>
      <c r="L414" s="16">
        <f ca="1">IFERROR(__xludf.DUMMYFUNCTION("""COMPUTED_VALUE"""),46106)</f>
        <v>46106</v>
      </c>
      <c r="M414" s="23" t="str">
        <f ca="1">IFERROR(__xludf.DUMMYFUNCTION("""COMPUTED_VALUE"""),"NO")</f>
        <v>NO</v>
      </c>
      <c r="N414" s="15">
        <f ca="1">IFERROR(__xludf.DUMMYFUNCTION("""COMPUTED_VALUE"""),1)</f>
        <v>1</v>
      </c>
      <c r="O414" s="23" t="str">
        <f ca="1">IFERROR(__xludf.DUMMYFUNCTION("""COMPUTED_VALUE"""),"ADVANCED")</f>
        <v>ADVANCED</v>
      </c>
      <c r="P414" s="21">
        <f ca="1">IFERROR(__xludf.DUMMYFUNCTION("""COMPUTED_VALUE"""),2481.82)</f>
        <v>2481.8200000000002</v>
      </c>
      <c r="Q414" s="6" t="str">
        <f ca="1">IFERROR(__xludf.DUMMYFUNCTION("""COMPUTED_VALUE"""),"Ramon Ferrando")</f>
        <v>Ramon Ferrando</v>
      </c>
      <c r="R414" s="6" t="str">
        <f ca="1">IFERROR(__xludf.DUMMYFUNCTION("""COMPUTED_VALUE"""),"Juanjo Góngora Lencina")</f>
        <v>Juanjo Góngora Lencina</v>
      </c>
      <c r="S414" s="20" t="str">
        <f ca="1">IFERROR(__xludf.DUMMYFUNCTION("""COMPUTED_VALUE"""),"01 MARKETING ON LINE")</f>
        <v>01 MARKETING ON LINE</v>
      </c>
      <c r="T414" s="6" t="str">
        <f ca="1">IFERROR(__xludf.DUMMYFUNCTION("""COMPUTED_VALUE"""),"04 AUDIFONO,ES")</f>
        <v>04 AUDIFONO,ES</v>
      </c>
      <c r="U414" s="21"/>
      <c r="W414" s="21"/>
      <c r="X414" s="21"/>
    </row>
    <row r="415" spans="2:24" ht="16">
      <c r="B415" s="14" t="str">
        <f t="shared" ca="1" si="1"/>
        <v>MBM</v>
      </c>
      <c r="C415" s="23" t="str">
        <f ca="1">IFERROR(__xludf.DUMMYFUNCTION("""COMPUTED_VALUE"""),"MBM164")</f>
        <v>MBM164</v>
      </c>
      <c r="D415" s="6" t="str">
        <f ca="1">IFERROR(__xludf.DUMMYFUNCTION("""COMPUTED_VALUE"""),"PROPIOS")</f>
        <v>PROPIOS</v>
      </c>
      <c r="E415" s="6">
        <f ca="1">IFERROR(__xludf.DUMMYFUNCTION("""COMPUTED_VALUE"""),2026)</f>
        <v>2026</v>
      </c>
      <c r="F415" s="15">
        <f ca="1">IFERROR(__xludf.DUMMYFUNCTION("""COMPUTED_VALUE"""),3)</f>
        <v>3</v>
      </c>
      <c r="G415" s="6" t="str">
        <f ca="1">IFERROR(__xludf.DUMMYFUNCTION("""COMPUTED_VALUE"""),"Fuenlabrada")</f>
        <v>Fuenlabrada</v>
      </c>
      <c r="H415" s="6" t="str">
        <f ca="1">IFERROR(__xludf.DUMMYFUNCTION("""COMPUTED_VALUE"""),"C202622011312932276")</f>
        <v>C202622011312932276</v>
      </c>
      <c r="I415" s="6" t="str">
        <f ca="1">IFERROR(__xludf.DUMMYFUNCTION("""COMPUTED_VALUE"""),"VICTORIA LOPEZ DE LA FRANCA GONZALEZ")</f>
        <v>VICTORIA LOPEZ DE LA FRANCA GONZALEZ</v>
      </c>
      <c r="J415" s="16">
        <f ca="1">IFERROR(__xludf.DUMMYFUNCTION("""COMPUTED_VALUE"""),46073)</f>
        <v>46073</v>
      </c>
      <c r="K415" s="6" t="str">
        <f ca="1">IFERROR(__xludf.DUMMYFUNCTION("""COMPUTED_VALUE"""),"Factura audífonos")</f>
        <v>Factura audífonos</v>
      </c>
      <c r="L415" s="16">
        <f ca="1">IFERROR(__xludf.DUMMYFUNCTION("""COMPUTED_VALUE"""),46106)</f>
        <v>46106</v>
      </c>
      <c r="M415" s="23" t="str">
        <f ca="1">IFERROR(__xludf.DUMMYFUNCTION("""COMPUTED_VALUE"""),"NO")</f>
        <v>NO</v>
      </c>
      <c r="N415" s="15">
        <f ca="1">IFERROR(__xludf.DUMMYFUNCTION("""COMPUTED_VALUE"""),1)</f>
        <v>1</v>
      </c>
      <c r="O415" s="23" t="str">
        <f ca="1">IFERROR(__xludf.DUMMYFUNCTION("""COMPUTED_VALUE"""),"CONFORT")</f>
        <v>CONFORT</v>
      </c>
      <c r="P415" s="21">
        <f ca="1">IFERROR(__xludf.DUMMYFUNCTION("""COMPUTED_VALUE"""),2181.73)</f>
        <v>2181.73</v>
      </c>
      <c r="Q415" s="6" t="str">
        <f ca="1">IFERROR(__xludf.DUMMYFUNCTION("""COMPUTED_VALUE"""),"Maika Blázquez")</f>
        <v>Maika Blázquez</v>
      </c>
      <c r="R415" s="6" t="str">
        <f ca="1">IFERROR(__xludf.DUMMYFUNCTION("""COMPUTED_VALUE"""),"Paloma Martín-Aragón Martín")</f>
        <v>Paloma Martín-Aragón Martín</v>
      </c>
      <c r="S415" s="20" t="str">
        <f ca="1">IFERROR(__xludf.DUMMYFUNCTION("""COMPUTED_VALUE"""),"03 ORL")</f>
        <v>03 ORL</v>
      </c>
      <c r="T415" s="6" t="str">
        <f ca="1">IFERROR(__xludf.DUMMYFUNCTION("""COMPUTED_VALUE"""),"06 ORL")</f>
        <v>06 ORL</v>
      </c>
      <c r="U415" s="21"/>
      <c r="W415" s="21"/>
      <c r="X415" s="21"/>
    </row>
    <row r="416" spans="2:24" ht="16">
      <c r="B416" s="14" t="str">
        <f t="shared" ca="1" si="1"/>
        <v>ISL</v>
      </c>
      <c r="C416" s="23" t="str">
        <f ca="1">IFERROR(__xludf.DUMMYFUNCTION("""COMPUTED_VALUE"""),"ISL99")</f>
        <v>ISL99</v>
      </c>
      <c r="D416" s="6" t="str">
        <f ca="1">IFERROR(__xludf.DUMMYFUNCTION("""COMPUTED_VALUE"""),"PROPIOS")</f>
        <v>PROPIOS</v>
      </c>
      <c r="E416" s="6">
        <f ca="1">IFERROR(__xludf.DUMMYFUNCTION("""COMPUTED_VALUE"""),2026)</f>
        <v>2026</v>
      </c>
      <c r="F416" s="15">
        <f ca="1">IFERROR(__xludf.DUMMYFUNCTION("""COMPUTED_VALUE"""),3)</f>
        <v>3</v>
      </c>
      <c r="G416" s="6" t="str">
        <f ca="1">IFERROR(__xludf.DUMMYFUNCTION("""COMPUTED_VALUE"""),"Alicante")</f>
        <v>Alicante</v>
      </c>
      <c r="H416" s="6" t="str">
        <f ca="1">IFERROR(__xludf.DUMMYFUNCTION("""COMPUTED_VALUE"""),"C202622412142688311")</f>
        <v>C202622412142688311</v>
      </c>
      <c r="I416" s="6" t="str">
        <f ca="1">IFERROR(__xludf.DUMMYFUNCTION("""COMPUTED_VALUE"""),"JOSE LUIS ESCOBAR ARROYO")</f>
        <v>JOSE LUIS ESCOBAR ARROYO</v>
      </c>
      <c r="J416" s="16">
        <f ca="1">IFERROR(__xludf.DUMMYFUNCTION("""COMPUTED_VALUE"""),46077)</f>
        <v>46077</v>
      </c>
      <c r="K416" s="6" t="str">
        <f ca="1">IFERROR(__xludf.DUMMYFUNCTION("""COMPUTED_VALUE"""),"Factura audífonos")</f>
        <v>Factura audífonos</v>
      </c>
      <c r="L416" s="16">
        <f ca="1">IFERROR(__xludf.DUMMYFUNCTION("""COMPUTED_VALUE"""),46106)</f>
        <v>46106</v>
      </c>
      <c r="M416" s="23" t="str">
        <f ca="1">IFERROR(__xludf.DUMMYFUNCTION("""COMPUTED_VALUE"""),"NO")</f>
        <v>NO</v>
      </c>
      <c r="N416" s="15">
        <f ca="1">IFERROR(__xludf.DUMMYFUNCTION("""COMPUTED_VALUE"""),2)</f>
        <v>2</v>
      </c>
      <c r="O416" s="23" t="str">
        <f ca="1">IFERROR(__xludf.DUMMYFUNCTION("""COMPUTED_VALUE"""),"CONFORT")</f>
        <v>CONFORT</v>
      </c>
      <c r="P416" s="21">
        <f ca="1">IFERROR(__xludf.DUMMYFUNCTION("""COMPUTED_VALUE"""),3631.82)</f>
        <v>3631.82</v>
      </c>
      <c r="Q416" s="6" t="str">
        <f ca="1">IFERROR(__xludf.DUMMYFUNCTION("""COMPUTED_VALUE"""),"Iván Sánchez")</f>
        <v>Iván Sánchez</v>
      </c>
      <c r="R416" s="6" t="str">
        <f ca="1">IFERROR(__xludf.DUMMYFUNCTION("""COMPUTED_VALUE"""),"Cristina Muñoz Pinto")</f>
        <v>Cristina Muñoz Pinto</v>
      </c>
      <c r="S416" s="20" t="str">
        <f ca="1">IFERROR(__xludf.DUMMYFUNCTION("""COMPUTED_VALUE"""),"03 ORL")</f>
        <v>03 ORL</v>
      </c>
      <c r="T416" s="6" t="str">
        <f ca="1">IFERROR(__xludf.DUMMYFUNCTION("""COMPUTED_VALUE"""),"06 ORL")</f>
        <v>06 ORL</v>
      </c>
      <c r="U416" s="21"/>
      <c r="W416" s="21"/>
      <c r="X416" s="21"/>
    </row>
    <row r="417" spans="2:24" ht="16">
      <c r="B417" s="14" t="str">
        <f t="shared" ca="1" si="1"/>
        <v>ISL</v>
      </c>
      <c r="C417" s="23" t="str">
        <f ca="1">IFERROR(__xludf.DUMMYFUNCTION("""COMPUTED_VALUE"""),"ISL45")</f>
        <v>ISL45</v>
      </c>
      <c r="D417" s="6" t="str">
        <f ca="1">IFERROR(__xludf.DUMMYFUNCTION("""COMPUTED_VALUE"""),"PROPIOS")</f>
        <v>PROPIOS</v>
      </c>
      <c r="E417" s="6">
        <f ca="1">IFERROR(__xludf.DUMMYFUNCTION("""COMPUTED_VALUE"""),2026)</f>
        <v>2026</v>
      </c>
      <c r="F417" s="15">
        <f ca="1">IFERROR(__xludf.DUMMYFUNCTION("""COMPUTED_VALUE"""),3)</f>
        <v>3</v>
      </c>
      <c r="G417" s="6" t="str">
        <f ca="1">IFERROR(__xludf.DUMMYFUNCTION("""COMPUTED_VALUE"""),"Murcia")</f>
        <v>Murcia</v>
      </c>
      <c r="H417" s="6" t="str">
        <f ca="1">IFERROR(__xludf.DUMMYFUNCTION("""COMPUTED_VALUE"""),"C202621794150905684")</f>
        <v>C202621794150905684</v>
      </c>
      <c r="I417" s="6" t="str">
        <f ca="1">IFERROR(__xludf.DUMMYFUNCTION("""COMPUTED_VALUE"""),"IVAN MARTINEZ MILLAN")</f>
        <v>IVAN MARTINEZ MILLAN</v>
      </c>
      <c r="J417" s="16">
        <f ca="1">IFERROR(__xludf.DUMMYFUNCTION("""COMPUTED_VALUE"""),46070)</f>
        <v>46070</v>
      </c>
      <c r="K417" s="6" t="str">
        <f ca="1">IFERROR(__xludf.DUMMYFUNCTION("""COMPUTED_VALUE"""),"Factura audífonos")</f>
        <v>Factura audífonos</v>
      </c>
      <c r="L417" s="16">
        <f ca="1">IFERROR(__xludf.DUMMYFUNCTION("""COMPUTED_VALUE"""),46106)</f>
        <v>46106</v>
      </c>
      <c r="M417" s="23" t="str">
        <f ca="1">IFERROR(__xludf.DUMMYFUNCTION("""COMPUTED_VALUE"""),"NO")</f>
        <v>NO</v>
      </c>
      <c r="N417" s="15">
        <f ca="1">IFERROR(__xludf.DUMMYFUNCTION("""COMPUTED_VALUE"""),2)</f>
        <v>2</v>
      </c>
      <c r="O417" s="23" t="str">
        <f ca="1">IFERROR(__xludf.DUMMYFUNCTION("""COMPUTED_VALUE"""),"PRO")</f>
        <v>PRO</v>
      </c>
      <c r="P417" s="21">
        <f ca="1">IFERROR(__xludf.DUMMYFUNCTION("""COMPUTED_VALUE"""),4536.36)</f>
        <v>4536.3599999999997</v>
      </c>
      <c r="Q417" s="6" t="str">
        <f ca="1">IFERROR(__xludf.DUMMYFUNCTION("""COMPUTED_VALUE"""),"Iván Sánchez")</f>
        <v>Iván Sánchez</v>
      </c>
      <c r="R417" s="6" t="str">
        <f ca="1">IFERROR(__xludf.DUMMYFUNCTION("""COMPUTED_VALUE"""),"Jesús Miguel Iniesta Turpín")</f>
        <v>Jesús Miguel Iniesta Turpín</v>
      </c>
      <c r="S417" s="20" t="str">
        <f ca="1">IFERROR(__xludf.DUMMYFUNCTION("""COMPUTED_VALUE"""),"03 ORL")</f>
        <v>03 ORL</v>
      </c>
      <c r="T417" s="6" t="str">
        <f ca="1">IFERROR(__xludf.DUMMYFUNCTION("""COMPUTED_VALUE"""),"06 ORL")</f>
        <v>06 ORL</v>
      </c>
      <c r="U417" s="21"/>
      <c r="W417" s="21"/>
      <c r="X417" s="21"/>
    </row>
    <row r="418" spans="2:24" ht="16">
      <c r="B418" s="14" t="str">
        <f t="shared" ca="1" si="1"/>
        <v>LRM</v>
      </c>
      <c r="C418" s="23" t="str">
        <f ca="1">IFERROR(__xludf.DUMMYFUNCTION("""COMPUTED_VALUE"""),"LRM09")</f>
        <v>LRM09</v>
      </c>
      <c r="D418" s="6" t="str">
        <f ca="1">IFERROR(__xludf.DUMMYFUNCTION("""COMPUTED_VALUE"""),"PROPIOS")</f>
        <v>PROPIOS</v>
      </c>
      <c r="E418" s="6">
        <f ca="1">IFERROR(__xludf.DUMMYFUNCTION("""COMPUTED_VALUE"""),2026)</f>
        <v>2026</v>
      </c>
      <c r="F418" s="15">
        <f ca="1">IFERROR(__xludf.DUMMYFUNCTION("""COMPUTED_VALUE"""),3)</f>
        <v>3</v>
      </c>
      <c r="G418" s="6" t="str">
        <f ca="1">IFERROR(__xludf.DUMMYFUNCTION("""COMPUTED_VALUE"""),"Madrid- Monforte de Lemos")</f>
        <v>Madrid- Monforte de Lemos</v>
      </c>
      <c r="H418" s="6" t="str">
        <f ca="1">IFERROR(__xludf.DUMMYFUNCTION("""COMPUTED_VALUE"""),"C202631792213452520")</f>
        <v>C202631792213452520</v>
      </c>
      <c r="I418" s="6" t="str">
        <f ca="1">IFERROR(__xludf.DUMMYFUNCTION("""COMPUTED_VALUE"""),"JOAQUIN MUÑOZ COUTO")</f>
        <v>JOAQUIN MUÑOZ COUTO</v>
      </c>
      <c r="J418" s="16">
        <f ca="1">IFERROR(__xludf.DUMMYFUNCTION("""COMPUTED_VALUE"""),46098)</f>
        <v>46098</v>
      </c>
      <c r="K418" s="6" t="str">
        <f ca="1">IFERROR(__xludf.DUMMYFUNCTION("""COMPUTED_VALUE"""),"Factura audífonos")</f>
        <v>Factura audífonos</v>
      </c>
      <c r="L418" s="16">
        <f ca="1">IFERROR(__xludf.DUMMYFUNCTION("""COMPUTED_VALUE"""),46106)</f>
        <v>46106</v>
      </c>
      <c r="M418" s="23" t="str">
        <f ca="1">IFERROR(__xludf.DUMMYFUNCTION("""COMPUTED_VALUE"""),"NO")</f>
        <v>NO</v>
      </c>
      <c r="N418" s="15">
        <f ca="1">IFERROR(__xludf.DUMMYFUNCTION("""COMPUTED_VALUE"""),2)</f>
        <v>2</v>
      </c>
      <c r="O418" s="23" t="str">
        <f ca="1">IFERROR(__xludf.DUMMYFUNCTION("""COMPUTED_VALUE"""),"qUIET")</f>
        <v>qUIET</v>
      </c>
      <c r="P418" s="21">
        <f ca="1">IFERROR(__xludf.DUMMYFUNCTION("""COMPUTED_VALUE"""),2718.18)</f>
        <v>2718.18</v>
      </c>
      <c r="Q418" s="6" t="str">
        <f ca="1">IFERROR(__xludf.DUMMYFUNCTION("""COMPUTED_VALUE"""),"Lisandro Russian")</f>
        <v>Lisandro Russian</v>
      </c>
      <c r="R418" s="6" t="str">
        <f ca="1">IFERROR(__xludf.DUMMYFUNCTION("""COMPUTED_VALUE"""),"Álvaro Sánchez de Arriba")</f>
        <v>Álvaro Sánchez de Arriba</v>
      </c>
      <c r="S418" s="20" t="str">
        <f ca="1">IFERROR(__xludf.DUMMYFUNCTION("""COMPUTED_VALUE"""),"03 ORL")</f>
        <v>03 ORL</v>
      </c>
      <c r="T418" s="6" t="str">
        <f ca="1">IFERROR(__xludf.DUMMYFUNCTION("""COMPUTED_VALUE"""),"06 ORL")</f>
        <v>06 ORL</v>
      </c>
      <c r="U418" s="21"/>
      <c r="W418" s="21"/>
      <c r="X418" s="21"/>
    </row>
    <row r="419" spans="2:24" ht="16">
      <c r="B419" s="14" t="str">
        <f t="shared" si="1"/>
        <v/>
      </c>
      <c r="C419" s="23"/>
      <c r="D419" s="6" t="str">
        <f ca="1">IFERROR(__xludf.DUMMYFUNCTION("""COMPUTED_VALUE"""),"PROPIOS")</f>
        <v>PROPIOS</v>
      </c>
      <c r="E419" s="6">
        <f ca="1">IFERROR(__xludf.DUMMYFUNCTION("""COMPUTED_VALUE"""),2026)</f>
        <v>2026</v>
      </c>
      <c r="F419" s="15">
        <f ca="1">IFERROR(__xludf.DUMMYFUNCTION("""COMPUTED_VALUE"""),3)</f>
        <v>3</v>
      </c>
      <c r="G419" s="6" t="str">
        <f ca="1">IFERROR(__xludf.DUMMYFUNCTION("""COMPUTED_VALUE"""),"Logroño")</f>
        <v>Logroño</v>
      </c>
      <c r="H419" s="6" t="str">
        <f ca="1">IFERROR(__xludf.DUMMYFUNCTION("""COMPUTED_VALUE"""),"C202621094742102979")</f>
        <v>C202621094742102979</v>
      </c>
      <c r="I419" s="6" t="str">
        <f ca="1">IFERROR(__xludf.DUMMYFUNCTION("""COMPUTED_VALUE"""),"Juan Andrés Armesto Fernandez")</f>
        <v>Juan Andrés Armesto Fernandez</v>
      </c>
      <c r="J419" s="16">
        <f ca="1">IFERROR(__xludf.DUMMYFUNCTION("""COMPUTED_VALUE"""),46063)</f>
        <v>46063</v>
      </c>
      <c r="K419" s="6" t="str">
        <f ca="1">IFERROR(__xludf.DUMMYFUNCTION("""COMPUTED_VALUE"""),"Factura audífonos")</f>
        <v>Factura audífonos</v>
      </c>
      <c r="L419" s="16">
        <f ca="1">IFERROR(__xludf.DUMMYFUNCTION("""COMPUTED_VALUE"""),46107)</f>
        <v>46107</v>
      </c>
      <c r="M419" s="23" t="str">
        <f ca="1">IFERROR(__xludf.DUMMYFUNCTION("""COMPUTED_VALUE"""),"NO")</f>
        <v>NO</v>
      </c>
      <c r="N419" s="15">
        <f ca="1">IFERROR(__xludf.DUMMYFUNCTION("""COMPUTED_VALUE"""),2)</f>
        <v>2</v>
      </c>
      <c r="O419" s="23" t="str">
        <f ca="1">IFERROR(__xludf.DUMMYFUNCTION("""COMPUTED_VALUE"""),"ADVANCED")</f>
        <v>ADVANCED</v>
      </c>
      <c r="P419" s="21">
        <f ca="1">IFERROR(__xludf.DUMMYFUNCTION("""COMPUTED_VALUE"""),4136.36)</f>
        <v>4136.3599999999997</v>
      </c>
      <c r="Q419" s="6" t="str">
        <f ca="1">IFERROR(__xludf.DUMMYFUNCTION("""COMPUTED_VALUE"""),"Lisandro Russian")</f>
        <v>Lisandro Russian</v>
      </c>
      <c r="R419" s="6" t="str">
        <f ca="1">IFERROR(__xludf.DUMMYFUNCTION("""COMPUTED_VALUE"""),"No recuerda ORL")</f>
        <v>No recuerda ORL</v>
      </c>
      <c r="S419" s="20" t="str">
        <f ca="1">IFERROR(__xludf.DUMMYFUNCTION("""COMPUTED_VALUE"""),"03 ORL")</f>
        <v>03 ORL</v>
      </c>
      <c r="T419" s="6" t="str">
        <f ca="1">IFERROR(__xludf.DUMMYFUNCTION("""COMPUTED_VALUE"""),"22 AUDIOMETRIA CLINICA")</f>
        <v>22 AUDIOMETRIA CLINICA</v>
      </c>
      <c r="U419" s="21"/>
      <c r="W419" s="21"/>
      <c r="X419" s="21"/>
    </row>
    <row r="420" spans="2:24" ht="16">
      <c r="B420" s="14" t="str">
        <f t="shared" si="1"/>
        <v/>
      </c>
      <c r="C420" s="23"/>
      <c r="D420" s="6" t="str">
        <f ca="1">IFERROR(__xludf.DUMMYFUNCTION("""COMPUTED_VALUE"""),"PROPIOS")</f>
        <v>PROPIOS</v>
      </c>
      <c r="E420" s="6">
        <f ca="1">IFERROR(__xludf.DUMMYFUNCTION("""COMPUTED_VALUE"""),2026)</f>
        <v>2026</v>
      </c>
      <c r="F420" s="15">
        <f ca="1">IFERROR(__xludf.DUMMYFUNCTION("""COMPUTED_VALUE"""),3)</f>
        <v>3</v>
      </c>
      <c r="G420" s="6" t="str">
        <f ca="1">IFERROR(__xludf.DUMMYFUNCTION("""COMPUTED_VALUE"""),"Logroño")</f>
        <v>Logroño</v>
      </c>
      <c r="H420" s="6" t="str">
        <f ca="1">IFERROR(__xludf.DUMMYFUNCTION("""COMPUTED_VALUE"""),"C202634162939043899")</f>
        <v>C202634162939043899</v>
      </c>
      <c r="I420" s="6" t="str">
        <f ca="1">IFERROR(__xludf.DUMMYFUNCTION("""COMPUTED_VALUE"""),"TERESA GONZALEZ PRECIADO")</f>
        <v>TERESA GONZALEZ PRECIADO</v>
      </c>
      <c r="J420" s="16">
        <f ca="1">IFERROR(__xludf.DUMMYFUNCTION("""COMPUTED_VALUE"""),46085)</f>
        <v>46085</v>
      </c>
      <c r="K420" s="6" t="str">
        <f ca="1">IFERROR(__xludf.DUMMYFUNCTION("""COMPUTED_VALUE"""),"Factura audífonos")</f>
        <v>Factura audífonos</v>
      </c>
      <c r="L420" s="16">
        <f ca="1">IFERROR(__xludf.DUMMYFUNCTION("""COMPUTED_VALUE"""),46107)</f>
        <v>46107</v>
      </c>
      <c r="M420" s="23" t="str">
        <f ca="1">IFERROR(__xludf.DUMMYFUNCTION("""COMPUTED_VALUE"""),"NO")</f>
        <v>NO</v>
      </c>
      <c r="N420" s="15">
        <f ca="1">IFERROR(__xludf.DUMMYFUNCTION("""COMPUTED_VALUE"""),2)</f>
        <v>2</v>
      </c>
      <c r="O420" s="17" t="str">
        <f ca="1">IFERROR(__xludf.DUMMYFUNCTION("""COMPUTED_VALUE"""),"CONFORT")</f>
        <v>CONFORT</v>
      </c>
      <c r="P420" s="21">
        <f ca="1">IFERROR(__xludf.DUMMYFUNCTION("""COMPUTED_VALUE"""),3631.82)</f>
        <v>3631.82</v>
      </c>
      <c r="Q420" s="6" t="str">
        <f ca="1">IFERROR(__xludf.DUMMYFUNCTION("""COMPUTED_VALUE"""),"Lisandro Russian")</f>
        <v>Lisandro Russian</v>
      </c>
      <c r="R420" s="6" t="str">
        <f ca="1">IFERROR(__xludf.DUMMYFUNCTION("""COMPUTED_VALUE"""),"No recuerda ORL")</f>
        <v>No recuerda ORL</v>
      </c>
      <c r="S420" s="20" t="str">
        <f ca="1">IFERROR(__xludf.DUMMYFUNCTION("""COMPUTED_VALUE"""),"03 ORL")</f>
        <v>03 ORL</v>
      </c>
      <c r="T420" s="6" t="str">
        <f ca="1">IFERROR(__xludf.DUMMYFUNCTION("""COMPUTED_VALUE"""),"06 ORL")</f>
        <v>06 ORL</v>
      </c>
      <c r="U420" s="21"/>
      <c r="W420" s="21"/>
      <c r="X420" s="21"/>
    </row>
    <row r="421" spans="2:24" ht="16">
      <c r="B421" s="14" t="str">
        <f t="shared" ca="1" si="1"/>
        <v>RFV</v>
      </c>
      <c r="C421" s="23" t="str">
        <f ca="1">IFERROR(__xludf.DUMMYFUNCTION("""COMPUTED_VALUE"""),"RFV01")</f>
        <v>RFV01</v>
      </c>
      <c r="D421" s="6" t="str">
        <f ca="1">IFERROR(__xludf.DUMMYFUNCTION("""COMPUTED_VALUE"""),"PROPIOS")</f>
        <v>PROPIOS</v>
      </c>
      <c r="E421" s="6">
        <f ca="1">IFERROR(__xludf.DUMMYFUNCTION("""COMPUTED_VALUE"""),2026)</f>
        <v>2026</v>
      </c>
      <c r="F421" s="15">
        <f ca="1">IFERROR(__xludf.DUMMYFUNCTION("""COMPUTED_VALUE"""),3)</f>
        <v>3</v>
      </c>
      <c r="G421" s="6" t="str">
        <f ca="1">IFERROR(__xludf.DUMMYFUNCTION("""COMPUTED_VALUE"""),"Almería")</f>
        <v>Almería</v>
      </c>
      <c r="H421" s="6" t="str">
        <f ca="1">IFERROR(__xludf.DUMMYFUNCTION("""COMPUTED_VALUE"""),"C20263511656958322")</f>
        <v>C20263511656958322</v>
      </c>
      <c r="I421" s="6" t="str">
        <f ca="1">IFERROR(__xludf.DUMMYFUNCTION("""COMPUTED_VALUE"""),"ENCARNACIÓN GONZALEZ HERNANDEZ")</f>
        <v>ENCARNACIÓN GONZALEZ HERNANDEZ</v>
      </c>
      <c r="J421" s="16">
        <f ca="1">IFERROR(__xludf.DUMMYFUNCTION("""COMPUTED_VALUE"""),46086)</f>
        <v>46086</v>
      </c>
      <c r="K421" s="6" t="str">
        <f ca="1">IFERROR(__xludf.DUMMYFUNCTION("""COMPUTED_VALUE"""),"Factura audífonos")</f>
        <v>Factura audífonos</v>
      </c>
      <c r="L421" s="16">
        <f ca="1">IFERROR(__xludf.DUMMYFUNCTION("""COMPUTED_VALUE"""),46107)</f>
        <v>46107</v>
      </c>
      <c r="M421" s="23" t="str">
        <f ca="1">IFERROR(__xludf.DUMMYFUNCTION("""COMPUTED_VALUE"""),"NO")</f>
        <v>NO</v>
      </c>
      <c r="N421" s="15">
        <f ca="1">IFERROR(__xludf.DUMMYFUNCTION("""COMPUTED_VALUE"""),1)</f>
        <v>1</v>
      </c>
      <c r="O421" s="23" t="str">
        <f ca="1">IFERROR(__xludf.DUMMYFUNCTION("""COMPUTED_VALUE"""),"QUIET")</f>
        <v>QUIET</v>
      </c>
      <c r="P421" s="21">
        <f ca="1">IFERROR(__xludf.DUMMYFUNCTION("""COMPUTED_VALUE"""),1545.45)</f>
        <v>1545.45</v>
      </c>
      <c r="Q421" s="6" t="str">
        <f ca="1">IFERROR(__xludf.DUMMYFUNCTION("""COMPUTED_VALUE"""),"Ramon Ferrando")</f>
        <v>Ramon Ferrando</v>
      </c>
      <c r="R421" s="6" t="str">
        <f ca="1">IFERROR(__xludf.DUMMYFUNCTION("""COMPUTED_VALUE"""),"Antonio José Fernández Pérez")</f>
        <v>Antonio José Fernández Pérez</v>
      </c>
      <c r="S421" s="20" t="str">
        <f ca="1">IFERROR(__xludf.DUMMYFUNCTION("""COMPUTED_VALUE"""),"03 ORL")</f>
        <v>03 ORL</v>
      </c>
      <c r="T421" s="6" t="str">
        <f ca="1">IFERROR(__xludf.DUMMYFUNCTION("""COMPUTED_VALUE"""),"06 ORL")</f>
        <v>06 ORL</v>
      </c>
      <c r="U421" s="21"/>
      <c r="W421" s="21"/>
      <c r="X421" s="21"/>
    </row>
    <row r="422" spans="2:24" ht="16">
      <c r="B422" s="14" t="str">
        <f t="shared" ca="1" si="1"/>
        <v>LRM</v>
      </c>
      <c r="C422" s="23" t="str">
        <f ca="1">IFERROR(__xludf.DUMMYFUNCTION("""COMPUTED_VALUE"""),"LRM257")</f>
        <v>LRM257</v>
      </c>
      <c r="D422" s="6" t="str">
        <f ca="1">IFERROR(__xludf.DUMMYFUNCTION("""COMPUTED_VALUE"""),"PARTICIPADOS")</f>
        <v>PARTICIPADOS</v>
      </c>
      <c r="E422" s="6">
        <f ca="1">IFERROR(__xludf.DUMMYFUNCTION("""COMPUTED_VALUE"""),2026)</f>
        <v>2026</v>
      </c>
      <c r="F422" s="15">
        <f ca="1">IFERROR(__xludf.DUMMYFUNCTION("""COMPUTED_VALUE"""),3)</f>
        <v>3</v>
      </c>
      <c r="G422" s="6" t="str">
        <f ca="1">IFERROR(__xludf.DUMMYFUNCTION("""COMPUTED_VALUE"""),"Talavera")</f>
        <v>Talavera</v>
      </c>
      <c r="H422" s="6" t="str">
        <f ca="1">IFERROR(__xludf.DUMMYFUNCTION("""COMPUTED_VALUE"""),"C2025411105516909")</f>
        <v>C2025411105516909</v>
      </c>
      <c r="I422" s="6" t="str">
        <f ca="1">IFERROR(__xludf.DUMMYFUNCTION("""COMPUTED_VALUE"""),"JULIA ROBLEDO MARTIN")</f>
        <v>JULIA ROBLEDO MARTIN</v>
      </c>
      <c r="J422" s="16">
        <f ca="1">IFERROR(__xludf.DUMMYFUNCTION("""COMPUTED_VALUE"""),45751)</f>
        <v>45751</v>
      </c>
      <c r="K422" s="6" t="str">
        <f ca="1">IFERROR(__xludf.DUMMYFUNCTION("""COMPUTED_VALUE"""),"Factura audífonos")</f>
        <v>Factura audífonos</v>
      </c>
      <c r="L422" s="16">
        <f ca="1">IFERROR(__xludf.DUMMYFUNCTION("""COMPUTED_VALUE"""),46107)</f>
        <v>46107</v>
      </c>
      <c r="M422" s="23" t="str">
        <f ca="1">IFERROR(__xludf.DUMMYFUNCTION("""COMPUTED_VALUE"""),"NO")</f>
        <v>NO</v>
      </c>
      <c r="N422" s="15">
        <f ca="1">IFERROR(__xludf.DUMMYFUNCTION("""COMPUTED_VALUE"""),2)</f>
        <v>2</v>
      </c>
      <c r="O422" s="23" t="str">
        <f ca="1">IFERROR(__xludf.DUMMYFUNCTION("""COMPUTED_VALUE"""),"QUIET")</f>
        <v>QUIET</v>
      </c>
      <c r="P422" s="21">
        <f ca="1">IFERROR(__xludf.DUMMYFUNCTION("""COMPUTED_VALUE"""),2718.18)</f>
        <v>2718.18</v>
      </c>
      <c r="Q422" s="6" t="str">
        <f ca="1">IFERROR(__xludf.DUMMYFUNCTION("""COMPUTED_VALUE"""),"Lisandro Russian")</f>
        <v>Lisandro Russian</v>
      </c>
      <c r="R422" s="6" t="str">
        <f ca="1">IFERROR(__xludf.DUMMYFUNCTION("""COMPUTED_VALUE"""),"María Del Rocío Lobato Pérez")</f>
        <v>María Del Rocío Lobato Pérez</v>
      </c>
      <c r="S422" s="20" t="str">
        <f ca="1">IFERROR(__xludf.DUMMYFUNCTION("""COMPUTED_VALUE"""),"03 ORL")</f>
        <v>03 ORL</v>
      </c>
      <c r="T422" s="6" t="str">
        <f ca="1">IFERROR(__xludf.DUMMYFUNCTION("""COMPUTED_VALUE"""),"06 ORL")</f>
        <v>06 ORL</v>
      </c>
      <c r="U422" s="21"/>
      <c r="W422" s="21"/>
      <c r="X422" s="21"/>
    </row>
    <row r="423" spans="2:24" ht="16">
      <c r="B423" s="14" t="str">
        <f t="shared" ca="1" si="1"/>
        <v>ISL</v>
      </c>
      <c r="C423" s="23" t="str">
        <f ca="1">IFERROR(__xludf.DUMMYFUNCTION("""COMPUTED_VALUE"""),"ISL104")</f>
        <v>ISL104</v>
      </c>
      <c r="D423" s="6" t="str">
        <f ca="1">IFERROR(__xludf.DUMMYFUNCTION("""COMPUTED_VALUE"""),"PROPIOS")</f>
        <v>PROPIOS</v>
      </c>
      <c r="E423" s="6">
        <f ca="1">IFERROR(__xludf.DUMMYFUNCTION("""COMPUTED_VALUE"""),2026)</f>
        <v>2026</v>
      </c>
      <c r="F423" s="15">
        <f ca="1">IFERROR(__xludf.DUMMYFUNCTION("""COMPUTED_VALUE"""),3)</f>
        <v>3</v>
      </c>
      <c r="G423" s="6" t="str">
        <f ca="1">IFERROR(__xludf.DUMMYFUNCTION("""COMPUTED_VALUE"""),"El Albir (Benidorm)")</f>
        <v>El Albir (Benidorm)</v>
      </c>
      <c r="H423" s="6" t="str">
        <f ca="1">IFERROR(__xludf.DUMMYFUNCTION("""COMPUTED_VALUE"""),"C202621115633636141")</f>
        <v>C202621115633636141</v>
      </c>
      <c r="I423" s="6" t="str">
        <f ca="1">IFERROR(__xludf.DUMMYFUNCTION("""COMPUTED_VALUE"""),"CLARA CORTES LAVIÓS")</f>
        <v>CLARA CORTES LAVIÓS</v>
      </c>
      <c r="J423" s="16">
        <f ca="1">IFERROR(__xludf.DUMMYFUNCTION("""COMPUTED_VALUE"""),46064)</f>
        <v>46064</v>
      </c>
      <c r="K423" s="6" t="str">
        <f ca="1">IFERROR(__xludf.DUMMYFUNCTION("""COMPUTED_VALUE"""),"Factura audífonos")</f>
        <v>Factura audífonos</v>
      </c>
      <c r="L423" s="16">
        <f ca="1">IFERROR(__xludf.DUMMYFUNCTION("""COMPUTED_VALUE"""),46107)</f>
        <v>46107</v>
      </c>
      <c r="M423" s="23" t="str">
        <f ca="1">IFERROR(__xludf.DUMMYFUNCTION("""COMPUTED_VALUE"""),"NO")</f>
        <v>NO</v>
      </c>
      <c r="N423" s="15">
        <f ca="1">IFERROR(__xludf.DUMMYFUNCTION("""COMPUTED_VALUE"""),2)</f>
        <v>2</v>
      </c>
      <c r="O423" s="23" t="str">
        <f ca="1">IFERROR(__xludf.DUMMYFUNCTION("""COMPUTED_VALUE"""),"QUIET")</f>
        <v>QUIET</v>
      </c>
      <c r="P423" s="21">
        <f ca="1">IFERROR(__xludf.DUMMYFUNCTION("""COMPUTED_VALUE"""),2772.27)</f>
        <v>2772.27</v>
      </c>
      <c r="Q423" s="6" t="str">
        <f ca="1">IFERROR(__xludf.DUMMYFUNCTION("""COMPUTED_VALUE"""),"Ramon Ferrando")</f>
        <v>Ramon Ferrando</v>
      </c>
      <c r="R423" s="6" t="str">
        <f ca="1">IFERROR(__xludf.DUMMYFUNCTION("""COMPUTED_VALUE"""),"Isabel Polo Tomás")</f>
        <v>Isabel Polo Tomás</v>
      </c>
      <c r="S423" s="20" t="str">
        <f ca="1">IFERROR(__xludf.DUMMYFUNCTION("""COMPUTED_VALUE"""),"03 ORL")</f>
        <v>03 ORL</v>
      </c>
      <c r="T423" s="6" t="str">
        <f ca="1">IFERROR(__xludf.DUMMYFUNCTION("""COMPUTED_VALUE"""),"06 ORL")</f>
        <v>06 ORL</v>
      </c>
      <c r="U423" s="21"/>
      <c r="W423" s="21"/>
      <c r="X423" s="21"/>
    </row>
    <row r="424" spans="2:24" ht="16">
      <c r="B424" s="14" t="str">
        <f t="shared" ca="1" si="1"/>
        <v>MBM</v>
      </c>
      <c r="C424" s="23" t="str">
        <f ca="1">IFERROR(__xludf.DUMMYFUNCTION("""COMPUTED_VALUE"""),"MBM07")</f>
        <v>MBM07</v>
      </c>
      <c r="D424" s="6" t="str">
        <f ca="1">IFERROR(__xludf.DUMMYFUNCTION("""COMPUTED_VALUE"""),"PARTICIPADOS")</f>
        <v>PARTICIPADOS</v>
      </c>
      <c r="E424" s="6">
        <f ca="1">IFERROR(__xludf.DUMMYFUNCTION("""COMPUTED_VALUE"""),2026)</f>
        <v>2026</v>
      </c>
      <c r="F424" s="15">
        <f ca="1">IFERROR(__xludf.DUMMYFUNCTION("""COMPUTED_VALUE"""),3)</f>
        <v>3</v>
      </c>
      <c r="G424" s="6" t="str">
        <f ca="1">IFERROR(__xludf.DUMMYFUNCTION("""COMPUTED_VALUE"""),"Madrid- La Oca")</f>
        <v>Madrid- La Oca</v>
      </c>
      <c r="H424" s="6" t="str">
        <f ca="1">IFERROR(__xludf.DUMMYFUNCTION("""COMPUTED_VALUE"""),"C202622016312913031")</f>
        <v>C202622016312913031</v>
      </c>
      <c r="I424" s="6" t="str">
        <f ca="1">IFERROR(__xludf.DUMMYFUNCTION("""COMPUTED_VALUE"""),"FERNANDO  CAMUÑAS LAZARO")</f>
        <v>FERNANDO  CAMUÑAS LAZARO</v>
      </c>
      <c r="J424" s="16">
        <f ca="1">IFERROR(__xludf.DUMMYFUNCTION("""COMPUTED_VALUE"""),46073)</f>
        <v>46073</v>
      </c>
      <c r="K424" s="6" t="str">
        <f ca="1">IFERROR(__xludf.DUMMYFUNCTION("""COMPUTED_VALUE"""),"Factura audífonos")</f>
        <v>Factura audífonos</v>
      </c>
      <c r="L424" s="16">
        <f ca="1">IFERROR(__xludf.DUMMYFUNCTION("""COMPUTED_VALUE"""),46107)</f>
        <v>46107</v>
      </c>
      <c r="M424" s="23" t="str">
        <f ca="1">IFERROR(__xludf.DUMMYFUNCTION("""COMPUTED_VALUE"""),"NO")</f>
        <v>NO</v>
      </c>
      <c r="N424" s="15">
        <f ca="1">IFERROR(__xludf.DUMMYFUNCTION("""COMPUTED_VALUE"""),1)</f>
        <v>1</v>
      </c>
      <c r="O424" s="23" t="str">
        <f ca="1">IFERROR(__xludf.DUMMYFUNCTION("""COMPUTED_VALUE"""),"CONFORT")</f>
        <v>CONFORT</v>
      </c>
      <c r="P424" s="21">
        <f ca="1">IFERROR(__xludf.DUMMYFUNCTION("""COMPUTED_VALUE"""),2180.91)</f>
        <v>2180.91</v>
      </c>
      <c r="Q424" s="6" t="str">
        <f ca="1">IFERROR(__xludf.DUMMYFUNCTION("""COMPUTED_VALUE"""),"Maika Blázquez")</f>
        <v>Maika Blázquez</v>
      </c>
      <c r="R424" s="6" t="str">
        <f ca="1">IFERROR(__xludf.DUMMYFUNCTION("""COMPUTED_VALUE"""),"Andreas Schilling Borghesi")</f>
        <v>Andreas Schilling Borghesi</v>
      </c>
      <c r="S424" s="20" t="str">
        <f ca="1">IFERROR(__xludf.DUMMYFUNCTION("""COMPUTED_VALUE"""),"03 ORL")</f>
        <v>03 ORL</v>
      </c>
      <c r="T424" s="6" t="str">
        <f ca="1">IFERROR(__xludf.DUMMYFUNCTION("""COMPUTED_VALUE"""),"06 ORL")</f>
        <v>06 ORL</v>
      </c>
      <c r="U424" s="21"/>
      <c r="W424" s="21"/>
      <c r="X424" s="21"/>
    </row>
    <row r="425" spans="2:24" ht="16">
      <c r="B425" s="14" t="str">
        <f t="shared" ca="1" si="1"/>
        <v>MBM</v>
      </c>
      <c r="C425" s="23" t="str">
        <f ca="1">IFERROR(__xludf.DUMMYFUNCTION("""COMPUTED_VALUE"""),"MBM74")</f>
        <v>MBM74</v>
      </c>
      <c r="D425" s="6" t="str">
        <f ca="1">IFERROR(__xludf.DUMMYFUNCTION("""COMPUTED_VALUE"""),"PROPIOS")</f>
        <v>PROPIOS</v>
      </c>
      <c r="E425" s="6">
        <f ca="1">IFERROR(__xludf.DUMMYFUNCTION("""COMPUTED_VALUE"""),2026)</f>
        <v>2026</v>
      </c>
      <c r="F425" s="15">
        <f ca="1">IFERROR(__xludf.DUMMYFUNCTION("""COMPUTED_VALUE"""),3)</f>
        <v>3</v>
      </c>
      <c r="G425" s="6" t="str">
        <f ca="1">IFERROR(__xludf.DUMMYFUNCTION("""COMPUTED_VALUE"""),"Fuenlabrada")</f>
        <v>Fuenlabrada</v>
      </c>
      <c r="H425" s="6" t="str">
        <f ca="1">IFERROR(__xludf.DUMMYFUNCTION("""COMPUTED_VALUE"""),"C202622511557773529")</f>
        <v>C202622511557773529</v>
      </c>
      <c r="I425" s="6" t="str">
        <f ca="1">IFERROR(__xludf.DUMMYFUNCTION("""COMPUTED_VALUE"""),"CARMEN  CUESTA GARCIA")</f>
        <v>CARMEN  CUESTA GARCIA</v>
      </c>
      <c r="J425" s="16">
        <f ca="1">IFERROR(__xludf.DUMMYFUNCTION("""COMPUTED_VALUE"""),46078)</f>
        <v>46078</v>
      </c>
      <c r="K425" s="6" t="str">
        <f ca="1">IFERROR(__xludf.DUMMYFUNCTION("""COMPUTED_VALUE"""),"Factura audífonos")</f>
        <v>Factura audífonos</v>
      </c>
      <c r="L425" s="16">
        <f ca="1">IFERROR(__xludf.DUMMYFUNCTION("""COMPUTED_VALUE"""),46107)</f>
        <v>46107</v>
      </c>
      <c r="M425" s="17" t="str">
        <f ca="1">IFERROR(__xludf.DUMMYFUNCTION("""COMPUTED_VALUE"""),"NO")</f>
        <v>NO</v>
      </c>
      <c r="N425" s="15">
        <f ca="1">IFERROR(__xludf.DUMMYFUNCTION("""COMPUTED_VALUE"""),1)</f>
        <v>1</v>
      </c>
      <c r="O425" s="23" t="str">
        <f ca="1">IFERROR(__xludf.DUMMYFUNCTION("""COMPUTED_VALUE"""),"CONFORT")</f>
        <v>CONFORT</v>
      </c>
      <c r="P425" s="21">
        <f ca="1">IFERROR(__xludf.DUMMYFUNCTION("""COMPUTED_VALUE"""),2180.91)</f>
        <v>2180.91</v>
      </c>
      <c r="Q425" s="6" t="str">
        <f ca="1">IFERROR(__xludf.DUMMYFUNCTION("""COMPUTED_VALUE"""),"Maika Blázquez")</f>
        <v>Maika Blázquez</v>
      </c>
      <c r="R425" s="6" t="str">
        <f ca="1">IFERROR(__xludf.DUMMYFUNCTION("""COMPUTED_VALUE"""),"Raimundo Andres Navarro Mediano")</f>
        <v>Raimundo Andres Navarro Mediano</v>
      </c>
      <c r="S425" s="20" t="str">
        <f ca="1">IFERROR(__xludf.DUMMYFUNCTION("""COMPUTED_VALUE"""),"03 ORL")</f>
        <v>03 ORL</v>
      </c>
      <c r="T425" s="6" t="str">
        <f ca="1">IFERROR(__xludf.DUMMYFUNCTION("""COMPUTED_VALUE"""),"06 ORL")</f>
        <v>06 ORL</v>
      </c>
      <c r="U425" s="21"/>
      <c r="W425" s="21"/>
      <c r="X425" s="21"/>
    </row>
    <row r="426" spans="2:24" ht="16">
      <c r="B426" s="14" t="str">
        <f t="shared" ca="1" si="1"/>
        <v>ISL</v>
      </c>
      <c r="C426" s="23" t="str">
        <f ca="1">IFERROR(__xludf.DUMMYFUNCTION("""COMPUTED_VALUE"""),"ISL54")</f>
        <v>ISL54</v>
      </c>
      <c r="D426" s="6" t="str">
        <f ca="1">IFERROR(__xludf.DUMMYFUNCTION("""COMPUTED_VALUE"""),"PROPIOS")</f>
        <v>PROPIOS</v>
      </c>
      <c r="E426" s="6">
        <f ca="1">IFERROR(__xludf.DUMMYFUNCTION("""COMPUTED_VALUE"""),2026)</f>
        <v>2026</v>
      </c>
      <c r="F426" s="15">
        <f ca="1">IFERROR(__xludf.DUMMYFUNCTION("""COMPUTED_VALUE"""),3)</f>
        <v>3</v>
      </c>
      <c r="G426" s="6" t="str">
        <f ca="1">IFERROR(__xludf.DUMMYFUNCTION("""COMPUTED_VALUE"""),"El Albir (Benidorm)")</f>
        <v>El Albir (Benidorm)</v>
      </c>
      <c r="H426" s="6" t="str">
        <f ca="1">IFERROR(__xludf.DUMMYFUNCTION("""COMPUTED_VALUE"""),"C20262616184191590")</f>
        <v>C20262616184191590</v>
      </c>
      <c r="I426" s="6" t="str">
        <f ca="1">IFERROR(__xludf.DUMMYFUNCTION("""COMPUTED_VALUE"""),"ANTONIO MUÑOZ VIVANCOS")</f>
        <v>ANTONIO MUÑOZ VIVANCOS</v>
      </c>
      <c r="J426" s="16">
        <f ca="1">IFERROR(__xludf.DUMMYFUNCTION("""COMPUTED_VALUE"""),46059)</f>
        <v>46059</v>
      </c>
      <c r="K426" s="6" t="str">
        <f ca="1">IFERROR(__xludf.DUMMYFUNCTION("""COMPUTED_VALUE"""),"Factura audífonos")</f>
        <v>Factura audífonos</v>
      </c>
      <c r="L426" s="16">
        <f ca="1">IFERROR(__xludf.DUMMYFUNCTION("""COMPUTED_VALUE"""),46107)</f>
        <v>46107</v>
      </c>
      <c r="M426" s="23" t="str">
        <f ca="1">IFERROR(__xludf.DUMMYFUNCTION("""COMPUTED_VALUE"""),"NO")</f>
        <v>NO</v>
      </c>
      <c r="N426" s="15">
        <f ca="1">IFERROR(__xludf.DUMMYFUNCTION("""COMPUTED_VALUE"""),2)</f>
        <v>2</v>
      </c>
      <c r="O426" s="17" t="str">
        <f ca="1">IFERROR(__xludf.DUMMYFUNCTION("""COMPUTED_VALUE"""),"QUIET")</f>
        <v>QUIET</v>
      </c>
      <c r="P426" s="21">
        <f ca="1">IFERROR(__xludf.DUMMYFUNCTION("""COMPUTED_VALUE"""),2718.18)</f>
        <v>2718.18</v>
      </c>
      <c r="Q426" s="6" t="str">
        <f ca="1">IFERROR(__xludf.DUMMYFUNCTION("""COMPUTED_VALUE"""),"Ramon Ferrando")</f>
        <v>Ramon Ferrando</v>
      </c>
      <c r="R426" s="6" t="str">
        <f ca="1">IFERROR(__xludf.DUMMYFUNCTION("""COMPUTED_VALUE"""),"José María Laborda Margolles")</f>
        <v>José María Laborda Margolles</v>
      </c>
      <c r="S426" s="20" t="str">
        <f ca="1">IFERROR(__xludf.DUMMYFUNCTION("""COMPUTED_VALUE"""),"03 ORL")</f>
        <v>03 ORL</v>
      </c>
      <c r="T426" s="6" t="str">
        <f ca="1">IFERROR(__xludf.DUMMYFUNCTION("""COMPUTED_VALUE"""),"06 ORL")</f>
        <v>06 ORL</v>
      </c>
      <c r="U426" s="21"/>
      <c r="W426" s="21"/>
      <c r="X426" s="21"/>
    </row>
    <row r="427" spans="2:24" ht="16">
      <c r="B427" s="14" t="str">
        <f t="shared" ca="1" si="1"/>
        <v>LRM</v>
      </c>
      <c r="C427" s="23" t="str">
        <f ca="1">IFERROR(__xludf.DUMMYFUNCTION("""COMPUTED_VALUE"""),"LRM56")</f>
        <v>LRM56</v>
      </c>
      <c r="D427" s="6" t="str">
        <f ca="1">IFERROR(__xludf.DUMMYFUNCTION("""COMPUTED_VALUE"""),"ASOCIADOS")</f>
        <v>ASOCIADOS</v>
      </c>
      <c r="E427" s="6">
        <f ca="1">IFERROR(__xludf.DUMMYFUNCTION("""COMPUTED_VALUE"""),2026)</f>
        <v>2026</v>
      </c>
      <c r="F427" s="15">
        <f ca="1">IFERROR(__xludf.DUMMYFUNCTION("""COMPUTED_VALUE"""),3)</f>
        <v>3</v>
      </c>
      <c r="G427" s="6" t="str">
        <f ca="1">IFERROR(__xludf.DUMMYFUNCTION("""COMPUTED_VALUE"""),"Zaragoza- Santander")</f>
        <v>Zaragoza- Santander</v>
      </c>
      <c r="H427" s="6" t="str">
        <f ca="1">IFERROR(__xludf.DUMMYFUNCTION("""COMPUTED_VALUE"""),"C202512171782383625")</f>
        <v>C202512171782383625</v>
      </c>
      <c r="I427" s="6" t="str">
        <f ca="1">IFERROR(__xludf.DUMMYFUNCTION("""COMPUTED_VALUE"""),"MARIA ANGELES ROMEO MALO")</f>
        <v>MARIA ANGELES ROMEO MALO</v>
      </c>
      <c r="J427" s="16">
        <f ca="1">IFERROR(__xludf.DUMMYFUNCTION("""COMPUTED_VALUE"""),46008)</f>
        <v>46008</v>
      </c>
      <c r="K427" s="6" t="str">
        <f ca="1">IFERROR(__xludf.DUMMYFUNCTION("""COMPUTED_VALUE"""),"Factura audífonos")</f>
        <v>Factura audífonos</v>
      </c>
      <c r="L427" s="16">
        <f ca="1">IFERROR(__xludf.DUMMYFUNCTION("""COMPUTED_VALUE"""),46107)</f>
        <v>46107</v>
      </c>
      <c r="M427" s="23" t="str">
        <f ca="1">IFERROR(__xludf.DUMMYFUNCTION("""COMPUTED_VALUE"""),"NO")</f>
        <v>NO</v>
      </c>
      <c r="N427" s="15">
        <f ca="1">IFERROR(__xludf.DUMMYFUNCTION("""COMPUTED_VALUE"""),2)</f>
        <v>2</v>
      </c>
      <c r="O427" s="23" t="str">
        <f ca="1">IFERROR(__xludf.DUMMYFUNCTION("""COMPUTED_VALUE"""),"QUIET")</f>
        <v>QUIET</v>
      </c>
      <c r="P427" s="21">
        <f ca="1">IFERROR(__xludf.DUMMYFUNCTION("""COMPUTED_VALUE"""),3136.36)</f>
        <v>3136.36</v>
      </c>
      <c r="Q427" s="6" t="str">
        <f ca="1">IFERROR(__xludf.DUMMYFUNCTION("""COMPUTED_VALUE"""),"Ignacio Berdejo")</f>
        <v>Ignacio Berdejo</v>
      </c>
      <c r="R427" s="6" t="str">
        <f ca="1">IFERROR(__xludf.DUMMYFUNCTION("""COMPUTED_VALUE"""),"Jaime Leache Pueyo")</f>
        <v>Jaime Leache Pueyo</v>
      </c>
      <c r="S427" s="20" t="str">
        <f ca="1">IFERROR(__xludf.DUMMYFUNCTION("""COMPUTED_VALUE"""),"03 ORL")</f>
        <v>03 ORL</v>
      </c>
      <c r="T427" s="6" t="str">
        <f ca="1">IFERROR(__xludf.DUMMYFUNCTION("""COMPUTED_VALUE"""),"06 ORL")</f>
        <v>06 ORL</v>
      </c>
      <c r="U427" s="21"/>
      <c r="W427" s="21"/>
      <c r="X427" s="21"/>
    </row>
    <row r="428" spans="2:24" ht="16">
      <c r="B428" s="14" t="str">
        <f t="shared" ca="1" si="1"/>
        <v>#N/</v>
      </c>
      <c r="C428" s="23" t="str">
        <f ca="1">IFERROR(__xludf.DUMMYFUNCTION("""COMPUTED_VALUE"""),"#N/A")</f>
        <v>#N/A</v>
      </c>
      <c r="D428" s="6" t="str">
        <f ca="1">IFERROR(__xludf.DUMMYFUNCTION("""COMPUTED_VALUE"""),"PROPIOS")</f>
        <v>PROPIOS</v>
      </c>
      <c r="E428" s="6">
        <f ca="1">IFERROR(__xludf.DUMMYFUNCTION("""COMPUTED_VALUE"""),2026)</f>
        <v>2026</v>
      </c>
      <c r="F428" s="15">
        <f ca="1">IFERROR(__xludf.DUMMYFUNCTION("""COMPUTED_VALUE"""),3)</f>
        <v>3</v>
      </c>
      <c r="G428" s="6" t="str">
        <f ca="1">IFERROR(__xludf.DUMMYFUNCTION("""COMPUTED_VALUE"""),"Almería")</f>
        <v>Almería</v>
      </c>
      <c r="H428" s="6" t="str">
        <f ca="1">IFERROR(__xludf.DUMMYFUNCTION("""COMPUTED_VALUE"""),"C202635164147856493")</f>
        <v>C202635164147856493</v>
      </c>
      <c r="I428" s="6" t="str">
        <f ca="1">IFERROR(__xludf.DUMMYFUNCTION("""COMPUTED_VALUE"""),"JOAQUIN MARTIN ALMECIJA")</f>
        <v>JOAQUIN MARTIN ALMECIJA</v>
      </c>
      <c r="J428" s="16">
        <f ca="1">IFERROR(__xludf.DUMMYFUNCTION("""COMPUTED_VALUE"""),46086)</f>
        <v>46086</v>
      </c>
      <c r="K428" s="6" t="str">
        <f ca="1">IFERROR(__xludf.DUMMYFUNCTION("""COMPUTED_VALUE"""),"Factura audífonos")</f>
        <v>Factura audífonos</v>
      </c>
      <c r="L428" s="16">
        <f ca="1">IFERROR(__xludf.DUMMYFUNCTION("""COMPUTED_VALUE"""),46107)</f>
        <v>46107</v>
      </c>
      <c r="M428" s="23" t="str">
        <f ca="1">IFERROR(__xludf.DUMMYFUNCTION("""COMPUTED_VALUE"""),"NO")</f>
        <v>NO</v>
      </c>
      <c r="N428" s="15">
        <f ca="1">IFERROR(__xludf.DUMMYFUNCTION("""COMPUTED_VALUE"""),1)</f>
        <v>1</v>
      </c>
      <c r="O428" s="23" t="str">
        <f ca="1">IFERROR(__xludf.DUMMYFUNCTION("""COMPUTED_VALUE"""),"QUIET")</f>
        <v>QUIET</v>
      </c>
      <c r="P428" s="21">
        <f ca="1">IFERROR(__xludf.DUMMYFUNCTION("""COMPUTED_VALUE"""),1631.82)</f>
        <v>1631.82</v>
      </c>
      <c r="Q428" s="6" t="str">
        <f ca="1">IFERROR(__xludf.DUMMYFUNCTION("""COMPUTED_VALUE"""),"Ramon Ferrando")</f>
        <v>Ramon Ferrando</v>
      </c>
      <c r="R428" s="6" t="str">
        <f ca="1">IFERROR(__xludf.DUMMYFUNCTION("""COMPUTED_VALUE"""),"Daniel Alberto Finol Toro")</f>
        <v>Daniel Alberto Finol Toro</v>
      </c>
      <c r="S428" s="20" t="str">
        <f ca="1">IFERROR(__xludf.DUMMYFUNCTION("""COMPUTED_VALUE"""),"03 ORL")</f>
        <v>03 ORL</v>
      </c>
      <c r="T428" s="6" t="str">
        <f ca="1">IFERROR(__xludf.DUMMYFUNCTION("""COMPUTED_VALUE"""),"06 ORL")</f>
        <v>06 ORL</v>
      </c>
      <c r="U428" s="21"/>
      <c r="W428" s="21"/>
      <c r="X428" s="21"/>
    </row>
    <row r="429" spans="2:24" ht="16">
      <c r="B429" s="14" t="str">
        <f t="shared" ca="1" si="1"/>
        <v>RPG</v>
      </c>
      <c r="C429" s="23" t="str">
        <f ca="1">IFERROR(__xludf.DUMMYFUNCTION("""COMPUTED_VALUE"""),"RPG14")</f>
        <v>RPG14</v>
      </c>
      <c r="D429" s="6" t="str">
        <f ca="1">IFERROR(__xludf.DUMMYFUNCTION("""COMPUTED_VALUE"""),"PARTICIPADOS")</f>
        <v>PARTICIPADOS</v>
      </c>
      <c r="E429" s="6">
        <f ca="1">IFERROR(__xludf.DUMMYFUNCTION("""COMPUTED_VALUE"""),2026)</f>
        <v>2026</v>
      </c>
      <c r="F429" s="15">
        <f ca="1">IFERROR(__xludf.DUMMYFUNCTION("""COMPUTED_VALUE"""),3)</f>
        <v>3</v>
      </c>
      <c r="G429" s="6" t="str">
        <f ca="1">IFERROR(__xludf.DUMMYFUNCTION("""COMPUTED_VALUE"""),"Santiago de Compostela")</f>
        <v>Santiago de Compostela</v>
      </c>
      <c r="H429" s="6" t="str">
        <f ca="1">IFERROR(__xludf.DUMMYFUNCTION("""COMPUTED_VALUE"""),"C20263510319025766")</f>
        <v>C20263510319025766</v>
      </c>
      <c r="I429" s="6" t="str">
        <f ca="1">IFERROR(__xludf.DUMMYFUNCTION("""COMPUTED_VALUE"""),"MARI CARMEN GARCIA GERPE")</f>
        <v>MARI CARMEN GARCIA GERPE</v>
      </c>
      <c r="J429" s="16">
        <f ca="1">IFERROR(__xludf.DUMMYFUNCTION("""COMPUTED_VALUE"""),46086)</f>
        <v>46086</v>
      </c>
      <c r="K429" s="6" t="str">
        <f ca="1">IFERROR(__xludf.DUMMYFUNCTION("""COMPUTED_VALUE"""),"Factura audífonos")</f>
        <v>Factura audífonos</v>
      </c>
      <c r="L429" s="16">
        <f ca="1">IFERROR(__xludf.DUMMYFUNCTION("""COMPUTED_VALUE"""),46107)</f>
        <v>46107</v>
      </c>
      <c r="M429" s="23" t="str">
        <f ca="1">IFERROR(__xludf.DUMMYFUNCTION("""COMPUTED_VALUE"""),"NO")</f>
        <v>NO</v>
      </c>
      <c r="N429" s="15">
        <f ca="1">IFERROR(__xludf.DUMMYFUNCTION("""COMPUTED_VALUE"""),2)</f>
        <v>2</v>
      </c>
      <c r="O429" s="23" t="str">
        <f ca="1">IFERROR(__xludf.DUMMYFUNCTION("""COMPUTED_VALUE"""),"QUIET")</f>
        <v>QUIET</v>
      </c>
      <c r="P429" s="21">
        <f ca="1">IFERROR(__xludf.DUMMYFUNCTION("""COMPUTED_VALUE"""),2918.18)</f>
        <v>2918.18</v>
      </c>
      <c r="Q429" s="6" t="str">
        <f ca="1">IFERROR(__xludf.DUMMYFUNCTION("""COMPUTED_VALUE"""),"Kiko Ortega")</f>
        <v>Kiko Ortega</v>
      </c>
      <c r="R429" s="6" t="str">
        <f ca="1">IFERROR(__xludf.DUMMYFUNCTION("""COMPUTED_VALUE"""),"Gabriel Martínez Capoccini")</f>
        <v>Gabriel Martínez Capoccini</v>
      </c>
      <c r="S429" s="20" t="str">
        <f ca="1">IFERROR(__xludf.DUMMYFUNCTION("""COMPUTED_VALUE"""),"03 ORL")</f>
        <v>03 ORL</v>
      </c>
      <c r="T429" s="6" t="str">
        <f ca="1">IFERROR(__xludf.DUMMYFUNCTION("""COMPUTED_VALUE"""),"06 ORL")</f>
        <v>06 ORL</v>
      </c>
      <c r="U429" s="21"/>
      <c r="W429" s="21"/>
      <c r="X429" s="21"/>
    </row>
    <row r="430" spans="2:24" ht="16">
      <c r="B430" s="14" t="str">
        <f t="shared" ca="1" si="1"/>
        <v>ISL</v>
      </c>
      <c r="C430" s="23" t="str">
        <f ca="1">IFERROR(__xludf.DUMMYFUNCTION("""COMPUTED_VALUE"""),"ISL104")</f>
        <v>ISL104</v>
      </c>
      <c r="D430" s="6" t="str">
        <f ca="1">IFERROR(__xludf.DUMMYFUNCTION("""COMPUTED_VALUE"""),"PROPIOS")</f>
        <v>PROPIOS</v>
      </c>
      <c r="E430" s="6">
        <f ca="1">IFERROR(__xludf.DUMMYFUNCTION("""COMPUTED_VALUE"""),2026)</f>
        <v>2026</v>
      </c>
      <c r="F430" s="15">
        <f ca="1">IFERROR(__xludf.DUMMYFUNCTION("""COMPUTED_VALUE"""),3)</f>
        <v>3</v>
      </c>
      <c r="G430" s="6" t="str">
        <f ca="1">IFERROR(__xludf.DUMMYFUNCTION("""COMPUTED_VALUE"""),"El Albir (Benidorm)")</f>
        <v>El Albir (Benidorm)</v>
      </c>
      <c r="H430" s="6" t="str">
        <f ca="1">IFERROR(__xludf.DUMMYFUNCTION("""COMPUTED_VALUE"""),"C202612111562968731")</f>
        <v>C202612111562968731</v>
      </c>
      <c r="I430" s="6" t="str">
        <f ca="1">IFERROR(__xludf.DUMMYFUNCTION("""COMPUTED_VALUE"""),"ANTONIO ANTON PEINADO")</f>
        <v>ANTONIO ANTON PEINADO</v>
      </c>
      <c r="J430" s="16">
        <f ca="1">IFERROR(__xludf.DUMMYFUNCTION("""COMPUTED_VALUE"""),46043)</f>
        <v>46043</v>
      </c>
      <c r="K430" s="6" t="str">
        <f ca="1">IFERROR(__xludf.DUMMYFUNCTION("""COMPUTED_VALUE"""),"Factura audífonos")</f>
        <v>Factura audífonos</v>
      </c>
      <c r="L430" s="16">
        <f ca="1">IFERROR(__xludf.DUMMYFUNCTION("""COMPUTED_VALUE"""),46107)</f>
        <v>46107</v>
      </c>
      <c r="M430" s="23" t="str">
        <f ca="1">IFERROR(__xludf.DUMMYFUNCTION("""COMPUTED_VALUE"""),"NO")</f>
        <v>NO</v>
      </c>
      <c r="N430" s="15">
        <f ca="1">IFERROR(__xludf.DUMMYFUNCTION("""COMPUTED_VALUE"""),2)</f>
        <v>2</v>
      </c>
      <c r="O430" s="23" t="str">
        <f ca="1">IFERROR(__xludf.DUMMYFUNCTION("""COMPUTED_VALUE"""),"CONFORT")</f>
        <v>CONFORT</v>
      </c>
      <c r="P430" s="21">
        <f ca="1">IFERROR(__xludf.DUMMYFUNCTION("""COMPUTED_VALUE"""),3631.82)</f>
        <v>3631.82</v>
      </c>
      <c r="Q430" s="6" t="str">
        <f ca="1">IFERROR(__xludf.DUMMYFUNCTION("""COMPUTED_VALUE"""),"Ramon Ferrando")</f>
        <v>Ramon Ferrando</v>
      </c>
      <c r="R430" s="6" t="str">
        <f ca="1">IFERROR(__xludf.DUMMYFUNCTION("""COMPUTED_VALUE"""),"Isabel Polo Tomás")</f>
        <v>Isabel Polo Tomás</v>
      </c>
      <c r="S430" s="20" t="str">
        <f ca="1">IFERROR(__xludf.DUMMYFUNCTION("""COMPUTED_VALUE"""),"03 ORL")</f>
        <v>03 ORL</v>
      </c>
      <c r="T430" s="6" t="str">
        <f ca="1">IFERROR(__xludf.DUMMYFUNCTION("""COMPUTED_VALUE"""),"06 ORL")</f>
        <v>06 ORL</v>
      </c>
      <c r="U430" s="21"/>
      <c r="W430" s="21"/>
      <c r="X430" s="21"/>
    </row>
    <row r="431" spans="2:24" ht="16">
      <c r="B431" s="14" t="str">
        <f t="shared" si="1"/>
        <v/>
      </c>
      <c r="C431" s="23"/>
      <c r="D431" s="6" t="str">
        <f ca="1">IFERROR(__xludf.DUMMYFUNCTION("""COMPUTED_VALUE"""),"PROPIOS")</f>
        <v>PROPIOS</v>
      </c>
      <c r="E431" s="6">
        <f ca="1">IFERROR(__xludf.DUMMYFUNCTION("""COMPUTED_VALUE"""),2026)</f>
        <v>2026</v>
      </c>
      <c r="F431" s="15">
        <f ca="1">IFERROR(__xludf.DUMMYFUNCTION("""COMPUTED_VALUE"""),3)</f>
        <v>3</v>
      </c>
      <c r="G431" s="6" t="str">
        <f ca="1">IFERROR(__xludf.DUMMYFUNCTION("""COMPUTED_VALUE"""),"Madrid- Canillas")</f>
        <v>Madrid- Canillas</v>
      </c>
      <c r="H431" s="6" t="str">
        <f ca="1">IFERROR(__xludf.DUMMYFUNCTION("""COMPUTED_VALUE"""),"C20263391426799994")</f>
        <v>C20263391426799994</v>
      </c>
      <c r="I431" s="6" t="str">
        <f ca="1">IFERROR(__xludf.DUMMYFUNCTION("""COMPUTED_VALUE"""),"MARIA ELENA RODRIGUEZ ALULEMA")</f>
        <v>MARIA ELENA RODRIGUEZ ALULEMA</v>
      </c>
      <c r="J431" s="16">
        <f ca="1">IFERROR(__xludf.DUMMYFUNCTION("""COMPUTED_VALUE"""),46084)</f>
        <v>46084</v>
      </c>
      <c r="K431" s="6" t="str">
        <f ca="1">IFERROR(__xludf.DUMMYFUNCTION("""COMPUTED_VALUE"""),"Factura audífonos")</f>
        <v>Factura audífonos</v>
      </c>
      <c r="L431" s="16">
        <f ca="1">IFERROR(__xludf.DUMMYFUNCTION("""COMPUTED_VALUE"""),46107)</f>
        <v>46107</v>
      </c>
      <c r="M431" s="23" t="str">
        <f ca="1">IFERROR(__xludf.DUMMYFUNCTION("""COMPUTED_VALUE"""),"NO")</f>
        <v>NO</v>
      </c>
      <c r="N431" s="15">
        <f ca="1">IFERROR(__xludf.DUMMYFUNCTION("""COMPUTED_VALUE"""),2)</f>
        <v>2</v>
      </c>
      <c r="O431" s="23" t="str">
        <f ca="1">IFERROR(__xludf.DUMMYFUNCTION("""COMPUTED_VALUE"""),"QUIET")</f>
        <v>QUIET</v>
      </c>
      <c r="P431" s="21">
        <f ca="1">IFERROR(__xludf.DUMMYFUNCTION("""COMPUTED_VALUE"""),2718.18)</f>
        <v>2718.18</v>
      </c>
      <c r="Q431" s="6" t="str">
        <f ca="1">IFERROR(__xludf.DUMMYFUNCTION("""COMPUTED_VALUE"""),"Maika Blázquez")</f>
        <v>Maika Blázquez</v>
      </c>
      <c r="R431" s="6" t="str">
        <f ca="1">IFERROR(__xludf.DUMMYFUNCTION("""COMPUTED_VALUE"""),"No recuerda ORL")</f>
        <v>No recuerda ORL</v>
      </c>
      <c r="S431" s="20" t="str">
        <f ca="1">IFERROR(__xludf.DUMMYFUNCTION("""COMPUTED_VALUE"""),"03 ORL")</f>
        <v>03 ORL</v>
      </c>
      <c r="T431" s="6" t="str">
        <f ca="1">IFERROR(__xludf.DUMMYFUNCTION("""COMPUTED_VALUE"""),"06 ORL")</f>
        <v>06 ORL</v>
      </c>
      <c r="U431" s="21"/>
      <c r="W431" s="21"/>
      <c r="X431" s="21"/>
    </row>
    <row r="432" spans="2:24" ht="16">
      <c r="B432" s="14" t="str">
        <f t="shared" ca="1" si="1"/>
        <v>#N/</v>
      </c>
      <c r="C432" s="23" t="str">
        <f ca="1">IFERROR(__xludf.DUMMYFUNCTION("""COMPUTED_VALUE"""),"#N/A")</f>
        <v>#N/A</v>
      </c>
      <c r="D432" s="6" t="str">
        <f ca="1">IFERROR(__xludf.DUMMYFUNCTION("""COMPUTED_VALUE"""),"PROPIOS")</f>
        <v>PROPIOS</v>
      </c>
      <c r="E432" s="6">
        <f ca="1">IFERROR(__xludf.DUMMYFUNCTION("""COMPUTED_VALUE"""),2026)</f>
        <v>2026</v>
      </c>
      <c r="F432" s="15">
        <f ca="1">IFERROR(__xludf.DUMMYFUNCTION("""COMPUTED_VALUE"""),3)</f>
        <v>3</v>
      </c>
      <c r="G432" s="6" t="str">
        <f ca="1">IFERROR(__xludf.DUMMYFUNCTION("""COMPUTED_VALUE"""),"Getafe")</f>
        <v>Getafe</v>
      </c>
      <c r="H432" s="6" t="str">
        <f ca="1">IFERROR(__xludf.DUMMYFUNCTION("""COMPUTED_VALUE"""),"C202622311526574591")</f>
        <v>C202622311526574591</v>
      </c>
      <c r="I432" s="6" t="str">
        <f ca="1">IFERROR(__xludf.DUMMYFUNCTION("""COMPUTED_VALUE"""),"MAGDALENA  LOPEZ MORENA")</f>
        <v>MAGDALENA  LOPEZ MORENA</v>
      </c>
      <c r="J432" s="16">
        <f ca="1">IFERROR(__xludf.DUMMYFUNCTION("""COMPUTED_VALUE"""),46076)</f>
        <v>46076</v>
      </c>
      <c r="K432" s="6" t="str">
        <f ca="1">IFERROR(__xludf.DUMMYFUNCTION("""COMPUTED_VALUE"""),"Factura audífonos")</f>
        <v>Factura audífonos</v>
      </c>
      <c r="L432" s="16">
        <f ca="1">IFERROR(__xludf.DUMMYFUNCTION("""COMPUTED_VALUE"""),46107)</f>
        <v>46107</v>
      </c>
      <c r="M432" s="23" t="str">
        <f ca="1">IFERROR(__xludf.DUMMYFUNCTION("""COMPUTED_VALUE"""),"NO")</f>
        <v>NO</v>
      </c>
      <c r="N432" s="15">
        <f ca="1">IFERROR(__xludf.DUMMYFUNCTION("""COMPUTED_VALUE"""),2)</f>
        <v>2</v>
      </c>
      <c r="O432" s="23" t="str">
        <f ca="1">IFERROR(__xludf.DUMMYFUNCTION("""COMPUTED_VALUE"""),"QUIET")</f>
        <v>QUIET</v>
      </c>
      <c r="P432" s="21">
        <f ca="1">IFERROR(__xludf.DUMMYFUNCTION("""COMPUTED_VALUE"""),2718.19)</f>
        <v>2718.19</v>
      </c>
      <c r="Q432" s="6" t="str">
        <f ca="1">IFERROR(__xludf.DUMMYFUNCTION("""COMPUTED_VALUE"""),"Maika Blázquez")</f>
        <v>Maika Blázquez</v>
      </c>
      <c r="R432" s="6" t="str">
        <f ca="1">IFERROR(__xludf.DUMMYFUNCTION("""COMPUTED_VALUE"""),"Cristina Herrero Fernández")</f>
        <v>Cristina Herrero Fernández</v>
      </c>
      <c r="S432" s="20" t="str">
        <f ca="1">IFERROR(__xludf.DUMMYFUNCTION("""COMPUTED_VALUE"""),"03 ORL")</f>
        <v>03 ORL</v>
      </c>
      <c r="T432" s="6" t="str">
        <f ca="1">IFERROR(__xludf.DUMMYFUNCTION("""COMPUTED_VALUE"""),"06 ORL")</f>
        <v>06 ORL</v>
      </c>
      <c r="U432" s="21"/>
      <c r="W432" s="21"/>
      <c r="X432" s="21"/>
    </row>
    <row r="433" spans="2:24" ht="16">
      <c r="B433" s="14" t="str">
        <f t="shared" ca="1" si="1"/>
        <v>RFV</v>
      </c>
      <c r="C433" s="23" t="str">
        <f ca="1">IFERROR(__xludf.DUMMYFUNCTION("""COMPUTED_VALUE"""),"RFV22")</f>
        <v>RFV22</v>
      </c>
      <c r="D433" s="6" t="str">
        <f ca="1">IFERROR(__xludf.DUMMYFUNCTION("""COMPUTED_VALUE"""),"PROPIOS")</f>
        <v>PROPIOS</v>
      </c>
      <c r="E433" s="6">
        <f ca="1">IFERROR(__xludf.DUMMYFUNCTION("""COMPUTED_VALUE"""),2026)</f>
        <v>2026</v>
      </c>
      <c r="F433" s="15">
        <f ca="1">IFERROR(__xludf.DUMMYFUNCTION("""COMPUTED_VALUE"""),3)</f>
        <v>3</v>
      </c>
      <c r="G433" s="6" t="str">
        <f ca="1">IFERROR(__xludf.DUMMYFUNCTION("""COMPUTED_VALUE"""),"Valencia- Cádiz")</f>
        <v>Valencia- Cádiz</v>
      </c>
      <c r="H433" s="6" t="str">
        <f ca="1">IFERROR(__xludf.DUMMYFUNCTION("""COMPUTED_VALUE"""),"C202618113411407364")</f>
        <v>C202618113411407364</v>
      </c>
      <c r="I433" s="6" t="str">
        <f ca="1">IFERROR(__xludf.DUMMYFUNCTION("""COMPUTED_VALUE"""),"FRANCISCO JESÚS DE FRÍAS LUJÁN")</f>
        <v>FRANCISCO JESÚS DE FRÍAS LUJÁN</v>
      </c>
      <c r="J433" s="16">
        <f ca="1">IFERROR(__xludf.DUMMYFUNCTION("""COMPUTED_VALUE"""),46030)</f>
        <v>46030</v>
      </c>
      <c r="K433" s="6" t="str">
        <f ca="1">IFERROR(__xludf.DUMMYFUNCTION("""COMPUTED_VALUE"""),"Factura audífonos")</f>
        <v>Factura audífonos</v>
      </c>
      <c r="L433" s="16">
        <f ca="1">IFERROR(__xludf.DUMMYFUNCTION("""COMPUTED_VALUE"""),46107)</f>
        <v>46107</v>
      </c>
      <c r="M433" s="23" t="str">
        <f ca="1">IFERROR(__xludf.DUMMYFUNCTION("""COMPUTED_VALUE"""),"NO")</f>
        <v>NO</v>
      </c>
      <c r="N433" s="15">
        <f ca="1">IFERROR(__xludf.DUMMYFUNCTION("""COMPUTED_VALUE"""),1)</f>
        <v>1</v>
      </c>
      <c r="O433" s="23" t="str">
        <f ca="1">IFERROR(__xludf.DUMMYFUNCTION("""COMPUTED_VALUE"""),"ADVANCED")</f>
        <v>ADVANCED</v>
      </c>
      <c r="P433" s="21">
        <f ca="1">IFERROR(__xludf.DUMMYFUNCTION("""COMPUTED_VALUE"""),2481.82)</f>
        <v>2481.8200000000002</v>
      </c>
      <c r="Q433" s="6" t="str">
        <f ca="1">IFERROR(__xludf.DUMMYFUNCTION("""COMPUTED_VALUE"""),"Ramon Ferrando")</f>
        <v>Ramon Ferrando</v>
      </c>
      <c r="R433" s="6" t="str">
        <f ca="1">IFERROR(__xludf.DUMMYFUNCTION("""COMPUTED_VALUE"""),"Martín Eduardo Marcano Acuña")</f>
        <v>Martín Eduardo Marcano Acuña</v>
      </c>
      <c r="S433" s="20" t="str">
        <f ca="1">IFERROR(__xludf.DUMMYFUNCTION("""COMPUTED_VALUE"""),"03 ORL")</f>
        <v>03 ORL</v>
      </c>
      <c r="T433" s="6" t="str">
        <f ca="1">IFERROR(__xludf.DUMMYFUNCTION("""COMPUTED_VALUE"""),"06 ORL")</f>
        <v>06 ORL</v>
      </c>
      <c r="U433" s="21"/>
      <c r="W433" s="21"/>
      <c r="X433" s="21"/>
    </row>
    <row r="434" spans="2:24" ht="16">
      <c r="B434" s="14" t="str">
        <f t="shared" ca="1" si="1"/>
        <v>MBM</v>
      </c>
      <c r="C434" s="23" t="str">
        <f ca="1">IFERROR(__xludf.DUMMYFUNCTION("""COMPUTED_VALUE"""),"MBM42")</f>
        <v>MBM42</v>
      </c>
      <c r="D434" s="6" t="str">
        <f ca="1">IFERROR(__xludf.DUMMYFUNCTION("""COMPUTED_VALUE"""),"PROPIOS")</f>
        <v>PROPIOS</v>
      </c>
      <c r="E434" s="6">
        <f ca="1">IFERROR(__xludf.DUMMYFUNCTION("""COMPUTED_VALUE"""),2026)</f>
        <v>2026</v>
      </c>
      <c r="F434" s="15">
        <f ca="1">IFERROR(__xludf.DUMMYFUNCTION("""COMPUTED_VALUE"""),3)</f>
        <v>3</v>
      </c>
      <c r="G434" s="6" t="str">
        <f ca="1">IFERROR(__xludf.DUMMYFUNCTION("""COMPUTED_VALUE"""),"Leganés")</f>
        <v>Leganés</v>
      </c>
      <c r="H434" s="6" t="str">
        <f ca="1">IFERROR(__xludf.DUMMYFUNCTION("""COMPUTED_VALUE"""),"C202622411404039012")</f>
        <v>C202622411404039012</v>
      </c>
      <c r="I434" s="6" t="str">
        <f ca="1">IFERROR(__xludf.DUMMYFUNCTION("""COMPUTED_VALUE"""),"JESUS ANGEL ORTIZ GONZALEZ")</f>
        <v>JESUS ANGEL ORTIZ GONZALEZ</v>
      </c>
      <c r="J434" s="16">
        <f ca="1">IFERROR(__xludf.DUMMYFUNCTION("""COMPUTED_VALUE"""),46077)</f>
        <v>46077</v>
      </c>
      <c r="K434" s="6" t="str">
        <f ca="1">IFERROR(__xludf.DUMMYFUNCTION("""COMPUTED_VALUE"""),"Factura audífonos")</f>
        <v>Factura audífonos</v>
      </c>
      <c r="L434" s="16">
        <f ca="1">IFERROR(__xludf.DUMMYFUNCTION("""COMPUTED_VALUE"""),46107)</f>
        <v>46107</v>
      </c>
      <c r="M434" s="23" t="str">
        <f ca="1">IFERROR(__xludf.DUMMYFUNCTION("""COMPUTED_VALUE"""),"NO")</f>
        <v>NO</v>
      </c>
      <c r="N434" s="15">
        <f ca="1">IFERROR(__xludf.DUMMYFUNCTION("""COMPUTED_VALUE"""),2)</f>
        <v>2</v>
      </c>
      <c r="O434" s="17" t="str">
        <f ca="1">IFERROR(__xludf.DUMMYFUNCTION("""COMPUTED_VALUE"""),"ADVANCED")</f>
        <v>ADVANCED</v>
      </c>
      <c r="P434" s="21">
        <f ca="1">IFERROR(__xludf.DUMMYFUNCTION("""COMPUTED_VALUE"""),4136.36)</f>
        <v>4136.3599999999997</v>
      </c>
      <c r="Q434" s="6" t="str">
        <f ca="1">IFERROR(__xludf.DUMMYFUNCTION("""COMPUTED_VALUE"""),"Maika Blázquez")</f>
        <v>Maika Blázquez</v>
      </c>
      <c r="R434" s="6" t="str">
        <f ca="1">IFERROR(__xludf.DUMMYFUNCTION("""COMPUTED_VALUE"""),"Jesús Atalaya Díaz")</f>
        <v>Jesús Atalaya Díaz</v>
      </c>
      <c r="S434" s="20" t="str">
        <f ca="1">IFERROR(__xludf.DUMMYFUNCTION("""COMPUTED_VALUE"""),"03 ORL")</f>
        <v>03 ORL</v>
      </c>
      <c r="T434" s="6" t="str">
        <f ca="1">IFERROR(__xludf.DUMMYFUNCTION("""COMPUTED_VALUE"""),"06 ORL")</f>
        <v>06 ORL</v>
      </c>
      <c r="U434" s="21"/>
      <c r="W434" s="21"/>
      <c r="X434" s="21"/>
    </row>
    <row r="435" spans="2:24" ht="16">
      <c r="B435" s="14" t="str">
        <f t="shared" ca="1" si="1"/>
        <v>#N/</v>
      </c>
      <c r="C435" s="23" t="str">
        <f ca="1">IFERROR(__xludf.DUMMYFUNCTION("""COMPUTED_VALUE"""),"#N/A")</f>
        <v>#N/A</v>
      </c>
      <c r="D435" s="6" t="str">
        <f ca="1">IFERROR(__xludf.DUMMYFUNCTION("""COMPUTED_VALUE"""),"PARTICIPADOS")</f>
        <v>PARTICIPADOS</v>
      </c>
      <c r="E435" s="6">
        <f ca="1">IFERROR(__xludf.DUMMYFUNCTION("""COMPUTED_VALUE"""),2026)</f>
        <v>2026</v>
      </c>
      <c r="F435" s="15">
        <f ca="1">IFERROR(__xludf.DUMMYFUNCTION("""COMPUTED_VALUE"""),3)</f>
        <v>3</v>
      </c>
      <c r="G435" s="6" t="str">
        <f ca="1">IFERROR(__xludf.DUMMYFUNCTION("""COMPUTED_VALUE"""),"Madrid- Galileo")</f>
        <v>Madrid- Galileo</v>
      </c>
      <c r="H435" s="6" t="str">
        <f ca="1">IFERROR(__xludf.DUMMYFUNCTION("""COMPUTED_VALUE"""),"C202631217145355254")</f>
        <v>C202631217145355254</v>
      </c>
      <c r="I435" s="6" t="str">
        <f ca="1">IFERROR(__xludf.DUMMYFUNCTION("""COMPUTED_VALUE"""),"ANTONIO PULDAIN BENEYTEZ")</f>
        <v>ANTONIO PULDAIN BENEYTEZ</v>
      </c>
      <c r="J435" s="16">
        <f ca="1">IFERROR(__xludf.DUMMYFUNCTION("""COMPUTED_VALUE"""),46093)</f>
        <v>46093</v>
      </c>
      <c r="K435" s="6" t="str">
        <f ca="1">IFERROR(__xludf.DUMMYFUNCTION("""COMPUTED_VALUE"""),"Factura audífonos")</f>
        <v>Factura audífonos</v>
      </c>
      <c r="L435" s="16">
        <f ca="1">IFERROR(__xludf.DUMMYFUNCTION("""COMPUTED_VALUE"""),46107)</f>
        <v>46107</v>
      </c>
      <c r="M435" s="23" t="str">
        <f ca="1">IFERROR(__xludf.DUMMYFUNCTION("""COMPUTED_VALUE"""),"NO")</f>
        <v>NO</v>
      </c>
      <c r="N435" s="15">
        <f ca="1">IFERROR(__xludf.DUMMYFUNCTION("""COMPUTED_VALUE"""),2)</f>
        <v>2</v>
      </c>
      <c r="O435" s="23" t="str">
        <f ca="1">IFERROR(__xludf.DUMMYFUNCTION("""COMPUTED_VALUE"""),"QUIET")</f>
        <v>QUIET</v>
      </c>
      <c r="P435" s="21">
        <f ca="1">IFERROR(__xludf.DUMMYFUNCTION("""COMPUTED_VALUE"""),2582.27)</f>
        <v>2582.27</v>
      </c>
      <c r="Q435" s="6" t="str">
        <f ca="1">IFERROR(__xludf.DUMMYFUNCTION("""COMPUTED_VALUE"""),"Maika Blázquez")</f>
        <v>Maika Blázquez</v>
      </c>
      <c r="R435" s="6" t="str">
        <f ca="1">IFERROR(__xludf.DUMMYFUNCTION("""COMPUTED_VALUE"""),"Sara Zaldivar Saiz Maza")</f>
        <v>Sara Zaldivar Saiz Maza</v>
      </c>
      <c r="S435" s="20" t="str">
        <f ca="1">IFERROR(__xludf.DUMMYFUNCTION("""COMPUTED_VALUE"""),"03 ORL")</f>
        <v>03 ORL</v>
      </c>
      <c r="T435" s="6" t="str">
        <f ca="1">IFERROR(__xludf.DUMMYFUNCTION("""COMPUTED_VALUE"""),"06 ORL")</f>
        <v>06 ORL</v>
      </c>
      <c r="U435" s="21"/>
      <c r="W435" s="21"/>
      <c r="X435" s="21"/>
    </row>
    <row r="436" spans="2:24" ht="16">
      <c r="B436" s="14" t="str">
        <f t="shared" ca="1" si="1"/>
        <v>MBM</v>
      </c>
      <c r="C436" s="23" t="str">
        <f ca="1">IFERROR(__xludf.DUMMYFUNCTION("""COMPUTED_VALUE"""),"MBM164")</f>
        <v>MBM164</v>
      </c>
      <c r="D436" s="6" t="str">
        <f ca="1">IFERROR(__xludf.DUMMYFUNCTION("""COMPUTED_VALUE"""),"PROPIOS")</f>
        <v>PROPIOS</v>
      </c>
      <c r="E436" s="6">
        <f ca="1">IFERROR(__xludf.DUMMYFUNCTION("""COMPUTED_VALUE"""),2026)</f>
        <v>2026</v>
      </c>
      <c r="F436" s="15">
        <f ca="1">IFERROR(__xludf.DUMMYFUNCTION("""COMPUTED_VALUE"""),3)</f>
        <v>3</v>
      </c>
      <c r="G436" s="6" t="str">
        <f ca="1">IFERROR(__xludf.DUMMYFUNCTION("""COMPUTED_VALUE"""),"Fuenlabrada")</f>
        <v>Fuenlabrada</v>
      </c>
      <c r="H436" s="6" t="str">
        <f ca="1">IFERROR(__xludf.DUMMYFUNCTION("""COMPUTED_VALUE"""),"C202621885342242482")</f>
        <v>C202621885342242482</v>
      </c>
      <c r="I436" s="6" t="str">
        <f ca="1">IFERROR(__xludf.DUMMYFUNCTION("""COMPUTED_VALUE"""),"JUANA CHICA PECHARROMAN")</f>
        <v>JUANA CHICA PECHARROMAN</v>
      </c>
      <c r="J436" s="16">
        <f ca="1">IFERROR(__xludf.DUMMYFUNCTION("""COMPUTED_VALUE"""),46071)</f>
        <v>46071</v>
      </c>
      <c r="K436" s="6" t="str">
        <f ca="1">IFERROR(__xludf.DUMMYFUNCTION("""COMPUTED_VALUE"""),"Factura audífonos")</f>
        <v>Factura audífonos</v>
      </c>
      <c r="L436" s="16">
        <f ca="1">IFERROR(__xludf.DUMMYFUNCTION("""COMPUTED_VALUE"""),46107)</f>
        <v>46107</v>
      </c>
      <c r="M436" s="23" t="str">
        <f ca="1">IFERROR(__xludf.DUMMYFUNCTION("""COMPUTED_VALUE"""),"NO")</f>
        <v>NO</v>
      </c>
      <c r="N436" s="15">
        <f ca="1">IFERROR(__xludf.DUMMYFUNCTION("""COMPUTED_VALUE"""),2)</f>
        <v>2</v>
      </c>
      <c r="O436" s="23" t="str">
        <f ca="1">IFERROR(__xludf.DUMMYFUNCTION("""COMPUTED_VALUE"""),"CONFORT")</f>
        <v>CONFORT</v>
      </c>
      <c r="P436" s="21">
        <f ca="1">IFERROR(__xludf.DUMMYFUNCTION("""COMPUTED_VALUE"""),3631.82)</f>
        <v>3631.82</v>
      </c>
      <c r="Q436" s="6" t="str">
        <f ca="1">IFERROR(__xludf.DUMMYFUNCTION("""COMPUTED_VALUE"""),"Maika Blázquez")</f>
        <v>Maika Blázquez</v>
      </c>
      <c r="R436" s="6" t="str">
        <f ca="1">IFERROR(__xludf.DUMMYFUNCTION("""COMPUTED_VALUE"""),"Paloma Martín-Aragón Martín")</f>
        <v>Paloma Martín-Aragón Martín</v>
      </c>
      <c r="S436" s="20" t="str">
        <f ca="1">IFERROR(__xludf.DUMMYFUNCTION("""COMPUTED_VALUE"""),"03 ORL")</f>
        <v>03 ORL</v>
      </c>
      <c r="T436" s="6" t="str">
        <f ca="1">IFERROR(__xludf.DUMMYFUNCTION("""COMPUTED_VALUE"""),"06 ORL")</f>
        <v>06 ORL</v>
      </c>
      <c r="U436" s="21"/>
      <c r="W436" s="21"/>
      <c r="X436" s="21"/>
    </row>
    <row r="437" spans="2:24" ht="16">
      <c r="B437" s="14" t="str">
        <f t="shared" ca="1" si="1"/>
        <v>ISL</v>
      </c>
      <c r="C437" s="23" t="str">
        <f ca="1">IFERROR(__xludf.DUMMYFUNCTION("""COMPUTED_VALUE"""),"ISL116")</f>
        <v>ISL116</v>
      </c>
      <c r="D437" s="6" t="str">
        <f ca="1">IFERROR(__xludf.DUMMYFUNCTION("""COMPUTED_VALUE"""),"PROPIOS")</f>
        <v>PROPIOS</v>
      </c>
      <c r="E437" s="6">
        <f ca="1">IFERROR(__xludf.DUMMYFUNCTION("""COMPUTED_VALUE"""),2026)</f>
        <v>2026</v>
      </c>
      <c r="F437" s="15">
        <f ca="1">IFERROR(__xludf.DUMMYFUNCTION("""COMPUTED_VALUE"""),3)</f>
        <v>3</v>
      </c>
      <c r="G437" s="6" t="str">
        <f ca="1">IFERROR(__xludf.DUMMYFUNCTION("""COMPUTED_VALUE"""),"Alicante")</f>
        <v>Alicante</v>
      </c>
      <c r="H437" s="6" t="str">
        <f ca="1">IFERROR(__xludf.DUMMYFUNCTION("""COMPUTED_VALUE"""),"C20262269452713570")</f>
        <v>C20262269452713570</v>
      </c>
      <c r="I437" s="6" t="str">
        <f ca="1">IFERROR(__xludf.DUMMYFUNCTION("""COMPUTED_VALUE"""),"ASUNCION PASTOR TORREGROSA")</f>
        <v>ASUNCION PASTOR TORREGROSA</v>
      </c>
      <c r="J437" s="16">
        <f ca="1">IFERROR(__xludf.DUMMYFUNCTION("""COMPUTED_VALUE"""),46079)</f>
        <v>46079</v>
      </c>
      <c r="K437" s="6" t="str">
        <f ca="1">IFERROR(__xludf.DUMMYFUNCTION("""COMPUTED_VALUE"""),"Factura audífonos")</f>
        <v>Factura audífonos</v>
      </c>
      <c r="L437" s="16">
        <f ca="1">IFERROR(__xludf.DUMMYFUNCTION("""COMPUTED_VALUE"""),46107)</f>
        <v>46107</v>
      </c>
      <c r="M437" s="23" t="str">
        <f ca="1">IFERROR(__xludf.DUMMYFUNCTION("""COMPUTED_VALUE"""),"NO")</f>
        <v>NO</v>
      </c>
      <c r="N437" s="15">
        <f ca="1">IFERROR(__xludf.DUMMYFUNCTION("""COMPUTED_VALUE"""),2)</f>
        <v>2</v>
      </c>
      <c r="O437" s="23" t="str">
        <f ca="1">IFERROR(__xludf.DUMMYFUNCTION("""COMPUTED_VALUE"""),"CONFORT")</f>
        <v>CONFORT</v>
      </c>
      <c r="P437" s="21">
        <f ca="1">IFERROR(__xludf.DUMMYFUNCTION("""COMPUTED_VALUE"""),3631.82)</f>
        <v>3631.82</v>
      </c>
      <c r="Q437" s="6" t="str">
        <f ca="1">IFERROR(__xludf.DUMMYFUNCTION("""COMPUTED_VALUE"""),"Iván Sánchez")</f>
        <v>Iván Sánchez</v>
      </c>
      <c r="R437" s="6" t="str">
        <f ca="1">IFERROR(__xludf.DUMMYFUNCTION("""COMPUTED_VALUE"""),"Maria Rosario Ferrandiz García")</f>
        <v>Maria Rosario Ferrandiz García</v>
      </c>
      <c r="S437" s="20" t="str">
        <f ca="1">IFERROR(__xludf.DUMMYFUNCTION("""COMPUTED_VALUE"""),"03 ORL")</f>
        <v>03 ORL</v>
      </c>
      <c r="T437" s="6" t="str">
        <f ca="1">IFERROR(__xludf.DUMMYFUNCTION("""COMPUTED_VALUE"""),"06 ORL")</f>
        <v>06 ORL</v>
      </c>
      <c r="U437" s="21"/>
      <c r="W437" s="21"/>
      <c r="X437" s="21"/>
    </row>
    <row r="438" spans="2:24" ht="16">
      <c r="B438" s="14" t="str">
        <f t="shared" ca="1" si="1"/>
        <v>LRM</v>
      </c>
      <c r="C438" s="23" t="str">
        <f ca="1">IFERROR(__xludf.DUMMYFUNCTION("""COMPUTED_VALUE"""),"LRM39")</f>
        <v>LRM39</v>
      </c>
      <c r="D438" s="6" t="str">
        <f ca="1">IFERROR(__xludf.DUMMYFUNCTION("""COMPUTED_VALUE"""),"PROPIOS")</f>
        <v>PROPIOS</v>
      </c>
      <c r="E438" s="6">
        <f ca="1">IFERROR(__xludf.DUMMYFUNCTION("""COMPUTED_VALUE"""),2026)</f>
        <v>2026</v>
      </c>
      <c r="F438" s="15">
        <f ca="1">IFERROR(__xludf.DUMMYFUNCTION("""COMPUTED_VALUE"""),3)</f>
        <v>3</v>
      </c>
      <c r="G438" s="6" t="str">
        <f ca="1">IFERROR(__xludf.DUMMYFUNCTION("""COMPUTED_VALUE"""),"Logroño")</f>
        <v>Logroño</v>
      </c>
      <c r="H438" s="6" t="str">
        <f ca="1">IFERROR(__xludf.DUMMYFUNCTION("""COMPUTED_VALUE"""),"C202621012291805056")</f>
        <v>C202621012291805056</v>
      </c>
      <c r="I438" s="6" t="str">
        <f ca="1">IFERROR(__xludf.DUMMYFUNCTION("""COMPUTED_VALUE"""),"ANGEL VICTORIANO GOMEZ")</f>
        <v>ANGEL VICTORIANO GOMEZ</v>
      </c>
      <c r="J438" s="16">
        <f ca="1">IFERROR(__xludf.DUMMYFUNCTION("""COMPUTED_VALUE"""),46063)</f>
        <v>46063</v>
      </c>
      <c r="K438" s="6" t="str">
        <f ca="1">IFERROR(__xludf.DUMMYFUNCTION("""COMPUTED_VALUE"""),"Factura audífonos")</f>
        <v>Factura audífonos</v>
      </c>
      <c r="L438" s="16">
        <f ca="1">IFERROR(__xludf.DUMMYFUNCTION("""COMPUTED_VALUE"""),46107)</f>
        <v>46107</v>
      </c>
      <c r="M438" s="23" t="str">
        <f ca="1">IFERROR(__xludf.DUMMYFUNCTION("""COMPUTED_VALUE"""),"NO")</f>
        <v>NO</v>
      </c>
      <c r="N438" s="15">
        <f ca="1">IFERROR(__xludf.DUMMYFUNCTION("""COMPUTED_VALUE"""),2)</f>
        <v>2</v>
      </c>
      <c r="O438" s="23" t="str">
        <f ca="1">IFERROR(__xludf.DUMMYFUNCTION("""COMPUTED_VALUE"""),"CONFORT")</f>
        <v>CONFORT</v>
      </c>
      <c r="P438" s="21">
        <f ca="1">IFERROR(__xludf.DUMMYFUNCTION("""COMPUTED_VALUE"""),3631.82)</f>
        <v>3631.82</v>
      </c>
      <c r="Q438" s="6" t="str">
        <f ca="1">IFERROR(__xludf.DUMMYFUNCTION("""COMPUTED_VALUE"""),"Lisandro Russian")</f>
        <v>Lisandro Russian</v>
      </c>
      <c r="R438" s="6" t="str">
        <f ca="1">IFERROR(__xludf.DUMMYFUNCTION("""COMPUTED_VALUE"""),"Fernando Salazar Barcelona")</f>
        <v>Fernando Salazar Barcelona</v>
      </c>
      <c r="S438" s="20" t="str">
        <f ca="1">IFERROR(__xludf.DUMMYFUNCTION("""COMPUTED_VALUE"""),"03 ORL")</f>
        <v>03 ORL</v>
      </c>
      <c r="T438" s="6" t="str">
        <f ca="1">IFERROR(__xludf.DUMMYFUNCTION("""COMPUTED_VALUE"""),"06 ORL")</f>
        <v>06 ORL</v>
      </c>
      <c r="U438" s="21"/>
      <c r="W438" s="21"/>
      <c r="X438" s="21"/>
    </row>
    <row r="439" spans="2:24" ht="16">
      <c r="B439" s="14" t="str">
        <f t="shared" ca="1" si="1"/>
        <v>#N/</v>
      </c>
      <c r="C439" s="23" t="str">
        <f ca="1">IFERROR(__xludf.DUMMYFUNCTION("""COMPUTED_VALUE"""),"#N/A")</f>
        <v>#N/A</v>
      </c>
      <c r="D439" s="6" t="str">
        <f ca="1">IFERROR(__xludf.DUMMYFUNCTION("""COMPUTED_VALUE"""),"PROPIOS")</f>
        <v>PROPIOS</v>
      </c>
      <c r="E439" s="6">
        <f ca="1">IFERROR(__xludf.DUMMYFUNCTION("""COMPUTED_VALUE"""),2026)</f>
        <v>2026</v>
      </c>
      <c r="F439" s="15">
        <f ca="1">IFERROR(__xludf.DUMMYFUNCTION("""COMPUTED_VALUE"""),3)</f>
        <v>3</v>
      </c>
      <c r="G439" s="6" t="str">
        <f ca="1">IFERROR(__xludf.DUMMYFUNCTION("""COMPUTED_VALUE"""),"Jerez de la Frontera")</f>
        <v>Jerez de la Frontera</v>
      </c>
      <c r="H439" s="6" t="str">
        <f ca="1">IFERROR(__xludf.DUMMYFUNCTION("""COMPUTED_VALUE"""),"C202621912583028008")</f>
        <v>C202621912583028008</v>
      </c>
      <c r="I439" s="6" t="str">
        <f ca="1">IFERROR(__xludf.DUMMYFUNCTION("""COMPUTED_VALUE"""),"JERONIMA MARISCAL RAMIREZ")</f>
        <v>JERONIMA MARISCAL RAMIREZ</v>
      </c>
      <c r="J439" s="16">
        <f ca="1">IFERROR(__xludf.DUMMYFUNCTION("""COMPUTED_VALUE"""),46072)</f>
        <v>46072</v>
      </c>
      <c r="K439" s="6" t="str">
        <f ca="1">IFERROR(__xludf.DUMMYFUNCTION("""COMPUTED_VALUE"""),"Factura audífonos")</f>
        <v>Factura audífonos</v>
      </c>
      <c r="L439" s="16">
        <f ca="1">IFERROR(__xludf.DUMMYFUNCTION("""COMPUTED_VALUE"""),46107)</f>
        <v>46107</v>
      </c>
      <c r="M439" s="23" t="str">
        <f ca="1">IFERROR(__xludf.DUMMYFUNCTION("""COMPUTED_VALUE"""),"NO")</f>
        <v>NO</v>
      </c>
      <c r="N439" s="15">
        <f ca="1">IFERROR(__xludf.DUMMYFUNCTION("""COMPUTED_VALUE"""),2)</f>
        <v>2</v>
      </c>
      <c r="O439" s="23" t="str">
        <f ca="1">IFERROR(__xludf.DUMMYFUNCTION("""COMPUTED_VALUE"""),"QUIET")</f>
        <v>QUIET</v>
      </c>
      <c r="P439" s="21">
        <f ca="1">IFERROR(__xludf.DUMMYFUNCTION("""COMPUTED_VALUE"""),2918.18)</f>
        <v>2918.18</v>
      </c>
      <c r="Q439" s="6" t="str">
        <f ca="1">IFERROR(__xludf.DUMMYFUNCTION("""COMPUTED_VALUE"""),"Luis Alberto Rodríguez")</f>
        <v>Luis Alberto Rodríguez</v>
      </c>
      <c r="R439" s="6" t="str">
        <f ca="1">IFERROR(__xludf.DUMMYFUNCTION("""COMPUTED_VALUE"""),"Miguel Ángel Fernández Andrade")</f>
        <v>Miguel Ángel Fernández Andrade</v>
      </c>
      <c r="S439" s="20" t="str">
        <f ca="1">IFERROR(__xludf.DUMMYFUNCTION("""COMPUTED_VALUE"""),"03 ORL")</f>
        <v>03 ORL</v>
      </c>
      <c r="T439" s="6" t="str">
        <f ca="1">IFERROR(__xludf.DUMMYFUNCTION("""COMPUTED_VALUE"""),"06 ORL")</f>
        <v>06 ORL</v>
      </c>
      <c r="U439" s="21"/>
      <c r="W439" s="21"/>
      <c r="X439" s="21"/>
    </row>
    <row r="440" spans="2:24" ht="16">
      <c r="B440" s="14" t="str">
        <f t="shared" si="1"/>
        <v/>
      </c>
      <c r="C440" s="23"/>
      <c r="D440" s="6" t="str">
        <f ca="1">IFERROR(__xludf.DUMMYFUNCTION("""COMPUTED_VALUE"""),"PROPIOS")</f>
        <v>PROPIOS</v>
      </c>
      <c r="E440" s="6">
        <f ca="1">IFERROR(__xludf.DUMMYFUNCTION("""COMPUTED_VALUE"""),2026)</f>
        <v>2026</v>
      </c>
      <c r="F440" s="15">
        <f ca="1">IFERROR(__xludf.DUMMYFUNCTION("""COMPUTED_VALUE"""),3)</f>
        <v>3</v>
      </c>
      <c r="G440" s="6" t="str">
        <f ca="1">IFERROR(__xludf.DUMMYFUNCTION("""COMPUTED_VALUE"""),"Madrid- Canillas")</f>
        <v>Madrid- Canillas</v>
      </c>
      <c r="H440" s="6" t="str">
        <f ca="1">IFERROR(__xludf.DUMMYFUNCTION("""COMPUTED_VALUE"""),"C202631014553821814")</f>
        <v>C202631014553821814</v>
      </c>
      <c r="I440" s="6" t="str">
        <f ca="1">IFERROR(__xludf.DUMMYFUNCTION("""COMPUTED_VALUE"""),"MARIA CONCEPCION  CASARIEGO CARBALLÉS")</f>
        <v>MARIA CONCEPCION  CASARIEGO CARBALLÉS</v>
      </c>
      <c r="J440" s="16">
        <f ca="1">IFERROR(__xludf.DUMMYFUNCTION("""COMPUTED_VALUE"""),46091)</f>
        <v>46091</v>
      </c>
      <c r="K440" s="6" t="str">
        <f ca="1">IFERROR(__xludf.DUMMYFUNCTION("""COMPUTED_VALUE"""),"Factura audífonos")</f>
        <v>Factura audífonos</v>
      </c>
      <c r="L440" s="16">
        <f ca="1">IFERROR(__xludf.DUMMYFUNCTION("""COMPUTED_VALUE"""),46107)</f>
        <v>46107</v>
      </c>
      <c r="M440" s="23" t="str">
        <f ca="1">IFERROR(__xludf.DUMMYFUNCTION("""COMPUTED_VALUE"""),"NO")</f>
        <v>NO</v>
      </c>
      <c r="N440" s="15">
        <f ca="1">IFERROR(__xludf.DUMMYFUNCTION("""COMPUTED_VALUE"""),2)</f>
        <v>2</v>
      </c>
      <c r="O440" s="23" t="str">
        <f ca="1">IFERROR(__xludf.DUMMYFUNCTION("""COMPUTED_VALUE"""),"QUIET")</f>
        <v>QUIET</v>
      </c>
      <c r="P440" s="21">
        <f ca="1">IFERROR(__xludf.DUMMYFUNCTION("""COMPUTED_VALUE"""),2718.18)</f>
        <v>2718.18</v>
      </c>
      <c r="Q440" s="6" t="str">
        <f ca="1">IFERROR(__xludf.DUMMYFUNCTION("""COMPUTED_VALUE"""),"Maika Blázquez")</f>
        <v>Maika Blázquez</v>
      </c>
      <c r="R440" s="6" t="str">
        <f ca="1">IFERROR(__xludf.DUMMYFUNCTION("""COMPUTED_VALUE"""),"No recuerda ORL")</f>
        <v>No recuerda ORL</v>
      </c>
      <c r="S440" s="20" t="str">
        <f ca="1">IFERROR(__xludf.DUMMYFUNCTION("""COMPUTED_VALUE"""),"03 ORL")</f>
        <v>03 ORL</v>
      </c>
      <c r="T440" s="6" t="str">
        <f ca="1">IFERROR(__xludf.DUMMYFUNCTION("""COMPUTED_VALUE"""),"06 ORL")</f>
        <v>06 ORL</v>
      </c>
      <c r="U440" s="21"/>
      <c r="W440" s="21"/>
      <c r="X440" s="21"/>
    </row>
    <row r="441" spans="2:24" ht="16">
      <c r="B441" s="14" t="str">
        <f t="shared" si="1"/>
        <v/>
      </c>
      <c r="C441" s="23"/>
      <c r="D441" s="6" t="str">
        <f ca="1">IFERROR(__xludf.DUMMYFUNCTION("""COMPUTED_VALUE"""),"PARTICIPADOS")</f>
        <v>PARTICIPADOS</v>
      </c>
      <c r="E441" s="6">
        <f ca="1">IFERROR(__xludf.DUMMYFUNCTION("""COMPUTED_VALUE"""),2026)</f>
        <v>2026</v>
      </c>
      <c r="F441" s="15">
        <f ca="1">IFERROR(__xludf.DUMMYFUNCTION("""COMPUTED_VALUE"""),3)</f>
        <v>3</v>
      </c>
      <c r="G441" s="6" t="str">
        <f ca="1">IFERROR(__xludf.DUMMYFUNCTION("""COMPUTED_VALUE"""),"Ourense")</f>
        <v>Ourense</v>
      </c>
      <c r="H441" s="6" t="str">
        <f ca="1">IFERROR(__xludf.DUMMYFUNCTION("""COMPUTED_VALUE"""),"C20263985829847689")</f>
        <v>C20263985829847689</v>
      </c>
      <c r="I441" s="6" t="str">
        <f ca="1">IFERROR(__xludf.DUMMYFUNCTION("""COMPUTED_VALUE"""),"JOSE CAMIÑA FERNANDEZ")</f>
        <v>JOSE CAMIÑA FERNANDEZ</v>
      </c>
      <c r="J441" s="16">
        <f ca="1">IFERROR(__xludf.DUMMYFUNCTION("""COMPUTED_VALUE"""),46090)</f>
        <v>46090</v>
      </c>
      <c r="K441" s="6" t="str">
        <f ca="1">IFERROR(__xludf.DUMMYFUNCTION("""COMPUTED_VALUE"""),"Factura audífonos")</f>
        <v>Factura audífonos</v>
      </c>
      <c r="L441" s="16">
        <f ca="1">IFERROR(__xludf.DUMMYFUNCTION("""COMPUTED_VALUE"""),46108)</f>
        <v>46108</v>
      </c>
      <c r="M441" s="23" t="str">
        <f ca="1">IFERROR(__xludf.DUMMYFUNCTION("""COMPUTED_VALUE"""),"NO")</f>
        <v>NO</v>
      </c>
      <c r="N441" s="15">
        <f ca="1">IFERROR(__xludf.DUMMYFUNCTION("""COMPUTED_VALUE"""),2)</f>
        <v>2</v>
      </c>
      <c r="O441" s="17" t="str">
        <f ca="1">IFERROR(__xludf.DUMMYFUNCTION("""COMPUTED_VALUE"""),"QUIET")</f>
        <v>QUIET</v>
      </c>
      <c r="P441" s="21">
        <f ca="1">IFERROR(__xludf.DUMMYFUNCTION("""COMPUTED_VALUE"""),2718.18)</f>
        <v>2718.18</v>
      </c>
      <c r="Q441" s="6" t="str">
        <f ca="1">IFERROR(__xludf.DUMMYFUNCTION("""COMPUTED_VALUE"""),"Kiko Ortega")</f>
        <v>Kiko Ortega</v>
      </c>
      <c r="R441" s="6" t="str">
        <f ca="1">IFERROR(__xludf.DUMMYFUNCTION("""COMPUTED_VALUE"""),"No recuerda ORL")</f>
        <v>No recuerda ORL</v>
      </c>
      <c r="S441" s="20" t="str">
        <f ca="1">IFERROR(__xludf.DUMMYFUNCTION("""COMPUTED_VALUE"""),"03 ORL")</f>
        <v>03 ORL</v>
      </c>
      <c r="T441" s="6" t="str">
        <f ca="1">IFERROR(__xludf.DUMMYFUNCTION("""COMPUTED_VALUE"""),"06 ORL")</f>
        <v>06 ORL</v>
      </c>
      <c r="U441" s="21"/>
      <c r="W441" s="21"/>
      <c r="X441" s="21"/>
    </row>
    <row r="442" spans="2:24" ht="16">
      <c r="B442" s="14" t="str">
        <f t="shared" ca="1" si="1"/>
        <v>ISL</v>
      </c>
      <c r="C442" s="23" t="str">
        <f ca="1">IFERROR(__xludf.DUMMYFUNCTION("""COMPUTED_VALUE"""),"ISL122")</f>
        <v>ISL122</v>
      </c>
      <c r="D442" s="6" t="str">
        <f ca="1">IFERROR(__xludf.DUMMYFUNCTION("""COMPUTED_VALUE"""),"PROPIOS")</f>
        <v>PROPIOS</v>
      </c>
      <c r="E442" s="6">
        <f ca="1">IFERROR(__xludf.DUMMYFUNCTION("""COMPUTED_VALUE"""),2026)</f>
        <v>2026</v>
      </c>
      <c r="F442" s="15">
        <f ca="1">IFERROR(__xludf.DUMMYFUNCTION("""COMPUTED_VALUE"""),3)</f>
        <v>3</v>
      </c>
      <c r="G442" s="6" t="str">
        <f ca="1">IFERROR(__xludf.DUMMYFUNCTION("""COMPUTED_VALUE"""),"Murcia")</f>
        <v>Murcia</v>
      </c>
      <c r="H442" s="6" t="str">
        <f ca="1">IFERROR(__xludf.DUMMYFUNCTION("""COMPUTED_VALUE"""),"C20262209496240831")</f>
        <v>C20262209496240831</v>
      </c>
      <c r="I442" s="6" t="str">
        <f ca="1">IFERROR(__xludf.DUMMYFUNCTION("""COMPUTED_VALUE"""),"FRANCISCO MARTINEZ MADRID")</f>
        <v>FRANCISCO MARTINEZ MADRID</v>
      </c>
      <c r="J442" s="16">
        <f ca="1">IFERROR(__xludf.DUMMYFUNCTION("""COMPUTED_VALUE"""),46073)</f>
        <v>46073</v>
      </c>
      <c r="K442" s="6" t="str">
        <f ca="1">IFERROR(__xludf.DUMMYFUNCTION("""COMPUTED_VALUE"""),"Factura audífonos")</f>
        <v>Factura audífonos</v>
      </c>
      <c r="L442" s="16">
        <f ca="1">IFERROR(__xludf.DUMMYFUNCTION("""COMPUTED_VALUE"""),46108)</f>
        <v>46108</v>
      </c>
      <c r="M442" s="23" t="str">
        <f ca="1">IFERROR(__xludf.DUMMYFUNCTION("""COMPUTED_VALUE"""),"NO")</f>
        <v>NO</v>
      </c>
      <c r="N442" s="15">
        <f ca="1">IFERROR(__xludf.DUMMYFUNCTION("""COMPUTED_VALUE"""),2)</f>
        <v>2</v>
      </c>
      <c r="O442" s="23" t="str">
        <f ca="1">IFERROR(__xludf.DUMMYFUNCTION("""COMPUTED_VALUE"""),"PRO")</f>
        <v>PRO</v>
      </c>
      <c r="P442" s="21">
        <f ca="1">IFERROR(__xludf.DUMMYFUNCTION("""COMPUTED_VALUE"""),4309.55)</f>
        <v>4309.55</v>
      </c>
      <c r="Q442" s="6" t="str">
        <f ca="1">IFERROR(__xludf.DUMMYFUNCTION("""COMPUTED_VALUE"""),"Iván Sánchez")</f>
        <v>Iván Sánchez</v>
      </c>
      <c r="R442" s="6" t="str">
        <f ca="1">IFERROR(__xludf.DUMMYFUNCTION("""COMPUTED_VALUE"""),"María Agustina Sevilla García")</f>
        <v>María Agustina Sevilla García</v>
      </c>
      <c r="S442" s="20" t="str">
        <f ca="1">IFERROR(__xludf.DUMMYFUNCTION("""COMPUTED_VALUE"""),"03 ORL")</f>
        <v>03 ORL</v>
      </c>
      <c r="T442" s="6" t="str">
        <f ca="1">IFERROR(__xludf.DUMMYFUNCTION("""COMPUTED_VALUE"""),"06 ORL")</f>
        <v>06 ORL</v>
      </c>
      <c r="U442" s="21"/>
      <c r="W442" s="21"/>
      <c r="X442" s="21"/>
    </row>
    <row r="443" spans="2:24" ht="16">
      <c r="B443" s="14" t="str">
        <f t="shared" ca="1" si="1"/>
        <v>MBM</v>
      </c>
      <c r="C443" s="23" t="str">
        <f ca="1">IFERROR(__xludf.DUMMYFUNCTION("""COMPUTED_VALUE"""),"MBM01")</f>
        <v>MBM01</v>
      </c>
      <c r="D443" s="6" t="str">
        <f ca="1">IFERROR(__xludf.DUMMYFUNCTION("""COMPUTED_VALUE"""),"PROPIOS")</f>
        <v>PROPIOS</v>
      </c>
      <c r="E443" s="6">
        <f ca="1">IFERROR(__xludf.DUMMYFUNCTION("""COMPUTED_VALUE"""),2026)</f>
        <v>2026</v>
      </c>
      <c r="F443" s="15">
        <f ca="1">IFERROR(__xludf.DUMMYFUNCTION("""COMPUTED_VALUE"""),3)</f>
        <v>3</v>
      </c>
      <c r="G443" s="6" t="str">
        <f ca="1">IFERROR(__xludf.DUMMYFUNCTION("""COMPUTED_VALUE"""),"Alcorcón")</f>
        <v>Alcorcón</v>
      </c>
      <c r="H443" s="6" t="str">
        <f ca="1">IFERROR(__xludf.DUMMYFUNCTION("""COMPUTED_VALUE"""),"C202622510242287354")</f>
        <v>C202622510242287354</v>
      </c>
      <c r="I443" s="6" t="str">
        <f ca="1">IFERROR(__xludf.DUMMYFUNCTION("""COMPUTED_VALUE"""),"MARGARITA SANCHEZ DE SANDE")</f>
        <v>MARGARITA SANCHEZ DE SANDE</v>
      </c>
      <c r="J443" s="16">
        <f ca="1">IFERROR(__xludf.DUMMYFUNCTION("""COMPUTED_VALUE"""),46078)</f>
        <v>46078</v>
      </c>
      <c r="K443" s="6" t="str">
        <f ca="1">IFERROR(__xludf.DUMMYFUNCTION("""COMPUTED_VALUE"""),"Factura audífonos")</f>
        <v>Factura audífonos</v>
      </c>
      <c r="L443" s="16">
        <f ca="1">IFERROR(__xludf.DUMMYFUNCTION("""COMPUTED_VALUE"""),46108)</f>
        <v>46108</v>
      </c>
      <c r="M443" s="23" t="str">
        <f ca="1">IFERROR(__xludf.DUMMYFUNCTION("""COMPUTED_VALUE"""),"NO")</f>
        <v>NO</v>
      </c>
      <c r="N443" s="15">
        <f ca="1">IFERROR(__xludf.DUMMYFUNCTION("""COMPUTED_VALUE"""),2)</f>
        <v>2</v>
      </c>
      <c r="O443" s="17" t="str">
        <f ca="1">IFERROR(__xludf.DUMMYFUNCTION("""COMPUTED_VALUE"""),"QUIET")</f>
        <v>QUIET</v>
      </c>
      <c r="P443" s="21">
        <f ca="1">IFERROR(__xludf.DUMMYFUNCTION("""COMPUTED_VALUE"""),2718.18)</f>
        <v>2718.18</v>
      </c>
      <c r="Q443" s="6" t="str">
        <f ca="1">IFERROR(__xludf.DUMMYFUNCTION("""COMPUTED_VALUE"""),"Maika Blázquez")</f>
        <v>Maika Blázquez</v>
      </c>
      <c r="R443" s="6" t="str">
        <f ca="1">IFERROR(__xludf.DUMMYFUNCTION("""COMPUTED_VALUE"""),"Adolfo Toledano Muñoz")</f>
        <v>Adolfo Toledano Muñoz</v>
      </c>
      <c r="S443" s="20" t="str">
        <f ca="1">IFERROR(__xludf.DUMMYFUNCTION("""COMPUTED_VALUE"""),"03 ORL")</f>
        <v>03 ORL</v>
      </c>
      <c r="T443" s="6" t="str">
        <f ca="1">IFERROR(__xludf.DUMMYFUNCTION("""COMPUTED_VALUE"""),"06 ORL")</f>
        <v>06 ORL</v>
      </c>
      <c r="U443" s="21"/>
      <c r="W443" s="21"/>
      <c r="X443" s="21"/>
    </row>
    <row r="444" spans="2:24" ht="16">
      <c r="B444" s="14" t="str">
        <f t="shared" si="1"/>
        <v/>
      </c>
      <c r="C444" s="23"/>
      <c r="D444" s="6" t="str">
        <f ca="1">IFERROR(__xludf.DUMMYFUNCTION("""COMPUTED_VALUE"""),"PROPIOS")</f>
        <v>PROPIOS</v>
      </c>
      <c r="E444" s="6">
        <f ca="1">IFERROR(__xludf.DUMMYFUNCTION("""COMPUTED_VALUE"""),2026)</f>
        <v>2026</v>
      </c>
      <c r="F444" s="15">
        <f ca="1">IFERROR(__xludf.DUMMYFUNCTION("""COMPUTED_VALUE"""),3)</f>
        <v>3</v>
      </c>
      <c r="G444" s="6" t="str">
        <f ca="1">IFERROR(__xludf.DUMMYFUNCTION("""COMPUTED_VALUE"""),"Jerez de la Frontera")</f>
        <v>Jerez de la Frontera</v>
      </c>
      <c r="H444" s="6" t="str">
        <f ca="1">IFERROR(__xludf.DUMMYFUNCTION("""COMPUTED_VALUE"""),"C202631310381793043")</f>
        <v>C202631310381793043</v>
      </c>
      <c r="I444" s="6" t="str">
        <f ca="1">IFERROR(__xludf.DUMMYFUNCTION("""COMPUTED_VALUE"""),"JUAN  RUIZ PEREZ")</f>
        <v>JUAN  RUIZ PEREZ</v>
      </c>
      <c r="J444" s="16">
        <f ca="1">IFERROR(__xludf.DUMMYFUNCTION("""COMPUTED_VALUE"""),46094)</f>
        <v>46094</v>
      </c>
      <c r="K444" s="6" t="str">
        <f ca="1">IFERROR(__xludf.DUMMYFUNCTION("""COMPUTED_VALUE"""),"Factura audífonos")</f>
        <v>Factura audífonos</v>
      </c>
      <c r="L444" s="16">
        <f ca="1">IFERROR(__xludf.DUMMYFUNCTION("""COMPUTED_VALUE"""),46108)</f>
        <v>46108</v>
      </c>
      <c r="M444" s="23" t="str">
        <f ca="1">IFERROR(__xludf.DUMMYFUNCTION("""COMPUTED_VALUE"""),"NO")</f>
        <v>NO</v>
      </c>
      <c r="N444" s="15">
        <f ca="1">IFERROR(__xludf.DUMMYFUNCTION("""COMPUTED_VALUE"""),2)</f>
        <v>2</v>
      </c>
      <c r="O444" s="23" t="str">
        <f ca="1">IFERROR(__xludf.DUMMYFUNCTION("""COMPUTED_VALUE"""),"QUIET")</f>
        <v>QUIET</v>
      </c>
      <c r="P444" s="21">
        <f ca="1">IFERROR(__xludf.DUMMYFUNCTION("""COMPUTED_VALUE"""),2918.18)</f>
        <v>2918.18</v>
      </c>
      <c r="Q444" s="6" t="str">
        <f ca="1">IFERROR(__xludf.DUMMYFUNCTION("""COMPUTED_VALUE"""),"Luis Alberto Rodríguez")</f>
        <v>Luis Alberto Rodríguez</v>
      </c>
      <c r="R444" s="6" t="str">
        <f ca="1">IFERROR(__xludf.DUMMYFUNCTION("""COMPUTED_VALUE"""),"No recuerda ORL")</f>
        <v>No recuerda ORL</v>
      </c>
      <c r="S444" s="20" t="str">
        <f ca="1">IFERROR(__xludf.DUMMYFUNCTION("""COMPUTED_VALUE"""),"03 ORL")</f>
        <v>03 ORL</v>
      </c>
      <c r="T444" s="6" t="str">
        <f ca="1">IFERROR(__xludf.DUMMYFUNCTION("""COMPUTED_VALUE"""),"06 ORL")</f>
        <v>06 ORL</v>
      </c>
      <c r="U444" s="21"/>
      <c r="W444" s="21"/>
      <c r="X444" s="21"/>
    </row>
    <row r="445" spans="2:24" ht="16">
      <c r="B445" s="14" t="str">
        <f t="shared" ca="1" si="1"/>
        <v>MBM</v>
      </c>
      <c r="C445" s="23" t="str">
        <f ca="1">IFERROR(__xludf.DUMMYFUNCTION("""COMPUTED_VALUE"""),"MBM149")</f>
        <v>MBM149</v>
      </c>
      <c r="D445" s="6" t="str">
        <f ca="1">IFERROR(__xludf.DUMMYFUNCTION("""COMPUTED_VALUE"""),"PROPIOS")</f>
        <v>PROPIOS</v>
      </c>
      <c r="E445" s="6">
        <f ca="1">IFERROR(__xludf.DUMMYFUNCTION("""COMPUTED_VALUE"""),2026)</f>
        <v>2026</v>
      </c>
      <c r="F445" s="15">
        <f ca="1">IFERROR(__xludf.DUMMYFUNCTION("""COMPUTED_VALUE"""),3)</f>
        <v>3</v>
      </c>
      <c r="G445" s="6" t="str">
        <f ca="1">IFERROR(__xludf.DUMMYFUNCTION("""COMPUTED_VALUE"""),"Toledo")</f>
        <v>Toledo</v>
      </c>
      <c r="H445" s="6" t="str">
        <f ca="1">IFERROR(__xludf.DUMMYFUNCTION("""COMPUTED_VALUE"""),"C202551611222412")</f>
        <v>C202551611222412</v>
      </c>
      <c r="I445" s="6" t="str">
        <f ca="1">IFERROR(__xludf.DUMMYFUNCTION("""COMPUTED_VALUE"""),"María Josefa  Calvo Aguado")</f>
        <v>María Josefa  Calvo Aguado</v>
      </c>
      <c r="J445" s="16">
        <f ca="1">IFERROR(__xludf.DUMMYFUNCTION("""COMPUTED_VALUE"""),45791)</f>
        <v>45791</v>
      </c>
      <c r="K445" s="6" t="str">
        <f ca="1">IFERROR(__xludf.DUMMYFUNCTION("""COMPUTED_VALUE"""),"Factura audífonos")</f>
        <v>Factura audífonos</v>
      </c>
      <c r="L445" s="16">
        <f ca="1">IFERROR(__xludf.DUMMYFUNCTION("""COMPUTED_VALUE"""),46108)</f>
        <v>46108</v>
      </c>
      <c r="M445" s="23" t="str">
        <f ca="1">IFERROR(__xludf.DUMMYFUNCTION("""COMPUTED_VALUE"""),"NO")</f>
        <v>NO</v>
      </c>
      <c r="N445" s="15">
        <f ca="1">IFERROR(__xludf.DUMMYFUNCTION("""COMPUTED_VALUE"""),2)</f>
        <v>2</v>
      </c>
      <c r="O445" s="23" t="str">
        <f ca="1">IFERROR(__xludf.DUMMYFUNCTION("""COMPUTED_VALUE"""),"QUIET")</f>
        <v>QUIET</v>
      </c>
      <c r="P445" s="21">
        <f ca="1">IFERROR(__xludf.DUMMYFUNCTION("""COMPUTED_VALUE"""),3181.82)</f>
        <v>3181.82</v>
      </c>
      <c r="Q445" s="6" t="str">
        <f ca="1">IFERROR(__xludf.DUMMYFUNCTION("""COMPUTED_VALUE"""),"Maika Blázquez")</f>
        <v>Maika Blázquez</v>
      </c>
      <c r="R445" s="6" t="str">
        <f ca="1">IFERROR(__xludf.DUMMYFUNCTION("""COMPUTED_VALUE"""),"María Garrote Garrote")</f>
        <v>María Garrote Garrote</v>
      </c>
      <c r="S445" s="20" t="str">
        <f ca="1">IFERROR(__xludf.DUMMYFUNCTION("""COMPUTED_VALUE"""),"03 ORL")</f>
        <v>03 ORL</v>
      </c>
      <c r="T445" s="6" t="str">
        <f ca="1">IFERROR(__xludf.DUMMYFUNCTION("""COMPUTED_VALUE"""),"22 AUDIOMETRIA CLINICA")</f>
        <v>22 AUDIOMETRIA CLINICA</v>
      </c>
      <c r="U445" s="21"/>
      <c r="W445" s="21"/>
      <c r="X445" s="21"/>
    </row>
    <row r="446" spans="2:24" ht="16">
      <c r="B446" s="14" t="str">
        <f t="shared" ca="1" si="1"/>
        <v>LRM</v>
      </c>
      <c r="C446" s="23" t="str">
        <f ca="1">IFERROR(__xludf.DUMMYFUNCTION("""COMPUTED_VALUE"""),"LRM239")</f>
        <v>LRM239</v>
      </c>
      <c r="D446" s="6" t="str">
        <f ca="1">IFERROR(__xludf.DUMMYFUNCTION("""COMPUTED_VALUE"""),"PROPIOS")</f>
        <v>PROPIOS</v>
      </c>
      <c r="E446" s="6">
        <f ca="1">IFERROR(__xludf.DUMMYFUNCTION("""COMPUTED_VALUE"""),2026)</f>
        <v>2026</v>
      </c>
      <c r="F446" s="15">
        <f ca="1">IFERROR(__xludf.DUMMYFUNCTION("""COMPUTED_VALUE"""),3)</f>
        <v>3</v>
      </c>
      <c r="G446" s="6" t="str">
        <f ca="1">IFERROR(__xludf.DUMMYFUNCTION("""COMPUTED_VALUE"""),"Madrid- Juan Bravo")</f>
        <v>Madrid- Juan Bravo</v>
      </c>
      <c r="H446" s="6" t="str">
        <f ca="1">IFERROR(__xludf.DUMMYFUNCTION("""COMPUTED_VALUE"""),"C20263393127841723")</f>
        <v>C20263393127841723</v>
      </c>
      <c r="I446" s="6" t="str">
        <f ca="1">IFERROR(__xludf.DUMMYFUNCTION("""COMPUTED_VALUE"""),"ISABEL  HERNANDEZ PEREZ")</f>
        <v>ISABEL  HERNANDEZ PEREZ</v>
      </c>
      <c r="J446" s="16">
        <f ca="1">IFERROR(__xludf.DUMMYFUNCTION("""COMPUTED_VALUE"""),46084)</f>
        <v>46084</v>
      </c>
      <c r="K446" s="6" t="str">
        <f ca="1">IFERROR(__xludf.DUMMYFUNCTION("""COMPUTED_VALUE"""),"Factura audífonos")</f>
        <v>Factura audífonos</v>
      </c>
      <c r="L446" s="16">
        <f ca="1">IFERROR(__xludf.DUMMYFUNCTION("""COMPUTED_VALUE"""),46108)</f>
        <v>46108</v>
      </c>
      <c r="M446" s="23" t="str">
        <f ca="1">IFERROR(__xludf.DUMMYFUNCTION("""COMPUTED_VALUE"""),"NO")</f>
        <v>NO</v>
      </c>
      <c r="N446" s="15">
        <f ca="1">IFERROR(__xludf.DUMMYFUNCTION("""COMPUTED_VALUE"""),1)</f>
        <v>1</v>
      </c>
      <c r="O446" s="23" t="str">
        <f ca="1">IFERROR(__xludf.DUMMYFUNCTION("""COMPUTED_VALUE"""),"ADVANCED")</f>
        <v>ADVANCED</v>
      </c>
      <c r="P446" s="21">
        <f ca="1">IFERROR(__xludf.DUMMYFUNCTION("""COMPUTED_VALUE"""),2481.82)</f>
        <v>2481.8200000000002</v>
      </c>
      <c r="Q446" s="6" t="str">
        <f ca="1">IFERROR(__xludf.DUMMYFUNCTION("""COMPUTED_VALUE"""),"Lisandro Russian")</f>
        <v>Lisandro Russian</v>
      </c>
      <c r="R446" s="6" t="str">
        <f ca="1">IFERROR(__xludf.DUMMYFUNCTION("""COMPUTED_VALUE"""),"Carlos Barajas del Rosal")</f>
        <v>Carlos Barajas del Rosal</v>
      </c>
      <c r="S446" s="20" t="str">
        <f ca="1">IFERROR(__xludf.DUMMYFUNCTION("""COMPUTED_VALUE"""),"03 ORL")</f>
        <v>03 ORL</v>
      </c>
      <c r="T446" s="6" t="str">
        <f ca="1">IFERROR(__xludf.DUMMYFUNCTION("""COMPUTED_VALUE"""),"06 ORL")</f>
        <v>06 ORL</v>
      </c>
      <c r="U446" s="21"/>
      <c r="W446" s="21"/>
      <c r="X446" s="21"/>
    </row>
    <row r="447" spans="2:24" ht="16">
      <c r="B447" s="14" t="str">
        <f t="shared" ca="1" si="1"/>
        <v>ISL</v>
      </c>
      <c r="C447" s="23" t="str">
        <f ca="1">IFERROR(__xludf.DUMMYFUNCTION("""COMPUTED_VALUE"""),"ISL41")</f>
        <v>ISL41</v>
      </c>
      <c r="D447" s="6" t="str">
        <f ca="1">IFERROR(__xludf.DUMMYFUNCTION("""COMPUTED_VALUE"""),"PROPIOS")</f>
        <v>PROPIOS</v>
      </c>
      <c r="E447" s="6">
        <f ca="1">IFERROR(__xludf.DUMMYFUNCTION("""COMPUTED_VALUE"""),2026)</f>
        <v>2026</v>
      </c>
      <c r="F447" s="15">
        <f ca="1">IFERROR(__xludf.DUMMYFUNCTION("""COMPUTED_VALUE"""),3)</f>
        <v>3</v>
      </c>
      <c r="G447" s="6" t="str">
        <f ca="1">IFERROR(__xludf.DUMMYFUNCTION("""COMPUTED_VALUE"""),"Albacete")</f>
        <v>Albacete</v>
      </c>
      <c r="H447" s="6" t="str">
        <f ca="1">IFERROR(__xludf.DUMMYFUNCTION("""COMPUTED_VALUE"""),"C202621917412256555")</f>
        <v>C202621917412256555</v>
      </c>
      <c r="I447" s="6" t="str">
        <f ca="1">IFERROR(__xludf.DUMMYFUNCTION("""COMPUTED_VALUE"""),"JOSE MATIAS ALONSO CASTILLO")</f>
        <v>JOSE MATIAS ALONSO CASTILLO</v>
      </c>
      <c r="J447" s="16">
        <f ca="1">IFERROR(__xludf.DUMMYFUNCTION("""COMPUTED_VALUE"""),46072)</f>
        <v>46072</v>
      </c>
      <c r="K447" s="6" t="str">
        <f ca="1">IFERROR(__xludf.DUMMYFUNCTION("""COMPUTED_VALUE"""),"Factura audífonos")</f>
        <v>Factura audífonos</v>
      </c>
      <c r="L447" s="16">
        <f ca="1">IFERROR(__xludf.DUMMYFUNCTION("""COMPUTED_VALUE"""),46108)</f>
        <v>46108</v>
      </c>
      <c r="M447" s="23" t="str">
        <f ca="1">IFERROR(__xludf.DUMMYFUNCTION("""COMPUTED_VALUE"""),"NO")</f>
        <v>NO</v>
      </c>
      <c r="N447" s="15">
        <f ca="1">IFERROR(__xludf.DUMMYFUNCTION("""COMPUTED_VALUE"""),2)</f>
        <v>2</v>
      </c>
      <c r="O447" s="23" t="str">
        <f ca="1">IFERROR(__xludf.DUMMYFUNCTION("""COMPUTED_VALUE"""),"QUIET")</f>
        <v>QUIET</v>
      </c>
      <c r="P447" s="21">
        <f ca="1">IFERROR(__xludf.DUMMYFUNCTION("""COMPUTED_VALUE"""),2918.18)</f>
        <v>2918.18</v>
      </c>
      <c r="Q447" s="6" t="str">
        <f ca="1">IFERROR(__xludf.DUMMYFUNCTION("""COMPUTED_VALUE"""),"Iván Sánchez")</f>
        <v>Iván Sánchez</v>
      </c>
      <c r="R447" s="6" t="str">
        <f ca="1">IFERROR(__xludf.DUMMYFUNCTION("""COMPUTED_VALUE"""),"Javier García-Dueñas González")</f>
        <v>Javier García-Dueñas González</v>
      </c>
      <c r="S447" s="20" t="str">
        <f ca="1">IFERROR(__xludf.DUMMYFUNCTION("""COMPUTED_VALUE"""),"03 ORL")</f>
        <v>03 ORL</v>
      </c>
      <c r="T447" s="6" t="str">
        <f ca="1">IFERROR(__xludf.DUMMYFUNCTION("""COMPUTED_VALUE"""),"06 ORL")</f>
        <v>06 ORL</v>
      </c>
      <c r="U447" s="21"/>
      <c r="W447" s="21"/>
      <c r="X447" s="21"/>
    </row>
    <row r="448" spans="2:24" ht="16">
      <c r="B448" s="14" t="str">
        <f t="shared" ca="1" si="1"/>
        <v>MBM</v>
      </c>
      <c r="C448" s="23" t="str">
        <f ca="1">IFERROR(__xludf.DUMMYFUNCTION("""COMPUTED_VALUE"""),"MBM50")</f>
        <v>MBM50</v>
      </c>
      <c r="D448" s="6" t="str">
        <f ca="1">IFERROR(__xludf.DUMMYFUNCTION("""COMPUTED_VALUE"""),"PROPIOS")</f>
        <v>PROPIOS</v>
      </c>
      <c r="E448" s="6">
        <f ca="1">IFERROR(__xludf.DUMMYFUNCTION("""COMPUTED_VALUE"""),2026)</f>
        <v>2026</v>
      </c>
      <c r="F448" s="15">
        <f ca="1">IFERROR(__xludf.DUMMYFUNCTION("""COMPUTED_VALUE"""),3)</f>
        <v>3</v>
      </c>
      <c r="G448" s="6" t="str">
        <f ca="1">IFERROR(__xludf.DUMMYFUNCTION("""COMPUTED_VALUE"""),"Madrid- Canillas")</f>
        <v>Madrid- Canillas</v>
      </c>
      <c r="H448" s="6" t="str">
        <f ca="1">IFERROR(__xludf.DUMMYFUNCTION("""COMPUTED_VALUE"""),"C20263410838508549")</f>
        <v>C20263410838508549</v>
      </c>
      <c r="I448" s="6" t="str">
        <f ca="1">IFERROR(__xludf.DUMMYFUNCTION("""COMPUTED_VALUE"""),"MARÍA LÓPEZ SACRISTÁN")</f>
        <v>MARÍA LÓPEZ SACRISTÁN</v>
      </c>
      <c r="J448" s="16">
        <f ca="1">IFERROR(__xludf.DUMMYFUNCTION("""COMPUTED_VALUE"""),46085)</f>
        <v>46085</v>
      </c>
      <c r="K448" s="6" t="str">
        <f ca="1">IFERROR(__xludf.DUMMYFUNCTION("""COMPUTED_VALUE"""),"Factura audífonos")</f>
        <v>Factura audífonos</v>
      </c>
      <c r="L448" s="16">
        <f ca="1">IFERROR(__xludf.DUMMYFUNCTION("""COMPUTED_VALUE"""),46108)</f>
        <v>46108</v>
      </c>
      <c r="M448" s="23" t="str">
        <f ca="1">IFERROR(__xludf.DUMMYFUNCTION("""COMPUTED_VALUE"""),"NO")</f>
        <v>NO</v>
      </c>
      <c r="N448" s="15">
        <f ca="1">IFERROR(__xludf.DUMMYFUNCTION("""COMPUTED_VALUE"""),2)</f>
        <v>2</v>
      </c>
      <c r="O448" s="23" t="str">
        <f ca="1">IFERROR(__xludf.DUMMYFUNCTION("""COMPUTED_VALUE"""),"PRO")</f>
        <v>PRO</v>
      </c>
      <c r="P448" s="21">
        <f ca="1">IFERROR(__xludf.DUMMYFUNCTION("""COMPUTED_VALUE"""),4536.36)</f>
        <v>4536.3599999999997</v>
      </c>
      <c r="Q448" s="6" t="str">
        <f ca="1">IFERROR(__xludf.DUMMYFUNCTION("""COMPUTED_VALUE"""),"Maika Blázquez")</f>
        <v>Maika Blázquez</v>
      </c>
      <c r="R448" s="6" t="str">
        <f ca="1">IFERROR(__xludf.DUMMYFUNCTION("""COMPUTED_VALUE"""),"José Gustavo Barroso Braojos")</f>
        <v>José Gustavo Barroso Braojos</v>
      </c>
      <c r="S448" s="20" t="str">
        <f ca="1">IFERROR(__xludf.DUMMYFUNCTION("""COMPUTED_VALUE"""),"03 ORL")</f>
        <v>03 ORL</v>
      </c>
      <c r="T448" s="6" t="str">
        <f ca="1">IFERROR(__xludf.DUMMYFUNCTION("""COMPUTED_VALUE"""),"06 ORL")</f>
        <v>06 ORL</v>
      </c>
      <c r="U448" s="21"/>
      <c r="W448" s="21"/>
      <c r="X448" s="21"/>
    </row>
    <row r="449" spans="2:24" ht="16">
      <c r="B449" s="14" t="str">
        <f t="shared" ca="1" si="1"/>
        <v>MBM</v>
      </c>
      <c r="C449" s="23" t="str">
        <f ca="1">IFERROR(__xludf.DUMMYFUNCTION("""COMPUTED_VALUE"""),"MBM50")</f>
        <v>MBM50</v>
      </c>
      <c r="D449" s="6" t="str">
        <f ca="1">IFERROR(__xludf.DUMMYFUNCTION("""COMPUTED_VALUE"""),"PROPIOS")</f>
        <v>PROPIOS</v>
      </c>
      <c r="E449" s="6">
        <f ca="1">IFERROR(__xludf.DUMMYFUNCTION("""COMPUTED_VALUE"""),2026)</f>
        <v>2026</v>
      </c>
      <c r="F449" s="15">
        <f ca="1">IFERROR(__xludf.DUMMYFUNCTION("""COMPUTED_VALUE"""),3)</f>
        <v>3</v>
      </c>
      <c r="G449" s="6" t="str">
        <f ca="1">IFERROR(__xludf.DUMMYFUNCTION("""COMPUTED_VALUE"""),"Madrid- Canillas")</f>
        <v>Madrid- Canillas</v>
      </c>
      <c r="H449" s="6" t="str">
        <f ca="1">IFERROR(__xludf.DUMMYFUNCTION("""COMPUTED_VALUE"""),"C202632393140116305")</f>
        <v>C202632393140116305</v>
      </c>
      <c r="I449" s="6" t="str">
        <f ca="1">IFERROR(__xludf.DUMMYFUNCTION("""COMPUTED_VALUE"""),"AVELINO GONZÁLEZ MARTÍNEZ")</f>
        <v>AVELINO GONZÁLEZ MARTÍNEZ</v>
      </c>
      <c r="J449" s="16">
        <f ca="1">IFERROR(__xludf.DUMMYFUNCTION("""COMPUTED_VALUE"""),46104)</f>
        <v>46104</v>
      </c>
      <c r="K449" s="6" t="str">
        <f ca="1">IFERROR(__xludf.DUMMYFUNCTION("""COMPUTED_VALUE"""),"Factura audífonos")</f>
        <v>Factura audífonos</v>
      </c>
      <c r="L449" s="16">
        <f ca="1">IFERROR(__xludf.DUMMYFUNCTION("""COMPUTED_VALUE"""),46108)</f>
        <v>46108</v>
      </c>
      <c r="M449" s="23" t="str">
        <f ca="1">IFERROR(__xludf.DUMMYFUNCTION("""COMPUTED_VALUE"""),"NO")</f>
        <v>NO</v>
      </c>
      <c r="N449" s="15">
        <f ca="1">IFERROR(__xludf.DUMMYFUNCTION("""COMPUTED_VALUE"""),2)</f>
        <v>2</v>
      </c>
      <c r="O449" s="23" t="str">
        <f ca="1">IFERROR(__xludf.DUMMYFUNCTION("""COMPUTED_VALUE"""),"CONFORT")</f>
        <v>CONFORT</v>
      </c>
      <c r="P449" s="21">
        <f ca="1">IFERROR(__xludf.DUMMYFUNCTION("""COMPUTED_VALUE"""),3631.73)</f>
        <v>3631.73</v>
      </c>
      <c r="Q449" s="6" t="str">
        <f ca="1">IFERROR(__xludf.DUMMYFUNCTION("""COMPUTED_VALUE"""),"Maika Blázquez")</f>
        <v>Maika Blázquez</v>
      </c>
      <c r="R449" s="6" t="str">
        <f ca="1">IFERROR(__xludf.DUMMYFUNCTION("""COMPUTED_VALUE"""),"José Gustavo Barroso Braojos")</f>
        <v>José Gustavo Barroso Braojos</v>
      </c>
      <c r="S449" s="20" t="str">
        <f ca="1">IFERROR(__xludf.DUMMYFUNCTION("""COMPUTED_VALUE"""),"03 ORL")</f>
        <v>03 ORL</v>
      </c>
      <c r="T449" s="6" t="str">
        <f ca="1">IFERROR(__xludf.DUMMYFUNCTION("""COMPUTED_VALUE"""),"06 ORL")</f>
        <v>06 ORL</v>
      </c>
      <c r="U449" s="21"/>
      <c r="W449" s="21"/>
      <c r="X449" s="21"/>
    </row>
    <row r="450" spans="2:24" ht="16">
      <c r="B450" s="14" t="str">
        <f t="shared" ca="1" si="1"/>
        <v>MBM</v>
      </c>
      <c r="C450" s="23" t="str">
        <f ca="1">IFERROR(__xludf.DUMMYFUNCTION("""COMPUTED_VALUE"""),"MBM50")</f>
        <v>MBM50</v>
      </c>
      <c r="D450" s="6" t="str">
        <f ca="1">IFERROR(__xludf.DUMMYFUNCTION("""COMPUTED_VALUE"""),"PROPIOS")</f>
        <v>PROPIOS</v>
      </c>
      <c r="E450" s="6">
        <f ca="1">IFERROR(__xludf.DUMMYFUNCTION("""COMPUTED_VALUE"""),2026)</f>
        <v>2026</v>
      </c>
      <c r="F450" s="15">
        <f ca="1">IFERROR(__xludf.DUMMYFUNCTION("""COMPUTED_VALUE"""),3)</f>
        <v>3</v>
      </c>
      <c r="G450" s="6" t="str">
        <f ca="1">IFERROR(__xludf.DUMMYFUNCTION("""COMPUTED_VALUE"""),"Madrid- Monforte de Lemos")</f>
        <v>Madrid- Monforte de Lemos</v>
      </c>
      <c r="H450" s="6" t="str">
        <f ca="1">IFERROR(__xludf.DUMMYFUNCTION("""COMPUTED_VALUE"""),"C2026331215182231")</f>
        <v>C2026331215182231</v>
      </c>
      <c r="I450" s="6" t="str">
        <f ca="1">IFERROR(__xludf.DUMMYFUNCTION("""COMPUTED_VALUE"""),"ANA MARÍA  MUNARRIZ PÉREZ")</f>
        <v>ANA MARÍA  MUNARRIZ PÉREZ</v>
      </c>
      <c r="J450" s="16">
        <f ca="1">IFERROR(__xludf.DUMMYFUNCTION("""COMPUTED_VALUE"""),46084)</f>
        <v>46084</v>
      </c>
      <c r="K450" s="6" t="str">
        <f ca="1">IFERROR(__xludf.DUMMYFUNCTION("""COMPUTED_VALUE"""),"Factura audífonos")</f>
        <v>Factura audífonos</v>
      </c>
      <c r="L450" s="16">
        <f ca="1">IFERROR(__xludf.DUMMYFUNCTION("""COMPUTED_VALUE"""),46108)</f>
        <v>46108</v>
      </c>
      <c r="M450" s="23" t="str">
        <f ca="1">IFERROR(__xludf.DUMMYFUNCTION("""COMPUTED_VALUE"""),"NO")</f>
        <v>NO</v>
      </c>
      <c r="N450" s="15">
        <f ca="1">IFERROR(__xludf.DUMMYFUNCTION("""COMPUTED_VALUE"""),2)</f>
        <v>2</v>
      </c>
      <c r="O450" s="23" t="str">
        <f ca="1">IFERROR(__xludf.DUMMYFUNCTION("""COMPUTED_VALUE"""),"QUIET")</f>
        <v>QUIET</v>
      </c>
      <c r="P450" s="21">
        <f ca="1">IFERROR(__xludf.DUMMYFUNCTION("""COMPUTED_VALUE"""),2718.18)</f>
        <v>2718.18</v>
      </c>
      <c r="Q450" s="6" t="str">
        <f ca="1">IFERROR(__xludf.DUMMYFUNCTION("""COMPUTED_VALUE"""),"Maika Blázquez")</f>
        <v>Maika Blázquez</v>
      </c>
      <c r="R450" s="6" t="str">
        <f ca="1">IFERROR(__xludf.DUMMYFUNCTION("""COMPUTED_VALUE"""),"José Gustavo Barroso Braojos")</f>
        <v>José Gustavo Barroso Braojos</v>
      </c>
      <c r="S450" s="20" t="str">
        <f ca="1">IFERROR(__xludf.DUMMYFUNCTION("""COMPUTED_VALUE"""),"03 ORL")</f>
        <v>03 ORL</v>
      </c>
      <c r="T450" s="6" t="str">
        <f ca="1">IFERROR(__xludf.DUMMYFUNCTION("""COMPUTED_VALUE"""),"06 ORL")</f>
        <v>06 ORL</v>
      </c>
      <c r="U450" s="21"/>
      <c r="W450" s="21"/>
      <c r="X450" s="21"/>
    </row>
    <row r="451" spans="2:24" ht="16">
      <c r="B451" s="14" t="str">
        <f t="shared" ca="1" si="1"/>
        <v>ISL</v>
      </c>
      <c r="C451" s="23" t="str">
        <f ca="1">IFERROR(__xludf.DUMMYFUNCTION("""COMPUTED_VALUE"""),"ISL14")</f>
        <v>ISL14</v>
      </c>
      <c r="D451" s="6" t="str">
        <f ca="1">IFERROR(__xludf.DUMMYFUNCTION("""COMPUTED_VALUE"""),"PARTICIPADOS")</f>
        <v>PARTICIPADOS</v>
      </c>
      <c r="E451" s="6">
        <f ca="1">IFERROR(__xludf.DUMMYFUNCTION("""COMPUTED_VALUE"""),2026)</f>
        <v>2026</v>
      </c>
      <c r="F451" s="15">
        <f ca="1">IFERROR(__xludf.DUMMYFUNCTION("""COMPUTED_VALUE"""),3)</f>
        <v>3</v>
      </c>
      <c r="G451" s="6" t="str">
        <f ca="1">IFERROR(__xludf.DUMMYFUNCTION("""COMPUTED_VALUE"""),"Madrid- Galileo")</f>
        <v>Madrid- Galileo</v>
      </c>
      <c r="H451" s="6" t="str">
        <f ca="1">IFERROR(__xludf.DUMMYFUNCTION("""COMPUTED_VALUE"""),"C202622592914979233")</f>
        <v>C202622592914979233</v>
      </c>
      <c r="I451" s="6" t="str">
        <f ca="1">IFERROR(__xludf.DUMMYFUNCTION("""COMPUTED_VALUE"""),"RUTH VIVAS FERMIN")</f>
        <v>RUTH VIVAS FERMIN</v>
      </c>
      <c r="J451" s="16">
        <f ca="1">IFERROR(__xludf.DUMMYFUNCTION("""COMPUTED_VALUE"""),46078)</f>
        <v>46078</v>
      </c>
      <c r="K451" s="6" t="str">
        <f ca="1">IFERROR(__xludf.DUMMYFUNCTION("""COMPUTED_VALUE"""),"Factura audífonos")</f>
        <v>Factura audífonos</v>
      </c>
      <c r="L451" s="16">
        <f ca="1">IFERROR(__xludf.DUMMYFUNCTION("""COMPUTED_VALUE"""),46108)</f>
        <v>46108</v>
      </c>
      <c r="M451" s="23" t="str">
        <f ca="1">IFERROR(__xludf.DUMMYFUNCTION("""COMPUTED_VALUE"""),"NO")</f>
        <v>NO</v>
      </c>
      <c r="N451" s="15">
        <f ca="1">IFERROR(__xludf.DUMMYFUNCTION("""COMPUTED_VALUE"""),1)</f>
        <v>1</v>
      </c>
      <c r="O451" s="23" t="str">
        <f ca="1">IFERROR(__xludf.DUMMYFUNCTION("""COMPUTED_VALUE"""),"CONFORT")</f>
        <v>CONFORT</v>
      </c>
      <c r="P451" s="21">
        <f ca="1">IFERROR(__xludf.DUMMYFUNCTION("""COMPUTED_VALUE"""),2180.91)</f>
        <v>2180.91</v>
      </c>
      <c r="Q451" s="6" t="str">
        <f ca="1">IFERROR(__xludf.DUMMYFUNCTION("""COMPUTED_VALUE"""),"Iván Sánchez")</f>
        <v>Iván Sánchez</v>
      </c>
      <c r="R451" s="6" t="str">
        <f ca="1">IFERROR(__xludf.DUMMYFUNCTION("""COMPUTED_VALUE"""),"Carlos Velásquez Fermín")</f>
        <v>Carlos Velásquez Fermín</v>
      </c>
      <c r="S451" s="20" t="str">
        <f ca="1">IFERROR(__xludf.DUMMYFUNCTION("""COMPUTED_VALUE"""),"03 ORL")</f>
        <v>03 ORL</v>
      </c>
      <c r="T451" s="6" t="str">
        <f ca="1">IFERROR(__xludf.DUMMYFUNCTION("""COMPUTED_VALUE"""),"06 ORL")</f>
        <v>06 ORL</v>
      </c>
      <c r="U451" s="21"/>
      <c r="W451" s="21"/>
      <c r="X451" s="21"/>
    </row>
    <row r="452" spans="2:24" ht="16">
      <c r="B452" s="14" t="str">
        <f t="shared" ca="1" si="1"/>
        <v>LAA</v>
      </c>
      <c r="C452" s="23" t="str">
        <f ca="1">IFERROR(__xludf.DUMMYFUNCTION("""COMPUTED_VALUE"""),"LAA78")</f>
        <v>LAA78</v>
      </c>
      <c r="D452" s="6" t="str">
        <f ca="1">IFERROR(__xludf.DUMMYFUNCTION("""COMPUTED_VALUE"""),"PROPIOS")</f>
        <v>PROPIOS</v>
      </c>
      <c r="E452" s="6">
        <f ca="1">IFERROR(__xludf.DUMMYFUNCTION("""COMPUTED_VALUE"""),2026)</f>
        <v>2026</v>
      </c>
      <c r="F452" s="15">
        <f ca="1">IFERROR(__xludf.DUMMYFUNCTION("""COMPUTED_VALUE"""),3)</f>
        <v>3</v>
      </c>
      <c r="G452" s="6" t="str">
        <f ca="1">IFERROR(__xludf.DUMMYFUNCTION("""COMPUTED_VALUE"""),"Jerez de la Frontera")</f>
        <v>Jerez de la Frontera</v>
      </c>
      <c r="H452" s="6" t="str">
        <f ca="1">IFERROR(__xludf.DUMMYFUNCTION("""COMPUTED_VALUE"""),"C20263285511881800")</f>
        <v>C20263285511881800</v>
      </c>
      <c r="I452" s="6" t="str">
        <f ca="1">IFERROR(__xludf.DUMMYFUNCTION("""COMPUTED_VALUE"""),"MIGUEL ANGEL  CASTILLEJO LOPEZ")</f>
        <v>MIGUEL ANGEL  CASTILLEJO LOPEZ</v>
      </c>
      <c r="J452" s="16">
        <f ca="1">IFERROR(__xludf.DUMMYFUNCTION("""COMPUTED_VALUE"""),46083)</f>
        <v>46083</v>
      </c>
      <c r="K452" s="6" t="str">
        <f ca="1">IFERROR(__xludf.DUMMYFUNCTION("""COMPUTED_VALUE"""),"Factura audífonos")</f>
        <v>Factura audífonos</v>
      </c>
      <c r="L452" s="16">
        <f ca="1">IFERROR(__xludf.DUMMYFUNCTION("""COMPUTED_VALUE"""),46108)</f>
        <v>46108</v>
      </c>
      <c r="M452" s="23" t="str">
        <f ca="1">IFERROR(__xludf.DUMMYFUNCTION("""COMPUTED_VALUE"""),"NO")</f>
        <v>NO</v>
      </c>
      <c r="N452" s="15">
        <f ca="1">IFERROR(__xludf.DUMMYFUNCTION("""COMPUTED_VALUE"""),1)</f>
        <v>1</v>
      </c>
      <c r="O452" s="23" t="str">
        <f ca="1">IFERROR(__xludf.DUMMYFUNCTION("""COMPUTED_VALUE"""),"PRO")</f>
        <v>PRO</v>
      </c>
      <c r="P452" s="21">
        <f ca="1">IFERROR(__xludf.DUMMYFUNCTION("""COMPUTED_VALUE"""),2722.73)</f>
        <v>2722.73</v>
      </c>
      <c r="Q452" s="6" t="str">
        <f ca="1">IFERROR(__xludf.DUMMYFUNCTION("""COMPUTED_VALUE"""),"Luis Alberto Rodríguez")</f>
        <v>Luis Alberto Rodríguez</v>
      </c>
      <c r="R452" s="6" t="str">
        <f ca="1">IFERROR(__xludf.DUMMYFUNCTION("""COMPUTED_VALUE"""),"Maria Del Carmen Salom Coveñas")</f>
        <v>Maria Del Carmen Salom Coveñas</v>
      </c>
      <c r="S452" s="20" t="str">
        <f ca="1">IFERROR(__xludf.DUMMYFUNCTION("""COMPUTED_VALUE"""),"03 ORL")</f>
        <v>03 ORL</v>
      </c>
      <c r="T452" s="6" t="str">
        <f ca="1">IFERROR(__xludf.DUMMYFUNCTION("""COMPUTED_VALUE"""),"06 ORL")</f>
        <v>06 ORL</v>
      </c>
      <c r="U452" s="21"/>
      <c r="W452" s="21"/>
      <c r="X452" s="21"/>
    </row>
    <row r="453" spans="2:24" ht="16">
      <c r="B453" s="14" t="str">
        <f t="shared" ca="1" si="1"/>
        <v>RFV</v>
      </c>
      <c r="C453" s="23" t="str">
        <f ca="1">IFERROR(__xludf.DUMMYFUNCTION("""COMPUTED_VALUE"""),"RFV24")</f>
        <v>RFV24</v>
      </c>
      <c r="D453" s="6" t="str">
        <f ca="1">IFERROR(__xludf.DUMMYFUNCTION("""COMPUTED_VALUE"""),"PROPIOS")</f>
        <v>PROPIOS</v>
      </c>
      <c r="E453" s="6">
        <f ca="1">IFERROR(__xludf.DUMMYFUNCTION("""COMPUTED_VALUE"""),2026)</f>
        <v>2026</v>
      </c>
      <c r="F453" s="15">
        <f ca="1">IFERROR(__xludf.DUMMYFUNCTION("""COMPUTED_VALUE"""),3)</f>
        <v>3</v>
      </c>
      <c r="G453" s="6" t="str">
        <f ca="1">IFERROR(__xludf.DUMMYFUNCTION("""COMPUTED_VALUE"""),"Valencia- Parra")</f>
        <v>Valencia- Parra</v>
      </c>
      <c r="H453" s="6" t="str">
        <f ca="1">IFERROR(__xludf.DUMMYFUNCTION("""COMPUTED_VALUE"""),"C202612310284907484")</f>
        <v>C202612310284907484</v>
      </c>
      <c r="I453" s="6" t="str">
        <f ca="1">IFERROR(__xludf.DUMMYFUNCTION("""COMPUTED_VALUE"""),"RAUL SORIA PINEL")</f>
        <v>RAUL SORIA PINEL</v>
      </c>
      <c r="J453" s="16">
        <f ca="1">IFERROR(__xludf.DUMMYFUNCTION("""COMPUTED_VALUE"""),46045)</f>
        <v>46045</v>
      </c>
      <c r="K453" s="6" t="str">
        <f ca="1">IFERROR(__xludf.DUMMYFUNCTION("""COMPUTED_VALUE"""),"Factura audífonos")</f>
        <v>Factura audífonos</v>
      </c>
      <c r="L453" s="16">
        <f ca="1">IFERROR(__xludf.DUMMYFUNCTION("""COMPUTED_VALUE"""),46111)</f>
        <v>46111</v>
      </c>
      <c r="M453" s="23" t="str">
        <f ca="1">IFERROR(__xludf.DUMMYFUNCTION("""COMPUTED_VALUE"""),"NO")</f>
        <v>NO</v>
      </c>
      <c r="N453" s="15">
        <f ca="1">IFERROR(__xludf.DUMMYFUNCTION("""COMPUTED_VALUE"""),2)</f>
        <v>2</v>
      </c>
      <c r="O453" s="23" t="str">
        <f ca="1">IFERROR(__xludf.DUMMYFUNCTION("""COMPUTED_VALUE"""),"QUIET")</f>
        <v>QUIET</v>
      </c>
      <c r="P453" s="21">
        <f ca="1">IFERROR(__xludf.DUMMYFUNCTION("""COMPUTED_VALUE"""),2718.18)</f>
        <v>2718.18</v>
      </c>
      <c r="Q453" s="6" t="str">
        <f ca="1">IFERROR(__xludf.DUMMYFUNCTION("""COMPUTED_VALUE"""),"Ramon Ferrando")</f>
        <v>Ramon Ferrando</v>
      </c>
      <c r="R453" s="6" t="str">
        <f ca="1">IFERROR(__xludf.DUMMYFUNCTION("""COMPUTED_VALUE"""),"Raimon García Chillerón")</f>
        <v>Raimon García Chillerón</v>
      </c>
      <c r="S453" s="20" t="str">
        <f ca="1">IFERROR(__xludf.DUMMYFUNCTION("""COMPUTED_VALUE"""),"03 ORL")</f>
        <v>03 ORL</v>
      </c>
      <c r="T453" s="6" t="str">
        <f ca="1">IFERROR(__xludf.DUMMYFUNCTION("""COMPUTED_VALUE"""),"06 ORL")</f>
        <v>06 ORL</v>
      </c>
      <c r="U453" s="21"/>
      <c r="W453" s="21"/>
      <c r="X453" s="21"/>
    </row>
    <row r="454" spans="2:24" ht="16">
      <c r="B454" s="14" t="str">
        <f t="shared" ca="1" si="1"/>
        <v>RFV</v>
      </c>
      <c r="C454" s="23" t="str">
        <f ca="1">IFERROR(__xludf.DUMMYFUNCTION("""COMPUTED_VALUE"""),"RFV42")</f>
        <v>RFV42</v>
      </c>
      <c r="D454" s="6" t="str">
        <f ca="1">IFERROR(__xludf.DUMMYFUNCTION("""COMPUTED_VALUE"""),"PROPIOS")</f>
        <v>PROPIOS</v>
      </c>
      <c r="E454" s="6">
        <f ca="1">IFERROR(__xludf.DUMMYFUNCTION("""COMPUTED_VALUE"""),2026)</f>
        <v>2026</v>
      </c>
      <c r="F454" s="15">
        <f ca="1">IFERROR(__xludf.DUMMYFUNCTION("""COMPUTED_VALUE"""),3)</f>
        <v>3</v>
      </c>
      <c r="G454" s="6" t="str">
        <f ca="1">IFERROR(__xludf.DUMMYFUNCTION("""COMPUTED_VALUE"""),"El Albir (Benidorm)")</f>
        <v>El Albir (Benidorm)</v>
      </c>
      <c r="H454" s="6" t="str">
        <f ca="1">IFERROR(__xludf.DUMMYFUNCTION("""COMPUTED_VALUE"""),"C202618165718382638")</f>
        <v>C202618165718382638</v>
      </c>
      <c r="I454" s="6" t="str">
        <f ca="1">IFERROR(__xludf.DUMMYFUNCTION("""COMPUTED_VALUE"""),"ENCARNA  DIAZ HORTELANO")</f>
        <v>ENCARNA  DIAZ HORTELANO</v>
      </c>
      <c r="J454" s="16">
        <f ca="1">IFERROR(__xludf.DUMMYFUNCTION("""COMPUTED_VALUE"""),46030)</f>
        <v>46030</v>
      </c>
      <c r="K454" s="6" t="str">
        <f ca="1">IFERROR(__xludf.DUMMYFUNCTION("""COMPUTED_VALUE"""),"Factura audífonos")</f>
        <v>Factura audífonos</v>
      </c>
      <c r="L454" s="16">
        <f ca="1">IFERROR(__xludf.DUMMYFUNCTION("""COMPUTED_VALUE"""),46111)</f>
        <v>46111</v>
      </c>
      <c r="M454" s="23" t="str">
        <f ca="1">IFERROR(__xludf.DUMMYFUNCTION("""COMPUTED_VALUE"""),"NO")</f>
        <v>NO</v>
      </c>
      <c r="N454" s="15">
        <f ca="1">IFERROR(__xludf.DUMMYFUNCTION("""COMPUTED_VALUE"""),2)</f>
        <v>2</v>
      </c>
      <c r="O454" s="23" t="str">
        <f ca="1">IFERROR(__xludf.DUMMYFUNCTION("""COMPUTED_VALUE"""),"QUIET")</f>
        <v>QUIET</v>
      </c>
      <c r="P454" s="21">
        <f ca="1">IFERROR(__xludf.DUMMYFUNCTION("""COMPUTED_VALUE"""),2582.27)</f>
        <v>2582.27</v>
      </c>
      <c r="Q454" s="6" t="str">
        <f ca="1">IFERROR(__xludf.DUMMYFUNCTION("""COMPUTED_VALUE"""),"Iván Sánchez")</f>
        <v>Iván Sánchez</v>
      </c>
      <c r="R454" s="6" t="str">
        <f ca="1">IFERROR(__xludf.DUMMYFUNCTION("""COMPUTED_VALUE"""),"Salwa Laraqui Hossini")</f>
        <v>Salwa Laraqui Hossini</v>
      </c>
      <c r="S454" s="20" t="str">
        <f ca="1">IFERROR(__xludf.DUMMYFUNCTION("""COMPUTED_VALUE"""),"03 ORL")</f>
        <v>03 ORL</v>
      </c>
      <c r="T454" s="6" t="str">
        <f ca="1">IFERROR(__xludf.DUMMYFUNCTION("""COMPUTED_VALUE"""),"06 ORL")</f>
        <v>06 ORL</v>
      </c>
      <c r="U454" s="21"/>
      <c r="W454" s="21"/>
      <c r="X454" s="21"/>
    </row>
    <row r="455" spans="2:24" ht="16">
      <c r="B455" s="14" t="str">
        <f t="shared" ca="1" si="1"/>
        <v>ISL</v>
      </c>
      <c r="C455" s="23" t="str">
        <f ca="1">IFERROR(__xludf.DUMMYFUNCTION("""COMPUTED_VALUE"""),"ISL116")</f>
        <v>ISL116</v>
      </c>
      <c r="D455" s="6" t="str">
        <f ca="1">IFERROR(__xludf.DUMMYFUNCTION("""COMPUTED_VALUE"""),"PROPIOS")</f>
        <v>PROPIOS</v>
      </c>
      <c r="E455" s="6">
        <f ca="1">IFERROR(__xludf.DUMMYFUNCTION("""COMPUTED_VALUE"""),2026)</f>
        <v>2026</v>
      </c>
      <c r="F455" s="15">
        <f ca="1">IFERROR(__xludf.DUMMYFUNCTION("""COMPUTED_VALUE"""),3)</f>
        <v>3</v>
      </c>
      <c r="G455" s="6" t="str">
        <f ca="1">IFERROR(__xludf.DUMMYFUNCTION("""COMPUTED_VALUE"""),"Alicante")</f>
        <v>Alicante</v>
      </c>
      <c r="H455" s="6" t="str">
        <f ca="1">IFERROR(__xludf.DUMMYFUNCTION("""COMPUTED_VALUE"""),"C202639162646500411")</f>
        <v>C202639162646500411</v>
      </c>
      <c r="I455" s="6" t="str">
        <f ca="1">IFERROR(__xludf.DUMMYFUNCTION("""COMPUTED_VALUE"""),"MAONNG LI")</f>
        <v>MAONNG LI</v>
      </c>
      <c r="J455" s="16">
        <f ca="1">IFERROR(__xludf.DUMMYFUNCTION("""COMPUTED_VALUE"""),46090)</f>
        <v>46090</v>
      </c>
      <c r="K455" s="6" t="str">
        <f ca="1">IFERROR(__xludf.DUMMYFUNCTION("""COMPUTED_VALUE"""),"Factura audífonos")</f>
        <v>Factura audífonos</v>
      </c>
      <c r="L455" s="16">
        <f ca="1">IFERROR(__xludf.DUMMYFUNCTION("""COMPUTED_VALUE"""),46111)</f>
        <v>46111</v>
      </c>
      <c r="M455" s="23" t="str">
        <f ca="1">IFERROR(__xludf.DUMMYFUNCTION("""COMPUTED_VALUE"""),"NO")</f>
        <v>NO</v>
      </c>
      <c r="N455" s="15">
        <f ca="1">IFERROR(__xludf.DUMMYFUNCTION("""COMPUTED_VALUE"""),2)</f>
        <v>2</v>
      </c>
      <c r="O455" s="23" t="str">
        <f ca="1">IFERROR(__xludf.DUMMYFUNCTION("""COMPUTED_VALUE"""),"QUIET")</f>
        <v>QUIET</v>
      </c>
      <c r="P455" s="21">
        <f ca="1">IFERROR(__xludf.DUMMYFUNCTION("""COMPUTED_VALUE"""),2718.18)</f>
        <v>2718.18</v>
      </c>
      <c r="Q455" s="6" t="str">
        <f ca="1">IFERROR(__xludf.DUMMYFUNCTION("""COMPUTED_VALUE"""),"Iván Sánchez")</f>
        <v>Iván Sánchez</v>
      </c>
      <c r="R455" s="6" t="str">
        <f ca="1">IFERROR(__xludf.DUMMYFUNCTION("""COMPUTED_VALUE"""),"Maria Rosario Ferrandiz García")</f>
        <v>Maria Rosario Ferrandiz García</v>
      </c>
      <c r="S455" s="20" t="str">
        <f ca="1">IFERROR(__xludf.DUMMYFUNCTION("""COMPUTED_VALUE"""),"03 ORL")</f>
        <v>03 ORL</v>
      </c>
      <c r="T455" s="6" t="str">
        <f ca="1">IFERROR(__xludf.DUMMYFUNCTION("""COMPUTED_VALUE"""),"06 ORL")</f>
        <v>06 ORL</v>
      </c>
      <c r="U455" s="21"/>
      <c r="W455" s="21"/>
      <c r="X455" s="21"/>
    </row>
    <row r="456" spans="2:24" ht="16">
      <c r="B456" s="14" t="str">
        <f t="shared" ca="1" si="1"/>
        <v>PSC</v>
      </c>
      <c r="C456" s="23" t="str">
        <f ca="1">IFERROR(__xludf.DUMMYFUNCTION("""COMPUTED_VALUE"""),"PSC31")</f>
        <v>PSC31</v>
      </c>
      <c r="D456" s="6" t="str">
        <f ca="1">IFERROR(__xludf.DUMMYFUNCTION("""COMPUTED_VALUE"""),"ASOCIADOS")</f>
        <v>ASOCIADOS</v>
      </c>
      <c r="E456" s="6">
        <f ca="1">IFERROR(__xludf.DUMMYFUNCTION("""COMPUTED_VALUE"""),2026)</f>
        <v>2026</v>
      </c>
      <c r="F456" s="15">
        <f ca="1">IFERROR(__xludf.DUMMYFUNCTION("""COMPUTED_VALUE"""),3)</f>
        <v>3</v>
      </c>
      <c r="G456" s="6" t="str">
        <f ca="1">IFERROR(__xludf.DUMMYFUNCTION("""COMPUTED_VALUE"""),"Valladolid")</f>
        <v>Valladolid</v>
      </c>
      <c r="H456" s="6" t="str">
        <f ca="1">IFERROR(__xludf.DUMMYFUNCTION("""COMPUTED_VALUE"""),"C202622611395939003")</f>
        <v>C202622611395939003</v>
      </c>
      <c r="I456" s="6" t="str">
        <f ca="1">IFERROR(__xludf.DUMMYFUNCTION("""COMPUTED_VALUE"""),"JUAN  DUARTE CARAVACA")</f>
        <v>JUAN  DUARTE CARAVACA</v>
      </c>
      <c r="J456" s="16">
        <f ca="1">IFERROR(__xludf.DUMMYFUNCTION("""COMPUTED_VALUE"""),46079)</f>
        <v>46079</v>
      </c>
      <c r="K456" s="6" t="str">
        <f ca="1">IFERROR(__xludf.DUMMYFUNCTION("""COMPUTED_VALUE"""),"Factura audífonos")</f>
        <v>Factura audífonos</v>
      </c>
      <c r="L456" s="16">
        <f ca="1">IFERROR(__xludf.DUMMYFUNCTION("""COMPUTED_VALUE"""),46111)</f>
        <v>46111</v>
      </c>
      <c r="M456" s="23" t="str">
        <f ca="1">IFERROR(__xludf.DUMMYFUNCTION("""COMPUTED_VALUE"""),"NO")</f>
        <v>NO</v>
      </c>
      <c r="N456" s="15">
        <f ca="1">IFERROR(__xludf.DUMMYFUNCTION("""COMPUTED_VALUE"""),1)</f>
        <v>1</v>
      </c>
      <c r="O456" s="23" t="str">
        <f ca="1">IFERROR(__xludf.DUMMYFUNCTION("""COMPUTED_VALUE"""),"ADVANCED")</f>
        <v>ADVANCED</v>
      </c>
      <c r="P456" s="21">
        <f ca="1">IFERROR(__xludf.DUMMYFUNCTION("""COMPUTED_VALUE"""),2080)</f>
        <v>2080</v>
      </c>
      <c r="Q456" s="6" t="str">
        <f ca="1">IFERROR(__xludf.DUMMYFUNCTION("""COMPUTED_VALUE"""),"Alberto Moreno")</f>
        <v>Alberto Moreno</v>
      </c>
      <c r="R456" s="6" t="str">
        <f ca="1">IFERROR(__xludf.DUMMYFUNCTION("""COMPUTED_VALUE"""),"Ana Fernández Rodríguez")</f>
        <v>Ana Fernández Rodríguez</v>
      </c>
      <c r="S456" s="20" t="str">
        <f ca="1">IFERROR(__xludf.DUMMYFUNCTION("""COMPUTED_VALUE"""),"03 ORL")</f>
        <v>03 ORL</v>
      </c>
      <c r="T456" s="6" t="str">
        <f ca="1">IFERROR(__xludf.DUMMYFUNCTION("""COMPUTED_VALUE"""),"06 ORL")</f>
        <v>06 ORL</v>
      </c>
      <c r="U456" s="21"/>
      <c r="W456" s="21"/>
      <c r="X456" s="21"/>
    </row>
    <row r="457" spans="2:24" ht="16">
      <c r="B457" s="14" t="str">
        <f t="shared" ca="1" si="1"/>
        <v>MBM</v>
      </c>
      <c r="C457" s="23" t="str">
        <f ca="1">IFERROR(__xludf.DUMMYFUNCTION("""COMPUTED_VALUE"""),"MBM184")</f>
        <v>MBM184</v>
      </c>
      <c r="D457" s="6" t="str">
        <f ca="1">IFERROR(__xludf.DUMMYFUNCTION("""COMPUTED_VALUE"""),"PROPIOS")</f>
        <v>PROPIOS</v>
      </c>
      <c r="E457" s="6">
        <f ca="1">IFERROR(__xludf.DUMMYFUNCTION("""COMPUTED_VALUE"""),2026)</f>
        <v>2026</v>
      </c>
      <c r="F457" s="15">
        <f ca="1">IFERROR(__xludf.DUMMYFUNCTION("""COMPUTED_VALUE"""),3)</f>
        <v>3</v>
      </c>
      <c r="G457" s="6" t="str">
        <f ca="1">IFERROR(__xludf.DUMMYFUNCTION("""COMPUTED_VALUE"""),"Madrid- Monforte de Lemos")</f>
        <v>Madrid- Monforte de Lemos</v>
      </c>
      <c r="H457" s="6" t="str">
        <f ca="1">IFERROR(__xludf.DUMMYFUNCTION("""COMPUTED_VALUE"""),"C202621717342062690")</f>
        <v>C202621717342062690</v>
      </c>
      <c r="I457" s="6" t="str">
        <f ca="1">IFERROR(__xludf.DUMMYFUNCTION("""COMPUTED_VALUE"""),"MARIA ROSA SÁNCHEZ-MONGE LAGUNA DE RINS")</f>
        <v>MARIA ROSA SÁNCHEZ-MONGE LAGUNA DE RINS</v>
      </c>
      <c r="J457" s="16">
        <f ca="1">IFERROR(__xludf.DUMMYFUNCTION("""COMPUTED_VALUE"""),46070)</f>
        <v>46070</v>
      </c>
      <c r="K457" s="6" t="str">
        <f ca="1">IFERROR(__xludf.DUMMYFUNCTION("""COMPUTED_VALUE"""),"Factura audífonos")</f>
        <v>Factura audífonos</v>
      </c>
      <c r="L457" s="16">
        <f ca="1">IFERROR(__xludf.DUMMYFUNCTION("""COMPUTED_VALUE"""),46111)</f>
        <v>46111</v>
      </c>
      <c r="M457" s="23" t="str">
        <f ca="1">IFERROR(__xludf.DUMMYFUNCTION("""COMPUTED_VALUE"""),"NO")</f>
        <v>NO</v>
      </c>
      <c r="N457" s="15">
        <f ca="1">IFERROR(__xludf.DUMMYFUNCTION("""COMPUTED_VALUE"""),2)</f>
        <v>2</v>
      </c>
      <c r="O457" s="23" t="str">
        <f ca="1">IFERROR(__xludf.DUMMYFUNCTION("""COMPUTED_VALUE"""),"QUIET")</f>
        <v>QUIET</v>
      </c>
      <c r="P457" s="21">
        <f ca="1">IFERROR(__xludf.DUMMYFUNCTION("""COMPUTED_VALUE"""),2718.18)</f>
        <v>2718.18</v>
      </c>
      <c r="Q457" s="6" t="str">
        <f ca="1">IFERROR(__xludf.DUMMYFUNCTION("""COMPUTED_VALUE"""),"Maika Blázquez")</f>
        <v>Maika Blázquez</v>
      </c>
      <c r="R457" s="6" t="str">
        <f ca="1">IFERROR(__xludf.DUMMYFUNCTION("""COMPUTED_VALUE"""),"Victoria García Peces")</f>
        <v>Victoria García Peces</v>
      </c>
      <c r="S457" s="20" t="str">
        <f ca="1">IFERROR(__xludf.DUMMYFUNCTION("""COMPUTED_VALUE"""),"03 ORL")</f>
        <v>03 ORL</v>
      </c>
      <c r="T457" s="6" t="str">
        <f ca="1">IFERROR(__xludf.DUMMYFUNCTION("""COMPUTED_VALUE"""),"06 ORL")</f>
        <v>06 ORL</v>
      </c>
      <c r="U457" s="21"/>
      <c r="W457" s="21"/>
      <c r="X457" s="21"/>
    </row>
    <row r="458" spans="2:24" ht="16">
      <c r="B458" s="14" t="str">
        <f t="shared" ca="1" si="1"/>
        <v>LRM</v>
      </c>
      <c r="C458" s="23" t="str">
        <f ca="1">IFERROR(__xludf.DUMMYFUNCTION("""COMPUTED_VALUE"""),"LRM78")</f>
        <v>LRM78</v>
      </c>
      <c r="D458" s="6" t="str">
        <f ca="1">IFERROR(__xludf.DUMMYFUNCTION("""COMPUTED_VALUE"""),"ASOCIADOS")</f>
        <v>ASOCIADOS</v>
      </c>
      <c r="E458" s="6">
        <f ca="1">IFERROR(__xludf.DUMMYFUNCTION("""COMPUTED_VALUE"""),2026)</f>
        <v>2026</v>
      </c>
      <c r="F458" s="15">
        <f ca="1">IFERROR(__xludf.DUMMYFUNCTION("""COMPUTED_VALUE"""),3)</f>
        <v>3</v>
      </c>
      <c r="G458" s="6" t="str">
        <f ca="1">IFERROR(__xludf.DUMMYFUNCTION("""COMPUTED_VALUE"""),"Zaragoza- León XIII")</f>
        <v>Zaragoza- León XIII</v>
      </c>
      <c r="H458" s="6" t="str">
        <f ca="1">IFERROR(__xludf.DUMMYFUNCTION("""COMPUTED_VALUE"""),"C20263210129072148")</f>
        <v>C20263210129072148</v>
      </c>
      <c r="I458" s="6" t="str">
        <f ca="1">IFERROR(__xludf.DUMMYFUNCTION("""COMPUTED_VALUE"""),"LUIS IBAÑEZ GALLEGO")</f>
        <v>LUIS IBAÑEZ GALLEGO</v>
      </c>
      <c r="J458" s="16">
        <f ca="1">IFERROR(__xludf.DUMMYFUNCTION("""COMPUTED_VALUE"""),46083)</f>
        <v>46083</v>
      </c>
      <c r="K458" s="6" t="str">
        <f ca="1">IFERROR(__xludf.DUMMYFUNCTION("""COMPUTED_VALUE"""),"Factura audífonos")</f>
        <v>Factura audífonos</v>
      </c>
      <c r="L458" s="16">
        <f ca="1">IFERROR(__xludf.DUMMYFUNCTION("""COMPUTED_VALUE"""),46111)</f>
        <v>46111</v>
      </c>
      <c r="M458" s="23" t="str">
        <f ca="1">IFERROR(__xludf.DUMMYFUNCTION("""COMPUTED_VALUE"""),"NO")</f>
        <v>NO</v>
      </c>
      <c r="N458" s="15">
        <f ca="1">IFERROR(__xludf.DUMMYFUNCTION("""COMPUTED_VALUE"""),2)</f>
        <v>2</v>
      </c>
      <c r="O458" s="23" t="str">
        <f ca="1">IFERROR(__xludf.DUMMYFUNCTION("""COMPUTED_VALUE"""),"CONFORT")</f>
        <v>CONFORT</v>
      </c>
      <c r="P458" s="21">
        <f ca="1">IFERROR(__xludf.DUMMYFUNCTION("""COMPUTED_VALUE"""),3627.27)</f>
        <v>3627.27</v>
      </c>
      <c r="Q458" s="6" t="str">
        <f ca="1">IFERROR(__xludf.DUMMYFUNCTION("""COMPUTED_VALUE"""),"Ignacio Berdejo")</f>
        <v>Ignacio Berdejo</v>
      </c>
      <c r="R458" s="6" t="str">
        <f ca="1">IFERROR(__xludf.DUMMYFUNCTION("""COMPUTED_VALUE"""),"José Manuel García Solans-Esteras")</f>
        <v>José Manuel García Solans-Esteras</v>
      </c>
      <c r="S458" s="20" t="str">
        <f ca="1">IFERROR(__xludf.DUMMYFUNCTION("""COMPUTED_VALUE"""),"03 ORL")</f>
        <v>03 ORL</v>
      </c>
      <c r="T458" s="6" t="str">
        <f ca="1">IFERROR(__xludf.DUMMYFUNCTION("""COMPUTED_VALUE"""),"06 ORL")</f>
        <v>06 ORL</v>
      </c>
      <c r="U458" s="21"/>
      <c r="W458" s="21"/>
      <c r="X458" s="21"/>
    </row>
    <row r="459" spans="2:24" ht="16">
      <c r="B459" s="14" t="str">
        <f t="shared" ca="1" si="1"/>
        <v>ISL</v>
      </c>
      <c r="C459" s="23" t="str">
        <f ca="1">IFERROR(__xludf.DUMMYFUNCTION("""COMPUTED_VALUE"""),"ISL14")</f>
        <v>ISL14</v>
      </c>
      <c r="D459" s="6" t="str">
        <f ca="1">IFERROR(__xludf.DUMMYFUNCTION("""COMPUTED_VALUE"""),"PROPIOS")</f>
        <v>PROPIOS</v>
      </c>
      <c r="E459" s="6">
        <f ca="1">IFERROR(__xludf.DUMMYFUNCTION("""COMPUTED_VALUE"""),2026)</f>
        <v>2026</v>
      </c>
      <c r="F459" s="15">
        <f ca="1">IFERROR(__xludf.DUMMYFUNCTION("""COMPUTED_VALUE"""),3)</f>
        <v>3</v>
      </c>
      <c r="G459" s="6" t="str">
        <f ca="1">IFERROR(__xludf.DUMMYFUNCTION("""COMPUTED_VALUE"""),"Orihuela")</f>
        <v>Orihuela</v>
      </c>
      <c r="H459" s="6" t="str">
        <f ca="1">IFERROR(__xludf.DUMMYFUNCTION("""COMPUTED_VALUE"""),"C202631610495728359")</f>
        <v>C202631610495728359</v>
      </c>
      <c r="I459" s="6" t="str">
        <f ca="1">IFERROR(__xludf.DUMMYFUNCTION("""COMPUTED_VALUE"""),"INMACULADA RIVES PIC")</f>
        <v>INMACULADA RIVES PIC</v>
      </c>
      <c r="J459" s="16">
        <f ca="1">IFERROR(__xludf.DUMMYFUNCTION("""COMPUTED_VALUE"""),46097)</f>
        <v>46097</v>
      </c>
      <c r="K459" s="6" t="str">
        <f ca="1">IFERROR(__xludf.DUMMYFUNCTION("""COMPUTED_VALUE"""),"Factura audífonos")</f>
        <v>Factura audífonos</v>
      </c>
      <c r="L459" s="16">
        <f ca="1">IFERROR(__xludf.DUMMYFUNCTION("""COMPUTED_VALUE"""),46111)</f>
        <v>46111</v>
      </c>
      <c r="M459" s="23" t="str">
        <f ca="1">IFERROR(__xludf.DUMMYFUNCTION("""COMPUTED_VALUE"""),"NO")</f>
        <v>NO</v>
      </c>
      <c r="N459" s="15">
        <f ca="1">IFERROR(__xludf.DUMMYFUNCTION("""COMPUTED_VALUE"""),2)</f>
        <v>2</v>
      </c>
      <c r="O459" s="23" t="str">
        <f ca="1">IFERROR(__xludf.DUMMYFUNCTION("""COMPUTED_VALUE"""),"CONFORT")</f>
        <v>CONFORT</v>
      </c>
      <c r="P459" s="21">
        <f ca="1">IFERROR(__xludf.DUMMYFUNCTION("""COMPUTED_VALUE"""),3631.82)</f>
        <v>3631.82</v>
      </c>
      <c r="Q459" s="6" t="str">
        <f ca="1">IFERROR(__xludf.DUMMYFUNCTION("""COMPUTED_VALUE"""),"Iván Sánchez")</f>
        <v>Iván Sánchez</v>
      </c>
      <c r="R459" s="6" t="str">
        <f ca="1">IFERROR(__xludf.DUMMYFUNCTION("""COMPUTED_VALUE"""),"Carlos Velásquez Fermín")</f>
        <v>Carlos Velásquez Fermín</v>
      </c>
      <c r="S459" s="20" t="str">
        <f ca="1">IFERROR(__xludf.DUMMYFUNCTION("""COMPUTED_VALUE"""),"03 ORL")</f>
        <v>03 ORL</v>
      </c>
      <c r="T459" s="6" t="str">
        <f ca="1">IFERROR(__xludf.DUMMYFUNCTION("""COMPUTED_VALUE"""),"06 ORL")</f>
        <v>06 ORL</v>
      </c>
      <c r="U459" s="21"/>
      <c r="W459" s="21"/>
      <c r="X459" s="21"/>
    </row>
    <row r="460" spans="2:24" ht="16">
      <c r="B460" s="14" t="str">
        <f t="shared" ca="1" si="1"/>
        <v>ISL</v>
      </c>
      <c r="C460" s="23" t="str">
        <f ca="1">IFERROR(__xludf.DUMMYFUNCTION("""COMPUTED_VALUE"""),"ISL14")</f>
        <v>ISL14</v>
      </c>
      <c r="D460" s="6" t="str">
        <f ca="1">IFERROR(__xludf.DUMMYFUNCTION("""COMPUTED_VALUE"""),"PROPIOS")</f>
        <v>PROPIOS</v>
      </c>
      <c r="E460" s="6">
        <f ca="1">IFERROR(__xludf.DUMMYFUNCTION("""COMPUTED_VALUE"""),2026)</f>
        <v>2026</v>
      </c>
      <c r="F460" s="15">
        <f ca="1">IFERROR(__xludf.DUMMYFUNCTION("""COMPUTED_VALUE"""),3)</f>
        <v>3</v>
      </c>
      <c r="G460" s="6" t="str">
        <f ca="1">IFERROR(__xludf.DUMMYFUNCTION("""COMPUTED_VALUE"""),"Orihuela")</f>
        <v>Orihuela</v>
      </c>
      <c r="H460" s="6" t="str">
        <f ca="1">IFERROR(__xludf.DUMMYFUNCTION("""COMPUTED_VALUE"""),"C202571171834930")</f>
        <v>C202571171834930</v>
      </c>
      <c r="I460" s="6" t="str">
        <f ca="1">IFERROR(__xludf.DUMMYFUNCTION("""COMPUTED_VALUE"""),"SOLANGE LAMIN")</f>
        <v>SOLANGE LAMIN</v>
      </c>
      <c r="J460" s="16">
        <f ca="1">IFERROR(__xludf.DUMMYFUNCTION("""COMPUTED_VALUE"""),45838)</f>
        <v>45838</v>
      </c>
      <c r="K460" s="6" t="str">
        <f ca="1">IFERROR(__xludf.DUMMYFUNCTION("""COMPUTED_VALUE"""),"Factura audífonos")</f>
        <v>Factura audífonos</v>
      </c>
      <c r="L460" s="16">
        <f ca="1">IFERROR(__xludf.DUMMYFUNCTION("""COMPUTED_VALUE"""),46111)</f>
        <v>46111</v>
      </c>
      <c r="M460" s="23" t="str">
        <f ca="1">IFERROR(__xludf.DUMMYFUNCTION("""COMPUTED_VALUE"""),"NO")</f>
        <v>NO</v>
      </c>
      <c r="N460" s="15">
        <f ca="1">IFERROR(__xludf.DUMMYFUNCTION("""COMPUTED_VALUE"""),1)</f>
        <v>1</v>
      </c>
      <c r="O460" s="23" t="str">
        <f ca="1">IFERROR(__xludf.DUMMYFUNCTION("""COMPUTED_VALUE"""),"QUIET")</f>
        <v>QUIET</v>
      </c>
      <c r="P460" s="21">
        <f ca="1">IFERROR(__xludf.DUMMYFUNCTION("""COMPUTED_VALUE"""),1631.82)</f>
        <v>1631.82</v>
      </c>
      <c r="Q460" s="6" t="str">
        <f ca="1">IFERROR(__xludf.DUMMYFUNCTION("""COMPUTED_VALUE"""),"Iván Sánchez")</f>
        <v>Iván Sánchez</v>
      </c>
      <c r="R460" s="6" t="str">
        <f ca="1">IFERROR(__xludf.DUMMYFUNCTION("""COMPUTED_VALUE"""),"Carlos Velásquez Fermín")</f>
        <v>Carlos Velásquez Fermín</v>
      </c>
      <c r="S460" s="20" t="str">
        <f ca="1">IFERROR(__xludf.DUMMYFUNCTION("""COMPUTED_VALUE"""),"03 ORL")</f>
        <v>03 ORL</v>
      </c>
      <c r="T460" s="6" t="str">
        <f ca="1">IFERROR(__xludf.DUMMYFUNCTION("""COMPUTED_VALUE"""),"06 ORL")</f>
        <v>06 ORL</v>
      </c>
      <c r="U460" s="21"/>
      <c r="W460" s="21"/>
      <c r="X460" s="21"/>
    </row>
    <row r="461" spans="2:24" ht="16">
      <c r="B461" s="14" t="str">
        <f t="shared" ca="1" si="1"/>
        <v>LRM</v>
      </c>
      <c r="C461" s="23" t="str">
        <f ca="1">IFERROR(__xludf.DUMMYFUNCTION("""COMPUTED_VALUE"""),"LRM239")</f>
        <v>LRM239</v>
      </c>
      <c r="D461" s="6" t="str">
        <f ca="1">IFERROR(__xludf.DUMMYFUNCTION("""COMPUTED_VALUE"""),"PROPIOS")</f>
        <v>PROPIOS</v>
      </c>
      <c r="E461" s="6">
        <f ca="1">IFERROR(__xludf.DUMMYFUNCTION("""COMPUTED_VALUE"""),2026)</f>
        <v>2026</v>
      </c>
      <c r="F461" s="15">
        <f ca="1">IFERROR(__xludf.DUMMYFUNCTION("""COMPUTED_VALUE"""),3)</f>
        <v>3</v>
      </c>
      <c r="G461" s="6" t="str">
        <f ca="1">IFERROR(__xludf.DUMMYFUNCTION("""COMPUTED_VALUE"""),"Madrid- Juan Bravo")</f>
        <v>Madrid- Juan Bravo</v>
      </c>
      <c r="H461" s="6" t="str">
        <f ca="1">IFERROR(__xludf.DUMMYFUNCTION("""COMPUTED_VALUE"""),"C202622510202918352")</f>
        <v>C202622510202918352</v>
      </c>
      <c r="I461" s="6" t="str">
        <f ca="1">IFERROR(__xludf.DUMMYFUNCTION("""COMPUTED_VALUE"""),"LIBOR  SECKA")</f>
        <v>LIBOR  SECKA</v>
      </c>
      <c r="J461" s="16">
        <f ca="1">IFERROR(__xludf.DUMMYFUNCTION("""COMPUTED_VALUE"""),46078)</f>
        <v>46078</v>
      </c>
      <c r="K461" s="6" t="str">
        <f ca="1">IFERROR(__xludf.DUMMYFUNCTION("""COMPUTED_VALUE"""),"Factura audífonos")</f>
        <v>Factura audífonos</v>
      </c>
      <c r="L461" s="16">
        <f ca="1">IFERROR(__xludf.DUMMYFUNCTION("""COMPUTED_VALUE"""),46111)</f>
        <v>46111</v>
      </c>
      <c r="M461" s="23" t="str">
        <f ca="1">IFERROR(__xludf.DUMMYFUNCTION("""COMPUTED_VALUE"""),"NO")</f>
        <v>NO</v>
      </c>
      <c r="N461" s="15">
        <f ca="1">IFERROR(__xludf.DUMMYFUNCTION("""COMPUTED_VALUE"""),2)</f>
        <v>2</v>
      </c>
      <c r="O461" s="23" t="str">
        <f ca="1">IFERROR(__xludf.DUMMYFUNCTION("""COMPUTED_VALUE"""),"CONFORT")</f>
        <v>CONFORT</v>
      </c>
      <c r="P461" s="21">
        <f ca="1">IFERROR(__xludf.DUMMYFUNCTION("""COMPUTED_VALUE"""),4154.22)</f>
        <v>4154.22</v>
      </c>
      <c r="Q461" s="6" t="str">
        <f ca="1">IFERROR(__xludf.DUMMYFUNCTION("""COMPUTED_VALUE"""),"Lisandro Russian")</f>
        <v>Lisandro Russian</v>
      </c>
      <c r="R461" s="6" t="str">
        <f ca="1">IFERROR(__xludf.DUMMYFUNCTION("""COMPUTED_VALUE"""),"Carlos Barajas del Rosal")</f>
        <v>Carlos Barajas del Rosal</v>
      </c>
      <c r="S461" s="20" t="str">
        <f ca="1">IFERROR(__xludf.DUMMYFUNCTION("""COMPUTED_VALUE"""),"03 ORL")</f>
        <v>03 ORL</v>
      </c>
      <c r="T461" s="6" t="str">
        <f ca="1">IFERROR(__xludf.DUMMYFUNCTION("""COMPUTED_VALUE"""),"06 ORL")</f>
        <v>06 ORL</v>
      </c>
      <c r="U461" s="21"/>
      <c r="W461" s="21"/>
      <c r="X461" s="21"/>
    </row>
    <row r="462" spans="2:24" ht="16">
      <c r="B462" s="14" t="str">
        <f t="shared" ca="1" si="1"/>
        <v>ISL</v>
      </c>
      <c r="C462" s="23" t="str">
        <f ca="1">IFERROR(__xludf.DUMMYFUNCTION("""COMPUTED_VALUE"""),"ISL122")</f>
        <v>ISL122</v>
      </c>
      <c r="D462" s="6" t="str">
        <f ca="1">IFERROR(__xludf.DUMMYFUNCTION("""COMPUTED_VALUE"""),"PROPIOS")</f>
        <v>PROPIOS</v>
      </c>
      <c r="E462" s="6">
        <f ca="1">IFERROR(__xludf.DUMMYFUNCTION("""COMPUTED_VALUE"""),2026)</f>
        <v>2026</v>
      </c>
      <c r="F462" s="15">
        <f ca="1">IFERROR(__xludf.DUMMYFUNCTION("""COMPUTED_VALUE"""),3)</f>
        <v>3</v>
      </c>
      <c r="G462" s="6" t="str">
        <f ca="1">IFERROR(__xludf.DUMMYFUNCTION("""COMPUTED_VALUE"""),"Murcia")</f>
        <v>Murcia</v>
      </c>
      <c r="H462" s="6" t="str">
        <f ca="1">IFERROR(__xludf.DUMMYFUNCTION("""COMPUTED_VALUE"""),"C202622617103051096")</f>
        <v>C202622617103051096</v>
      </c>
      <c r="I462" s="6" t="str">
        <f ca="1">IFERROR(__xludf.DUMMYFUNCTION("""COMPUTED_VALUE"""),"JOSE ALMAGRO MARMOL")</f>
        <v>JOSE ALMAGRO MARMOL</v>
      </c>
      <c r="J462" s="16">
        <f ca="1">IFERROR(__xludf.DUMMYFUNCTION("""COMPUTED_VALUE"""),46079)</f>
        <v>46079</v>
      </c>
      <c r="K462" s="6" t="str">
        <f ca="1">IFERROR(__xludf.DUMMYFUNCTION("""COMPUTED_VALUE"""),"Factura audífonos")</f>
        <v>Factura audífonos</v>
      </c>
      <c r="L462" s="16">
        <f ca="1">IFERROR(__xludf.DUMMYFUNCTION("""COMPUTED_VALUE"""),46111)</f>
        <v>46111</v>
      </c>
      <c r="M462" s="23" t="str">
        <f ca="1">IFERROR(__xludf.DUMMYFUNCTION("""COMPUTED_VALUE"""),"NO")</f>
        <v>NO</v>
      </c>
      <c r="N462" s="15">
        <f ca="1">IFERROR(__xludf.DUMMYFUNCTION("""COMPUTED_VALUE"""),1)</f>
        <v>1</v>
      </c>
      <c r="O462" s="23" t="str">
        <f ca="1">IFERROR(__xludf.DUMMYFUNCTION("""COMPUTED_VALUE"""),"QUIET")</f>
        <v>QUIET</v>
      </c>
      <c r="P462" s="21">
        <f ca="1">IFERROR(__xludf.DUMMYFUNCTION("""COMPUTED_VALUE"""),1631.82)</f>
        <v>1631.82</v>
      </c>
      <c r="Q462" s="6" t="str">
        <f ca="1">IFERROR(__xludf.DUMMYFUNCTION("""COMPUTED_VALUE"""),"Iván Sánchez")</f>
        <v>Iván Sánchez</v>
      </c>
      <c r="R462" s="6" t="str">
        <f ca="1">IFERROR(__xludf.DUMMYFUNCTION("""COMPUTED_VALUE"""),"María Agustina Sevilla García")</f>
        <v>María Agustina Sevilla García</v>
      </c>
      <c r="S462" s="20" t="str">
        <f ca="1">IFERROR(__xludf.DUMMYFUNCTION("""COMPUTED_VALUE"""),"03 ORL")</f>
        <v>03 ORL</v>
      </c>
      <c r="T462" s="6" t="str">
        <f ca="1">IFERROR(__xludf.DUMMYFUNCTION("""COMPUTED_VALUE"""),"06 ORL")</f>
        <v>06 ORL</v>
      </c>
      <c r="U462" s="21"/>
      <c r="W462" s="21"/>
      <c r="X462" s="21"/>
    </row>
    <row r="463" spans="2:24" ht="16">
      <c r="B463" s="14" t="str">
        <f t="shared" si="1"/>
        <v/>
      </c>
      <c r="C463" s="23"/>
      <c r="D463" s="6" t="str">
        <f ca="1">IFERROR(__xludf.DUMMYFUNCTION("""COMPUTED_VALUE"""),"PROPIOS")</f>
        <v>PROPIOS</v>
      </c>
      <c r="E463" s="6">
        <f ca="1">IFERROR(__xludf.DUMMYFUNCTION("""COMPUTED_VALUE"""),2026)</f>
        <v>2026</v>
      </c>
      <c r="F463" s="15">
        <f ca="1">IFERROR(__xludf.DUMMYFUNCTION("""COMPUTED_VALUE"""),3)</f>
        <v>3</v>
      </c>
      <c r="G463" s="6" t="str">
        <f ca="1">IFERROR(__xludf.DUMMYFUNCTION("""COMPUTED_VALUE"""),"Madrid- Moratalaz")</f>
        <v>Madrid- Moratalaz</v>
      </c>
      <c r="H463" s="6" t="str">
        <f ca="1">IFERROR(__xludf.DUMMYFUNCTION("""COMPUTED_VALUE"""),"C202631312144876755")</f>
        <v>C202631312144876755</v>
      </c>
      <c r="I463" s="6" t="str">
        <f ca="1">IFERROR(__xludf.DUMMYFUNCTION("""COMPUTED_VALUE"""),"MARIA CARMONA AVILES")</f>
        <v>MARIA CARMONA AVILES</v>
      </c>
      <c r="J463" s="16">
        <f ca="1">IFERROR(__xludf.DUMMYFUNCTION("""COMPUTED_VALUE"""),46094)</f>
        <v>46094</v>
      </c>
      <c r="K463" s="6" t="str">
        <f ca="1">IFERROR(__xludf.DUMMYFUNCTION("""COMPUTED_VALUE"""),"Factura audífonos")</f>
        <v>Factura audífonos</v>
      </c>
      <c r="L463" s="16">
        <f ca="1">IFERROR(__xludf.DUMMYFUNCTION("""COMPUTED_VALUE"""),46111)</f>
        <v>46111</v>
      </c>
      <c r="M463" s="23" t="str">
        <f ca="1">IFERROR(__xludf.DUMMYFUNCTION("""COMPUTED_VALUE"""),"NO")</f>
        <v>NO</v>
      </c>
      <c r="N463" s="15">
        <f ca="1">IFERROR(__xludf.DUMMYFUNCTION("""COMPUTED_VALUE"""),1)</f>
        <v>1</v>
      </c>
      <c r="O463" s="23" t="str">
        <f ca="1">IFERROR(__xludf.DUMMYFUNCTION("""COMPUTED_VALUE"""),"ADVANCED")</f>
        <v>ADVANCED</v>
      </c>
      <c r="P463" s="21">
        <f ca="1">IFERROR(__xludf.DUMMYFUNCTION("""COMPUTED_VALUE"""),2357.73)</f>
        <v>2357.73</v>
      </c>
      <c r="Q463" s="6" t="str">
        <f ca="1">IFERROR(__xludf.DUMMYFUNCTION("""COMPUTED_VALUE"""),"Maika Blázquez")</f>
        <v>Maika Blázquez</v>
      </c>
      <c r="R463" s="6" t="str">
        <f ca="1">IFERROR(__xludf.DUMMYFUNCTION("""COMPUTED_VALUE"""),"No recuerda ORL")</f>
        <v>No recuerda ORL</v>
      </c>
      <c r="S463" s="20" t="str">
        <f ca="1">IFERROR(__xludf.DUMMYFUNCTION("""COMPUTED_VALUE"""),"03 ORL")</f>
        <v>03 ORL</v>
      </c>
      <c r="T463" s="6" t="str">
        <f ca="1">IFERROR(__xludf.DUMMYFUNCTION("""COMPUTED_VALUE"""),"06 ORL")</f>
        <v>06 ORL</v>
      </c>
      <c r="U463" s="21"/>
      <c r="W463" s="21"/>
      <c r="X463" s="21"/>
    </row>
    <row r="464" spans="2:24" ht="16">
      <c r="B464" s="14" t="str">
        <f t="shared" ca="1" si="1"/>
        <v>MBM</v>
      </c>
      <c r="C464" s="23" t="str">
        <f ca="1">IFERROR(__xludf.DUMMYFUNCTION("""COMPUTED_VALUE"""),"MBM146")</f>
        <v>MBM146</v>
      </c>
      <c r="D464" s="6" t="str">
        <f ca="1">IFERROR(__xludf.DUMMYFUNCTION("""COMPUTED_VALUE"""),"PROPIOS")</f>
        <v>PROPIOS</v>
      </c>
      <c r="E464" s="6">
        <f ca="1">IFERROR(__xludf.DUMMYFUNCTION("""COMPUTED_VALUE"""),2026)</f>
        <v>2026</v>
      </c>
      <c r="F464" s="15">
        <f ca="1">IFERROR(__xludf.DUMMYFUNCTION("""COMPUTED_VALUE"""),3)</f>
        <v>3</v>
      </c>
      <c r="G464" s="6" t="str">
        <f ca="1">IFERROR(__xludf.DUMMYFUNCTION("""COMPUTED_VALUE"""),"Madrid- Canillas")</f>
        <v>Madrid- Canillas</v>
      </c>
      <c r="H464" s="6" t="str">
        <f ca="1">IFERROR(__xludf.DUMMYFUNCTION("""COMPUTED_VALUE"""),"C202621612332097208")</f>
        <v>C202621612332097208</v>
      </c>
      <c r="I464" s="6" t="str">
        <f ca="1">IFERROR(__xludf.DUMMYFUNCTION("""COMPUTED_VALUE"""),"ELENA  GONZALEZ GONZALEZ")</f>
        <v>ELENA  GONZALEZ GONZALEZ</v>
      </c>
      <c r="J464" s="16">
        <f ca="1">IFERROR(__xludf.DUMMYFUNCTION("""COMPUTED_VALUE"""),46069)</f>
        <v>46069</v>
      </c>
      <c r="K464" s="6" t="str">
        <f ca="1">IFERROR(__xludf.DUMMYFUNCTION("""COMPUTED_VALUE"""),"Factura audífonos")</f>
        <v>Factura audífonos</v>
      </c>
      <c r="L464" s="16">
        <f ca="1">IFERROR(__xludf.DUMMYFUNCTION("""COMPUTED_VALUE"""),46111)</f>
        <v>46111</v>
      </c>
      <c r="M464" s="23" t="str">
        <f ca="1">IFERROR(__xludf.DUMMYFUNCTION("""COMPUTED_VALUE"""),"NO")</f>
        <v>NO</v>
      </c>
      <c r="N464" s="15">
        <f ca="1">IFERROR(__xludf.DUMMYFUNCTION("""COMPUTED_VALUE"""),2)</f>
        <v>2</v>
      </c>
      <c r="O464" s="23" t="str">
        <f ca="1">IFERROR(__xludf.DUMMYFUNCTION("""COMPUTED_VALUE"""),"ADVANCED")</f>
        <v>ADVANCED</v>
      </c>
      <c r="P464" s="21">
        <f ca="1">IFERROR(__xludf.DUMMYFUNCTION("""COMPUTED_VALUE"""),4136.36)</f>
        <v>4136.3599999999997</v>
      </c>
      <c r="Q464" s="6" t="str">
        <f ca="1">IFERROR(__xludf.DUMMYFUNCTION("""COMPUTED_VALUE"""),"Maika Blázquez")</f>
        <v>Maika Blázquez</v>
      </c>
      <c r="R464" s="6" t="str">
        <f ca="1">IFERROR(__xludf.DUMMYFUNCTION("""COMPUTED_VALUE"""),"María del Mar Medina González")</f>
        <v>María del Mar Medina González</v>
      </c>
      <c r="S464" s="20" t="str">
        <f ca="1">IFERROR(__xludf.DUMMYFUNCTION("""COMPUTED_VALUE"""),"03 ORL")</f>
        <v>03 ORL</v>
      </c>
      <c r="T464" s="6" t="str">
        <f ca="1">IFERROR(__xludf.DUMMYFUNCTION("""COMPUTED_VALUE"""),"06 ORL")</f>
        <v>06 ORL</v>
      </c>
      <c r="U464" s="21"/>
      <c r="W464" s="21"/>
      <c r="X464" s="21"/>
    </row>
    <row r="465" spans="2:24" ht="16">
      <c r="B465" s="14" t="str">
        <f t="shared" ca="1" si="1"/>
        <v>ISL</v>
      </c>
      <c r="C465" s="23" t="str">
        <f ca="1">IFERROR(__xludf.DUMMYFUNCTION("""COMPUTED_VALUE"""),"ISL06")</f>
        <v>ISL06</v>
      </c>
      <c r="D465" s="6" t="str">
        <f ca="1">IFERROR(__xludf.DUMMYFUNCTION("""COMPUTED_VALUE"""),"PROPIOS")</f>
        <v>PROPIOS</v>
      </c>
      <c r="E465" s="6">
        <f ca="1">IFERROR(__xludf.DUMMYFUNCTION("""COMPUTED_VALUE"""),2026)</f>
        <v>2026</v>
      </c>
      <c r="F465" s="15">
        <f ca="1">IFERROR(__xludf.DUMMYFUNCTION("""COMPUTED_VALUE"""),3)</f>
        <v>3</v>
      </c>
      <c r="G465" s="6" t="str">
        <f ca="1">IFERROR(__xludf.DUMMYFUNCTION("""COMPUTED_VALUE"""),"San Javier")</f>
        <v>San Javier</v>
      </c>
      <c r="H465" s="6" t="str">
        <f ca="1">IFERROR(__xludf.DUMMYFUNCTION("""COMPUTED_VALUE"""),"C202622610047193666")</f>
        <v>C202622610047193666</v>
      </c>
      <c r="I465" s="6" t="str">
        <f ca="1">IFERROR(__xludf.DUMMYFUNCTION("""COMPUTED_VALUE"""),"JOSEFA ISABEL MARIN GARCIA")</f>
        <v>JOSEFA ISABEL MARIN GARCIA</v>
      </c>
      <c r="J465" s="16">
        <f ca="1">IFERROR(__xludf.DUMMYFUNCTION("""COMPUTED_VALUE"""),46079)</f>
        <v>46079</v>
      </c>
      <c r="K465" s="6" t="str">
        <f ca="1">IFERROR(__xludf.DUMMYFUNCTION("""COMPUTED_VALUE"""),"Factura audífonos")</f>
        <v>Factura audífonos</v>
      </c>
      <c r="L465" s="16">
        <f ca="1">IFERROR(__xludf.DUMMYFUNCTION("""COMPUTED_VALUE"""),46111)</f>
        <v>46111</v>
      </c>
      <c r="M465" s="23" t="str">
        <f ca="1">IFERROR(__xludf.DUMMYFUNCTION("""COMPUTED_VALUE"""),"NO")</f>
        <v>NO</v>
      </c>
      <c r="N465" s="15">
        <f ca="1">IFERROR(__xludf.DUMMYFUNCTION("""COMPUTED_VALUE"""),2)</f>
        <v>2</v>
      </c>
      <c r="O465" s="23" t="str">
        <f ca="1">IFERROR(__xludf.DUMMYFUNCTION("""COMPUTED_VALUE"""),"QUIET")</f>
        <v>QUIET</v>
      </c>
      <c r="P465" s="21">
        <f ca="1">IFERROR(__xludf.DUMMYFUNCTION("""COMPUTED_VALUE"""),2718.18)</f>
        <v>2718.18</v>
      </c>
      <c r="Q465" s="6" t="str">
        <f ca="1">IFERROR(__xludf.DUMMYFUNCTION("""COMPUTED_VALUE"""),"Iván Sánchez")</f>
        <v>Iván Sánchez</v>
      </c>
      <c r="R465" s="6" t="str">
        <f ca="1">IFERROR(__xludf.DUMMYFUNCTION("""COMPUTED_VALUE"""),"Andrés Barrios Recio")</f>
        <v>Andrés Barrios Recio</v>
      </c>
      <c r="S465" s="20" t="str">
        <f ca="1">IFERROR(__xludf.DUMMYFUNCTION("""COMPUTED_VALUE"""),"03 ORL")</f>
        <v>03 ORL</v>
      </c>
      <c r="T465" s="6" t="str">
        <f ca="1">IFERROR(__xludf.DUMMYFUNCTION("""COMPUTED_VALUE"""),"06 ORL")</f>
        <v>06 ORL</v>
      </c>
      <c r="U465" s="21"/>
      <c r="W465" s="21"/>
      <c r="X465" s="21"/>
    </row>
    <row r="466" spans="2:24" ht="16">
      <c r="B466" s="14" t="str">
        <f t="shared" si="1"/>
        <v/>
      </c>
      <c r="C466" s="23"/>
      <c r="D466" s="6" t="str">
        <f ca="1">IFERROR(__xludf.DUMMYFUNCTION("""COMPUTED_VALUE"""),"PROPIOS")</f>
        <v>PROPIOS</v>
      </c>
      <c r="E466" s="6">
        <f ca="1">IFERROR(__xludf.DUMMYFUNCTION("""COMPUTED_VALUE"""),2026)</f>
        <v>2026</v>
      </c>
      <c r="F466" s="15">
        <f ca="1">IFERROR(__xludf.DUMMYFUNCTION("""COMPUTED_VALUE"""),3)</f>
        <v>3</v>
      </c>
      <c r="G466" s="6" t="str">
        <f ca="1">IFERROR(__xludf.DUMMYFUNCTION("""COMPUTED_VALUE"""),"Logroño")</f>
        <v>Logroño</v>
      </c>
      <c r="H466" s="6" t="str">
        <f ca="1">IFERROR(__xludf.DUMMYFUNCTION("""COMPUTED_VALUE"""),"C202621692621997748")</f>
        <v>C202621692621997748</v>
      </c>
      <c r="I466" s="6" t="str">
        <f ca="1">IFERROR(__xludf.DUMMYFUNCTION("""COMPUTED_VALUE"""),"TERESA LERIA RUBIO")</f>
        <v>TERESA LERIA RUBIO</v>
      </c>
      <c r="J466" s="16">
        <f ca="1">IFERROR(__xludf.DUMMYFUNCTION("""COMPUTED_VALUE"""),46069)</f>
        <v>46069</v>
      </c>
      <c r="K466" s="6" t="str">
        <f ca="1">IFERROR(__xludf.DUMMYFUNCTION("""COMPUTED_VALUE"""),"Factura audífonos")</f>
        <v>Factura audífonos</v>
      </c>
      <c r="L466" s="16">
        <f ca="1">IFERROR(__xludf.DUMMYFUNCTION("""COMPUTED_VALUE"""),46111)</f>
        <v>46111</v>
      </c>
      <c r="M466" s="23" t="str">
        <f ca="1">IFERROR(__xludf.DUMMYFUNCTION("""COMPUTED_VALUE"""),"NO")</f>
        <v>NO</v>
      </c>
      <c r="N466" s="15">
        <f ca="1">IFERROR(__xludf.DUMMYFUNCTION("""COMPUTED_VALUE"""),2)</f>
        <v>2</v>
      </c>
      <c r="O466" s="23" t="str">
        <f ca="1">IFERROR(__xludf.DUMMYFUNCTION("""COMPUTED_VALUE"""),"ADVANCED")</f>
        <v>ADVANCED</v>
      </c>
      <c r="P466" s="21">
        <f ca="1">IFERROR(__xludf.DUMMYFUNCTION("""COMPUTED_VALUE"""),4136.36)</f>
        <v>4136.3599999999997</v>
      </c>
      <c r="Q466" s="6" t="str">
        <f ca="1">IFERROR(__xludf.DUMMYFUNCTION("""COMPUTED_VALUE"""),"Lisandro Russian")</f>
        <v>Lisandro Russian</v>
      </c>
      <c r="R466" s="6" t="str">
        <f ca="1">IFERROR(__xludf.DUMMYFUNCTION("""COMPUTED_VALUE"""),"No recuerda ORL")</f>
        <v>No recuerda ORL</v>
      </c>
      <c r="S466" s="20" t="str">
        <f ca="1">IFERROR(__xludf.DUMMYFUNCTION("""COMPUTED_VALUE"""),"03 ORL")</f>
        <v>03 ORL</v>
      </c>
      <c r="T466" s="6" t="str">
        <f ca="1">IFERROR(__xludf.DUMMYFUNCTION("""COMPUTED_VALUE"""),"06 ORL")</f>
        <v>06 ORL</v>
      </c>
      <c r="U466" s="21"/>
      <c r="W466" s="21"/>
      <c r="X466" s="21"/>
    </row>
    <row r="467" spans="2:24" ht="16">
      <c r="B467" s="14" t="str">
        <f t="shared" ca="1" si="1"/>
        <v>MBM</v>
      </c>
      <c r="C467" s="23" t="str">
        <f ca="1">IFERROR(__xludf.DUMMYFUNCTION("""COMPUTED_VALUE"""),"MBM03")</f>
        <v>MBM03</v>
      </c>
      <c r="D467" s="6" t="str">
        <f ca="1">IFERROR(__xludf.DUMMYFUNCTION("""COMPUTED_VALUE"""),"ASOCIADOS")</f>
        <v>ASOCIADOS</v>
      </c>
      <c r="E467" s="6">
        <f ca="1">IFERROR(__xludf.DUMMYFUNCTION("""COMPUTED_VALUE"""),2026)</f>
        <v>2026</v>
      </c>
      <c r="F467" s="15">
        <f ca="1">IFERROR(__xludf.DUMMYFUNCTION("""COMPUTED_VALUE"""),3)</f>
        <v>3</v>
      </c>
      <c r="G467" s="6" t="str">
        <f ca="1">IFERROR(__xludf.DUMMYFUNCTION("""COMPUTED_VALUE"""),"León")</f>
        <v>León</v>
      </c>
      <c r="H467" s="6" t="str">
        <f ca="1">IFERROR(__xludf.DUMMYFUNCTION("""COMPUTED_VALUE"""),"C202621216935172983")</f>
        <v>C202621216935172983</v>
      </c>
      <c r="I467" s="6" t="str">
        <f ca="1">IFERROR(__xludf.DUMMYFUNCTION("""COMPUTED_VALUE"""),"Natividad Martinez Torre")</f>
        <v>Natividad Martinez Torre</v>
      </c>
      <c r="J467" s="16">
        <f ca="1">IFERROR(__xludf.DUMMYFUNCTION("""COMPUTED_VALUE"""),46065)</f>
        <v>46065</v>
      </c>
      <c r="K467" s="6" t="str">
        <f ca="1">IFERROR(__xludf.DUMMYFUNCTION("""COMPUTED_VALUE"""),"Factura audífonos")</f>
        <v>Factura audífonos</v>
      </c>
      <c r="L467" s="16">
        <f ca="1">IFERROR(__xludf.DUMMYFUNCTION("""COMPUTED_VALUE"""),46112)</f>
        <v>46112</v>
      </c>
      <c r="M467" s="23" t="str">
        <f ca="1">IFERROR(__xludf.DUMMYFUNCTION("""COMPUTED_VALUE"""),"NO")</f>
        <v>NO</v>
      </c>
      <c r="N467" s="15">
        <f ca="1">IFERROR(__xludf.DUMMYFUNCTION("""COMPUTED_VALUE"""),1)</f>
        <v>1</v>
      </c>
      <c r="O467" s="23" t="str">
        <f ca="1">IFERROR(__xludf.DUMMYFUNCTION("""COMPUTED_VALUE"""),"PRO")</f>
        <v>PRO</v>
      </c>
      <c r="P467" s="21">
        <f ca="1">IFERROR(__xludf.DUMMYFUNCTION("""COMPUTED_VALUE"""),3743.18)</f>
        <v>3743.18</v>
      </c>
      <c r="Q467" s="6" t="str">
        <f ca="1">IFERROR(__xludf.DUMMYFUNCTION("""COMPUTED_VALUE"""),"Maika Blázquez")</f>
        <v>Maika Blázquez</v>
      </c>
      <c r="R467" s="6" t="str">
        <f ca="1">IFERROR(__xludf.DUMMYFUNCTION("""COMPUTED_VALUE"""),"Alejandro Harguindey Antoli-Candela")</f>
        <v>Alejandro Harguindey Antoli-Candela</v>
      </c>
      <c r="S467" s="20" t="str">
        <f ca="1">IFERROR(__xludf.DUMMYFUNCTION("""COMPUTED_VALUE"""),"03 ORL")</f>
        <v>03 ORL</v>
      </c>
      <c r="T467" s="6" t="str">
        <f ca="1">IFERROR(__xludf.DUMMYFUNCTION("""COMPUTED_VALUE"""),"06 ORL")</f>
        <v>06 ORL</v>
      </c>
      <c r="U467" s="21"/>
      <c r="W467" s="21"/>
      <c r="X467" s="21"/>
    </row>
    <row r="468" spans="2:24" ht="16">
      <c r="B468" s="14" t="str">
        <f t="shared" ca="1" si="1"/>
        <v>ISL</v>
      </c>
      <c r="C468" s="23" t="str">
        <f ca="1">IFERROR(__xludf.DUMMYFUNCTION("""COMPUTED_VALUE"""),"ISL128")</f>
        <v>ISL128</v>
      </c>
      <c r="D468" s="6" t="str">
        <f ca="1">IFERROR(__xludf.DUMMYFUNCTION("""COMPUTED_VALUE"""),"PROPIOS")</f>
        <v>PROPIOS</v>
      </c>
      <c r="E468" s="6">
        <f ca="1">IFERROR(__xludf.DUMMYFUNCTION("""COMPUTED_VALUE"""),2026)</f>
        <v>2026</v>
      </c>
      <c r="F468" s="15">
        <f ca="1">IFERROR(__xludf.DUMMYFUNCTION("""COMPUTED_VALUE"""),3)</f>
        <v>3</v>
      </c>
      <c r="G468" s="6" t="str">
        <f ca="1">IFERROR(__xludf.DUMMYFUNCTION("""COMPUTED_VALUE"""),"Murcia")</f>
        <v>Murcia</v>
      </c>
      <c r="H468" s="6" t="str">
        <f ca="1">IFERROR(__xludf.DUMMYFUNCTION("""COMPUTED_VALUE"""),"C202621816286922226")</f>
        <v>C202621816286922226</v>
      </c>
      <c r="I468" s="6" t="str">
        <f ca="1">IFERROR(__xludf.DUMMYFUNCTION("""COMPUTED_VALUE"""),"JOELLE MANTELET")</f>
        <v>JOELLE MANTELET</v>
      </c>
      <c r="J468" s="16">
        <f ca="1">IFERROR(__xludf.DUMMYFUNCTION("""COMPUTED_VALUE"""),46071)</f>
        <v>46071</v>
      </c>
      <c r="K468" s="6" t="str">
        <f ca="1">IFERROR(__xludf.DUMMYFUNCTION("""COMPUTED_VALUE"""),"Factura audífonos")</f>
        <v>Factura audífonos</v>
      </c>
      <c r="L468" s="16">
        <f ca="1">IFERROR(__xludf.DUMMYFUNCTION("""COMPUTED_VALUE"""),46112)</f>
        <v>46112</v>
      </c>
      <c r="M468" s="17" t="str">
        <f ca="1">IFERROR(__xludf.DUMMYFUNCTION("""COMPUTED_VALUE"""),"NO")</f>
        <v>NO</v>
      </c>
      <c r="N468" s="15">
        <f ca="1">IFERROR(__xludf.DUMMYFUNCTION("""COMPUTED_VALUE"""),2)</f>
        <v>2</v>
      </c>
      <c r="O468" s="23" t="str">
        <f ca="1">IFERROR(__xludf.DUMMYFUNCTION("""COMPUTED_VALUE"""),"QUIET")</f>
        <v>QUIET</v>
      </c>
      <c r="P468" s="21">
        <f ca="1">IFERROR(__xludf.DUMMYFUNCTION("""COMPUTED_VALUE"""),2718.18)</f>
        <v>2718.18</v>
      </c>
      <c r="Q468" s="6" t="str">
        <f ca="1">IFERROR(__xludf.DUMMYFUNCTION("""COMPUTED_VALUE"""),"Iván Sánchez")</f>
        <v>Iván Sánchez</v>
      </c>
      <c r="R468" s="6" t="str">
        <f ca="1">IFERROR(__xludf.DUMMYFUNCTION("""COMPUTED_VALUE"""),"Nuria Salas Barrio")</f>
        <v>Nuria Salas Barrio</v>
      </c>
      <c r="S468" s="20" t="str">
        <f ca="1">IFERROR(__xludf.DUMMYFUNCTION("""COMPUTED_VALUE"""),"03 ORL")</f>
        <v>03 ORL</v>
      </c>
      <c r="T468" s="6" t="str">
        <f ca="1">IFERROR(__xludf.DUMMYFUNCTION("""COMPUTED_VALUE"""),"06 ORL")</f>
        <v>06 ORL</v>
      </c>
      <c r="U468" s="21"/>
      <c r="W468" s="21"/>
      <c r="X468" s="21"/>
    </row>
    <row r="469" spans="2:24" ht="16">
      <c r="B469" s="14" t="str">
        <f t="shared" ca="1" si="1"/>
        <v>LRM</v>
      </c>
      <c r="C469" s="23" t="str">
        <f ca="1">IFERROR(__xludf.DUMMYFUNCTION("""COMPUTED_VALUE"""),"LRM94")</f>
        <v>LRM94</v>
      </c>
      <c r="D469" s="6" t="str">
        <f ca="1">IFERROR(__xludf.DUMMYFUNCTION("""COMPUTED_VALUE"""),"PARTICIPADOS")</f>
        <v>PARTICIPADOS</v>
      </c>
      <c r="E469" s="6">
        <f ca="1">IFERROR(__xludf.DUMMYFUNCTION("""COMPUTED_VALUE"""),2026)</f>
        <v>2026</v>
      </c>
      <c r="F469" s="15">
        <f ca="1">IFERROR(__xludf.DUMMYFUNCTION("""COMPUTED_VALUE"""),3)</f>
        <v>3</v>
      </c>
      <c r="G469" s="6" t="str">
        <f ca="1">IFERROR(__xludf.DUMMYFUNCTION("""COMPUTED_VALUE"""),"Madrid- Costa Rica")</f>
        <v>Madrid- Costa Rica</v>
      </c>
      <c r="H469" s="6" t="str">
        <f ca="1">IFERROR(__xludf.DUMMYFUNCTION("""COMPUTED_VALUE"""),"C202511121256727364")</f>
        <v>C202511121256727364</v>
      </c>
      <c r="I469" s="6" t="str">
        <f ca="1">IFERROR(__xludf.DUMMYFUNCTION("""COMPUTED_VALUE"""),"PEDRO  SAEZ GARCIA")</f>
        <v>PEDRO  SAEZ GARCIA</v>
      </c>
      <c r="J469" s="16">
        <f ca="1">IFERROR(__xludf.DUMMYFUNCTION("""COMPUTED_VALUE"""),45973)</f>
        <v>45973</v>
      </c>
      <c r="K469" s="6" t="str">
        <f ca="1">IFERROR(__xludf.DUMMYFUNCTION("""COMPUTED_VALUE"""),"Factura audífonos")</f>
        <v>Factura audífonos</v>
      </c>
      <c r="L469" s="16">
        <f ca="1">IFERROR(__xludf.DUMMYFUNCTION("""COMPUTED_VALUE"""),46112)</f>
        <v>46112</v>
      </c>
      <c r="M469" s="23" t="str">
        <f ca="1">IFERROR(__xludf.DUMMYFUNCTION("""COMPUTED_VALUE"""),"NO")</f>
        <v>NO</v>
      </c>
      <c r="N469" s="15">
        <f ca="1">IFERROR(__xludf.DUMMYFUNCTION("""COMPUTED_VALUE"""),-1)</f>
        <v>-1</v>
      </c>
      <c r="O469" s="23" t="str">
        <f ca="1">IFERROR(__xludf.DUMMYFUNCTION("""COMPUTED_VALUE"""),"CONFORT")</f>
        <v>CONFORT</v>
      </c>
      <c r="P469" s="21">
        <f ca="1">IFERROR(__xludf.DUMMYFUNCTION("""COMPUTED_VALUE"""),-1631.82)</f>
        <v>-1631.82</v>
      </c>
      <c r="Q469" s="6" t="str">
        <f ca="1">IFERROR(__xludf.DUMMYFUNCTION("""COMPUTED_VALUE"""),"Lisandro Russian")</f>
        <v>Lisandro Russian</v>
      </c>
      <c r="R469" s="6" t="str">
        <f ca="1">IFERROR(__xludf.DUMMYFUNCTION("""COMPUTED_VALUE"""),"Luis Jiménez Ferreres")</f>
        <v>Luis Jiménez Ferreres</v>
      </c>
      <c r="S469" s="20" t="str">
        <f ca="1">IFERROR(__xludf.DUMMYFUNCTION("""COMPUTED_VALUE"""),"03 ORL")</f>
        <v>03 ORL</v>
      </c>
      <c r="T469" s="6" t="str">
        <f ca="1">IFERROR(__xludf.DUMMYFUNCTION("""COMPUTED_VALUE"""),"06 ORL")</f>
        <v>06 ORL</v>
      </c>
      <c r="U469" s="21"/>
      <c r="W469" s="21"/>
      <c r="X469" s="21"/>
    </row>
    <row r="470" spans="2:24" ht="16">
      <c r="B470" s="14" t="str">
        <f t="shared" ca="1" si="1"/>
        <v>ISL</v>
      </c>
      <c r="C470" s="23" t="str">
        <f ca="1">IFERROR(__xludf.DUMMYFUNCTION("""COMPUTED_VALUE"""),"ISL91")</f>
        <v>ISL91</v>
      </c>
      <c r="D470" s="6" t="str">
        <f ca="1">IFERROR(__xludf.DUMMYFUNCTION("""COMPUTED_VALUE"""),"PROPIOS")</f>
        <v>PROPIOS</v>
      </c>
      <c r="E470" s="6">
        <f ca="1">IFERROR(__xludf.DUMMYFUNCTION("""COMPUTED_VALUE"""),2026)</f>
        <v>2026</v>
      </c>
      <c r="F470" s="15">
        <f ca="1">IFERROR(__xludf.DUMMYFUNCTION("""COMPUTED_VALUE"""),3)</f>
        <v>3</v>
      </c>
      <c r="G470" s="6" t="str">
        <f ca="1">IFERROR(__xludf.DUMMYFUNCTION("""COMPUTED_VALUE"""),"Albacete")</f>
        <v>Albacete</v>
      </c>
      <c r="H470" s="6" t="str">
        <f ca="1">IFERROR(__xludf.DUMMYFUNCTION("""COMPUTED_VALUE"""),"C202622415411463016")</f>
        <v>C202622415411463016</v>
      </c>
      <c r="I470" s="6" t="str">
        <f ca="1">IFERROR(__xludf.DUMMYFUNCTION("""COMPUTED_VALUE"""),"PALMIRA MUELA AZORIN")</f>
        <v>PALMIRA MUELA AZORIN</v>
      </c>
      <c r="J470" s="16">
        <f ca="1">IFERROR(__xludf.DUMMYFUNCTION("""COMPUTED_VALUE"""),46077)</f>
        <v>46077</v>
      </c>
      <c r="K470" s="6" t="str">
        <f ca="1">IFERROR(__xludf.DUMMYFUNCTION("""COMPUTED_VALUE"""),"Factura audífonos")</f>
        <v>Factura audífonos</v>
      </c>
      <c r="L470" s="16">
        <f ca="1">IFERROR(__xludf.DUMMYFUNCTION("""COMPUTED_VALUE"""),46112)</f>
        <v>46112</v>
      </c>
      <c r="M470" s="23" t="str">
        <f ca="1">IFERROR(__xludf.DUMMYFUNCTION("""COMPUTED_VALUE"""),"NO")</f>
        <v>NO</v>
      </c>
      <c r="N470" s="15">
        <f ca="1">IFERROR(__xludf.DUMMYFUNCTION("""COMPUTED_VALUE"""),2)</f>
        <v>2</v>
      </c>
      <c r="O470" s="23" t="str">
        <f ca="1">IFERROR(__xludf.DUMMYFUNCTION("""COMPUTED_VALUE"""),"QUIET")</f>
        <v>QUIET</v>
      </c>
      <c r="P470" s="21">
        <f ca="1">IFERROR(__xludf.DUMMYFUNCTION("""COMPUTED_VALUE"""),2818.18)</f>
        <v>2818.18</v>
      </c>
      <c r="Q470" s="6" t="str">
        <f ca="1">IFERROR(__xludf.DUMMYFUNCTION("""COMPUTED_VALUE"""),"Iván Sánchez")</f>
        <v>Iván Sánchez</v>
      </c>
      <c r="R470" s="6" t="str">
        <f ca="1">IFERROR(__xludf.DUMMYFUNCTION("""COMPUTED_VALUE"""),"Alejandra Jara Maquilón")</f>
        <v>Alejandra Jara Maquilón</v>
      </c>
      <c r="S470" s="20" t="str">
        <f ca="1">IFERROR(__xludf.DUMMYFUNCTION("""COMPUTED_VALUE"""),"03 ORL")</f>
        <v>03 ORL</v>
      </c>
      <c r="T470" s="6" t="str">
        <f ca="1">IFERROR(__xludf.DUMMYFUNCTION("""COMPUTED_VALUE"""),"06 ORL")</f>
        <v>06 ORL</v>
      </c>
      <c r="U470" s="21"/>
      <c r="W470" s="21"/>
      <c r="X470" s="21"/>
    </row>
    <row r="471" spans="2:24" ht="16">
      <c r="B471" s="14" t="str">
        <f t="shared" ca="1" si="1"/>
        <v>#N/</v>
      </c>
      <c r="C471" s="23" t="str">
        <f ca="1">IFERROR(__xludf.DUMMYFUNCTION("""COMPUTED_VALUE"""),"#N/A")</f>
        <v>#N/A</v>
      </c>
      <c r="D471" s="6" t="str">
        <f ca="1">IFERROR(__xludf.DUMMYFUNCTION("""COMPUTED_VALUE"""),"PROPIOS")</f>
        <v>PROPIOS</v>
      </c>
      <c r="E471" s="6">
        <f ca="1">IFERROR(__xludf.DUMMYFUNCTION("""COMPUTED_VALUE"""),2026)</f>
        <v>2026</v>
      </c>
      <c r="F471" s="15">
        <f ca="1">IFERROR(__xludf.DUMMYFUNCTION("""COMPUTED_VALUE"""),3)</f>
        <v>3</v>
      </c>
      <c r="G471" s="6" t="str">
        <f ca="1">IFERROR(__xludf.DUMMYFUNCTION("""COMPUTED_VALUE"""),"Murcia")</f>
        <v>Murcia</v>
      </c>
      <c r="H471" s="6" t="str">
        <f ca="1">IFERROR(__xludf.DUMMYFUNCTION("""COMPUTED_VALUE"""),"MUR-1812")</f>
        <v>MUR-1812</v>
      </c>
      <c r="I471" s="6" t="str">
        <f ca="1">IFERROR(__xludf.DUMMYFUNCTION("""COMPUTED_VALUE"""),"MARIA PILAR FERNANDEZ-PACHECO PEREZ")</f>
        <v>MARIA PILAR FERNANDEZ-PACHECO PEREZ</v>
      </c>
      <c r="J471" s="16">
        <f ca="1">IFERROR(__xludf.DUMMYFUNCTION("""COMPUTED_VALUE"""),45308)</f>
        <v>45308</v>
      </c>
      <c r="K471" s="6" t="str">
        <f ca="1">IFERROR(__xludf.DUMMYFUNCTION("""COMPUTED_VALUE"""),"Factura audífonos")</f>
        <v>Factura audífonos</v>
      </c>
      <c r="L471" s="16">
        <f ca="1">IFERROR(__xludf.DUMMYFUNCTION("""COMPUTED_VALUE"""),46112)</f>
        <v>46112</v>
      </c>
      <c r="M471" s="23" t="str">
        <f ca="1">IFERROR(__xludf.DUMMYFUNCTION("""COMPUTED_VALUE"""),"NO")</f>
        <v>NO</v>
      </c>
      <c r="N471" s="15">
        <f ca="1">IFERROR(__xludf.DUMMYFUNCTION("""COMPUTED_VALUE"""),1)</f>
        <v>1</v>
      </c>
      <c r="O471" s="23" t="str">
        <f ca="1">IFERROR(__xludf.DUMMYFUNCTION("""COMPUTED_VALUE"""),"ADVANCED")</f>
        <v>ADVANCED</v>
      </c>
      <c r="P471" s="21">
        <f ca="1">IFERROR(__xludf.DUMMYFUNCTION("""COMPUTED_VALUE"""),2482.69)</f>
        <v>2482.69</v>
      </c>
      <c r="Q471" s="6" t="str">
        <f ca="1">IFERROR(__xludf.DUMMYFUNCTION("""COMPUTED_VALUE"""),"Iván Sánchez")</f>
        <v>Iván Sánchez</v>
      </c>
      <c r="R471" s="6" t="str">
        <f ca="1">IFERROR(__xludf.DUMMYFUNCTION("""COMPUTED_VALUE"""),"Ana Giribet Fernandez-Pacheco")</f>
        <v>Ana Giribet Fernandez-Pacheco</v>
      </c>
      <c r="S471" s="20" t="str">
        <f ca="1">IFERROR(__xludf.DUMMYFUNCTION("""COMPUTED_VALUE"""),"03 ORL")</f>
        <v>03 ORL</v>
      </c>
      <c r="T471" s="6" t="str">
        <f ca="1">IFERROR(__xludf.DUMMYFUNCTION("""COMPUTED_VALUE"""),"06 ORL")</f>
        <v>06 ORL</v>
      </c>
      <c r="U471" s="21"/>
      <c r="W471" s="21"/>
      <c r="X471" s="21"/>
    </row>
    <row r="472" spans="2:24" ht="16">
      <c r="B472" s="14" t="str">
        <f t="shared" ca="1" si="1"/>
        <v>#N/</v>
      </c>
      <c r="C472" s="23" t="str">
        <f ca="1">IFERROR(__xludf.DUMMYFUNCTION("""COMPUTED_VALUE"""),"#N/A")</f>
        <v>#N/A</v>
      </c>
      <c r="D472" s="6" t="str">
        <f ca="1">IFERROR(__xludf.DUMMYFUNCTION("""COMPUTED_VALUE"""),"PROPIOS")</f>
        <v>PROPIOS</v>
      </c>
      <c r="E472" s="6">
        <f ca="1">IFERROR(__xludf.DUMMYFUNCTION("""COMPUTED_VALUE"""),2026)</f>
        <v>2026</v>
      </c>
      <c r="F472" s="15">
        <f ca="1">IFERROR(__xludf.DUMMYFUNCTION("""COMPUTED_VALUE"""),3)</f>
        <v>3</v>
      </c>
      <c r="G472" s="6" t="str">
        <f ca="1">IFERROR(__xludf.DUMMYFUNCTION("""COMPUTED_VALUE"""),"Getafe")</f>
        <v>Getafe</v>
      </c>
      <c r="H472" s="6" t="str">
        <f ca="1">IFERROR(__xludf.DUMMYFUNCTION("""COMPUTED_VALUE"""),"C202622510205223542")</f>
        <v>C202622510205223542</v>
      </c>
      <c r="I472" s="6" t="str">
        <f ca="1">IFERROR(__xludf.DUMMYFUNCTION("""COMPUTED_VALUE"""),"ESPERANZA IZQUIERDO LUIS")</f>
        <v>ESPERANZA IZQUIERDO LUIS</v>
      </c>
      <c r="J472" s="16">
        <f ca="1">IFERROR(__xludf.DUMMYFUNCTION("""COMPUTED_VALUE"""),46078)</f>
        <v>46078</v>
      </c>
      <c r="K472" s="6" t="str">
        <f ca="1">IFERROR(__xludf.DUMMYFUNCTION("""COMPUTED_VALUE"""),"Factura audífonos")</f>
        <v>Factura audífonos</v>
      </c>
      <c r="L472" s="16">
        <f ca="1">IFERROR(__xludf.DUMMYFUNCTION("""COMPUTED_VALUE"""),46112)</f>
        <v>46112</v>
      </c>
      <c r="M472" s="23" t="str">
        <f ca="1">IFERROR(__xludf.DUMMYFUNCTION("""COMPUTED_VALUE"""),"NO")</f>
        <v>NO</v>
      </c>
      <c r="N472" s="15">
        <f ca="1">IFERROR(__xludf.DUMMYFUNCTION("""COMPUTED_VALUE"""),2)</f>
        <v>2</v>
      </c>
      <c r="O472" s="23" t="str">
        <f ca="1">IFERROR(__xludf.DUMMYFUNCTION("""COMPUTED_VALUE"""),"TRIAL")</f>
        <v>TRIAL</v>
      </c>
      <c r="P472" s="21">
        <f ca="1">IFERROR(__xludf.DUMMYFUNCTION("""COMPUTED_VALUE"""),3450)</f>
        <v>3450</v>
      </c>
      <c r="Q472" s="6" t="str">
        <f ca="1">IFERROR(__xludf.DUMMYFUNCTION("""COMPUTED_VALUE"""),"Maika Blázquez")</f>
        <v>Maika Blázquez</v>
      </c>
      <c r="R472" s="6" t="str">
        <f ca="1">IFERROR(__xludf.DUMMYFUNCTION("""COMPUTED_VALUE"""),"Cristina Herrero Fernández")</f>
        <v>Cristina Herrero Fernández</v>
      </c>
      <c r="S472" s="20" t="str">
        <f ca="1">IFERROR(__xludf.DUMMYFUNCTION("""COMPUTED_VALUE"""),"03 ORL")</f>
        <v>03 ORL</v>
      </c>
      <c r="T472" s="6" t="str">
        <f ca="1">IFERROR(__xludf.DUMMYFUNCTION("""COMPUTED_VALUE"""),"06 ORL")</f>
        <v>06 ORL</v>
      </c>
      <c r="U472" s="21"/>
      <c r="W472" s="21"/>
      <c r="X472" s="21"/>
    </row>
    <row r="473" spans="2:24" ht="16">
      <c r="B473" s="14" t="str">
        <f t="shared" ca="1" si="1"/>
        <v>MBM</v>
      </c>
      <c r="C473" s="23" t="str">
        <f ca="1">IFERROR(__xludf.DUMMYFUNCTION("""COMPUTED_VALUE"""),"MBM191")</f>
        <v>MBM191</v>
      </c>
      <c r="D473" s="6" t="str">
        <f ca="1">IFERROR(__xludf.DUMMYFUNCTION("""COMPUTED_VALUE"""),"PROPIOS")</f>
        <v>PROPIOS</v>
      </c>
      <c r="E473" s="6">
        <f ca="1">IFERROR(__xludf.DUMMYFUNCTION("""COMPUTED_VALUE"""),2026)</f>
        <v>2026</v>
      </c>
      <c r="F473" s="15">
        <f ca="1">IFERROR(__xludf.DUMMYFUNCTION("""COMPUTED_VALUE"""),3)</f>
        <v>3</v>
      </c>
      <c r="G473" s="6" t="str">
        <f ca="1">IFERROR(__xludf.DUMMYFUNCTION("""COMPUTED_VALUE"""),"Leganés")</f>
        <v>Leganés</v>
      </c>
      <c r="H473" s="6" t="str">
        <f ca="1">IFERROR(__xludf.DUMMYFUNCTION("""COMPUTED_VALUE"""),"C202621718264768381")</f>
        <v>C202621718264768381</v>
      </c>
      <c r="I473" s="6" t="str">
        <f ca="1">IFERROR(__xludf.DUMMYFUNCTION("""COMPUTED_VALUE"""),"TERESA CHAMORRO LÓPEZ")</f>
        <v>TERESA CHAMORRO LÓPEZ</v>
      </c>
      <c r="J473" s="16">
        <f ca="1">IFERROR(__xludf.DUMMYFUNCTION("""COMPUTED_VALUE"""),46070)</f>
        <v>46070</v>
      </c>
      <c r="K473" s="6" t="str">
        <f ca="1">IFERROR(__xludf.DUMMYFUNCTION("""COMPUTED_VALUE"""),"Factura audífonos")</f>
        <v>Factura audífonos</v>
      </c>
      <c r="L473" s="16">
        <f ca="1">IFERROR(__xludf.DUMMYFUNCTION("""COMPUTED_VALUE"""),46112)</f>
        <v>46112</v>
      </c>
      <c r="M473" s="23" t="str">
        <f ca="1">IFERROR(__xludf.DUMMYFUNCTION("""COMPUTED_VALUE"""),"NO")</f>
        <v>NO</v>
      </c>
      <c r="N473" s="15">
        <f ca="1">IFERROR(__xludf.DUMMYFUNCTION("""COMPUTED_VALUE"""),2)</f>
        <v>2</v>
      </c>
      <c r="O473" s="23" t="str">
        <f ca="1">IFERROR(__xludf.DUMMYFUNCTION("""COMPUTED_VALUE"""),"QUIET")</f>
        <v>QUIET</v>
      </c>
      <c r="P473" s="21">
        <f ca="1">IFERROR(__xludf.DUMMYFUNCTION("""COMPUTED_VALUE"""),2718.18)</f>
        <v>2718.18</v>
      </c>
      <c r="Q473" s="6" t="str">
        <f ca="1">IFERROR(__xludf.DUMMYFUNCTION("""COMPUTED_VALUE"""),"Maika Blázquez")</f>
        <v>Maika Blázquez</v>
      </c>
      <c r="R473" s="6" t="str">
        <f ca="1">IFERROR(__xludf.DUMMYFUNCTION("""COMPUTED_VALUE"""),"Elena Martín Bejerano")</f>
        <v>Elena Martín Bejerano</v>
      </c>
      <c r="S473" s="20" t="str">
        <f ca="1">IFERROR(__xludf.DUMMYFUNCTION("""COMPUTED_VALUE"""),"03 ORL")</f>
        <v>03 ORL</v>
      </c>
      <c r="T473" s="6" t="str">
        <f ca="1">IFERROR(__xludf.DUMMYFUNCTION("""COMPUTED_VALUE"""),"06 ORL")</f>
        <v>06 ORL</v>
      </c>
      <c r="U473" s="21"/>
      <c r="W473" s="21"/>
      <c r="X473" s="21"/>
    </row>
    <row r="474" spans="2:24" ht="16">
      <c r="B474" s="14" t="str">
        <f t="shared" ca="1" si="1"/>
        <v>ISL</v>
      </c>
      <c r="C474" s="23" t="str">
        <f ca="1">IFERROR(__xludf.DUMMYFUNCTION("""COMPUTED_VALUE"""),"ISL122")</f>
        <v>ISL122</v>
      </c>
      <c r="D474" s="6" t="str">
        <f ca="1">IFERROR(__xludf.DUMMYFUNCTION("""COMPUTED_VALUE"""),"PROPIOS")</f>
        <v>PROPIOS</v>
      </c>
      <c r="E474" s="6">
        <f ca="1">IFERROR(__xludf.DUMMYFUNCTION("""COMPUTED_VALUE"""),2026)</f>
        <v>2026</v>
      </c>
      <c r="F474" s="15">
        <f ca="1">IFERROR(__xludf.DUMMYFUNCTION("""COMPUTED_VALUE"""),3)</f>
        <v>3</v>
      </c>
      <c r="G474" s="6" t="str">
        <f ca="1">IFERROR(__xludf.DUMMYFUNCTION("""COMPUTED_VALUE"""),"Murcia")</f>
        <v>Murcia</v>
      </c>
      <c r="H474" s="6" t="str">
        <f ca="1">IFERROR(__xludf.DUMMYFUNCTION("""COMPUTED_VALUE"""),"C202623101617395124")</f>
        <v>C202623101617395124</v>
      </c>
      <c r="I474" s="6" t="str">
        <f ca="1">IFERROR(__xludf.DUMMYFUNCTION("""COMPUTED_VALUE"""),"MANUEL FERNANDEZ GALLEGO")</f>
        <v>MANUEL FERNANDEZ GALLEGO</v>
      </c>
      <c r="J474" s="16">
        <f ca="1">IFERROR(__xludf.DUMMYFUNCTION("""COMPUTED_VALUE"""),46056)</f>
        <v>46056</v>
      </c>
      <c r="K474" s="6" t="str">
        <f ca="1">IFERROR(__xludf.DUMMYFUNCTION("""COMPUTED_VALUE"""),"Factura audífonos")</f>
        <v>Factura audífonos</v>
      </c>
      <c r="L474" s="16">
        <f ca="1">IFERROR(__xludf.DUMMYFUNCTION("""COMPUTED_VALUE"""),46112)</f>
        <v>46112</v>
      </c>
      <c r="M474" s="23" t="str">
        <f ca="1">IFERROR(__xludf.DUMMYFUNCTION("""COMPUTED_VALUE"""),"NO")</f>
        <v>NO</v>
      </c>
      <c r="N474" s="15">
        <f ca="1">IFERROR(__xludf.DUMMYFUNCTION("""COMPUTED_VALUE"""),2)</f>
        <v>2</v>
      </c>
      <c r="O474" s="23" t="str">
        <f ca="1">IFERROR(__xludf.DUMMYFUNCTION("""COMPUTED_VALUE"""),"ADVANCED")</f>
        <v>ADVANCED</v>
      </c>
      <c r="P474" s="21">
        <f ca="1">IFERROR(__xludf.DUMMYFUNCTION("""COMPUTED_VALUE"""),4136.36)</f>
        <v>4136.3599999999997</v>
      </c>
      <c r="Q474" s="6" t="str">
        <f ca="1">IFERROR(__xludf.DUMMYFUNCTION("""COMPUTED_VALUE"""),"Iván Sánchez")</f>
        <v>Iván Sánchez</v>
      </c>
      <c r="R474" s="6" t="str">
        <f ca="1">IFERROR(__xludf.DUMMYFUNCTION("""COMPUTED_VALUE"""),"María Agustina Sevilla García")</f>
        <v>María Agustina Sevilla García</v>
      </c>
      <c r="S474" s="20" t="str">
        <f ca="1">IFERROR(__xludf.DUMMYFUNCTION("""COMPUTED_VALUE"""),"03 ORL")</f>
        <v>03 ORL</v>
      </c>
      <c r="T474" s="6" t="str">
        <f ca="1">IFERROR(__xludf.DUMMYFUNCTION("""COMPUTED_VALUE"""),"22 AUDIOMETRIA CLINICA")</f>
        <v>22 AUDIOMETRIA CLINICA</v>
      </c>
      <c r="U474" s="21"/>
      <c r="W474" s="21"/>
      <c r="X474" s="21"/>
    </row>
    <row r="475" spans="2:24" ht="16">
      <c r="B475" s="14" t="str">
        <f t="shared" ca="1" si="1"/>
        <v>PSC</v>
      </c>
      <c r="C475" s="23" t="str">
        <f ca="1">IFERROR(__xludf.DUMMYFUNCTION("""COMPUTED_VALUE"""),"PSC02")</f>
        <v>PSC02</v>
      </c>
      <c r="D475" s="6" t="str">
        <f ca="1">IFERROR(__xludf.DUMMYFUNCTION("""COMPUTED_VALUE"""),"ASOCIADOS")</f>
        <v>ASOCIADOS</v>
      </c>
      <c r="E475" s="6">
        <f ca="1">IFERROR(__xludf.DUMMYFUNCTION("""COMPUTED_VALUE"""),2026)</f>
        <v>2026</v>
      </c>
      <c r="F475" s="15">
        <f ca="1">IFERROR(__xludf.DUMMYFUNCTION("""COMPUTED_VALUE"""),3)</f>
        <v>3</v>
      </c>
      <c r="G475" s="6" t="str">
        <f ca="1">IFERROR(__xludf.DUMMYFUNCTION("""COMPUTED_VALUE"""),"Salamanca")</f>
        <v>Salamanca</v>
      </c>
      <c r="H475" s="6" t="str">
        <f ca="1">IFERROR(__xludf.DUMMYFUNCTION("""COMPUTED_VALUE"""),"C202621812193368454")</f>
        <v>C202621812193368454</v>
      </c>
      <c r="I475" s="6" t="str">
        <f ca="1">IFERROR(__xludf.DUMMYFUNCTION("""COMPUTED_VALUE"""),"Carmen Guinarte Perez")</f>
        <v>Carmen Guinarte Perez</v>
      </c>
      <c r="J475" s="16">
        <f ca="1">IFERROR(__xludf.DUMMYFUNCTION("""COMPUTED_VALUE"""),46071)</f>
        <v>46071</v>
      </c>
      <c r="K475" s="6" t="str">
        <f ca="1">IFERROR(__xludf.DUMMYFUNCTION("""COMPUTED_VALUE"""),"Factura audífonos")</f>
        <v>Factura audífonos</v>
      </c>
      <c r="L475" s="16">
        <f ca="1">IFERROR(__xludf.DUMMYFUNCTION("""COMPUTED_VALUE"""),46112)</f>
        <v>46112</v>
      </c>
      <c r="M475" s="23" t="str">
        <f ca="1">IFERROR(__xludf.DUMMYFUNCTION("""COMPUTED_VALUE"""),"NO")</f>
        <v>NO</v>
      </c>
      <c r="N475" s="15">
        <f ca="1">IFERROR(__xludf.DUMMYFUNCTION("""COMPUTED_VALUE"""),2)</f>
        <v>2</v>
      </c>
      <c r="O475" s="23" t="str">
        <f ca="1">IFERROR(__xludf.DUMMYFUNCTION("""COMPUTED_VALUE"""),"CONFORT")</f>
        <v>CONFORT</v>
      </c>
      <c r="P475" s="21">
        <f ca="1">IFERROR(__xludf.DUMMYFUNCTION("""COMPUTED_VALUE"""),3730)</f>
        <v>3730</v>
      </c>
      <c r="Q475" s="6" t="str">
        <f ca="1">IFERROR(__xludf.DUMMYFUNCTION("""COMPUTED_VALUE"""),"Alberto Moreno")</f>
        <v>Alberto Moreno</v>
      </c>
      <c r="R475" s="6" t="str">
        <f ca="1">IFERROR(__xludf.DUMMYFUNCTION("""COMPUTED_VALUE"""),"Ángel Muñoz Herrera")</f>
        <v>Ángel Muñoz Herrera</v>
      </c>
      <c r="S475" s="20" t="str">
        <f ca="1">IFERROR(__xludf.DUMMYFUNCTION("""COMPUTED_VALUE"""),"03 ORL")</f>
        <v>03 ORL</v>
      </c>
      <c r="T475" s="6" t="str">
        <f ca="1">IFERROR(__xludf.DUMMYFUNCTION("""COMPUTED_VALUE"""),"06 ORL")</f>
        <v>06 ORL</v>
      </c>
      <c r="U475" s="21"/>
      <c r="W475" s="21"/>
      <c r="X475" s="21"/>
    </row>
    <row r="476" spans="2:24" ht="16">
      <c r="B476" s="14" t="str">
        <f t="shared" ca="1" si="1"/>
        <v>LRM</v>
      </c>
      <c r="C476" s="23" t="str">
        <f ca="1">IFERROR(__xludf.DUMMYFUNCTION("""COMPUTED_VALUE"""),"LRM222")</f>
        <v>LRM222</v>
      </c>
      <c r="D476" s="6" t="str">
        <f ca="1">IFERROR(__xludf.DUMMYFUNCTION("""COMPUTED_VALUE"""),"PROPIOS")</f>
        <v>PROPIOS</v>
      </c>
      <c r="E476" s="6">
        <f ca="1">IFERROR(__xludf.DUMMYFUNCTION("""COMPUTED_VALUE"""),2026)</f>
        <v>2026</v>
      </c>
      <c r="F476" s="15">
        <f ca="1">IFERROR(__xludf.DUMMYFUNCTION("""COMPUTED_VALUE"""),3)</f>
        <v>3</v>
      </c>
      <c r="G476" s="6" t="str">
        <f ca="1">IFERROR(__xludf.DUMMYFUNCTION("""COMPUTED_VALUE"""),"Leganés")</f>
        <v>Leganés</v>
      </c>
      <c r="H476" s="6" t="str">
        <f ca="1">IFERROR(__xludf.DUMMYFUNCTION("""COMPUTED_VALUE"""),"C2026399930726458")</f>
        <v>C2026399930726458</v>
      </c>
      <c r="I476" s="6" t="str">
        <f ca="1">IFERROR(__xludf.DUMMYFUNCTION("""COMPUTED_VALUE"""),"FRANCISCO SERRANO RODRIGUEZ DE GUZMAN")</f>
        <v>FRANCISCO SERRANO RODRIGUEZ DE GUZMAN</v>
      </c>
      <c r="J476" s="16">
        <f ca="1">IFERROR(__xludf.DUMMYFUNCTION("""COMPUTED_VALUE"""),46090)</f>
        <v>46090</v>
      </c>
      <c r="K476" s="6" t="str">
        <f ca="1">IFERROR(__xludf.DUMMYFUNCTION("""COMPUTED_VALUE"""),"Factura audífonos")</f>
        <v>Factura audífonos</v>
      </c>
      <c r="L476" s="16">
        <f ca="1">IFERROR(__xludf.DUMMYFUNCTION("""COMPUTED_VALUE"""),46112)</f>
        <v>46112</v>
      </c>
      <c r="M476" s="23" t="str">
        <f ca="1">IFERROR(__xludf.DUMMYFUNCTION("""COMPUTED_VALUE"""),"NO")</f>
        <v>NO</v>
      </c>
      <c r="N476" s="15">
        <f ca="1">IFERROR(__xludf.DUMMYFUNCTION("""COMPUTED_VALUE"""),2)</f>
        <v>2</v>
      </c>
      <c r="O476" s="23" t="str">
        <f ca="1">IFERROR(__xludf.DUMMYFUNCTION("""COMPUTED_VALUE"""),"QUIET")</f>
        <v>QUIET</v>
      </c>
      <c r="P476" s="21">
        <f ca="1">IFERROR(__xludf.DUMMYFUNCTION("""COMPUTED_VALUE"""),2718.18)</f>
        <v>2718.18</v>
      </c>
      <c r="Q476" s="6" t="str">
        <f ca="1">IFERROR(__xludf.DUMMYFUNCTION("""COMPUTED_VALUE"""),"Maika Blázquez")</f>
        <v>Maika Blázquez</v>
      </c>
      <c r="R476" s="6" t="str">
        <f ca="1">IFERROR(__xludf.DUMMYFUNCTION("""COMPUTED_VALUE"""),"Nuria Arnaiz Canora")</f>
        <v>Nuria Arnaiz Canora</v>
      </c>
      <c r="S476" s="20" t="str">
        <f ca="1">IFERROR(__xludf.DUMMYFUNCTION("""COMPUTED_VALUE"""),"03 ORL")</f>
        <v>03 ORL</v>
      </c>
      <c r="T476" s="6" t="str">
        <f ca="1">IFERROR(__xludf.DUMMYFUNCTION("""COMPUTED_VALUE"""),"06 ORL")</f>
        <v>06 ORL</v>
      </c>
      <c r="U476" s="21"/>
      <c r="W476" s="21"/>
      <c r="X476" s="21"/>
    </row>
    <row r="477" spans="2:24" ht="16">
      <c r="B477" s="14" t="str">
        <f t="shared" si="1"/>
        <v/>
      </c>
      <c r="C477" s="23"/>
      <c r="D477" s="6" t="str">
        <f ca="1">IFERROR(__xludf.DUMMYFUNCTION("""COMPUTED_VALUE"""),"PROPIOS")</f>
        <v>PROPIOS</v>
      </c>
      <c r="E477" s="6">
        <f ca="1">IFERROR(__xludf.DUMMYFUNCTION("""COMPUTED_VALUE"""),2026)</f>
        <v>2026</v>
      </c>
      <c r="F477" s="15">
        <f ca="1">IFERROR(__xludf.DUMMYFUNCTION("""COMPUTED_VALUE"""),3)</f>
        <v>3</v>
      </c>
      <c r="G477" s="6" t="str">
        <f ca="1">IFERROR(__xludf.DUMMYFUNCTION("""COMPUTED_VALUE"""),"Logroño")</f>
        <v>Logroño</v>
      </c>
      <c r="H477" s="6" t="str">
        <f ca="1">IFERROR(__xludf.DUMMYFUNCTION("""COMPUTED_VALUE"""),"C2026291005304025")</f>
        <v>C2026291005304025</v>
      </c>
      <c r="I477" s="6" t="str">
        <f ca="1">IFERROR(__xludf.DUMMYFUNCTION("""COMPUTED_VALUE"""),"MARIA LOURDES  FRIAS VITORES")</f>
        <v>MARIA LOURDES  FRIAS VITORES</v>
      </c>
      <c r="J477" s="16">
        <f ca="1">IFERROR(__xludf.DUMMYFUNCTION("""COMPUTED_VALUE"""),46062)</f>
        <v>46062</v>
      </c>
      <c r="K477" s="6" t="str">
        <f ca="1">IFERROR(__xludf.DUMMYFUNCTION("""COMPUTED_VALUE"""),"Factura audífonos")</f>
        <v>Factura audífonos</v>
      </c>
      <c r="L477" s="16">
        <f ca="1">IFERROR(__xludf.DUMMYFUNCTION("""COMPUTED_VALUE"""),46112)</f>
        <v>46112</v>
      </c>
      <c r="M477" s="23" t="str">
        <f ca="1">IFERROR(__xludf.DUMMYFUNCTION("""COMPUTED_VALUE"""),"NO")</f>
        <v>NO</v>
      </c>
      <c r="N477" s="15">
        <f ca="1">IFERROR(__xludf.DUMMYFUNCTION("""COMPUTED_VALUE"""),2)</f>
        <v>2</v>
      </c>
      <c r="O477" s="23" t="str">
        <f ca="1">IFERROR(__xludf.DUMMYFUNCTION("""COMPUTED_VALUE"""),"QUIET")</f>
        <v>QUIET</v>
      </c>
      <c r="P477" s="21">
        <f ca="1">IFERROR(__xludf.DUMMYFUNCTION("""COMPUTED_VALUE"""),2718.18)</f>
        <v>2718.18</v>
      </c>
      <c r="Q477" s="6" t="str">
        <f ca="1">IFERROR(__xludf.DUMMYFUNCTION("""COMPUTED_VALUE"""),"Lisandro Russian")</f>
        <v>Lisandro Russian</v>
      </c>
      <c r="R477" s="6" t="str">
        <f ca="1">IFERROR(__xludf.DUMMYFUNCTION("""COMPUTED_VALUE"""),"No recuerda ORL")</f>
        <v>No recuerda ORL</v>
      </c>
      <c r="S477" s="20" t="str">
        <f ca="1">IFERROR(__xludf.DUMMYFUNCTION("""COMPUTED_VALUE"""),"03 ORL")</f>
        <v>03 ORL</v>
      </c>
      <c r="T477" s="6" t="str">
        <f ca="1">IFERROR(__xludf.DUMMYFUNCTION("""COMPUTED_VALUE"""),"06 ORL")</f>
        <v>06 ORL</v>
      </c>
      <c r="U477" s="21"/>
      <c r="W477" s="21"/>
      <c r="X477" s="21"/>
    </row>
    <row r="478" spans="2:24" ht="16">
      <c r="B478" s="14" t="str">
        <f t="shared" ca="1" si="1"/>
        <v>PSC</v>
      </c>
      <c r="C478" s="23" t="str">
        <f ca="1">IFERROR(__xludf.DUMMYFUNCTION("""COMPUTED_VALUE"""),"PSC31")</f>
        <v>PSC31</v>
      </c>
      <c r="D478" s="6" t="str">
        <f ca="1">IFERROR(__xludf.DUMMYFUNCTION("""COMPUTED_VALUE"""),"ASOCIADOS")</f>
        <v>ASOCIADOS</v>
      </c>
      <c r="E478" s="6">
        <f ca="1">IFERROR(__xludf.DUMMYFUNCTION("""COMPUTED_VALUE"""),2026)</f>
        <v>2026</v>
      </c>
      <c r="F478" s="15">
        <f ca="1">IFERROR(__xludf.DUMMYFUNCTION("""COMPUTED_VALUE"""),3)</f>
        <v>3</v>
      </c>
      <c r="G478" s="6" t="str">
        <f ca="1">IFERROR(__xludf.DUMMYFUNCTION("""COMPUTED_VALUE"""),"Valladolid")</f>
        <v>Valladolid</v>
      </c>
      <c r="H478" s="6" t="str">
        <f ca="1">IFERROR(__xludf.DUMMYFUNCTION("""COMPUTED_VALUE"""),"C202625165834361107")</f>
        <v>C202625165834361107</v>
      </c>
      <c r="I478" s="6" t="str">
        <f ca="1">IFERROR(__xludf.DUMMYFUNCTION("""COMPUTED_VALUE"""),"MARIA DEL CARMEN GARCIA RUA")</f>
        <v>MARIA DEL CARMEN GARCIA RUA</v>
      </c>
      <c r="J478" s="16">
        <f ca="1">IFERROR(__xludf.DUMMYFUNCTION("""COMPUTED_VALUE"""),46058)</f>
        <v>46058</v>
      </c>
      <c r="K478" s="6" t="str">
        <f ca="1">IFERROR(__xludf.DUMMYFUNCTION("""COMPUTED_VALUE"""),"Factura audífonos")</f>
        <v>Factura audífonos</v>
      </c>
      <c r="L478" s="16">
        <f ca="1">IFERROR(__xludf.DUMMYFUNCTION("""COMPUTED_VALUE"""),46112)</f>
        <v>46112</v>
      </c>
      <c r="M478" s="23" t="str">
        <f ca="1">IFERROR(__xludf.DUMMYFUNCTION("""COMPUTED_VALUE"""),"NO")</f>
        <v>NO</v>
      </c>
      <c r="N478" s="15">
        <f ca="1">IFERROR(__xludf.DUMMYFUNCTION("""COMPUTED_VALUE"""),1)</f>
        <v>1</v>
      </c>
      <c r="O478" s="23" t="str">
        <f ca="1">IFERROR(__xludf.DUMMYFUNCTION("""COMPUTED_VALUE"""),"PRO")</f>
        <v>PRO</v>
      </c>
      <c r="P478" s="21">
        <f ca="1">IFERROR(__xludf.DUMMYFUNCTION("""COMPUTED_VALUE"""),2307.27)</f>
        <v>2307.27</v>
      </c>
      <c r="Q478" s="6" t="str">
        <f ca="1">IFERROR(__xludf.DUMMYFUNCTION("""COMPUTED_VALUE"""),"Alberto Moreno")</f>
        <v>Alberto Moreno</v>
      </c>
      <c r="R478" s="6" t="str">
        <f ca="1">IFERROR(__xludf.DUMMYFUNCTION("""COMPUTED_VALUE"""),"Ana Fernández Rodríguez")</f>
        <v>Ana Fernández Rodríguez</v>
      </c>
      <c r="S478" s="20" t="str">
        <f ca="1">IFERROR(__xludf.DUMMYFUNCTION("""COMPUTED_VALUE"""),"03 ORL")</f>
        <v>03 ORL</v>
      </c>
      <c r="T478" s="6" t="str">
        <f ca="1">IFERROR(__xludf.DUMMYFUNCTION("""COMPUTED_VALUE"""),"06 ORL")</f>
        <v>06 ORL</v>
      </c>
      <c r="U478" s="21"/>
      <c r="W478" s="21"/>
      <c r="X478" s="21"/>
    </row>
    <row r="479" spans="2:24" ht="16">
      <c r="B479" s="14" t="str">
        <f t="shared" si="1"/>
        <v/>
      </c>
      <c r="C479" s="23"/>
      <c r="D479" s="6" t="str">
        <f ca="1">IFERROR(__xludf.DUMMYFUNCTION("""COMPUTED_VALUE"""),"PROPIOS")</f>
        <v>PROPIOS</v>
      </c>
      <c r="E479" s="6">
        <f ca="1">IFERROR(__xludf.DUMMYFUNCTION("""COMPUTED_VALUE"""),2026)</f>
        <v>2026</v>
      </c>
      <c r="F479" s="15">
        <f ca="1">IFERROR(__xludf.DUMMYFUNCTION("""COMPUTED_VALUE"""),3)</f>
        <v>3</v>
      </c>
      <c r="G479" s="6" t="str">
        <f ca="1">IFERROR(__xludf.DUMMYFUNCTION("""COMPUTED_VALUE"""),"Logroño")</f>
        <v>Logroño</v>
      </c>
      <c r="H479" s="6" t="str">
        <f ca="1">IFERROR(__xludf.DUMMYFUNCTION("""COMPUTED_VALUE"""),"C20251223192557630")</f>
        <v>C20251223192557630</v>
      </c>
      <c r="I479" s="6" t="str">
        <f ca="1">IFERROR(__xludf.DUMMYFUNCTION("""COMPUTED_VALUE"""),"JULIA CASTELLANOS ZALDIBAR")</f>
        <v>JULIA CASTELLANOS ZALDIBAR</v>
      </c>
      <c r="J479" s="16">
        <f ca="1">IFERROR(__xludf.DUMMYFUNCTION("""COMPUTED_VALUE"""),46014)</f>
        <v>46014</v>
      </c>
      <c r="K479" s="6" t="str">
        <f ca="1">IFERROR(__xludf.DUMMYFUNCTION("""COMPUTED_VALUE"""),"Factura audífonos")</f>
        <v>Factura audífonos</v>
      </c>
      <c r="L479" s="16">
        <f ca="1">IFERROR(__xludf.DUMMYFUNCTION("""COMPUTED_VALUE"""),46112)</f>
        <v>46112</v>
      </c>
      <c r="M479" s="23" t="str">
        <f ca="1">IFERROR(__xludf.DUMMYFUNCTION("""COMPUTED_VALUE"""),"NO")</f>
        <v>NO</v>
      </c>
      <c r="N479" s="15">
        <f ca="1">IFERROR(__xludf.DUMMYFUNCTION("""COMPUTED_VALUE"""),2)</f>
        <v>2</v>
      </c>
      <c r="O479" s="23" t="str">
        <f ca="1">IFERROR(__xludf.DUMMYFUNCTION("""COMPUTED_VALUE"""),"ADVANCED")</f>
        <v>ADVANCED</v>
      </c>
      <c r="P479" s="21">
        <f ca="1">IFERROR(__xludf.DUMMYFUNCTION("""COMPUTED_VALUE"""),4136.36)</f>
        <v>4136.3599999999997</v>
      </c>
      <c r="Q479" s="6" t="str">
        <f ca="1">IFERROR(__xludf.DUMMYFUNCTION("""COMPUTED_VALUE"""),"Lisandro Russian")</f>
        <v>Lisandro Russian</v>
      </c>
      <c r="R479" s="6" t="str">
        <f ca="1">IFERROR(__xludf.DUMMYFUNCTION("""COMPUTED_VALUE"""),"No recuerda ORL")</f>
        <v>No recuerda ORL</v>
      </c>
      <c r="S479" s="20" t="str">
        <f ca="1">IFERROR(__xludf.DUMMYFUNCTION("""COMPUTED_VALUE"""),"03 ORL")</f>
        <v>03 ORL</v>
      </c>
      <c r="T479" s="6" t="str">
        <f ca="1">IFERROR(__xludf.DUMMYFUNCTION("""COMPUTED_VALUE"""),"06 ORL")</f>
        <v>06 ORL</v>
      </c>
      <c r="U479" s="21"/>
      <c r="W479" s="21"/>
      <c r="X479" s="21"/>
    </row>
    <row r="480" spans="2:24" ht="16">
      <c r="B480" s="14" t="str">
        <f t="shared" ca="1" si="1"/>
        <v>LRM</v>
      </c>
      <c r="C480" s="23" t="str">
        <f ca="1">IFERROR(__xludf.DUMMYFUNCTION("""COMPUTED_VALUE"""),"LRM239")</f>
        <v>LRM239</v>
      </c>
      <c r="D480" s="6" t="str">
        <f ca="1">IFERROR(__xludf.DUMMYFUNCTION("""COMPUTED_VALUE"""),"PROPIOS")</f>
        <v>PROPIOS</v>
      </c>
      <c r="E480" s="6">
        <f ca="1">IFERROR(__xludf.DUMMYFUNCTION("""COMPUTED_VALUE"""),2026)</f>
        <v>2026</v>
      </c>
      <c r="F480" s="15">
        <f ca="1">IFERROR(__xludf.DUMMYFUNCTION("""COMPUTED_VALUE"""),3)</f>
        <v>3</v>
      </c>
      <c r="G480" s="6" t="str">
        <f ca="1">IFERROR(__xludf.DUMMYFUNCTION("""COMPUTED_VALUE"""),"Madrid- Juan Bravo")</f>
        <v>Madrid- Juan Bravo</v>
      </c>
      <c r="H480" s="6" t="str">
        <f ca="1">IFERROR(__xludf.DUMMYFUNCTION("""COMPUTED_VALUE"""),"C202612211164410529")</f>
        <v>C202612211164410529</v>
      </c>
      <c r="I480" s="6" t="str">
        <f ca="1">IFERROR(__xludf.DUMMYFUNCTION("""COMPUTED_VALUE"""),"MARGARITA MARIN YECORA")</f>
        <v>MARGARITA MARIN YECORA</v>
      </c>
      <c r="J480" s="16">
        <f ca="1">IFERROR(__xludf.DUMMYFUNCTION("""COMPUTED_VALUE"""),46044)</f>
        <v>46044</v>
      </c>
      <c r="K480" s="6" t="str">
        <f ca="1">IFERROR(__xludf.DUMMYFUNCTION("""COMPUTED_VALUE"""),"Factura audífonos")</f>
        <v>Factura audífonos</v>
      </c>
      <c r="L480" s="16">
        <f ca="1">IFERROR(__xludf.DUMMYFUNCTION("""COMPUTED_VALUE"""),46112)</f>
        <v>46112</v>
      </c>
      <c r="M480" s="23" t="str">
        <f ca="1">IFERROR(__xludf.DUMMYFUNCTION("""COMPUTED_VALUE"""),"NO")</f>
        <v>NO</v>
      </c>
      <c r="N480" s="15">
        <f ca="1">IFERROR(__xludf.DUMMYFUNCTION("""COMPUTED_VALUE"""),2)</f>
        <v>2</v>
      </c>
      <c r="O480" s="23" t="str">
        <f ca="1">IFERROR(__xludf.DUMMYFUNCTION("""COMPUTED_VALUE"""),"CONFORT")</f>
        <v>CONFORT</v>
      </c>
      <c r="P480" s="21">
        <f ca="1">IFERROR(__xludf.DUMMYFUNCTION("""COMPUTED_VALUE"""),3631.82)</f>
        <v>3631.82</v>
      </c>
      <c r="Q480" s="6" t="str">
        <f ca="1">IFERROR(__xludf.DUMMYFUNCTION("""COMPUTED_VALUE"""),"Lisandro Russian")</f>
        <v>Lisandro Russian</v>
      </c>
      <c r="R480" s="6" t="str">
        <f ca="1">IFERROR(__xludf.DUMMYFUNCTION("""COMPUTED_VALUE"""),"Carlos Barajas del Rosal")</f>
        <v>Carlos Barajas del Rosal</v>
      </c>
      <c r="S480" s="20" t="str">
        <f ca="1">IFERROR(__xludf.DUMMYFUNCTION("""COMPUTED_VALUE"""),"03 ORL")</f>
        <v>03 ORL</v>
      </c>
      <c r="T480" s="6" t="str">
        <f ca="1">IFERROR(__xludf.DUMMYFUNCTION("""COMPUTED_VALUE"""),"06 ORL")</f>
        <v>06 ORL</v>
      </c>
      <c r="U480" s="21"/>
      <c r="W480" s="21"/>
      <c r="X480" s="21"/>
    </row>
    <row r="481" spans="2:24" ht="16">
      <c r="B481" s="14" t="str">
        <f t="shared" ca="1" si="1"/>
        <v>#N/</v>
      </c>
      <c r="C481" s="23" t="str">
        <f ca="1">IFERROR(__xludf.DUMMYFUNCTION("""COMPUTED_VALUE"""),"#N/A")</f>
        <v>#N/A</v>
      </c>
      <c r="D481" s="6" t="str">
        <f ca="1">IFERROR(__xludf.DUMMYFUNCTION("""COMPUTED_VALUE"""),"PARTICIPADOS")</f>
        <v>PARTICIPADOS</v>
      </c>
      <c r="E481" s="6">
        <f ca="1">IFERROR(__xludf.DUMMYFUNCTION("""COMPUTED_VALUE"""),2026)</f>
        <v>2026</v>
      </c>
      <c r="F481" s="15">
        <f ca="1">IFERROR(__xludf.DUMMYFUNCTION("""COMPUTED_VALUE"""),3)</f>
        <v>3</v>
      </c>
      <c r="G481" s="6" t="str">
        <f ca="1">IFERROR(__xludf.DUMMYFUNCTION("""COMPUTED_VALUE"""),"Madrid- Costa Rica")</f>
        <v>Madrid- Costa Rica</v>
      </c>
      <c r="H481" s="6" t="str">
        <f ca="1">IFERROR(__xludf.DUMMYFUNCTION("""COMPUTED_VALUE"""),"C202621193144091134")</f>
        <v>C202621193144091134</v>
      </c>
      <c r="I481" s="6" t="str">
        <f ca="1">IFERROR(__xludf.DUMMYFUNCTION("""COMPUTED_VALUE"""),"ANTONIO HUALDE MIGUEL")</f>
        <v>ANTONIO HUALDE MIGUEL</v>
      </c>
      <c r="J481" s="16">
        <f ca="1">IFERROR(__xludf.DUMMYFUNCTION("""COMPUTED_VALUE"""),46064)</f>
        <v>46064</v>
      </c>
      <c r="K481" s="6" t="str">
        <f ca="1">IFERROR(__xludf.DUMMYFUNCTION("""COMPUTED_VALUE"""),"Factura audífonos")</f>
        <v>Factura audífonos</v>
      </c>
      <c r="L481" s="16">
        <f ca="1">IFERROR(__xludf.DUMMYFUNCTION("""COMPUTED_VALUE"""),46112)</f>
        <v>46112</v>
      </c>
      <c r="M481" s="23" t="str">
        <f ca="1">IFERROR(__xludf.DUMMYFUNCTION("""COMPUTED_VALUE"""),"NO")</f>
        <v>NO</v>
      </c>
      <c r="N481" s="15">
        <f ca="1">IFERROR(__xludf.DUMMYFUNCTION("""COMPUTED_VALUE"""),2)</f>
        <v>2</v>
      </c>
      <c r="O481" s="23" t="str">
        <f ca="1">IFERROR(__xludf.DUMMYFUNCTION("""COMPUTED_VALUE"""),"QUIET")</f>
        <v>QUIET</v>
      </c>
      <c r="P481" s="21">
        <f ca="1">IFERROR(__xludf.DUMMYFUNCTION("""COMPUTED_VALUE"""),2718.18)</f>
        <v>2718.18</v>
      </c>
      <c r="Q481" s="6" t="str">
        <f ca="1">IFERROR(__xludf.DUMMYFUNCTION("""COMPUTED_VALUE"""),"Luis Alberto Rodríguez")</f>
        <v>Luis Alberto Rodríguez</v>
      </c>
      <c r="R481" s="6" t="str">
        <f ca="1">IFERROR(__xludf.DUMMYFUNCTION("""COMPUTED_VALUE"""),"Jose Maria Hernandez Hernandez")</f>
        <v>Jose Maria Hernandez Hernandez</v>
      </c>
      <c r="S481" s="20" t="str">
        <f ca="1">IFERROR(__xludf.DUMMYFUNCTION("""COMPUTED_VALUE"""),"03 ORL")</f>
        <v>03 ORL</v>
      </c>
      <c r="T481" s="6" t="str">
        <f ca="1">IFERROR(__xludf.DUMMYFUNCTION("""COMPUTED_VALUE"""),"22 AUDIOMETRIA CLINICA")</f>
        <v>22 AUDIOMETRIA CLINICA</v>
      </c>
      <c r="U481" s="21"/>
      <c r="W481" s="21"/>
      <c r="X481" s="21"/>
    </row>
    <row r="482" spans="2:24" ht="16">
      <c r="B482" s="14" t="str">
        <f t="shared" ca="1" si="1"/>
        <v>PSC</v>
      </c>
      <c r="C482" s="23" t="str">
        <f ca="1">IFERROR(__xludf.DUMMYFUNCTION("""COMPUTED_VALUE"""),"PSC47")</f>
        <v>PSC47</v>
      </c>
      <c r="D482" s="6" t="str">
        <f ca="1">IFERROR(__xludf.DUMMYFUNCTION("""COMPUTED_VALUE"""),"ASOCIADOS")</f>
        <v>ASOCIADOS</v>
      </c>
      <c r="E482" s="6">
        <f ca="1">IFERROR(__xludf.DUMMYFUNCTION("""COMPUTED_VALUE"""),2026)</f>
        <v>2026</v>
      </c>
      <c r="F482" s="15">
        <f ca="1">IFERROR(__xludf.DUMMYFUNCTION("""COMPUTED_VALUE"""),3)</f>
        <v>3</v>
      </c>
      <c r="G482" s="6" t="str">
        <f ca="1">IFERROR(__xludf.DUMMYFUNCTION("""COMPUTED_VALUE"""),"Ponferrada")</f>
        <v>Ponferrada</v>
      </c>
      <c r="H482" s="6" t="str">
        <f ca="1">IFERROR(__xludf.DUMMYFUNCTION("""COMPUTED_VALUE"""),"PON-937")</f>
        <v>PON-937</v>
      </c>
      <c r="I482" s="6" t="str">
        <f ca="1">IFERROR(__xludf.DUMMYFUNCTION("""COMPUTED_VALUE"""),"ANGUSTIAS RODRIGUEZ DIEZ")</f>
        <v>ANGUSTIAS RODRIGUEZ DIEZ</v>
      </c>
      <c r="J482" s="16">
        <f ca="1">IFERROR(__xludf.DUMMYFUNCTION("""COMPUTED_VALUE"""),45819)</f>
        <v>45819</v>
      </c>
      <c r="K482" s="6" t="str">
        <f ca="1">IFERROR(__xludf.DUMMYFUNCTION("""COMPUTED_VALUE"""),"Factura audífonos")</f>
        <v>Factura audífonos</v>
      </c>
      <c r="L482" s="16">
        <f ca="1">IFERROR(__xludf.DUMMYFUNCTION("""COMPUTED_VALUE"""),46112)</f>
        <v>46112</v>
      </c>
      <c r="M482" s="23" t="str">
        <f ca="1">IFERROR(__xludf.DUMMYFUNCTION("""COMPUTED_VALUE"""),"NO")</f>
        <v>NO</v>
      </c>
      <c r="N482" s="15">
        <f ca="1">IFERROR(__xludf.DUMMYFUNCTION("""COMPUTED_VALUE"""),2)</f>
        <v>2</v>
      </c>
      <c r="O482" s="23" t="str">
        <f ca="1">IFERROR(__xludf.DUMMYFUNCTION("""COMPUTED_VALUE"""),"ADVANCED")</f>
        <v>ADVANCED</v>
      </c>
      <c r="P482" s="21">
        <f ca="1">IFERROR(__xludf.DUMMYFUNCTION("""COMPUTED_VALUE"""),3181.82)</f>
        <v>3181.82</v>
      </c>
      <c r="Q482" s="6" t="str">
        <f ca="1">IFERROR(__xludf.DUMMYFUNCTION("""COMPUTED_VALUE"""),"Alberto Moreno")</f>
        <v>Alberto Moreno</v>
      </c>
      <c r="R482" s="6" t="str">
        <f ca="1">IFERROR(__xludf.DUMMYFUNCTION("""COMPUTED_VALUE"""),"Mónica Granda Rosales")</f>
        <v>Mónica Granda Rosales</v>
      </c>
      <c r="S482" s="20" t="str">
        <f ca="1">IFERROR(__xludf.DUMMYFUNCTION("""COMPUTED_VALUE"""),"03 ORL")</f>
        <v>03 ORL</v>
      </c>
      <c r="T482" s="6" t="str">
        <f ca="1">IFERROR(__xludf.DUMMYFUNCTION("""COMPUTED_VALUE"""),"06 ORL")</f>
        <v>06 ORL</v>
      </c>
      <c r="U482" s="21"/>
      <c r="W482" s="21"/>
      <c r="X482" s="21"/>
    </row>
    <row r="483" spans="2:24" ht="16">
      <c r="B483" s="14" t="str">
        <f t="shared" ca="1" si="1"/>
        <v>MBM</v>
      </c>
      <c r="C483" s="23" t="str">
        <f ca="1">IFERROR(__xludf.DUMMYFUNCTION("""COMPUTED_VALUE"""),"MBM104")</f>
        <v>MBM104</v>
      </c>
      <c r="D483" s="6" t="str">
        <f ca="1">IFERROR(__xludf.DUMMYFUNCTION("""COMPUTED_VALUE"""),"PROPIOS")</f>
        <v>PROPIOS</v>
      </c>
      <c r="E483" s="6">
        <f ca="1">IFERROR(__xludf.DUMMYFUNCTION("""COMPUTED_VALUE"""),2026)</f>
        <v>2026</v>
      </c>
      <c r="F483" s="15">
        <f ca="1">IFERROR(__xludf.DUMMYFUNCTION("""COMPUTED_VALUE"""),3)</f>
        <v>3</v>
      </c>
      <c r="G483" s="6" t="str">
        <f ca="1">IFERROR(__xludf.DUMMYFUNCTION("""COMPUTED_VALUE"""),"Fuenlabrada")</f>
        <v>Fuenlabrada</v>
      </c>
      <c r="H483" s="6" t="str">
        <f ca="1">IFERROR(__xludf.DUMMYFUNCTION("""COMPUTED_VALUE"""),"C202632103422747350")</f>
        <v>C202632103422747350</v>
      </c>
      <c r="I483" s="6" t="str">
        <f ca="1">IFERROR(__xludf.DUMMYFUNCTION("""COMPUTED_VALUE"""),"DEMETRIO GOMEZ DE LOS RIOS")</f>
        <v>DEMETRIO GOMEZ DE LOS RIOS</v>
      </c>
      <c r="J483" s="16">
        <f ca="1">IFERROR(__xludf.DUMMYFUNCTION("""COMPUTED_VALUE"""),46083)</f>
        <v>46083</v>
      </c>
      <c r="K483" s="6" t="str">
        <f ca="1">IFERROR(__xludf.DUMMYFUNCTION("""COMPUTED_VALUE"""),"Factura audífonos")</f>
        <v>Factura audífonos</v>
      </c>
      <c r="L483" s="16">
        <f ca="1">IFERROR(__xludf.DUMMYFUNCTION("""COMPUTED_VALUE"""),46112)</f>
        <v>46112</v>
      </c>
      <c r="M483" s="23" t="str">
        <f ca="1">IFERROR(__xludf.DUMMYFUNCTION("""COMPUTED_VALUE"""),"NO")</f>
        <v>NO</v>
      </c>
      <c r="N483" s="15">
        <f ca="1">IFERROR(__xludf.DUMMYFUNCTION("""COMPUTED_VALUE"""),2)</f>
        <v>2</v>
      </c>
      <c r="O483" s="23" t="str">
        <f ca="1">IFERROR(__xludf.DUMMYFUNCTION("""COMPUTED_VALUE"""),"QUIET")</f>
        <v>QUIET</v>
      </c>
      <c r="P483" s="21">
        <f ca="1">IFERROR(__xludf.DUMMYFUNCTION("""COMPUTED_VALUE"""),2718.18)</f>
        <v>2718.18</v>
      </c>
      <c r="Q483" s="6" t="str">
        <f ca="1">IFERROR(__xludf.DUMMYFUNCTION("""COMPUTED_VALUE"""),"Maika Blázquez")</f>
        <v>Maika Blázquez</v>
      </c>
      <c r="R483" s="6" t="str">
        <f ca="1">IFERROR(__xludf.DUMMYFUNCTION("""COMPUTED_VALUE"""),"Concepcion Rodríguez Izquierdo")</f>
        <v>Concepcion Rodríguez Izquierdo</v>
      </c>
      <c r="S483" s="20" t="str">
        <f ca="1">IFERROR(__xludf.DUMMYFUNCTION("""COMPUTED_VALUE"""),"03 ORL")</f>
        <v>03 ORL</v>
      </c>
      <c r="T483" s="6" t="str">
        <f ca="1">IFERROR(__xludf.DUMMYFUNCTION("""COMPUTED_VALUE"""),"06 ORL")</f>
        <v>06 ORL</v>
      </c>
      <c r="U483" s="21"/>
      <c r="W483" s="21"/>
      <c r="X483" s="21"/>
    </row>
    <row r="484" spans="2:24" ht="16">
      <c r="B484" s="14" t="str">
        <f t="shared" ca="1" si="1"/>
        <v>PSC</v>
      </c>
      <c r="C484" s="23" t="str">
        <f ca="1">IFERROR(__xludf.DUMMYFUNCTION("""COMPUTED_VALUE"""),"PSC55")</f>
        <v>PSC55</v>
      </c>
      <c r="D484" s="6" t="str">
        <f ca="1">IFERROR(__xludf.DUMMYFUNCTION("""COMPUTED_VALUE"""),"ASOCIADOS")</f>
        <v>ASOCIADOS</v>
      </c>
      <c r="E484" s="6">
        <f ca="1">IFERROR(__xludf.DUMMYFUNCTION("""COMPUTED_VALUE"""),2026)</f>
        <v>2026</v>
      </c>
      <c r="F484" s="15">
        <f ca="1">IFERROR(__xludf.DUMMYFUNCTION("""COMPUTED_VALUE"""),3)</f>
        <v>3</v>
      </c>
      <c r="G484" s="6" t="str">
        <f ca="1">IFERROR(__xludf.DUMMYFUNCTION("""COMPUTED_VALUE"""),"Ponferrada")</f>
        <v>Ponferrada</v>
      </c>
      <c r="H484" s="6" t="str">
        <f ca="1">IFERROR(__xludf.DUMMYFUNCTION("""COMPUTED_VALUE"""),"C202611915584584535")</f>
        <v>C202611915584584535</v>
      </c>
      <c r="I484" s="6" t="str">
        <f ca="1">IFERROR(__xludf.DUMMYFUNCTION("""COMPUTED_VALUE"""),"HARRISON AVENDAÑO CORREAL")</f>
        <v>HARRISON AVENDAÑO CORREAL</v>
      </c>
      <c r="J484" s="16">
        <f ca="1">IFERROR(__xludf.DUMMYFUNCTION("""COMPUTED_VALUE"""),46041)</f>
        <v>46041</v>
      </c>
      <c r="K484" s="6" t="str">
        <f ca="1">IFERROR(__xludf.DUMMYFUNCTION("""COMPUTED_VALUE"""),"Factura audífonos")</f>
        <v>Factura audífonos</v>
      </c>
      <c r="L484" s="16">
        <f ca="1">IFERROR(__xludf.DUMMYFUNCTION("""COMPUTED_VALUE"""),46112)</f>
        <v>46112</v>
      </c>
      <c r="M484" s="23" t="str">
        <f ca="1">IFERROR(__xludf.DUMMYFUNCTION("""COMPUTED_VALUE"""),"NO")</f>
        <v>NO</v>
      </c>
      <c r="N484" s="15">
        <f ca="1">IFERROR(__xludf.DUMMYFUNCTION("""COMPUTED_VALUE"""),1)</f>
        <v>1</v>
      </c>
      <c r="O484" s="23" t="str">
        <f ca="1">IFERROR(__xludf.DUMMYFUNCTION("""COMPUTED_VALUE"""),"CONFORT")</f>
        <v>CONFORT</v>
      </c>
      <c r="P484" s="21">
        <f ca="1">IFERROR(__xludf.DUMMYFUNCTION("""COMPUTED_VALUE"""),1909.09)</f>
        <v>1909.09</v>
      </c>
      <c r="Q484" s="6" t="str">
        <f ca="1">IFERROR(__xludf.DUMMYFUNCTION("""COMPUTED_VALUE"""),"Alberto Moreno")</f>
        <v>Alberto Moreno</v>
      </c>
      <c r="R484" s="6" t="str">
        <f ca="1">IFERROR(__xludf.DUMMYFUNCTION("""COMPUTED_VALUE"""),"Xenia Mota Rojas")</f>
        <v>Xenia Mota Rojas</v>
      </c>
      <c r="S484" s="20" t="str">
        <f ca="1">IFERROR(__xludf.DUMMYFUNCTION("""COMPUTED_VALUE"""),"03 ORL")</f>
        <v>03 ORL</v>
      </c>
      <c r="T484" s="6" t="str">
        <f ca="1">IFERROR(__xludf.DUMMYFUNCTION("""COMPUTED_VALUE"""),"06 ORL")</f>
        <v>06 ORL</v>
      </c>
      <c r="U484" s="21"/>
      <c r="W484" s="21"/>
      <c r="X484" s="21"/>
    </row>
    <row r="485" spans="2:24" ht="16">
      <c r="B485" s="14" t="str">
        <f t="shared" ca="1" si="1"/>
        <v>ISL</v>
      </c>
      <c r="C485" s="23" t="str">
        <f ca="1">IFERROR(__xludf.DUMMYFUNCTION("""COMPUTED_VALUE"""),"ISL75")</f>
        <v>ISL75</v>
      </c>
      <c r="D485" s="6" t="str">
        <f ca="1">IFERROR(__xludf.DUMMYFUNCTION("""COMPUTED_VALUE"""),"PROPIOS")</f>
        <v>PROPIOS</v>
      </c>
      <c r="E485" s="6">
        <f ca="1">IFERROR(__xludf.DUMMYFUNCTION("""COMPUTED_VALUE"""),2026)</f>
        <v>2026</v>
      </c>
      <c r="F485" s="15">
        <f ca="1">IFERROR(__xludf.DUMMYFUNCTION("""COMPUTED_VALUE"""),3)</f>
        <v>3</v>
      </c>
      <c r="G485" s="6" t="str">
        <f ca="1">IFERROR(__xludf.DUMMYFUNCTION("""COMPUTED_VALUE"""),"Albacete")</f>
        <v>Albacete</v>
      </c>
      <c r="H485" s="6" t="str">
        <f ca="1">IFERROR(__xludf.DUMMYFUNCTION("""COMPUTED_VALUE"""),"C202510149324201427")</f>
        <v>C202510149324201427</v>
      </c>
      <c r="I485" s="6" t="str">
        <f ca="1">IFERROR(__xludf.DUMMYFUNCTION("""COMPUTED_VALUE"""),"ANGEL CUEVAS NUÑEZ")</f>
        <v>ANGEL CUEVAS NUÑEZ</v>
      </c>
      <c r="J485" s="16">
        <f ca="1">IFERROR(__xludf.DUMMYFUNCTION("""COMPUTED_VALUE"""),45944)</f>
        <v>45944</v>
      </c>
      <c r="K485" s="6" t="str">
        <f ca="1">IFERROR(__xludf.DUMMYFUNCTION("""COMPUTED_VALUE"""),"Presupuesto")</f>
        <v>Presupuesto</v>
      </c>
      <c r="L485" s="16">
        <f ca="1">IFERROR(__xludf.DUMMYFUNCTION("""COMPUTED_VALUE"""),46087)</f>
        <v>46087</v>
      </c>
      <c r="M485" s="23" t="str">
        <f ca="1">IFERROR(__xludf.DUMMYFUNCTION("""COMPUTED_VALUE"""),"NO")</f>
        <v>NO</v>
      </c>
      <c r="N485" s="15">
        <f ca="1">IFERROR(__xludf.DUMMYFUNCTION("""COMPUTED_VALUE"""),1)</f>
        <v>1</v>
      </c>
      <c r="O485" s="23" t="str">
        <f ca="1">IFERROR(__xludf.DUMMYFUNCTION("""COMPUTED_VALUE"""),"CONFORT")</f>
        <v>CONFORT</v>
      </c>
      <c r="P485" s="21">
        <f ca="1">IFERROR(__xludf.DUMMYFUNCTION("""COMPUTED_VALUE"""),2180.91)</f>
        <v>2180.91</v>
      </c>
      <c r="Q485" s="6" t="str">
        <f ca="1">IFERROR(__xludf.DUMMYFUNCTION("""COMPUTED_VALUE"""),"Iván Sánchez")</f>
        <v>Iván Sánchez</v>
      </c>
      <c r="R485" s="6" t="str">
        <f ca="1">IFERROR(__xludf.DUMMYFUNCTION("""COMPUTED_VALUE"""),"Pedro Masegosa Zapata")</f>
        <v>Pedro Masegosa Zapata</v>
      </c>
      <c r="S485" s="20" t="str">
        <f ca="1">IFERROR(__xludf.DUMMYFUNCTION("""COMPUTED_VALUE"""),"03 ORL")</f>
        <v>03 ORL</v>
      </c>
      <c r="T485" s="6" t="str">
        <f ca="1">IFERROR(__xludf.DUMMYFUNCTION("""COMPUTED_VALUE"""),"06 ORL")</f>
        <v>06 ORL</v>
      </c>
      <c r="U485" s="21"/>
      <c r="W485" s="21"/>
      <c r="X485" s="21"/>
    </row>
    <row r="486" spans="2:24" ht="16">
      <c r="B486" s="14" t="str">
        <f t="shared" ca="1" si="1"/>
        <v>ISL</v>
      </c>
      <c r="C486" s="23" t="str">
        <f ca="1">IFERROR(__xludf.DUMMYFUNCTION("""COMPUTED_VALUE"""),"ISL75")</f>
        <v>ISL75</v>
      </c>
      <c r="D486" s="6" t="str">
        <f ca="1">IFERROR(__xludf.DUMMYFUNCTION("""COMPUTED_VALUE"""),"PROPIOS")</f>
        <v>PROPIOS</v>
      </c>
      <c r="E486" s="6">
        <f ca="1">IFERROR(__xludf.DUMMYFUNCTION("""COMPUTED_VALUE"""),2026)</f>
        <v>2026</v>
      </c>
      <c r="F486" s="15">
        <f ca="1">IFERROR(__xludf.DUMMYFUNCTION("""COMPUTED_VALUE"""),1)</f>
        <v>1</v>
      </c>
      <c r="G486" s="6" t="str">
        <f ca="1">IFERROR(__xludf.DUMMYFUNCTION("""COMPUTED_VALUE"""),"Albacete")</f>
        <v>Albacete</v>
      </c>
      <c r="H486" s="6" t="str">
        <f ca="1">IFERROR(__xludf.DUMMYFUNCTION("""COMPUTED_VALUE"""),"ALB-318")</f>
        <v>ALB-318</v>
      </c>
      <c r="I486" s="6" t="str">
        <f ca="1">IFERROR(__xludf.DUMMYFUNCTION("""COMPUTED_VALUE"""),"EVANGELINA DEFEZ RODRIGUEZ")</f>
        <v>EVANGELINA DEFEZ RODRIGUEZ</v>
      </c>
      <c r="J486" s="16">
        <f ca="1">IFERROR(__xludf.DUMMYFUNCTION("""COMPUTED_VALUE"""),44543)</f>
        <v>44543</v>
      </c>
      <c r="K486" s="6" t="str">
        <f ca="1">IFERROR(__xludf.DUMMYFUNCTION("""COMPUTED_VALUE"""),"Devuelve")</f>
        <v>Devuelve</v>
      </c>
      <c r="L486" s="16">
        <f ca="1">IFERROR(__xludf.DUMMYFUNCTION("""COMPUTED_VALUE"""),46041)</f>
        <v>46041</v>
      </c>
      <c r="M486" s="23" t="str">
        <f ca="1">IFERROR(__xludf.DUMMYFUNCTION("""COMPUTED_VALUE"""),"NO")</f>
        <v>NO</v>
      </c>
      <c r="N486" s="15">
        <f ca="1">IFERROR(__xludf.DUMMYFUNCTION("""COMPUTED_VALUE"""),1)</f>
        <v>1</v>
      </c>
      <c r="O486" s="23" t="str">
        <f ca="1">IFERROR(__xludf.DUMMYFUNCTION("""COMPUTED_VALUE"""),"TRIAL")</f>
        <v>TRIAL</v>
      </c>
      <c r="P486" s="21">
        <f ca="1">IFERROR(__xludf.DUMMYFUNCTION("""COMPUTED_VALUE"""),2481.82)</f>
        <v>2481.8200000000002</v>
      </c>
      <c r="Q486" s="6" t="str">
        <f ca="1">IFERROR(__xludf.DUMMYFUNCTION("""COMPUTED_VALUE"""),"Iván Sánchez")</f>
        <v>Iván Sánchez</v>
      </c>
      <c r="R486" s="6" t="str">
        <f ca="1">IFERROR(__xludf.DUMMYFUNCTION("""COMPUTED_VALUE"""),"Pedro Masegosa Zapata")</f>
        <v>Pedro Masegosa Zapata</v>
      </c>
      <c r="S486" s="20" t="str">
        <f ca="1">IFERROR(__xludf.DUMMYFUNCTION("""COMPUTED_VALUE"""),"03 ORL")</f>
        <v>03 ORL</v>
      </c>
      <c r="T486" s="6" t="str">
        <f ca="1">IFERROR(__xludf.DUMMYFUNCTION("""COMPUTED_VALUE"""),"06 ORL")</f>
        <v>06 ORL</v>
      </c>
      <c r="U486" s="21"/>
      <c r="W486" s="21"/>
      <c r="X486" s="21"/>
    </row>
    <row r="487" spans="2:24" ht="16">
      <c r="B487" s="14" t="str">
        <f t="shared" ca="1" si="1"/>
        <v>ISL</v>
      </c>
      <c r="C487" s="23" t="str">
        <f ca="1">IFERROR(__xludf.DUMMYFUNCTION("""COMPUTED_VALUE"""),"ISL41")</f>
        <v>ISL41</v>
      </c>
      <c r="D487" s="6" t="str">
        <f ca="1">IFERROR(__xludf.DUMMYFUNCTION("""COMPUTED_VALUE"""),"PROPIOS")</f>
        <v>PROPIOS</v>
      </c>
      <c r="E487" s="6">
        <f ca="1">IFERROR(__xludf.DUMMYFUNCTION("""COMPUTED_VALUE"""),2026)</f>
        <v>2026</v>
      </c>
      <c r="F487" s="15">
        <f ca="1">IFERROR(__xludf.DUMMYFUNCTION("""COMPUTED_VALUE"""),2)</f>
        <v>2</v>
      </c>
      <c r="G487" s="6" t="str">
        <f ca="1">IFERROR(__xludf.DUMMYFUNCTION("""COMPUTED_VALUE"""),"Albacete")</f>
        <v>Albacete</v>
      </c>
      <c r="H487" s="6" t="str">
        <f ca="1">IFERROR(__xludf.DUMMYFUNCTION("""COMPUTED_VALUE"""),"C20257218832465")</f>
        <v>C20257218832465</v>
      </c>
      <c r="I487" s="6" t="str">
        <f ca="1">IFERROR(__xludf.DUMMYFUNCTION("""COMPUTED_VALUE"""),"ISABEL ALMENDROS ORTEGA")</f>
        <v>ISABEL ALMENDROS ORTEGA</v>
      </c>
      <c r="J487" s="16">
        <f ca="1">IFERROR(__xludf.DUMMYFUNCTION("""COMPUTED_VALUE"""),45840)</f>
        <v>45840</v>
      </c>
      <c r="K487" s="6" t="str">
        <f ca="1">IFERROR(__xludf.DUMMYFUNCTION("""COMPUTED_VALUE"""),"Devuelve")</f>
        <v>Devuelve</v>
      </c>
      <c r="L487" s="16">
        <f ca="1">IFERROR(__xludf.DUMMYFUNCTION("""COMPUTED_VALUE"""),46058)</f>
        <v>46058</v>
      </c>
      <c r="M487" s="23" t="str">
        <f ca="1">IFERROR(__xludf.DUMMYFUNCTION("""COMPUTED_VALUE"""),"NO")</f>
        <v>NO</v>
      </c>
      <c r="N487" s="15">
        <f ca="1">IFERROR(__xludf.DUMMYFUNCTION("""COMPUTED_VALUE"""),2)</f>
        <v>2</v>
      </c>
      <c r="O487" s="23" t="str">
        <f ca="1">IFERROR(__xludf.DUMMYFUNCTION("""COMPUTED_VALUE"""),"TRIAL")</f>
        <v>TRIAL</v>
      </c>
      <c r="P487" s="21">
        <f ca="1">IFERROR(__xludf.DUMMYFUNCTION("""COMPUTED_VALUE"""),3631.82)</f>
        <v>3631.82</v>
      </c>
      <c r="Q487" s="6" t="str">
        <f ca="1">IFERROR(__xludf.DUMMYFUNCTION("""COMPUTED_VALUE"""),"Iván Sánchez")</f>
        <v>Iván Sánchez</v>
      </c>
      <c r="R487" s="6" t="str">
        <f ca="1">IFERROR(__xludf.DUMMYFUNCTION("""COMPUTED_VALUE"""),"Javier García-Dueñas González")</f>
        <v>Javier García-Dueñas González</v>
      </c>
      <c r="S487" s="20" t="str">
        <f ca="1">IFERROR(__xludf.DUMMYFUNCTION("""COMPUTED_VALUE"""),"03 ORL")</f>
        <v>03 ORL</v>
      </c>
      <c r="T487" s="6" t="str">
        <f ca="1">IFERROR(__xludf.DUMMYFUNCTION("""COMPUTED_VALUE"""),"06 ORL")</f>
        <v>06 ORL</v>
      </c>
      <c r="U487" s="21"/>
      <c r="W487" s="21"/>
      <c r="X487" s="21"/>
    </row>
    <row r="488" spans="2:24" ht="16">
      <c r="B488" s="14" t="str">
        <f t="shared" ca="1" si="1"/>
        <v>ISL</v>
      </c>
      <c r="C488" s="23" t="str">
        <f ca="1">IFERROR(__xludf.DUMMYFUNCTION("""COMPUTED_VALUE"""),"ISL41")</f>
        <v>ISL41</v>
      </c>
      <c r="D488" s="6" t="str">
        <f ca="1">IFERROR(__xludf.DUMMYFUNCTION("""COMPUTED_VALUE"""),"PROPIOS")</f>
        <v>PROPIOS</v>
      </c>
      <c r="E488" s="6">
        <f ca="1">IFERROR(__xludf.DUMMYFUNCTION("""COMPUTED_VALUE"""),2026)</f>
        <v>2026</v>
      </c>
      <c r="F488" s="15">
        <f ca="1">IFERROR(__xludf.DUMMYFUNCTION("""COMPUTED_VALUE"""),3)</f>
        <v>3</v>
      </c>
      <c r="G488" s="6" t="str">
        <f ca="1">IFERROR(__xludf.DUMMYFUNCTION("""COMPUTED_VALUE"""),"Albacete")</f>
        <v>Albacete</v>
      </c>
      <c r="H488" s="6" t="str">
        <f ca="1">IFERROR(__xludf.DUMMYFUNCTION("""COMPUTED_VALUE"""),"C202631717718647873")</f>
        <v>C202631717718647873</v>
      </c>
      <c r="I488" s="6" t="str">
        <f ca="1">IFERROR(__xludf.DUMMYFUNCTION("""COMPUTED_VALUE"""),"LUIS JIMÉNEZ FERNÁNDEZ")</f>
        <v>LUIS JIMÉNEZ FERNÁNDEZ</v>
      </c>
      <c r="J488" s="16">
        <f ca="1">IFERROR(__xludf.DUMMYFUNCTION("""COMPUTED_VALUE"""),46098)</f>
        <v>46098</v>
      </c>
      <c r="K488" s="6" t="str">
        <f ca="1">IFERROR(__xludf.DUMMYFUNCTION("""COMPUTED_VALUE"""),"Presupuesto")</f>
        <v>Presupuesto</v>
      </c>
      <c r="L488" s="16">
        <f ca="1">IFERROR(__xludf.DUMMYFUNCTION("""COMPUTED_VALUE"""),46111)</f>
        <v>46111</v>
      </c>
      <c r="M488" s="23" t="str">
        <f ca="1">IFERROR(__xludf.DUMMYFUNCTION("""COMPUTED_VALUE"""),"NO")</f>
        <v>NO</v>
      </c>
      <c r="N488" s="15">
        <f ca="1">IFERROR(__xludf.DUMMYFUNCTION("""COMPUTED_VALUE"""),2)</f>
        <v>2</v>
      </c>
      <c r="O488" s="23" t="str">
        <f ca="1">IFERROR(__xludf.DUMMYFUNCTION("""COMPUTED_VALUE"""),"QUIET")</f>
        <v>QUIET</v>
      </c>
      <c r="P488" s="21">
        <f ca="1">IFERROR(__xludf.DUMMYFUNCTION("""COMPUTED_VALUE"""),2918.18)</f>
        <v>2918.18</v>
      </c>
      <c r="Q488" s="6" t="str">
        <f ca="1">IFERROR(__xludf.DUMMYFUNCTION("""COMPUTED_VALUE"""),"Iván Sánchez")</f>
        <v>Iván Sánchez</v>
      </c>
      <c r="R488" s="6" t="str">
        <f ca="1">IFERROR(__xludf.DUMMYFUNCTION("""COMPUTED_VALUE"""),"Javier García-Dueñas González")</f>
        <v>Javier García-Dueñas González</v>
      </c>
      <c r="S488" s="20" t="str">
        <f ca="1">IFERROR(__xludf.DUMMYFUNCTION("""COMPUTED_VALUE"""),"03 ORL")</f>
        <v>03 ORL</v>
      </c>
      <c r="T488" s="6" t="str">
        <f ca="1">IFERROR(__xludf.DUMMYFUNCTION("""COMPUTED_VALUE"""),"06 ORL")</f>
        <v>06 ORL</v>
      </c>
      <c r="U488" s="21"/>
      <c r="W488" s="21"/>
      <c r="X488" s="21"/>
    </row>
    <row r="489" spans="2:24" ht="16">
      <c r="B489" s="14" t="str">
        <f t="shared" ca="1" si="1"/>
        <v>ISL</v>
      </c>
      <c r="C489" s="23" t="str">
        <f ca="1">IFERROR(__xludf.DUMMYFUNCTION("""COMPUTED_VALUE"""),"ISL68")</f>
        <v>ISL68</v>
      </c>
      <c r="D489" s="6" t="str">
        <f ca="1">IFERROR(__xludf.DUMMYFUNCTION("""COMPUTED_VALUE"""),"PROPIOS")</f>
        <v>PROPIOS</v>
      </c>
      <c r="E489" s="6">
        <f ca="1">IFERROR(__xludf.DUMMYFUNCTION("""COMPUTED_VALUE"""),2026)</f>
        <v>2026</v>
      </c>
      <c r="F489" s="15">
        <f ca="1">IFERROR(__xludf.DUMMYFUNCTION("""COMPUTED_VALUE"""),2)</f>
        <v>2</v>
      </c>
      <c r="G489" s="6" t="str">
        <f ca="1">IFERROR(__xludf.DUMMYFUNCTION("""COMPUTED_VALUE"""),"Albacete")</f>
        <v>Albacete</v>
      </c>
      <c r="H489" s="6" t="str">
        <f ca="1">IFERROR(__xludf.DUMMYFUNCTION("""COMPUTED_VALUE"""),"C202621112542679955")</f>
        <v>C202621112542679955</v>
      </c>
      <c r="I489" s="6" t="str">
        <f ca="1">IFERROR(__xludf.DUMMYFUNCTION("""COMPUTED_VALUE"""),"MARGARITA LOPEZ NAVARRO")</f>
        <v>MARGARITA LOPEZ NAVARRO</v>
      </c>
      <c r="J489" s="16">
        <f ca="1">IFERROR(__xludf.DUMMYFUNCTION("""COMPUTED_VALUE"""),46064)</f>
        <v>46064</v>
      </c>
      <c r="K489" s="6" t="str">
        <f ca="1">IFERROR(__xludf.DUMMYFUNCTION("""COMPUTED_VALUE"""),"Prueba")</f>
        <v>Prueba</v>
      </c>
      <c r="L489" s="16">
        <f ca="1">IFERROR(__xludf.DUMMYFUNCTION("""COMPUTED_VALUE"""),46076)</f>
        <v>46076</v>
      </c>
      <c r="M489" s="23" t="str">
        <f ca="1">IFERROR(__xludf.DUMMYFUNCTION("""COMPUTED_VALUE"""),"NO")</f>
        <v>NO</v>
      </c>
      <c r="N489" s="15">
        <f ca="1">IFERROR(__xludf.DUMMYFUNCTION("""COMPUTED_VALUE"""),2)</f>
        <v>2</v>
      </c>
      <c r="O489" s="23" t="str">
        <f ca="1">IFERROR(__xludf.DUMMYFUNCTION("""COMPUTED_VALUE"""),"QUIET")</f>
        <v>QUIET</v>
      </c>
      <c r="P489" s="21">
        <f ca="1">IFERROR(__xludf.DUMMYFUNCTION("""COMPUTED_VALUE"""),2918.18)</f>
        <v>2918.18</v>
      </c>
      <c r="Q489" s="6" t="str">
        <f ca="1">IFERROR(__xludf.DUMMYFUNCTION("""COMPUTED_VALUE"""),"Iván Sánchez")</f>
        <v>Iván Sánchez</v>
      </c>
      <c r="R489" s="6" t="str">
        <f ca="1">IFERROR(__xludf.DUMMYFUNCTION("""COMPUTED_VALUE"""),"Mario Higuera Rapa")</f>
        <v>Mario Higuera Rapa</v>
      </c>
      <c r="S489" s="20" t="str">
        <f ca="1">IFERROR(__xludf.DUMMYFUNCTION("""COMPUTED_VALUE"""),"03 ORL")</f>
        <v>03 ORL</v>
      </c>
      <c r="T489" s="6" t="str">
        <f ca="1">IFERROR(__xludf.DUMMYFUNCTION("""COMPUTED_VALUE"""),"06 ORL")</f>
        <v>06 ORL</v>
      </c>
      <c r="U489" s="21"/>
      <c r="W489" s="21"/>
      <c r="X489" s="21"/>
    </row>
    <row r="490" spans="2:24" ht="16">
      <c r="B490" s="14" t="str">
        <f t="shared" ca="1" si="1"/>
        <v>MBM</v>
      </c>
      <c r="C490" s="23" t="str">
        <f ca="1">IFERROR(__xludf.DUMMYFUNCTION("""COMPUTED_VALUE"""),"MBM03")</f>
        <v>MBM03</v>
      </c>
      <c r="D490" s="6" t="str">
        <f ca="1">IFERROR(__xludf.DUMMYFUNCTION("""COMPUTED_VALUE"""),"PROPIOS")</f>
        <v>PROPIOS</v>
      </c>
      <c r="E490" s="6">
        <f ca="1">IFERROR(__xludf.DUMMYFUNCTION("""COMPUTED_VALUE"""),2026)</f>
        <v>2026</v>
      </c>
      <c r="F490" s="15">
        <f ca="1">IFERROR(__xludf.DUMMYFUNCTION("""COMPUTED_VALUE"""),3)</f>
        <v>3</v>
      </c>
      <c r="G490" s="6" t="str">
        <f ca="1">IFERROR(__xludf.DUMMYFUNCTION("""COMPUTED_VALUE"""),"Albacete")</f>
        <v>Albacete</v>
      </c>
      <c r="H490" s="6" t="str">
        <f ca="1">IFERROR(__xludf.DUMMYFUNCTION("""COMPUTED_VALUE"""),"C202631918057217280")</f>
        <v>C202631918057217280</v>
      </c>
      <c r="I490" s="6" t="str">
        <f ca="1">IFERROR(__xludf.DUMMYFUNCTION("""COMPUTED_VALUE"""),"MARÍA ÁNGELES LÓPEZ RODRÍGUEZ")</f>
        <v>MARÍA ÁNGELES LÓPEZ RODRÍGUEZ</v>
      </c>
      <c r="J490" s="16">
        <f ca="1">IFERROR(__xludf.DUMMYFUNCTION("""COMPUTED_VALUE"""),46100)</f>
        <v>46100</v>
      </c>
      <c r="K490" s="6" t="str">
        <f ca="1">IFERROR(__xludf.DUMMYFUNCTION("""COMPUTED_VALUE"""),"Pedido")</f>
        <v>Pedido</v>
      </c>
      <c r="L490" s="16">
        <f ca="1">IFERROR(__xludf.DUMMYFUNCTION("""COMPUTED_VALUE"""),46111)</f>
        <v>46111</v>
      </c>
      <c r="M490" s="23" t="str">
        <f ca="1">IFERROR(__xludf.DUMMYFUNCTION("""COMPUTED_VALUE"""),"NO")</f>
        <v>NO</v>
      </c>
      <c r="N490" s="15">
        <f ca="1">IFERROR(__xludf.DUMMYFUNCTION("""COMPUTED_VALUE"""),1)</f>
        <v>1</v>
      </c>
      <c r="O490" s="23" t="str">
        <f ca="1">IFERROR(__xludf.DUMMYFUNCTION("""COMPUTED_VALUE"""),"CONFORT")</f>
        <v>CONFORT</v>
      </c>
      <c r="P490" s="21">
        <f ca="1">IFERROR(__xludf.DUMMYFUNCTION("""COMPUTED_VALUE"""),2326.34)</f>
        <v>2326.34</v>
      </c>
      <c r="Q490" s="6" t="str">
        <f ca="1">IFERROR(__xludf.DUMMYFUNCTION("""COMPUTED_VALUE"""),"Maika Blázquez")</f>
        <v>Maika Blázquez</v>
      </c>
      <c r="R490" s="6" t="str">
        <f ca="1">IFERROR(__xludf.DUMMYFUNCTION("""COMPUTED_VALUE"""),"Alejandro Harguindey Antoli-Candela")</f>
        <v>Alejandro Harguindey Antoli-Candela</v>
      </c>
      <c r="S490" s="20" t="str">
        <f ca="1">IFERROR(__xludf.DUMMYFUNCTION("""COMPUTED_VALUE"""),"03 ORL")</f>
        <v>03 ORL</v>
      </c>
      <c r="T490" s="6" t="str">
        <f ca="1">IFERROR(__xludf.DUMMYFUNCTION("""COMPUTED_VALUE"""),"06 ORL")</f>
        <v>06 ORL</v>
      </c>
      <c r="U490" s="21"/>
      <c r="W490" s="21"/>
      <c r="X490" s="21"/>
    </row>
    <row r="491" spans="2:24" ht="16">
      <c r="B491" s="14" t="str">
        <f t="shared" ca="1" si="1"/>
        <v>ISL</v>
      </c>
      <c r="C491" s="23" t="str">
        <f ca="1">IFERROR(__xludf.DUMMYFUNCTION("""COMPUTED_VALUE"""),"ISL75")</f>
        <v>ISL75</v>
      </c>
      <c r="D491" s="6" t="str">
        <f ca="1">IFERROR(__xludf.DUMMYFUNCTION("""COMPUTED_VALUE"""),"PROPIOS")</f>
        <v>PROPIOS</v>
      </c>
      <c r="E491" s="6">
        <f ca="1">IFERROR(__xludf.DUMMYFUNCTION("""COMPUTED_VALUE"""),2026)</f>
        <v>2026</v>
      </c>
      <c r="F491" s="15">
        <f ca="1">IFERROR(__xludf.DUMMYFUNCTION("""COMPUTED_VALUE"""),1)</f>
        <v>1</v>
      </c>
      <c r="G491" s="6" t="str">
        <f ca="1">IFERROR(__xludf.DUMMYFUNCTION("""COMPUTED_VALUE"""),"Albacete")</f>
        <v>Albacete</v>
      </c>
      <c r="H491" s="6" t="str">
        <f ca="1">IFERROR(__xludf.DUMMYFUNCTION("""COMPUTED_VALUE"""),"C20261912105448")</f>
        <v>C20261912105448</v>
      </c>
      <c r="I491" s="6" t="str">
        <f ca="1">IFERROR(__xludf.DUMMYFUNCTION("""COMPUTED_VALUE"""),"MARIA DOLORES PADILLA SANCHEZ")</f>
        <v>MARIA DOLORES PADILLA SANCHEZ</v>
      </c>
      <c r="J491" s="16">
        <f ca="1">IFERROR(__xludf.DUMMYFUNCTION("""COMPUTED_VALUE"""),46031)</f>
        <v>46031</v>
      </c>
      <c r="K491" s="6" t="str">
        <f ca="1">IFERROR(__xludf.DUMMYFUNCTION("""COMPUTED_VALUE"""),"Presupuesto")</f>
        <v>Presupuesto</v>
      </c>
      <c r="L491" s="16">
        <f ca="1">IFERROR(__xludf.DUMMYFUNCTION("""COMPUTED_VALUE"""),46035)</f>
        <v>46035</v>
      </c>
      <c r="M491" s="17" t="str">
        <f ca="1">IFERROR(__xludf.DUMMYFUNCTION("""COMPUTED_VALUE"""),"NO")</f>
        <v>NO</v>
      </c>
      <c r="N491" s="15">
        <f ca="1">IFERROR(__xludf.DUMMYFUNCTION("""COMPUTED_VALUE"""),2)</f>
        <v>2</v>
      </c>
      <c r="O491" s="23" t="str">
        <f ca="1">IFERROR(__xludf.DUMMYFUNCTION("""COMPUTED_VALUE"""),"QUIET")</f>
        <v>QUIET</v>
      </c>
      <c r="P491" s="21">
        <f ca="1">IFERROR(__xludf.DUMMYFUNCTION("""COMPUTED_VALUE"""),2718.18)</f>
        <v>2718.18</v>
      </c>
      <c r="Q491" s="6" t="str">
        <f ca="1">IFERROR(__xludf.DUMMYFUNCTION("""COMPUTED_VALUE"""),"Iván Sánchez")</f>
        <v>Iván Sánchez</v>
      </c>
      <c r="R491" s="6" t="str">
        <f ca="1">IFERROR(__xludf.DUMMYFUNCTION("""COMPUTED_VALUE"""),"Pedro Masegosa Zapata")</f>
        <v>Pedro Masegosa Zapata</v>
      </c>
      <c r="S491" s="20" t="str">
        <f ca="1">IFERROR(__xludf.DUMMYFUNCTION("""COMPUTED_VALUE"""),"03 ORL")</f>
        <v>03 ORL</v>
      </c>
      <c r="T491" s="6" t="str">
        <f ca="1">IFERROR(__xludf.DUMMYFUNCTION("""COMPUTED_VALUE"""),"06 ORL")</f>
        <v>06 ORL</v>
      </c>
      <c r="U491" s="21"/>
      <c r="W491" s="21"/>
      <c r="X491" s="21"/>
    </row>
    <row r="492" spans="2:24" ht="16">
      <c r="B492" s="14" t="str">
        <f t="shared" ca="1" si="1"/>
        <v>ISL</v>
      </c>
      <c r="C492" s="23" t="str">
        <f ca="1">IFERROR(__xludf.DUMMYFUNCTION("""COMPUTED_VALUE"""),"ISL91")</f>
        <v>ISL91</v>
      </c>
      <c r="D492" s="6" t="str">
        <f ca="1">IFERROR(__xludf.DUMMYFUNCTION("""COMPUTED_VALUE"""),"PROPIOS")</f>
        <v>PROPIOS</v>
      </c>
      <c r="E492" s="6">
        <f ca="1">IFERROR(__xludf.DUMMYFUNCTION("""COMPUTED_VALUE"""),2026)</f>
        <v>2026</v>
      </c>
      <c r="F492" s="15">
        <f ca="1">IFERROR(__xludf.DUMMYFUNCTION("""COMPUTED_VALUE"""),3)</f>
        <v>3</v>
      </c>
      <c r="G492" s="6" t="str">
        <f ca="1">IFERROR(__xludf.DUMMYFUNCTION("""COMPUTED_VALUE"""),"Albacete")</f>
        <v>Albacete</v>
      </c>
      <c r="H492" s="6" t="str">
        <f ca="1">IFERROR(__xludf.DUMMYFUNCTION("""COMPUTED_VALUE"""),"C202631612052413545")</f>
        <v>C202631612052413545</v>
      </c>
      <c r="I492" s="6" t="str">
        <f ca="1">IFERROR(__xludf.DUMMYFUNCTION("""COMPUTED_VALUE"""),"MARIA ISABEL PASTOR TARRAGA")</f>
        <v>MARIA ISABEL PASTOR TARRAGA</v>
      </c>
      <c r="J492" s="16">
        <f ca="1">IFERROR(__xludf.DUMMYFUNCTION("""COMPUTED_VALUE"""),46097)</f>
        <v>46097</v>
      </c>
      <c r="K492" s="6" t="str">
        <f ca="1">IFERROR(__xludf.DUMMYFUNCTION("""COMPUTED_VALUE"""),"Presupuesto")</f>
        <v>Presupuesto</v>
      </c>
      <c r="L492" s="16">
        <f ca="1">IFERROR(__xludf.DUMMYFUNCTION("""COMPUTED_VALUE"""),46101)</f>
        <v>46101</v>
      </c>
      <c r="M492" s="23" t="str">
        <f ca="1">IFERROR(__xludf.DUMMYFUNCTION("""COMPUTED_VALUE"""),"NO")</f>
        <v>NO</v>
      </c>
      <c r="N492" s="15">
        <f ca="1">IFERROR(__xludf.DUMMYFUNCTION("""COMPUTED_VALUE"""),1)</f>
        <v>1</v>
      </c>
      <c r="O492" s="23" t="str">
        <f ca="1">IFERROR(__xludf.DUMMYFUNCTION("""COMPUTED_VALUE"""),"QUIET")</f>
        <v>QUIET</v>
      </c>
      <c r="P492" s="21">
        <f ca="1">IFERROR(__xludf.DUMMYFUNCTION("""COMPUTED_VALUE"""),1981.82)</f>
        <v>1981.82</v>
      </c>
      <c r="Q492" s="6" t="str">
        <f ca="1">IFERROR(__xludf.DUMMYFUNCTION("""COMPUTED_VALUE"""),"Iván Sánchez")</f>
        <v>Iván Sánchez</v>
      </c>
      <c r="R492" s="6" t="str">
        <f ca="1">IFERROR(__xludf.DUMMYFUNCTION("""COMPUTED_VALUE"""),"Alejandra Jara Maquilón")</f>
        <v>Alejandra Jara Maquilón</v>
      </c>
      <c r="S492" s="20" t="str">
        <f ca="1">IFERROR(__xludf.DUMMYFUNCTION("""COMPUTED_VALUE"""),"03 ORL")</f>
        <v>03 ORL</v>
      </c>
      <c r="T492" s="6" t="str">
        <f ca="1">IFERROR(__xludf.DUMMYFUNCTION("""COMPUTED_VALUE"""),"06 ORL")</f>
        <v>06 ORL</v>
      </c>
      <c r="U492" s="21"/>
      <c r="W492" s="21"/>
      <c r="X492" s="21"/>
    </row>
    <row r="493" spans="2:24" ht="16">
      <c r="B493" s="14" t="str">
        <f t="shared" si="1"/>
        <v/>
      </c>
      <c r="C493" s="23"/>
      <c r="D493" s="6" t="str">
        <f ca="1">IFERROR(__xludf.DUMMYFUNCTION("""COMPUTED_VALUE"""),"PROPIOS")</f>
        <v>PROPIOS</v>
      </c>
      <c r="E493" s="6">
        <f ca="1">IFERROR(__xludf.DUMMYFUNCTION("""COMPUTED_VALUE"""),2026)</f>
        <v>2026</v>
      </c>
      <c r="F493" s="15">
        <f ca="1">IFERROR(__xludf.DUMMYFUNCTION("""COMPUTED_VALUE"""),3)</f>
        <v>3</v>
      </c>
      <c r="G493" s="6" t="str">
        <f ca="1">IFERROR(__xludf.DUMMYFUNCTION("""COMPUTED_VALUE"""),"Alcorcón")</f>
        <v>Alcorcón</v>
      </c>
      <c r="H493" s="6" t="str">
        <f ca="1">IFERROR(__xludf.DUMMYFUNCTION("""COMPUTED_VALUE"""),"C202631710560289541")</f>
        <v>C202631710560289541</v>
      </c>
      <c r="I493" s="6" t="str">
        <f ca="1">IFERROR(__xludf.DUMMYFUNCTION("""COMPUTED_VALUE"""),"AMPARO  RUIZ SERRANO")</f>
        <v>AMPARO  RUIZ SERRANO</v>
      </c>
      <c r="J493" s="16">
        <f ca="1">IFERROR(__xludf.DUMMYFUNCTION("""COMPUTED_VALUE"""),46098)</f>
        <v>46098</v>
      </c>
      <c r="K493" s="6" t="str">
        <f ca="1">IFERROR(__xludf.DUMMYFUNCTION("""COMPUTED_VALUE"""),"Pedido")</f>
        <v>Pedido</v>
      </c>
      <c r="L493" s="16">
        <f ca="1">IFERROR(__xludf.DUMMYFUNCTION("""COMPUTED_VALUE"""),46106)</f>
        <v>46106</v>
      </c>
      <c r="M493" s="23" t="str">
        <f ca="1">IFERROR(__xludf.DUMMYFUNCTION("""COMPUTED_VALUE"""),"NO")</f>
        <v>NO</v>
      </c>
      <c r="N493" s="15">
        <f ca="1">IFERROR(__xludf.DUMMYFUNCTION("""COMPUTED_VALUE"""),2)</f>
        <v>2</v>
      </c>
      <c r="O493" s="23" t="str">
        <f ca="1">IFERROR(__xludf.DUMMYFUNCTION("""COMPUTED_VALUE"""),"QUIET")</f>
        <v>QUIET</v>
      </c>
      <c r="P493" s="21">
        <f ca="1">IFERROR(__xludf.DUMMYFUNCTION("""COMPUTED_VALUE"""),2718.18)</f>
        <v>2718.18</v>
      </c>
      <c r="Q493" s="6" t="str">
        <f ca="1">IFERROR(__xludf.DUMMYFUNCTION("""COMPUTED_VALUE"""),"Maika Blázquez")</f>
        <v>Maika Blázquez</v>
      </c>
      <c r="R493" s="6" t="str">
        <f ca="1">IFERROR(__xludf.DUMMYFUNCTION("""COMPUTED_VALUE"""),"No recuerda ORL")</f>
        <v>No recuerda ORL</v>
      </c>
      <c r="S493" s="20" t="str">
        <f ca="1">IFERROR(__xludf.DUMMYFUNCTION("""COMPUTED_VALUE"""),"03 ORL")</f>
        <v>03 ORL</v>
      </c>
      <c r="T493" s="6" t="str">
        <f ca="1">IFERROR(__xludf.DUMMYFUNCTION("""COMPUTED_VALUE"""),"06 ORL")</f>
        <v>06 ORL</v>
      </c>
      <c r="U493" s="21"/>
      <c r="W493" s="21"/>
      <c r="X493" s="21"/>
    </row>
    <row r="494" spans="2:24" ht="16">
      <c r="B494" s="14" t="str">
        <f t="shared" ca="1" si="1"/>
        <v>LRM</v>
      </c>
      <c r="C494" s="23" t="str">
        <f ca="1">IFERROR(__xludf.DUMMYFUNCTION("""COMPUTED_VALUE"""),"LRM263")</f>
        <v>LRM263</v>
      </c>
      <c r="D494" s="6" t="str">
        <f ca="1">IFERROR(__xludf.DUMMYFUNCTION("""COMPUTED_VALUE"""),"PROPIOS")</f>
        <v>PROPIOS</v>
      </c>
      <c r="E494" s="6">
        <f ca="1">IFERROR(__xludf.DUMMYFUNCTION("""COMPUTED_VALUE"""),2026)</f>
        <v>2026</v>
      </c>
      <c r="F494" s="15">
        <f ca="1">IFERROR(__xludf.DUMMYFUNCTION("""COMPUTED_VALUE"""),3)</f>
        <v>3</v>
      </c>
      <c r="G494" s="6" t="str">
        <f ca="1">IFERROR(__xludf.DUMMYFUNCTION("""COMPUTED_VALUE"""),"Alcorcón")</f>
        <v>Alcorcón</v>
      </c>
      <c r="H494" s="6" t="str">
        <f ca="1">IFERROR(__xludf.DUMMYFUNCTION("""COMPUTED_VALUE"""),"C202622518311809882")</f>
        <v>C202622518311809882</v>
      </c>
      <c r="I494" s="6" t="str">
        <f ca="1">IFERROR(__xludf.DUMMYFUNCTION("""COMPUTED_VALUE"""),"ANGELA ARDISONI GARCIA")</f>
        <v>ANGELA ARDISONI GARCIA</v>
      </c>
      <c r="J494" s="16">
        <f ca="1">IFERROR(__xludf.DUMMYFUNCTION("""COMPUTED_VALUE"""),46078)</f>
        <v>46078</v>
      </c>
      <c r="K494" s="6" t="str">
        <f ca="1">IFERROR(__xludf.DUMMYFUNCTION("""COMPUTED_VALUE"""),"Pedido")</f>
        <v>Pedido</v>
      </c>
      <c r="L494" s="16">
        <f ca="1">IFERROR(__xludf.DUMMYFUNCTION("""COMPUTED_VALUE"""),46085)</f>
        <v>46085</v>
      </c>
      <c r="M494" s="23" t="str">
        <f ca="1">IFERROR(__xludf.DUMMYFUNCTION("""COMPUTED_VALUE"""),"NO")</f>
        <v>NO</v>
      </c>
      <c r="N494" s="15">
        <f ca="1">IFERROR(__xludf.DUMMYFUNCTION("""COMPUTED_VALUE"""),2)</f>
        <v>2</v>
      </c>
      <c r="O494" s="23" t="str">
        <f ca="1">IFERROR(__xludf.DUMMYFUNCTION("""COMPUTED_VALUE"""),"QUIET")</f>
        <v>QUIET</v>
      </c>
      <c r="P494" s="21">
        <f ca="1">IFERROR(__xludf.DUMMYFUNCTION("""COMPUTED_VALUE"""),3302.73)</f>
        <v>3302.73</v>
      </c>
      <c r="Q494" s="6" t="str">
        <f ca="1">IFERROR(__xludf.DUMMYFUNCTION("""COMPUTED_VALUE"""),"Maika Blázquez")</f>
        <v>Maika Blázquez</v>
      </c>
      <c r="R494" s="6" t="str">
        <f ca="1">IFERROR(__xludf.DUMMYFUNCTION("""COMPUTED_VALUE"""),"María Sol Marcos Salazar")</f>
        <v>María Sol Marcos Salazar</v>
      </c>
      <c r="S494" s="20" t="str">
        <f ca="1">IFERROR(__xludf.DUMMYFUNCTION("""COMPUTED_VALUE"""),"03 ORL")</f>
        <v>03 ORL</v>
      </c>
      <c r="T494" s="6" t="str">
        <f ca="1">IFERROR(__xludf.DUMMYFUNCTION("""COMPUTED_VALUE"""),"06 ORL")</f>
        <v>06 ORL</v>
      </c>
      <c r="U494" s="21"/>
      <c r="W494" s="21"/>
      <c r="X494" s="21"/>
    </row>
    <row r="495" spans="2:24" ht="16">
      <c r="B495" s="14" t="str">
        <f t="shared" ca="1" si="1"/>
        <v>LRM</v>
      </c>
      <c r="C495" s="23" t="str">
        <f ca="1">IFERROR(__xludf.DUMMYFUNCTION("""COMPUTED_VALUE"""),"LRM07")</f>
        <v>LRM07</v>
      </c>
      <c r="D495" s="6" t="str">
        <f ca="1">IFERROR(__xludf.DUMMYFUNCTION("""COMPUTED_VALUE"""),"PROPIOS")</f>
        <v>PROPIOS</v>
      </c>
      <c r="E495" s="6">
        <f ca="1">IFERROR(__xludf.DUMMYFUNCTION("""COMPUTED_VALUE"""),2026)</f>
        <v>2026</v>
      </c>
      <c r="F495" s="15">
        <f ca="1">IFERROR(__xludf.DUMMYFUNCTION("""COMPUTED_VALUE"""),1)</f>
        <v>1</v>
      </c>
      <c r="G495" s="6" t="str">
        <f ca="1">IFERROR(__xludf.DUMMYFUNCTION("""COMPUTED_VALUE"""),"Alcorcón")</f>
        <v>Alcorcón</v>
      </c>
      <c r="H495" s="6" t="str">
        <f ca="1">IFERROR(__xludf.DUMMYFUNCTION("""COMPUTED_VALUE"""),"C202512291226409951")</f>
        <v>C202512291226409951</v>
      </c>
      <c r="I495" s="6" t="str">
        <f ca="1">IFERROR(__xludf.DUMMYFUNCTION("""COMPUTED_VALUE"""),"CONCEPCION ESCRIBANO ESCRIBANO")</f>
        <v>CONCEPCION ESCRIBANO ESCRIBANO</v>
      </c>
      <c r="J495" s="16">
        <f ca="1">IFERROR(__xludf.DUMMYFUNCTION("""COMPUTED_VALUE"""),46020)</f>
        <v>46020</v>
      </c>
      <c r="K495" s="6" t="str">
        <f ca="1">IFERROR(__xludf.DUMMYFUNCTION("""COMPUTED_VALUE"""),"Pedido")</f>
        <v>Pedido</v>
      </c>
      <c r="L495" s="16">
        <f ca="1">IFERROR(__xludf.DUMMYFUNCTION("""COMPUTED_VALUE"""),46037)</f>
        <v>46037</v>
      </c>
      <c r="M495" s="23" t="str">
        <f ca="1">IFERROR(__xludf.DUMMYFUNCTION("""COMPUTED_VALUE"""),"NO")</f>
        <v>NO</v>
      </c>
      <c r="N495" s="15">
        <f ca="1">IFERROR(__xludf.DUMMYFUNCTION("""COMPUTED_VALUE"""),2)</f>
        <v>2</v>
      </c>
      <c r="O495" s="23" t="str">
        <f ca="1">IFERROR(__xludf.DUMMYFUNCTION("""COMPUTED_VALUE"""),"QUIET")</f>
        <v>QUIET</v>
      </c>
      <c r="P495" s="21">
        <f ca="1">IFERROR(__xludf.DUMMYFUNCTION("""COMPUTED_VALUE"""),2718.18)</f>
        <v>2718.18</v>
      </c>
      <c r="Q495" s="6" t="str">
        <f ca="1">IFERROR(__xludf.DUMMYFUNCTION("""COMPUTED_VALUE"""),"Maika Blázquez")</f>
        <v>Maika Blázquez</v>
      </c>
      <c r="R495" s="6" t="str">
        <f ca="1">IFERROR(__xludf.DUMMYFUNCTION("""COMPUTED_VALUE"""),"Álvaro Sánchez Álvarez")</f>
        <v>Álvaro Sánchez Álvarez</v>
      </c>
      <c r="S495" s="20" t="str">
        <f ca="1">IFERROR(__xludf.DUMMYFUNCTION("""COMPUTED_VALUE"""),"03 ORL")</f>
        <v>03 ORL</v>
      </c>
      <c r="T495" s="6" t="str">
        <f ca="1">IFERROR(__xludf.DUMMYFUNCTION("""COMPUTED_VALUE"""),"06 ORL")</f>
        <v>06 ORL</v>
      </c>
      <c r="U495" s="21"/>
      <c r="W495" s="21"/>
      <c r="X495" s="21"/>
    </row>
    <row r="496" spans="2:24" ht="16">
      <c r="B496" s="14" t="str">
        <f t="shared" ca="1" si="1"/>
        <v>LRM</v>
      </c>
      <c r="C496" s="23" t="str">
        <f ca="1">IFERROR(__xludf.DUMMYFUNCTION("""COMPUTED_VALUE"""),"LRM179")</f>
        <v>LRM179</v>
      </c>
      <c r="D496" s="6" t="str">
        <f ca="1">IFERROR(__xludf.DUMMYFUNCTION("""COMPUTED_VALUE"""),"PROPIOS")</f>
        <v>PROPIOS</v>
      </c>
      <c r="E496" s="6">
        <f ca="1">IFERROR(__xludf.DUMMYFUNCTION("""COMPUTED_VALUE"""),2026)</f>
        <v>2026</v>
      </c>
      <c r="F496" s="15">
        <f ca="1">IFERROR(__xludf.DUMMYFUNCTION("""COMPUTED_VALUE"""),1)</f>
        <v>1</v>
      </c>
      <c r="G496" s="6" t="str">
        <f ca="1">IFERROR(__xludf.DUMMYFUNCTION("""COMPUTED_VALUE"""),"Alcorcón")</f>
        <v>Alcorcón</v>
      </c>
      <c r="H496" s="6" t="str">
        <f ca="1">IFERROR(__xludf.DUMMYFUNCTION("""COMPUTED_VALUE"""),"C202611412222897943")</f>
        <v>C202611412222897943</v>
      </c>
      <c r="I496" s="6" t="str">
        <f ca="1">IFERROR(__xludf.DUMMYFUNCTION("""COMPUTED_VALUE"""),"CONSUELO ANGULO SANZ")</f>
        <v>CONSUELO ANGULO SANZ</v>
      </c>
      <c r="J496" s="16">
        <f ca="1">IFERROR(__xludf.DUMMYFUNCTION("""COMPUTED_VALUE"""),46036)</f>
        <v>46036</v>
      </c>
      <c r="K496" s="6" t="str">
        <f ca="1">IFERROR(__xludf.DUMMYFUNCTION("""COMPUTED_VALUE"""),"Devuelve")</f>
        <v>Devuelve</v>
      </c>
      <c r="L496" s="16">
        <f ca="1">IFERROR(__xludf.DUMMYFUNCTION("""COMPUTED_VALUE"""),46049)</f>
        <v>46049</v>
      </c>
      <c r="M496" s="23" t="str">
        <f ca="1">IFERROR(__xludf.DUMMYFUNCTION("""COMPUTED_VALUE"""),"NO")</f>
        <v>NO</v>
      </c>
      <c r="N496" s="15">
        <f ca="1">IFERROR(__xludf.DUMMYFUNCTION("""COMPUTED_VALUE"""),2)</f>
        <v>2</v>
      </c>
      <c r="O496" s="23" t="str">
        <f ca="1">IFERROR(__xludf.DUMMYFUNCTION("""COMPUTED_VALUE"""),"QUIET")</f>
        <v>QUIET</v>
      </c>
      <c r="P496" s="21">
        <f ca="1">IFERROR(__xludf.DUMMYFUNCTION("""COMPUTED_VALUE"""),2718.18)</f>
        <v>2718.18</v>
      </c>
      <c r="Q496" s="6" t="str">
        <f ca="1">IFERROR(__xludf.DUMMYFUNCTION("""COMPUTED_VALUE"""),"Maika Blázquez")</f>
        <v>Maika Blázquez</v>
      </c>
      <c r="R496" s="6" t="str">
        <f ca="1">IFERROR(__xludf.DUMMYFUNCTION("""COMPUTED_VALUE"""),"Maria Ángeles Mate Bayon")</f>
        <v>Maria Ángeles Mate Bayon</v>
      </c>
      <c r="S496" s="20" t="str">
        <f ca="1">IFERROR(__xludf.DUMMYFUNCTION("""COMPUTED_VALUE"""),"03 ORL")</f>
        <v>03 ORL</v>
      </c>
      <c r="T496" s="6" t="str">
        <f ca="1">IFERROR(__xludf.DUMMYFUNCTION("""COMPUTED_VALUE"""),"06 ORL")</f>
        <v>06 ORL</v>
      </c>
      <c r="U496" s="21"/>
      <c r="W496" s="21"/>
      <c r="X496" s="21"/>
    </row>
    <row r="497" spans="2:24" ht="16">
      <c r="B497" s="14" t="str">
        <f t="shared" ca="1" si="1"/>
        <v>MBM</v>
      </c>
      <c r="C497" s="23" t="str">
        <f ca="1">IFERROR(__xludf.DUMMYFUNCTION("""COMPUTED_VALUE"""),"MBM115")</f>
        <v>MBM115</v>
      </c>
      <c r="D497" s="6" t="str">
        <f ca="1">IFERROR(__xludf.DUMMYFUNCTION("""COMPUTED_VALUE"""),"PROPIOS")</f>
        <v>PROPIOS</v>
      </c>
      <c r="E497" s="6">
        <f ca="1">IFERROR(__xludf.DUMMYFUNCTION("""COMPUTED_VALUE"""),2026)</f>
        <v>2026</v>
      </c>
      <c r="F497" s="15">
        <f ca="1">IFERROR(__xludf.DUMMYFUNCTION("""COMPUTED_VALUE"""),3)</f>
        <v>3</v>
      </c>
      <c r="G497" s="6" t="str">
        <f ca="1">IFERROR(__xludf.DUMMYFUNCTION("""COMPUTED_VALUE"""),"Alcorcón")</f>
        <v>Alcorcón</v>
      </c>
      <c r="H497" s="6" t="str">
        <f ca="1">IFERROR(__xludf.DUMMYFUNCTION("""COMPUTED_VALUE"""),"C202633123914221063")</f>
        <v>C202633123914221063</v>
      </c>
      <c r="I497" s="6" t="str">
        <f ca="1">IFERROR(__xludf.DUMMYFUNCTION("""COMPUTED_VALUE"""),"LUIS MEDIERO BERMEJO")</f>
        <v>LUIS MEDIERO BERMEJO</v>
      </c>
      <c r="J497" s="16">
        <f ca="1">IFERROR(__xludf.DUMMYFUNCTION("""COMPUTED_VALUE"""),46084)</f>
        <v>46084</v>
      </c>
      <c r="K497" s="6" t="str">
        <f ca="1">IFERROR(__xludf.DUMMYFUNCTION("""COMPUTED_VALUE"""),"Pedido")</f>
        <v>Pedido</v>
      </c>
      <c r="L497" s="16">
        <f ca="1">IFERROR(__xludf.DUMMYFUNCTION("""COMPUTED_VALUE"""),46090)</f>
        <v>46090</v>
      </c>
      <c r="M497" s="23" t="str">
        <f ca="1">IFERROR(__xludf.DUMMYFUNCTION("""COMPUTED_VALUE"""),"NO")</f>
        <v>NO</v>
      </c>
      <c r="N497" s="15">
        <f ca="1">IFERROR(__xludf.DUMMYFUNCTION("""COMPUTED_VALUE"""),2)</f>
        <v>2</v>
      </c>
      <c r="O497" s="23" t="str">
        <f ca="1">IFERROR(__xludf.DUMMYFUNCTION("""COMPUTED_VALUE"""),"QUIET")</f>
        <v>QUIET</v>
      </c>
      <c r="P497" s="21">
        <f ca="1">IFERROR(__xludf.DUMMYFUNCTION("""COMPUTED_VALUE"""),2711.54)</f>
        <v>2711.54</v>
      </c>
      <c r="Q497" s="6" t="str">
        <f ca="1">IFERROR(__xludf.DUMMYFUNCTION("""COMPUTED_VALUE"""),"Maika Blázquez")</f>
        <v>Maika Blázquez</v>
      </c>
      <c r="R497" s="6" t="str">
        <f ca="1">IFERROR(__xludf.DUMMYFUNCTION("""COMPUTED_VALUE"""),"Esther Macon Liquete")</f>
        <v>Esther Macon Liquete</v>
      </c>
      <c r="S497" s="20" t="str">
        <f ca="1">IFERROR(__xludf.DUMMYFUNCTION("""COMPUTED_VALUE"""),"03 ORL")</f>
        <v>03 ORL</v>
      </c>
      <c r="T497" s="6" t="str">
        <f ca="1">IFERROR(__xludf.DUMMYFUNCTION("""COMPUTED_VALUE"""),"06 ORL")</f>
        <v>06 ORL</v>
      </c>
      <c r="U497" s="21"/>
      <c r="W497" s="21"/>
      <c r="X497" s="21"/>
    </row>
    <row r="498" spans="2:24" ht="16">
      <c r="B498" s="14" t="str">
        <f t="shared" ca="1" si="1"/>
        <v>ISL</v>
      </c>
      <c r="C498" s="23" t="str">
        <f ca="1">IFERROR(__xludf.DUMMYFUNCTION("""COMPUTED_VALUE"""),"ISL116")</f>
        <v>ISL116</v>
      </c>
      <c r="D498" s="6" t="str">
        <f ca="1">IFERROR(__xludf.DUMMYFUNCTION("""COMPUTED_VALUE"""),"PROPIOS")</f>
        <v>PROPIOS</v>
      </c>
      <c r="E498" s="6">
        <f ca="1">IFERROR(__xludf.DUMMYFUNCTION("""COMPUTED_VALUE"""),2026)</f>
        <v>2026</v>
      </c>
      <c r="F498" s="15">
        <f ca="1">IFERROR(__xludf.DUMMYFUNCTION("""COMPUTED_VALUE"""),3)</f>
        <v>3</v>
      </c>
      <c r="G498" s="6" t="str">
        <f ca="1">IFERROR(__xludf.DUMMYFUNCTION("""COMPUTED_VALUE"""),"Alicante")</f>
        <v>Alicante</v>
      </c>
      <c r="H498" s="6" t="str">
        <f ca="1">IFERROR(__xludf.DUMMYFUNCTION("""COMPUTED_VALUE"""),"C202632311454535913")</f>
        <v>C202632311454535913</v>
      </c>
      <c r="I498" s="6" t="str">
        <f ca="1">IFERROR(__xludf.DUMMYFUNCTION("""COMPUTED_VALUE"""),"AGUSTIN BAJO MONTERO")</f>
        <v>AGUSTIN BAJO MONTERO</v>
      </c>
      <c r="J498" s="16">
        <f ca="1">IFERROR(__xludf.DUMMYFUNCTION("""COMPUTED_VALUE"""),46104)</f>
        <v>46104</v>
      </c>
      <c r="K498" s="6" t="str">
        <f ca="1">IFERROR(__xludf.DUMMYFUNCTION("""COMPUTED_VALUE"""),"Prueba")</f>
        <v>Prueba</v>
      </c>
      <c r="L498" s="16">
        <f ca="1">IFERROR(__xludf.DUMMYFUNCTION("""COMPUTED_VALUE"""),46112)</f>
        <v>46112</v>
      </c>
      <c r="M498" s="23" t="str">
        <f ca="1">IFERROR(__xludf.DUMMYFUNCTION("""COMPUTED_VALUE"""),"NO")</f>
        <v>NO</v>
      </c>
      <c r="N498" s="15">
        <f ca="1">IFERROR(__xludf.DUMMYFUNCTION("""COMPUTED_VALUE"""),2)</f>
        <v>2</v>
      </c>
      <c r="O498" s="23" t="str">
        <f ca="1">IFERROR(__xludf.DUMMYFUNCTION("""COMPUTED_VALUE"""),"TRIAL")</f>
        <v>TRIAL</v>
      </c>
      <c r="P498" s="21">
        <f ca="1">IFERROR(__xludf.DUMMYFUNCTION("""COMPUTED_VALUE"""),3631.82)</f>
        <v>3631.82</v>
      </c>
      <c r="Q498" s="6" t="str">
        <f ca="1">IFERROR(__xludf.DUMMYFUNCTION("""COMPUTED_VALUE"""),"Iván Sánchez")</f>
        <v>Iván Sánchez</v>
      </c>
      <c r="R498" s="6" t="str">
        <f ca="1">IFERROR(__xludf.DUMMYFUNCTION("""COMPUTED_VALUE"""),"Maria Rosario Ferrandiz García")</f>
        <v>Maria Rosario Ferrandiz García</v>
      </c>
      <c r="S498" s="20" t="str">
        <f ca="1">IFERROR(__xludf.DUMMYFUNCTION("""COMPUTED_VALUE"""),"03 ORL")</f>
        <v>03 ORL</v>
      </c>
      <c r="T498" s="6" t="str">
        <f ca="1">IFERROR(__xludf.DUMMYFUNCTION("""COMPUTED_VALUE"""),"06 ORL")</f>
        <v>06 ORL</v>
      </c>
      <c r="U498" s="21"/>
      <c r="W498" s="21"/>
      <c r="X498" s="21"/>
    </row>
    <row r="499" spans="2:24" ht="16">
      <c r="B499" s="14" t="str">
        <f t="shared" ca="1" si="1"/>
        <v>ISL</v>
      </c>
      <c r="C499" s="23" t="str">
        <f ca="1">IFERROR(__xludf.DUMMYFUNCTION("""COMPUTED_VALUE"""),"ISL154")</f>
        <v>ISL154</v>
      </c>
      <c r="D499" s="6" t="str">
        <f ca="1">IFERROR(__xludf.DUMMYFUNCTION("""COMPUTED_VALUE"""),"PROPIOS")</f>
        <v>PROPIOS</v>
      </c>
      <c r="E499" s="6">
        <f ca="1">IFERROR(__xludf.DUMMYFUNCTION("""COMPUTED_VALUE"""),2026)</f>
        <v>2026</v>
      </c>
      <c r="F499" s="15">
        <f ca="1">IFERROR(__xludf.DUMMYFUNCTION("""COMPUTED_VALUE"""),2)</f>
        <v>2</v>
      </c>
      <c r="G499" s="6" t="str">
        <f ca="1">IFERROR(__xludf.DUMMYFUNCTION("""COMPUTED_VALUE"""),"Alicante")</f>
        <v>Alicante</v>
      </c>
      <c r="H499" s="6" t="str">
        <f ca="1">IFERROR(__xludf.DUMMYFUNCTION("""COMPUTED_VALUE"""),"C202622411183640157")</f>
        <v>C202622411183640157</v>
      </c>
      <c r="I499" s="6" t="str">
        <f ca="1">IFERROR(__xludf.DUMMYFUNCTION("""COMPUTED_VALUE"""),"ANGEL FERREÑO COCHON")</f>
        <v>ANGEL FERREÑO COCHON</v>
      </c>
      <c r="J499" s="16">
        <f ca="1">IFERROR(__xludf.DUMMYFUNCTION("""COMPUTED_VALUE"""),46077)</f>
        <v>46077</v>
      </c>
      <c r="K499" s="6" t="str">
        <f ca="1">IFERROR(__xludf.DUMMYFUNCTION("""COMPUTED_VALUE"""),"Presupuesto")</f>
        <v>Presupuesto</v>
      </c>
      <c r="L499" s="16">
        <f ca="1">IFERROR(__xludf.DUMMYFUNCTION("""COMPUTED_VALUE"""),46080)</f>
        <v>46080</v>
      </c>
      <c r="M499" s="23" t="str">
        <f ca="1">IFERROR(__xludf.DUMMYFUNCTION("""COMPUTED_VALUE"""),"NO")</f>
        <v>NO</v>
      </c>
      <c r="N499" s="15">
        <f ca="1">IFERROR(__xludf.DUMMYFUNCTION("""COMPUTED_VALUE"""),2)</f>
        <v>2</v>
      </c>
      <c r="O499" s="23" t="str">
        <f ca="1">IFERROR(__xludf.DUMMYFUNCTION("""COMPUTED_VALUE"""),"TRIAL")</f>
        <v>TRIAL</v>
      </c>
      <c r="P499" s="21">
        <f ca="1">IFERROR(__xludf.DUMMYFUNCTION("""COMPUTED_VALUE"""),4480.91)</f>
        <v>4480.91</v>
      </c>
      <c r="Q499" s="6" t="str">
        <f ca="1">IFERROR(__xludf.DUMMYFUNCTION("""COMPUTED_VALUE"""),"Iván Sánchez")</f>
        <v>Iván Sánchez</v>
      </c>
      <c r="R499" s="6" t="str">
        <f ca="1">IFERROR(__xludf.DUMMYFUNCTION("""COMPUTED_VALUE"""),"Alfonso Rodríguez Fabio")</f>
        <v>Alfonso Rodríguez Fabio</v>
      </c>
      <c r="S499" s="20" t="str">
        <f ca="1">IFERROR(__xludf.DUMMYFUNCTION("""COMPUTED_VALUE"""),"03 ORL")</f>
        <v>03 ORL</v>
      </c>
      <c r="T499" s="6" t="str">
        <f ca="1">IFERROR(__xludf.DUMMYFUNCTION("""COMPUTED_VALUE"""),"06 ORL")</f>
        <v>06 ORL</v>
      </c>
      <c r="U499" s="21"/>
      <c r="W499" s="21"/>
      <c r="X499" s="21"/>
    </row>
    <row r="500" spans="2:24" ht="16">
      <c r="B500" s="14" t="str">
        <f t="shared" ca="1" si="1"/>
        <v>ISL</v>
      </c>
      <c r="C500" s="23" t="str">
        <f ca="1">IFERROR(__xludf.DUMMYFUNCTION("""COMPUTED_VALUE"""),"ISL126")</f>
        <v>ISL126</v>
      </c>
      <c r="D500" s="6" t="str">
        <f ca="1">IFERROR(__xludf.DUMMYFUNCTION("""COMPUTED_VALUE"""),"PROPIOS")</f>
        <v>PROPIOS</v>
      </c>
      <c r="E500" s="6">
        <f ca="1">IFERROR(__xludf.DUMMYFUNCTION("""COMPUTED_VALUE"""),2026)</f>
        <v>2026</v>
      </c>
      <c r="F500" s="15">
        <f ca="1">IFERROR(__xludf.DUMMYFUNCTION("""COMPUTED_VALUE"""),3)</f>
        <v>3</v>
      </c>
      <c r="G500" s="6" t="str">
        <f ca="1">IFERROR(__xludf.DUMMYFUNCTION("""COMPUTED_VALUE"""),"Alicante")</f>
        <v>Alicante</v>
      </c>
      <c r="H500" s="6" t="str">
        <f ca="1">IFERROR(__xludf.DUMMYFUNCTION("""COMPUTED_VALUE"""),"C202632584419178287")</f>
        <v>C202632584419178287</v>
      </c>
      <c r="I500" s="6" t="str">
        <f ca="1">IFERROR(__xludf.DUMMYFUNCTION("""COMPUTED_VALUE"""),"ANGEL MARCO NUÑEZ")</f>
        <v>ANGEL MARCO NUÑEZ</v>
      </c>
      <c r="J500" s="16">
        <f ca="1">IFERROR(__xludf.DUMMYFUNCTION("""COMPUTED_VALUE"""),46106)</f>
        <v>46106</v>
      </c>
      <c r="K500" s="6" t="str">
        <f ca="1">IFERROR(__xludf.DUMMYFUNCTION("""COMPUTED_VALUE"""),"Pedido")</f>
        <v>Pedido</v>
      </c>
      <c r="L500" s="16">
        <f ca="1">IFERROR(__xludf.DUMMYFUNCTION("""COMPUTED_VALUE"""),46111)</f>
        <v>46111</v>
      </c>
      <c r="M500" s="23" t="str">
        <f ca="1">IFERROR(__xludf.DUMMYFUNCTION("""COMPUTED_VALUE"""),"NO")</f>
        <v>NO</v>
      </c>
      <c r="N500" s="15">
        <f ca="1">IFERROR(__xludf.DUMMYFUNCTION("""COMPUTED_VALUE"""),2)</f>
        <v>2</v>
      </c>
      <c r="O500" s="23" t="str">
        <f ca="1">IFERROR(__xludf.DUMMYFUNCTION("""COMPUTED_VALUE"""),"TRIAL")</f>
        <v>TRIAL</v>
      </c>
      <c r="P500" s="21">
        <f ca="1">IFERROR(__xludf.DUMMYFUNCTION("""COMPUTED_VALUE"""),3631.82)</f>
        <v>3631.82</v>
      </c>
      <c r="Q500" s="6" t="str">
        <f ca="1">IFERROR(__xludf.DUMMYFUNCTION("""COMPUTED_VALUE"""),"Iván Sánchez")</f>
        <v>Iván Sánchez</v>
      </c>
      <c r="R500" s="6" t="str">
        <f ca="1">IFERROR(__xludf.DUMMYFUNCTION("""COMPUTED_VALUE"""),"Mónica Rodríguez Briceño")</f>
        <v>Mónica Rodríguez Briceño</v>
      </c>
      <c r="S500" s="20" t="str">
        <f ca="1">IFERROR(__xludf.DUMMYFUNCTION("""COMPUTED_VALUE"""),"03 ORL")</f>
        <v>03 ORL</v>
      </c>
      <c r="T500" s="6" t="str">
        <f ca="1">IFERROR(__xludf.DUMMYFUNCTION("""COMPUTED_VALUE"""),"06 ORL")</f>
        <v>06 ORL</v>
      </c>
      <c r="U500" s="21"/>
      <c r="W500" s="21"/>
      <c r="X500" s="21"/>
    </row>
    <row r="501" spans="2:24" ht="16">
      <c r="B501" s="14" t="str">
        <f t="shared" ca="1" si="1"/>
        <v>ISL</v>
      </c>
      <c r="C501" s="23" t="str">
        <f ca="1">IFERROR(__xludf.DUMMYFUNCTION("""COMPUTED_VALUE"""),"ISL14")</f>
        <v>ISL14</v>
      </c>
      <c r="D501" s="6" t="str">
        <f ca="1">IFERROR(__xludf.DUMMYFUNCTION("""COMPUTED_VALUE"""),"PROPIOS")</f>
        <v>PROPIOS</v>
      </c>
      <c r="E501" s="6">
        <f ca="1">IFERROR(__xludf.DUMMYFUNCTION("""COMPUTED_VALUE"""),2026)</f>
        <v>2026</v>
      </c>
      <c r="F501" s="15">
        <f ca="1">IFERROR(__xludf.DUMMYFUNCTION("""COMPUTED_VALUE"""),3)</f>
        <v>3</v>
      </c>
      <c r="G501" s="6" t="str">
        <f ca="1">IFERROR(__xludf.DUMMYFUNCTION("""COMPUTED_VALUE"""),"Alicante")</f>
        <v>Alicante</v>
      </c>
      <c r="H501" s="6" t="str">
        <f ca="1">IFERROR(__xludf.DUMMYFUNCTION("""COMPUTED_VALUE"""),"C202632310183361589")</f>
        <v>C202632310183361589</v>
      </c>
      <c r="I501" s="6" t="str">
        <f ca="1">IFERROR(__xludf.DUMMYFUNCTION("""COMPUTED_VALUE"""),"ANNICA WALLER WALLIN")</f>
        <v>ANNICA WALLER WALLIN</v>
      </c>
      <c r="J501" s="16">
        <f ca="1">IFERROR(__xludf.DUMMYFUNCTION("""COMPUTED_VALUE"""),46104)</f>
        <v>46104</v>
      </c>
      <c r="K501" s="6" t="str">
        <f ca="1">IFERROR(__xludf.DUMMYFUNCTION("""COMPUTED_VALUE"""),"Prueba")</f>
        <v>Prueba</v>
      </c>
      <c r="L501" s="16">
        <f ca="1">IFERROR(__xludf.DUMMYFUNCTION("""COMPUTED_VALUE"""),46111)</f>
        <v>46111</v>
      </c>
      <c r="M501" s="23" t="str">
        <f ca="1">IFERROR(__xludf.DUMMYFUNCTION("""COMPUTED_VALUE"""),"NO")</f>
        <v>NO</v>
      </c>
      <c r="N501" s="15">
        <f ca="1">IFERROR(__xludf.DUMMYFUNCTION("""COMPUTED_VALUE"""),2)</f>
        <v>2</v>
      </c>
      <c r="O501" s="23" t="str">
        <f ca="1">IFERROR(__xludf.DUMMYFUNCTION("""COMPUTED_VALUE"""),"QUIET")</f>
        <v>QUIET</v>
      </c>
      <c r="P501" s="21">
        <f ca="1">IFERROR(__xludf.DUMMYFUNCTION("""COMPUTED_VALUE"""),2718.18)</f>
        <v>2718.18</v>
      </c>
      <c r="Q501" s="6" t="str">
        <f ca="1">IFERROR(__xludf.DUMMYFUNCTION("""COMPUTED_VALUE"""),"Iván Sánchez")</f>
        <v>Iván Sánchez</v>
      </c>
      <c r="R501" s="6" t="str">
        <f ca="1">IFERROR(__xludf.DUMMYFUNCTION("""COMPUTED_VALUE"""),"Carlos Velásquez Fermín")</f>
        <v>Carlos Velásquez Fermín</v>
      </c>
      <c r="S501" s="20" t="str">
        <f ca="1">IFERROR(__xludf.DUMMYFUNCTION("""COMPUTED_VALUE"""),"03 ORL")</f>
        <v>03 ORL</v>
      </c>
      <c r="T501" s="6" t="str">
        <f ca="1">IFERROR(__xludf.DUMMYFUNCTION("""COMPUTED_VALUE"""),"06 ORL")</f>
        <v>06 ORL</v>
      </c>
      <c r="U501" s="21"/>
      <c r="W501" s="21"/>
      <c r="X501" s="21"/>
    </row>
    <row r="502" spans="2:24" ht="16">
      <c r="B502" s="14" t="str">
        <f t="shared" ca="1" si="1"/>
        <v>ISL</v>
      </c>
      <c r="C502" s="23" t="str">
        <f ca="1">IFERROR(__xludf.DUMMYFUNCTION("""COMPUTED_VALUE"""),"ISL126")</f>
        <v>ISL126</v>
      </c>
      <c r="D502" s="6" t="str">
        <f ca="1">IFERROR(__xludf.DUMMYFUNCTION("""COMPUTED_VALUE"""),"PROPIOS")</f>
        <v>PROPIOS</v>
      </c>
      <c r="E502" s="6">
        <f ca="1">IFERROR(__xludf.DUMMYFUNCTION("""COMPUTED_VALUE"""),2026)</f>
        <v>2026</v>
      </c>
      <c r="F502" s="15">
        <f ca="1">IFERROR(__xludf.DUMMYFUNCTION("""COMPUTED_VALUE"""),3)</f>
        <v>3</v>
      </c>
      <c r="G502" s="6" t="str">
        <f ca="1">IFERROR(__xludf.DUMMYFUNCTION("""COMPUTED_VALUE"""),"Alicante")</f>
        <v>Alicante</v>
      </c>
      <c r="H502" s="6" t="str">
        <f ca="1">IFERROR(__xludf.DUMMYFUNCTION("""COMPUTED_VALUE"""),"C202633161411704107")</f>
        <v>C202633161411704107</v>
      </c>
      <c r="I502" s="6" t="str">
        <f ca="1">IFERROR(__xludf.DUMMYFUNCTION("""COMPUTED_VALUE"""),"ANTONIO MINGOT BELINCHON")</f>
        <v>ANTONIO MINGOT BELINCHON</v>
      </c>
      <c r="J502" s="16">
        <f ca="1">IFERROR(__xludf.DUMMYFUNCTION("""COMPUTED_VALUE"""),46084)</f>
        <v>46084</v>
      </c>
      <c r="K502" s="6" t="str">
        <f ca="1">IFERROR(__xludf.DUMMYFUNCTION("""COMPUTED_VALUE"""),"Presupuesto")</f>
        <v>Presupuesto</v>
      </c>
      <c r="L502" s="16">
        <f ca="1">IFERROR(__xludf.DUMMYFUNCTION("""COMPUTED_VALUE"""),46087)</f>
        <v>46087</v>
      </c>
      <c r="M502" s="23" t="str">
        <f ca="1">IFERROR(__xludf.DUMMYFUNCTION("""COMPUTED_VALUE"""),"NO")</f>
        <v>NO</v>
      </c>
      <c r="N502" s="15">
        <f ca="1">IFERROR(__xludf.DUMMYFUNCTION("""COMPUTED_VALUE"""),2)</f>
        <v>2</v>
      </c>
      <c r="O502" s="23" t="str">
        <f ca="1">IFERROR(__xludf.DUMMYFUNCTION("""COMPUTED_VALUE"""),"QUIET")</f>
        <v>QUIET</v>
      </c>
      <c r="P502" s="21">
        <f ca="1">IFERROR(__xludf.DUMMYFUNCTION("""COMPUTED_VALUE"""),2718.18)</f>
        <v>2718.18</v>
      </c>
      <c r="Q502" s="6" t="str">
        <f ca="1">IFERROR(__xludf.DUMMYFUNCTION("""COMPUTED_VALUE"""),"Iván Sánchez")</f>
        <v>Iván Sánchez</v>
      </c>
      <c r="R502" s="6" t="str">
        <f ca="1">IFERROR(__xludf.DUMMYFUNCTION("""COMPUTED_VALUE"""),"Mónica Rodríguez Briceño")</f>
        <v>Mónica Rodríguez Briceño</v>
      </c>
      <c r="S502" s="20" t="str">
        <f ca="1">IFERROR(__xludf.DUMMYFUNCTION("""COMPUTED_VALUE"""),"03 ORL")</f>
        <v>03 ORL</v>
      </c>
      <c r="T502" s="6" t="str">
        <f ca="1">IFERROR(__xludf.DUMMYFUNCTION("""COMPUTED_VALUE"""),"06 ORL")</f>
        <v>06 ORL</v>
      </c>
      <c r="U502" s="21"/>
      <c r="W502" s="21"/>
      <c r="X502" s="21"/>
    </row>
    <row r="503" spans="2:24" ht="16">
      <c r="B503" s="14" t="str">
        <f t="shared" ca="1" si="1"/>
        <v>ISL</v>
      </c>
      <c r="C503" s="23" t="str">
        <f ca="1">IFERROR(__xludf.DUMMYFUNCTION("""COMPUTED_VALUE"""),"ISL29")</f>
        <v>ISL29</v>
      </c>
      <c r="D503" s="6" t="str">
        <f ca="1">IFERROR(__xludf.DUMMYFUNCTION("""COMPUTED_VALUE"""),"PROPIOS")</f>
        <v>PROPIOS</v>
      </c>
      <c r="E503" s="6">
        <f ca="1">IFERROR(__xludf.DUMMYFUNCTION("""COMPUTED_VALUE"""),2026)</f>
        <v>2026</v>
      </c>
      <c r="F503" s="15">
        <f ca="1">IFERROR(__xludf.DUMMYFUNCTION("""COMPUTED_VALUE"""),3)</f>
        <v>3</v>
      </c>
      <c r="G503" s="6" t="str">
        <f ca="1">IFERROR(__xludf.DUMMYFUNCTION("""COMPUTED_VALUE"""),"Alicante")</f>
        <v>Alicante</v>
      </c>
      <c r="H503" s="6" t="str">
        <f ca="1">IFERROR(__xludf.DUMMYFUNCTION("""COMPUTED_VALUE"""),"C202629115742101249")</f>
        <v>C202629115742101249</v>
      </c>
      <c r="I503" s="6" t="str">
        <f ca="1">IFERROR(__xludf.DUMMYFUNCTION("""COMPUTED_VALUE"""),"DIMYTRO OLEINIKOV")</f>
        <v>DIMYTRO OLEINIKOV</v>
      </c>
      <c r="J503" s="16">
        <f ca="1">IFERROR(__xludf.DUMMYFUNCTION("""COMPUTED_VALUE"""),46062)</f>
        <v>46062</v>
      </c>
      <c r="K503" s="6" t="str">
        <f ca="1">IFERROR(__xludf.DUMMYFUNCTION("""COMPUTED_VALUE"""),"Devuelve")</f>
        <v>Devuelve</v>
      </c>
      <c r="L503" s="16">
        <f ca="1">IFERROR(__xludf.DUMMYFUNCTION("""COMPUTED_VALUE"""),46090)</f>
        <v>46090</v>
      </c>
      <c r="M503" s="23" t="str">
        <f ca="1">IFERROR(__xludf.DUMMYFUNCTION("""COMPUTED_VALUE"""),"NO")</f>
        <v>NO</v>
      </c>
      <c r="N503" s="15">
        <f ca="1">IFERROR(__xludf.DUMMYFUNCTION("""COMPUTED_VALUE"""),1)</f>
        <v>1</v>
      </c>
      <c r="O503" s="23" t="str">
        <f ca="1">IFERROR(__xludf.DUMMYFUNCTION("""COMPUTED_VALUE"""),"CONFORT")</f>
        <v>CONFORT</v>
      </c>
      <c r="P503" s="21">
        <f ca="1">IFERROR(__xludf.DUMMYFUNCTION("""COMPUTED_VALUE"""),2180.91)</f>
        <v>2180.91</v>
      </c>
      <c r="Q503" s="6" t="str">
        <f ca="1">IFERROR(__xludf.DUMMYFUNCTION("""COMPUTED_VALUE"""),"Iván Sánchez")</f>
        <v>Iván Sánchez</v>
      </c>
      <c r="R503" s="6" t="str">
        <f ca="1">IFERROR(__xludf.DUMMYFUNCTION("""COMPUTED_VALUE"""),"Félix Ruíz de la Cuesta Juste")</f>
        <v>Félix Ruíz de la Cuesta Juste</v>
      </c>
      <c r="S503" s="20" t="str">
        <f ca="1">IFERROR(__xludf.DUMMYFUNCTION("""COMPUTED_VALUE"""),"03 ORL")</f>
        <v>03 ORL</v>
      </c>
      <c r="T503" s="6" t="str">
        <f ca="1">IFERROR(__xludf.DUMMYFUNCTION("""COMPUTED_VALUE"""),"06 ORL")</f>
        <v>06 ORL</v>
      </c>
      <c r="U503" s="21"/>
      <c r="W503" s="21"/>
      <c r="X503" s="21"/>
    </row>
    <row r="504" spans="2:24" ht="16">
      <c r="B504" s="14" t="str">
        <f t="shared" ca="1" si="1"/>
        <v>ISL</v>
      </c>
      <c r="C504" s="23" t="str">
        <f ca="1">IFERROR(__xludf.DUMMYFUNCTION("""COMPUTED_VALUE"""),"ISL14")</f>
        <v>ISL14</v>
      </c>
      <c r="D504" s="6" t="str">
        <f ca="1">IFERROR(__xludf.DUMMYFUNCTION("""COMPUTED_VALUE"""),"PROPIOS")</f>
        <v>PROPIOS</v>
      </c>
      <c r="E504" s="6">
        <f ca="1">IFERROR(__xludf.DUMMYFUNCTION("""COMPUTED_VALUE"""),2026)</f>
        <v>2026</v>
      </c>
      <c r="F504" s="15">
        <f ca="1">IFERROR(__xludf.DUMMYFUNCTION("""COMPUTED_VALUE"""),1)</f>
        <v>1</v>
      </c>
      <c r="G504" s="6" t="str">
        <f ca="1">IFERROR(__xludf.DUMMYFUNCTION("""COMPUTED_VALUE"""),"Alicante")</f>
        <v>Alicante</v>
      </c>
      <c r="H504" s="6" t="str">
        <f ca="1">IFERROR(__xludf.DUMMYFUNCTION("""COMPUTED_VALUE"""),"C202611911544396155")</f>
        <v>C202611911544396155</v>
      </c>
      <c r="I504" s="6" t="str">
        <f ca="1">IFERROR(__xludf.DUMMYFUNCTION("""COMPUTED_VALUE"""),"EMILIO FERNANDEZ FERNANDEZ")</f>
        <v>EMILIO FERNANDEZ FERNANDEZ</v>
      </c>
      <c r="J504" s="16">
        <f ca="1">IFERROR(__xludf.DUMMYFUNCTION("""COMPUTED_VALUE"""),46041)</f>
        <v>46041</v>
      </c>
      <c r="K504" s="6" t="str">
        <f ca="1">IFERROR(__xludf.DUMMYFUNCTION("""COMPUTED_VALUE"""),"Presupuesto")</f>
        <v>Presupuesto</v>
      </c>
      <c r="L504" s="16">
        <f ca="1">IFERROR(__xludf.DUMMYFUNCTION("""COMPUTED_VALUE"""),46045)</f>
        <v>46045</v>
      </c>
      <c r="M504" s="23" t="str">
        <f ca="1">IFERROR(__xludf.DUMMYFUNCTION("""COMPUTED_VALUE"""),"NO")</f>
        <v>NO</v>
      </c>
      <c r="N504" s="15">
        <f ca="1">IFERROR(__xludf.DUMMYFUNCTION("""COMPUTED_VALUE"""),2)</f>
        <v>2</v>
      </c>
      <c r="O504" s="23" t="str">
        <f ca="1">IFERROR(__xludf.DUMMYFUNCTION("""COMPUTED_VALUE"""),"QUIET")</f>
        <v>QUIET</v>
      </c>
      <c r="P504" s="21">
        <f ca="1">IFERROR(__xludf.DUMMYFUNCTION("""COMPUTED_VALUE"""),2718.18)</f>
        <v>2718.18</v>
      </c>
      <c r="Q504" s="6" t="str">
        <f ca="1">IFERROR(__xludf.DUMMYFUNCTION("""COMPUTED_VALUE"""),"Iván Sánchez")</f>
        <v>Iván Sánchez</v>
      </c>
      <c r="R504" s="6" t="str">
        <f ca="1">IFERROR(__xludf.DUMMYFUNCTION("""COMPUTED_VALUE"""),"Carlos Velásquez Fermín")</f>
        <v>Carlos Velásquez Fermín</v>
      </c>
      <c r="S504" s="20" t="str">
        <f ca="1">IFERROR(__xludf.DUMMYFUNCTION("""COMPUTED_VALUE"""),"03 ORL")</f>
        <v>03 ORL</v>
      </c>
      <c r="T504" s="6" t="str">
        <f ca="1">IFERROR(__xludf.DUMMYFUNCTION("""COMPUTED_VALUE"""),"06 ORL")</f>
        <v>06 ORL</v>
      </c>
      <c r="U504" s="21"/>
      <c r="W504" s="21"/>
      <c r="X504" s="21"/>
    </row>
    <row r="505" spans="2:24" ht="16">
      <c r="B505" s="14" t="str">
        <f t="shared" ca="1" si="1"/>
        <v>ISL</v>
      </c>
      <c r="C505" s="23" t="str">
        <f ca="1">IFERROR(__xludf.DUMMYFUNCTION("""COMPUTED_VALUE"""),"ISL99")</f>
        <v>ISL99</v>
      </c>
      <c r="D505" s="6" t="str">
        <f ca="1">IFERROR(__xludf.DUMMYFUNCTION("""COMPUTED_VALUE"""),"PROPIOS")</f>
        <v>PROPIOS</v>
      </c>
      <c r="E505" s="6">
        <f ca="1">IFERROR(__xludf.DUMMYFUNCTION("""COMPUTED_VALUE"""),2026)</f>
        <v>2026</v>
      </c>
      <c r="F505" s="15">
        <f ca="1">IFERROR(__xludf.DUMMYFUNCTION("""COMPUTED_VALUE"""),1)</f>
        <v>1</v>
      </c>
      <c r="G505" s="6" t="str">
        <f ca="1">IFERROR(__xludf.DUMMYFUNCTION("""COMPUTED_VALUE"""),"Alicante")</f>
        <v>Alicante</v>
      </c>
      <c r="H505" s="6" t="str">
        <f ca="1">IFERROR(__xludf.DUMMYFUNCTION("""COMPUTED_VALUE"""),"ALC-2419")</f>
        <v>ALC-2419</v>
      </c>
      <c r="I505" s="6" t="str">
        <f ca="1">IFERROR(__xludf.DUMMYFUNCTION("""COMPUTED_VALUE"""),"ENRIQUE PLAZA MASEDO")</f>
        <v>ENRIQUE PLAZA MASEDO</v>
      </c>
      <c r="J505" s="16">
        <f ca="1">IFERROR(__xludf.DUMMYFUNCTION("""COMPUTED_VALUE"""),44216)</f>
        <v>44216</v>
      </c>
      <c r="K505" s="6" t="str">
        <f ca="1">IFERROR(__xludf.DUMMYFUNCTION("""COMPUTED_VALUE"""),"Devuelve")</f>
        <v>Devuelve</v>
      </c>
      <c r="L505" s="16">
        <f ca="1">IFERROR(__xludf.DUMMYFUNCTION("""COMPUTED_VALUE"""),46041)</f>
        <v>46041</v>
      </c>
      <c r="M505" s="23" t="str">
        <f ca="1">IFERROR(__xludf.DUMMYFUNCTION("""COMPUTED_VALUE"""),"NO")</f>
        <v>NO</v>
      </c>
      <c r="N505" s="15">
        <f ca="1">IFERROR(__xludf.DUMMYFUNCTION("""COMPUTED_VALUE"""),2)</f>
        <v>2</v>
      </c>
      <c r="O505" s="23" t="str">
        <f ca="1">IFERROR(__xludf.DUMMYFUNCTION("""COMPUTED_VALUE"""),"CONFORT")</f>
        <v>CONFORT</v>
      </c>
      <c r="P505" s="21">
        <f ca="1">IFERROR(__xludf.DUMMYFUNCTION("""COMPUTED_VALUE"""),3391.82)</f>
        <v>3391.82</v>
      </c>
      <c r="Q505" s="6" t="str">
        <f ca="1">IFERROR(__xludf.DUMMYFUNCTION("""COMPUTED_VALUE"""),"Iván Sánchez")</f>
        <v>Iván Sánchez</v>
      </c>
      <c r="R505" s="6" t="str">
        <f ca="1">IFERROR(__xludf.DUMMYFUNCTION("""COMPUTED_VALUE"""),"Cristina Muñoz Pinto")</f>
        <v>Cristina Muñoz Pinto</v>
      </c>
      <c r="S505" s="20" t="str">
        <f ca="1">IFERROR(__xludf.DUMMYFUNCTION("""COMPUTED_VALUE"""),"03 ORL")</f>
        <v>03 ORL</v>
      </c>
      <c r="T505" s="6" t="str">
        <f ca="1">IFERROR(__xludf.DUMMYFUNCTION("""COMPUTED_VALUE"""),"06 ORL")</f>
        <v>06 ORL</v>
      </c>
      <c r="U505" s="21"/>
      <c r="W505" s="21"/>
      <c r="X505" s="21"/>
    </row>
    <row r="506" spans="2:24" ht="16">
      <c r="B506" s="14" t="str">
        <f t="shared" ca="1" si="1"/>
        <v>ISL</v>
      </c>
      <c r="C506" s="23" t="str">
        <f ca="1">IFERROR(__xludf.DUMMYFUNCTION("""COMPUTED_VALUE"""),"ISL126")</f>
        <v>ISL126</v>
      </c>
      <c r="D506" s="6" t="str">
        <f ca="1">IFERROR(__xludf.DUMMYFUNCTION("""COMPUTED_VALUE"""),"PROPIOS")</f>
        <v>PROPIOS</v>
      </c>
      <c r="E506" s="6">
        <f ca="1">IFERROR(__xludf.DUMMYFUNCTION("""COMPUTED_VALUE"""),2026)</f>
        <v>2026</v>
      </c>
      <c r="F506" s="15">
        <f ca="1">IFERROR(__xludf.DUMMYFUNCTION("""COMPUTED_VALUE"""),4)</f>
        <v>4</v>
      </c>
      <c r="G506" s="6" t="str">
        <f ca="1">IFERROR(__xludf.DUMMYFUNCTION("""COMPUTED_VALUE"""),"Alicante")</f>
        <v>Alicante</v>
      </c>
      <c r="H506" s="6" t="str">
        <f ca="1">IFERROR(__xludf.DUMMYFUNCTION("""COMPUTED_VALUE"""),"C202621916342224467")</f>
        <v>C202621916342224467</v>
      </c>
      <c r="I506" s="6" t="str">
        <f ca="1">IFERROR(__xludf.DUMMYFUNCTION("""COMPUTED_VALUE"""),"FABIO RIVERA YULE")</f>
        <v>FABIO RIVERA YULE</v>
      </c>
      <c r="J506" s="16">
        <f ca="1">IFERROR(__xludf.DUMMYFUNCTION("""COMPUTED_VALUE"""),46072)</f>
        <v>46072</v>
      </c>
      <c r="K506" s="6" t="str">
        <f ca="1">IFERROR(__xludf.DUMMYFUNCTION("""COMPUTED_VALUE"""),"Prueba")</f>
        <v>Prueba</v>
      </c>
      <c r="L506" s="16">
        <f ca="1">IFERROR(__xludf.DUMMYFUNCTION("""COMPUTED_VALUE"""),46113)</f>
        <v>46113</v>
      </c>
      <c r="M506" s="23" t="str">
        <f ca="1">IFERROR(__xludf.DUMMYFUNCTION("""COMPUTED_VALUE"""),"NO")</f>
        <v>NO</v>
      </c>
      <c r="N506" s="15">
        <f ca="1">IFERROR(__xludf.DUMMYFUNCTION("""COMPUTED_VALUE"""),2)</f>
        <v>2</v>
      </c>
      <c r="O506" s="23" t="str">
        <f ca="1">IFERROR(__xludf.DUMMYFUNCTION("""COMPUTED_VALUE"""),"QUIET")</f>
        <v>QUIET</v>
      </c>
      <c r="P506" s="21">
        <f ca="1">IFERROR(__xludf.DUMMYFUNCTION("""COMPUTED_VALUE"""),2718.18)</f>
        <v>2718.18</v>
      </c>
      <c r="Q506" s="6" t="str">
        <f ca="1">IFERROR(__xludf.DUMMYFUNCTION("""COMPUTED_VALUE"""),"Iván Sánchez")</f>
        <v>Iván Sánchez</v>
      </c>
      <c r="R506" s="6" t="str">
        <f ca="1">IFERROR(__xludf.DUMMYFUNCTION("""COMPUTED_VALUE"""),"Mónica Rodríguez Briceño")</f>
        <v>Mónica Rodríguez Briceño</v>
      </c>
      <c r="S506" s="20" t="str">
        <f ca="1">IFERROR(__xludf.DUMMYFUNCTION("""COMPUTED_VALUE"""),"03 ORL")</f>
        <v>03 ORL</v>
      </c>
      <c r="T506" s="6" t="str">
        <f ca="1">IFERROR(__xludf.DUMMYFUNCTION("""COMPUTED_VALUE"""),"06 ORL")</f>
        <v>06 ORL</v>
      </c>
      <c r="U506" s="21"/>
      <c r="W506" s="21"/>
      <c r="X506" s="21"/>
    </row>
    <row r="507" spans="2:24" ht="16">
      <c r="B507" s="14" t="str">
        <f t="shared" ca="1" si="1"/>
        <v>ISL</v>
      </c>
      <c r="C507" s="23" t="str">
        <f ca="1">IFERROR(__xludf.DUMMYFUNCTION("""COMPUTED_VALUE"""),"ISL99")</f>
        <v>ISL99</v>
      </c>
      <c r="D507" s="6" t="str">
        <f ca="1">IFERROR(__xludf.DUMMYFUNCTION("""COMPUTED_VALUE"""),"PROPIOS")</f>
        <v>PROPIOS</v>
      </c>
      <c r="E507" s="6">
        <f ca="1">IFERROR(__xludf.DUMMYFUNCTION("""COMPUTED_VALUE"""),2026)</f>
        <v>2026</v>
      </c>
      <c r="F507" s="15">
        <f ca="1">IFERROR(__xludf.DUMMYFUNCTION("""COMPUTED_VALUE"""),2)</f>
        <v>2</v>
      </c>
      <c r="G507" s="6" t="str">
        <f ca="1">IFERROR(__xludf.DUMMYFUNCTION("""COMPUTED_VALUE"""),"Alicante")</f>
        <v>Alicante</v>
      </c>
      <c r="H507" s="6" t="str">
        <f ca="1">IFERROR(__xludf.DUMMYFUNCTION("""COMPUTED_VALUE"""),"ALC-495")</f>
        <v>ALC-495</v>
      </c>
      <c r="I507" s="6" t="str">
        <f ca="1">IFERROR(__xludf.DUMMYFUNCTION("""COMPUTED_VALUE"""),"FAUSTINO SOBRADO FERNANDEZ")</f>
        <v>FAUSTINO SOBRADO FERNANDEZ</v>
      </c>
      <c r="J507" s="16">
        <f ca="1">IFERROR(__xludf.DUMMYFUNCTION("""COMPUTED_VALUE"""),45818)</f>
        <v>45818</v>
      </c>
      <c r="K507" s="6" t="str">
        <f ca="1">IFERROR(__xludf.DUMMYFUNCTION("""COMPUTED_VALUE"""),"Devuelve")</f>
        <v>Devuelve</v>
      </c>
      <c r="L507" s="16">
        <f ca="1">IFERROR(__xludf.DUMMYFUNCTION("""COMPUTED_VALUE"""),46058)</f>
        <v>46058</v>
      </c>
      <c r="M507" s="23" t="str">
        <f ca="1">IFERROR(__xludf.DUMMYFUNCTION("""COMPUTED_VALUE"""),"NO")</f>
        <v>NO</v>
      </c>
      <c r="N507" s="15">
        <f ca="1">IFERROR(__xludf.DUMMYFUNCTION("""COMPUTED_VALUE"""),2)</f>
        <v>2</v>
      </c>
      <c r="O507" s="23" t="str">
        <f ca="1">IFERROR(__xludf.DUMMYFUNCTION("""COMPUTED_VALUE"""),"QUIET")</f>
        <v>QUIET</v>
      </c>
      <c r="P507" s="21">
        <f ca="1">IFERROR(__xludf.DUMMYFUNCTION("""COMPUTED_VALUE"""),2718.18)</f>
        <v>2718.18</v>
      </c>
      <c r="Q507" s="6" t="str">
        <f ca="1">IFERROR(__xludf.DUMMYFUNCTION("""COMPUTED_VALUE"""),"Iván Sánchez")</f>
        <v>Iván Sánchez</v>
      </c>
      <c r="R507" s="6" t="str">
        <f ca="1">IFERROR(__xludf.DUMMYFUNCTION("""COMPUTED_VALUE"""),"Cristina Muñoz Pinto")</f>
        <v>Cristina Muñoz Pinto</v>
      </c>
      <c r="S507" s="20" t="str">
        <f ca="1">IFERROR(__xludf.DUMMYFUNCTION("""COMPUTED_VALUE"""),"03 ORL")</f>
        <v>03 ORL</v>
      </c>
      <c r="T507" s="6" t="str">
        <f ca="1">IFERROR(__xludf.DUMMYFUNCTION("""COMPUTED_VALUE"""),"06 ORL")</f>
        <v>06 ORL</v>
      </c>
      <c r="U507" s="21"/>
      <c r="W507" s="21"/>
      <c r="X507" s="21"/>
    </row>
    <row r="508" spans="2:24" ht="16">
      <c r="B508" s="14" t="str">
        <f t="shared" ca="1" si="1"/>
        <v>ISL</v>
      </c>
      <c r="C508" s="23" t="str">
        <f ca="1">IFERROR(__xludf.DUMMYFUNCTION("""COMPUTED_VALUE"""),"ISL14")</f>
        <v>ISL14</v>
      </c>
      <c r="D508" s="6" t="str">
        <f ca="1">IFERROR(__xludf.DUMMYFUNCTION("""COMPUTED_VALUE"""),"PROPIOS")</f>
        <v>PROPIOS</v>
      </c>
      <c r="E508" s="6">
        <f ca="1">IFERROR(__xludf.DUMMYFUNCTION("""COMPUTED_VALUE"""),2026)</f>
        <v>2026</v>
      </c>
      <c r="F508" s="15">
        <f ca="1">IFERROR(__xludf.DUMMYFUNCTION("""COMPUTED_VALUE"""),3)</f>
        <v>3</v>
      </c>
      <c r="G508" s="6" t="str">
        <f ca="1">IFERROR(__xludf.DUMMYFUNCTION("""COMPUTED_VALUE"""),"Alicante")</f>
        <v>Alicante</v>
      </c>
      <c r="H508" s="6" t="str">
        <f ca="1">IFERROR(__xludf.DUMMYFUNCTION("""COMPUTED_VALUE"""),"ALC-1020")</f>
        <v>ALC-1020</v>
      </c>
      <c r="I508" s="6" t="str">
        <f ca="1">IFERROR(__xludf.DUMMYFUNCTION("""COMPUTED_VALUE"""),"FRANCISCA CANOVAS NORTES")</f>
        <v>FRANCISCA CANOVAS NORTES</v>
      </c>
      <c r="J508" s="16">
        <f ca="1">IFERROR(__xludf.DUMMYFUNCTION("""COMPUTED_VALUE"""),46072)</f>
        <v>46072</v>
      </c>
      <c r="K508" s="6" t="str">
        <f ca="1">IFERROR(__xludf.DUMMYFUNCTION("""COMPUTED_VALUE"""),"Prueba")</f>
        <v>Prueba</v>
      </c>
      <c r="L508" s="16">
        <f ca="1">IFERROR(__xludf.DUMMYFUNCTION("""COMPUTED_VALUE"""),46085)</f>
        <v>46085</v>
      </c>
      <c r="M508" s="23" t="str">
        <f ca="1">IFERROR(__xludf.DUMMYFUNCTION("""COMPUTED_VALUE"""),"NO")</f>
        <v>NO</v>
      </c>
      <c r="N508" s="15">
        <f ca="1">IFERROR(__xludf.DUMMYFUNCTION("""COMPUTED_VALUE"""),2)</f>
        <v>2</v>
      </c>
      <c r="O508" s="23" t="str">
        <f ca="1">IFERROR(__xludf.DUMMYFUNCTION("""COMPUTED_VALUE"""),"TRIAL")</f>
        <v>TRIAL</v>
      </c>
      <c r="P508" s="21">
        <f ca="1">IFERROR(__xludf.DUMMYFUNCTION("""COMPUTED_VALUE"""),3631.82)</f>
        <v>3631.82</v>
      </c>
      <c r="Q508" s="6" t="str">
        <f ca="1">IFERROR(__xludf.DUMMYFUNCTION("""COMPUTED_VALUE"""),"Iván Sánchez")</f>
        <v>Iván Sánchez</v>
      </c>
      <c r="R508" s="6" t="str">
        <f ca="1">IFERROR(__xludf.DUMMYFUNCTION("""COMPUTED_VALUE"""),"Carlos Velásquez Fermín")</f>
        <v>Carlos Velásquez Fermín</v>
      </c>
      <c r="S508" s="20" t="str">
        <f ca="1">IFERROR(__xludf.DUMMYFUNCTION("""COMPUTED_VALUE"""),"03 ORL")</f>
        <v>03 ORL</v>
      </c>
      <c r="T508" s="6" t="str">
        <f ca="1">IFERROR(__xludf.DUMMYFUNCTION("""COMPUTED_VALUE"""),"06 ORL")</f>
        <v>06 ORL</v>
      </c>
      <c r="U508" s="21"/>
      <c r="W508" s="21"/>
      <c r="X508" s="21"/>
    </row>
    <row r="509" spans="2:24" ht="16">
      <c r="B509" s="14" t="str">
        <f t="shared" ca="1" si="1"/>
        <v>ISL</v>
      </c>
      <c r="C509" s="23" t="str">
        <f ca="1">IFERROR(__xludf.DUMMYFUNCTION("""COMPUTED_VALUE"""),"ISL126")</f>
        <v>ISL126</v>
      </c>
      <c r="D509" s="6" t="str">
        <f ca="1">IFERROR(__xludf.DUMMYFUNCTION("""COMPUTED_VALUE"""),"PROPIOS")</f>
        <v>PROPIOS</v>
      </c>
      <c r="E509" s="6">
        <f ca="1">IFERROR(__xludf.DUMMYFUNCTION("""COMPUTED_VALUE"""),2026)</f>
        <v>2026</v>
      </c>
      <c r="F509" s="15">
        <f ca="1">IFERROR(__xludf.DUMMYFUNCTION("""COMPUTED_VALUE"""),1)</f>
        <v>1</v>
      </c>
      <c r="G509" s="6" t="str">
        <f ca="1">IFERROR(__xludf.DUMMYFUNCTION("""COMPUTED_VALUE"""),"Alicante")</f>
        <v>Alicante</v>
      </c>
      <c r="H509" s="6" t="str">
        <f ca="1">IFERROR(__xludf.DUMMYFUNCTION("""COMPUTED_VALUE"""),"C202512269154334647")</f>
        <v>C202512269154334647</v>
      </c>
      <c r="I509" s="6" t="str">
        <f ca="1">IFERROR(__xludf.DUMMYFUNCTION("""COMPUTED_VALUE"""),"FRANCISCO CRESPO ALONSO")</f>
        <v>FRANCISCO CRESPO ALONSO</v>
      </c>
      <c r="J509" s="16">
        <f ca="1">IFERROR(__xludf.DUMMYFUNCTION("""COMPUTED_VALUE"""),46017)</f>
        <v>46017</v>
      </c>
      <c r="K509" s="6" t="str">
        <f ca="1">IFERROR(__xludf.DUMMYFUNCTION("""COMPUTED_VALUE"""),"Devuelve")</f>
        <v>Devuelve</v>
      </c>
      <c r="L509" s="16">
        <f ca="1">IFERROR(__xludf.DUMMYFUNCTION("""COMPUTED_VALUE"""),46031)</f>
        <v>46031</v>
      </c>
      <c r="M509" s="23" t="str">
        <f ca="1">IFERROR(__xludf.DUMMYFUNCTION("""COMPUTED_VALUE"""),"NO")</f>
        <v>NO</v>
      </c>
      <c r="N509" s="15">
        <f ca="1">IFERROR(__xludf.DUMMYFUNCTION("""COMPUTED_VALUE"""),2)</f>
        <v>2</v>
      </c>
      <c r="O509" s="17" t="str">
        <f ca="1">IFERROR(__xludf.DUMMYFUNCTION("""COMPUTED_VALUE"""),"QUIET")</f>
        <v>QUIET</v>
      </c>
      <c r="P509" s="21">
        <f ca="1">IFERROR(__xludf.DUMMYFUNCTION("""COMPUTED_VALUE"""),2718.18)</f>
        <v>2718.18</v>
      </c>
      <c r="Q509" s="6" t="str">
        <f ca="1">IFERROR(__xludf.DUMMYFUNCTION("""COMPUTED_VALUE"""),"Iván Sánchez")</f>
        <v>Iván Sánchez</v>
      </c>
      <c r="R509" s="6" t="str">
        <f ca="1">IFERROR(__xludf.DUMMYFUNCTION("""COMPUTED_VALUE"""),"Mónica Rodríguez Briceño")</f>
        <v>Mónica Rodríguez Briceño</v>
      </c>
      <c r="S509" s="20" t="str">
        <f ca="1">IFERROR(__xludf.DUMMYFUNCTION("""COMPUTED_VALUE"""),"03 ORL")</f>
        <v>03 ORL</v>
      </c>
      <c r="T509" s="6" t="str">
        <f ca="1">IFERROR(__xludf.DUMMYFUNCTION("""COMPUTED_VALUE"""),"06 ORL")</f>
        <v>06 ORL</v>
      </c>
      <c r="U509" s="21"/>
      <c r="W509" s="21"/>
      <c r="X509" s="21"/>
    </row>
    <row r="510" spans="2:24" ht="16">
      <c r="B510" s="14" t="str">
        <f t="shared" ca="1" si="1"/>
        <v>ISL</v>
      </c>
      <c r="C510" s="23" t="str">
        <f ca="1">IFERROR(__xludf.DUMMYFUNCTION("""COMPUTED_VALUE"""),"ISL99")</f>
        <v>ISL99</v>
      </c>
      <c r="D510" s="6" t="str">
        <f ca="1">IFERROR(__xludf.DUMMYFUNCTION("""COMPUTED_VALUE"""),"PROPIOS")</f>
        <v>PROPIOS</v>
      </c>
      <c r="E510" s="6">
        <f ca="1">IFERROR(__xludf.DUMMYFUNCTION("""COMPUTED_VALUE"""),2026)</f>
        <v>2026</v>
      </c>
      <c r="F510" s="15">
        <f ca="1">IFERROR(__xludf.DUMMYFUNCTION("""COMPUTED_VALUE"""),3)</f>
        <v>3</v>
      </c>
      <c r="G510" s="6" t="str">
        <f ca="1">IFERROR(__xludf.DUMMYFUNCTION("""COMPUTED_VALUE"""),"Alicante")</f>
        <v>Alicante</v>
      </c>
      <c r="H510" s="6" t="str">
        <f ca="1">IFERROR(__xludf.DUMMYFUNCTION("""COMPUTED_VALUE"""),"C20262691554877216")</f>
        <v>C20262691554877216</v>
      </c>
      <c r="I510" s="6" t="str">
        <f ca="1">IFERROR(__xludf.DUMMYFUNCTION("""COMPUTED_VALUE"""),"FRANCISCO DE CASTRO CONTRERAS")</f>
        <v>FRANCISCO DE CASTRO CONTRERAS</v>
      </c>
      <c r="J510" s="16">
        <f ca="1">IFERROR(__xludf.DUMMYFUNCTION("""COMPUTED_VALUE"""),46059)</f>
        <v>46059</v>
      </c>
      <c r="K510" s="6" t="str">
        <f ca="1">IFERROR(__xludf.DUMMYFUNCTION("""COMPUTED_VALUE"""),"Devuelve")</f>
        <v>Devuelve</v>
      </c>
      <c r="L510" s="16">
        <f ca="1">IFERROR(__xludf.DUMMYFUNCTION("""COMPUTED_VALUE"""),46086)</f>
        <v>46086</v>
      </c>
      <c r="M510" s="23" t="str">
        <f ca="1">IFERROR(__xludf.DUMMYFUNCTION("""COMPUTED_VALUE"""),"NO")</f>
        <v>NO</v>
      </c>
      <c r="N510" s="15">
        <f ca="1">IFERROR(__xludf.DUMMYFUNCTION("""COMPUTED_VALUE"""),2)</f>
        <v>2</v>
      </c>
      <c r="O510" s="23" t="str">
        <f ca="1">IFERROR(__xludf.DUMMYFUNCTION("""COMPUTED_VALUE"""),"ADVANCED")</f>
        <v>ADVANCED</v>
      </c>
      <c r="P510" s="21">
        <f ca="1">IFERROR(__xludf.DUMMYFUNCTION("""COMPUTED_VALUE"""),4381.27)</f>
        <v>4381.2700000000004</v>
      </c>
      <c r="Q510" s="6" t="str">
        <f ca="1">IFERROR(__xludf.DUMMYFUNCTION("""COMPUTED_VALUE"""),"Iván Sánchez")</f>
        <v>Iván Sánchez</v>
      </c>
      <c r="R510" s="6" t="str">
        <f ca="1">IFERROR(__xludf.DUMMYFUNCTION("""COMPUTED_VALUE"""),"Cristina Muñoz Pinto")</f>
        <v>Cristina Muñoz Pinto</v>
      </c>
      <c r="S510" s="20" t="str">
        <f ca="1">IFERROR(__xludf.DUMMYFUNCTION("""COMPUTED_VALUE"""),"03 ORL")</f>
        <v>03 ORL</v>
      </c>
      <c r="T510" s="6" t="str">
        <f ca="1">IFERROR(__xludf.DUMMYFUNCTION("""COMPUTED_VALUE"""),"06 ORL")</f>
        <v>06 ORL</v>
      </c>
      <c r="U510" s="21"/>
      <c r="W510" s="21"/>
      <c r="X510" s="21"/>
    </row>
    <row r="511" spans="2:24" ht="16">
      <c r="B511" s="14" t="str">
        <f t="shared" ca="1" si="1"/>
        <v>ISL</v>
      </c>
      <c r="C511" s="23" t="str">
        <f ca="1">IFERROR(__xludf.DUMMYFUNCTION("""COMPUTED_VALUE"""),"ISL37")</f>
        <v>ISL37</v>
      </c>
      <c r="D511" s="6" t="str">
        <f ca="1">IFERROR(__xludf.DUMMYFUNCTION("""COMPUTED_VALUE"""),"PROPIOS")</f>
        <v>PROPIOS</v>
      </c>
      <c r="E511" s="6">
        <f ca="1">IFERROR(__xludf.DUMMYFUNCTION("""COMPUTED_VALUE"""),2026)</f>
        <v>2026</v>
      </c>
      <c r="F511" s="15">
        <f ca="1">IFERROR(__xludf.DUMMYFUNCTION("""COMPUTED_VALUE"""),3)</f>
        <v>3</v>
      </c>
      <c r="G511" s="6" t="str">
        <f ca="1">IFERROR(__xludf.DUMMYFUNCTION("""COMPUTED_VALUE"""),"Alicante")</f>
        <v>Alicante</v>
      </c>
      <c r="H511" s="6" t="str">
        <f ca="1">IFERROR(__xludf.DUMMYFUNCTION("""COMPUTED_VALUE"""),"C202624105036984181")</f>
        <v>C202624105036984181</v>
      </c>
      <c r="I511" s="6" t="str">
        <f ca="1">IFERROR(__xludf.DUMMYFUNCTION("""COMPUTED_VALUE"""),"JUAN JOSE ALBEROLA PEREZ")</f>
        <v>JUAN JOSE ALBEROLA PEREZ</v>
      </c>
      <c r="J511" s="16">
        <f ca="1">IFERROR(__xludf.DUMMYFUNCTION("""COMPUTED_VALUE"""),46057)</f>
        <v>46057</v>
      </c>
      <c r="K511" s="6" t="str">
        <f ca="1">IFERROR(__xludf.DUMMYFUNCTION("""COMPUTED_VALUE"""),"Prueba")</f>
        <v>Prueba</v>
      </c>
      <c r="L511" s="16">
        <f ca="1">IFERROR(__xludf.DUMMYFUNCTION("""COMPUTED_VALUE"""),46112)</f>
        <v>46112</v>
      </c>
      <c r="M511" s="23" t="str">
        <f ca="1">IFERROR(__xludf.DUMMYFUNCTION("""COMPUTED_VALUE"""),"NO")</f>
        <v>NO</v>
      </c>
      <c r="N511" s="15">
        <f ca="1">IFERROR(__xludf.DUMMYFUNCTION("""COMPUTED_VALUE"""),1)</f>
        <v>1</v>
      </c>
      <c r="O511" s="23" t="str">
        <f ca="1">IFERROR(__xludf.DUMMYFUNCTION("""COMPUTED_VALUE"""),"TRIAL")</f>
        <v>TRIAL</v>
      </c>
      <c r="P511" s="21">
        <f ca="1">IFERROR(__xludf.DUMMYFUNCTION("""COMPUTED_VALUE"""),2266.36)</f>
        <v>2266.36</v>
      </c>
      <c r="Q511" s="6" t="str">
        <f ca="1">IFERROR(__xludf.DUMMYFUNCTION("""COMPUTED_VALUE"""),"Iván Sánchez")</f>
        <v>Iván Sánchez</v>
      </c>
      <c r="R511" s="6" t="str">
        <f ca="1">IFERROR(__xludf.DUMMYFUNCTION("""COMPUTED_VALUE"""),"Guillermo Severá Ferrándiz")</f>
        <v>Guillermo Severá Ferrándiz</v>
      </c>
      <c r="S511" s="20" t="str">
        <f ca="1">IFERROR(__xludf.DUMMYFUNCTION("""COMPUTED_VALUE"""),"03 ORL")</f>
        <v>03 ORL</v>
      </c>
      <c r="T511" s="6" t="str">
        <f ca="1">IFERROR(__xludf.DUMMYFUNCTION("""COMPUTED_VALUE"""),"06 ORL")</f>
        <v>06 ORL</v>
      </c>
      <c r="U511" s="21"/>
      <c r="W511" s="21"/>
      <c r="X511" s="21"/>
    </row>
    <row r="512" spans="2:24" ht="16">
      <c r="B512" s="14" t="str">
        <f t="shared" ref="B512:B536" ca="1" si="2">IF($C512="","",LEFT(C512,3))</f>
        <v>ISL</v>
      </c>
      <c r="C512" s="23" t="str">
        <f ca="1">IFERROR(__xludf.DUMMYFUNCTION("""COMPUTED_VALUE"""),"ISL14")</f>
        <v>ISL14</v>
      </c>
      <c r="D512" s="6" t="str">
        <f ca="1">IFERROR(__xludf.DUMMYFUNCTION("""COMPUTED_VALUE"""),"PROPIOS")</f>
        <v>PROPIOS</v>
      </c>
      <c r="E512" s="6">
        <f ca="1">IFERROR(__xludf.DUMMYFUNCTION("""COMPUTED_VALUE"""),2026)</f>
        <v>2026</v>
      </c>
      <c r="F512" s="15">
        <f ca="1">IFERROR(__xludf.DUMMYFUNCTION("""COMPUTED_VALUE"""),2)</f>
        <v>2</v>
      </c>
      <c r="G512" s="6" t="str">
        <f ca="1">IFERROR(__xludf.DUMMYFUNCTION("""COMPUTED_VALUE"""),"Alicante")</f>
        <v>Alicante</v>
      </c>
      <c r="H512" s="6" t="str">
        <f ca="1">IFERROR(__xludf.DUMMYFUNCTION("""COMPUTED_VALUE"""),"C20262410397349722")</f>
        <v>C20262410397349722</v>
      </c>
      <c r="I512" s="6" t="str">
        <f ca="1">IFERROR(__xludf.DUMMYFUNCTION("""COMPUTED_VALUE"""),"JUSTO GARCIA ESCALANTE")</f>
        <v>JUSTO GARCIA ESCALANTE</v>
      </c>
      <c r="J512" s="16">
        <f ca="1">IFERROR(__xludf.DUMMYFUNCTION("""COMPUTED_VALUE"""),46057)</f>
        <v>46057</v>
      </c>
      <c r="K512" s="6" t="str">
        <f ca="1">IFERROR(__xludf.DUMMYFUNCTION("""COMPUTED_VALUE"""),"Presupuesto")</f>
        <v>Presupuesto</v>
      </c>
      <c r="L512" s="16">
        <f ca="1">IFERROR(__xludf.DUMMYFUNCTION("""COMPUTED_VALUE"""),46064)</f>
        <v>46064</v>
      </c>
      <c r="M512" s="23" t="str">
        <f ca="1">IFERROR(__xludf.DUMMYFUNCTION("""COMPUTED_VALUE"""),"NO")</f>
        <v>NO</v>
      </c>
      <c r="N512" s="15">
        <f ca="1">IFERROR(__xludf.DUMMYFUNCTION("""COMPUTED_VALUE"""),2)</f>
        <v>2</v>
      </c>
      <c r="O512" s="23" t="str">
        <f ca="1">IFERROR(__xludf.DUMMYFUNCTION("""COMPUTED_VALUE"""),"QUIET")</f>
        <v>QUIET</v>
      </c>
      <c r="P512" s="21">
        <f ca="1">IFERROR(__xludf.DUMMYFUNCTION("""COMPUTED_VALUE"""),2718.18)</f>
        <v>2718.18</v>
      </c>
      <c r="Q512" s="6" t="str">
        <f ca="1">IFERROR(__xludf.DUMMYFUNCTION("""COMPUTED_VALUE"""),"Iván Sánchez")</f>
        <v>Iván Sánchez</v>
      </c>
      <c r="R512" s="6" t="str">
        <f ca="1">IFERROR(__xludf.DUMMYFUNCTION("""COMPUTED_VALUE"""),"Carlos Velásquez Fermín")</f>
        <v>Carlos Velásquez Fermín</v>
      </c>
      <c r="S512" s="20" t="str">
        <f ca="1">IFERROR(__xludf.DUMMYFUNCTION("""COMPUTED_VALUE"""),"03 ORL")</f>
        <v>03 ORL</v>
      </c>
      <c r="T512" s="6" t="str">
        <f ca="1">IFERROR(__xludf.DUMMYFUNCTION("""COMPUTED_VALUE"""),"06 ORL")</f>
        <v>06 ORL</v>
      </c>
      <c r="U512" s="21"/>
      <c r="W512" s="21"/>
      <c r="X512" s="21"/>
    </row>
    <row r="513" spans="2:24" ht="16">
      <c r="B513" s="14" t="str">
        <f t="shared" ca="1" si="2"/>
        <v>ISL</v>
      </c>
      <c r="C513" s="23" t="str">
        <f ca="1">IFERROR(__xludf.DUMMYFUNCTION("""COMPUTED_VALUE"""),"ISL151")</f>
        <v>ISL151</v>
      </c>
      <c r="D513" s="6" t="str">
        <f ca="1">IFERROR(__xludf.DUMMYFUNCTION("""COMPUTED_VALUE"""),"PROPIOS")</f>
        <v>PROPIOS</v>
      </c>
      <c r="E513" s="6">
        <f ca="1">IFERROR(__xludf.DUMMYFUNCTION("""COMPUTED_VALUE"""),2026)</f>
        <v>2026</v>
      </c>
      <c r="F513" s="15">
        <f ca="1">IFERROR(__xludf.DUMMYFUNCTION("""COMPUTED_VALUE"""),3)</f>
        <v>3</v>
      </c>
      <c r="G513" s="6" t="str">
        <f ca="1">IFERROR(__xludf.DUMMYFUNCTION("""COMPUTED_VALUE"""),"Alicante")</f>
        <v>Alicante</v>
      </c>
      <c r="H513" s="6" t="str">
        <f ca="1">IFERROR(__xludf.DUMMYFUNCTION("""COMPUTED_VALUE"""),"C202632105557234887")</f>
        <v>C202632105557234887</v>
      </c>
      <c r="I513" s="6" t="str">
        <f ca="1">IFERROR(__xludf.DUMMYFUNCTION("""COMPUTED_VALUE"""),"MANUEL BUTRON LOPEZ")</f>
        <v>MANUEL BUTRON LOPEZ</v>
      </c>
      <c r="J513" s="16">
        <f ca="1">IFERROR(__xludf.DUMMYFUNCTION("""COMPUTED_VALUE"""),46083)</f>
        <v>46083</v>
      </c>
      <c r="K513" s="6" t="str">
        <f ca="1">IFERROR(__xludf.DUMMYFUNCTION("""COMPUTED_VALUE"""),"Presupuesto")</f>
        <v>Presupuesto</v>
      </c>
      <c r="L513" s="16">
        <f ca="1">IFERROR(__xludf.DUMMYFUNCTION("""COMPUTED_VALUE"""),46085)</f>
        <v>46085</v>
      </c>
      <c r="M513" s="23" t="str">
        <f ca="1">IFERROR(__xludf.DUMMYFUNCTION("""COMPUTED_VALUE"""),"NO")</f>
        <v>NO</v>
      </c>
      <c r="N513" s="15">
        <f ca="1">IFERROR(__xludf.DUMMYFUNCTION("""COMPUTED_VALUE"""),2)</f>
        <v>2</v>
      </c>
      <c r="O513" s="23" t="str">
        <f ca="1">IFERROR(__xludf.DUMMYFUNCTION("""COMPUTED_VALUE"""),"QUIET")</f>
        <v>QUIET</v>
      </c>
      <c r="P513" s="21">
        <f ca="1">IFERROR(__xludf.DUMMYFUNCTION("""COMPUTED_VALUE"""),2718.18)</f>
        <v>2718.18</v>
      </c>
      <c r="Q513" s="6" t="str">
        <f ca="1">IFERROR(__xludf.DUMMYFUNCTION("""COMPUTED_VALUE"""),"Iván Sánchez")</f>
        <v>Iván Sánchez</v>
      </c>
      <c r="R513" s="6" t="str">
        <f ca="1">IFERROR(__xludf.DUMMYFUNCTION("""COMPUTED_VALUE"""),"Laura Isabel del Amo Martínez")</f>
        <v>Laura Isabel del Amo Martínez</v>
      </c>
      <c r="S513" s="20" t="str">
        <f ca="1">IFERROR(__xludf.DUMMYFUNCTION("""COMPUTED_VALUE"""),"03 ORL")</f>
        <v>03 ORL</v>
      </c>
      <c r="T513" s="6" t="str">
        <f ca="1">IFERROR(__xludf.DUMMYFUNCTION("""COMPUTED_VALUE"""),"06 ORL")</f>
        <v>06 ORL</v>
      </c>
      <c r="U513" s="21"/>
      <c r="W513" s="21"/>
      <c r="X513" s="21"/>
    </row>
    <row r="514" spans="2:24" ht="16">
      <c r="B514" s="14" t="str">
        <f t="shared" ca="1" si="2"/>
        <v>ISL</v>
      </c>
      <c r="C514" s="23" t="str">
        <f ca="1">IFERROR(__xludf.DUMMYFUNCTION("""COMPUTED_VALUE"""),"ISL29")</f>
        <v>ISL29</v>
      </c>
      <c r="D514" s="6" t="str">
        <f ca="1">IFERROR(__xludf.DUMMYFUNCTION("""COMPUTED_VALUE"""),"PROPIOS")</f>
        <v>PROPIOS</v>
      </c>
      <c r="E514" s="6">
        <f ca="1">IFERROR(__xludf.DUMMYFUNCTION("""COMPUTED_VALUE"""),2026)</f>
        <v>2026</v>
      </c>
      <c r="F514" s="15">
        <f ca="1">IFERROR(__xludf.DUMMYFUNCTION("""COMPUTED_VALUE"""),3)</f>
        <v>3</v>
      </c>
      <c r="G514" s="6" t="str">
        <f ca="1">IFERROR(__xludf.DUMMYFUNCTION("""COMPUTED_VALUE"""),"Alicante")</f>
        <v>Alicante</v>
      </c>
      <c r="H514" s="6" t="str">
        <f ca="1">IFERROR(__xludf.DUMMYFUNCTION("""COMPUTED_VALUE"""),"C202632095841300829")</f>
        <v>C202632095841300829</v>
      </c>
      <c r="I514" s="6" t="str">
        <f ca="1">IFERROR(__xludf.DUMMYFUNCTION("""COMPUTED_VALUE"""),"MANUEL GOMEZ MARQUEZ")</f>
        <v>MANUEL GOMEZ MARQUEZ</v>
      </c>
      <c r="J514" s="16">
        <f ca="1">IFERROR(__xludf.DUMMYFUNCTION("""COMPUTED_VALUE"""),46101)</f>
        <v>46101</v>
      </c>
      <c r="K514" s="6" t="str">
        <f ca="1">IFERROR(__xludf.DUMMYFUNCTION("""COMPUTED_VALUE"""),"Presupuesto")</f>
        <v>Presupuesto</v>
      </c>
      <c r="L514" s="16">
        <f ca="1">IFERROR(__xludf.DUMMYFUNCTION("""COMPUTED_VALUE"""),46112)</f>
        <v>46112</v>
      </c>
      <c r="M514" s="23" t="str">
        <f ca="1">IFERROR(__xludf.DUMMYFUNCTION("""COMPUTED_VALUE"""),"NO")</f>
        <v>NO</v>
      </c>
      <c r="N514" s="15">
        <f ca="1">IFERROR(__xludf.DUMMYFUNCTION("""COMPUTED_VALUE"""),2)</f>
        <v>2</v>
      </c>
      <c r="O514" s="23" t="str">
        <f ca="1">IFERROR(__xludf.DUMMYFUNCTION("""COMPUTED_VALUE"""),"QUIET")</f>
        <v>QUIET</v>
      </c>
      <c r="P514" s="21">
        <f ca="1">IFERROR(__xludf.DUMMYFUNCTION("""COMPUTED_VALUE"""),2718.18)</f>
        <v>2718.18</v>
      </c>
      <c r="Q514" s="6" t="str">
        <f ca="1">IFERROR(__xludf.DUMMYFUNCTION("""COMPUTED_VALUE"""),"Iván Sánchez")</f>
        <v>Iván Sánchez</v>
      </c>
      <c r="R514" s="6" t="str">
        <f ca="1">IFERROR(__xludf.DUMMYFUNCTION("""COMPUTED_VALUE"""),"Félix Ruíz de la Cuesta Juste")</f>
        <v>Félix Ruíz de la Cuesta Juste</v>
      </c>
      <c r="S514" s="20" t="str">
        <f ca="1">IFERROR(__xludf.DUMMYFUNCTION("""COMPUTED_VALUE"""),"03 ORL")</f>
        <v>03 ORL</v>
      </c>
      <c r="T514" s="6" t="str">
        <f ca="1">IFERROR(__xludf.DUMMYFUNCTION("""COMPUTED_VALUE"""),"06 ORL")</f>
        <v>06 ORL</v>
      </c>
      <c r="U514" s="21"/>
      <c r="W514" s="21"/>
      <c r="X514" s="21"/>
    </row>
    <row r="515" spans="2:24" ht="16">
      <c r="B515" s="14" t="str">
        <f t="shared" ca="1" si="2"/>
        <v>ISL</v>
      </c>
      <c r="C515" s="23" t="str">
        <f ca="1">IFERROR(__xludf.DUMMYFUNCTION("""COMPUTED_VALUE"""),"ISL14")</f>
        <v>ISL14</v>
      </c>
      <c r="D515" s="6" t="str">
        <f ca="1">IFERROR(__xludf.DUMMYFUNCTION("""COMPUTED_VALUE"""),"PROPIOS")</f>
        <v>PROPIOS</v>
      </c>
      <c r="E515" s="6">
        <f ca="1">IFERROR(__xludf.DUMMYFUNCTION("""COMPUTED_VALUE"""),2026)</f>
        <v>2026</v>
      </c>
      <c r="F515" s="15">
        <f ca="1">IFERROR(__xludf.DUMMYFUNCTION("""COMPUTED_VALUE"""),1)</f>
        <v>1</v>
      </c>
      <c r="G515" s="6" t="str">
        <f ca="1">IFERROR(__xludf.DUMMYFUNCTION("""COMPUTED_VALUE"""),"Alicante")</f>
        <v>Alicante</v>
      </c>
      <c r="H515" s="6" t="str">
        <f ca="1">IFERROR(__xludf.DUMMYFUNCTION("""COMPUTED_VALUE"""),"C202611214398448558")</f>
        <v>C202611214398448558</v>
      </c>
      <c r="I515" s="6" t="str">
        <f ca="1">IFERROR(__xludf.DUMMYFUNCTION("""COMPUTED_VALUE"""),"MARGARITA GEYER DE SOLER")</f>
        <v>MARGARITA GEYER DE SOLER</v>
      </c>
      <c r="J515" s="16">
        <f ca="1">IFERROR(__xludf.DUMMYFUNCTION("""COMPUTED_VALUE"""),46034)</f>
        <v>46034</v>
      </c>
      <c r="K515" s="6" t="str">
        <f ca="1">IFERROR(__xludf.DUMMYFUNCTION("""COMPUTED_VALUE"""),"Devuelve")</f>
        <v>Devuelve</v>
      </c>
      <c r="L515" s="16">
        <f ca="1">IFERROR(__xludf.DUMMYFUNCTION("""COMPUTED_VALUE"""),46036)</f>
        <v>46036</v>
      </c>
      <c r="M515" s="23" t="str">
        <f ca="1">IFERROR(__xludf.DUMMYFUNCTION("""COMPUTED_VALUE"""),"NO")</f>
        <v>NO</v>
      </c>
      <c r="N515" s="15">
        <f ca="1">IFERROR(__xludf.DUMMYFUNCTION("""COMPUTED_VALUE"""),2)</f>
        <v>2</v>
      </c>
      <c r="O515" s="23" t="str">
        <f ca="1">IFERROR(__xludf.DUMMYFUNCTION("""COMPUTED_VALUE"""),"TRIAL")</f>
        <v>TRIAL</v>
      </c>
      <c r="P515" s="21">
        <f ca="1">IFERROR(__xludf.DUMMYFUNCTION("""COMPUTED_VALUE"""),3631.82)</f>
        <v>3631.82</v>
      </c>
      <c r="Q515" s="6" t="str">
        <f ca="1">IFERROR(__xludf.DUMMYFUNCTION("""COMPUTED_VALUE"""),"Iván Sánchez")</f>
        <v>Iván Sánchez</v>
      </c>
      <c r="R515" s="6" t="str">
        <f ca="1">IFERROR(__xludf.DUMMYFUNCTION("""COMPUTED_VALUE"""),"Carlos Velásquez Fermín")</f>
        <v>Carlos Velásquez Fermín</v>
      </c>
      <c r="S515" s="20" t="str">
        <f ca="1">IFERROR(__xludf.DUMMYFUNCTION("""COMPUTED_VALUE"""),"03 ORL")</f>
        <v>03 ORL</v>
      </c>
      <c r="T515" s="6" t="str">
        <f ca="1">IFERROR(__xludf.DUMMYFUNCTION("""COMPUTED_VALUE"""),"06 ORL")</f>
        <v>06 ORL</v>
      </c>
      <c r="U515" s="21"/>
      <c r="W515" s="21"/>
      <c r="X515" s="21"/>
    </row>
    <row r="516" spans="2:24" ht="16">
      <c r="B516" s="14" t="str">
        <f t="shared" ca="1" si="2"/>
        <v>ISL</v>
      </c>
      <c r="C516" s="23" t="str">
        <f ca="1">IFERROR(__xludf.DUMMYFUNCTION("""COMPUTED_VALUE"""),"ISL87")</f>
        <v>ISL87</v>
      </c>
      <c r="D516" s="6" t="str">
        <f ca="1">IFERROR(__xludf.DUMMYFUNCTION("""COMPUTED_VALUE"""),"PROPIOS")</f>
        <v>PROPIOS</v>
      </c>
      <c r="E516" s="6">
        <f ca="1">IFERROR(__xludf.DUMMYFUNCTION("""COMPUTED_VALUE"""),2026)</f>
        <v>2026</v>
      </c>
      <c r="F516" s="15">
        <f ca="1">IFERROR(__xludf.DUMMYFUNCTION("""COMPUTED_VALUE"""),1)</f>
        <v>1</v>
      </c>
      <c r="G516" s="6" t="str">
        <f ca="1">IFERROR(__xludf.DUMMYFUNCTION("""COMPUTED_VALUE"""),"Alicante")</f>
        <v>Alicante</v>
      </c>
      <c r="H516" s="6" t="str">
        <f ca="1">IFERROR(__xludf.DUMMYFUNCTION("""COMPUTED_VALUE"""),"C202611610314962662")</f>
        <v>C202611610314962662</v>
      </c>
      <c r="I516" s="6" t="str">
        <f ca="1">IFERROR(__xludf.DUMMYFUNCTION("""COMPUTED_VALUE"""),"MARIA DEL CARMEN AGUD MUÑOZ-CABALLERO")</f>
        <v>MARIA DEL CARMEN AGUD MUÑOZ-CABALLERO</v>
      </c>
      <c r="J516" s="16">
        <f ca="1">IFERROR(__xludf.DUMMYFUNCTION("""COMPUTED_VALUE"""),46038)</f>
        <v>46038</v>
      </c>
      <c r="K516" s="6" t="str">
        <f ca="1">IFERROR(__xludf.DUMMYFUNCTION("""COMPUTED_VALUE"""),"Presupuesto")</f>
        <v>Presupuesto</v>
      </c>
      <c r="L516" s="16">
        <f ca="1">IFERROR(__xludf.DUMMYFUNCTION("""COMPUTED_VALUE"""),46044)</f>
        <v>46044</v>
      </c>
      <c r="M516" s="23" t="str">
        <f ca="1">IFERROR(__xludf.DUMMYFUNCTION("""COMPUTED_VALUE"""),"NO")</f>
        <v>NO</v>
      </c>
      <c r="N516" s="15">
        <f ca="1">IFERROR(__xludf.DUMMYFUNCTION("""COMPUTED_VALUE"""),2)</f>
        <v>2</v>
      </c>
      <c r="O516" s="23" t="str">
        <f ca="1">IFERROR(__xludf.DUMMYFUNCTION("""COMPUTED_VALUE"""),"QUIET")</f>
        <v>QUIET</v>
      </c>
      <c r="P516" s="21">
        <f ca="1">IFERROR(__xludf.DUMMYFUNCTION("""COMPUTED_VALUE"""),2718.18)</f>
        <v>2718.18</v>
      </c>
      <c r="Q516" s="6" t="str">
        <f ca="1">IFERROR(__xludf.DUMMYFUNCTION("""COMPUTED_VALUE"""),"Iván Sánchez")</f>
        <v>Iván Sánchez</v>
      </c>
      <c r="R516" s="6" t="str">
        <f ca="1">IFERROR(__xludf.DUMMYFUNCTION("""COMPUTED_VALUE"""),"Alicia Mateo Espinosa")</f>
        <v>Alicia Mateo Espinosa</v>
      </c>
      <c r="S516" s="20" t="str">
        <f ca="1">IFERROR(__xludf.DUMMYFUNCTION("""COMPUTED_VALUE"""),"03 ORL")</f>
        <v>03 ORL</v>
      </c>
      <c r="T516" s="6" t="str">
        <f ca="1">IFERROR(__xludf.DUMMYFUNCTION("""COMPUTED_VALUE"""),"06 ORL")</f>
        <v>06 ORL</v>
      </c>
      <c r="U516" s="21"/>
      <c r="W516" s="21"/>
      <c r="X516" s="21"/>
    </row>
    <row r="517" spans="2:24" ht="16">
      <c r="B517" s="14" t="str">
        <f t="shared" ca="1" si="2"/>
        <v>ISL</v>
      </c>
      <c r="C517" s="23" t="str">
        <f ca="1">IFERROR(__xludf.DUMMYFUNCTION("""COMPUTED_VALUE"""),"ISL116")</f>
        <v>ISL116</v>
      </c>
      <c r="D517" s="6" t="str">
        <f ca="1">IFERROR(__xludf.DUMMYFUNCTION("""COMPUTED_VALUE"""),"PROPIOS")</f>
        <v>PROPIOS</v>
      </c>
      <c r="E517" s="6">
        <f ca="1">IFERROR(__xludf.DUMMYFUNCTION("""COMPUTED_VALUE"""),2026)</f>
        <v>2026</v>
      </c>
      <c r="F517" s="15">
        <f ca="1">IFERROR(__xludf.DUMMYFUNCTION("""COMPUTED_VALUE"""),3)</f>
        <v>3</v>
      </c>
      <c r="G517" s="6" t="str">
        <f ca="1">IFERROR(__xludf.DUMMYFUNCTION("""COMPUTED_VALUE"""),"Alicante")</f>
        <v>Alicante</v>
      </c>
      <c r="H517" s="6" t="str">
        <f ca="1">IFERROR(__xludf.DUMMYFUNCTION("""COMPUTED_VALUE"""),"ALC-3121")</f>
        <v>ALC-3121</v>
      </c>
      <c r="I517" s="6" t="str">
        <f ca="1">IFERROR(__xludf.DUMMYFUNCTION("""COMPUTED_VALUE"""),"MARIA DEL MAR GARCIA MAESTRE")</f>
        <v>MARIA DEL MAR GARCIA MAESTRE</v>
      </c>
      <c r="J517" s="16">
        <f ca="1">IFERROR(__xludf.DUMMYFUNCTION("""COMPUTED_VALUE"""),44823)</f>
        <v>44823</v>
      </c>
      <c r="K517" s="6" t="str">
        <f ca="1">IFERROR(__xludf.DUMMYFUNCTION("""COMPUTED_VALUE"""),"Devuelve")</f>
        <v>Devuelve</v>
      </c>
      <c r="L517" s="16">
        <f ca="1">IFERROR(__xludf.DUMMYFUNCTION("""COMPUTED_VALUE"""),46098)</f>
        <v>46098</v>
      </c>
      <c r="M517" s="23" t="str">
        <f ca="1">IFERROR(__xludf.DUMMYFUNCTION("""COMPUTED_VALUE"""),"NO")</f>
        <v>NO</v>
      </c>
      <c r="N517" s="15">
        <f ca="1">IFERROR(__xludf.DUMMYFUNCTION("""COMPUTED_VALUE"""),2)</f>
        <v>2</v>
      </c>
      <c r="O517" s="23" t="str">
        <f ca="1">IFERROR(__xludf.DUMMYFUNCTION("""COMPUTED_VALUE"""),"QUIET")</f>
        <v>QUIET</v>
      </c>
      <c r="P517" s="21">
        <f ca="1">IFERROR(__xludf.DUMMYFUNCTION("""COMPUTED_VALUE"""),2718.18)</f>
        <v>2718.18</v>
      </c>
      <c r="Q517" s="6" t="str">
        <f ca="1">IFERROR(__xludf.DUMMYFUNCTION("""COMPUTED_VALUE"""),"Iván Sánchez")</f>
        <v>Iván Sánchez</v>
      </c>
      <c r="R517" s="6" t="str">
        <f ca="1">IFERROR(__xludf.DUMMYFUNCTION("""COMPUTED_VALUE"""),"Maria Rosario Ferrandiz García")</f>
        <v>Maria Rosario Ferrandiz García</v>
      </c>
      <c r="S517" s="20" t="str">
        <f ca="1">IFERROR(__xludf.DUMMYFUNCTION("""COMPUTED_VALUE"""),"03 ORL")</f>
        <v>03 ORL</v>
      </c>
      <c r="T517" s="6" t="str">
        <f ca="1">IFERROR(__xludf.DUMMYFUNCTION("""COMPUTED_VALUE"""),"06 ORL")</f>
        <v>06 ORL</v>
      </c>
      <c r="U517" s="21"/>
      <c r="W517" s="21"/>
      <c r="X517" s="21"/>
    </row>
    <row r="518" spans="2:24" ht="16">
      <c r="B518" s="14" t="str">
        <f t="shared" ca="1" si="2"/>
        <v>ISL</v>
      </c>
      <c r="C518" s="23" t="str">
        <f ca="1">IFERROR(__xludf.DUMMYFUNCTION("""COMPUTED_VALUE"""),"ISL60")</f>
        <v>ISL60</v>
      </c>
      <c r="D518" s="6" t="str">
        <f ca="1">IFERROR(__xludf.DUMMYFUNCTION("""COMPUTED_VALUE"""),"PROPIOS")</f>
        <v>PROPIOS</v>
      </c>
      <c r="E518" s="6">
        <f ca="1">IFERROR(__xludf.DUMMYFUNCTION("""COMPUTED_VALUE"""),2026)</f>
        <v>2026</v>
      </c>
      <c r="F518" s="15">
        <f ca="1">IFERROR(__xludf.DUMMYFUNCTION("""COMPUTED_VALUE"""),3)</f>
        <v>3</v>
      </c>
      <c r="G518" s="6" t="str">
        <f ca="1">IFERROR(__xludf.DUMMYFUNCTION("""COMPUTED_VALUE"""),"Alicante")</f>
        <v>Alicante</v>
      </c>
      <c r="H518" s="6" t="str">
        <f ca="1">IFERROR(__xludf.DUMMYFUNCTION("""COMPUTED_VALUE"""),"C202635152717320758")</f>
        <v>C202635152717320758</v>
      </c>
      <c r="I518" s="6" t="str">
        <f ca="1">IFERROR(__xludf.DUMMYFUNCTION("""COMPUTED_VALUE"""),"MARIANO GRAU GOMEZ")</f>
        <v>MARIANO GRAU GOMEZ</v>
      </c>
      <c r="J518" s="16">
        <f ca="1">IFERROR(__xludf.DUMMYFUNCTION("""COMPUTED_VALUE"""),46086)</f>
        <v>46086</v>
      </c>
      <c r="K518" s="6" t="str">
        <f ca="1">IFERROR(__xludf.DUMMYFUNCTION("""COMPUTED_VALUE"""),"Prueba")</f>
        <v>Prueba</v>
      </c>
      <c r="L518" s="16">
        <f ca="1">IFERROR(__xludf.DUMMYFUNCTION("""COMPUTED_VALUE"""),46105)</f>
        <v>46105</v>
      </c>
      <c r="M518" s="23" t="str">
        <f ca="1">IFERROR(__xludf.DUMMYFUNCTION("""COMPUTED_VALUE"""),"NO")</f>
        <v>NO</v>
      </c>
      <c r="N518" s="15">
        <f ca="1">IFERROR(__xludf.DUMMYFUNCTION("""COMPUTED_VALUE"""),2)</f>
        <v>2</v>
      </c>
      <c r="O518" s="23" t="str">
        <f ca="1">IFERROR(__xludf.DUMMYFUNCTION("""COMPUTED_VALUE"""),"TRIAL")</f>
        <v>TRIAL</v>
      </c>
      <c r="P518" s="21">
        <f ca="1">IFERROR(__xludf.DUMMYFUNCTION("""COMPUTED_VALUE"""),3631.82)</f>
        <v>3631.82</v>
      </c>
      <c r="Q518" s="6" t="str">
        <f ca="1">IFERROR(__xludf.DUMMYFUNCTION("""COMPUTED_VALUE"""),"Iván Sánchez")</f>
        <v>Iván Sánchez</v>
      </c>
      <c r="R518" s="6" t="str">
        <f ca="1">IFERROR(__xludf.DUMMYFUNCTION("""COMPUTED_VALUE"""),"Juan Ramón Paredes Osado")</f>
        <v>Juan Ramón Paredes Osado</v>
      </c>
      <c r="S518" s="20" t="str">
        <f ca="1">IFERROR(__xludf.DUMMYFUNCTION("""COMPUTED_VALUE"""),"03 ORL")</f>
        <v>03 ORL</v>
      </c>
      <c r="T518" s="6" t="str">
        <f ca="1">IFERROR(__xludf.DUMMYFUNCTION("""COMPUTED_VALUE"""),"06 ORL")</f>
        <v>06 ORL</v>
      </c>
      <c r="U518" s="21"/>
      <c r="W518" s="21"/>
      <c r="X518" s="21"/>
    </row>
    <row r="519" spans="2:24" ht="16">
      <c r="B519" s="14" t="str">
        <f t="shared" ca="1" si="2"/>
        <v>ISL</v>
      </c>
      <c r="C519" s="23" t="str">
        <f ca="1">IFERROR(__xludf.DUMMYFUNCTION("""COMPUTED_VALUE"""),"ISL29")</f>
        <v>ISL29</v>
      </c>
      <c r="D519" s="6" t="str">
        <f ca="1">IFERROR(__xludf.DUMMYFUNCTION("""COMPUTED_VALUE"""),"PROPIOS")</f>
        <v>PROPIOS</v>
      </c>
      <c r="E519" s="6">
        <f ca="1">IFERROR(__xludf.DUMMYFUNCTION("""COMPUTED_VALUE"""),2026)</f>
        <v>2026</v>
      </c>
      <c r="F519" s="15">
        <f ca="1">IFERROR(__xludf.DUMMYFUNCTION("""COMPUTED_VALUE"""),3)</f>
        <v>3</v>
      </c>
      <c r="G519" s="6" t="str">
        <f ca="1">IFERROR(__xludf.DUMMYFUNCTION("""COMPUTED_VALUE"""),"Alicante")</f>
        <v>Alicante</v>
      </c>
      <c r="H519" s="6" t="str">
        <f ca="1">IFERROR(__xludf.DUMMYFUNCTION("""COMPUTED_VALUE"""),"C202631715844579063")</f>
        <v>C202631715844579063</v>
      </c>
      <c r="I519" s="6" t="str">
        <f ca="1">IFERROR(__xludf.DUMMYFUNCTION("""COMPUTED_VALUE"""),"MIRIAM ALAMO AREVALO")</f>
        <v>MIRIAM ALAMO AREVALO</v>
      </c>
      <c r="J519" s="16">
        <f ca="1">IFERROR(__xludf.DUMMYFUNCTION("""COMPUTED_VALUE"""),46098)</f>
        <v>46098</v>
      </c>
      <c r="K519" s="6" t="str">
        <f ca="1">IFERROR(__xludf.DUMMYFUNCTION("""COMPUTED_VALUE"""),"Pedido")</f>
        <v>Pedido</v>
      </c>
      <c r="L519" s="16">
        <f ca="1">IFERROR(__xludf.DUMMYFUNCTION("""COMPUTED_VALUE"""),46106)</f>
        <v>46106</v>
      </c>
      <c r="M519" s="23" t="str">
        <f ca="1">IFERROR(__xludf.DUMMYFUNCTION("""COMPUTED_VALUE"""),"NO")</f>
        <v>NO</v>
      </c>
      <c r="N519" s="15">
        <f ca="1">IFERROR(__xludf.DUMMYFUNCTION("""COMPUTED_VALUE"""),2)</f>
        <v>2</v>
      </c>
      <c r="O519" s="23" t="str">
        <f ca="1">IFERROR(__xludf.DUMMYFUNCTION("""COMPUTED_VALUE"""),"QUIET")</f>
        <v>QUIET</v>
      </c>
      <c r="P519" s="21">
        <f ca="1">IFERROR(__xludf.DUMMYFUNCTION("""COMPUTED_VALUE"""),2718.18)</f>
        <v>2718.18</v>
      </c>
      <c r="Q519" s="6" t="str">
        <f ca="1">IFERROR(__xludf.DUMMYFUNCTION("""COMPUTED_VALUE"""),"Iván Sánchez")</f>
        <v>Iván Sánchez</v>
      </c>
      <c r="R519" s="6" t="str">
        <f ca="1">IFERROR(__xludf.DUMMYFUNCTION("""COMPUTED_VALUE"""),"Félix Ruíz de la Cuesta Juste")</f>
        <v>Félix Ruíz de la Cuesta Juste</v>
      </c>
      <c r="S519" s="20" t="str">
        <f ca="1">IFERROR(__xludf.DUMMYFUNCTION("""COMPUTED_VALUE"""),"03 ORL")</f>
        <v>03 ORL</v>
      </c>
      <c r="T519" s="6" t="str">
        <f ca="1">IFERROR(__xludf.DUMMYFUNCTION("""COMPUTED_VALUE"""),"06 ORL")</f>
        <v>06 ORL</v>
      </c>
      <c r="U519" s="21"/>
      <c r="W519" s="21"/>
      <c r="X519" s="21"/>
    </row>
    <row r="520" spans="2:24" ht="16">
      <c r="B520" s="14" t="str">
        <f t="shared" ca="1" si="2"/>
        <v>ISL</v>
      </c>
      <c r="C520" s="23" t="str">
        <f ca="1">IFERROR(__xludf.DUMMYFUNCTION("""COMPUTED_VALUE"""),"ISL103")</f>
        <v>ISL103</v>
      </c>
      <c r="D520" s="6" t="str">
        <f ca="1">IFERROR(__xludf.DUMMYFUNCTION("""COMPUTED_VALUE"""),"PROPIOS")</f>
        <v>PROPIOS</v>
      </c>
      <c r="E520" s="6">
        <f ca="1">IFERROR(__xludf.DUMMYFUNCTION("""COMPUTED_VALUE"""),2026)</f>
        <v>2026</v>
      </c>
      <c r="F520" s="15">
        <f ca="1">IFERROR(__xludf.DUMMYFUNCTION("""COMPUTED_VALUE"""),2)</f>
        <v>2</v>
      </c>
      <c r="G520" s="6" t="str">
        <f ca="1">IFERROR(__xludf.DUMMYFUNCTION("""COMPUTED_VALUE"""),"Alicante")</f>
        <v>Alicante</v>
      </c>
      <c r="H520" s="6" t="str">
        <f ca="1">IFERROR(__xludf.DUMMYFUNCTION("""COMPUTED_VALUE"""),"ALC-3890")</f>
        <v>ALC-3890</v>
      </c>
      <c r="I520" s="6" t="str">
        <f ca="1">IFERROR(__xludf.DUMMYFUNCTION("""COMPUTED_VALUE"""),"NURIA SEGURA MONTIEL")</f>
        <v>NURIA SEGURA MONTIEL</v>
      </c>
      <c r="J520" s="16">
        <f ca="1">IFERROR(__xludf.DUMMYFUNCTION("""COMPUTED_VALUE"""),45387)</f>
        <v>45387</v>
      </c>
      <c r="K520" s="6" t="str">
        <f ca="1">IFERROR(__xludf.DUMMYFUNCTION("""COMPUTED_VALUE"""),"Devuelve")</f>
        <v>Devuelve</v>
      </c>
      <c r="L520" s="16">
        <f ca="1">IFERROR(__xludf.DUMMYFUNCTION("""COMPUTED_VALUE"""),46070)</f>
        <v>46070</v>
      </c>
      <c r="M520" s="23" t="str">
        <f ca="1">IFERROR(__xludf.DUMMYFUNCTION("""COMPUTED_VALUE"""),"NO")</f>
        <v>NO</v>
      </c>
      <c r="N520" s="15">
        <f ca="1">IFERROR(__xludf.DUMMYFUNCTION("""COMPUTED_VALUE"""),1)</f>
        <v>1</v>
      </c>
      <c r="O520" s="23" t="str">
        <f ca="1">IFERROR(__xludf.DUMMYFUNCTION("""COMPUTED_VALUE"""),"CONFORT")</f>
        <v>CONFORT</v>
      </c>
      <c r="P520" s="21">
        <f ca="1">IFERROR(__xludf.DUMMYFUNCTION("""COMPUTED_VALUE"""),1977.27)</f>
        <v>1977.27</v>
      </c>
      <c r="Q520" s="6" t="str">
        <f ca="1">IFERROR(__xludf.DUMMYFUNCTION("""COMPUTED_VALUE"""),"Iván Sánchez")</f>
        <v>Iván Sánchez</v>
      </c>
      <c r="R520" s="6" t="str">
        <f ca="1">IFERROR(__xludf.DUMMYFUNCTION("""COMPUTED_VALUE"""),"Isabel Menaches Guardiola")</f>
        <v>Isabel Menaches Guardiola</v>
      </c>
      <c r="S520" s="20" t="str">
        <f ca="1">IFERROR(__xludf.DUMMYFUNCTION("""COMPUTED_VALUE"""),"03 ORL")</f>
        <v>03 ORL</v>
      </c>
      <c r="T520" s="6" t="str">
        <f ca="1">IFERROR(__xludf.DUMMYFUNCTION("""COMPUTED_VALUE"""),"06 ORL")</f>
        <v>06 ORL</v>
      </c>
      <c r="U520" s="21"/>
      <c r="W520" s="21"/>
      <c r="X520" s="21"/>
    </row>
    <row r="521" spans="2:24" ht="16">
      <c r="B521" s="14" t="str">
        <f t="shared" ca="1" si="2"/>
        <v>ISL</v>
      </c>
      <c r="C521" s="23" t="str">
        <f ca="1">IFERROR(__xludf.DUMMYFUNCTION("""COMPUTED_VALUE"""),"ISL14")</f>
        <v>ISL14</v>
      </c>
      <c r="D521" s="6" t="str">
        <f ca="1">IFERROR(__xludf.DUMMYFUNCTION("""COMPUTED_VALUE"""),"PROPIOS")</f>
        <v>PROPIOS</v>
      </c>
      <c r="E521" s="6">
        <f ca="1">IFERROR(__xludf.DUMMYFUNCTION("""COMPUTED_VALUE"""),2026)</f>
        <v>2026</v>
      </c>
      <c r="F521" s="15">
        <f ca="1">IFERROR(__xludf.DUMMYFUNCTION("""COMPUTED_VALUE"""),4)</f>
        <v>4</v>
      </c>
      <c r="G521" s="6" t="str">
        <f ca="1">IFERROR(__xludf.DUMMYFUNCTION("""COMPUTED_VALUE"""),"Alicante")</f>
        <v>Alicante</v>
      </c>
      <c r="H521" s="6" t="str">
        <f ca="1">IFERROR(__xludf.DUMMYFUNCTION("""COMPUTED_VALUE"""),"C20263992637638841")</f>
        <v>C20263992637638841</v>
      </c>
      <c r="I521" s="6" t="str">
        <f ca="1">IFERROR(__xludf.DUMMYFUNCTION("""COMPUTED_VALUE"""),"PABLO MORENO MORENO")</f>
        <v>PABLO MORENO MORENO</v>
      </c>
      <c r="J521" s="16">
        <f ca="1">IFERROR(__xludf.DUMMYFUNCTION("""COMPUTED_VALUE"""),46090)</f>
        <v>46090</v>
      </c>
      <c r="K521" s="6" t="str">
        <f ca="1">IFERROR(__xludf.DUMMYFUNCTION("""COMPUTED_VALUE"""),"Prueba")</f>
        <v>Prueba</v>
      </c>
      <c r="L521" s="16">
        <f ca="1">IFERROR(__xludf.DUMMYFUNCTION("""COMPUTED_VALUE"""),46113)</f>
        <v>46113</v>
      </c>
      <c r="M521" s="23" t="str">
        <f ca="1">IFERROR(__xludf.DUMMYFUNCTION("""COMPUTED_VALUE"""),"NO")</f>
        <v>NO</v>
      </c>
      <c r="N521" s="15">
        <f ca="1">IFERROR(__xludf.DUMMYFUNCTION("""COMPUTED_VALUE"""),2)</f>
        <v>2</v>
      </c>
      <c r="O521" s="23" t="str">
        <f ca="1">IFERROR(__xludf.DUMMYFUNCTION("""COMPUTED_VALUE"""),"QUIET")</f>
        <v>QUIET</v>
      </c>
      <c r="P521" s="21">
        <f ca="1">IFERROR(__xludf.DUMMYFUNCTION("""COMPUTED_VALUE"""),3302.98)</f>
        <v>3302.98</v>
      </c>
      <c r="Q521" s="6" t="str">
        <f ca="1">IFERROR(__xludf.DUMMYFUNCTION("""COMPUTED_VALUE"""),"Iván Sánchez")</f>
        <v>Iván Sánchez</v>
      </c>
      <c r="R521" s="6" t="str">
        <f ca="1">IFERROR(__xludf.DUMMYFUNCTION("""COMPUTED_VALUE"""),"Carlos Velásquez Fermín")</f>
        <v>Carlos Velásquez Fermín</v>
      </c>
      <c r="S521" s="20" t="str">
        <f ca="1">IFERROR(__xludf.DUMMYFUNCTION("""COMPUTED_VALUE"""),"03 ORL")</f>
        <v>03 ORL</v>
      </c>
      <c r="T521" s="6" t="str">
        <f ca="1">IFERROR(__xludf.DUMMYFUNCTION("""COMPUTED_VALUE"""),"06 ORL")</f>
        <v>06 ORL</v>
      </c>
      <c r="U521" s="21"/>
      <c r="W521" s="21"/>
      <c r="X521" s="21"/>
    </row>
    <row r="522" spans="2:24" ht="16">
      <c r="B522" s="14" t="str">
        <f t="shared" ca="1" si="2"/>
        <v>ISL</v>
      </c>
      <c r="C522" s="23" t="str">
        <f ca="1">IFERROR(__xludf.DUMMYFUNCTION("""COMPUTED_VALUE"""),"ISL37")</f>
        <v>ISL37</v>
      </c>
      <c r="D522" s="6" t="str">
        <f ca="1">IFERROR(__xludf.DUMMYFUNCTION("""COMPUTED_VALUE"""),"PROPIOS")</f>
        <v>PROPIOS</v>
      </c>
      <c r="E522" s="6">
        <f ca="1">IFERROR(__xludf.DUMMYFUNCTION("""COMPUTED_VALUE"""),2026)</f>
        <v>2026</v>
      </c>
      <c r="F522" s="15">
        <f ca="1">IFERROR(__xludf.DUMMYFUNCTION("""COMPUTED_VALUE"""),4)</f>
        <v>4</v>
      </c>
      <c r="G522" s="6" t="str">
        <f ca="1">IFERROR(__xludf.DUMMYFUNCTION("""COMPUTED_VALUE"""),"Alicante")</f>
        <v>Alicante</v>
      </c>
      <c r="H522" s="6" t="str">
        <f ca="1">IFERROR(__xludf.DUMMYFUNCTION("""COMPUTED_VALUE"""),"C20263611626885630")</f>
        <v>C20263611626885630</v>
      </c>
      <c r="I522" s="6" t="str">
        <f ca="1">IFERROR(__xludf.DUMMYFUNCTION("""COMPUTED_VALUE"""),"ROSARIO OROZCO BELTRAN")</f>
        <v>ROSARIO OROZCO BELTRAN</v>
      </c>
      <c r="J522" s="16">
        <f ca="1">IFERROR(__xludf.DUMMYFUNCTION("""COMPUTED_VALUE"""),46087)</f>
        <v>46087</v>
      </c>
      <c r="K522" s="6" t="str">
        <f ca="1">IFERROR(__xludf.DUMMYFUNCTION("""COMPUTED_VALUE"""),"Prueba")</f>
        <v>Prueba</v>
      </c>
      <c r="L522" s="16">
        <f ca="1">IFERROR(__xludf.DUMMYFUNCTION("""COMPUTED_VALUE"""),46113)</f>
        <v>46113</v>
      </c>
      <c r="M522" s="23" t="str">
        <f ca="1">IFERROR(__xludf.DUMMYFUNCTION("""COMPUTED_VALUE"""),"NO")</f>
        <v>NO</v>
      </c>
      <c r="N522" s="15">
        <f ca="1">IFERROR(__xludf.DUMMYFUNCTION("""COMPUTED_VALUE"""),2)</f>
        <v>2</v>
      </c>
      <c r="O522" s="23" t="str">
        <f ca="1">IFERROR(__xludf.DUMMYFUNCTION("""COMPUTED_VALUE"""),"TRIAL")</f>
        <v>TRIAL</v>
      </c>
      <c r="P522" s="21">
        <f ca="1">IFERROR(__xludf.DUMMYFUNCTION("""COMPUTED_VALUE"""),3631.82)</f>
        <v>3631.82</v>
      </c>
      <c r="Q522" s="6" t="str">
        <f ca="1">IFERROR(__xludf.DUMMYFUNCTION("""COMPUTED_VALUE"""),"Iván Sánchez")</f>
        <v>Iván Sánchez</v>
      </c>
      <c r="R522" s="6" t="str">
        <f ca="1">IFERROR(__xludf.DUMMYFUNCTION("""COMPUTED_VALUE"""),"Guillermo Severá Ferrándiz")</f>
        <v>Guillermo Severá Ferrándiz</v>
      </c>
      <c r="S522" s="20" t="str">
        <f ca="1">IFERROR(__xludf.DUMMYFUNCTION("""COMPUTED_VALUE"""),"03 ORL")</f>
        <v>03 ORL</v>
      </c>
      <c r="T522" s="6" t="str">
        <f ca="1">IFERROR(__xludf.DUMMYFUNCTION("""COMPUTED_VALUE"""),"06 ORL")</f>
        <v>06 ORL</v>
      </c>
      <c r="U522" s="21"/>
      <c r="W522" s="21"/>
      <c r="X522" s="21"/>
    </row>
    <row r="523" spans="2:24" ht="16">
      <c r="B523" s="14" t="str">
        <f t="shared" ca="1" si="2"/>
        <v>ISL</v>
      </c>
      <c r="C523" s="23" t="str">
        <f ca="1">IFERROR(__xludf.DUMMYFUNCTION("""COMPUTED_VALUE"""),"ISL103")</f>
        <v>ISL103</v>
      </c>
      <c r="D523" s="6" t="str">
        <f ca="1">IFERROR(__xludf.DUMMYFUNCTION("""COMPUTED_VALUE"""),"PROPIOS")</f>
        <v>PROPIOS</v>
      </c>
      <c r="E523" s="6">
        <f ca="1">IFERROR(__xludf.DUMMYFUNCTION("""COMPUTED_VALUE"""),2026)</f>
        <v>2026</v>
      </c>
      <c r="F523" s="15">
        <f ca="1">IFERROR(__xludf.DUMMYFUNCTION("""COMPUTED_VALUE"""),2)</f>
        <v>2</v>
      </c>
      <c r="G523" s="6" t="str">
        <f ca="1">IFERROR(__xludf.DUMMYFUNCTION("""COMPUTED_VALUE"""),"Alicante")</f>
        <v>Alicante</v>
      </c>
      <c r="H523" s="6" t="str">
        <f ca="1">IFERROR(__xludf.DUMMYFUNCTION("""COMPUTED_VALUE"""),"C202612311284804268")</f>
        <v>C202612311284804268</v>
      </c>
      <c r="I523" s="6" t="str">
        <f ca="1">IFERROR(__xludf.DUMMYFUNCTION("""COMPUTED_VALUE"""),"RUBEN NESTOR TOYOS DEAK")</f>
        <v>RUBEN NESTOR TOYOS DEAK</v>
      </c>
      <c r="J523" s="16">
        <f ca="1">IFERROR(__xludf.DUMMYFUNCTION("""COMPUTED_VALUE"""),46045)</f>
        <v>46045</v>
      </c>
      <c r="K523" s="6" t="str">
        <f ca="1">IFERROR(__xludf.DUMMYFUNCTION("""COMPUTED_VALUE"""),"Devuelve")</f>
        <v>Devuelve</v>
      </c>
      <c r="L523" s="16">
        <f ca="1">IFERROR(__xludf.DUMMYFUNCTION("""COMPUTED_VALUE"""),46055)</f>
        <v>46055</v>
      </c>
      <c r="M523" s="23" t="str">
        <f ca="1">IFERROR(__xludf.DUMMYFUNCTION("""COMPUTED_VALUE"""),"NO")</f>
        <v>NO</v>
      </c>
      <c r="N523" s="15">
        <f ca="1">IFERROR(__xludf.DUMMYFUNCTION("""COMPUTED_VALUE"""),2)</f>
        <v>2</v>
      </c>
      <c r="O523" s="23" t="str">
        <f ca="1">IFERROR(__xludf.DUMMYFUNCTION("""COMPUTED_VALUE"""),"TRIAL")</f>
        <v>TRIAL</v>
      </c>
      <c r="P523" s="21">
        <f ca="1">IFERROR(__xludf.DUMMYFUNCTION("""COMPUTED_VALUE"""),4136.36)</f>
        <v>4136.3599999999997</v>
      </c>
      <c r="Q523" s="6" t="str">
        <f ca="1">IFERROR(__xludf.DUMMYFUNCTION("""COMPUTED_VALUE"""),"Iván Sánchez")</f>
        <v>Iván Sánchez</v>
      </c>
      <c r="R523" s="6" t="str">
        <f ca="1">IFERROR(__xludf.DUMMYFUNCTION("""COMPUTED_VALUE"""),"Isabel Menaches Guardiola")</f>
        <v>Isabel Menaches Guardiola</v>
      </c>
      <c r="S523" s="20" t="str">
        <f ca="1">IFERROR(__xludf.DUMMYFUNCTION("""COMPUTED_VALUE"""),"03 ORL")</f>
        <v>03 ORL</v>
      </c>
      <c r="T523" s="6" t="str">
        <f ca="1">IFERROR(__xludf.DUMMYFUNCTION("""COMPUTED_VALUE"""),"06 ORL")</f>
        <v>06 ORL</v>
      </c>
      <c r="U523" s="21"/>
      <c r="W523" s="21"/>
      <c r="X523" s="21"/>
    </row>
    <row r="524" spans="2:24" ht="16">
      <c r="B524" s="14" t="str">
        <f t="shared" ca="1" si="2"/>
        <v>ISL</v>
      </c>
      <c r="C524" s="23" t="str">
        <f ca="1">IFERROR(__xludf.DUMMYFUNCTION("""COMPUTED_VALUE"""),"ISL14")</f>
        <v>ISL14</v>
      </c>
      <c r="D524" s="6" t="str">
        <f ca="1">IFERROR(__xludf.DUMMYFUNCTION("""COMPUTED_VALUE"""),"PROPIOS")</f>
        <v>PROPIOS</v>
      </c>
      <c r="E524" s="6">
        <f ca="1">IFERROR(__xludf.DUMMYFUNCTION("""COMPUTED_VALUE"""),2026)</f>
        <v>2026</v>
      </c>
      <c r="F524" s="15">
        <f ca="1">IFERROR(__xludf.DUMMYFUNCTION("""COMPUTED_VALUE"""),2)</f>
        <v>2</v>
      </c>
      <c r="G524" s="6" t="str">
        <f ca="1">IFERROR(__xludf.DUMMYFUNCTION("""COMPUTED_VALUE"""),"Alicante")</f>
        <v>Alicante</v>
      </c>
      <c r="H524" s="6" t="str">
        <f ca="1">IFERROR(__xludf.DUMMYFUNCTION("""COMPUTED_VALUE"""),"C202621015844350672")</f>
        <v>C202621015844350672</v>
      </c>
      <c r="I524" s="6" t="str">
        <f ca="1">IFERROR(__xludf.DUMMYFUNCTION("""COMPUTED_VALUE"""),"TATIANA WILLIAMS")</f>
        <v>TATIANA WILLIAMS</v>
      </c>
      <c r="J524" s="16">
        <f ca="1">IFERROR(__xludf.DUMMYFUNCTION("""COMPUTED_VALUE"""),46063)</f>
        <v>46063</v>
      </c>
      <c r="K524" s="6" t="str">
        <f ca="1">IFERROR(__xludf.DUMMYFUNCTION("""COMPUTED_VALUE"""),"Devuelve")</f>
        <v>Devuelve</v>
      </c>
      <c r="L524" s="16">
        <f ca="1">IFERROR(__xludf.DUMMYFUNCTION("""COMPUTED_VALUE"""),46070)</f>
        <v>46070</v>
      </c>
      <c r="M524" s="23" t="str">
        <f ca="1">IFERROR(__xludf.DUMMYFUNCTION("""COMPUTED_VALUE"""),"NO")</f>
        <v>NO</v>
      </c>
      <c r="N524" s="15">
        <f ca="1">IFERROR(__xludf.DUMMYFUNCTION("""COMPUTED_VALUE"""),1)</f>
        <v>1</v>
      </c>
      <c r="O524" s="23" t="str">
        <f ca="1">IFERROR(__xludf.DUMMYFUNCTION("""COMPUTED_VALUE"""),"QUIET")</f>
        <v>QUIET</v>
      </c>
      <c r="P524" s="21">
        <f ca="1">IFERROR(__xludf.DUMMYFUNCTION("""COMPUTED_VALUE"""),1631.82)</f>
        <v>1631.82</v>
      </c>
      <c r="Q524" s="6" t="str">
        <f ca="1">IFERROR(__xludf.DUMMYFUNCTION("""COMPUTED_VALUE"""),"Iván Sánchez")</f>
        <v>Iván Sánchez</v>
      </c>
      <c r="R524" s="6" t="str">
        <f ca="1">IFERROR(__xludf.DUMMYFUNCTION("""COMPUTED_VALUE"""),"Carlos Velásquez Fermín")</f>
        <v>Carlos Velásquez Fermín</v>
      </c>
      <c r="S524" s="20" t="str">
        <f ca="1">IFERROR(__xludf.DUMMYFUNCTION("""COMPUTED_VALUE"""),"03 ORL")</f>
        <v>03 ORL</v>
      </c>
      <c r="T524" s="6" t="str">
        <f ca="1">IFERROR(__xludf.DUMMYFUNCTION("""COMPUTED_VALUE"""),"06 ORL")</f>
        <v>06 ORL</v>
      </c>
      <c r="U524" s="21"/>
      <c r="W524" s="21"/>
      <c r="X524" s="21"/>
    </row>
    <row r="525" spans="2:24" ht="16">
      <c r="B525" s="14" t="str">
        <f t="shared" ca="1" si="2"/>
        <v>#N/</v>
      </c>
      <c r="C525" s="23" t="str">
        <f ca="1">IFERROR(__xludf.DUMMYFUNCTION("""COMPUTED_VALUE"""),"#N/A")</f>
        <v>#N/A</v>
      </c>
      <c r="D525" s="6" t="str">
        <f ca="1">IFERROR(__xludf.DUMMYFUNCTION("""COMPUTED_VALUE"""),"PROPIOS")</f>
        <v>PROPIOS</v>
      </c>
      <c r="E525" s="6">
        <f ca="1">IFERROR(__xludf.DUMMYFUNCTION("""COMPUTED_VALUE"""),2026)</f>
        <v>2026</v>
      </c>
      <c r="F525" s="15">
        <f ca="1">IFERROR(__xludf.DUMMYFUNCTION("""COMPUTED_VALUE"""),2)</f>
        <v>2</v>
      </c>
      <c r="G525" s="6" t="str">
        <f ca="1">IFERROR(__xludf.DUMMYFUNCTION("""COMPUTED_VALUE"""),"Alicante")</f>
        <v>Alicante</v>
      </c>
      <c r="H525" s="6" t="str">
        <f ca="1">IFERROR(__xludf.DUMMYFUNCTION("""COMPUTED_VALUE"""),"ALC-3836")</f>
        <v>ALC-3836</v>
      </c>
      <c r="I525" s="6" t="str">
        <f ca="1">IFERROR(__xludf.DUMMYFUNCTION("""COMPUTED_VALUE"""),"VICTOR ALVAREZ GARCIA")</f>
        <v>VICTOR ALVAREZ GARCIA</v>
      </c>
      <c r="J525" s="16">
        <f ca="1">IFERROR(__xludf.DUMMYFUNCTION("""COMPUTED_VALUE"""),45352)</f>
        <v>45352</v>
      </c>
      <c r="K525" s="6" t="str">
        <f ca="1">IFERROR(__xludf.DUMMYFUNCTION("""COMPUTED_VALUE"""),"Devuelve")</f>
        <v>Devuelve</v>
      </c>
      <c r="L525" s="16">
        <f ca="1">IFERROR(__xludf.DUMMYFUNCTION("""COMPUTED_VALUE"""),46076)</f>
        <v>46076</v>
      </c>
      <c r="M525" s="23" t="str">
        <f ca="1">IFERROR(__xludf.DUMMYFUNCTION("""COMPUTED_VALUE"""),"NO")</f>
        <v>NO</v>
      </c>
      <c r="N525" s="15">
        <f ca="1">IFERROR(__xludf.DUMMYFUNCTION("""COMPUTED_VALUE"""),1)</f>
        <v>1</v>
      </c>
      <c r="O525" s="17" t="str">
        <f ca="1">IFERROR(__xludf.DUMMYFUNCTION("""COMPUTED_VALUE"""),"CONFORT")</f>
        <v>CONFORT</v>
      </c>
      <c r="P525" s="21">
        <f ca="1">IFERROR(__xludf.DUMMYFUNCTION("""COMPUTED_VALUE"""),1977.27)</f>
        <v>1977.27</v>
      </c>
      <c r="Q525" s="6" t="str">
        <f ca="1">IFERROR(__xludf.DUMMYFUNCTION("""COMPUTED_VALUE"""),"Iván Sánchez")</f>
        <v>Iván Sánchez</v>
      </c>
      <c r="R525" s="6" t="str">
        <f ca="1">IFERROR(__xludf.DUMMYFUNCTION("""COMPUTED_VALUE"""),"Guillermo Severá Ferrandiz")</f>
        <v>Guillermo Severá Ferrandiz</v>
      </c>
      <c r="S525" s="20" t="str">
        <f ca="1">IFERROR(__xludf.DUMMYFUNCTION("""COMPUTED_VALUE"""),"03 ORL")</f>
        <v>03 ORL</v>
      </c>
      <c r="T525" s="6" t="str">
        <f ca="1">IFERROR(__xludf.DUMMYFUNCTION("""COMPUTED_VALUE"""),"06 ORL")</f>
        <v>06 ORL</v>
      </c>
      <c r="U525" s="21"/>
      <c r="W525" s="21"/>
      <c r="X525" s="21"/>
    </row>
    <row r="526" spans="2:24" ht="16">
      <c r="B526" s="14" t="str">
        <f t="shared" ca="1" si="2"/>
        <v>ISL</v>
      </c>
      <c r="C526" s="23" t="str">
        <f ca="1">IFERROR(__xludf.DUMMYFUNCTION("""COMPUTED_VALUE"""),"ISL99")</f>
        <v>ISL99</v>
      </c>
      <c r="D526" s="6" t="str">
        <f ca="1">IFERROR(__xludf.DUMMYFUNCTION("""COMPUTED_VALUE"""),"PROPIOS")</f>
        <v>PROPIOS</v>
      </c>
      <c r="E526" s="6">
        <f ca="1">IFERROR(__xludf.DUMMYFUNCTION("""COMPUTED_VALUE"""),2026)</f>
        <v>2026</v>
      </c>
      <c r="F526" s="15">
        <f ca="1">IFERROR(__xludf.DUMMYFUNCTION("""COMPUTED_VALUE"""),3)</f>
        <v>3</v>
      </c>
      <c r="G526" s="6" t="str">
        <f ca="1">IFERROR(__xludf.DUMMYFUNCTION("""COMPUTED_VALUE"""),"Alicante")</f>
        <v>Alicante</v>
      </c>
      <c r="H526" s="6" t="str">
        <f ca="1">IFERROR(__xludf.DUMMYFUNCTION("""COMPUTED_VALUE"""),"C202622716385929663")</f>
        <v>C202622716385929663</v>
      </c>
      <c r="I526" s="6" t="str">
        <f ca="1">IFERROR(__xludf.DUMMYFUNCTION("""COMPUTED_VALUE"""),"VIRTUDES ISABEL LLINARES SERRA")</f>
        <v>VIRTUDES ISABEL LLINARES SERRA</v>
      </c>
      <c r="J526" s="16">
        <f ca="1">IFERROR(__xludf.DUMMYFUNCTION("""COMPUTED_VALUE"""),46080)</f>
        <v>46080</v>
      </c>
      <c r="K526" s="6" t="str">
        <f ca="1">IFERROR(__xludf.DUMMYFUNCTION("""COMPUTED_VALUE"""),"Prueba")</f>
        <v>Prueba</v>
      </c>
      <c r="L526" s="16">
        <f ca="1">IFERROR(__xludf.DUMMYFUNCTION("""COMPUTED_VALUE"""),46112)</f>
        <v>46112</v>
      </c>
      <c r="M526" s="23" t="str">
        <f ca="1">IFERROR(__xludf.DUMMYFUNCTION("""COMPUTED_VALUE"""),"NO")</f>
        <v>NO</v>
      </c>
      <c r="N526" s="15">
        <f ca="1">IFERROR(__xludf.DUMMYFUNCTION("""COMPUTED_VALUE"""),2)</f>
        <v>2</v>
      </c>
      <c r="O526" s="23" t="str">
        <f ca="1">IFERROR(__xludf.DUMMYFUNCTION("""COMPUTED_VALUE"""),"TRIAL")</f>
        <v>TRIAL</v>
      </c>
      <c r="P526" s="21">
        <f ca="1">IFERROR(__xludf.DUMMYFUNCTION("""COMPUTED_VALUE"""),4136.36)</f>
        <v>4136.3599999999997</v>
      </c>
      <c r="Q526" s="6" t="str">
        <f ca="1">IFERROR(__xludf.DUMMYFUNCTION("""COMPUTED_VALUE"""),"Iván Sánchez")</f>
        <v>Iván Sánchez</v>
      </c>
      <c r="R526" s="6" t="str">
        <f ca="1">IFERROR(__xludf.DUMMYFUNCTION("""COMPUTED_VALUE"""),"Cristina Muñoz Pinto")</f>
        <v>Cristina Muñoz Pinto</v>
      </c>
      <c r="S526" s="20" t="str">
        <f ca="1">IFERROR(__xludf.DUMMYFUNCTION("""COMPUTED_VALUE"""),"03 ORL")</f>
        <v>03 ORL</v>
      </c>
      <c r="T526" s="6" t="str">
        <f ca="1">IFERROR(__xludf.DUMMYFUNCTION("""COMPUTED_VALUE"""),"06 ORL")</f>
        <v>06 ORL</v>
      </c>
      <c r="U526" s="21"/>
      <c r="W526" s="21"/>
      <c r="X526" s="21"/>
    </row>
    <row r="527" spans="2:24" ht="16">
      <c r="B527" s="14" t="str">
        <f t="shared" ca="1" si="2"/>
        <v>RFV</v>
      </c>
      <c r="C527" s="23" t="str">
        <f ca="1">IFERROR(__xludf.DUMMYFUNCTION("""COMPUTED_VALUE"""),"RFV47")</f>
        <v>RFV47</v>
      </c>
      <c r="D527" s="6" t="str">
        <f ca="1">IFERROR(__xludf.DUMMYFUNCTION("""COMPUTED_VALUE"""),"PROPIOS")</f>
        <v>PROPIOS</v>
      </c>
      <c r="E527" s="6">
        <f ca="1">IFERROR(__xludf.DUMMYFUNCTION("""COMPUTED_VALUE"""),2026)</f>
        <v>2026</v>
      </c>
      <c r="F527" s="15">
        <f ca="1">IFERROR(__xludf.DUMMYFUNCTION("""COMPUTED_VALUE"""),4)</f>
        <v>4</v>
      </c>
      <c r="G527" s="6" t="str">
        <f ca="1">IFERROR(__xludf.DUMMYFUNCTION("""COMPUTED_VALUE"""),"Almería")</f>
        <v>Almería</v>
      </c>
      <c r="H527" s="6" t="str">
        <f ca="1">IFERROR(__xludf.DUMMYFUNCTION("""COMPUTED_VALUE"""),"C202633093158350112")</f>
        <v>C202633093158350112</v>
      </c>
      <c r="I527" s="6" t="str">
        <f ca="1">IFERROR(__xludf.DUMMYFUNCTION("""COMPUTED_VALUE"""),"MARIA TERESA IBAÑEZ PARRA")</f>
        <v>MARIA TERESA IBAÑEZ PARRA</v>
      </c>
      <c r="J527" s="16">
        <f ca="1">IFERROR(__xludf.DUMMYFUNCTION("""COMPUTED_VALUE"""),46111)</f>
        <v>46111</v>
      </c>
      <c r="K527" s="6" t="str">
        <f ca="1">IFERROR(__xludf.DUMMYFUNCTION("""COMPUTED_VALUE"""),"Presupuesto")</f>
        <v>Presupuesto</v>
      </c>
      <c r="L527" s="16">
        <f ca="1">IFERROR(__xludf.DUMMYFUNCTION("""COMPUTED_VALUE"""),46113)</f>
        <v>46113</v>
      </c>
      <c r="M527" s="23" t="str">
        <f ca="1">IFERROR(__xludf.DUMMYFUNCTION("""COMPUTED_VALUE"""),"NO")</f>
        <v>NO</v>
      </c>
      <c r="N527" s="15">
        <f ca="1">IFERROR(__xludf.DUMMYFUNCTION("""COMPUTED_VALUE"""),2)</f>
        <v>2</v>
      </c>
      <c r="O527" s="23" t="str">
        <f ca="1">IFERROR(__xludf.DUMMYFUNCTION("""COMPUTED_VALUE"""),"ADVANCED")</f>
        <v>ADVANCED</v>
      </c>
      <c r="P527" s="21">
        <f ca="1">IFERROR(__xludf.DUMMYFUNCTION("""COMPUTED_VALUE"""),4469.23)</f>
        <v>4469.2299999999996</v>
      </c>
      <c r="Q527" s="6" t="str">
        <f ca="1">IFERROR(__xludf.DUMMYFUNCTION("""COMPUTED_VALUE"""),"Ramon Ferrando")</f>
        <v>Ramon Ferrando</v>
      </c>
      <c r="R527" s="6" t="str">
        <f ca="1">IFERROR(__xludf.DUMMYFUNCTION("""COMPUTED_VALUE"""),"Elisheba Haro Hernández")</f>
        <v>Elisheba Haro Hernández</v>
      </c>
      <c r="S527" s="20" t="str">
        <f ca="1">IFERROR(__xludf.DUMMYFUNCTION("""COMPUTED_VALUE"""),"03 ORL")</f>
        <v>03 ORL</v>
      </c>
      <c r="T527" s="6" t="str">
        <f ca="1">IFERROR(__xludf.DUMMYFUNCTION("""COMPUTED_VALUE"""),"06 ORL")</f>
        <v>06 ORL</v>
      </c>
      <c r="U527" s="21"/>
      <c r="W527" s="21"/>
      <c r="X527" s="21"/>
    </row>
    <row r="528" spans="2:24" ht="16">
      <c r="B528" s="14" t="str">
        <f t="shared" ca="1" si="2"/>
        <v>#N/</v>
      </c>
      <c r="C528" s="23" t="str">
        <f ca="1">IFERROR(__xludf.DUMMYFUNCTION("""COMPUTED_VALUE"""),"#N/A")</f>
        <v>#N/A</v>
      </c>
      <c r="D528" s="6" t="str">
        <f ca="1">IFERROR(__xludf.DUMMYFUNCTION("""COMPUTED_VALUE"""),"PROPIOS")</f>
        <v>PROPIOS</v>
      </c>
      <c r="E528" s="6">
        <f ca="1">IFERROR(__xludf.DUMMYFUNCTION("""COMPUTED_VALUE"""),2026)</f>
        <v>2026</v>
      </c>
      <c r="F528" s="15">
        <f ca="1">IFERROR(__xludf.DUMMYFUNCTION("""COMPUTED_VALUE"""),3)</f>
        <v>3</v>
      </c>
      <c r="G528" s="6" t="str">
        <f ca="1">IFERROR(__xludf.DUMMYFUNCTION("""COMPUTED_VALUE"""),"Almería")</f>
        <v>Almería</v>
      </c>
      <c r="H528" s="6" t="str">
        <f ca="1">IFERROR(__xludf.DUMMYFUNCTION("""COMPUTED_VALUE"""),"C20263179958983865")</f>
        <v>C20263179958983865</v>
      </c>
      <c r="I528" s="6" t="str">
        <f ca="1">IFERROR(__xludf.DUMMYFUNCTION("""COMPUTED_VALUE"""),"SANDRA REDONDO TERUEL")</f>
        <v>SANDRA REDONDO TERUEL</v>
      </c>
      <c r="J528" s="16">
        <f ca="1">IFERROR(__xludf.DUMMYFUNCTION("""COMPUTED_VALUE"""),46098)</f>
        <v>46098</v>
      </c>
      <c r="K528" s="6" t="str">
        <f ca="1">IFERROR(__xludf.DUMMYFUNCTION("""COMPUTED_VALUE"""),"Pedido")</f>
        <v>Pedido</v>
      </c>
      <c r="L528" s="16">
        <f ca="1">IFERROR(__xludf.DUMMYFUNCTION("""COMPUTED_VALUE"""),46106)</f>
        <v>46106</v>
      </c>
      <c r="M528" s="23" t="str">
        <f ca="1">IFERROR(__xludf.DUMMYFUNCTION("""COMPUTED_VALUE"""),"NO")</f>
        <v>NO</v>
      </c>
      <c r="N528" s="15">
        <f ca="1">IFERROR(__xludf.DUMMYFUNCTION("""COMPUTED_VALUE"""),2)</f>
        <v>2</v>
      </c>
      <c r="O528" s="23" t="str">
        <f ca="1">IFERROR(__xludf.DUMMYFUNCTION("""COMPUTED_VALUE"""),"CONFORT")</f>
        <v>CONFORT</v>
      </c>
      <c r="P528" s="21">
        <f ca="1">IFERROR(__xludf.DUMMYFUNCTION("""COMPUTED_VALUE"""),4154.55)</f>
        <v>4154.55</v>
      </c>
      <c r="Q528" s="6" t="str">
        <f ca="1">IFERROR(__xludf.DUMMYFUNCTION("""COMPUTED_VALUE"""),"Ramon Ferrando")</f>
        <v>Ramon Ferrando</v>
      </c>
      <c r="R528" s="6" t="str">
        <f ca="1">IFERROR(__xludf.DUMMYFUNCTION("""COMPUTED_VALUE"""),"Juanjo Góngora Lencina")</f>
        <v>Juanjo Góngora Lencina</v>
      </c>
      <c r="S528" s="20" t="str">
        <f ca="1">IFERROR(__xludf.DUMMYFUNCTION("""COMPUTED_VALUE"""),"01 MARKETING ON LINE")</f>
        <v>01 MARKETING ON LINE</v>
      </c>
      <c r="T528" s="6" t="str">
        <f ca="1">IFERROR(__xludf.DUMMYFUNCTION("""COMPUTED_VALUE"""),"04 AUDIFONO,ES")</f>
        <v>04 AUDIFONO,ES</v>
      </c>
      <c r="U528" s="21"/>
      <c r="W528" s="21"/>
      <c r="X528" s="21"/>
    </row>
    <row r="529" spans="2:24" ht="16">
      <c r="B529" s="14" t="str">
        <f t="shared" si="2"/>
        <v/>
      </c>
      <c r="C529" s="23"/>
      <c r="D529" s="6" t="str">
        <f ca="1">IFERROR(__xludf.DUMMYFUNCTION("""COMPUTED_VALUE"""),"ASOCIADOS")</f>
        <v>ASOCIADOS</v>
      </c>
      <c r="E529" s="6">
        <f ca="1">IFERROR(__xludf.DUMMYFUNCTION("""COMPUTED_VALUE"""),2026)</f>
        <v>2026</v>
      </c>
      <c r="F529" s="15">
        <f ca="1">IFERROR(__xludf.DUMMYFUNCTION("""COMPUTED_VALUE"""),2)</f>
        <v>2</v>
      </c>
      <c r="G529" s="6" t="str">
        <f ca="1">IFERROR(__xludf.DUMMYFUNCTION("""COMPUTED_VALUE"""),"Badajoz")</f>
        <v>Badajoz</v>
      </c>
      <c r="H529" s="6" t="str">
        <f ca="1">IFERROR(__xludf.DUMMYFUNCTION("""COMPUTED_VALUE"""),"C202622512271351353")</f>
        <v>C202622512271351353</v>
      </c>
      <c r="I529" s="6" t="str">
        <f ca="1">IFERROR(__xludf.DUMMYFUNCTION("""COMPUTED_VALUE"""),"ANTONIO RODRIGUEZ ARRABAL")</f>
        <v>ANTONIO RODRIGUEZ ARRABAL</v>
      </c>
      <c r="J529" s="16">
        <f ca="1">IFERROR(__xludf.DUMMYFUNCTION("""COMPUTED_VALUE"""),46078)</f>
        <v>46078</v>
      </c>
      <c r="K529" s="6" t="str">
        <f ca="1">IFERROR(__xludf.DUMMYFUNCTION("""COMPUTED_VALUE"""),"Presupuesto")</f>
        <v>Presupuesto</v>
      </c>
      <c r="L529" s="16">
        <f ca="1">IFERROR(__xludf.DUMMYFUNCTION("""COMPUTED_VALUE"""),46079)</f>
        <v>46079</v>
      </c>
      <c r="M529" s="23" t="str">
        <f ca="1">IFERROR(__xludf.DUMMYFUNCTION("""COMPUTED_VALUE"""),"NO")</f>
        <v>NO</v>
      </c>
      <c r="N529" s="15">
        <f ca="1">IFERROR(__xludf.DUMMYFUNCTION("""COMPUTED_VALUE"""),1)</f>
        <v>1</v>
      </c>
      <c r="O529" s="23" t="str">
        <f ca="1">IFERROR(__xludf.DUMMYFUNCTION("""COMPUTED_VALUE"""),"SOCIAL")</f>
        <v>SOCIAL</v>
      </c>
      <c r="P529" s="21">
        <f ca="1">IFERROR(__xludf.DUMMYFUNCTION("""COMPUTED_VALUE"""),1363.64)</f>
        <v>1363.64</v>
      </c>
      <c r="Q529" s="6" t="str">
        <f ca="1">IFERROR(__xludf.DUMMYFUNCTION("""COMPUTED_VALUE"""),"Luis Alberto Rodríguez")</f>
        <v>Luis Alberto Rodríguez</v>
      </c>
      <c r="R529" s="6" t="str">
        <f ca="1">IFERROR(__xludf.DUMMYFUNCTION("""COMPUTED_VALUE"""),"No recuerda ORL")</f>
        <v>No recuerda ORL</v>
      </c>
      <c r="S529" s="20" t="str">
        <f ca="1">IFERROR(__xludf.DUMMYFUNCTION("""COMPUTED_VALUE"""),"03 ORL")</f>
        <v>03 ORL</v>
      </c>
      <c r="T529" s="6" t="str">
        <f ca="1">IFERROR(__xludf.DUMMYFUNCTION("""COMPUTED_VALUE"""),"06 ORL")</f>
        <v>06 ORL</v>
      </c>
      <c r="U529" s="21"/>
      <c r="W529" s="21"/>
      <c r="X529" s="21"/>
    </row>
    <row r="530" spans="2:24" ht="16">
      <c r="B530" s="14" t="str">
        <f t="shared" si="2"/>
        <v/>
      </c>
      <c r="C530" s="23"/>
      <c r="D530" s="6" t="str">
        <f ca="1">IFERROR(__xludf.DUMMYFUNCTION("""COMPUTED_VALUE"""),"ASOCIADOS")</f>
        <v>ASOCIADOS</v>
      </c>
      <c r="E530" s="6">
        <f ca="1">IFERROR(__xludf.DUMMYFUNCTION("""COMPUTED_VALUE"""),2026)</f>
        <v>2026</v>
      </c>
      <c r="F530" s="15">
        <f ca="1">IFERROR(__xludf.DUMMYFUNCTION("""COMPUTED_VALUE"""),3)</f>
        <v>3</v>
      </c>
      <c r="G530" s="6" t="str">
        <f ca="1">IFERROR(__xludf.DUMMYFUNCTION("""COMPUTED_VALUE"""),"Badajoz")</f>
        <v>Badajoz</v>
      </c>
      <c r="H530" s="6" t="str">
        <f ca="1">IFERROR(__xludf.DUMMYFUNCTION("""COMPUTED_VALUE"""),"C202512301740208884")</f>
        <v>C202512301740208884</v>
      </c>
      <c r="I530" s="6" t="str">
        <f ca="1">IFERROR(__xludf.DUMMYFUNCTION("""COMPUTED_VALUE"""),"FRANCISCO VENEGAS MOSQUERO")</f>
        <v>FRANCISCO VENEGAS MOSQUERO</v>
      </c>
      <c r="J530" s="16">
        <f ca="1">IFERROR(__xludf.DUMMYFUNCTION("""COMPUTED_VALUE"""),46021)</f>
        <v>46021</v>
      </c>
      <c r="K530" s="6" t="str">
        <f ca="1">IFERROR(__xludf.DUMMYFUNCTION("""COMPUTED_VALUE"""),"Prueba")</f>
        <v>Prueba</v>
      </c>
      <c r="L530" s="16">
        <f ca="1">IFERROR(__xludf.DUMMYFUNCTION("""COMPUTED_VALUE"""),46106)</f>
        <v>46106</v>
      </c>
      <c r="M530" s="23" t="str">
        <f ca="1">IFERROR(__xludf.DUMMYFUNCTION("""COMPUTED_VALUE"""),"NO")</f>
        <v>NO</v>
      </c>
      <c r="N530" s="15">
        <f ca="1">IFERROR(__xludf.DUMMYFUNCTION("""COMPUTED_VALUE"""),2)</f>
        <v>2</v>
      </c>
      <c r="O530" s="23" t="str">
        <f ca="1">IFERROR(__xludf.DUMMYFUNCTION("""COMPUTED_VALUE"""),"QUIET")</f>
        <v>QUIET</v>
      </c>
      <c r="P530" s="21">
        <f ca="1">IFERROR(__xludf.DUMMYFUNCTION("""COMPUTED_VALUE"""),2718.18)</f>
        <v>2718.18</v>
      </c>
      <c r="Q530" s="6" t="str">
        <f ca="1">IFERROR(__xludf.DUMMYFUNCTION("""COMPUTED_VALUE"""),"Luis Alberto Rodríguez")</f>
        <v>Luis Alberto Rodríguez</v>
      </c>
      <c r="R530" s="6" t="str">
        <f ca="1">IFERROR(__xludf.DUMMYFUNCTION("""COMPUTED_VALUE"""),"No recuerda ORL")</f>
        <v>No recuerda ORL</v>
      </c>
      <c r="S530" s="20" t="str">
        <f ca="1">IFERROR(__xludf.DUMMYFUNCTION("""COMPUTED_VALUE"""),"03 ORL")</f>
        <v>03 ORL</v>
      </c>
      <c r="T530" s="6" t="str">
        <f ca="1">IFERROR(__xludf.DUMMYFUNCTION("""COMPUTED_VALUE"""),"06 ORL")</f>
        <v>06 ORL</v>
      </c>
      <c r="U530" s="21"/>
      <c r="W530" s="21"/>
      <c r="X530" s="21"/>
    </row>
    <row r="531" spans="2:24" ht="16">
      <c r="B531" s="14" t="str">
        <f t="shared" ca="1" si="2"/>
        <v>LAA</v>
      </c>
      <c r="C531" s="23" t="str">
        <f ca="1">IFERROR(__xludf.DUMMYFUNCTION("""COMPUTED_VALUE"""),"LAA80")</f>
        <v>LAA80</v>
      </c>
      <c r="D531" s="6" t="str">
        <f ca="1">IFERROR(__xludf.DUMMYFUNCTION("""COMPUTED_VALUE"""),"ASOCIADOS")</f>
        <v>ASOCIADOS</v>
      </c>
      <c r="E531" s="6">
        <f ca="1">IFERROR(__xludf.DUMMYFUNCTION("""COMPUTED_VALUE"""),2026)</f>
        <v>2026</v>
      </c>
      <c r="F531" s="15">
        <f ca="1">IFERROR(__xludf.DUMMYFUNCTION("""COMPUTED_VALUE"""),1)</f>
        <v>1</v>
      </c>
      <c r="G531" s="6" t="str">
        <f ca="1">IFERROR(__xludf.DUMMYFUNCTION("""COMPUTED_VALUE"""),"Badajoz")</f>
        <v>Badajoz</v>
      </c>
      <c r="H531" s="6" t="str">
        <f ca="1">IFERROR(__xludf.DUMMYFUNCTION("""COMPUTED_VALUE"""),"C20261718624565160")</f>
        <v>C20261718624565160</v>
      </c>
      <c r="I531" s="6" t="str">
        <f ca="1">IFERROR(__xludf.DUMMYFUNCTION("""COMPUTED_VALUE"""),"INMACULADA MATEU CALVO")</f>
        <v>INMACULADA MATEU CALVO</v>
      </c>
      <c r="J531" s="16">
        <f ca="1">IFERROR(__xludf.DUMMYFUNCTION("""COMPUTED_VALUE"""),46029)</f>
        <v>46029</v>
      </c>
      <c r="K531" s="6" t="str">
        <f ca="1">IFERROR(__xludf.DUMMYFUNCTION("""COMPUTED_VALUE"""),"Devuelve")</f>
        <v>Devuelve</v>
      </c>
      <c r="L531" s="16">
        <f ca="1">IFERROR(__xludf.DUMMYFUNCTION("""COMPUTED_VALUE"""),46043)</f>
        <v>46043</v>
      </c>
      <c r="M531" s="23" t="str">
        <f ca="1">IFERROR(__xludf.DUMMYFUNCTION("""COMPUTED_VALUE"""),"NO")</f>
        <v>NO</v>
      </c>
      <c r="N531" s="15">
        <f ca="1">IFERROR(__xludf.DUMMYFUNCTION("""COMPUTED_VALUE"""),1)</f>
        <v>1</v>
      </c>
      <c r="O531" s="23" t="str">
        <f ca="1">IFERROR(__xludf.DUMMYFUNCTION("""COMPUTED_VALUE"""),"QUIET")</f>
        <v>QUIET</v>
      </c>
      <c r="P531" s="21">
        <f ca="1">IFERROR(__xludf.DUMMYFUNCTION("""COMPUTED_VALUE"""),1681.82)</f>
        <v>1681.82</v>
      </c>
      <c r="Q531" s="6" t="str">
        <f ca="1">IFERROR(__xludf.DUMMYFUNCTION("""COMPUTED_VALUE"""),"Luis Alberto Rodríguez")</f>
        <v>Luis Alberto Rodríguez</v>
      </c>
      <c r="R531" s="6" t="str">
        <f ca="1">IFERROR(__xludf.DUMMYFUNCTION("""COMPUTED_VALUE"""),"Sonia García Díaz")</f>
        <v>Sonia García Díaz</v>
      </c>
      <c r="S531" s="20" t="str">
        <f ca="1">IFERROR(__xludf.DUMMYFUNCTION("""COMPUTED_VALUE"""),"03 ORL")</f>
        <v>03 ORL</v>
      </c>
      <c r="T531" s="6" t="str">
        <f ca="1">IFERROR(__xludf.DUMMYFUNCTION("""COMPUTED_VALUE"""),"06 ORL")</f>
        <v>06 ORL</v>
      </c>
      <c r="U531" s="21"/>
      <c r="W531" s="21"/>
      <c r="X531" s="21"/>
    </row>
    <row r="532" spans="2:24" ht="16">
      <c r="B532" s="14" t="str">
        <f t="shared" ca="1" si="2"/>
        <v>LAA</v>
      </c>
      <c r="C532" s="23" t="str">
        <f ca="1">IFERROR(__xludf.DUMMYFUNCTION("""COMPUTED_VALUE"""),"LAA80")</f>
        <v>LAA80</v>
      </c>
      <c r="D532" s="6" t="str">
        <f ca="1">IFERROR(__xludf.DUMMYFUNCTION("""COMPUTED_VALUE"""),"ASOCIADOS")</f>
        <v>ASOCIADOS</v>
      </c>
      <c r="E532" s="6">
        <f ca="1">IFERROR(__xludf.DUMMYFUNCTION("""COMPUTED_VALUE"""),2026)</f>
        <v>2026</v>
      </c>
      <c r="F532" s="15">
        <f ca="1">IFERROR(__xludf.DUMMYFUNCTION("""COMPUTED_VALUE"""),3)</f>
        <v>3</v>
      </c>
      <c r="G532" s="6" t="str">
        <f ca="1">IFERROR(__xludf.DUMMYFUNCTION("""COMPUTED_VALUE"""),"Badajoz")</f>
        <v>Badajoz</v>
      </c>
      <c r="H532" s="6" t="str">
        <f ca="1">IFERROR(__xludf.DUMMYFUNCTION("""COMPUTED_VALUE"""),"C202622010495182693")</f>
        <v>C202622010495182693</v>
      </c>
      <c r="I532" s="6" t="str">
        <f ca="1">IFERROR(__xludf.DUMMYFUNCTION("""COMPUTED_VALUE"""),"JOSE MANUEL PEREZ DELGADO")</f>
        <v>JOSE MANUEL PEREZ DELGADO</v>
      </c>
      <c r="J532" s="16">
        <f ca="1">IFERROR(__xludf.DUMMYFUNCTION("""COMPUTED_VALUE"""),46073)</f>
        <v>46073</v>
      </c>
      <c r="K532" s="6" t="str">
        <f ca="1">IFERROR(__xludf.DUMMYFUNCTION("""COMPUTED_VALUE"""),"Prueba")</f>
        <v>Prueba</v>
      </c>
      <c r="L532" s="16">
        <f ca="1">IFERROR(__xludf.DUMMYFUNCTION("""COMPUTED_VALUE"""),46085)</f>
        <v>46085</v>
      </c>
      <c r="M532" s="23" t="str">
        <f ca="1">IFERROR(__xludf.DUMMYFUNCTION("""COMPUTED_VALUE"""),"NO")</f>
        <v>NO</v>
      </c>
      <c r="N532" s="15">
        <f ca="1">IFERROR(__xludf.DUMMYFUNCTION("""COMPUTED_VALUE"""),2)</f>
        <v>2</v>
      </c>
      <c r="O532" s="23" t="str">
        <f ca="1">IFERROR(__xludf.DUMMYFUNCTION("""COMPUTED_VALUE"""),"QUIET")</f>
        <v>QUIET</v>
      </c>
      <c r="P532" s="21">
        <f ca="1">IFERROR(__xludf.DUMMYFUNCTION("""COMPUTED_VALUE"""),2909.09)</f>
        <v>2909.09</v>
      </c>
      <c r="Q532" s="6" t="str">
        <f ca="1">IFERROR(__xludf.DUMMYFUNCTION("""COMPUTED_VALUE"""),"Luis Alberto Rodríguez")</f>
        <v>Luis Alberto Rodríguez</v>
      </c>
      <c r="R532" s="6" t="str">
        <f ca="1">IFERROR(__xludf.DUMMYFUNCTION("""COMPUTED_VALUE"""),"Sonia García Díaz")</f>
        <v>Sonia García Díaz</v>
      </c>
      <c r="S532" s="20" t="str">
        <f ca="1">IFERROR(__xludf.DUMMYFUNCTION("""COMPUTED_VALUE"""),"03 ORL")</f>
        <v>03 ORL</v>
      </c>
      <c r="T532" s="6" t="str">
        <f ca="1">IFERROR(__xludf.DUMMYFUNCTION("""COMPUTED_VALUE"""),"06 ORL")</f>
        <v>06 ORL</v>
      </c>
      <c r="U532" s="21"/>
      <c r="W532" s="21"/>
      <c r="X532" s="21"/>
    </row>
    <row r="533" spans="2:24" ht="16">
      <c r="B533" s="14" t="str">
        <f t="shared" si="2"/>
        <v/>
      </c>
      <c r="C533" s="23"/>
      <c r="D533" s="6" t="str">
        <f ca="1">IFERROR(__xludf.DUMMYFUNCTION("""COMPUTED_VALUE"""),"ASOCIADOS")</f>
        <v>ASOCIADOS</v>
      </c>
      <c r="E533" s="6">
        <f ca="1">IFERROR(__xludf.DUMMYFUNCTION("""COMPUTED_VALUE"""),2026)</f>
        <v>2026</v>
      </c>
      <c r="F533" s="15">
        <f ca="1">IFERROR(__xludf.DUMMYFUNCTION("""COMPUTED_VALUE"""),3)</f>
        <v>3</v>
      </c>
      <c r="G533" s="6" t="str">
        <f ca="1">IFERROR(__xludf.DUMMYFUNCTION("""COMPUTED_VALUE"""),"Badajoz")</f>
        <v>Badajoz</v>
      </c>
      <c r="H533" s="6" t="str">
        <f ca="1">IFERROR(__xludf.DUMMYFUNCTION("""COMPUTED_VALUE"""),"C202621918202098014")</f>
        <v>C202621918202098014</v>
      </c>
      <c r="I533" s="6" t="str">
        <f ca="1">IFERROR(__xludf.DUMMYFUNCTION("""COMPUTED_VALUE"""),"JOSE MARIA PIZARRO MEDINA")</f>
        <v>JOSE MARIA PIZARRO MEDINA</v>
      </c>
      <c r="J533" s="16">
        <f ca="1">IFERROR(__xludf.DUMMYFUNCTION("""COMPUTED_VALUE"""),46072)</f>
        <v>46072</v>
      </c>
      <c r="K533" s="6" t="str">
        <f ca="1">IFERROR(__xludf.DUMMYFUNCTION("""COMPUTED_VALUE"""),"Prueba")</f>
        <v>Prueba</v>
      </c>
      <c r="L533" s="16">
        <f ca="1">IFERROR(__xludf.DUMMYFUNCTION("""COMPUTED_VALUE"""),46091)</f>
        <v>46091</v>
      </c>
      <c r="M533" s="23" t="str">
        <f ca="1">IFERROR(__xludf.DUMMYFUNCTION("""COMPUTED_VALUE"""),"NO")</f>
        <v>NO</v>
      </c>
      <c r="N533" s="15">
        <f ca="1">IFERROR(__xludf.DUMMYFUNCTION("""COMPUTED_VALUE"""),2)</f>
        <v>2</v>
      </c>
      <c r="O533" s="23" t="str">
        <f ca="1">IFERROR(__xludf.DUMMYFUNCTION("""COMPUTED_VALUE"""),"CONFORT")</f>
        <v>CONFORT</v>
      </c>
      <c r="P533" s="21">
        <f ca="1">IFERROR(__xludf.DUMMYFUNCTION("""COMPUTED_VALUE"""),3604.55)</f>
        <v>3604.55</v>
      </c>
      <c r="Q533" s="6" t="str">
        <f ca="1">IFERROR(__xludf.DUMMYFUNCTION("""COMPUTED_VALUE"""),"Luis Alberto Rodríguez")</f>
        <v>Luis Alberto Rodríguez</v>
      </c>
      <c r="R533" s="6" t="str">
        <f ca="1">IFERROR(__xludf.DUMMYFUNCTION("""COMPUTED_VALUE"""),"No recuerda ORL")</f>
        <v>No recuerda ORL</v>
      </c>
      <c r="S533" s="20" t="str">
        <f ca="1">IFERROR(__xludf.DUMMYFUNCTION("""COMPUTED_VALUE"""),"03 ORL")</f>
        <v>03 ORL</v>
      </c>
      <c r="T533" s="6" t="str">
        <f ca="1">IFERROR(__xludf.DUMMYFUNCTION("""COMPUTED_VALUE"""),"06 ORL")</f>
        <v>06 ORL</v>
      </c>
      <c r="U533" s="21"/>
      <c r="W533" s="21"/>
      <c r="X533" s="21"/>
    </row>
    <row r="534" spans="2:24" ht="16">
      <c r="B534" s="14" t="str">
        <f t="shared" ca="1" si="2"/>
        <v>LAA</v>
      </c>
      <c r="C534" s="23" t="str">
        <f ca="1">IFERROR(__xludf.DUMMYFUNCTION("""COMPUTED_VALUE"""),"LAA60")</f>
        <v>LAA60</v>
      </c>
      <c r="D534" s="6" t="str">
        <f ca="1">IFERROR(__xludf.DUMMYFUNCTION("""COMPUTED_VALUE"""),"ASOCIADOS")</f>
        <v>ASOCIADOS</v>
      </c>
      <c r="E534" s="6">
        <f ca="1">IFERROR(__xludf.DUMMYFUNCTION("""COMPUTED_VALUE"""),2026)</f>
        <v>2026</v>
      </c>
      <c r="F534" s="15">
        <f ca="1">IFERROR(__xludf.DUMMYFUNCTION("""COMPUTED_VALUE"""),3)</f>
        <v>3</v>
      </c>
      <c r="G534" s="6" t="str">
        <f ca="1">IFERROR(__xludf.DUMMYFUNCTION("""COMPUTED_VALUE"""),"Badajoz")</f>
        <v>Badajoz</v>
      </c>
      <c r="H534" s="6" t="str">
        <f ca="1">IFERROR(__xludf.DUMMYFUNCTION("""COMPUTED_VALUE"""),"C202622016344401919")</f>
        <v>C202622016344401919</v>
      </c>
      <c r="I534" s="6" t="str">
        <f ca="1">IFERROR(__xludf.DUMMYFUNCTION("""COMPUTED_VALUE"""),"MARIA JOSE PARRA RODRIGUEZ")</f>
        <v>MARIA JOSE PARRA RODRIGUEZ</v>
      </c>
      <c r="J534" s="16">
        <f ca="1">IFERROR(__xludf.DUMMYFUNCTION("""COMPUTED_VALUE"""),46073)</f>
        <v>46073</v>
      </c>
      <c r="K534" s="6" t="str">
        <f ca="1">IFERROR(__xludf.DUMMYFUNCTION("""COMPUTED_VALUE"""),"Prueba")</f>
        <v>Prueba</v>
      </c>
      <c r="L534" s="16">
        <f ca="1">IFERROR(__xludf.DUMMYFUNCTION("""COMPUTED_VALUE"""),46097)</f>
        <v>46097</v>
      </c>
      <c r="M534" s="23" t="str">
        <f ca="1">IFERROR(__xludf.DUMMYFUNCTION("""COMPUTED_VALUE"""),"NO")</f>
        <v>NO</v>
      </c>
      <c r="N534" s="15">
        <f ca="1">IFERROR(__xludf.DUMMYFUNCTION("""COMPUTED_VALUE"""),2)</f>
        <v>2</v>
      </c>
      <c r="O534" s="23" t="str">
        <f ca="1">IFERROR(__xludf.DUMMYFUNCTION("""COMPUTED_VALUE"""),"PRO")</f>
        <v>PRO</v>
      </c>
      <c r="P534" s="21">
        <f ca="1">IFERROR(__xludf.DUMMYFUNCTION("""COMPUTED_VALUE"""),4536.36)</f>
        <v>4536.3599999999997</v>
      </c>
      <c r="Q534" s="6" t="str">
        <f ca="1">IFERROR(__xludf.DUMMYFUNCTION("""COMPUTED_VALUE"""),"Luis Alberto Rodríguez")</f>
        <v>Luis Alberto Rodríguez</v>
      </c>
      <c r="R534" s="6" t="str">
        <f ca="1">IFERROR(__xludf.DUMMYFUNCTION("""COMPUTED_VALUE"""),"Tomas Mogollon Cano Cortes")</f>
        <v>Tomas Mogollon Cano Cortes</v>
      </c>
      <c r="S534" s="20" t="str">
        <f ca="1">IFERROR(__xludf.DUMMYFUNCTION("""COMPUTED_VALUE"""),"03 ORL")</f>
        <v>03 ORL</v>
      </c>
      <c r="T534" s="6" t="str">
        <f ca="1">IFERROR(__xludf.DUMMYFUNCTION("""COMPUTED_VALUE"""),"06 ORL")</f>
        <v>06 ORL</v>
      </c>
      <c r="U534" s="21"/>
      <c r="W534" s="21"/>
      <c r="X534" s="21"/>
    </row>
    <row r="535" spans="2:24" ht="16">
      <c r="B535" s="14" t="str">
        <f t="shared" ca="1" si="2"/>
        <v>LRM</v>
      </c>
      <c r="C535" s="23" t="str">
        <f ca="1">IFERROR(__xludf.DUMMYFUNCTION("""COMPUTED_VALUE"""),"LRM253")</f>
        <v>LRM253</v>
      </c>
      <c r="D535" s="6" t="str">
        <f ca="1">IFERROR(__xludf.DUMMYFUNCTION("""COMPUTED_VALUE"""),"ASOCIADOS")</f>
        <v>ASOCIADOS</v>
      </c>
      <c r="E535" s="6">
        <f ca="1">IFERROR(__xludf.DUMMYFUNCTION("""COMPUTED_VALUE"""),2026)</f>
        <v>2026</v>
      </c>
      <c r="F535" s="15">
        <f ca="1">IFERROR(__xludf.DUMMYFUNCTION("""COMPUTED_VALUE"""),3)</f>
        <v>3</v>
      </c>
      <c r="G535" s="6" t="str">
        <f ca="1">IFERROR(__xludf.DUMMYFUNCTION("""COMPUTED_VALUE"""),"Cáceres")</f>
        <v>Cáceres</v>
      </c>
      <c r="H535" s="6" t="str">
        <f ca="1">IFERROR(__xludf.DUMMYFUNCTION("""COMPUTED_VALUE"""),"C202632512461971910")</f>
        <v>C202632512461971910</v>
      </c>
      <c r="I535" s="6" t="str">
        <f ca="1">IFERROR(__xludf.DUMMYFUNCTION("""COMPUTED_VALUE"""),"BENITO GIL JORDAN")</f>
        <v>BENITO GIL JORDAN</v>
      </c>
      <c r="J535" s="16">
        <f ca="1">IFERROR(__xludf.DUMMYFUNCTION("""COMPUTED_VALUE"""),46106)</f>
        <v>46106</v>
      </c>
      <c r="K535" s="6" t="str">
        <f ca="1">IFERROR(__xludf.DUMMYFUNCTION("""COMPUTED_VALUE"""),"Prueba")</f>
        <v>Prueba</v>
      </c>
      <c r="L535" s="16">
        <f ca="1">IFERROR(__xludf.DUMMYFUNCTION("""COMPUTED_VALUE"""),46108)</f>
        <v>46108</v>
      </c>
      <c r="M535" s="23" t="str">
        <f ca="1">IFERROR(__xludf.DUMMYFUNCTION("""COMPUTED_VALUE"""),"NO")</f>
        <v>NO</v>
      </c>
      <c r="N535" s="15">
        <f ca="1">IFERROR(__xludf.DUMMYFUNCTION("""COMPUTED_VALUE"""),2)</f>
        <v>2</v>
      </c>
      <c r="O535" s="23" t="str">
        <f ca="1">IFERROR(__xludf.DUMMYFUNCTION("""COMPUTED_VALUE"""),"ADVANCED")</f>
        <v>ADVANCED</v>
      </c>
      <c r="P535" s="21">
        <f ca="1">IFERROR(__xludf.DUMMYFUNCTION("""COMPUTED_VALUE"""),4500)</f>
        <v>4500</v>
      </c>
      <c r="Q535" s="6" t="str">
        <f ca="1">IFERROR(__xludf.DUMMYFUNCTION("""COMPUTED_VALUE"""),"Luis Alberto Rodríguez")</f>
        <v>Luis Alberto Rodríguez</v>
      </c>
      <c r="R535" s="6" t="str">
        <f ca="1">IFERROR(__xludf.DUMMYFUNCTION("""COMPUTED_VALUE"""),"Marta García Jiménez")</f>
        <v>Marta García Jiménez</v>
      </c>
      <c r="S535" s="20" t="str">
        <f ca="1">IFERROR(__xludf.DUMMYFUNCTION("""COMPUTED_VALUE"""),"03 ORL")</f>
        <v>03 ORL</v>
      </c>
      <c r="T535" s="6" t="str">
        <f ca="1">IFERROR(__xludf.DUMMYFUNCTION("""COMPUTED_VALUE"""),"06 ORL")</f>
        <v>06 ORL</v>
      </c>
      <c r="U535" s="21"/>
      <c r="W535" s="21"/>
      <c r="X535" s="21"/>
    </row>
    <row r="536" spans="2:24" ht="16">
      <c r="B536" s="14" t="str">
        <f t="shared" ca="1" si="2"/>
        <v>LRM</v>
      </c>
      <c r="C536" s="23" t="str">
        <f ca="1">IFERROR(__xludf.DUMMYFUNCTION("""COMPUTED_VALUE"""),"LRM153")</f>
        <v>LRM153</v>
      </c>
      <c r="D536" s="6" t="str">
        <f ca="1">IFERROR(__xludf.DUMMYFUNCTION("""COMPUTED_VALUE"""),"ASOCIADOS")</f>
        <v>ASOCIADOS</v>
      </c>
      <c r="E536" s="6">
        <f ca="1">IFERROR(__xludf.DUMMYFUNCTION("""COMPUTED_VALUE"""),2026)</f>
        <v>2026</v>
      </c>
      <c r="F536" s="15">
        <f ca="1">IFERROR(__xludf.DUMMYFUNCTION("""COMPUTED_VALUE"""),3)</f>
        <v>3</v>
      </c>
      <c r="G536" s="6" t="str">
        <f ca="1">IFERROR(__xludf.DUMMYFUNCTION("""COMPUTED_VALUE"""),"Cáceres")</f>
        <v>Cáceres</v>
      </c>
      <c r="H536" s="6" t="str">
        <f ca="1">IFERROR(__xludf.DUMMYFUNCTION("""COMPUTED_VALUE"""),"C202635174025816042")</f>
        <v>C202635174025816042</v>
      </c>
      <c r="I536" s="6" t="str">
        <f ca="1">IFERROR(__xludf.DUMMYFUNCTION("""COMPUTED_VALUE"""),"CASTO HERRERO COLLADO")</f>
        <v>CASTO HERRERO COLLADO</v>
      </c>
      <c r="J536" s="16">
        <f ca="1">IFERROR(__xludf.DUMMYFUNCTION("""COMPUTED_VALUE"""),46086)</f>
        <v>46086</v>
      </c>
      <c r="K536" s="6" t="str">
        <f ca="1">IFERROR(__xludf.DUMMYFUNCTION("""COMPUTED_VALUE"""),"Devuelve")</f>
        <v>Devuelve</v>
      </c>
      <c r="L536" s="16">
        <f ca="1">IFERROR(__xludf.DUMMYFUNCTION("""COMPUTED_VALUE"""),46094)</f>
        <v>46094</v>
      </c>
      <c r="M536" s="23" t="str">
        <f ca="1">IFERROR(__xludf.DUMMYFUNCTION("""COMPUTED_VALUE"""),"NO")</f>
        <v>NO</v>
      </c>
      <c r="N536" s="15">
        <f ca="1">IFERROR(__xludf.DUMMYFUNCTION("""COMPUTED_VALUE"""),2)</f>
        <v>2</v>
      </c>
      <c r="O536" s="23" t="str">
        <f ca="1">IFERROR(__xludf.DUMMYFUNCTION("""COMPUTED_VALUE"""),"PRO")</f>
        <v>PRO</v>
      </c>
      <c r="P536" s="21">
        <f ca="1">IFERROR(__xludf.DUMMYFUNCTION("""COMPUTED_VALUE"""),4990.91)</f>
        <v>4990.91</v>
      </c>
      <c r="Q536" s="6" t="str">
        <f ca="1">IFERROR(__xludf.DUMMYFUNCTION("""COMPUTED_VALUE"""),"Luis Alberto Rodríguez")</f>
        <v>Luis Alberto Rodríguez</v>
      </c>
      <c r="R536" s="6" t="str">
        <f ca="1">IFERROR(__xludf.DUMMYFUNCTION("""COMPUTED_VALUE"""),"Daniela Carolina Laguado Bulgheroni")</f>
        <v>Daniela Carolina Laguado Bulgheroni</v>
      </c>
      <c r="S536" s="20" t="str">
        <f ca="1">IFERROR(__xludf.DUMMYFUNCTION("""COMPUTED_VALUE"""),"03 ORL")</f>
        <v>03 ORL</v>
      </c>
      <c r="T536" s="6" t="str">
        <f ca="1">IFERROR(__xludf.DUMMYFUNCTION("""COMPUTED_VALUE"""),"06 ORL")</f>
        <v>06 ORL</v>
      </c>
      <c r="U536" s="21"/>
      <c r="W536" s="21"/>
      <c r="X536" s="21"/>
    </row>
    <row r="537" spans="2:24" ht="16">
      <c r="B537" s="26" t="str">
        <f t="shared" ref="B537:B791" ca="1" si="3">IF($H537="","",LEFT(C537,3))</f>
        <v>LRM</v>
      </c>
      <c r="C537" s="23" t="str">
        <f ca="1">IFERROR(__xludf.DUMMYFUNCTION("""COMPUTED_VALUE"""),"LRM113")</f>
        <v>LRM113</v>
      </c>
      <c r="D537" s="6" t="str">
        <f ca="1">IFERROR(__xludf.DUMMYFUNCTION("""COMPUTED_VALUE"""),"ASOCIADOS")</f>
        <v>ASOCIADOS</v>
      </c>
      <c r="E537" s="6">
        <f ca="1">IFERROR(__xludf.DUMMYFUNCTION("""COMPUTED_VALUE"""),2026)</f>
        <v>2026</v>
      </c>
      <c r="F537" s="15">
        <f ca="1">IFERROR(__xludf.DUMMYFUNCTION("""COMPUTED_VALUE"""),3)</f>
        <v>3</v>
      </c>
      <c r="G537" s="6" t="str">
        <f ca="1">IFERROR(__xludf.DUMMYFUNCTION("""COMPUTED_VALUE"""),"Cáceres")</f>
        <v>Cáceres</v>
      </c>
      <c r="H537" s="6" t="str">
        <f ca="1">IFERROR(__xludf.DUMMYFUNCTION("""COMPUTED_VALUE"""),"C202633015471721865")</f>
        <v>C202633015471721865</v>
      </c>
      <c r="I537" s="6" t="str">
        <f ca="1">IFERROR(__xludf.DUMMYFUNCTION("""COMPUTED_VALUE"""),"DIEGO MORENO BACHILLER")</f>
        <v>DIEGO MORENO BACHILLER</v>
      </c>
      <c r="J537" s="16">
        <f ca="1">IFERROR(__xludf.DUMMYFUNCTION("""COMPUTED_VALUE"""),46111)</f>
        <v>46111</v>
      </c>
      <c r="K537" s="6" t="str">
        <f ca="1">IFERROR(__xludf.DUMMYFUNCTION("""COMPUTED_VALUE"""),"Prueba")</f>
        <v>Prueba</v>
      </c>
      <c r="L537" s="16">
        <f ca="1">IFERROR(__xludf.DUMMYFUNCTION("""COMPUTED_VALUE"""),46112)</f>
        <v>46112</v>
      </c>
      <c r="M537" s="23" t="str">
        <f ca="1">IFERROR(__xludf.DUMMYFUNCTION("""COMPUTED_VALUE"""),"NO")</f>
        <v>NO</v>
      </c>
      <c r="N537" s="15">
        <f ca="1">IFERROR(__xludf.DUMMYFUNCTION("""COMPUTED_VALUE"""),2)</f>
        <v>2</v>
      </c>
      <c r="O537" s="23" t="str">
        <f ca="1">IFERROR(__xludf.DUMMYFUNCTION("""COMPUTED_VALUE"""),"ADVANCED")</f>
        <v>ADVANCED</v>
      </c>
      <c r="P537" s="21">
        <f ca="1">IFERROR(__xludf.DUMMYFUNCTION("""COMPUTED_VALUE"""),4500)</f>
        <v>4500</v>
      </c>
      <c r="Q537" s="6" t="str">
        <f ca="1">IFERROR(__xludf.DUMMYFUNCTION("""COMPUTED_VALUE"""),"Luis Alberto Rodríguez")</f>
        <v>Luis Alberto Rodríguez</v>
      </c>
      <c r="R537" s="6" t="str">
        <f ca="1">IFERROR(__xludf.DUMMYFUNCTION("""COMPUTED_VALUE"""),"Raed Maqued El Maqued")</f>
        <v>Raed Maqued El Maqued</v>
      </c>
      <c r="S537" s="20" t="str">
        <f ca="1">IFERROR(__xludf.DUMMYFUNCTION("""COMPUTED_VALUE"""),"03 ORL")</f>
        <v>03 ORL</v>
      </c>
      <c r="T537" s="6" t="str">
        <f ca="1">IFERROR(__xludf.DUMMYFUNCTION("""COMPUTED_VALUE"""),"06 ORL")</f>
        <v>06 ORL</v>
      </c>
      <c r="U537" s="21"/>
      <c r="W537" s="21"/>
      <c r="X537" s="21"/>
    </row>
    <row r="538" spans="2:24" ht="16">
      <c r="B538" s="26" t="str">
        <f t="shared" ca="1" si="3"/>
        <v>LRM</v>
      </c>
      <c r="C538" s="23" t="str">
        <f ca="1">IFERROR(__xludf.DUMMYFUNCTION("""COMPUTED_VALUE"""),"LRM253")</f>
        <v>LRM253</v>
      </c>
      <c r="D538" s="6" t="str">
        <f ca="1">IFERROR(__xludf.DUMMYFUNCTION("""COMPUTED_VALUE"""),"ASOCIADOS")</f>
        <v>ASOCIADOS</v>
      </c>
      <c r="E538" s="6">
        <f ca="1">IFERROR(__xludf.DUMMYFUNCTION("""COMPUTED_VALUE"""),2026)</f>
        <v>2026</v>
      </c>
      <c r="F538" s="15">
        <f ca="1">IFERROR(__xludf.DUMMYFUNCTION("""COMPUTED_VALUE"""),3)</f>
        <v>3</v>
      </c>
      <c r="G538" s="6" t="str">
        <f ca="1">IFERROR(__xludf.DUMMYFUNCTION("""COMPUTED_VALUE"""),"Cáceres")</f>
        <v>Cáceres</v>
      </c>
      <c r="H538" s="6" t="str">
        <f ca="1">IFERROR(__xludf.DUMMYFUNCTION("""COMPUTED_VALUE"""),"C202631016361394975")</f>
        <v>C202631016361394975</v>
      </c>
      <c r="I538" s="6" t="str">
        <f ca="1">IFERROR(__xludf.DUMMYFUNCTION("""COMPUTED_VALUE"""),"ELOISA HOLGADO GARCIA")</f>
        <v>ELOISA HOLGADO GARCIA</v>
      </c>
      <c r="J538" s="16">
        <f ca="1">IFERROR(__xludf.DUMMYFUNCTION("""COMPUTED_VALUE"""),46091)</f>
        <v>46091</v>
      </c>
      <c r="K538" s="6" t="str">
        <f ca="1">IFERROR(__xludf.DUMMYFUNCTION("""COMPUTED_VALUE"""),"Prueba")</f>
        <v>Prueba</v>
      </c>
      <c r="L538" s="16">
        <f ca="1">IFERROR(__xludf.DUMMYFUNCTION("""COMPUTED_VALUE"""),46098)</f>
        <v>46098</v>
      </c>
      <c r="M538" s="23" t="str">
        <f ca="1">IFERROR(__xludf.DUMMYFUNCTION("""COMPUTED_VALUE"""),"NO")</f>
        <v>NO</v>
      </c>
      <c r="N538" s="15">
        <f ca="1">IFERROR(__xludf.DUMMYFUNCTION("""COMPUTED_VALUE"""),2)</f>
        <v>2</v>
      </c>
      <c r="O538" s="23" t="str">
        <f ca="1">IFERROR(__xludf.DUMMYFUNCTION("""COMPUTED_VALUE"""),"CONFORT")</f>
        <v>CONFORT</v>
      </c>
      <c r="P538" s="21">
        <f ca="1">IFERROR(__xludf.DUMMYFUNCTION("""COMPUTED_VALUE"""),3678.18)</f>
        <v>3678.18</v>
      </c>
      <c r="Q538" s="6" t="str">
        <f ca="1">IFERROR(__xludf.DUMMYFUNCTION("""COMPUTED_VALUE"""),"Luis Alberto Rodríguez")</f>
        <v>Luis Alberto Rodríguez</v>
      </c>
      <c r="R538" s="6" t="str">
        <f ca="1">IFERROR(__xludf.DUMMYFUNCTION("""COMPUTED_VALUE"""),"Marta García Jiménez")</f>
        <v>Marta García Jiménez</v>
      </c>
      <c r="S538" s="20" t="str">
        <f ca="1">IFERROR(__xludf.DUMMYFUNCTION("""COMPUTED_VALUE"""),"03 ORL")</f>
        <v>03 ORL</v>
      </c>
      <c r="T538" s="6" t="str">
        <f ca="1">IFERROR(__xludf.DUMMYFUNCTION("""COMPUTED_VALUE"""),"06 ORL")</f>
        <v>06 ORL</v>
      </c>
      <c r="U538" s="21"/>
      <c r="W538" s="21"/>
      <c r="X538" s="21"/>
    </row>
    <row r="539" spans="2:24" ht="16">
      <c r="B539" s="26" t="str">
        <f t="shared" ca="1" si="3"/>
        <v>LRM</v>
      </c>
      <c r="C539" s="23" t="str">
        <f ca="1">IFERROR(__xludf.DUMMYFUNCTION("""COMPUTED_VALUE"""),"LRM153")</f>
        <v>LRM153</v>
      </c>
      <c r="D539" s="6" t="str">
        <f ca="1">IFERROR(__xludf.DUMMYFUNCTION("""COMPUTED_VALUE"""),"ASOCIADOS")</f>
        <v>ASOCIADOS</v>
      </c>
      <c r="E539" s="6">
        <f ca="1">IFERROR(__xludf.DUMMYFUNCTION("""COMPUTED_VALUE"""),2026)</f>
        <v>2026</v>
      </c>
      <c r="F539" s="15">
        <f ca="1">IFERROR(__xludf.DUMMYFUNCTION("""COMPUTED_VALUE"""),3)</f>
        <v>3</v>
      </c>
      <c r="G539" s="6" t="str">
        <f ca="1">IFERROR(__xludf.DUMMYFUNCTION("""COMPUTED_VALUE"""),"Cáceres")</f>
        <v>Cáceres</v>
      </c>
      <c r="H539" s="6" t="str">
        <f ca="1">IFERROR(__xludf.DUMMYFUNCTION("""COMPUTED_VALUE"""),"C20262269245950981")</f>
        <v>C20262269245950981</v>
      </c>
      <c r="I539" s="6" t="str">
        <f ca="1">IFERROR(__xludf.DUMMYFUNCTION("""COMPUTED_VALUE"""),"FELIX  PEREZ BLANCO")</f>
        <v>FELIX  PEREZ BLANCO</v>
      </c>
      <c r="J539" s="16">
        <f ca="1">IFERROR(__xludf.DUMMYFUNCTION("""COMPUTED_VALUE"""),46079)</f>
        <v>46079</v>
      </c>
      <c r="K539" s="6" t="str">
        <f ca="1">IFERROR(__xludf.DUMMYFUNCTION("""COMPUTED_VALUE"""),"Devuelve")</f>
        <v>Devuelve</v>
      </c>
      <c r="L539" s="16">
        <f ca="1">IFERROR(__xludf.DUMMYFUNCTION("""COMPUTED_VALUE"""),46085)</f>
        <v>46085</v>
      </c>
      <c r="M539" s="23" t="str">
        <f ca="1">IFERROR(__xludf.DUMMYFUNCTION("""COMPUTED_VALUE"""),"NO")</f>
        <v>NO</v>
      </c>
      <c r="N539" s="15">
        <f ca="1">IFERROR(__xludf.DUMMYFUNCTION("""COMPUTED_VALUE"""),1)</f>
        <v>1</v>
      </c>
      <c r="O539" s="23" t="str">
        <f ca="1">IFERROR(__xludf.DUMMYFUNCTION("""COMPUTED_VALUE"""),"PRO")</f>
        <v>PRO</v>
      </c>
      <c r="P539" s="21">
        <f ca="1">IFERROR(__xludf.DUMMYFUNCTION("""COMPUTED_VALUE"""),2745)</f>
        <v>2745</v>
      </c>
      <c r="Q539" s="6" t="str">
        <f ca="1">IFERROR(__xludf.DUMMYFUNCTION("""COMPUTED_VALUE"""),"Luis Alberto Rodríguez")</f>
        <v>Luis Alberto Rodríguez</v>
      </c>
      <c r="R539" s="6" t="str">
        <f ca="1">IFERROR(__xludf.DUMMYFUNCTION("""COMPUTED_VALUE"""),"Daniela Carolina Laguado Bulgheroni")</f>
        <v>Daniela Carolina Laguado Bulgheroni</v>
      </c>
      <c r="S539" s="20" t="str">
        <f ca="1">IFERROR(__xludf.DUMMYFUNCTION("""COMPUTED_VALUE"""),"03 ORL")</f>
        <v>03 ORL</v>
      </c>
      <c r="T539" s="6" t="str">
        <f ca="1">IFERROR(__xludf.DUMMYFUNCTION("""COMPUTED_VALUE"""),"06 ORL")</f>
        <v>06 ORL</v>
      </c>
      <c r="U539" s="21"/>
      <c r="W539" s="21"/>
      <c r="X539" s="21"/>
    </row>
    <row r="540" spans="2:24" ht="16">
      <c r="B540" s="26" t="str">
        <f t="shared" ca="1" si="3"/>
        <v>LRM</v>
      </c>
      <c r="C540" s="23" t="str">
        <f ca="1">IFERROR(__xludf.DUMMYFUNCTION("""COMPUTED_VALUE"""),"LRM153")</f>
        <v>LRM153</v>
      </c>
      <c r="D540" s="6" t="str">
        <f ca="1">IFERROR(__xludf.DUMMYFUNCTION("""COMPUTED_VALUE"""),"ASOCIADOS")</f>
        <v>ASOCIADOS</v>
      </c>
      <c r="E540" s="6">
        <f ca="1">IFERROR(__xludf.DUMMYFUNCTION("""COMPUTED_VALUE"""),2026)</f>
        <v>2026</v>
      </c>
      <c r="F540" s="15">
        <f ca="1">IFERROR(__xludf.DUMMYFUNCTION("""COMPUTED_VALUE"""),3)</f>
        <v>3</v>
      </c>
      <c r="G540" s="6" t="str">
        <f ca="1">IFERROR(__xludf.DUMMYFUNCTION("""COMPUTED_VALUE"""),"Cáceres")</f>
        <v>Cáceres</v>
      </c>
      <c r="H540" s="6" t="str">
        <f ca="1">IFERROR(__xludf.DUMMYFUNCTION("""COMPUTED_VALUE"""),"C202632103617887570")</f>
        <v>C202632103617887570</v>
      </c>
      <c r="I540" s="6" t="str">
        <f ca="1">IFERROR(__xludf.DUMMYFUNCTION("""COMPUTED_VALUE"""),"FRANCISCO PALENCIA REY")</f>
        <v>FRANCISCO PALENCIA REY</v>
      </c>
      <c r="J540" s="16">
        <f ca="1">IFERROR(__xludf.DUMMYFUNCTION("""COMPUTED_VALUE"""),46083)</f>
        <v>46083</v>
      </c>
      <c r="K540" s="6" t="str">
        <f ca="1">IFERROR(__xludf.DUMMYFUNCTION("""COMPUTED_VALUE"""),"Devuelve")</f>
        <v>Devuelve</v>
      </c>
      <c r="L540" s="16">
        <f ca="1">IFERROR(__xludf.DUMMYFUNCTION("""COMPUTED_VALUE"""),46087)</f>
        <v>46087</v>
      </c>
      <c r="M540" s="23" t="str">
        <f ca="1">IFERROR(__xludf.DUMMYFUNCTION("""COMPUTED_VALUE"""),"NO")</f>
        <v>NO</v>
      </c>
      <c r="N540" s="15">
        <f ca="1">IFERROR(__xludf.DUMMYFUNCTION("""COMPUTED_VALUE"""),2)</f>
        <v>2</v>
      </c>
      <c r="O540" s="23" t="str">
        <f ca="1">IFERROR(__xludf.DUMMYFUNCTION("""COMPUTED_VALUE"""),"ADVANCED")</f>
        <v>ADVANCED</v>
      </c>
      <c r="P540" s="21">
        <f ca="1">IFERROR(__xludf.DUMMYFUNCTION("""COMPUTED_VALUE"""),4500)</f>
        <v>4500</v>
      </c>
      <c r="Q540" s="6" t="str">
        <f ca="1">IFERROR(__xludf.DUMMYFUNCTION("""COMPUTED_VALUE"""),"Luis Alberto Rodríguez")</f>
        <v>Luis Alberto Rodríguez</v>
      </c>
      <c r="R540" s="6" t="str">
        <f ca="1">IFERROR(__xludf.DUMMYFUNCTION("""COMPUTED_VALUE"""),"Daniela Carolina Laguado Bulgheroni")</f>
        <v>Daniela Carolina Laguado Bulgheroni</v>
      </c>
      <c r="S540" s="20" t="str">
        <f ca="1">IFERROR(__xludf.DUMMYFUNCTION("""COMPUTED_VALUE"""),"03 ORL")</f>
        <v>03 ORL</v>
      </c>
      <c r="T540" s="6" t="str">
        <f ca="1">IFERROR(__xludf.DUMMYFUNCTION("""COMPUTED_VALUE"""),"06 ORL")</f>
        <v>06 ORL</v>
      </c>
      <c r="U540" s="21"/>
      <c r="W540" s="21"/>
      <c r="X540" s="21"/>
    </row>
    <row r="541" spans="2:24" ht="16">
      <c r="B541" s="26" t="str">
        <f t="shared" ca="1" si="3"/>
        <v>LRM</v>
      </c>
      <c r="C541" s="23" t="str">
        <f ca="1">IFERROR(__xludf.DUMMYFUNCTION("""COMPUTED_VALUE"""),"LRM58")</f>
        <v>LRM58</v>
      </c>
      <c r="D541" s="6" t="str">
        <f ca="1">IFERROR(__xludf.DUMMYFUNCTION("""COMPUTED_VALUE"""),"ASOCIADOS")</f>
        <v>ASOCIADOS</v>
      </c>
      <c r="E541" s="6">
        <f ca="1">IFERROR(__xludf.DUMMYFUNCTION("""COMPUTED_VALUE"""),2026)</f>
        <v>2026</v>
      </c>
      <c r="F541" s="15">
        <f ca="1">IFERROR(__xludf.DUMMYFUNCTION("""COMPUTED_VALUE"""),3)</f>
        <v>3</v>
      </c>
      <c r="G541" s="6" t="str">
        <f ca="1">IFERROR(__xludf.DUMMYFUNCTION("""COMPUTED_VALUE"""),"Cáceres")</f>
        <v>Cáceres</v>
      </c>
      <c r="H541" s="6" t="str">
        <f ca="1">IFERROR(__xludf.DUMMYFUNCTION("""COMPUTED_VALUE"""),"C202632492822641146")</f>
        <v>C202632492822641146</v>
      </c>
      <c r="I541" s="6" t="str">
        <f ca="1">IFERROR(__xludf.DUMMYFUNCTION("""COMPUTED_VALUE"""),"GASPAR  GAZO LAHOZ")</f>
        <v>GASPAR  GAZO LAHOZ</v>
      </c>
      <c r="J541" s="16">
        <f ca="1">IFERROR(__xludf.DUMMYFUNCTION("""COMPUTED_VALUE"""),46105)</f>
        <v>46105</v>
      </c>
      <c r="K541" s="6" t="str">
        <f ca="1">IFERROR(__xludf.DUMMYFUNCTION("""COMPUTED_VALUE"""),"Prueba")</f>
        <v>Prueba</v>
      </c>
      <c r="L541" s="16">
        <f ca="1">IFERROR(__xludf.DUMMYFUNCTION("""COMPUTED_VALUE"""),46106)</f>
        <v>46106</v>
      </c>
      <c r="M541" s="23" t="str">
        <f ca="1">IFERROR(__xludf.DUMMYFUNCTION("""COMPUTED_VALUE"""),"NO")</f>
        <v>NO</v>
      </c>
      <c r="N541" s="15">
        <f ca="1">IFERROR(__xludf.DUMMYFUNCTION("""COMPUTED_VALUE"""),2)</f>
        <v>2</v>
      </c>
      <c r="O541" s="23" t="str">
        <f ca="1">IFERROR(__xludf.DUMMYFUNCTION("""COMPUTED_VALUE"""),"PRO")</f>
        <v>PRO</v>
      </c>
      <c r="P541" s="21">
        <f ca="1">IFERROR(__xludf.DUMMYFUNCTION("""COMPUTED_VALUE"""),4990.91)</f>
        <v>4990.91</v>
      </c>
      <c r="Q541" s="6" t="str">
        <f ca="1">IFERROR(__xludf.DUMMYFUNCTION("""COMPUTED_VALUE"""),"Luis Alberto Rodríguez")</f>
        <v>Luis Alberto Rodríguez</v>
      </c>
      <c r="R541" s="6" t="str">
        <f ca="1">IFERROR(__xludf.DUMMYFUNCTION("""COMPUTED_VALUE"""),"Javier García Gómez")</f>
        <v>Javier García Gómez</v>
      </c>
      <c r="S541" s="20" t="str">
        <f ca="1">IFERROR(__xludf.DUMMYFUNCTION("""COMPUTED_VALUE"""),"03 ORL")</f>
        <v>03 ORL</v>
      </c>
      <c r="T541" s="6" t="str">
        <f ca="1">IFERROR(__xludf.DUMMYFUNCTION("""COMPUTED_VALUE"""),"06 ORL")</f>
        <v>06 ORL</v>
      </c>
      <c r="U541" s="21"/>
      <c r="W541" s="21"/>
      <c r="X541" s="21"/>
    </row>
    <row r="542" spans="2:24" ht="16">
      <c r="B542" s="26" t="str">
        <f t="shared" ca="1" si="3"/>
        <v>LRM</v>
      </c>
      <c r="C542" s="23" t="str">
        <f ca="1">IFERROR(__xludf.DUMMYFUNCTION("""COMPUTED_VALUE"""),"LRM58")</f>
        <v>LRM58</v>
      </c>
      <c r="D542" s="6" t="str">
        <f ca="1">IFERROR(__xludf.DUMMYFUNCTION("""COMPUTED_VALUE"""),"ASOCIADOS")</f>
        <v>ASOCIADOS</v>
      </c>
      <c r="E542" s="6">
        <f ca="1">IFERROR(__xludf.DUMMYFUNCTION("""COMPUTED_VALUE"""),2026)</f>
        <v>2026</v>
      </c>
      <c r="F542" s="15">
        <f ca="1">IFERROR(__xludf.DUMMYFUNCTION("""COMPUTED_VALUE"""),3)</f>
        <v>3</v>
      </c>
      <c r="G542" s="6" t="str">
        <f ca="1">IFERROR(__xludf.DUMMYFUNCTION("""COMPUTED_VALUE"""),"Cáceres")</f>
        <v>Cáceres</v>
      </c>
      <c r="H542" s="6" t="str">
        <f ca="1">IFERROR(__xludf.DUMMYFUNCTION("""COMPUTED_VALUE"""),"C202631392331143617")</f>
        <v>C202631392331143617</v>
      </c>
      <c r="I542" s="6" t="str">
        <f ca="1">IFERROR(__xludf.DUMMYFUNCTION("""COMPUTED_VALUE"""),"INES LOZANO CARRASCO")</f>
        <v>INES LOZANO CARRASCO</v>
      </c>
      <c r="J542" s="16">
        <f ca="1">IFERROR(__xludf.DUMMYFUNCTION("""COMPUTED_VALUE"""),46094)</f>
        <v>46094</v>
      </c>
      <c r="K542" s="6" t="str">
        <f ca="1">IFERROR(__xludf.DUMMYFUNCTION("""COMPUTED_VALUE"""),"Presupuesto")</f>
        <v>Presupuesto</v>
      </c>
      <c r="L542" s="16">
        <f ca="1">IFERROR(__xludf.DUMMYFUNCTION("""COMPUTED_VALUE"""),46101)</f>
        <v>46101</v>
      </c>
      <c r="M542" s="23" t="str">
        <f ca="1">IFERROR(__xludf.DUMMYFUNCTION("""COMPUTED_VALUE"""),"NO")</f>
        <v>NO</v>
      </c>
      <c r="N542" s="15">
        <f ca="1">IFERROR(__xludf.DUMMYFUNCTION("""COMPUTED_VALUE"""),2)</f>
        <v>2</v>
      </c>
      <c r="O542" s="23" t="str">
        <f ca="1">IFERROR(__xludf.DUMMYFUNCTION("""COMPUTED_VALUE"""),"CONFORT")</f>
        <v>CONFORT</v>
      </c>
      <c r="P542" s="21">
        <f ca="1">IFERROR(__xludf.DUMMYFUNCTION("""COMPUTED_VALUE"""),3678.18)</f>
        <v>3678.18</v>
      </c>
      <c r="Q542" s="6" t="str">
        <f ca="1">IFERROR(__xludf.DUMMYFUNCTION("""COMPUTED_VALUE"""),"Luis Alberto Rodríguez")</f>
        <v>Luis Alberto Rodríguez</v>
      </c>
      <c r="R542" s="6" t="str">
        <f ca="1">IFERROR(__xludf.DUMMYFUNCTION("""COMPUTED_VALUE"""),"Javier García Gómez")</f>
        <v>Javier García Gómez</v>
      </c>
      <c r="S542" s="20" t="str">
        <f ca="1">IFERROR(__xludf.DUMMYFUNCTION("""COMPUTED_VALUE"""),"03 ORL")</f>
        <v>03 ORL</v>
      </c>
      <c r="T542" s="6" t="str">
        <f ca="1">IFERROR(__xludf.DUMMYFUNCTION("""COMPUTED_VALUE"""),"06 ORL")</f>
        <v>06 ORL</v>
      </c>
      <c r="U542" s="21"/>
      <c r="W542" s="21"/>
      <c r="X542" s="21"/>
    </row>
    <row r="543" spans="2:24" ht="16">
      <c r="B543" s="26" t="str">
        <f t="shared" ca="1" si="3"/>
        <v>LRM</v>
      </c>
      <c r="C543" s="23" t="str">
        <f ca="1">IFERROR(__xludf.DUMMYFUNCTION("""COMPUTED_VALUE"""),"LRM98")</f>
        <v>LRM98</v>
      </c>
      <c r="D543" s="6" t="str">
        <f ca="1">IFERROR(__xludf.DUMMYFUNCTION("""COMPUTED_VALUE"""),"ASOCIADOS")</f>
        <v>ASOCIADOS</v>
      </c>
      <c r="E543" s="6">
        <f ca="1">IFERROR(__xludf.DUMMYFUNCTION("""COMPUTED_VALUE"""),2026)</f>
        <v>2026</v>
      </c>
      <c r="F543" s="15">
        <f ca="1">IFERROR(__xludf.DUMMYFUNCTION("""COMPUTED_VALUE"""),3)</f>
        <v>3</v>
      </c>
      <c r="G543" s="6" t="str">
        <f ca="1">IFERROR(__xludf.DUMMYFUNCTION("""COMPUTED_VALUE"""),"Cáceres")</f>
        <v>Cáceres</v>
      </c>
      <c r="H543" s="6" t="str">
        <f ca="1">IFERROR(__xludf.DUMMYFUNCTION("""COMPUTED_VALUE"""),"C202631611358711730")</f>
        <v>C202631611358711730</v>
      </c>
      <c r="I543" s="6" t="str">
        <f ca="1">IFERROR(__xludf.DUMMYFUNCTION("""COMPUTED_VALUE"""),"JACINTO CORTIJO PARRALEJO")</f>
        <v>JACINTO CORTIJO PARRALEJO</v>
      </c>
      <c r="J543" s="16">
        <f ca="1">IFERROR(__xludf.DUMMYFUNCTION("""COMPUTED_VALUE"""),46097)</f>
        <v>46097</v>
      </c>
      <c r="K543" s="6" t="str">
        <f ca="1">IFERROR(__xludf.DUMMYFUNCTION("""COMPUTED_VALUE"""),"Prueba")</f>
        <v>Prueba</v>
      </c>
      <c r="L543" s="16">
        <f ca="1">IFERROR(__xludf.DUMMYFUNCTION("""COMPUTED_VALUE"""),46098)</f>
        <v>46098</v>
      </c>
      <c r="M543" s="23" t="str">
        <f ca="1">IFERROR(__xludf.DUMMYFUNCTION("""COMPUTED_VALUE"""),"NO")</f>
        <v>NO</v>
      </c>
      <c r="N543" s="15">
        <f ca="1">IFERROR(__xludf.DUMMYFUNCTION("""COMPUTED_VALUE"""),1)</f>
        <v>1</v>
      </c>
      <c r="O543" s="23" t="str">
        <f ca="1">IFERROR(__xludf.DUMMYFUNCTION("""COMPUTED_VALUE"""),"PRO")</f>
        <v>PRO</v>
      </c>
      <c r="P543" s="21">
        <f ca="1">IFERROR(__xludf.DUMMYFUNCTION("""COMPUTED_VALUE"""),2745)</f>
        <v>2745</v>
      </c>
      <c r="Q543" s="6" t="str">
        <f ca="1">IFERROR(__xludf.DUMMYFUNCTION("""COMPUTED_VALUE"""),"Luis Alberto Rodríguez")</f>
        <v>Luis Alberto Rodríguez</v>
      </c>
      <c r="R543" s="6" t="str">
        <f ca="1">IFERROR(__xludf.DUMMYFUNCTION("""COMPUTED_VALUE"""),"Manuel Cañete Domínguez")</f>
        <v>Manuel Cañete Domínguez</v>
      </c>
      <c r="S543" s="20" t="str">
        <f ca="1">IFERROR(__xludf.DUMMYFUNCTION("""COMPUTED_VALUE"""),"03 ORL")</f>
        <v>03 ORL</v>
      </c>
      <c r="T543" s="6" t="str">
        <f ca="1">IFERROR(__xludf.DUMMYFUNCTION("""COMPUTED_VALUE"""),"06 ORL")</f>
        <v>06 ORL</v>
      </c>
      <c r="U543" s="21"/>
      <c r="W543" s="21"/>
      <c r="X543" s="21"/>
    </row>
    <row r="544" spans="2:24" ht="16">
      <c r="B544" s="26" t="str">
        <f t="shared" ca="1" si="3"/>
        <v>LRM</v>
      </c>
      <c r="C544" s="23" t="str">
        <f ca="1">IFERROR(__xludf.DUMMYFUNCTION("""COMPUTED_VALUE"""),"LRM204")</f>
        <v>LRM204</v>
      </c>
      <c r="D544" s="6" t="str">
        <f ca="1">IFERROR(__xludf.DUMMYFUNCTION("""COMPUTED_VALUE"""),"ASOCIADOS")</f>
        <v>ASOCIADOS</v>
      </c>
      <c r="E544" s="6">
        <f ca="1">IFERROR(__xludf.DUMMYFUNCTION("""COMPUTED_VALUE"""),2026)</f>
        <v>2026</v>
      </c>
      <c r="F544" s="15">
        <f ca="1">IFERROR(__xludf.DUMMYFUNCTION("""COMPUTED_VALUE"""),3)</f>
        <v>3</v>
      </c>
      <c r="G544" s="6" t="str">
        <f ca="1">IFERROR(__xludf.DUMMYFUNCTION("""COMPUTED_VALUE"""),"Cáceres")</f>
        <v>Cáceres</v>
      </c>
      <c r="H544" s="6" t="str">
        <f ca="1">IFERROR(__xludf.DUMMYFUNCTION("""COMPUTED_VALUE"""),"C202631016101596206")</f>
        <v>C202631016101596206</v>
      </c>
      <c r="I544" s="6" t="str">
        <f ca="1">IFERROR(__xludf.DUMMYFUNCTION("""COMPUTED_VALUE"""),"JUAN MARIA MARTIN BRAVO")</f>
        <v>JUAN MARIA MARTIN BRAVO</v>
      </c>
      <c r="J544" s="16">
        <f ca="1">IFERROR(__xludf.DUMMYFUNCTION("""COMPUTED_VALUE"""),46091)</f>
        <v>46091</v>
      </c>
      <c r="K544" s="6" t="str">
        <f ca="1">IFERROR(__xludf.DUMMYFUNCTION("""COMPUTED_VALUE"""),"Devuelve")</f>
        <v>Devuelve</v>
      </c>
      <c r="L544" s="16">
        <f ca="1">IFERROR(__xludf.DUMMYFUNCTION("""COMPUTED_VALUE"""),46093)</f>
        <v>46093</v>
      </c>
      <c r="M544" s="23" t="str">
        <f ca="1">IFERROR(__xludf.DUMMYFUNCTION("""COMPUTED_VALUE"""),"NO")</f>
        <v>NO</v>
      </c>
      <c r="N544" s="15">
        <f ca="1">IFERROR(__xludf.DUMMYFUNCTION("""COMPUTED_VALUE"""),2)</f>
        <v>2</v>
      </c>
      <c r="O544" s="23" t="str">
        <f ca="1">IFERROR(__xludf.DUMMYFUNCTION("""COMPUTED_VALUE"""),"ADVANCED")</f>
        <v>ADVANCED</v>
      </c>
      <c r="P544" s="21">
        <f ca="1">IFERROR(__xludf.DUMMYFUNCTION("""COMPUTED_VALUE"""),4500)</f>
        <v>4500</v>
      </c>
      <c r="Q544" s="6" t="str">
        <f ca="1">IFERROR(__xludf.DUMMYFUNCTION("""COMPUTED_VALUE"""),"Luis Alberto Rodríguez")</f>
        <v>Luis Alberto Rodríguez</v>
      </c>
      <c r="R544" s="6" t="str">
        <f ca="1">IFERROR(__xludf.DUMMYFUNCTION("""COMPUTED_VALUE"""),"María Sánchez Herrero")</f>
        <v>María Sánchez Herrero</v>
      </c>
      <c r="S544" s="20" t="str">
        <f ca="1">IFERROR(__xludf.DUMMYFUNCTION("""COMPUTED_VALUE"""),"03 ORL")</f>
        <v>03 ORL</v>
      </c>
      <c r="T544" s="6" t="str">
        <f ca="1">IFERROR(__xludf.DUMMYFUNCTION("""COMPUTED_VALUE"""),"06 ORL")</f>
        <v>06 ORL</v>
      </c>
      <c r="U544" s="21"/>
      <c r="W544" s="21"/>
      <c r="X544" s="21"/>
    </row>
    <row r="545" spans="2:24" ht="16">
      <c r="B545" s="26" t="str">
        <f t="shared" ca="1" si="3"/>
        <v>LRM</v>
      </c>
      <c r="C545" s="23" t="str">
        <f ca="1">IFERROR(__xludf.DUMMYFUNCTION("""COMPUTED_VALUE"""),"LRM115")</f>
        <v>LRM115</v>
      </c>
      <c r="D545" s="6" t="str">
        <f ca="1">IFERROR(__xludf.DUMMYFUNCTION("""COMPUTED_VALUE"""),"ASOCIADOS")</f>
        <v>ASOCIADOS</v>
      </c>
      <c r="E545" s="6">
        <f ca="1">IFERROR(__xludf.DUMMYFUNCTION("""COMPUTED_VALUE"""),2026)</f>
        <v>2026</v>
      </c>
      <c r="F545" s="15">
        <f ca="1">IFERROR(__xludf.DUMMYFUNCTION("""COMPUTED_VALUE"""),3)</f>
        <v>3</v>
      </c>
      <c r="G545" s="6" t="str">
        <f ca="1">IFERROR(__xludf.DUMMYFUNCTION("""COMPUTED_VALUE"""),"Cáceres")</f>
        <v>Cáceres</v>
      </c>
      <c r="H545" s="6" t="str">
        <f ca="1">IFERROR(__xludf.DUMMYFUNCTION("""COMPUTED_VALUE"""),"C202632316951683010")</f>
        <v>C202632316951683010</v>
      </c>
      <c r="I545" s="6" t="str">
        <f ca="1">IFERROR(__xludf.DUMMYFUNCTION("""COMPUTED_VALUE"""),"LUZ MARIA SANCHEZ COTALLO")</f>
        <v>LUZ MARIA SANCHEZ COTALLO</v>
      </c>
      <c r="J545" s="16">
        <f ca="1">IFERROR(__xludf.DUMMYFUNCTION("""COMPUTED_VALUE"""),46104)</f>
        <v>46104</v>
      </c>
      <c r="K545" s="6" t="str">
        <f ca="1">IFERROR(__xludf.DUMMYFUNCTION("""COMPUTED_VALUE"""),"Prueba")</f>
        <v>Prueba</v>
      </c>
      <c r="L545" s="16">
        <f ca="1">IFERROR(__xludf.DUMMYFUNCTION("""COMPUTED_VALUE"""),46112)</f>
        <v>46112</v>
      </c>
      <c r="M545" s="23" t="str">
        <f ca="1">IFERROR(__xludf.DUMMYFUNCTION("""COMPUTED_VALUE"""),"NO")</f>
        <v>NO</v>
      </c>
      <c r="N545" s="15">
        <f ca="1">IFERROR(__xludf.DUMMYFUNCTION("""COMPUTED_VALUE"""),1)</f>
        <v>1</v>
      </c>
      <c r="O545" s="23" t="str">
        <f ca="1">IFERROR(__xludf.DUMMYFUNCTION("""COMPUTED_VALUE"""),"PRO")</f>
        <v>PRO</v>
      </c>
      <c r="P545" s="21">
        <f ca="1">IFERROR(__xludf.DUMMYFUNCTION("""COMPUTED_VALUE"""),2495.45)</f>
        <v>2495.4499999999998</v>
      </c>
      <c r="Q545" s="6" t="str">
        <f ca="1">IFERROR(__xludf.DUMMYFUNCTION("""COMPUTED_VALUE"""),"Luis Alberto Rodríguez")</f>
        <v>Luis Alberto Rodríguez</v>
      </c>
      <c r="R545" s="6" t="str">
        <f ca="1">IFERROR(__xludf.DUMMYFUNCTION("""COMPUTED_VALUE"""),"Rafael Sanz Trenado")</f>
        <v>Rafael Sanz Trenado</v>
      </c>
      <c r="S545" s="20" t="str">
        <f ca="1">IFERROR(__xludf.DUMMYFUNCTION("""COMPUTED_VALUE"""),"03 ORL")</f>
        <v>03 ORL</v>
      </c>
      <c r="T545" s="6" t="str">
        <f ca="1">IFERROR(__xludf.DUMMYFUNCTION("""COMPUTED_VALUE"""),"06 ORL")</f>
        <v>06 ORL</v>
      </c>
      <c r="U545" s="21"/>
      <c r="W545" s="21"/>
      <c r="X545" s="21"/>
    </row>
    <row r="546" spans="2:24" ht="16">
      <c r="B546" s="26" t="str">
        <f t="shared" ca="1" si="3"/>
        <v>LRM</v>
      </c>
      <c r="C546" s="23" t="str">
        <f ca="1">IFERROR(__xludf.DUMMYFUNCTION("""COMPUTED_VALUE"""),"LRM98")</f>
        <v>LRM98</v>
      </c>
      <c r="D546" s="6" t="str">
        <f ca="1">IFERROR(__xludf.DUMMYFUNCTION("""COMPUTED_VALUE"""),"ASOCIADOS")</f>
        <v>ASOCIADOS</v>
      </c>
      <c r="E546" s="6">
        <f ca="1">IFERROR(__xludf.DUMMYFUNCTION("""COMPUTED_VALUE"""),2026)</f>
        <v>2026</v>
      </c>
      <c r="F546" s="15">
        <f ca="1">IFERROR(__xludf.DUMMYFUNCTION("""COMPUTED_VALUE"""),3)</f>
        <v>3</v>
      </c>
      <c r="G546" s="6" t="str">
        <f ca="1">IFERROR(__xludf.DUMMYFUNCTION("""COMPUTED_VALUE"""),"Cáceres")</f>
        <v>Cáceres</v>
      </c>
      <c r="H546" s="6" t="str">
        <f ca="1">IFERROR(__xludf.DUMMYFUNCTION("""COMPUTED_VALUE"""),"CAC-97")</f>
        <v>CAC-97</v>
      </c>
      <c r="I546" s="6" t="str">
        <f ca="1">IFERROR(__xludf.DUMMYFUNCTION("""COMPUTED_VALUE"""),"MARIA EUGENIA GARCIA CENDAL")</f>
        <v>MARIA EUGENIA GARCIA CENDAL</v>
      </c>
      <c r="J546" s="16">
        <f ca="1">IFERROR(__xludf.DUMMYFUNCTION("""COMPUTED_VALUE"""),45985)</f>
        <v>45985</v>
      </c>
      <c r="K546" s="6" t="str">
        <f ca="1">IFERROR(__xludf.DUMMYFUNCTION("""COMPUTED_VALUE"""),"Prueba")</f>
        <v>Prueba</v>
      </c>
      <c r="L546" s="16">
        <f ca="1">IFERROR(__xludf.DUMMYFUNCTION("""COMPUTED_VALUE"""),46101)</f>
        <v>46101</v>
      </c>
      <c r="M546" s="23" t="str">
        <f ca="1">IFERROR(__xludf.DUMMYFUNCTION("""COMPUTED_VALUE"""),"NO")</f>
        <v>NO</v>
      </c>
      <c r="N546" s="15">
        <f ca="1">IFERROR(__xludf.DUMMYFUNCTION("""COMPUTED_VALUE"""),2)</f>
        <v>2</v>
      </c>
      <c r="O546" s="23" t="str">
        <f ca="1">IFERROR(__xludf.DUMMYFUNCTION("""COMPUTED_VALUE"""),"PRO")</f>
        <v>PRO</v>
      </c>
      <c r="P546" s="21">
        <f ca="1">IFERROR(__xludf.DUMMYFUNCTION("""COMPUTED_VALUE"""),4545.45)</f>
        <v>4545.45</v>
      </c>
      <c r="Q546" s="6" t="str">
        <f ca="1">IFERROR(__xludf.DUMMYFUNCTION("""COMPUTED_VALUE"""),"Luis Alberto Rodríguez")</f>
        <v>Luis Alberto Rodríguez</v>
      </c>
      <c r="R546" s="6" t="str">
        <f ca="1">IFERROR(__xludf.DUMMYFUNCTION("""COMPUTED_VALUE"""),"Manuel Cañete Domínguez")</f>
        <v>Manuel Cañete Domínguez</v>
      </c>
      <c r="S546" s="20" t="str">
        <f ca="1">IFERROR(__xludf.DUMMYFUNCTION("""COMPUTED_VALUE"""),"03 ORL")</f>
        <v>03 ORL</v>
      </c>
      <c r="T546" s="6" t="str">
        <f ca="1">IFERROR(__xludf.DUMMYFUNCTION("""COMPUTED_VALUE"""),"06 ORL")</f>
        <v>06 ORL</v>
      </c>
      <c r="U546" s="21"/>
      <c r="W546" s="21"/>
      <c r="X546" s="21"/>
    </row>
    <row r="547" spans="2:24" ht="16">
      <c r="B547" s="26" t="str">
        <f t="shared" ca="1" si="3"/>
        <v>LRM</v>
      </c>
      <c r="C547" s="23" t="str">
        <f ca="1">IFERROR(__xludf.DUMMYFUNCTION("""COMPUTED_VALUE"""),"LRM202")</f>
        <v>LRM202</v>
      </c>
      <c r="D547" s="6" t="str">
        <f ca="1">IFERROR(__xludf.DUMMYFUNCTION("""COMPUTED_VALUE"""),"ASOCIADOS")</f>
        <v>ASOCIADOS</v>
      </c>
      <c r="E547" s="6">
        <f ca="1">IFERROR(__xludf.DUMMYFUNCTION("""COMPUTED_VALUE"""),2026)</f>
        <v>2026</v>
      </c>
      <c r="F547" s="15">
        <f ca="1">IFERROR(__xludf.DUMMYFUNCTION("""COMPUTED_VALUE"""),3)</f>
        <v>3</v>
      </c>
      <c r="G547" s="6" t="str">
        <f ca="1">IFERROR(__xludf.DUMMYFUNCTION("""COMPUTED_VALUE"""),"Cáceres")</f>
        <v>Cáceres</v>
      </c>
      <c r="H547" s="6" t="str">
        <f ca="1">IFERROR(__xludf.DUMMYFUNCTION("""COMPUTED_VALUE"""),"C202631211343536158")</f>
        <v>C202631211343536158</v>
      </c>
      <c r="I547" s="6" t="str">
        <f ca="1">IFERROR(__xludf.DUMMYFUNCTION("""COMPUTED_VALUE"""),"MARIA ISABEL REVERIEGO JIMENEZ")</f>
        <v>MARIA ISABEL REVERIEGO JIMENEZ</v>
      </c>
      <c r="J547" s="16">
        <f ca="1">IFERROR(__xludf.DUMMYFUNCTION("""COMPUTED_VALUE"""),46093)</f>
        <v>46093</v>
      </c>
      <c r="K547" s="6" t="str">
        <f ca="1">IFERROR(__xludf.DUMMYFUNCTION("""COMPUTED_VALUE"""),"Prueba")</f>
        <v>Prueba</v>
      </c>
      <c r="L547" s="16">
        <f ca="1">IFERROR(__xludf.DUMMYFUNCTION("""COMPUTED_VALUE"""),46099)</f>
        <v>46099</v>
      </c>
      <c r="M547" s="23" t="str">
        <f ca="1">IFERROR(__xludf.DUMMYFUNCTION("""COMPUTED_VALUE"""),"NO")</f>
        <v>NO</v>
      </c>
      <c r="N547" s="15">
        <f ca="1">IFERROR(__xludf.DUMMYFUNCTION("""COMPUTED_VALUE"""),2)</f>
        <v>2</v>
      </c>
      <c r="O547" s="23" t="str">
        <f ca="1">IFERROR(__xludf.DUMMYFUNCTION("""COMPUTED_VALUE"""),"PRO")</f>
        <v>PRO</v>
      </c>
      <c r="P547" s="21">
        <f ca="1">IFERROR(__xludf.DUMMYFUNCTION("""COMPUTED_VALUE"""),4990.91)</f>
        <v>4990.91</v>
      </c>
      <c r="Q547" s="6" t="str">
        <f ca="1">IFERROR(__xludf.DUMMYFUNCTION("""COMPUTED_VALUE"""),"Luis Alberto Rodríguez")</f>
        <v>Luis Alberto Rodríguez</v>
      </c>
      <c r="R547" s="6" t="str">
        <f ca="1">IFERROR(__xludf.DUMMYFUNCTION("""COMPUTED_VALUE"""),"María Romero Marchante")</f>
        <v>María Romero Marchante</v>
      </c>
      <c r="S547" s="20" t="str">
        <f ca="1">IFERROR(__xludf.DUMMYFUNCTION("""COMPUTED_VALUE"""),"03 ORL")</f>
        <v>03 ORL</v>
      </c>
      <c r="T547" s="6" t="str">
        <f ca="1">IFERROR(__xludf.DUMMYFUNCTION("""COMPUTED_VALUE"""),"06 ORL")</f>
        <v>06 ORL</v>
      </c>
      <c r="U547" s="21"/>
      <c r="W547" s="21"/>
      <c r="X547" s="21"/>
    </row>
    <row r="548" spans="2:24" ht="16">
      <c r="B548" s="26" t="str">
        <f t="shared" ca="1" si="3"/>
        <v>LRM</v>
      </c>
      <c r="C548" s="23" t="str">
        <f ca="1">IFERROR(__xludf.DUMMYFUNCTION("""COMPUTED_VALUE"""),"LRM253")</f>
        <v>LRM253</v>
      </c>
      <c r="D548" s="6" t="str">
        <f ca="1">IFERROR(__xludf.DUMMYFUNCTION("""COMPUTED_VALUE"""),"ASOCIADOS")</f>
        <v>ASOCIADOS</v>
      </c>
      <c r="E548" s="6">
        <f ca="1">IFERROR(__xludf.DUMMYFUNCTION("""COMPUTED_VALUE"""),2026)</f>
        <v>2026</v>
      </c>
      <c r="F548" s="15">
        <f ca="1">IFERROR(__xludf.DUMMYFUNCTION("""COMPUTED_VALUE"""),2)</f>
        <v>2</v>
      </c>
      <c r="G548" s="6" t="str">
        <f ca="1">IFERROR(__xludf.DUMMYFUNCTION("""COMPUTED_VALUE"""),"Cáceres")</f>
        <v>Cáceres</v>
      </c>
      <c r="H548" s="6" t="str">
        <f ca="1">IFERROR(__xludf.DUMMYFUNCTION("""COMPUTED_VALUE"""),"C20262211754409144")</f>
        <v>C20262211754409144</v>
      </c>
      <c r="I548" s="6" t="str">
        <f ca="1">IFERROR(__xludf.DUMMYFUNCTION("""COMPUTED_VALUE"""),"RAQUEL GONZALEZ BORREGA")</f>
        <v>RAQUEL GONZALEZ BORREGA</v>
      </c>
      <c r="J548" s="16">
        <f ca="1">IFERROR(__xludf.DUMMYFUNCTION("""COMPUTED_VALUE"""),46055)</f>
        <v>46055</v>
      </c>
      <c r="K548" s="6" t="str">
        <f ca="1">IFERROR(__xludf.DUMMYFUNCTION("""COMPUTED_VALUE"""),"Presupuesto")</f>
        <v>Presupuesto</v>
      </c>
      <c r="L548" s="16">
        <f ca="1">IFERROR(__xludf.DUMMYFUNCTION("""COMPUTED_VALUE"""),46070)</f>
        <v>46070</v>
      </c>
      <c r="M548" s="23" t="str">
        <f ca="1">IFERROR(__xludf.DUMMYFUNCTION("""COMPUTED_VALUE"""),"NO")</f>
        <v>NO</v>
      </c>
      <c r="N548" s="15">
        <f ca="1">IFERROR(__xludf.DUMMYFUNCTION("""COMPUTED_VALUE"""),2)</f>
        <v>2</v>
      </c>
      <c r="O548" s="23" t="str">
        <f ca="1">IFERROR(__xludf.DUMMYFUNCTION("""COMPUTED_VALUE"""),"PRO")</f>
        <v>PRO</v>
      </c>
      <c r="P548" s="21">
        <f ca="1">IFERROR(__xludf.DUMMYFUNCTION("""COMPUTED_VALUE"""),4990.91)</f>
        <v>4990.91</v>
      </c>
      <c r="Q548" s="6" t="str">
        <f ca="1">IFERROR(__xludf.DUMMYFUNCTION("""COMPUTED_VALUE"""),"Luis Alberto Rodríguez")</f>
        <v>Luis Alberto Rodríguez</v>
      </c>
      <c r="R548" s="6" t="str">
        <f ca="1">IFERROR(__xludf.DUMMYFUNCTION("""COMPUTED_VALUE"""),"Marta García Jiménez")</f>
        <v>Marta García Jiménez</v>
      </c>
      <c r="S548" s="20" t="str">
        <f ca="1">IFERROR(__xludf.DUMMYFUNCTION("""COMPUTED_VALUE"""),"03 ORL")</f>
        <v>03 ORL</v>
      </c>
      <c r="T548" s="6" t="str">
        <f ca="1">IFERROR(__xludf.DUMMYFUNCTION("""COMPUTED_VALUE"""),"06 ORL")</f>
        <v>06 ORL</v>
      </c>
      <c r="U548" s="21"/>
      <c r="W548" s="21"/>
      <c r="X548" s="21"/>
    </row>
    <row r="549" spans="2:24" ht="16">
      <c r="B549" s="26" t="str">
        <f t="shared" ca="1" si="3"/>
        <v>LRM</v>
      </c>
      <c r="C549" s="23" t="str">
        <f ca="1">IFERROR(__xludf.DUMMYFUNCTION("""COMPUTED_VALUE"""),"LRM98")</f>
        <v>LRM98</v>
      </c>
      <c r="D549" s="6" t="str">
        <f ca="1">IFERROR(__xludf.DUMMYFUNCTION("""COMPUTED_VALUE"""),"ASOCIADOS")</f>
        <v>ASOCIADOS</v>
      </c>
      <c r="E549" s="6">
        <f ca="1">IFERROR(__xludf.DUMMYFUNCTION("""COMPUTED_VALUE"""),2026)</f>
        <v>2026</v>
      </c>
      <c r="F549" s="15">
        <f ca="1">IFERROR(__xludf.DUMMYFUNCTION("""COMPUTED_VALUE"""),3)</f>
        <v>3</v>
      </c>
      <c r="G549" s="6" t="str">
        <f ca="1">IFERROR(__xludf.DUMMYFUNCTION("""COMPUTED_VALUE"""),"Cáceres")</f>
        <v>Cáceres</v>
      </c>
      <c r="H549" s="6" t="str">
        <f ca="1">IFERROR(__xludf.DUMMYFUNCTION("""COMPUTED_VALUE"""),"C202631018143804311")</f>
        <v>C202631018143804311</v>
      </c>
      <c r="I549" s="6" t="str">
        <f ca="1">IFERROR(__xludf.DUMMYFUNCTION("""COMPUTED_VALUE"""),"VICENTE CORDERO TATO")</f>
        <v>VICENTE CORDERO TATO</v>
      </c>
      <c r="J549" s="16">
        <f ca="1">IFERROR(__xludf.DUMMYFUNCTION("""COMPUTED_VALUE"""),46091)</f>
        <v>46091</v>
      </c>
      <c r="K549" s="6" t="str">
        <f ca="1">IFERROR(__xludf.DUMMYFUNCTION("""COMPUTED_VALUE"""),"Presupuesto")</f>
        <v>Presupuesto</v>
      </c>
      <c r="L549" s="16">
        <f ca="1">IFERROR(__xludf.DUMMYFUNCTION("""COMPUTED_VALUE"""),46100)</f>
        <v>46100</v>
      </c>
      <c r="M549" s="23" t="str">
        <f ca="1">IFERROR(__xludf.DUMMYFUNCTION("""COMPUTED_VALUE"""),"NO")</f>
        <v>NO</v>
      </c>
      <c r="N549" s="15">
        <f ca="1">IFERROR(__xludf.DUMMYFUNCTION("""COMPUTED_VALUE"""),2)</f>
        <v>2</v>
      </c>
      <c r="O549" s="23" t="str">
        <f ca="1">IFERROR(__xludf.DUMMYFUNCTION("""COMPUTED_VALUE"""),"QUIET")</f>
        <v>QUIET</v>
      </c>
      <c r="P549" s="21">
        <f ca="1">IFERROR(__xludf.DUMMYFUNCTION("""COMPUTED_VALUE"""),2718.18)</f>
        <v>2718.18</v>
      </c>
      <c r="Q549" s="6" t="str">
        <f ca="1">IFERROR(__xludf.DUMMYFUNCTION("""COMPUTED_VALUE"""),"Luis Alberto Rodríguez")</f>
        <v>Luis Alberto Rodríguez</v>
      </c>
      <c r="R549" s="6" t="str">
        <f ca="1">IFERROR(__xludf.DUMMYFUNCTION("""COMPUTED_VALUE"""),"Manuel Cañete Domínguez")</f>
        <v>Manuel Cañete Domínguez</v>
      </c>
      <c r="S549" s="20" t="str">
        <f ca="1">IFERROR(__xludf.DUMMYFUNCTION("""COMPUTED_VALUE"""),"03 ORL")</f>
        <v>03 ORL</v>
      </c>
      <c r="T549" s="6" t="str">
        <f ca="1">IFERROR(__xludf.DUMMYFUNCTION("""COMPUTED_VALUE"""),"06 ORL")</f>
        <v>06 ORL</v>
      </c>
      <c r="U549" s="21"/>
      <c r="W549" s="21"/>
      <c r="X549" s="21"/>
    </row>
    <row r="550" spans="2:24" ht="16">
      <c r="B550" s="26" t="str">
        <f t="shared" ca="1" si="3"/>
        <v>LRM</v>
      </c>
      <c r="C550" s="23" t="str">
        <f ca="1">IFERROR(__xludf.DUMMYFUNCTION("""COMPUTED_VALUE"""),"LRM153")</f>
        <v>LRM153</v>
      </c>
      <c r="D550" s="6" t="str">
        <f ca="1">IFERROR(__xludf.DUMMYFUNCTION("""COMPUTED_VALUE"""),"ASOCIADOS")</f>
        <v>ASOCIADOS</v>
      </c>
      <c r="E550" s="6">
        <f ca="1">IFERROR(__xludf.DUMMYFUNCTION("""COMPUTED_VALUE"""),2026)</f>
        <v>2026</v>
      </c>
      <c r="F550" s="15">
        <f ca="1">IFERROR(__xludf.DUMMYFUNCTION("""COMPUTED_VALUE"""),3)</f>
        <v>3</v>
      </c>
      <c r="G550" s="6" t="str">
        <f ca="1">IFERROR(__xludf.DUMMYFUNCTION("""COMPUTED_VALUE"""),"Cáceres")</f>
        <v>Cáceres</v>
      </c>
      <c r="H550" s="6" t="str">
        <f ca="1">IFERROR(__xludf.DUMMYFUNCTION("""COMPUTED_VALUE"""),"C202631118464129056")</f>
        <v>C202631118464129056</v>
      </c>
      <c r="I550" s="6" t="str">
        <f ca="1">IFERROR(__xludf.DUMMYFUNCTION("""COMPUTED_VALUE"""),"VISITACION MATEOS GARCIA")</f>
        <v>VISITACION MATEOS GARCIA</v>
      </c>
      <c r="J550" s="16">
        <f ca="1">IFERROR(__xludf.DUMMYFUNCTION("""COMPUTED_VALUE"""),46092)</f>
        <v>46092</v>
      </c>
      <c r="K550" s="6" t="str">
        <f ca="1">IFERROR(__xludf.DUMMYFUNCTION("""COMPUTED_VALUE"""),"Devuelve")</f>
        <v>Devuelve</v>
      </c>
      <c r="L550" s="16">
        <f ca="1">IFERROR(__xludf.DUMMYFUNCTION("""COMPUTED_VALUE"""),46097)</f>
        <v>46097</v>
      </c>
      <c r="M550" s="23" t="str">
        <f ca="1">IFERROR(__xludf.DUMMYFUNCTION("""COMPUTED_VALUE"""),"NO")</f>
        <v>NO</v>
      </c>
      <c r="N550" s="15">
        <f ca="1">IFERROR(__xludf.DUMMYFUNCTION("""COMPUTED_VALUE"""),2)</f>
        <v>2</v>
      </c>
      <c r="O550" s="23" t="str">
        <f ca="1">IFERROR(__xludf.DUMMYFUNCTION("""COMPUTED_VALUE"""),"ADVANCED")</f>
        <v>ADVANCED</v>
      </c>
      <c r="P550" s="21">
        <f ca="1">IFERROR(__xludf.DUMMYFUNCTION("""COMPUTED_VALUE"""),4500)</f>
        <v>4500</v>
      </c>
      <c r="Q550" s="6" t="str">
        <f ca="1">IFERROR(__xludf.DUMMYFUNCTION("""COMPUTED_VALUE"""),"Luis Alberto Rodríguez")</f>
        <v>Luis Alberto Rodríguez</v>
      </c>
      <c r="R550" s="6" t="str">
        <f ca="1">IFERROR(__xludf.DUMMYFUNCTION("""COMPUTED_VALUE"""),"Daniela Carolina Laguado Bulgheroni")</f>
        <v>Daniela Carolina Laguado Bulgheroni</v>
      </c>
      <c r="S550" s="20" t="str">
        <f ca="1">IFERROR(__xludf.DUMMYFUNCTION("""COMPUTED_VALUE"""),"03 ORL")</f>
        <v>03 ORL</v>
      </c>
      <c r="T550" s="6" t="str">
        <f ca="1">IFERROR(__xludf.DUMMYFUNCTION("""COMPUTED_VALUE"""),"06 ORL")</f>
        <v>06 ORL</v>
      </c>
      <c r="U550" s="21"/>
      <c r="W550" s="21"/>
      <c r="X550" s="21"/>
    </row>
    <row r="551" spans="2:24" ht="16">
      <c r="B551" s="26" t="str">
        <f t="shared" ca="1" si="3"/>
        <v>#N/</v>
      </c>
      <c r="C551" s="23" t="str">
        <f ca="1">IFERROR(__xludf.DUMMYFUNCTION("""COMPUTED_VALUE"""),"#N/A")</f>
        <v>#N/A</v>
      </c>
      <c r="D551" s="6" t="str">
        <f ca="1">IFERROR(__xludf.DUMMYFUNCTION("""COMPUTED_VALUE"""),"PARTICIPADOS")</f>
        <v>PARTICIPADOS</v>
      </c>
      <c r="E551" s="6">
        <f ca="1">IFERROR(__xludf.DUMMYFUNCTION("""COMPUTED_VALUE"""),2026)</f>
        <v>2026</v>
      </c>
      <c r="F551" s="15">
        <f ca="1">IFERROR(__xludf.DUMMYFUNCTION("""COMPUTED_VALUE"""),3)</f>
        <v>3</v>
      </c>
      <c r="G551" s="6" t="str">
        <f ca="1">IFERROR(__xludf.DUMMYFUNCTION("""COMPUTED_VALUE"""),"Cartagena")</f>
        <v>Cartagena</v>
      </c>
      <c r="H551" s="6" t="str">
        <f ca="1">IFERROR(__xludf.DUMMYFUNCTION("""COMPUTED_VALUE"""),"C20263268586329993")</f>
        <v>C20263268586329993</v>
      </c>
      <c r="I551" s="6" t="str">
        <f ca="1">IFERROR(__xludf.DUMMYFUNCTION("""COMPUTED_VALUE"""),"fulgencio aragon soto")</f>
        <v>fulgencio aragon soto</v>
      </c>
      <c r="J551" s="16">
        <f ca="1">IFERROR(__xludf.DUMMYFUNCTION("""COMPUTED_VALUE"""),46107)</f>
        <v>46107</v>
      </c>
      <c r="K551" s="6" t="str">
        <f ca="1">IFERROR(__xludf.DUMMYFUNCTION("""COMPUTED_VALUE"""),"Pedido")</f>
        <v>Pedido</v>
      </c>
      <c r="L551" s="16">
        <f ca="1">IFERROR(__xludf.DUMMYFUNCTION("""COMPUTED_VALUE"""),46107)</f>
        <v>46107</v>
      </c>
      <c r="M551" s="23" t="str">
        <f ca="1">IFERROR(__xludf.DUMMYFUNCTION("""COMPUTED_VALUE"""),"NO")</f>
        <v>NO</v>
      </c>
      <c r="N551" s="15">
        <f ca="1">IFERROR(__xludf.DUMMYFUNCTION("""COMPUTED_VALUE"""),0)</f>
        <v>0</v>
      </c>
      <c r="O551" s="23"/>
      <c r="P551" s="21"/>
      <c r="Q551" s="6" t="str">
        <f ca="1">IFERROR(__xludf.DUMMYFUNCTION("""COMPUTED_VALUE"""),"Iván Sánchez")</f>
        <v>Iván Sánchez</v>
      </c>
      <c r="R551" s="6" t="str">
        <f ca="1">IFERROR(__xludf.DUMMYFUNCTION("""COMPUTED_VALUE"""),"Javier Lainez Sánchez")</f>
        <v>Javier Lainez Sánchez</v>
      </c>
      <c r="S551" s="20" t="str">
        <f ca="1">IFERROR(__xludf.DUMMYFUNCTION("""COMPUTED_VALUE"""),"03 ORL")</f>
        <v>03 ORL</v>
      </c>
      <c r="T551" s="6" t="str">
        <f ca="1">IFERROR(__xludf.DUMMYFUNCTION("""COMPUTED_VALUE"""),"06 ORL")</f>
        <v>06 ORL</v>
      </c>
      <c r="U551" s="21"/>
      <c r="W551" s="21"/>
      <c r="X551" s="21"/>
    </row>
    <row r="552" spans="2:24" ht="16">
      <c r="B552" s="26" t="str">
        <f t="shared" ca="1" si="3"/>
        <v>ISL</v>
      </c>
      <c r="C552" s="23" t="str">
        <f ca="1">IFERROR(__xludf.DUMMYFUNCTION("""COMPUTED_VALUE"""),"ISL122")</f>
        <v>ISL122</v>
      </c>
      <c r="D552" s="6" t="str">
        <f ca="1">IFERROR(__xludf.DUMMYFUNCTION("""COMPUTED_VALUE"""),"PARTICIPADOS")</f>
        <v>PARTICIPADOS</v>
      </c>
      <c r="E552" s="6">
        <f ca="1">IFERROR(__xludf.DUMMYFUNCTION("""COMPUTED_VALUE"""),2026)</f>
        <v>2026</v>
      </c>
      <c r="F552" s="15">
        <f ca="1">IFERROR(__xludf.DUMMYFUNCTION("""COMPUTED_VALUE"""),3)</f>
        <v>3</v>
      </c>
      <c r="G552" s="6" t="str">
        <f ca="1">IFERROR(__xludf.DUMMYFUNCTION("""COMPUTED_VALUE"""),"Cartagena")</f>
        <v>Cartagena</v>
      </c>
      <c r="H552" s="6" t="str">
        <f ca="1">IFERROR(__xludf.DUMMYFUNCTION("""COMPUTED_VALUE"""),"C202631895226489881")</f>
        <v>C202631895226489881</v>
      </c>
      <c r="I552" s="6" t="str">
        <f ca="1">IFERROR(__xludf.DUMMYFUNCTION("""COMPUTED_VALUE"""),"Ian Roland Pragmell")</f>
        <v>Ian Roland Pragmell</v>
      </c>
      <c r="J552" s="16">
        <f ca="1">IFERROR(__xludf.DUMMYFUNCTION("""COMPUTED_VALUE"""),46099)</f>
        <v>46099</v>
      </c>
      <c r="K552" s="6" t="str">
        <f ca="1">IFERROR(__xludf.DUMMYFUNCTION("""COMPUTED_VALUE"""),"Presupuesto")</f>
        <v>Presupuesto</v>
      </c>
      <c r="L552" s="16">
        <f ca="1">IFERROR(__xludf.DUMMYFUNCTION("""COMPUTED_VALUE"""),46106)</f>
        <v>46106</v>
      </c>
      <c r="M552" s="23" t="str">
        <f ca="1">IFERROR(__xludf.DUMMYFUNCTION("""COMPUTED_VALUE"""),"NO")</f>
        <v>NO</v>
      </c>
      <c r="N552" s="15">
        <f ca="1">IFERROR(__xludf.DUMMYFUNCTION("""COMPUTED_VALUE"""),2)</f>
        <v>2</v>
      </c>
      <c r="O552" s="23" t="str">
        <f ca="1">IFERROR(__xludf.DUMMYFUNCTION("""COMPUTED_VALUE"""),"QUIET")</f>
        <v>QUIET</v>
      </c>
      <c r="P552" s="21">
        <f ca="1">IFERROR(__xludf.DUMMYFUNCTION("""COMPUTED_VALUE"""),2718.18)</f>
        <v>2718.18</v>
      </c>
      <c r="Q552" s="6" t="str">
        <f ca="1">IFERROR(__xludf.DUMMYFUNCTION("""COMPUTED_VALUE"""),"Iván Sánchez")</f>
        <v>Iván Sánchez</v>
      </c>
      <c r="R552" s="6" t="str">
        <f ca="1">IFERROR(__xludf.DUMMYFUNCTION("""COMPUTED_VALUE"""),"María Agustina Sevilla García")</f>
        <v>María Agustina Sevilla García</v>
      </c>
      <c r="S552" s="20" t="str">
        <f ca="1">IFERROR(__xludf.DUMMYFUNCTION("""COMPUTED_VALUE"""),"03 ORL")</f>
        <v>03 ORL</v>
      </c>
      <c r="T552" s="6" t="str">
        <f ca="1">IFERROR(__xludf.DUMMYFUNCTION("""COMPUTED_VALUE"""),"06 ORL")</f>
        <v>06 ORL</v>
      </c>
      <c r="U552" s="21"/>
      <c r="W552" s="21"/>
      <c r="X552" s="21"/>
    </row>
    <row r="553" spans="2:24" ht="16">
      <c r="B553" s="26" t="str">
        <f t="shared" ca="1" si="3"/>
        <v>ISL</v>
      </c>
      <c r="C553" s="23" t="str">
        <f ca="1">IFERROR(__xludf.DUMMYFUNCTION("""COMPUTED_VALUE"""),"ISL122")</f>
        <v>ISL122</v>
      </c>
      <c r="D553" s="6" t="str">
        <f ca="1">IFERROR(__xludf.DUMMYFUNCTION("""COMPUTED_VALUE"""),"PARTICIPADOS")</f>
        <v>PARTICIPADOS</v>
      </c>
      <c r="E553" s="6">
        <f ca="1">IFERROR(__xludf.DUMMYFUNCTION("""COMPUTED_VALUE"""),2026)</f>
        <v>2026</v>
      </c>
      <c r="F553" s="15">
        <f ca="1">IFERROR(__xludf.DUMMYFUNCTION("""COMPUTED_VALUE"""),3)</f>
        <v>3</v>
      </c>
      <c r="G553" s="6" t="str">
        <f ca="1">IFERROR(__xludf.DUMMYFUNCTION("""COMPUTED_VALUE"""),"Cartagena")</f>
        <v>Cartagena</v>
      </c>
      <c r="H553" s="6" t="str">
        <f ca="1">IFERROR(__xludf.DUMMYFUNCTION("""COMPUTED_VALUE"""),"C202636112622680056")</f>
        <v>C202636112622680056</v>
      </c>
      <c r="I553" s="6" t="str">
        <f ca="1">IFERROR(__xludf.DUMMYFUNCTION("""COMPUTED_VALUE"""),"JUAN JESUS ALBACETE MUÑOZ")</f>
        <v>JUAN JESUS ALBACETE MUÑOZ</v>
      </c>
      <c r="J553" s="16">
        <f ca="1">IFERROR(__xludf.DUMMYFUNCTION("""COMPUTED_VALUE"""),46087)</f>
        <v>46087</v>
      </c>
      <c r="K553" s="6" t="str">
        <f ca="1">IFERROR(__xludf.DUMMYFUNCTION("""COMPUTED_VALUE"""),"Prueba")</f>
        <v>Prueba</v>
      </c>
      <c r="L553" s="16">
        <f ca="1">IFERROR(__xludf.DUMMYFUNCTION("""COMPUTED_VALUE"""),46092)</f>
        <v>46092</v>
      </c>
      <c r="M553" s="23" t="str">
        <f ca="1">IFERROR(__xludf.DUMMYFUNCTION("""COMPUTED_VALUE"""),"NO")</f>
        <v>NO</v>
      </c>
      <c r="N553" s="15">
        <f ca="1">IFERROR(__xludf.DUMMYFUNCTION("""COMPUTED_VALUE"""),2)</f>
        <v>2</v>
      </c>
      <c r="O553" s="23" t="str">
        <f ca="1">IFERROR(__xludf.DUMMYFUNCTION("""COMPUTED_VALUE"""),"TRIAL")</f>
        <v>TRIAL</v>
      </c>
      <c r="P553" s="21">
        <f ca="1">IFERROR(__xludf.DUMMYFUNCTION("""COMPUTED_VALUE"""),3631.82)</f>
        <v>3631.82</v>
      </c>
      <c r="Q553" s="6" t="str">
        <f ca="1">IFERROR(__xludf.DUMMYFUNCTION("""COMPUTED_VALUE"""),"Iván Sánchez")</f>
        <v>Iván Sánchez</v>
      </c>
      <c r="R553" s="6" t="str">
        <f ca="1">IFERROR(__xludf.DUMMYFUNCTION("""COMPUTED_VALUE"""),"María Agustina Sevilla García")</f>
        <v>María Agustina Sevilla García</v>
      </c>
      <c r="S553" s="20" t="str">
        <f ca="1">IFERROR(__xludf.DUMMYFUNCTION("""COMPUTED_VALUE"""),"03 ORL")</f>
        <v>03 ORL</v>
      </c>
      <c r="T553" s="6" t="str">
        <f ca="1">IFERROR(__xludf.DUMMYFUNCTION("""COMPUTED_VALUE"""),"06 ORL")</f>
        <v>06 ORL</v>
      </c>
      <c r="U553" s="21"/>
      <c r="W553" s="21"/>
      <c r="X553" s="21"/>
    </row>
    <row r="554" spans="2:24" ht="16">
      <c r="B554" s="26" t="str">
        <f t="shared" ca="1" si="3"/>
        <v>RFV</v>
      </c>
      <c r="C554" s="23" t="str">
        <f ca="1">IFERROR(__xludf.DUMMYFUNCTION("""COMPUTED_VALUE"""),"RFV42")</f>
        <v>RFV42</v>
      </c>
      <c r="D554" s="6" t="str">
        <f ca="1">IFERROR(__xludf.DUMMYFUNCTION("""COMPUTED_VALUE"""),"PROPIOS")</f>
        <v>PROPIOS</v>
      </c>
      <c r="E554" s="6">
        <f ca="1">IFERROR(__xludf.DUMMYFUNCTION("""COMPUTED_VALUE"""),2026)</f>
        <v>2026</v>
      </c>
      <c r="F554" s="15">
        <f ca="1">IFERROR(__xludf.DUMMYFUNCTION("""COMPUTED_VALUE"""),1)</f>
        <v>1</v>
      </c>
      <c r="G554" s="6" t="str">
        <f ca="1">IFERROR(__xludf.DUMMYFUNCTION("""COMPUTED_VALUE"""),"El Albir (Benidorm)")</f>
        <v>El Albir (Benidorm)</v>
      </c>
      <c r="H554" s="6" t="str">
        <f ca="1">IFERROR(__xludf.DUMMYFUNCTION("""COMPUTED_VALUE"""),"C202611491634511825")</f>
        <v>C202611491634511825</v>
      </c>
      <c r="I554" s="6" t="str">
        <f ca="1">IFERROR(__xludf.DUMMYFUNCTION("""COMPUTED_VALUE"""),"ANA GRANOVSKY MINSDURG")</f>
        <v>ANA GRANOVSKY MINSDURG</v>
      </c>
      <c r="J554" s="16">
        <f ca="1">IFERROR(__xludf.DUMMYFUNCTION("""COMPUTED_VALUE"""),46036)</f>
        <v>46036</v>
      </c>
      <c r="K554" s="6" t="str">
        <f ca="1">IFERROR(__xludf.DUMMYFUNCTION("""COMPUTED_VALUE"""),"Presupuesto")</f>
        <v>Presupuesto</v>
      </c>
      <c r="L554" s="16">
        <f ca="1">IFERROR(__xludf.DUMMYFUNCTION("""COMPUTED_VALUE"""),46042)</f>
        <v>46042</v>
      </c>
      <c r="M554" s="17" t="str">
        <f ca="1">IFERROR(__xludf.DUMMYFUNCTION("""COMPUTED_VALUE"""),"NO")</f>
        <v>NO</v>
      </c>
      <c r="N554" s="15">
        <f ca="1">IFERROR(__xludf.DUMMYFUNCTION("""COMPUTED_VALUE"""),2)</f>
        <v>2</v>
      </c>
      <c r="O554" s="23" t="str">
        <f ca="1">IFERROR(__xludf.DUMMYFUNCTION("""COMPUTED_VALUE"""),"ADVANCED")</f>
        <v>ADVANCED</v>
      </c>
      <c r="P554" s="21">
        <f ca="1">IFERROR(__xludf.DUMMYFUNCTION("""COMPUTED_VALUE"""),4136.36)</f>
        <v>4136.3599999999997</v>
      </c>
      <c r="Q554" s="6" t="str">
        <f ca="1">IFERROR(__xludf.DUMMYFUNCTION("""COMPUTED_VALUE"""),"Iván Sánchez")</f>
        <v>Iván Sánchez</v>
      </c>
      <c r="R554" s="6" t="str">
        <f ca="1">IFERROR(__xludf.DUMMYFUNCTION("""COMPUTED_VALUE"""),"Salwa Laraqui Hossini")</f>
        <v>Salwa Laraqui Hossini</v>
      </c>
      <c r="S554" s="20" t="str">
        <f ca="1">IFERROR(__xludf.DUMMYFUNCTION("""COMPUTED_VALUE"""),"03 ORL")</f>
        <v>03 ORL</v>
      </c>
      <c r="T554" s="6" t="str">
        <f ca="1">IFERROR(__xludf.DUMMYFUNCTION("""COMPUTED_VALUE"""),"06 ORL")</f>
        <v>06 ORL</v>
      </c>
      <c r="U554" s="21"/>
      <c r="W554" s="21"/>
      <c r="X554" s="21"/>
    </row>
    <row r="555" spans="2:24" ht="16">
      <c r="B555" s="26" t="str">
        <f t="shared" ca="1" si="3"/>
        <v>ISL</v>
      </c>
      <c r="C555" s="23" t="str">
        <f ca="1">IFERROR(__xludf.DUMMYFUNCTION("""COMPUTED_VALUE"""),"ISL54")</f>
        <v>ISL54</v>
      </c>
      <c r="D555" s="6" t="str">
        <f ca="1">IFERROR(__xludf.DUMMYFUNCTION("""COMPUTED_VALUE"""),"PROPIOS")</f>
        <v>PROPIOS</v>
      </c>
      <c r="E555" s="6">
        <f ca="1">IFERROR(__xludf.DUMMYFUNCTION("""COMPUTED_VALUE"""),2026)</f>
        <v>2026</v>
      </c>
      <c r="F555" s="15">
        <f ca="1">IFERROR(__xludf.DUMMYFUNCTION("""COMPUTED_VALUE"""),2)</f>
        <v>2</v>
      </c>
      <c r="G555" s="6" t="str">
        <f ca="1">IFERROR(__xludf.DUMMYFUNCTION("""COMPUTED_VALUE"""),"El Albir (Benidorm)")</f>
        <v>El Albir (Benidorm)</v>
      </c>
      <c r="H555" s="6" t="str">
        <f ca="1">IFERROR(__xludf.DUMMYFUNCTION("""COMPUTED_VALUE"""),"C202622310391007170")</f>
        <v>C202622310391007170</v>
      </c>
      <c r="I555" s="6" t="str">
        <f ca="1">IFERROR(__xludf.DUMMYFUNCTION("""COMPUTED_VALUE"""),"ANA LLINARES MOTA")</f>
        <v>ANA LLINARES MOTA</v>
      </c>
      <c r="J555" s="16">
        <f ca="1">IFERROR(__xludf.DUMMYFUNCTION("""COMPUTED_VALUE"""),46076)</f>
        <v>46076</v>
      </c>
      <c r="K555" s="6" t="str">
        <f ca="1">IFERROR(__xludf.DUMMYFUNCTION("""COMPUTED_VALUE"""),"Presupuesto")</f>
        <v>Presupuesto</v>
      </c>
      <c r="L555" s="16">
        <f ca="1">IFERROR(__xludf.DUMMYFUNCTION("""COMPUTED_VALUE"""),46078)</f>
        <v>46078</v>
      </c>
      <c r="M555" s="23" t="str">
        <f ca="1">IFERROR(__xludf.DUMMYFUNCTION("""COMPUTED_VALUE"""),"NO")</f>
        <v>NO</v>
      </c>
      <c r="N555" s="15">
        <f ca="1">IFERROR(__xludf.DUMMYFUNCTION("""COMPUTED_VALUE"""),2)</f>
        <v>2</v>
      </c>
      <c r="O555" s="23" t="str">
        <f ca="1">IFERROR(__xludf.DUMMYFUNCTION("""COMPUTED_VALUE"""),"QUIET")</f>
        <v>QUIET</v>
      </c>
      <c r="P555" s="21">
        <f ca="1">IFERROR(__xludf.DUMMYFUNCTION("""COMPUTED_VALUE"""),2918.18)</f>
        <v>2918.18</v>
      </c>
      <c r="Q555" s="6" t="str">
        <f ca="1">IFERROR(__xludf.DUMMYFUNCTION("""COMPUTED_VALUE"""),"Ramon Ferrando")</f>
        <v>Ramon Ferrando</v>
      </c>
      <c r="R555" s="6" t="str">
        <f ca="1">IFERROR(__xludf.DUMMYFUNCTION("""COMPUTED_VALUE"""),"José María Laborda Margolles")</f>
        <v>José María Laborda Margolles</v>
      </c>
      <c r="S555" s="20" t="str">
        <f ca="1">IFERROR(__xludf.DUMMYFUNCTION("""COMPUTED_VALUE"""),"03 ORL")</f>
        <v>03 ORL</v>
      </c>
      <c r="T555" s="6" t="str">
        <f ca="1">IFERROR(__xludf.DUMMYFUNCTION("""COMPUTED_VALUE"""),"06 ORL")</f>
        <v>06 ORL</v>
      </c>
      <c r="U555" s="21"/>
      <c r="W555" s="21"/>
      <c r="X555" s="21"/>
    </row>
    <row r="556" spans="2:24" ht="16">
      <c r="B556" s="26" t="str">
        <f t="shared" ca="1" si="3"/>
        <v>RFV</v>
      </c>
      <c r="C556" s="23" t="str">
        <f ca="1">IFERROR(__xludf.DUMMYFUNCTION("""COMPUTED_VALUE"""),"RFV42")</f>
        <v>RFV42</v>
      </c>
      <c r="D556" s="6" t="str">
        <f ca="1">IFERROR(__xludf.DUMMYFUNCTION("""COMPUTED_VALUE"""),"PROPIOS")</f>
        <v>PROPIOS</v>
      </c>
      <c r="E556" s="6">
        <f ca="1">IFERROR(__xludf.DUMMYFUNCTION("""COMPUTED_VALUE"""),2026)</f>
        <v>2026</v>
      </c>
      <c r="F556" s="15">
        <f ca="1">IFERROR(__xludf.DUMMYFUNCTION("""COMPUTED_VALUE"""),3)</f>
        <v>3</v>
      </c>
      <c r="G556" s="6" t="str">
        <f ca="1">IFERROR(__xludf.DUMMYFUNCTION("""COMPUTED_VALUE"""),"El Albir (Benidorm)")</f>
        <v>El Albir (Benidorm)</v>
      </c>
      <c r="H556" s="6" t="str">
        <f ca="1">IFERROR(__xludf.DUMMYFUNCTION("""COMPUTED_VALUE"""),"C20263239224879252")</f>
        <v>C20263239224879252</v>
      </c>
      <c r="I556" s="6" t="str">
        <f ca="1">IFERROR(__xludf.DUMMYFUNCTION("""COMPUTED_VALUE"""),"ELEN MASSINGHAM GIL")</f>
        <v>ELEN MASSINGHAM GIL</v>
      </c>
      <c r="J556" s="16">
        <f ca="1">IFERROR(__xludf.DUMMYFUNCTION("""COMPUTED_VALUE"""),46104)</f>
        <v>46104</v>
      </c>
      <c r="K556" s="6" t="str">
        <f ca="1">IFERROR(__xludf.DUMMYFUNCTION("""COMPUTED_VALUE"""),"Pedido")</f>
        <v>Pedido</v>
      </c>
      <c r="L556" s="16">
        <f ca="1">IFERROR(__xludf.DUMMYFUNCTION("""COMPUTED_VALUE"""),46111)</f>
        <v>46111</v>
      </c>
      <c r="M556" s="23" t="str">
        <f ca="1">IFERROR(__xludf.DUMMYFUNCTION("""COMPUTED_VALUE"""),"NO")</f>
        <v>NO</v>
      </c>
      <c r="N556" s="15">
        <f ca="1">IFERROR(__xludf.DUMMYFUNCTION("""COMPUTED_VALUE"""),1)</f>
        <v>1</v>
      </c>
      <c r="O556" s="23" t="str">
        <f ca="1">IFERROR(__xludf.DUMMYFUNCTION("""COMPUTED_VALUE"""),"ADVANCED")</f>
        <v>ADVANCED</v>
      </c>
      <c r="P556" s="21">
        <f ca="1">IFERROR(__xludf.DUMMYFUNCTION("""COMPUTED_VALUE"""),2481.82)</f>
        <v>2481.8200000000002</v>
      </c>
      <c r="Q556" s="6" t="str">
        <f ca="1">IFERROR(__xludf.DUMMYFUNCTION("""COMPUTED_VALUE"""),"Iván Sánchez")</f>
        <v>Iván Sánchez</v>
      </c>
      <c r="R556" s="6" t="str">
        <f ca="1">IFERROR(__xludf.DUMMYFUNCTION("""COMPUTED_VALUE"""),"Salwa Laraqui Hossini")</f>
        <v>Salwa Laraqui Hossini</v>
      </c>
      <c r="S556" s="20" t="str">
        <f ca="1">IFERROR(__xludf.DUMMYFUNCTION("""COMPUTED_VALUE"""),"03 ORL")</f>
        <v>03 ORL</v>
      </c>
      <c r="T556" s="6" t="str">
        <f ca="1">IFERROR(__xludf.DUMMYFUNCTION("""COMPUTED_VALUE"""),"06 ORL")</f>
        <v>06 ORL</v>
      </c>
      <c r="U556" s="21"/>
      <c r="W556" s="21"/>
      <c r="X556" s="21"/>
    </row>
    <row r="557" spans="2:24" ht="16">
      <c r="B557" s="26" t="str">
        <f t="shared" ca="1" si="3"/>
        <v>ISL</v>
      </c>
      <c r="C557" s="23" t="str">
        <f ca="1">IFERROR(__xludf.DUMMYFUNCTION("""COMPUTED_VALUE"""),"ISL34")</f>
        <v>ISL34</v>
      </c>
      <c r="D557" s="6" t="str">
        <f ca="1">IFERROR(__xludf.DUMMYFUNCTION("""COMPUTED_VALUE"""),"PROPIOS")</f>
        <v>PROPIOS</v>
      </c>
      <c r="E557" s="6">
        <f ca="1">IFERROR(__xludf.DUMMYFUNCTION("""COMPUTED_VALUE"""),2026)</f>
        <v>2026</v>
      </c>
      <c r="F557" s="15">
        <f ca="1">IFERROR(__xludf.DUMMYFUNCTION("""COMPUTED_VALUE"""),3)</f>
        <v>3</v>
      </c>
      <c r="G557" s="6" t="str">
        <f ca="1">IFERROR(__xludf.DUMMYFUNCTION("""COMPUTED_VALUE"""),"El Albir (Benidorm)")</f>
        <v>El Albir (Benidorm)</v>
      </c>
      <c r="H557" s="6" t="str">
        <f ca="1">IFERROR(__xludf.DUMMYFUNCTION("""COMPUTED_VALUE"""),"C202635112944449051")</f>
        <v>C202635112944449051</v>
      </c>
      <c r="I557" s="6" t="str">
        <f ca="1">IFERROR(__xludf.DUMMYFUNCTION("""COMPUTED_VALUE"""),"FRANCISCA PASTOR TRIGUEROS")</f>
        <v>FRANCISCA PASTOR TRIGUEROS</v>
      </c>
      <c r="J557" s="16">
        <f ca="1">IFERROR(__xludf.DUMMYFUNCTION("""COMPUTED_VALUE"""),46086)</f>
        <v>46086</v>
      </c>
      <c r="K557" s="6" t="str">
        <f ca="1">IFERROR(__xludf.DUMMYFUNCTION("""COMPUTED_VALUE"""),"Prueba")</f>
        <v>Prueba</v>
      </c>
      <c r="L557" s="16">
        <f ca="1">IFERROR(__xludf.DUMMYFUNCTION("""COMPUTED_VALUE"""),46092)</f>
        <v>46092</v>
      </c>
      <c r="M557" s="23" t="str">
        <f ca="1">IFERROR(__xludf.DUMMYFUNCTION("""COMPUTED_VALUE"""),"NO")</f>
        <v>NO</v>
      </c>
      <c r="N557" s="15">
        <f ca="1">IFERROR(__xludf.DUMMYFUNCTION("""COMPUTED_VALUE"""),1)</f>
        <v>1</v>
      </c>
      <c r="O557" s="23" t="str">
        <f ca="1">IFERROR(__xludf.DUMMYFUNCTION("""COMPUTED_VALUE"""),"TRIAL")</f>
        <v>TRIAL</v>
      </c>
      <c r="P557" s="21">
        <f ca="1">IFERROR(__xludf.DUMMYFUNCTION("""COMPUTED_VALUE"""),2180.91)</f>
        <v>2180.91</v>
      </c>
      <c r="Q557" s="6" t="str">
        <f ca="1">IFERROR(__xludf.DUMMYFUNCTION("""COMPUTED_VALUE"""),"Iván Sánchez")</f>
        <v>Iván Sánchez</v>
      </c>
      <c r="R557" s="6" t="str">
        <f ca="1">IFERROR(__xludf.DUMMYFUNCTION("""COMPUTED_VALUE"""),"Francisco Pastor Beviá")</f>
        <v>Francisco Pastor Beviá</v>
      </c>
      <c r="S557" s="20" t="str">
        <f ca="1">IFERROR(__xludf.DUMMYFUNCTION("""COMPUTED_VALUE"""),"03 ORL")</f>
        <v>03 ORL</v>
      </c>
      <c r="T557" s="6" t="str">
        <f ca="1">IFERROR(__xludf.DUMMYFUNCTION("""COMPUTED_VALUE"""),"06 ORL")</f>
        <v>06 ORL</v>
      </c>
      <c r="U557" s="21"/>
      <c r="W557" s="21"/>
      <c r="X557" s="21"/>
    </row>
    <row r="558" spans="2:24" ht="16">
      <c r="B558" s="26" t="str">
        <f t="shared" ca="1" si="3"/>
        <v>RFV</v>
      </c>
      <c r="C558" s="23" t="str">
        <f ca="1">IFERROR(__xludf.DUMMYFUNCTION("""COMPUTED_VALUE"""),"RFV42")</f>
        <v>RFV42</v>
      </c>
      <c r="D558" s="6" t="str">
        <f ca="1">IFERROR(__xludf.DUMMYFUNCTION("""COMPUTED_VALUE"""),"PROPIOS")</f>
        <v>PROPIOS</v>
      </c>
      <c r="E558" s="6">
        <f ca="1">IFERROR(__xludf.DUMMYFUNCTION("""COMPUTED_VALUE"""),2026)</f>
        <v>2026</v>
      </c>
      <c r="F558" s="15">
        <f ca="1">IFERROR(__xludf.DUMMYFUNCTION("""COMPUTED_VALUE"""),3)</f>
        <v>3</v>
      </c>
      <c r="G558" s="6" t="str">
        <f ca="1">IFERROR(__xludf.DUMMYFUNCTION("""COMPUTED_VALUE"""),"El Albir (Benidorm)")</f>
        <v>El Albir (Benidorm)</v>
      </c>
      <c r="H558" s="6" t="str">
        <f ca="1">IFERROR(__xludf.DUMMYFUNCTION("""COMPUTED_VALUE"""),"C202631611411419257")</f>
        <v>C202631611411419257</v>
      </c>
      <c r="I558" s="6" t="str">
        <f ca="1">IFERROR(__xludf.DUMMYFUNCTION("""COMPUTED_VALUE"""),"JOSE ANTONIO  DE LA TORRE MARTINEZ")</f>
        <v>JOSE ANTONIO  DE LA TORRE MARTINEZ</v>
      </c>
      <c r="J558" s="16">
        <f ca="1">IFERROR(__xludf.DUMMYFUNCTION("""COMPUTED_VALUE"""),46097)</f>
        <v>46097</v>
      </c>
      <c r="K558" s="6" t="str">
        <f ca="1">IFERROR(__xludf.DUMMYFUNCTION("""COMPUTED_VALUE"""),"Prueba")</f>
        <v>Prueba</v>
      </c>
      <c r="L558" s="16">
        <f ca="1">IFERROR(__xludf.DUMMYFUNCTION("""COMPUTED_VALUE"""),46107)</f>
        <v>46107</v>
      </c>
      <c r="M558" s="23" t="str">
        <f ca="1">IFERROR(__xludf.DUMMYFUNCTION("""COMPUTED_VALUE"""),"NO")</f>
        <v>NO</v>
      </c>
      <c r="N558" s="15">
        <f ca="1">IFERROR(__xludf.DUMMYFUNCTION("""COMPUTED_VALUE"""),2)</f>
        <v>2</v>
      </c>
      <c r="O558" s="23" t="str">
        <f ca="1">IFERROR(__xludf.DUMMYFUNCTION("""COMPUTED_VALUE"""),"QUIET")</f>
        <v>QUIET</v>
      </c>
      <c r="P558" s="21">
        <f ca="1">IFERROR(__xludf.DUMMYFUNCTION("""COMPUTED_VALUE"""),2918.18)</f>
        <v>2918.18</v>
      </c>
      <c r="Q558" s="6" t="str">
        <f ca="1">IFERROR(__xludf.DUMMYFUNCTION("""COMPUTED_VALUE"""),"Iván Sánchez")</f>
        <v>Iván Sánchez</v>
      </c>
      <c r="R558" s="6" t="str">
        <f ca="1">IFERROR(__xludf.DUMMYFUNCTION("""COMPUTED_VALUE"""),"Salwa Laraqui Hossini")</f>
        <v>Salwa Laraqui Hossini</v>
      </c>
      <c r="S558" s="20" t="str">
        <f ca="1">IFERROR(__xludf.DUMMYFUNCTION("""COMPUTED_VALUE"""),"03 ORL")</f>
        <v>03 ORL</v>
      </c>
      <c r="T558" s="6" t="str">
        <f ca="1">IFERROR(__xludf.DUMMYFUNCTION("""COMPUTED_VALUE"""),"06 ORL")</f>
        <v>06 ORL</v>
      </c>
      <c r="U558" s="21"/>
      <c r="W558" s="21"/>
      <c r="X558" s="21"/>
    </row>
    <row r="559" spans="2:24" ht="16">
      <c r="B559" s="26" t="str">
        <f t="shared" ca="1" si="3"/>
        <v>ISL</v>
      </c>
      <c r="C559" s="23" t="str">
        <f ca="1">IFERROR(__xludf.DUMMYFUNCTION("""COMPUTED_VALUE"""),"ISL104")</f>
        <v>ISL104</v>
      </c>
      <c r="D559" s="6" t="str">
        <f ca="1">IFERROR(__xludf.DUMMYFUNCTION("""COMPUTED_VALUE"""),"PROPIOS")</f>
        <v>PROPIOS</v>
      </c>
      <c r="E559" s="6">
        <f ca="1">IFERROR(__xludf.DUMMYFUNCTION("""COMPUTED_VALUE"""),2026)</f>
        <v>2026</v>
      </c>
      <c r="F559" s="15">
        <f ca="1">IFERROR(__xludf.DUMMYFUNCTION("""COMPUTED_VALUE"""),3)</f>
        <v>3</v>
      </c>
      <c r="G559" s="6" t="str">
        <f ca="1">IFERROR(__xludf.DUMMYFUNCTION("""COMPUTED_VALUE"""),"El Albir (Benidorm)")</f>
        <v>El Albir (Benidorm)</v>
      </c>
      <c r="H559" s="6" t="str">
        <f ca="1">IFERROR(__xludf.DUMMYFUNCTION("""COMPUTED_VALUE"""),"C202639112324740512")</f>
        <v>C202639112324740512</v>
      </c>
      <c r="I559" s="6" t="str">
        <f ca="1">IFERROR(__xludf.DUMMYFUNCTION("""COMPUTED_VALUE"""),"LIDIA IÑIGO QUARANTA")</f>
        <v>LIDIA IÑIGO QUARANTA</v>
      </c>
      <c r="J559" s="16">
        <f ca="1">IFERROR(__xludf.DUMMYFUNCTION("""COMPUTED_VALUE"""),46090)</f>
        <v>46090</v>
      </c>
      <c r="K559" s="6" t="str">
        <f ca="1">IFERROR(__xludf.DUMMYFUNCTION("""COMPUTED_VALUE"""),"Pedido")</f>
        <v>Pedido</v>
      </c>
      <c r="L559" s="16">
        <f ca="1">IFERROR(__xludf.DUMMYFUNCTION("""COMPUTED_VALUE"""),46093)</f>
        <v>46093</v>
      </c>
      <c r="M559" s="23" t="str">
        <f ca="1">IFERROR(__xludf.DUMMYFUNCTION("""COMPUTED_VALUE"""),"NO")</f>
        <v>NO</v>
      </c>
      <c r="N559" s="15">
        <f ca="1">IFERROR(__xludf.DUMMYFUNCTION("""COMPUTED_VALUE"""),2)</f>
        <v>2</v>
      </c>
      <c r="O559" s="23" t="str">
        <f ca="1">IFERROR(__xludf.DUMMYFUNCTION("""COMPUTED_VALUE"""),"QUIET")</f>
        <v>QUIET</v>
      </c>
      <c r="P559" s="21">
        <f ca="1">IFERROR(__xludf.DUMMYFUNCTION("""COMPUTED_VALUE"""),2918.18)</f>
        <v>2918.18</v>
      </c>
      <c r="Q559" s="6" t="str">
        <f ca="1">IFERROR(__xludf.DUMMYFUNCTION("""COMPUTED_VALUE"""),"Ramon Ferrando")</f>
        <v>Ramon Ferrando</v>
      </c>
      <c r="R559" s="6" t="str">
        <f ca="1">IFERROR(__xludf.DUMMYFUNCTION("""COMPUTED_VALUE"""),"Isabel Polo Tomás")</f>
        <v>Isabel Polo Tomás</v>
      </c>
      <c r="S559" s="20" t="str">
        <f ca="1">IFERROR(__xludf.DUMMYFUNCTION("""COMPUTED_VALUE"""),"03 ORL")</f>
        <v>03 ORL</v>
      </c>
      <c r="T559" s="6" t="str">
        <f ca="1">IFERROR(__xludf.DUMMYFUNCTION("""COMPUTED_VALUE"""),"06 ORL")</f>
        <v>06 ORL</v>
      </c>
      <c r="U559" s="21"/>
      <c r="W559" s="21"/>
      <c r="X559" s="21"/>
    </row>
    <row r="560" spans="2:24" ht="16">
      <c r="B560" s="26" t="str">
        <f t="shared" ca="1" si="3"/>
        <v>ISL</v>
      </c>
      <c r="C560" s="23" t="str">
        <f ca="1">IFERROR(__xludf.DUMMYFUNCTION("""COMPUTED_VALUE"""),"ISL54")</f>
        <v>ISL54</v>
      </c>
      <c r="D560" s="6" t="str">
        <f ca="1">IFERROR(__xludf.DUMMYFUNCTION("""COMPUTED_VALUE"""),"PROPIOS")</f>
        <v>PROPIOS</v>
      </c>
      <c r="E560" s="6">
        <f ca="1">IFERROR(__xludf.DUMMYFUNCTION("""COMPUTED_VALUE"""),2026)</f>
        <v>2026</v>
      </c>
      <c r="F560" s="15">
        <f ca="1">IFERROR(__xludf.DUMMYFUNCTION("""COMPUTED_VALUE"""),1)</f>
        <v>1</v>
      </c>
      <c r="G560" s="6" t="str">
        <f ca="1">IFERROR(__xludf.DUMMYFUNCTION("""COMPUTED_VALUE"""),"El Albir (Benidorm)")</f>
        <v>El Albir (Benidorm)</v>
      </c>
      <c r="H560" s="6" t="str">
        <f ca="1">IFERROR(__xludf.DUMMYFUNCTION("""COMPUTED_VALUE"""),"C202618142416911322")</f>
        <v>C202618142416911322</v>
      </c>
      <c r="I560" s="6" t="str">
        <f ca="1">IFERROR(__xludf.DUMMYFUNCTION("""COMPUTED_VALUE"""),"MARIA CONCEPCION  CASTILLO GARCIA")</f>
        <v>MARIA CONCEPCION  CASTILLO GARCIA</v>
      </c>
      <c r="J560" s="16">
        <f ca="1">IFERROR(__xludf.DUMMYFUNCTION("""COMPUTED_VALUE"""),46030)</f>
        <v>46030</v>
      </c>
      <c r="K560" s="6" t="str">
        <f ca="1">IFERROR(__xludf.DUMMYFUNCTION("""COMPUTED_VALUE"""),"Presupuesto")</f>
        <v>Presupuesto</v>
      </c>
      <c r="L560" s="16">
        <f ca="1">IFERROR(__xludf.DUMMYFUNCTION("""COMPUTED_VALUE"""),46035)</f>
        <v>46035</v>
      </c>
      <c r="M560" s="23" t="str">
        <f ca="1">IFERROR(__xludf.DUMMYFUNCTION("""COMPUTED_VALUE"""),"NO")</f>
        <v>NO</v>
      </c>
      <c r="N560" s="15">
        <f ca="1">IFERROR(__xludf.DUMMYFUNCTION("""COMPUTED_VALUE"""),1)</f>
        <v>1</v>
      </c>
      <c r="O560" s="23" t="str">
        <f ca="1">IFERROR(__xludf.DUMMYFUNCTION("""COMPUTED_VALUE"""),"CONFORT")</f>
        <v>CONFORT</v>
      </c>
      <c r="P560" s="21">
        <f ca="1">IFERROR(__xludf.DUMMYFUNCTION("""COMPUTED_VALUE"""),2180.91)</f>
        <v>2180.91</v>
      </c>
      <c r="Q560" s="6" t="str">
        <f ca="1">IFERROR(__xludf.DUMMYFUNCTION("""COMPUTED_VALUE"""),"Ramon Ferrando")</f>
        <v>Ramon Ferrando</v>
      </c>
      <c r="R560" s="6" t="str">
        <f ca="1">IFERROR(__xludf.DUMMYFUNCTION("""COMPUTED_VALUE"""),"José María Laborda Margolles")</f>
        <v>José María Laborda Margolles</v>
      </c>
      <c r="S560" s="20" t="str">
        <f ca="1">IFERROR(__xludf.DUMMYFUNCTION("""COMPUTED_VALUE"""),"03 ORL")</f>
        <v>03 ORL</v>
      </c>
      <c r="T560" s="6" t="str">
        <f ca="1">IFERROR(__xludf.DUMMYFUNCTION("""COMPUTED_VALUE"""),"06 ORL")</f>
        <v>06 ORL</v>
      </c>
      <c r="U560" s="21"/>
      <c r="W560" s="21"/>
      <c r="X560" s="21"/>
    </row>
    <row r="561" spans="2:24" ht="16">
      <c r="B561" s="26" t="str">
        <f t="shared" ca="1" si="3"/>
        <v>ISL</v>
      </c>
      <c r="C561" s="23" t="str">
        <f ca="1">IFERROR(__xludf.DUMMYFUNCTION("""COMPUTED_VALUE"""),"ISL104")</f>
        <v>ISL104</v>
      </c>
      <c r="D561" s="6" t="str">
        <f ca="1">IFERROR(__xludf.DUMMYFUNCTION("""COMPUTED_VALUE"""),"PROPIOS")</f>
        <v>PROPIOS</v>
      </c>
      <c r="E561" s="6">
        <f ca="1">IFERROR(__xludf.DUMMYFUNCTION("""COMPUTED_VALUE"""),2026)</f>
        <v>2026</v>
      </c>
      <c r="F561" s="15">
        <f ca="1">IFERROR(__xludf.DUMMYFUNCTION("""COMPUTED_VALUE"""),3)</f>
        <v>3</v>
      </c>
      <c r="G561" s="6" t="str">
        <f ca="1">IFERROR(__xludf.DUMMYFUNCTION("""COMPUTED_VALUE"""),"El Albir (Benidorm)")</f>
        <v>El Albir (Benidorm)</v>
      </c>
      <c r="H561" s="6" t="str">
        <f ca="1">IFERROR(__xludf.DUMMYFUNCTION("""COMPUTED_VALUE"""),"C202634172521295830")</f>
        <v>C202634172521295830</v>
      </c>
      <c r="I561" s="6" t="str">
        <f ca="1">IFERROR(__xludf.DUMMYFUNCTION("""COMPUTED_VALUE"""),"ROSA BLANCA MANZURE")</f>
        <v>ROSA BLANCA MANZURE</v>
      </c>
      <c r="J561" s="16">
        <f ca="1">IFERROR(__xludf.DUMMYFUNCTION("""COMPUTED_VALUE"""),46085)</f>
        <v>46085</v>
      </c>
      <c r="K561" s="6" t="str">
        <f ca="1">IFERROR(__xludf.DUMMYFUNCTION("""COMPUTED_VALUE"""),"Devuelve")</f>
        <v>Devuelve</v>
      </c>
      <c r="L561" s="16">
        <f ca="1">IFERROR(__xludf.DUMMYFUNCTION("""COMPUTED_VALUE"""),46094)</f>
        <v>46094</v>
      </c>
      <c r="M561" s="23" t="str">
        <f ca="1">IFERROR(__xludf.DUMMYFUNCTION("""COMPUTED_VALUE"""),"NO")</f>
        <v>NO</v>
      </c>
      <c r="N561" s="15">
        <f ca="1">IFERROR(__xludf.DUMMYFUNCTION("""COMPUTED_VALUE"""),2)</f>
        <v>2</v>
      </c>
      <c r="O561" s="23" t="str">
        <f ca="1">IFERROR(__xludf.DUMMYFUNCTION("""COMPUTED_VALUE"""),"QUIET")</f>
        <v>QUIET</v>
      </c>
      <c r="P561" s="21">
        <f ca="1">IFERROR(__xludf.DUMMYFUNCTION("""COMPUTED_VALUE"""),2918.18)</f>
        <v>2918.18</v>
      </c>
      <c r="Q561" s="6" t="str">
        <f ca="1">IFERROR(__xludf.DUMMYFUNCTION("""COMPUTED_VALUE"""),"Ramon Ferrando")</f>
        <v>Ramon Ferrando</v>
      </c>
      <c r="R561" s="6" t="str">
        <f ca="1">IFERROR(__xludf.DUMMYFUNCTION("""COMPUTED_VALUE"""),"Isabel Polo Tomás")</f>
        <v>Isabel Polo Tomás</v>
      </c>
      <c r="S561" s="20" t="str">
        <f ca="1">IFERROR(__xludf.DUMMYFUNCTION("""COMPUTED_VALUE"""),"03 ORL")</f>
        <v>03 ORL</v>
      </c>
      <c r="T561" s="6" t="str">
        <f ca="1">IFERROR(__xludf.DUMMYFUNCTION("""COMPUTED_VALUE"""),"06 ORL")</f>
        <v>06 ORL</v>
      </c>
      <c r="U561" s="21"/>
      <c r="W561" s="21"/>
      <c r="X561" s="21"/>
    </row>
    <row r="562" spans="2:24" ht="16">
      <c r="B562" s="26" t="str">
        <f t="shared" ca="1" si="3"/>
        <v>RFV</v>
      </c>
      <c r="C562" s="23" t="str">
        <f ca="1">IFERROR(__xludf.DUMMYFUNCTION("""COMPUTED_VALUE"""),"RFV42")</f>
        <v>RFV42</v>
      </c>
      <c r="D562" s="6" t="str">
        <f ca="1">IFERROR(__xludf.DUMMYFUNCTION("""COMPUTED_VALUE"""),"PROPIOS")</f>
        <v>PROPIOS</v>
      </c>
      <c r="E562" s="6">
        <f ca="1">IFERROR(__xludf.DUMMYFUNCTION("""COMPUTED_VALUE"""),2026)</f>
        <v>2026</v>
      </c>
      <c r="F562" s="15">
        <f ca="1">IFERROR(__xludf.DUMMYFUNCTION("""COMPUTED_VALUE"""),4)</f>
        <v>4</v>
      </c>
      <c r="G562" s="6" t="str">
        <f ca="1">IFERROR(__xludf.DUMMYFUNCTION("""COMPUTED_VALUE"""),"El Albir (Benidorm)")</f>
        <v>El Albir (Benidorm)</v>
      </c>
      <c r="H562" s="6" t="str">
        <f ca="1">IFERROR(__xludf.DUMMYFUNCTION("""COMPUTED_VALUE"""),"C202631111595244915")</f>
        <v>C202631111595244915</v>
      </c>
      <c r="I562" s="6" t="str">
        <f ca="1">IFERROR(__xludf.DUMMYFUNCTION("""COMPUTED_VALUE"""),"ROSA RAMOS SANCHEZ")</f>
        <v>ROSA RAMOS SANCHEZ</v>
      </c>
      <c r="J562" s="16">
        <f ca="1">IFERROR(__xludf.DUMMYFUNCTION("""COMPUTED_VALUE"""),46092)</f>
        <v>46092</v>
      </c>
      <c r="K562" s="6" t="str">
        <f ca="1">IFERROR(__xludf.DUMMYFUNCTION("""COMPUTED_VALUE"""),"Pedido")</f>
        <v>Pedido</v>
      </c>
      <c r="L562" s="16">
        <f ca="1">IFERROR(__xludf.DUMMYFUNCTION("""COMPUTED_VALUE"""),46113)</f>
        <v>46113</v>
      </c>
      <c r="M562" s="23" t="str">
        <f ca="1">IFERROR(__xludf.DUMMYFUNCTION("""COMPUTED_VALUE"""),"NO")</f>
        <v>NO</v>
      </c>
      <c r="N562" s="15">
        <f ca="1">IFERROR(__xludf.DUMMYFUNCTION("""COMPUTED_VALUE"""),2)</f>
        <v>2</v>
      </c>
      <c r="O562" s="23" t="str">
        <f ca="1">IFERROR(__xludf.DUMMYFUNCTION("""COMPUTED_VALUE"""),"QUIET")</f>
        <v>QUIET</v>
      </c>
      <c r="P562" s="21">
        <f ca="1">IFERROR(__xludf.DUMMYFUNCTION("""COMPUTED_VALUE"""),2918.18)</f>
        <v>2918.18</v>
      </c>
      <c r="Q562" s="6" t="str">
        <f ca="1">IFERROR(__xludf.DUMMYFUNCTION("""COMPUTED_VALUE"""),"Iván Sánchez")</f>
        <v>Iván Sánchez</v>
      </c>
      <c r="R562" s="6" t="str">
        <f ca="1">IFERROR(__xludf.DUMMYFUNCTION("""COMPUTED_VALUE"""),"Salwa Laraqui Hossini")</f>
        <v>Salwa Laraqui Hossini</v>
      </c>
      <c r="S562" s="20" t="str">
        <f ca="1">IFERROR(__xludf.DUMMYFUNCTION("""COMPUTED_VALUE"""),"03 ORL")</f>
        <v>03 ORL</v>
      </c>
      <c r="T562" s="6" t="str">
        <f ca="1">IFERROR(__xludf.DUMMYFUNCTION("""COMPUTED_VALUE"""),"06 ORL")</f>
        <v>06 ORL</v>
      </c>
      <c r="U562" s="21"/>
      <c r="W562" s="21"/>
      <c r="X562" s="21"/>
    </row>
    <row r="563" spans="2:24" ht="16">
      <c r="B563" s="26" t="str">
        <f t="shared" ca="1" si="3"/>
        <v>RFV</v>
      </c>
      <c r="C563" s="23" t="str">
        <f ca="1">IFERROR(__xludf.DUMMYFUNCTION("""COMPUTED_VALUE"""),"RFV38")</f>
        <v>RFV38</v>
      </c>
      <c r="D563" s="6" t="str">
        <f ca="1">IFERROR(__xludf.DUMMYFUNCTION("""COMPUTED_VALUE"""),"PROPIOS")</f>
        <v>PROPIOS</v>
      </c>
      <c r="E563" s="6">
        <f ca="1">IFERROR(__xludf.DUMMYFUNCTION("""COMPUTED_VALUE"""),2026)</f>
        <v>2026</v>
      </c>
      <c r="F563" s="15">
        <f ca="1">IFERROR(__xludf.DUMMYFUNCTION("""COMPUTED_VALUE"""),1)</f>
        <v>1</v>
      </c>
      <c r="G563" s="6" t="str">
        <f ca="1">IFERROR(__xludf.DUMMYFUNCTION("""COMPUTED_VALUE"""),"El Albir (Benidorm)")</f>
        <v>El Albir (Benidorm)</v>
      </c>
      <c r="H563" s="6" t="str">
        <f ca="1">IFERROR(__xludf.DUMMYFUNCTION("""COMPUTED_VALUE"""),"C202512181231533876")</f>
        <v>C202512181231533876</v>
      </c>
      <c r="I563" s="6" t="str">
        <f ca="1">IFERROR(__xludf.DUMMYFUNCTION("""COMPUTED_VALUE"""),"ROSARIO DOMENE MOYA")</f>
        <v>ROSARIO DOMENE MOYA</v>
      </c>
      <c r="J563" s="16">
        <f ca="1">IFERROR(__xludf.DUMMYFUNCTION("""COMPUTED_VALUE"""),46009)</f>
        <v>46009</v>
      </c>
      <c r="K563" s="6" t="str">
        <f ca="1">IFERROR(__xludf.DUMMYFUNCTION("""COMPUTED_VALUE"""),"Pedido")</f>
        <v>Pedido</v>
      </c>
      <c r="L563" s="16">
        <f ca="1">IFERROR(__xludf.DUMMYFUNCTION("""COMPUTED_VALUE"""),46031)</f>
        <v>46031</v>
      </c>
      <c r="M563" s="23" t="str">
        <f ca="1">IFERROR(__xludf.DUMMYFUNCTION("""COMPUTED_VALUE"""),"NO")</f>
        <v>NO</v>
      </c>
      <c r="N563" s="15">
        <f ca="1">IFERROR(__xludf.DUMMYFUNCTION("""COMPUTED_VALUE"""),2)</f>
        <v>2</v>
      </c>
      <c r="O563" s="23" t="str">
        <f ca="1">IFERROR(__xludf.DUMMYFUNCTION("""COMPUTED_VALUE"""),"QUIET")</f>
        <v>QUIET</v>
      </c>
      <c r="P563" s="21">
        <f ca="1">IFERROR(__xludf.DUMMYFUNCTION("""COMPUTED_VALUE"""),2718.18)</f>
        <v>2718.18</v>
      </c>
      <c r="Q563" s="6" t="str">
        <f ca="1">IFERROR(__xludf.DUMMYFUNCTION("""COMPUTED_VALUE"""),"Ramon Ferrando")</f>
        <v>Ramon Ferrando</v>
      </c>
      <c r="R563" s="6" t="str">
        <f ca="1">IFERROR(__xludf.DUMMYFUNCTION("""COMPUTED_VALUE"""),"María Emilia García Ruiz")</f>
        <v>María Emilia García Ruiz</v>
      </c>
      <c r="S563" s="20" t="str">
        <f ca="1">IFERROR(__xludf.DUMMYFUNCTION("""COMPUTED_VALUE"""),"03 ORL")</f>
        <v>03 ORL</v>
      </c>
      <c r="T563" s="6" t="str">
        <f ca="1">IFERROR(__xludf.DUMMYFUNCTION("""COMPUTED_VALUE"""),"06 ORL")</f>
        <v>06 ORL</v>
      </c>
      <c r="U563" s="21"/>
      <c r="W563" s="21"/>
      <c r="X563" s="21"/>
    </row>
    <row r="564" spans="2:24" ht="16">
      <c r="B564" s="26" t="str">
        <f t="shared" ca="1" si="3"/>
        <v/>
      </c>
      <c r="C564" s="23"/>
      <c r="D564" s="6" t="str">
        <f ca="1">IFERROR(__xludf.DUMMYFUNCTION("""COMPUTED_VALUE"""),"PROPIOS")</f>
        <v>PROPIOS</v>
      </c>
      <c r="E564" s="6">
        <f ca="1">IFERROR(__xludf.DUMMYFUNCTION("""COMPUTED_VALUE"""),2026)</f>
        <v>2026</v>
      </c>
      <c r="F564" s="15">
        <f ca="1">IFERROR(__xludf.DUMMYFUNCTION("""COMPUTED_VALUE"""),4)</f>
        <v>4</v>
      </c>
      <c r="G564" s="6" t="str">
        <f ca="1">IFERROR(__xludf.DUMMYFUNCTION("""COMPUTED_VALUE"""),"Fuenlabrada")</f>
        <v>Fuenlabrada</v>
      </c>
      <c r="H564" s="6" t="str">
        <f ca="1">IFERROR(__xludf.DUMMYFUNCTION("""COMPUTED_VALUE"""),"C202631118261576990")</f>
        <v>C202631118261576990</v>
      </c>
      <c r="I564" s="6" t="str">
        <f ca="1">IFERROR(__xludf.DUMMYFUNCTION("""COMPUTED_VALUE"""),"CARLOS  CABALLERO ALCANTARA")</f>
        <v>CARLOS  CABALLERO ALCANTARA</v>
      </c>
      <c r="J564" s="16">
        <f ca="1">IFERROR(__xludf.DUMMYFUNCTION("""COMPUTED_VALUE"""),46092)</f>
        <v>46092</v>
      </c>
      <c r="K564" s="6" t="str">
        <f ca="1">IFERROR(__xludf.DUMMYFUNCTION("""COMPUTED_VALUE"""),"Prueba")</f>
        <v>Prueba</v>
      </c>
      <c r="L564" s="16">
        <f ca="1">IFERROR(__xludf.DUMMYFUNCTION("""COMPUTED_VALUE"""),46113)</f>
        <v>46113</v>
      </c>
      <c r="M564" s="23" t="str">
        <f ca="1">IFERROR(__xludf.DUMMYFUNCTION("""COMPUTED_VALUE"""),"NO")</f>
        <v>NO</v>
      </c>
      <c r="N564" s="15">
        <f ca="1">IFERROR(__xludf.DUMMYFUNCTION("""COMPUTED_VALUE"""),1)</f>
        <v>1</v>
      </c>
      <c r="O564" s="23" t="str">
        <f ca="1">IFERROR(__xludf.DUMMYFUNCTION("""COMPUTED_VALUE"""),"CONFORT")</f>
        <v>CONFORT</v>
      </c>
      <c r="P564" s="21">
        <f ca="1">IFERROR(__xludf.DUMMYFUNCTION("""COMPUTED_VALUE"""),2162.73)</f>
        <v>2162.73</v>
      </c>
      <c r="Q564" s="6" t="str">
        <f ca="1">IFERROR(__xludf.DUMMYFUNCTION("""COMPUTED_VALUE"""),"Maika Blázquez")</f>
        <v>Maika Blázquez</v>
      </c>
      <c r="R564" s="6" t="str">
        <f ca="1">IFERROR(__xludf.DUMMYFUNCTION("""COMPUTED_VALUE"""),"No recuerda ORL")</f>
        <v>No recuerda ORL</v>
      </c>
      <c r="S564" s="20" t="str">
        <f ca="1">IFERROR(__xludf.DUMMYFUNCTION("""COMPUTED_VALUE"""),"03 ORL")</f>
        <v>03 ORL</v>
      </c>
      <c r="T564" s="6" t="str">
        <f ca="1">IFERROR(__xludf.DUMMYFUNCTION("""COMPUTED_VALUE"""),"06 ORL")</f>
        <v>06 ORL</v>
      </c>
      <c r="U564" s="21"/>
      <c r="W564" s="20"/>
      <c r="X564" s="21"/>
    </row>
    <row r="565" spans="2:24" ht="16">
      <c r="B565" s="26" t="str">
        <f t="shared" ca="1" si="3"/>
        <v>MBM</v>
      </c>
      <c r="C565" s="23" t="str">
        <f ca="1">IFERROR(__xludf.DUMMYFUNCTION("""COMPUTED_VALUE"""),"MBM111")</f>
        <v>MBM111</v>
      </c>
      <c r="D565" s="6" t="str">
        <f ca="1">IFERROR(__xludf.DUMMYFUNCTION("""COMPUTED_VALUE"""),"PROPIOS")</f>
        <v>PROPIOS</v>
      </c>
      <c r="E565" s="6">
        <f ca="1">IFERROR(__xludf.DUMMYFUNCTION("""COMPUTED_VALUE"""),2026)</f>
        <v>2026</v>
      </c>
      <c r="F565" s="15">
        <f ca="1">IFERROR(__xludf.DUMMYFUNCTION("""COMPUTED_VALUE"""),2)</f>
        <v>2</v>
      </c>
      <c r="G565" s="6" t="str">
        <f ca="1">IFERROR(__xludf.DUMMYFUNCTION("""COMPUTED_VALUE"""),"Fuenlabrada")</f>
        <v>Fuenlabrada</v>
      </c>
      <c r="H565" s="6" t="str">
        <f ca="1">IFERROR(__xludf.DUMMYFUNCTION("""COMPUTED_VALUE"""),"C202613010174350741")</f>
        <v>C202613010174350741</v>
      </c>
      <c r="I565" s="6" t="str">
        <f ca="1">IFERROR(__xludf.DUMMYFUNCTION("""COMPUTED_VALUE"""),"ENCARNACION  SANCHEZ DUQUE")</f>
        <v>ENCARNACION  SANCHEZ DUQUE</v>
      </c>
      <c r="J565" s="16">
        <f ca="1">IFERROR(__xludf.DUMMYFUNCTION("""COMPUTED_VALUE"""),46052)</f>
        <v>46052</v>
      </c>
      <c r="K565" s="6" t="str">
        <f ca="1">IFERROR(__xludf.DUMMYFUNCTION("""COMPUTED_VALUE"""),"Presupuesto")</f>
        <v>Presupuesto</v>
      </c>
      <c r="L565" s="16">
        <f ca="1">IFERROR(__xludf.DUMMYFUNCTION("""COMPUTED_VALUE"""),46070)</f>
        <v>46070</v>
      </c>
      <c r="M565" s="23" t="str">
        <f ca="1">IFERROR(__xludf.DUMMYFUNCTION("""COMPUTED_VALUE"""),"NO")</f>
        <v>NO</v>
      </c>
      <c r="N565" s="15">
        <f ca="1">IFERROR(__xludf.DUMMYFUNCTION("""COMPUTED_VALUE"""),2)</f>
        <v>2</v>
      </c>
      <c r="O565" s="23" t="str">
        <f ca="1">IFERROR(__xludf.DUMMYFUNCTION("""COMPUTED_VALUE"""),"QUIET")</f>
        <v>QUIET</v>
      </c>
      <c r="P565" s="21">
        <f ca="1">IFERROR(__xludf.DUMMYFUNCTION("""COMPUTED_VALUE"""),2718.18)</f>
        <v>2718.18</v>
      </c>
      <c r="Q565" s="6" t="str">
        <f ca="1">IFERROR(__xludf.DUMMYFUNCTION("""COMPUTED_VALUE"""),"Maika Blázquez")</f>
        <v>Maika Blázquez</v>
      </c>
      <c r="R565" s="6" t="str">
        <f ca="1">IFERROR(__xludf.DUMMYFUNCTION("""COMPUTED_VALUE"""),"Elisabeth Amarillo Espitia")</f>
        <v>Elisabeth Amarillo Espitia</v>
      </c>
      <c r="S565" s="20" t="str">
        <f ca="1">IFERROR(__xludf.DUMMYFUNCTION("""COMPUTED_VALUE"""),"03 ORL")</f>
        <v>03 ORL</v>
      </c>
      <c r="T565" s="6" t="str">
        <f ca="1">IFERROR(__xludf.DUMMYFUNCTION("""COMPUTED_VALUE"""),"06 ORL")</f>
        <v>06 ORL</v>
      </c>
      <c r="U565" s="21"/>
      <c r="W565" s="20"/>
      <c r="X565" s="21"/>
    </row>
    <row r="566" spans="2:24" ht="16">
      <c r="B566" s="26" t="str">
        <f t="shared" ca="1" si="3"/>
        <v>LRM</v>
      </c>
      <c r="C566" s="23" t="str">
        <f ca="1">IFERROR(__xludf.DUMMYFUNCTION("""COMPUTED_VALUE"""),"LRM239")</f>
        <v>LRM239</v>
      </c>
      <c r="D566" s="6" t="str">
        <f ca="1">IFERROR(__xludf.DUMMYFUNCTION("""COMPUTED_VALUE"""),"PROPIOS")</f>
        <v>PROPIOS</v>
      </c>
      <c r="E566" s="6">
        <f ca="1">IFERROR(__xludf.DUMMYFUNCTION("""COMPUTED_VALUE"""),2026)</f>
        <v>2026</v>
      </c>
      <c r="F566" s="15">
        <f ca="1">IFERROR(__xludf.DUMMYFUNCTION("""COMPUTED_VALUE"""),1)</f>
        <v>1</v>
      </c>
      <c r="G566" s="6" t="str">
        <f ca="1">IFERROR(__xludf.DUMMYFUNCTION("""COMPUTED_VALUE"""),"Fuenlabrada")</f>
        <v>Fuenlabrada</v>
      </c>
      <c r="H566" s="6" t="str">
        <f ca="1">IFERROR(__xludf.DUMMYFUNCTION("""COMPUTED_VALUE"""),"FNL-02934")</f>
        <v>FNL-02934</v>
      </c>
      <c r="I566" s="6" t="str">
        <f ca="1">IFERROR(__xludf.DUMMYFUNCTION("""COMPUTED_VALUE"""),"FABIOLA MARTINEZ FERNANDEZ")</f>
        <v>FABIOLA MARTINEZ FERNANDEZ</v>
      </c>
      <c r="J566" s="16">
        <f ca="1">IFERROR(__xludf.DUMMYFUNCTION("""COMPUTED_VALUE"""),46021)</f>
        <v>46021</v>
      </c>
      <c r="K566" s="6" t="str">
        <f ca="1">IFERROR(__xludf.DUMMYFUNCTION("""COMPUTED_VALUE"""),"Devuelve")</f>
        <v>Devuelve</v>
      </c>
      <c r="L566" s="16">
        <f ca="1">IFERROR(__xludf.DUMMYFUNCTION("""COMPUTED_VALUE"""),46031)</f>
        <v>46031</v>
      </c>
      <c r="M566" s="23" t="str">
        <f ca="1">IFERROR(__xludf.DUMMYFUNCTION("""COMPUTED_VALUE"""),"NO")</f>
        <v>NO</v>
      </c>
      <c r="N566" s="15">
        <f ca="1">IFERROR(__xludf.DUMMYFUNCTION("""COMPUTED_VALUE"""),1)</f>
        <v>1</v>
      </c>
      <c r="O566" s="23" t="str">
        <f ca="1">IFERROR(__xludf.DUMMYFUNCTION("""COMPUTED_VALUE"""),"TRIAL")</f>
        <v>TRIAL</v>
      </c>
      <c r="P566" s="21">
        <f ca="1">IFERROR(__xludf.DUMMYFUNCTION("""COMPUTED_VALUE"""),2180.91)</f>
        <v>2180.91</v>
      </c>
      <c r="Q566" s="6" t="str">
        <f ca="1">IFERROR(__xludf.DUMMYFUNCTION("""COMPUTED_VALUE"""),"Maika Blázquez")</f>
        <v>Maika Blázquez</v>
      </c>
      <c r="R566" s="6" t="str">
        <f ca="1">IFERROR(__xludf.DUMMYFUNCTION("""COMPUTED_VALUE"""),"Carlos Barajas del Rosal")</f>
        <v>Carlos Barajas del Rosal</v>
      </c>
      <c r="S566" s="20" t="str">
        <f ca="1">IFERROR(__xludf.DUMMYFUNCTION("""COMPUTED_VALUE"""),"03 ORL")</f>
        <v>03 ORL</v>
      </c>
      <c r="T566" s="6" t="str">
        <f ca="1">IFERROR(__xludf.DUMMYFUNCTION("""COMPUTED_VALUE"""),"06 ORL")</f>
        <v>06 ORL</v>
      </c>
      <c r="U566" s="21"/>
      <c r="W566" s="20"/>
      <c r="X566" s="21"/>
    </row>
    <row r="567" spans="2:24" ht="16">
      <c r="B567" s="26" t="str">
        <f t="shared" ca="1" si="3"/>
        <v>MBM</v>
      </c>
      <c r="C567" s="23" t="str">
        <f ca="1">IFERROR(__xludf.DUMMYFUNCTION("""COMPUTED_VALUE"""),"MBM01")</f>
        <v>MBM01</v>
      </c>
      <c r="D567" s="6" t="str">
        <f ca="1">IFERROR(__xludf.DUMMYFUNCTION("""COMPUTED_VALUE"""),"PROPIOS")</f>
        <v>PROPIOS</v>
      </c>
      <c r="E567" s="6">
        <f ca="1">IFERROR(__xludf.DUMMYFUNCTION("""COMPUTED_VALUE"""),2026)</f>
        <v>2026</v>
      </c>
      <c r="F567" s="15">
        <f ca="1">IFERROR(__xludf.DUMMYFUNCTION("""COMPUTED_VALUE"""),1)</f>
        <v>1</v>
      </c>
      <c r="G567" s="6" t="str">
        <f ca="1">IFERROR(__xludf.DUMMYFUNCTION("""COMPUTED_VALUE"""),"Fuenlabrada")</f>
        <v>Fuenlabrada</v>
      </c>
      <c r="H567" s="6" t="str">
        <f ca="1">IFERROR(__xludf.DUMMYFUNCTION("""COMPUTED_VALUE"""),"C202611314492864404")</f>
        <v>C202611314492864404</v>
      </c>
      <c r="I567" s="6" t="str">
        <f ca="1">IFERROR(__xludf.DUMMYFUNCTION("""COMPUTED_VALUE"""),"INMACULADA FERNANDEZ FERNANDEZ")</f>
        <v>INMACULADA FERNANDEZ FERNANDEZ</v>
      </c>
      <c r="J567" s="16">
        <f ca="1">IFERROR(__xludf.DUMMYFUNCTION("""COMPUTED_VALUE"""),46035)</f>
        <v>46035</v>
      </c>
      <c r="K567" s="6" t="str">
        <f ca="1">IFERROR(__xludf.DUMMYFUNCTION("""COMPUTED_VALUE"""),"Pedido")</f>
        <v>Pedido</v>
      </c>
      <c r="L567" s="16">
        <f ca="1">IFERROR(__xludf.DUMMYFUNCTION("""COMPUTED_VALUE"""),46036)</f>
        <v>46036</v>
      </c>
      <c r="M567" s="23" t="str">
        <f ca="1">IFERROR(__xludf.DUMMYFUNCTION("""COMPUTED_VALUE"""),"NO")</f>
        <v>NO</v>
      </c>
      <c r="N567" s="15">
        <f ca="1">IFERROR(__xludf.DUMMYFUNCTION("""COMPUTED_VALUE"""),2)</f>
        <v>2</v>
      </c>
      <c r="O567" s="23" t="str">
        <f ca="1">IFERROR(__xludf.DUMMYFUNCTION("""COMPUTED_VALUE"""),"CONFORT")</f>
        <v>CONFORT</v>
      </c>
      <c r="P567" s="21">
        <f ca="1">IFERROR(__xludf.DUMMYFUNCTION("""COMPUTED_VALUE"""),3631.82)</f>
        <v>3631.82</v>
      </c>
      <c r="Q567" s="6" t="str">
        <f ca="1">IFERROR(__xludf.DUMMYFUNCTION("""COMPUTED_VALUE"""),"Maika Blázquez")</f>
        <v>Maika Blázquez</v>
      </c>
      <c r="R567" s="6" t="str">
        <f ca="1">IFERROR(__xludf.DUMMYFUNCTION("""COMPUTED_VALUE"""),"Adolfo Toledano Muñoz")</f>
        <v>Adolfo Toledano Muñoz</v>
      </c>
      <c r="S567" s="20" t="str">
        <f ca="1">IFERROR(__xludf.DUMMYFUNCTION("""COMPUTED_VALUE"""),"03 ORL")</f>
        <v>03 ORL</v>
      </c>
      <c r="T567" s="6" t="str">
        <f ca="1">IFERROR(__xludf.DUMMYFUNCTION("""COMPUTED_VALUE"""),"22 AUDIOMETRIA CLINICA")</f>
        <v>22 AUDIOMETRIA CLINICA</v>
      </c>
      <c r="U567" s="21"/>
      <c r="W567" s="20"/>
      <c r="X567" s="21"/>
    </row>
    <row r="568" spans="2:24" ht="16">
      <c r="B568" s="26" t="str">
        <f t="shared" ca="1" si="3"/>
        <v>MBM</v>
      </c>
      <c r="C568" s="23" t="str">
        <f ca="1">IFERROR(__xludf.DUMMYFUNCTION("""COMPUTED_VALUE"""),"MBM76")</f>
        <v>MBM76</v>
      </c>
      <c r="D568" s="6" t="str">
        <f ca="1">IFERROR(__xludf.DUMMYFUNCTION("""COMPUTED_VALUE"""),"PROPIOS")</f>
        <v>PROPIOS</v>
      </c>
      <c r="E568" s="6">
        <f ca="1">IFERROR(__xludf.DUMMYFUNCTION("""COMPUTED_VALUE"""),2026)</f>
        <v>2026</v>
      </c>
      <c r="F568" s="15">
        <f ca="1">IFERROR(__xludf.DUMMYFUNCTION("""COMPUTED_VALUE"""),2)</f>
        <v>2</v>
      </c>
      <c r="G568" s="6" t="str">
        <f ca="1">IFERROR(__xludf.DUMMYFUNCTION("""COMPUTED_VALUE"""),"Fuenlabrada")</f>
        <v>Fuenlabrada</v>
      </c>
      <c r="H568" s="6" t="str">
        <f ca="1">IFERROR(__xludf.DUMMYFUNCTION("""COMPUTED_VALUE"""),"C202612114584280933")</f>
        <v>C202612114584280933</v>
      </c>
      <c r="I568" s="6" t="str">
        <f ca="1">IFERROR(__xludf.DUMMYFUNCTION("""COMPUTED_VALUE"""),"ISIDORA GRANDE DIAZ")</f>
        <v>ISIDORA GRANDE DIAZ</v>
      </c>
      <c r="J568" s="16">
        <f ca="1">IFERROR(__xludf.DUMMYFUNCTION("""COMPUTED_VALUE"""),46043)</f>
        <v>46043</v>
      </c>
      <c r="K568" s="6" t="str">
        <f ca="1">IFERROR(__xludf.DUMMYFUNCTION("""COMPUTED_VALUE"""),"Devuelve")</f>
        <v>Devuelve</v>
      </c>
      <c r="L568" s="16">
        <f ca="1">IFERROR(__xludf.DUMMYFUNCTION("""COMPUTED_VALUE"""),46056)</f>
        <v>46056</v>
      </c>
      <c r="M568" s="23" t="str">
        <f ca="1">IFERROR(__xludf.DUMMYFUNCTION("""COMPUTED_VALUE"""),"NO")</f>
        <v>NO</v>
      </c>
      <c r="N568" s="15">
        <f ca="1">IFERROR(__xludf.DUMMYFUNCTION("""COMPUTED_VALUE"""),2)</f>
        <v>2</v>
      </c>
      <c r="O568" s="23" t="str">
        <f ca="1">IFERROR(__xludf.DUMMYFUNCTION("""COMPUTED_VALUE"""),"TRIAL")</f>
        <v>TRIAL</v>
      </c>
      <c r="P568" s="21">
        <f ca="1">IFERROR(__xludf.DUMMYFUNCTION("""COMPUTED_VALUE"""),3631.82)</f>
        <v>3631.82</v>
      </c>
      <c r="Q568" s="6" t="str">
        <f ca="1">IFERROR(__xludf.DUMMYFUNCTION("""COMPUTED_VALUE"""),"Maika Blázquez")</f>
        <v>Maika Blázquez</v>
      </c>
      <c r="R568" s="6" t="str">
        <f ca="1">IFERROR(__xludf.DUMMYFUNCTION("""COMPUTED_VALUE"""),"Ramón González Herranz")</f>
        <v>Ramón González Herranz</v>
      </c>
      <c r="S568" s="20" t="str">
        <f ca="1">IFERROR(__xludf.DUMMYFUNCTION("""COMPUTED_VALUE"""),"03 ORL")</f>
        <v>03 ORL</v>
      </c>
      <c r="T568" s="6" t="str">
        <f ca="1">IFERROR(__xludf.DUMMYFUNCTION("""COMPUTED_VALUE"""),"06 ORL")</f>
        <v>06 ORL</v>
      </c>
      <c r="U568" s="21"/>
      <c r="W568" s="20"/>
      <c r="X568" s="21"/>
    </row>
    <row r="569" spans="2:24" ht="16">
      <c r="B569" s="26" t="str">
        <f t="shared" ca="1" si="3"/>
        <v>MBM</v>
      </c>
      <c r="C569" s="23" t="str">
        <f ca="1">IFERROR(__xludf.DUMMYFUNCTION("""COMPUTED_VALUE"""),"MBM104")</f>
        <v>MBM104</v>
      </c>
      <c r="D569" s="6" t="str">
        <f ca="1">IFERROR(__xludf.DUMMYFUNCTION("""COMPUTED_VALUE"""),"PROPIOS")</f>
        <v>PROPIOS</v>
      </c>
      <c r="E569" s="6">
        <f ca="1">IFERROR(__xludf.DUMMYFUNCTION("""COMPUTED_VALUE"""),2026)</f>
        <v>2026</v>
      </c>
      <c r="F569" s="15">
        <f ca="1">IFERROR(__xludf.DUMMYFUNCTION("""COMPUTED_VALUE"""),3)</f>
        <v>3</v>
      </c>
      <c r="G569" s="6" t="str">
        <f ca="1">IFERROR(__xludf.DUMMYFUNCTION("""COMPUTED_VALUE"""),"Fuenlabrada")</f>
        <v>Fuenlabrada</v>
      </c>
      <c r="H569" s="6" t="str">
        <f ca="1">IFERROR(__xludf.DUMMYFUNCTION("""COMPUTED_VALUE"""),"FNL-2011")</f>
        <v>FNL-2011</v>
      </c>
      <c r="I569" s="6" t="str">
        <f ca="1">IFERROR(__xludf.DUMMYFUNCTION("""COMPUTED_VALUE"""),"ISIDRO MARIN AYALA")</f>
        <v>ISIDRO MARIN AYALA</v>
      </c>
      <c r="J569" s="16">
        <f ca="1">IFERROR(__xludf.DUMMYFUNCTION("""COMPUTED_VALUE"""),46069)</f>
        <v>46069</v>
      </c>
      <c r="K569" s="6" t="str">
        <f ca="1">IFERROR(__xludf.DUMMYFUNCTION("""COMPUTED_VALUE"""),"Devuelve")</f>
        <v>Devuelve</v>
      </c>
      <c r="L569" s="16">
        <f ca="1">IFERROR(__xludf.DUMMYFUNCTION("""COMPUTED_VALUE"""),46094)</f>
        <v>46094</v>
      </c>
      <c r="M569" s="23" t="str">
        <f ca="1">IFERROR(__xludf.DUMMYFUNCTION("""COMPUTED_VALUE"""),"NO")</f>
        <v>NO</v>
      </c>
      <c r="N569" s="15">
        <f ca="1">IFERROR(__xludf.DUMMYFUNCTION("""COMPUTED_VALUE"""),1)</f>
        <v>1</v>
      </c>
      <c r="O569" s="23" t="str">
        <f ca="1">IFERROR(__xludf.DUMMYFUNCTION("""COMPUTED_VALUE"""),"TRIAL")</f>
        <v>TRIAL</v>
      </c>
      <c r="P569" s="21">
        <f ca="1">IFERROR(__xludf.DUMMYFUNCTION("""COMPUTED_VALUE"""),2180.91)</f>
        <v>2180.91</v>
      </c>
      <c r="Q569" s="6" t="str">
        <f ca="1">IFERROR(__xludf.DUMMYFUNCTION("""COMPUTED_VALUE"""),"Maika Blázquez")</f>
        <v>Maika Blázquez</v>
      </c>
      <c r="R569" s="6" t="str">
        <f ca="1">IFERROR(__xludf.DUMMYFUNCTION("""COMPUTED_VALUE"""),"Concepcion Rodríguez Izquierdo")</f>
        <v>Concepcion Rodríguez Izquierdo</v>
      </c>
      <c r="S569" s="20" t="str">
        <f ca="1">IFERROR(__xludf.DUMMYFUNCTION("""COMPUTED_VALUE"""),"03 ORL")</f>
        <v>03 ORL</v>
      </c>
      <c r="T569" s="6" t="str">
        <f ca="1">IFERROR(__xludf.DUMMYFUNCTION("""COMPUTED_VALUE"""),"06 ORL")</f>
        <v>06 ORL</v>
      </c>
      <c r="U569" s="21"/>
      <c r="W569" s="20"/>
      <c r="X569" s="21"/>
    </row>
    <row r="570" spans="2:24" ht="16">
      <c r="B570" s="26" t="str">
        <f t="shared" ca="1" si="3"/>
        <v>MBM</v>
      </c>
      <c r="C570" s="23" t="str">
        <f ca="1">IFERROR(__xludf.DUMMYFUNCTION("""COMPUTED_VALUE"""),"MBM104")</f>
        <v>MBM104</v>
      </c>
      <c r="D570" s="6" t="str">
        <f ca="1">IFERROR(__xludf.DUMMYFUNCTION("""COMPUTED_VALUE"""),"PROPIOS")</f>
        <v>PROPIOS</v>
      </c>
      <c r="E570" s="6">
        <f ca="1">IFERROR(__xludf.DUMMYFUNCTION("""COMPUTED_VALUE"""),2026)</f>
        <v>2026</v>
      </c>
      <c r="F570" s="15">
        <f ca="1">IFERROR(__xludf.DUMMYFUNCTION("""COMPUTED_VALUE"""),3)</f>
        <v>3</v>
      </c>
      <c r="G570" s="6" t="str">
        <f ca="1">IFERROR(__xludf.DUMMYFUNCTION("""COMPUTED_VALUE"""),"Fuenlabrada")</f>
        <v>Fuenlabrada</v>
      </c>
      <c r="H570" s="6" t="str">
        <f ca="1">IFERROR(__xludf.DUMMYFUNCTION("""COMPUTED_VALUE"""),"C202631115175006533")</f>
        <v>C202631115175006533</v>
      </c>
      <c r="I570" s="6" t="str">
        <f ca="1">IFERROR(__xludf.DUMMYFUNCTION("""COMPUTED_VALUE"""),"JUAN CARLOS MAYORAL FELIPE")</f>
        <v>JUAN CARLOS MAYORAL FELIPE</v>
      </c>
      <c r="J570" s="16">
        <f ca="1">IFERROR(__xludf.DUMMYFUNCTION("""COMPUTED_VALUE"""),46092)</f>
        <v>46092</v>
      </c>
      <c r="K570" s="6" t="str">
        <f ca="1">IFERROR(__xludf.DUMMYFUNCTION("""COMPUTED_VALUE"""),"Prueba")</f>
        <v>Prueba</v>
      </c>
      <c r="L570" s="16">
        <f ca="1">IFERROR(__xludf.DUMMYFUNCTION("""COMPUTED_VALUE"""),46105)</f>
        <v>46105</v>
      </c>
      <c r="M570" s="23" t="str">
        <f ca="1">IFERROR(__xludf.DUMMYFUNCTION("""COMPUTED_VALUE"""),"NO")</f>
        <v>NO</v>
      </c>
      <c r="N570" s="15">
        <f ca="1">IFERROR(__xludf.DUMMYFUNCTION("""COMPUTED_VALUE"""),1)</f>
        <v>1</v>
      </c>
      <c r="O570" s="23" t="str">
        <f ca="1">IFERROR(__xludf.DUMMYFUNCTION("""COMPUTED_VALUE"""),"CONFORT")</f>
        <v>CONFORT</v>
      </c>
      <c r="P570" s="21">
        <f ca="1">IFERROR(__xludf.DUMMYFUNCTION("""COMPUTED_VALUE"""),2899.09)</f>
        <v>2899.09</v>
      </c>
      <c r="Q570" s="6" t="str">
        <f ca="1">IFERROR(__xludf.DUMMYFUNCTION("""COMPUTED_VALUE"""),"Maika Blázquez")</f>
        <v>Maika Blázquez</v>
      </c>
      <c r="R570" s="6" t="str">
        <f ca="1">IFERROR(__xludf.DUMMYFUNCTION("""COMPUTED_VALUE"""),"Concepcion Rodríguez Izquierdo")</f>
        <v>Concepcion Rodríguez Izquierdo</v>
      </c>
      <c r="S570" s="20" t="str">
        <f ca="1">IFERROR(__xludf.DUMMYFUNCTION("""COMPUTED_VALUE"""),"03 ORL")</f>
        <v>03 ORL</v>
      </c>
      <c r="T570" s="6" t="str">
        <f ca="1">IFERROR(__xludf.DUMMYFUNCTION("""COMPUTED_VALUE"""),"06 ORL")</f>
        <v>06 ORL</v>
      </c>
      <c r="U570" s="21"/>
      <c r="W570" s="20"/>
      <c r="X570" s="21"/>
    </row>
    <row r="571" spans="2:24" ht="16">
      <c r="B571" s="26" t="str">
        <f t="shared" ca="1" si="3"/>
        <v>MBM</v>
      </c>
      <c r="C571" s="23" t="str">
        <f ca="1">IFERROR(__xludf.DUMMYFUNCTION("""COMPUTED_VALUE"""),"MBM01")</f>
        <v>MBM01</v>
      </c>
      <c r="D571" s="6" t="str">
        <f ca="1">IFERROR(__xludf.DUMMYFUNCTION("""COMPUTED_VALUE"""),"PROPIOS")</f>
        <v>PROPIOS</v>
      </c>
      <c r="E571" s="6">
        <f ca="1">IFERROR(__xludf.DUMMYFUNCTION("""COMPUTED_VALUE"""),2026)</f>
        <v>2026</v>
      </c>
      <c r="F571" s="15">
        <f ca="1">IFERROR(__xludf.DUMMYFUNCTION("""COMPUTED_VALUE"""),3)</f>
        <v>3</v>
      </c>
      <c r="G571" s="6" t="str">
        <f ca="1">IFERROR(__xludf.DUMMYFUNCTION("""COMPUTED_VALUE"""),"Fuenlabrada")</f>
        <v>Fuenlabrada</v>
      </c>
      <c r="H571" s="6" t="str">
        <f ca="1">IFERROR(__xludf.DUMMYFUNCTION("""COMPUTED_VALUE"""),"C202622416524580028")</f>
        <v>C202622416524580028</v>
      </c>
      <c r="I571" s="6" t="str">
        <f ca="1">IFERROR(__xludf.DUMMYFUNCTION("""COMPUTED_VALUE"""),"LAURA  FERNANDEZ ZAZO")</f>
        <v>LAURA  FERNANDEZ ZAZO</v>
      </c>
      <c r="J571" s="16">
        <f ca="1">IFERROR(__xludf.DUMMYFUNCTION("""COMPUTED_VALUE"""),46077)</f>
        <v>46077</v>
      </c>
      <c r="K571" s="6" t="str">
        <f ca="1">IFERROR(__xludf.DUMMYFUNCTION("""COMPUTED_VALUE"""),"Presupuesto")</f>
        <v>Presupuesto</v>
      </c>
      <c r="L571" s="16">
        <f ca="1">IFERROR(__xludf.DUMMYFUNCTION("""COMPUTED_VALUE"""),46090)</f>
        <v>46090</v>
      </c>
      <c r="M571" s="23" t="str">
        <f ca="1">IFERROR(__xludf.DUMMYFUNCTION("""COMPUTED_VALUE"""),"NO")</f>
        <v>NO</v>
      </c>
      <c r="N571" s="15">
        <f ca="1">IFERROR(__xludf.DUMMYFUNCTION("""COMPUTED_VALUE"""),1)</f>
        <v>1</v>
      </c>
      <c r="O571" s="23" t="str">
        <f ca="1">IFERROR(__xludf.DUMMYFUNCTION("""COMPUTED_VALUE"""),"CONFORT")</f>
        <v>CONFORT</v>
      </c>
      <c r="P571" s="21">
        <f ca="1">IFERROR(__xludf.DUMMYFUNCTION("""COMPUTED_VALUE"""),2180.91)</f>
        <v>2180.91</v>
      </c>
      <c r="Q571" s="6" t="str">
        <f ca="1">IFERROR(__xludf.DUMMYFUNCTION("""COMPUTED_VALUE"""),"Maika Blázquez")</f>
        <v>Maika Blázquez</v>
      </c>
      <c r="R571" s="6" t="str">
        <f ca="1">IFERROR(__xludf.DUMMYFUNCTION("""COMPUTED_VALUE"""),"Adolfo Toledano Muñoz")</f>
        <v>Adolfo Toledano Muñoz</v>
      </c>
      <c r="S571" s="20" t="str">
        <f ca="1">IFERROR(__xludf.DUMMYFUNCTION("""COMPUTED_VALUE"""),"03 ORL")</f>
        <v>03 ORL</v>
      </c>
      <c r="T571" s="6" t="str">
        <f ca="1">IFERROR(__xludf.DUMMYFUNCTION("""COMPUTED_VALUE"""),"22 AUDIOMETRIA CLINICA")</f>
        <v>22 AUDIOMETRIA CLINICA</v>
      </c>
      <c r="U571" s="21"/>
      <c r="W571" s="20"/>
      <c r="X571" s="21"/>
    </row>
    <row r="572" spans="2:24" ht="16">
      <c r="B572" s="26" t="str">
        <f t="shared" ca="1" si="3"/>
        <v>MBM</v>
      </c>
      <c r="C572" s="23" t="str">
        <f ca="1">IFERROR(__xludf.DUMMYFUNCTION("""COMPUTED_VALUE"""),"MBM147")</f>
        <v>MBM147</v>
      </c>
      <c r="D572" s="6" t="str">
        <f ca="1">IFERROR(__xludf.DUMMYFUNCTION("""COMPUTED_VALUE"""),"PROPIOS")</f>
        <v>PROPIOS</v>
      </c>
      <c r="E572" s="6">
        <f ca="1">IFERROR(__xludf.DUMMYFUNCTION("""COMPUTED_VALUE"""),2026)</f>
        <v>2026</v>
      </c>
      <c r="F572" s="15">
        <f ca="1">IFERROR(__xludf.DUMMYFUNCTION("""COMPUTED_VALUE"""),3)</f>
        <v>3</v>
      </c>
      <c r="G572" s="6" t="str">
        <f ca="1">IFERROR(__xludf.DUMMYFUNCTION("""COMPUTED_VALUE"""),"Fuenlabrada")</f>
        <v>Fuenlabrada</v>
      </c>
      <c r="H572" s="6" t="str">
        <f ca="1">IFERROR(__xludf.DUMMYFUNCTION("""COMPUTED_VALUE"""),"C202631316536230259")</f>
        <v>C202631316536230259</v>
      </c>
      <c r="I572" s="6" t="str">
        <f ca="1">IFERROR(__xludf.DUMMYFUNCTION("""COMPUTED_VALUE"""),"MIGUEL  GARCIA RODRIGUEZ")</f>
        <v>MIGUEL  GARCIA RODRIGUEZ</v>
      </c>
      <c r="J572" s="16">
        <f ca="1">IFERROR(__xludf.DUMMYFUNCTION("""COMPUTED_VALUE"""),46094)</f>
        <v>46094</v>
      </c>
      <c r="K572" s="6" t="str">
        <f ca="1">IFERROR(__xludf.DUMMYFUNCTION("""COMPUTED_VALUE"""),"Prueba")</f>
        <v>Prueba</v>
      </c>
      <c r="L572" s="16">
        <f ca="1">IFERROR(__xludf.DUMMYFUNCTION("""COMPUTED_VALUE"""),46104)</f>
        <v>46104</v>
      </c>
      <c r="M572" s="23" t="str">
        <f ca="1">IFERROR(__xludf.DUMMYFUNCTION("""COMPUTED_VALUE"""),"NO")</f>
        <v>NO</v>
      </c>
      <c r="N572" s="15">
        <f ca="1">IFERROR(__xludf.DUMMYFUNCTION("""COMPUTED_VALUE"""),2)</f>
        <v>2</v>
      </c>
      <c r="O572" s="23" t="str">
        <f ca="1">IFERROR(__xludf.DUMMYFUNCTION("""COMPUTED_VALUE"""),"QUIET")</f>
        <v>QUIET</v>
      </c>
      <c r="P572" s="21">
        <f ca="1">IFERROR(__xludf.DUMMYFUNCTION("""COMPUTED_VALUE"""),2718.18)</f>
        <v>2718.18</v>
      </c>
      <c r="Q572" s="6" t="str">
        <f ca="1">IFERROR(__xludf.DUMMYFUNCTION("""COMPUTED_VALUE"""),"Maika Blázquez")</f>
        <v>Maika Blázquez</v>
      </c>
      <c r="R572" s="6" t="str">
        <f ca="1">IFERROR(__xludf.DUMMYFUNCTION("""COMPUTED_VALUE"""),"María Estefanía Hernández García")</f>
        <v>María Estefanía Hernández García</v>
      </c>
      <c r="S572" s="20" t="str">
        <f ca="1">IFERROR(__xludf.DUMMYFUNCTION("""COMPUTED_VALUE"""),"03 ORL")</f>
        <v>03 ORL</v>
      </c>
      <c r="T572" s="6" t="str">
        <f ca="1">IFERROR(__xludf.DUMMYFUNCTION("""COMPUTED_VALUE"""),"06 ORL")</f>
        <v>06 ORL</v>
      </c>
      <c r="U572" s="21"/>
      <c r="W572" s="20"/>
      <c r="X572" s="21"/>
    </row>
    <row r="573" spans="2:24" ht="16">
      <c r="B573" s="26" t="str">
        <f t="shared" ca="1" si="3"/>
        <v>MBM</v>
      </c>
      <c r="C573" s="23" t="str">
        <f ca="1">IFERROR(__xludf.DUMMYFUNCTION("""COMPUTED_VALUE"""),"MBM104")</f>
        <v>MBM104</v>
      </c>
      <c r="D573" s="6" t="str">
        <f ca="1">IFERROR(__xludf.DUMMYFUNCTION("""COMPUTED_VALUE"""),"PROPIOS")</f>
        <v>PROPIOS</v>
      </c>
      <c r="E573" s="6">
        <f ca="1">IFERROR(__xludf.DUMMYFUNCTION("""COMPUTED_VALUE"""),2026)</f>
        <v>2026</v>
      </c>
      <c r="F573" s="15">
        <f ca="1">IFERROR(__xludf.DUMMYFUNCTION("""COMPUTED_VALUE"""),3)</f>
        <v>3</v>
      </c>
      <c r="G573" s="6" t="str">
        <f ca="1">IFERROR(__xludf.DUMMYFUNCTION("""COMPUTED_VALUE"""),"Fuenlabrada")</f>
        <v>Fuenlabrada</v>
      </c>
      <c r="H573" s="6" t="str">
        <f ca="1">IFERROR(__xludf.DUMMYFUNCTION("""COMPUTED_VALUE"""),"C202512411122579914")</f>
        <v>C202512411122579914</v>
      </c>
      <c r="I573" s="6" t="str">
        <f ca="1">IFERROR(__xludf.DUMMYFUNCTION("""COMPUTED_VALUE"""),"VALERIA FERNANADEZ GARCIA")</f>
        <v>VALERIA FERNANADEZ GARCIA</v>
      </c>
      <c r="J573" s="16">
        <f ca="1">IFERROR(__xludf.DUMMYFUNCTION("""COMPUTED_VALUE"""),45995)</f>
        <v>45995</v>
      </c>
      <c r="K573" s="6" t="str">
        <f ca="1">IFERROR(__xludf.DUMMYFUNCTION("""COMPUTED_VALUE"""),"Prueba")</f>
        <v>Prueba</v>
      </c>
      <c r="L573" s="16">
        <f ca="1">IFERROR(__xludf.DUMMYFUNCTION("""COMPUTED_VALUE"""),46112)</f>
        <v>46112</v>
      </c>
      <c r="M573" s="23" t="str">
        <f ca="1">IFERROR(__xludf.DUMMYFUNCTION("""COMPUTED_VALUE"""),"NO")</f>
        <v>NO</v>
      </c>
      <c r="N573" s="15">
        <f ca="1">IFERROR(__xludf.DUMMYFUNCTION("""COMPUTED_VALUE"""),2)</f>
        <v>2</v>
      </c>
      <c r="O573" s="23" t="str">
        <f ca="1">IFERROR(__xludf.DUMMYFUNCTION("""COMPUTED_VALUE"""),"TRIAL")</f>
        <v>TRIAL</v>
      </c>
      <c r="P573" s="21">
        <f ca="1">IFERROR(__xludf.DUMMYFUNCTION("""COMPUTED_VALUE"""),4136.36)</f>
        <v>4136.3599999999997</v>
      </c>
      <c r="Q573" s="6" t="str">
        <f ca="1">IFERROR(__xludf.DUMMYFUNCTION("""COMPUTED_VALUE"""),"Maika Blázquez")</f>
        <v>Maika Blázquez</v>
      </c>
      <c r="R573" s="6" t="str">
        <f ca="1">IFERROR(__xludf.DUMMYFUNCTION("""COMPUTED_VALUE"""),"Concepcion Rodríguez Izquierdo")</f>
        <v>Concepcion Rodríguez Izquierdo</v>
      </c>
      <c r="S573" s="20" t="str">
        <f ca="1">IFERROR(__xludf.DUMMYFUNCTION("""COMPUTED_VALUE"""),"03 ORL")</f>
        <v>03 ORL</v>
      </c>
      <c r="T573" s="6" t="str">
        <f ca="1">IFERROR(__xludf.DUMMYFUNCTION("""COMPUTED_VALUE"""),"06 ORL")</f>
        <v>06 ORL</v>
      </c>
      <c r="U573" s="21"/>
      <c r="W573" s="20"/>
      <c r="X573" s="21"/>
    </row>
    <row r="574" spans="2:24" ht="16">
      <c r="B574" s="26" t="str">
        <f t="shared" ca="1" si="3"/>
        <v>MBM</v>
      </c>
      <c r="C574" s="23" t="str">
        <f ca="1">IFERROR(__xludf.DUMMYFUNCTION("""COMPUTED_VALUE"""),"MBM96")</f>
        <v>MBM96</v>
      </c>
      <c r="D574" s="6" t="str">
        <f ca="1">IFERROR(__xludf.DUMMYFUNCTION("""COMPUTED_VALUE"""),"PROPIOS")</f>
        <v>PROPIOS</v>
      </c>
      <c r="E574" s="6">
        <f ca="1">IFERROR(__xludf.DUMMYFUNCTION("""COMPUTED_VALUE"""),2026)</f>
        <v>2026</v>
      </c>
      <c r="F574" s="15">
        <f ca="1">IFERROR(__xludf.DUMMYFUNCTION("""COMPUTED_VALUE"""),2)</f>
        <v>2</v>
      </c>
      <c r="G574" s="6" t="str">
        <f ca="1">IFERROR(__xludf.DUMMYFUNCTION("""COMPUTED_VALUE"""),"Getafe")</f>
        <v>Getafe</v>
      </c>
      <c r="H574" s="6" t="str">
        <f ca="1">IFERROR(__xludf.DUMMYFUNCTION("""COMPUTED_VALUE"""),"C202613014331066305")</f>
        <v>C202613014331066305</v>
      </c>
      <c r="I574" s="6" t="str">
        <f ca="1">IFERROR(__xludf.DUMMYFUNCTION("""COMPUTED_VALUE"""),"AMPARO ZURRÓN CIFUENTES")</f>
        <v>AMPARO ZURRÓN CIFUENTES</v>
      </c>
      <c r="J574" s="16">
        <f ca="1">IFERROR(__xludf.DUMMYFUNCTION("""COMPUTED_VALUE"""),46052)</f>
        <v>46052</v>
      </c>
      <c r="K574" s="6" t="str">
        <f ca="1">IFERROR(__xludf.DUMMYFUNCTION("""COMPUTED_VALUE"""),"Presupuesto")</f>
        <v>Presupuesto</v>
      </c>
      <c r="L574" s="16">
        <f ca="1">IFERROR(__xludf.DUMMYFUNCTION("""COMPUTED_VALUE"""),46065)</f>
        <v>46065</v>
      </c>
      <c r="M574" s="23" t="str">
        <f ca="1">IFERROR(__xludf.DUMMYFUNCTION("""COMPUTED_VALUE"""),"NO")</f>
        <v>NO</v>
      </c>
      <c r="N574" s="15">
        <f ca="1">IFERROR(__xludf.DUMMYFUNCTION("""COMPUTED_VALUE"""),1)</f>
        <v>1</v>
      </c>
      <c r="O574" s="23" t="str">
        <f ca="1">IFERROR(__xludf.DUMMYFUNCTION("""COMPUTED_VALUE"""),"QUIET")</f>
        <v>QUIET</v>
      </c>
      <c r="P574" s="21">
        <f ca="1">IFERROR(__xludf.DUMMYFUNCTION("""COMPUTED_VALUE"""),1631.82)</f>
        <v>1631.82</v>
      </c>
      <c r="Q574" s="6" t="str">
        <f ca="1">IFERROR(__xludf.DUMMYFUNCTION("""COMPUTED_VALUE"""),"Maika Blázquez")</f>
        <v>Maika Blázquez</v>
      </c>
      <c r="R574" s="6" t="str">
        <f ca="1">IFERROR(__xludf.DUMMYFUNCTION("""COMPUTED_VALUE"""),"Beatriz Santos Duque")</f>
        <v>Beatriz Santos Duque</v>
      </c>
      <c r="S574" s="20" t="str">
        <f ca="1">IFERROR(__xludf.DUMMYFUNCTION("""COMPUTED_VALUE"""),"03 ORL")</f>
        <v>03 ORL</v>
      </c>
      <c r="T574" s="6" t="str">
        <f ca="1">IFERROR(__xludf.DUMMYFUNCTION("""COMPUTED_VALUE"""),"06 ORL")</f>
        <v>06 ORL</v>
      </c>
      <c r="U574" s="21"/>
      <c r="W574" s="20"/>
      <c r="X574" s="21"/>
    </row>
    <row r="575" spans="2:24" ht="16">
      <c r="B575" s="26" t="str">
        <f t="shared" ca="1" si="3"/>
        <v/>
      </c>
      <c r="C575" s="23"/>
      <c r="D575" s="6" t="str">
        <f ca="1">IFERROR(__xludf.DUMMYFUNCTION("""COMPUTED_VALUE"""),"PROPIOS")</f>
        <v>PROPIOS</v>
      </c>
      <c r="E575" s="6">
        <f ca="1">IFERROR(__xludf.DUMMYFUNCTION("""COMPUTED_VALUE"""),2026)</f>
        <v>2026</v>
      </c>
      <c r="F575" s="15">
        <f ca="1">IFERROR(__xludf.DUMMYFUNCTION("""COMPUTED_VALUE"""),3)</f>
        <v>3</v>
      </c>
      <c r="G575" s="6" t="str">
        <f ca="1">IFERROR(__xludf.DUMMYFUNCTION("""COMPUTED_VALUE"""),"Getafe")</f>
        <v>Getafe</v>
      </c>
      <c r="H575" s="6" t="str">
        <f ca="1">IFERROR(__xludf.DUMMYFUNCTION("""COMPUTED_VALUE"""),"C202631610588064529")</f>
        <v>C202631610588064529</v>
      </c>
      <c r="I575" s="6" t="str">
        <f ca="1">IFERROR(__xludf.DUMMYFUNCTION("""COMPUTED_VALUE"""),"ANA MARIA  CABRERA HERNANDEZ")</f>
        <v>ANA MARIA  CABRERA HERNANDEZ</v>
      </c>
      <c r="J575" s="16">
        <f ca="1">IFERROR(__xludf.DUMMYFUNCTION("""COMPUTED_VALUE"""),46097)</f>
        <v>46097</v>
      </c>
      <c r="K575" s="6" t="str">
        <f ca="1">IFERROR(__xludf.DUMMYFUNCTION("""COMPUTED_VALUE"""),"Pedido")</f>
        <v>Pedido</v>
      </c>
      <c r="L575" s="16">
        <f ca="1">IFERROR(__xludf.DUMMYFUNCTION("""COMPUTED_VALUE"""),46108)</f>
        <v>46108</v>
      </c>
      <c r="M575" s="23" t="str">
        <f ca="1">IFERROR(__xludf.DUMMYFUNCTION("""COMPUTED_VALUE"""),"NO")</f>
        <v>NO</v>
      </c>
      <c r="N575" s="15">
        <f ca="1">IFERROR(__xludf.DUMMYFUNCTION("""COMPUTED_VALUE"""),2)</f>
        <v>2</v>
      </c>
      <c r="O575" s="23" t="str">
        <f ca="1">IFERROR(__xludf.DUMMYFUNCTION("""COMPUTED_VALUE"""),"SOCIAL")</f>
        <v>SOCIAL</v>
      </c>
      <c r="P575" s="21">
        <f ca="1">IFERROR(__xludf.DUMMYFUNCTION("""COMPUTED_VALUE"""),2363.64)</f>
        <v>2363.64</v>
      </c>
      <c r="Q575" s="6" t="str">
        <f ca="1">IFERROR(__xludf.DUMMYFUNCTION("""COMPUTED_VALUE"""),"Maika Blázquez")</f>
        <v>Maika Blázquez</v>
      </c>
      <c r="R575" s="6" t="str">
        <f ca="1">IFERROR(__xludf.DUMMYFUNCTION("""COMPUTED_VALUE"""),"No recuerda ORL")</f>
        <v>No recuerda ORL</v>
      </c>
      <c r="S575" s="20" t="str">
        <f ca="1">IFERROR(__xludf.DUMMYFUNCTION("""COMPUTED_VALUE"""),"03 ORL")</f>
        <v>03 ORL</v>
      </c>
      <c r="T575" s="6" t="str">
        <f ca="1">IFERROR(__xludf.DUMMYFUNCTION("""COMPUTED_VALUE"""),"06 ORL")</f>
        <v>06 ORL</v>
      </c>
      <c r="U575" s="21"/>
      <c r="W575" s="20"/>
      <c r="X575" s="21"/>
    </row>
    <row r="576" spans="2:24" ht="16">
      <c r="B576" s="26" t="str">
        <f t="shared" ca="1" si="3"/>
        <v/>
      </c>
      <c r="C576" s="23"/>
      <c r="D576" s="6" t="str">
        <f ca="1">IFERROR(__xludf.DUMMYFUNCTION("""COMPUTED_VALUE"""),"PROPIOS")</f>
        <v>PROPIOS</v>
      </c>
      <c r="E576" s="6">
        <f ca="1">IFERROR(__xludf.DUMMYFUNCTION("""COMPUTED_VALUE"""),2026)</f>
        <v>2026</v>
      </c>
      <c r="F576" s="15">
        <f ca="1">IFERROR(__xludf.DUMMYFUNCTION("""COMPUTED_VALUE"""),3)</f>
        <v>3</v>
      </c>
      <c r="G576" s="6" t="str">
        <f ca="1">IFERROR(__xludf.DUMMYFUNCTION("""COMPUTED_VALUE"""),"Getafe")</f>
        <v>Getafe</v>
      </c>
      <c r="H576" s="6" t="str">
        <f ca="1">IFERROR(__xludf.DUMMYFUNCTION("""COMPUTED_VALUE"""),"C20261210121228118")</f>
        <v>C20261210121228118</v>
      </c>
      <c r="I576" s="6" t="str">
        <f ca="1">IFERROR(__xludf.DUMMYFUNCTION("""COMPUTED_VALUE"""),"ANA MARIA FERNANDEZ JIMENEZ")</f>
        <v>ANA MARIA FERNANDEZ JIMENEZ</v>
      </c>
      <c r="J576" s="16">
        <f ca="1">IFERROR(__xludf.DUMMYFUNCTION("""COMPUTED_VALUE"""),46024)</f>
        <v>46024</v>
      </c>
      <c r="K576" s="6" t="str">
        <f ca="1">IFERROR(__xludf.DUMMYFUNCTION("""COMPUTED_VALUE"""),"Pedido")</f>
        <v>Pedido</v>
      </c>
      <c r="L576" s="16">
        <f ca="1">IFERROR(__xludf.DUMMYFUNCTION("""COMPUTED_VALUE"""),46112)</f>
        <v>46112</v>
      </c>
      <c r="M576" s="23" t="str">
        <f ca="1">IFERROR(__xludf.DUMMYFUNCTION("""COMPUTED_VALUE"""),"NO")</f>
        <v>NO</v>
      </c>
      <c r="N576" s="15">
        <f ca="1">IFERROR(__xludf.DUMMYFUNCTION("""COMPUTED_VALUE"""),2)</f>
        <v>2</v>
      </c>
      <c r="O576" s="23" t="str">
        <f ca="1">IFERROR(__xludf.DUMMYFUNCTION("""COMPUTED_VALUE"""),"QUIET")</f>
        <v>QUIET</v>
      </c>
      <c r="P576" s="21">
        <f ca="1">IFERROR(__xludf.DUMMYFUNCTION("""COMPUTED_VALUE"""),2718.19)</f>
        <v>2718.19</v>
      </c>
      <c r="Q576" s="6" t="str">
        <f ca="1">IFERROR(__xludf.DUMMYFUNCTION("""COMPUTED_VALUE"""),"Maika Blázquez")</f>
        <v>Maika Blázquez</v>
      </c>
      <c r="R576" s="6" t="str">
        <f ca="1">IFERROR(__xludf.DUMMYFUNCTION("""COMPUTED_VALUE"""),"No recuerda ORL")</f>
        <v>No recuerda ORL</v>
      </c>
      <c r="S576" s="20" t="str">
        <f ca="1">IFERROR(__xludf.DUMMYFUNCTION("""COMPUTED_VALUE"""),"03 ORL")</f>
        <v>03 ORL</v>
      </c>
      <c r="T576" s="6" t="str">
        <f ca="1">IFERROR(__xludf.DUMMYFUNCTION("""COMPUTED_VALUE"""),"06 ORL")</f>
        <v>06 ORL</v>
      </c>
      <c r="U576" s="21"/>
      <c r="W576" s="20"/>
      <c r="X576" s="21"/>
    </row>
    <row r="577" spans="2:24" ht="16">
      <c r="B577" s="26" t="str">
        <f t="shared" ca="1" si="3"/>
        <v>MBM</v>
      </c>
      <c r="C577" s="23" t="str">
        <f ca="1">IFERROR(__xludf.DUMMYFUNCTION("""COMPUTED_VALUE"""),"MBM200")</f>
        <v>MBM200</v>
      </c>
      <c r="D577" s="6" t="str">
        <f ca="1">IFERROR(__xludf.DUMMYFUNCTION("""COMPUTED_VALUE"""),"PROPIOS")</f>
        <v>PROPIOS</v>
      </c>
      <c r="E577" s="6">
        <f ca="1">IFERROR(__xludf.DUMMYFUNCTION("""COMPUTED_VALUE"""),2026)</f>
        <v>2026</v>
      </c>
      <c r="F577" s="15">
        <f ca="1">IFERROR(__xludf.DUMMYFUNCTION("""COMPUTED_VALUE"""),1)</f>
        <v>1</v>
      </c>
      <c r="G577" s="6" t="str">
        <f ca="1">IFERROR(__xludf.DUMMYFUNCTION("""COMPUTED_VALUE"""),"Getafe")</f>
        <v>Getafe</v>
      </c>
      <c r="H577" s="6" t="str">
        <f ca="1">IFERROR(__xludf.DUMMYFUNCTION("""COMPUTED_VALUE"""),"C202512291134610413")</f>
        <v>C202512291134610413</v>
      </c>
      <c r="I577" s="6" t="str">
        <f ca="1">IFERROR(__xludf.DUMMYFUNCTION("""COMPUTED_VALUE"""),"ANTONIO DURAN DURAN")</f>
        <v>ANTONIO DURAN DURAN</v>
      </c>
      <c r="J577" s="16">
        <f ca="1">IFERROR(__xludf.DUMMYFUNCTION("""COMPUTED_VALUE"""),46020)</f>
        <v>46020</v>
      </c>
      <c r="K577" s="6" t="str">
        <f ca="1">IFERROR(__xludf.DUMMYFUNCTION("""COMPUTED_VALUE"""),"Devuelve")</f>
        <v>Devuelve</v>
      </c>
      <c r="L577" s="16">
        <f ca="1">IFERROR(__xludf.DUMMYFUNCTION("""COMPUTED_VALUE"""),46049)</f>
        <v>46049</v>
      </c>
      <c r="M577" s="23" t="str">
        <f ca="1">IFERROR(__xludf.DUMMYFUNCTION("""COMPUTED_VALUE"""),"NO")</f>
        <v>NO</v>
      </c>
      <c r="N577" s="15">
        <f ca="1">IFERROR(__xludf.DUMMYFUNCTION("""COMPUTED_VALUE"""),2)</f>
        <v>2</v>
      </c>
      <c r="O577" s="23" t="str">
        <f ca="1">IFERROR(__xludf.DUMMYFUNCTION("""COMPUTED_VALUE"""),"TRIAL")</f>
        <v>TRIAL</v>
      </c>
      <c r="P577" s="21">
        <f ca="1">IFERROR(__xludf.DUMMYFUNCTION("""COMPUTED_VALUE"""),3631.81)</f>
        <v>3631.81</v>
      </c>
      <c r="Q577" s="6" t="str">
        <f ca="1">IFERROR(__xludf.DUMMYFUNCTION("""COMPUTED_VALUE"""),"Maika Blázquez")</f>
        <v>Maika Blázquez</v>
      </c>
      <c r="R577" s="6" t="str">
        <f ca="1">IFERROR(__xludf.DUMMYFUNCTION("""COMPUTED_VALUE"""),"Marta Chaurre Cordero")</f>
        <v>Marta Chaurre Cordero</v>
      </c>
      <c r="S577" s="20" t="str">
        <f ca="1">IFERROR(__xludf.DUMMYFUNCTION("""COMPUTED_VALUE"""),"03 ORL")</f>
        <v>03 ORL</v>
      </c>
      <c r="T577" s="6" t="str">
        <f ca="1">IFERROR(__xludf.DUMMYFUNCTION("""COMPUTED_VALUE"""),"06 ORL")</f>
        <v>06 ORL</v>
      </c>
      <c r="U577" s="21"/>
      <c r="W577" s="20"/>
      <c r="X577" s="21"/>
    </row>
    <row r="578" spans="2:24" ht="16">
      <c r="B578" s="26" t="str">
        <f t="shared" ca="1" si="3"/>
        <v>MBM</v>
      </c>
      <c r="C578" s="23" t="str">
        <f ca="1">IFERROR(__xludf.DUMMYFUNCTION("""COMPUTED_VALUE"""),"MBM223")</f>
        <v>MBM223</v>
      </c>
      <c r="D578" s="6" t="str">
        <f ca="1">IFERROR(__xludf.DUMMYFUNCTION("""COMPUTED_VALUE"""),"PROPIOS")</f>
        <v>PROPIOS</v>
      </c>
      <c r="E578" s="6">
        <f ca="1">IFERROR(__xludf.DUMMYFUNCTION("""COMPUTED_VALUE"""),2026)</f>
        <v>2026</v>
      </c>
      <c r="F578" s="15">
        <f ca="1">IFERROR(__xludf.DUMMYFUNCTION("""COMPUTED_VALUE"""),3)</f>
        <v>3</v>
      </c>
      <c r="G578" s="6" t="str">
        <f ca="1">IFERROR(__xludf.DUMMYFUNCTION("""COMPUTED_VALUE"""),"Getafe")</f>
        <v>Getafe</v>
      </c>
      <c r="H578" s="6" t="str">
        <f ca="1">IFERROR(__xludf.DUMMYFUNCTION("""COMPUTED_VALUE"""),"C20262294225444400")</f>
        <v>C20262294225444400</v>
      </c>
      <c r="I578" s="6" t="str">
        <f ca="1">IFERROR(__xludf.DUMMYFUNCTION("""COMPUTED_VALUE"""),"CLARA FERREIRO CARBALLEIRA")</f>
        <v>CLARA FERREIRO CARBALLEIRA</v>
      </c>
      <c r="J578" s="16">
        <f ca="1">IFERROR(__xludf.DUMMYFUNCTION("""COMPUTED_VALUE"""),46055)</f>
        <v>46055</v>
      </c>
      <c r="K578" s="6" t="str">
        <f ca="1">IFERROR(__xludf.DUMMYFUNCTION("""COMPUTED_VALUE"""),"Presupuesto")</f>
        <v>Presupuesto</v>
      </c>
      <c r="L578" s="16">
        <f ca="1">IFERROR(__xludf.DUMMYFUNCTION("""COMPUTED_VALUE"""),46084)</f>
        <v>46084</v>
      </c>
      <c r="M578" s="23" t="str">
        <f ca="1">IFERROR(__xludf.DUMMYFUNCTION("""COMPUTED_VALUE"""),"NO")</f>
        <v>NO</v>
      </c>
      <c r="N578" s="15">
        <f ca="1">IFERROR(__xludf.DUMMYFUNCTION("""COMPUTED_VALUE"""),2)</f>
        <v>2</v>
      </c>
      <c r="O578" s="23" t="str">
        <f ca="1">IFERROR(__xludf.DUMMYFUNCTION("""COMPUTED_VALUE"""),"QUIET")</f>
        <v>QUIET</v>
      </c>
      <c r="P578" s="21">
        <f ca="1">IFERROR(__xludf.DUMMYFUNCTION("""COMPUTED_VALUE"""),2718.18)</f>
        <v>2718.18</v>
      </c>
      <c r="Q578" s="6" t="str">
        <f ca="1">IFERROR(__xludf.DUMMYFUNCTION("""COMPUTED_VALUE"""),"Maika Blázquez")</f>
        <v>Maika Blázquez</v>
      </c>
      <c r="R578" s="6" t="str">
        <f ca="1">IFERROR(__xludf.DUMMYFUNCTION("""COMPUTED_VALUE"""),"Cristina Vaduva")</f>
        <v>Cristina Vaduva</v>
      </c>
      <c r="S578" s="20" t="str">
        <f ca="1">IFERROR(__xludf.DUMMYFUNCTION("""COMPUTED_VALUE"""),"03 ORL")</f>
        <v>03 ORL</v>
      </c>
      <c r="T578" s="6" t="str">
        <f ca="1">IFERROR(__xludf.DUMMYFUNCTION("""COMPUTED_VALUE"""),"06 ORL")</f>
        <v>06 ORL</v>
      </c>
      <c r="U578" s="21"/>
      <c r="W578" s="20"/>
      <c r="X578" s="21"/>
    </row>
    <row r="579" spans="2:24" ht="16">
      <c r="B579" s="26" t="str">
        <f t="shared" ca="1" si="3"/>
        <v/>
      </c>
      <c r="C579" s="23"/>
      <c r="D579" s="6" t="str">
        <f ca="1">IFERROR(__xludf.DUMMYFUNCTION("""COMPUTED_VALUE"""),"PROPIOS")</f>
        <v>PROPIOS</v>
      </c>
      <c r="E579" s="6">
        <f ca="1">IFERROR(__xludf.DUMMYFUNCTION("""COMPUTED_VALUE"""),2026)</f>
        <v>2026</v>
      </c>
      <c r="F579" s="15">
        <f ca="1">IFERROR(__xludf.DUMMYFUNCTION("""COMPUTED_VALUE"""),3)</f>
        <v>3</v>
      </c>
      <c r="G579" s="6" t="str">
        <f ca="1">IFERROR(__xludf.DUMMYFUNCTION("""COMPUTED_VALUE"""),"Getafe")</f>
        <v>Getafe</v>
      </c>
      <c r="H579" s="6" t="str">
        <f ca="1">IFERROR(__xludf.DUMMYFUNCTION("""COMPUTED_VALUE"""),"C202631016224582244")</f>
        <v>C202631016224582244</v>
      </c>
      <c r="I579" s="6" t="str">
        <f ca="1">IFERROR(__xludf.DUMMYFUNCTION("""COMPUTED_VALUE"""),"FELIX PEREZ GORDO")</f>
        <v>FELIX PEREZ GORDO</v>
      </c>
      <c r="J579" s="16">
        <f ca="1">IFERROR(__xludf.DUMMYFUNCTION("""COMPUTED_VALUE"""),46091)</f>
        <v>46091</v>
      </c>
      <c r="K579" s="6" t="str">
        <f ca="1">IFERROR(__xludf.DUMMYFUNCTION("""COMPUTED_VALUE"""),"Presupuesto")</f>
        <v>Presupuesto</v>
      </c>
      <c r="L579" s="16">
        <f ca="1">IFERROR(__xludf.DUMMYFUNCTION("""COMPUTED_VALUE"""),46101)</f>
        <v>46101</v>
      </c>
      <c r="M579" s="23" t="str">
        <f ca="1">IFERROR(__xludf.DUMMYFUNCTION("""COMPUTED_VALUE"""),"NO")</f>
        <v>NO</v>
      </c>
      <c r="N579" s="15">
        <f ca="1">IFERROR(__xludf.DUMMYFUNCTION("""COMPUTED_VALUE"""),2)</f>
        <v>2</v>
      </c>
      <c r="O579" s="23" t="str">
        <f ca="1">IFERROR(__xludf.DUMMYFUNCTION("""COMPUTED_VALUE"""),"QUIET")</f>
        <v>QUIET</v>
      </c>
      <c r="P579" s="21">
        <f ca="1">IFERROR(__xludf.DUMMYFUNCTION("""COMPUTED_VALUE"""),2718.18)</f>
        <v>2718.18</v>
      </c>
      <c r="Q579" s="6" t="str">
        <f ca="1">IFERROR(__xludf.DUMMYFUNCTION("""COMPUTED_VALUE"""),"Maika Blázquez")</f>
        <v>Maika Blázquez</v>
      </c>
      <c r="R579" s="6" t="str">
        <f ca="1">IFERROR(__xludf.DUMMYFUNCTION("""COMPUTED_VALUE"""),"No recuerda ORL")</f>
        <v>No recuerda ORL</v>
      </c>
      <c r="S579" s="20" t="str">
        <f ca="1">IFERROR(__xludf.DUMMYFUNCTION("""COMPUTED_VALUE"""),"03 ORL")</f>
        <v>03 ORL</v>
      </c>
      <c r="T579" s="6" t="str">
        <f ca="1">IFERROR(__xludf.DUMMYFUNCTION("""COMPUTED_VALUE"""),"06 ORL")</f>
        <v>06 ORL</v>
      </c>
      <c r="U579" s="21"/>
      <c r="W579" s="20"/>
      <c r="X579" s="21"/>
    </row>
    <row r="580" spans="2:24" ht="16">
      <c r="B580" s="26" t="str">
        <f t="shared" ca="1" si="3"/>
        <v>MBM</v>
      </c>
      <c r="C580" s="23" t="str">
        <f ca="1">IFERROR(__xludf.DUMMYFUNCTION("""COMPUTED_VALUE"""),"MBM88")</f>
        <v>MBM88</v>
      </c>
      <c r="D580" s="6" t="str">
        <f ca="1">IFERROR(__xludf.DUMMYFUNCTION("""COMPUTED_VALUE"""),"PROPIOS")</f>
        <v>PROPIOS</v>
      </c>
      <c r="E580" s="6">
        <f ca="1">IFERROR(__xludf.DUMMYFUNCTION("""COMPUTED_VALUE"""),2026)</f>
        <v>2026</v>
      </c>
      <c r="F580" s="15">
        <f ca="1">IFERROR(__xludf.DUMMYFUNCTION("""COMPUTED_VALUE"""),2)</f>
        <v>2</v>
      </c>
      <c r="G580" s="6" t="str">
        <f ca="1">IFERROR(__xludf.DUMMYFUNCTION("""COMPUTED_VALUE"""),"Getafe")</f>
        <v>Getafe</v>
      </c>
      <c r="H580" s="6" t="str">
        <f ca="1">IFERROR(__xludf.DUMMYFUNCTION("""COMPUTED_VALUE"""),"C20261299838642977")</f>
        <v>C20261299838642977</v>
      </c>
      <c r="I580" s="6" t="str">
        <f ca="1">IFERROR(__xludf.DUMMYFUNCTION("""COMPUTED_VALUE"""),"FRANCISCA GOMEZ DEL PULGAR ABAZ")</f>
        <v>FRANCISCA GOMEZ DEL PULGAR ABAZ</v>
      </c>
      <c r="J580" s="16">
        <f ca="1">IFERROR(__xludf.DUMMYFUNCTION("""COMPUTED_VALUE"""),46051)</f>
        <v>46051</v>
      </c>
      <c r="K580" s="6" t="str">
        <f ca="1">IFERROR(__xludf.DUMMYFUNCTION("""COMPUTED_VALUE"""),"Prueba")</f>
        <v>Prueba</v>
      </c>
      <c r="L580" s="16">
        <f ca="1">IFERROR(__xludf.DUMMYFUNCTION("""COMPUTED_VALUE"""),46063)</f>
        <v>46063</v>
      </c>
      <c r="M580" s="23" t="str">
        <f ca="1">IFERROR(__xludf.DUMMYFUNCTION("""COMPUTED_VALUE"""),"NO")</f>
        <v>NO</v>
      </c>
      <c r="N580" s="15">
        <f ca="1">IFERROR(__xludf.DUMMYFUNCTION("""COMPUTED_VALUE"""),2)</f>
        <v>2</v>
      </c>
      <c r="O580" s="23" t="str">
        <f ca="1">IFERROR(__xludf.DUMMYFUNCTION("""COMPUTED_VALUE"""),"QUIET")</f>
        <v>QUIET</v>
      </c>
      <c r="P580" s="21">
        <f ca="1">IFERROR(__xludf.DUMMYFUNCTION("""COMPUTED_VALUE"""),2172.73)</f>
        <v>2172.73</v>
      </c>
      <c r="Q580" s="6" t="str">
        <f ca="1">IFERROR(__xludf.DUMMYFUNCTION("""COMPUTED_VALUE"""),"Maika Blázquez")</f>
        <v>Maika Blázquez</v>
      </c>
      <c r="R580" s="6" t="str">
        <f ca="1">IFERROR(__xludf.DUMMYFUNCTION("""COMPUTED_VALUE"""),"Alba Domínguez Palos")</f>
        <v>Alba Domínguez Palos</v>
      </c>
      <c r="S580" s="20" t="str">
        <f ca="1">IFERROR(__xludf.DUMMYFUNCTION("""COMPUTED_VALUE"""),"03 ORL")</f>
        <v>03 ORL</v>
      </c>
      <c r="T580" s="6" t="str">
        <f ca="1">IFERROR(__xludf.DUMMYFUNCTION("""COMPUTED_VALUE"""),"06 ORL")</f>
        <v>06 ORL</v>
      </c>
      <c r="U580" s="21"/>
      <c r="W580" s="20"/>
      <c r="X580" s="21"/>
    </row>
    <row r="581" spans="2:24" ht="16">
      <c r="B581" s="26" t="str">
        <f t="shared" ca="1" si="3"/>
        <v/>
      </c>
      <c r="C581" s="23"/>
      <c r="D581" s="6" t="str">
        <f ca="1">IFERROR(__xludf.DUMMYFUNCTION("""COMPUTED_VALUE"""),"PROPIOS")</f>
        <v>PROPIOS</v>
      </c>
      <c r="E581" s="6">
        <f ca="1">IFERROR(__xludf.DUMMYFUNCTION("""COMPUTED_VALUE"""),2026)</f>
        <v>2026</v>
      </c>
      <c r="F581" s="15">
        <f ca="1">IFERROR(__xludf.DUMMYFUNCTION("""COMPUTED_VALUE"""),3)</f>
        <v>3</v>
      </c>
      <c r="G581" s="6" t="str">
        <f ca="1">IFERROR(__xludf.DUMMYFUNCTION("""COMPUTED_VALUE"""),"Getafe")</f>
        <v>Getafe</v>
      </c>
      <c r="H581" s="6" t="str">
        <f ca="1">IFERROR(__xludf.DUMMYFUNCTION("""COMPUTED_VALUE"""),"C20255169139191")</f>
        <v>C20255169139191</v>
      </c>
      <c r="I581" s="6" t="str">
        <f ca="1">IFERROR(__xludf.DUMMYFUNCTION("""COMPUTED_VALUE"""),"FRANCISCO JAVIER SEOANE GONZALEZ")</f>
        <v>FRANCISCO JAVIER SEOANE GONZALEZ</v>
      </c>
      <c r="J581" s="16">
        <f ca="1">IFERROR(__xludf.DUMMYFUNCTION("""COMPUTED_VALUE"""),45757)</f>
        <v>45757</v>
      </c>
      <c r="K581" s="6" t="str">
        <f ca="1">IFERROR(__xludf.DUMMYFUNCTION("""COMPUTED_VALUE"""),"Prueba")</f>
        <v>Prueba</v>
      </c>
      <c r="L581" s="16">
        <f ca="1">IFERROR(__xludf.DUMMYFUNCTION("""COMPUTED_VALUE"""),46097)</f>
        <v>46097</v>
      </c>
      <c r="M581" s="23" t="str">
        <f ca="1">IFERROR(__xludf.DUMMYFUNCTION("""COMPUTED_VALUE"""),"NO")</f>
        <v>NO</v>
      </c>
      <c r="N581" s="15">
        <f ca="1">IFERROR(__xludf.DUMMYFUNCTION("""COMPUTED_VALUE"""),2)</f>
        <v>2</v>
      </c>
      <c r="O581" s="23" t="str">
        <f ca="1">IFERROR(__xludf.DUMMYFUNCTION("""COMPUTED_VALUE"""),"QUIET")</f>
        <v>QUIET</v>
      </c>
      <c r="P581" s="21">
        <f ca="1">IFERROR(__xludf.DUMMYFUNCTION("""COMPUTED_VALUE"""),2718.18)</f>
        <v>2718.18</v>
      </c>
      <c r="Q581" s="6" t="str">
        <f ca="1">IFERROR(__xludf.DUMMYFUNCTION("""COMPUTED_VALUE"""),"Maika Blázquez")</f>
        <v>Maika Blázquez</v>
      </c>
      <c r="R581" s="6" t="str">
        <f ca="1">IFERROR(__xludf.DUMMYFUNCTION("""COMPUTED_VALUE"""),"No recuerda ORL")</f>
        <v>No recuerda ORL</v>
      </c>
      <c r="S581" s="20" t="str">
        <f ca="1">IFERROR(__xludf.DUMMYFUNCTION("""COMPUTED_VALUE"""),"03 ORL")</f>
        <v>03 ORL</v>
      </c>
      <c r="T581" s="6" t="str">
        <f ca="1">IFERROR(__xludf.DUMMYFUNCTION("""COMPUTED_VALUE"""),"06 ORL")</f>
        <v>06 ORL</v>
      </c>
      <c r="U581" s="21"/>
      <c r="W581" s="21"/>
      <c r="X581" s="21"/>
    </row>
    <row r="582" spans="2:24" ht="16">
      <c r="B582" s="26" t="str">
        <f t="shared" ca="1" si="3"/>
        <v>MBM</v>
      </c>
      <c r="C582" s="23" t="str">
        <f ca="1">IFERROR(__xludf.DUMMYFUNCTION("""COMPUTED_VALUE"""),"MBM11")</f>
        <v>MBM11</v>
      </c>
      <c r="D582" s="6" t="str">
        <f ca="1">IFERROR(__xludf.DUMMYFUNCTION("""COMPUTED_VALUE"""),"PROPIOS")</f>
        <v>PROPIOS</v>
      </c>
      <c r="E582" s="6">
        <f ca="1">IFERROR(__xludf.DUMMYFUNCTION("""COMPUTED_VALUE"""),2026)</f>
        <v>2026</v>
      </c>
      <c r="F582" s="15">
        <f ca="1">IFERROR(__xludf.DUMMYFUNCTION("""COMPUTED_VALUE"""),2)</f>
        <v>2</v>
      </c>
      <c r="G582" s="6" t="str">
        <f ca="1">IFERROR(__xludf.DUMMYFUNCTION("""COMPUTED_VALUE"""),"Getafe")</f>
        <v>Getafe</v>
      </c>
      <c r="H582" s="6" t="str">
        <f ca="1">IFERROR(__xludf.DUMMYFUNCTION("""COMPUTED_VALUE"""),"C202624163226279177")</f>
        <v>C202624163226279177</v>
      </c>
      <c r="I582" s="6" t="str">
        <f ca="1">IFERROR(__xludf.DUMMYFUNCTION("""COMPUTED_VALUE"""),"FRANCISCO SANROMAN SOLIS")</f>
        <v>FRANCISCO SANROMAN SOLIS</v>
      </c>
      <c r="J582" s="16">
        <f ca="1">IFERROR(__xludf.DUMMYFUNCTION("""COMPUTED_VALUE"""),46057)</f>
        <v>46057</v>
      </c>
      <c r="K582" s="6" t="str">
        <f ca="1">IFERROR(__xludf.DUMMYFUNCTION("""COMPUTED_VALUE"""),"Presupuesto")</f>
        <v>Presupuesto</v>
      </c>
      <c r="L582" s="16">
        <f ca="1">IFERROR(__xludf.DUMMYFUNCTION("""COMPUTED_VALUE"""),46071)</f>
        <v>46071</v>
      </c>
      <c r="M582" s="23" t="str">
        <f ca="1">IFERROR(__xludf.DUMMYFUNCTION("""COMPUTED_VALUE"""),"NO")</f>
        <v>NO</v>
      </c>
      <c r="N582" s="15">
        <f ca="1">IFERROR(__xludf.DUMMYFUNCTION("""COMPUTED_VALUE"""),2)</f>
        <v>2</v>
      </c>
      <c r="O582" s="23" t="str">
        <f ca="1">IFERROR(__xludf.DUMMYFUNCTION("""COMPUTED_VALUE"""),"QUIET")</f>
        <v>QUIET</v>
      </c>
      <c r="P582" s="21">
        <f ca="1">IFERROR(__xludf.DUMMYFUNCTION("""COMPUTED_VALUE"""),2718.18)</f>
        <v>2718.18</v>
      </c>
      <c r="Q582" s="6" t="str">
        <f ca="1">IFERROR(__xludf.DUMMYFUNCTION("""COMPUTED_VALUE"""),"Maika Blázquez")</f>
        <v>Maika Blázquez</v>
      </c>
      <c r="R582" s="6" t="str">
        <f ca="1">IFERROR(__xludf.DUMMYFUNCTION("""COMPUTED_VALUE"""),"Antonio Rodríguez Rivero")</f>
        <v>Antonio Rodríguez Rivero</v>
      </c>
      <c r="S582" s="20" t="str">
        <f ca="1">IFERROR(__xludf.DUMMYFUNCTION("""COMPUTED_VALUE"""),"03 ORL")</f>
        <v>03 ORL</v>
      </c>
      <c r="T582" s="6" t="str">
        <f ca="1">IFERROR(__xludf.DUMMYFUNCTION("""COMPUTED_VALUE"""),"06 ORL")</f>
        <v>06 ORL</v>
      </c>
      <c r="U582" s="21"/>
      <c r="W582" s="20"/>
      <c r="X582" s="21"/>
    </row>
    <row r="583" spans="2:24" ht="16">
      <c r="B583" s="26" t="str">
        <f t="shared" ca="1" si="3"/>
        <v>MBM</v>
      </c>
      <c r="C583" s="23" t="str">
        <f ca="1">IFERROR(__xludf.DUMMYFUNCTION("""COMPUTED_VALUE"""),"MBM16")</f>
        <v>MBM16</v>
      </c>
      <c r="D583" s="6" t="str">
        <f ca="1">IFERROR(__xludf.DUMMYFUNCTION("""COMPUTED_VALUE"""),"PROPIOS")</f>
        <v>PROPIOS</v>
      </c>
      <c r="E583" s="6">
        <f ca="1">IFERROR(__xludf.DUMMYFUNCTION("""COMPUTED_VALUE"""),2026)</f>
        <v>2026</v>
      </c>
      <c r="F583" s="15">
        <f ca="1">IFERROR(__xludf.DUMMYFUNCTION("""COMPUTED_VALUE"""),3)</f>
        <v>3</v>
      </c>
      <c r="G583" s="6" t="str">
        <f ca="1">IFERROR(__xludf.DUMMYFUNCTION("""COMPUTED_VALUE"""),"Getafe")</f>
        <v>Getafe</v>
      </c>
      <c r="H583" s="6" t="str">
        <f ca="1">IFERROR(__xludf.DUMMYFUNCTION("""COMPUTED_VALUE"""),"C20262312495116318")</f>
        <v>C20262312495116318</v>
      </c>
      <c r="I583" s="6" t="str">
        <f ca="1">IFERROR(__xludf.DUMMYFUNCTION("""COMPUTED_VALUE"""),"JESUS TOLEDO GOMEZ")</f>
        <v>JESUS TOLEDO GOMEZ</v>
      </c>
      <c r="J583" s="16">
        <f ca="1">IFERROR(__xludf.DUMMYFUNCTION("""COMPUTED_VALUE"""),46056)</f>
        <v>46056</v>
      </c>
      <c r="K583" s="6" t="str">
        <f ca="1">IFERROR(__xludf.DUMMYFUNCTION("""COMPUTED_VALUE"""),"Prueba")</f>
        <v>Prueba</v>
      </c>
      <c r="L583" s="16">
        <f ca="1">IFERROR(__xludf.DUMMYFUNCTION("""COMPUTED_VALUE"""),46112)</f>
        <v>46112</v>
      </c>
      <c r="M583" s="23" t="str">
        <f ca="1">IFERROR(__xludf.DUMMYFUNCTION("""COMPUTED_VALUE"""),"NO")</f>
        <v>NO</v>
      </c>
      <c r="N583" s="15">
        <f ca="1">IFERROR(__xludf.DUMMYFUNCTION("""COMPUTED_VALUE"""),2)</f>
        <v>2</v>
      </c>
      <c r="O583" s="23" t="str">
        <f ca="1">IFERROR(__xludf.DUMMYFUNCTION("""COMPUTED_VALUE"""),"TRIAL")</f>
        <v>TRIAL</v>
      </c>
      <c r="P583" s="21">
        <f ca="1">IFERROR(__xludf.DUMMYFUNCTION("""COMPUTED_VALUE"""),4136.36)</f>
        <v>4136.3599999999997</v>
      </c>
      <c r="Q583" s="6" t="str">
        <f ca="1">IFERROR(__xludf.DUMMYFUNCTION("""COMPUTED_VALUE"""),"Maika Blázquez")</f>
        <v>Maika Blázquez</v>
      </c>
      <c r="R583" s="6" t="str">
        <f ca="1">IFERROR(__xludf.DUMMYFUNCTION("""COMPUTED_VALUE"""),"Daniel Moreno Jimenez")</f>
        <v>Daniel Moreno Jimenez</v>
      </c>
      <c r="S583" s="20" t="str">
        <f ca="1">IFERROR(__xludf.DUMMYFUNCTION("""COMPUTED_VALUE"""),"01 MARKETING ON LINE")</f>
        <v>01 MARKETING ON LINE</v>
      </c>
      <c r="T583" s="6" t="str">
        <f ca="1">IFERROR(__xludf.DUMMYFUNCTION("""COMPUTED_VALUE"""),"01 WEB AUDICOST")</f>
        <v>01 WEB AUDICOST</v>
      </c>
      <c r="U583" s="21"/>
      <c r="W583" s="20"/>
      <c r="X583" s="21"/>
    </row>
    <row r="584" spans="2:24" ht="16">
      <c r="B584" s="26" t="str">
        <f t="shared" ca="1" si="3"/>
        <v>MBM</v>
      </c>
      <c r="C584" s="23" t="str">
        <f ca="1">IFERROR(__xludf.DUMMYFUNCTION("""COMPUTED_VALUE"""),"MBM15")</f>
        <v>MBM15</v>
      </c>
      <c r="D584" s="6" t="str">
        <f ca="1">IFERROR(__xludf.DUMMYFUNCTION("""COMPUTED_VALUE"""),"PROPIOS")</f>
        <v>PROPIOS</v>
      </c>
      <c r="E584" s="6">
        <f ca="1">IFERROR(__xludf.DUMMYFUNCTION("""COMPUTED_VALUE"""),2026)</f>
        <v>2026</v>
      </c>
      <c r="F584" s="15">
        <f ca="1">IFERROR(__xludf.DUMMYFUNCTION("""COMPUTED_VALUE"""),3)</f>
        <v>3</v>
      </c>
      <c r="G584" s="6" t="str">
        <f ca="1">IFERROR(__xludf.DUMMYFUNCTION("""COMPUTED_VALUE"""),"Getafe")</f>
        <v>Getafe</v>
      </c>
      <c r="H584" s="6" t="str">
        <f ca="1">IFERROR(__xludf.DUMMYFUNCTION("""COMPUTED_VALUE"""),"C202622415555609543")</f>
        <v>C202622415555609543</v>
      </c>
      <c r="I584" s="6" t="str">
        <f ca="1">IFERROR(__xludf.DUMMYFUNCTION("""COMPUTED_VALUE"""),"JOSE FRANCISCO SANCHEZ GARCIA")</f>
        <v>JOSE FRANCISCO SANCHEZ GARCIA</v>
      </c>
      <c r="J584" s="16">
        <f ca="1">IFERROR(__xludf.DUMMYFUNCTION("""COMPUTED_VALUE"""),46077)</f>
        <v>46077</v>
      </c>
      <c r="K584" s="6" t="str">
        <f ca="1">IFERROR(__xludf.DUMMYFUNCTION("""COMPUTED_VALUE"""),"Prueba")</f>
        <v>Prueba</v>
      </c>
      <c r="L584" s="16">
        <f ca="1">IFERROR(__xludf.DUMMYFUNCTION("""COMPUTED_VALUE"""),46106)</f>
        <v>46106</v>
      </c>
      <c r="M584" s="23" t="str">
        <f ca="1">IFERROR(__xludf.DUMMYFUNCTION("""COMPUTED_VALUE"""),"NO")</f>
        <v>NO</v>
      </c>
      <c r="N584" s="15">
        <f ca="1">IFERROR(__xludf.DUMMYFUNCTION("""COMPUTED_VALUE"""),2)</f>
        <v>2</v>
      </c>
      <c r="O584" s="23" t="str">
        <f ca="1">IFERROR(__xludf.DUMMYFUNCTION("""COMPUTED_VALUE"""),"QUIET")</f>
        <v>QUIET</v>
      </c>
      <c r="P584" s="21">
        <f ca="1">IFERROR(__xludf.DUMMYFUNCTION("""COMPUTED_VALUE"""),2718.18)</f>
        <v>2718.18</v>
      </c>
      <c r="Q584" s="6" t="str">
        <f ca="1">IFERROR(__xludf.DUMMYFUNCTION("""COMPUTED_VALUE"""),"Maika Blázquez")</f>
        <v>Maika Blázquez</v>
      </c>
      <c r="R584" s="6" t="str">
        <f ca="1">IFERROR(__xludf.DUMMYFUNCTION("""COMPUTED_VALUE"""),"César Charles Martínez")</f>
        <v>César Charles Martínez</v>
      </c>
      <c r="S584" s="20" t="str">
        <f ca="1">IFERROR(__xludf.DUMMYFUNCTION("""COMPUTED_VALUE"""),"03 ORL")</f>
        <v>03 ORL</v>
      </c>
      <c r="T584" s="6" t="str">
        <f ca="1">IFERROR(__xludf.DUMMYFUNCTION("""COMPUTED_VALUE"""),"06 ORL")</f>
        <v>06 ORL</v>
      </c>
      <c r="U584" s="21"/>
      <c r="W584" s="20"/>
      <c r="X584" s="21"/>
    </row>
    <row r="585" spans="2:24" ht="16">
      <c r="B585" s="26" t="str">
        <f t="shared" ca="1" si="3"/>
        <v>MBM</v>
      </c>
      <c r="C585" s="23" t="str">
        <f ca="1">IFERROR(__xludf.DUMMYFUNCTION("""COMPUTED_VALUE"""),"MBM156")</f>
        <v>MBM156</v>
      </c>
      <c r="D585" s="6" t="str">
        <f ca="1">IFERROR(__xludf.DUMMYFUNCTION("""COMPUTED_VALUE"""),"PROPIOS")</f>
        <v>PROPIOS</v>
      </c>
      <c r="E585" s="6">
        <f ca="1">IFERROR(__xludf.DUMMYFUNCTION("""COMPUTED_VALUE"""),2026)</f>
        <v>2026</v>
      </c>
      <c r="F585" s="15">
        <f ca="1">IFERROR(__xludf.DUMMYFUNCTION("""COMPUTED_VALUE"""),2)</f>
        <v>2</v>
      </c>
      <c r="G585" s="6" t="str">
        <f ca="1">IFERROR(__xludf.DUMMYFUNCTION("""COMPUTED_VALUE"""),"Getafe")</f>
        <v>Getafe</v>
      </c>
      <c r="H585" s="6" t="str">
        <f ca="1">IFERROR(__xludf.DUMMYFUNCTION("""COMPUTED_VALUE"""),"C202621017195383822")</f>
        <v>C202621017195383822</v>
      </c>
      <c r="I585" s="6" t="str">
        <f ca="1">IFERROR(__xludf.DUMMYFUNCTION("""COMPUTED_VALUE"""),"LUCIO ANTONIO FULGENCIO MARTINEZ")</f>
        <v>LUCIO ANTONIO FULGENCIO MARTINEZ</v>
      </c>
      <c r="J585" s="16">
        <f ca="1">IFERROR(__xludf.DUMMYFUNCTION("""COMPUTED_VALUE"""),46063)</f>
        <v>46063</v>
      </c>
      <c r="K585" s="6" t="str">
        <f ca="1">IFERROR(__xludf.DUMMYFUNCTION("""COMPUTED_VALUE"""),"Devuelve")</f>
        <v>Devuelve</v>
      </c>
      <c r="L585" s="16">
        <f ca="1">IFERROR(__xludf.DUMMYFUNCTION("""COMPUTED_VALUE"""),46076)</f>
        <v>46076</v>
      </c>
      <c r="M585" s="23" t="str">
        <f ca="1">IFERROR(__xludf.DUMMYFUNCTION("""COMPUTED_VALUE"""),"NO")</f>
        <v>NO</v>
      </c>
      <c r="N585" s="15">
        <f ca="1">IFERROR(__xludf.DUMMYFUNCTION("""COMPUTED_VALUE"""),2)</f>
        <v>2</v>
      </c>
      <c r="O585" s="23" t="str">
        <f ca="1">IFERROR(__xludf.DUMMYFUNCTION("""COMPUTED_VALUE"""),"QUIET")</f>
        <v>QUIET</v>
      </c>
      <c r="P585" s="21">
        <f ca="1">IFERROR(__xludf.DUMMYFUNCTION("""COMPUTED_VALUE"""),2718.18)</f>
        <v>2718.18</v>
      </c>
      <c r="Q585" s="6" t="str">
        <f ca="1">IFERROR(__xludf.DUMMYFUNCTION("""COMPUTED_VALUE"""),"Maika Blázquez")</f>
        <v>Maika Blázquez</v>
      </c>
      <c r="R585" s="6" t="str">
        <f ca="1">IFERROR(__xludf.DUMMYFUNCTION("""COMPUTED_VALUE"""),"Marta Colmenero Ruiz")</f>
        <v>Marta Colmenero Ruiz</v>
      </c>
      <c r="S585" s="20" t="str">
        <f ca="1">IFERROR(__xludf.DUMMYFUNCTION("""COMPUTED_VALUE"""),"03 ORL")</f>
        <v>03 ORL</v>
      </c>
      <c r="T585" s="6" t="str">
        <f ca="1">IFERROR(__xludf.DUMMYFUNCTION("""COMPUTED_VALUE"""),"06 ORL")</f>
        <v>06 ORL</v>
      </c>
      <c r="U585" s="21"/>
      <c r="W585" s="20"/>
      <c r="X585" s="21"/>
    </row>
    <row r="586" spans="2:24" ht="16">
      <c r="B586" s="26" t="str">
        <f t="shared" ca="1" si="3"/>
        <v>MBM</v>
      </c>
      <c r="C586" s="23" t="str">
        <f ca="1">IFERROR(__xludf.DUMMYFUNCTION("""COMPUTED_VALUE"""),"MBM11")</f>
        <v>MBM11</v>
      </c>
      <c r="D586" s="6" t="str">
        <f ca="1">IFERROR(__xludf.DUMMYFUNCTION("""COMPUTED_VALUE"""),"PROPIOS")</f>
        <v>PROPIOS</v>
      </c>
      <c r="E586" s="6">
        <f ca="1">IFERROR(__xludf.DUMMYFUNCTION("""COMPUTED_VALUE"""),2026)</f>
        <v>2026</v>
      </c>
      <c r="F586" s="15">
        <f ca="1">IFERROR(__xludf.DUMMYFUNCTION("""COMPUTED_VALUE"""),3)</f>
        <v>3</v>
      </c>
      <c r="G586" s="6" t="str">
        <f ca="1">IFERROR(__xludf.DUMMYFUNCTION("""COMPUTED_VALUE"""),"Getafe")</f>
        <v>Getafe</v>
      </c>
      <c r="H586" s="6" t="str">
        <f ca="1">IFERROR(__xludf.DUMMYFUNCTION("""COMPUTED_VALUE"""),"C202622412193617255")</f>
        <v>C202622412193617255</v>
      </c>
      <c r="I586" s="6" t="str">
        <f ca="1">IFERROR(__xludf.DUMMYFUNCTION("""COMPUTED_VALUE"""),"MARCELO GOMEZ AGUADO")</f>
        <v>MARCELO GOMEZ AGUADO</v>
      </c>
      <c r="J586" s="16">
        <f ca="1">IFERROR(__xludf.DUMMYFUNCTION("""COMPUTED_VALUE"""),46077)</f>
        <v>46077</v>
      </c>
      <c r="K586" s="6" t="str">
        <f ca="1">IFERROR(__xludf.DUMMYFUNCTION("""COMPUTED_VALUE"""),"Devuelve")</f>
        <v>Devuelve</v>
      </c>
      <c r="L586" s="16">
        <f ca="1">IFERROR(__xludf.DUMMYFUNCTION("""COMPUTED_VALUE"""),46092)</f>
        <v>46092</v>
      </c>
      <c r="M586" s="23" t="str">
        <f ca="1">IFERROR(__xludf.DUMMYFUNCTION("""COMPUTED_VALUE"""),"NO")</f>
        <v>NO</v>
      </c>
      <c r="N586" s="15">
        <f ca="1">IFERROR(__xludf.DUMMYFUNCTION("""COMPUTED_VALUE"""),2)</f>
        <v>2</v>
      </c>
      <c r="O586" s="23" t="str">
        <f ca="1">IFERROR(__xludf.DUMMYFUNCTION("""COMPUTED_VALUE"""),"QUIET")</f>
        <v>QUIET</v>
      </c>
      <c r="P586" s="21">
        <f ca="1">IFERROR(__xludf.DUMMYFUNCTION("""COMPUTED_VALUE"""),2718.18)</f>
        <v>2718.18</v>
      </c>
      <c r="Q586" s="6" t="str">
        <f ca="1">IFERROR(__xludf.DUMMYFUNCTION("""COMPUTED_VALUE"""),"Maika Blázquez")</f>
        <v>Maika Blázquez</v>
      </c>
      <c r="R586" s="6" t="str">
        <f ca="1">IFERROR(__xludf.DUMMYFUNCTION("""COMPUTED_VALUE"""),"Antonio Rodríguez Rivero")</f>
        <v>Antonio Rodríguez Rivero</v>
      </c>
      <c r="S586" s="20" t="str">
        <f ca="1">IFERROR(__xludf.DUMMYFUNCTION("""COMPUTED_VALUE"""),"03 ORL")</f>
        <v>03 ORL</v>
      </c>
      <c r="T586" s="6" t="str">
        <f ca="1">IFERROR(__xludf.DUMMYFUNCTION("""COMPUTED_VALUE"""),"06 ORL")</f>
        <v>06 ORL</v>
      </c>
      <c r="U586" s="21"/>
      <c r="W586" s="20"/>
      <c r="X586" s="21"/>
    </row>
    <row r="587" spans="2:24" ht="16">
      <c r="B587" s="26" t="str">
        <f t="shared" ca="1" si="3"/>
        <v>MBM</v>
      </c>
      <c r="C587" s="23" t="str">
        <f ca="1">IFERROR(__xludf.DUMMYFUNCTION("""COMPUTED_VALUE"""),"MBM149")</f>
        <v>MBM149</v>
      </c>
      <c r="D587" s="6" t="str">
        <f ca="1">IFERROR(__xludf.DUMMYFUNCTION("""COMPUTED_VALUE"""),"PROPIOS")</f>
        <v>PROPIOS</v>
      </c>
      <c r="E587" s="6">
        <f ca="1">IFERROR(__xludf.DUMMYFUNCTION("""COMPUTED_VALUE"""),2026)</f>
        <v>2026</v>
      </c>
      <c r="F587" s="15">
        <f ca="1">IFERROR(__xludf.DUMMYFUNCTION("""COMPUTED_VALUE"""),3)</f>
        <v>3</v>
      </c>
      <c r="G587" s="6" t="str">
        <f ca="1">IFERROR(__xludf.DUMMYFUNCTION("""COMPUTED_VALUE"""),"Getafe")</f>
        <v>Getafe</v>
      </c>
      <c r="H587" s="6" t="str">
        <f ca="1">IFERROR(__xludf.DUMMYFUNCTION("""COMPUTED_VALUE"""),"C20263517241965046")</f>
        <v>C20263517241965046</v>
      </c>
      <c r="I587" s="6" t="str">
        <f ca="1">IFERROR(__xludf.DUMMYFUNCTION("""COMPUTED_VALUE"""),"MARIA DEL MAR ALVAREZ VELASCO")</f>
        <v>MARIA DEL MAR ALVAREZ VELASCO</v>
      </c>
      <c r="J587" s="16">
        <f ca="1">IFERROR(__xludf.DUMMYFUNCTION("""COMPUTED_VALUE"""),46086)</f>
        <v>46086</v>
      </c>
      <c r="K587" s="6" t="str">
        <f ca="1">IFERROR(__xludf.DUMMYFUNCTION("""COMPUTED_VALUE"""),"Prueba")</f>
        <v>Prueba</v>
      </c>
      <c r="L587" s="16">
        <f ca="1">IFERROR(__xludf.DUMMYFUNCTION("""COMPUTED_VALUE"""),46111)</f>
        <v>46111</v>
      </c>
      <c r="M587" s="23" t="str">
        <f ca="1">IFERROR(__xludf.DUMMYFUNCTION("""COMPUTED_VALUE"""),"NO")</f>
        <v>NO</v>
      </c>
      <c r="N587" s="15">
        <f ca="1">IFERROR(__xludf.DUMMYFUNCTION("""COMPUTED_VALUE"""),2)</f>
        <v>2</v>
      </c>
      <c r="O587" s="23" t="str">
        <f ca="1">IFERROR(__xludf.DUMMYFUNCTION("""COMPUTED_VALUE"""),"QUIET")</f>
        <v>QUIET</v>
      </c>
      <c r="P587" s="21">
        <f ca="1">IFERROR(__xludf.DUMMYFUNCTION("""COMPUTED_VALUE"""),2718.18)</f>
        <v>2718.18</v>
      </c>
      <c r="Q587" s="6" t="str">
        <f ca="1">IFERROR(__xludf.DUMMYFUNCTION("""COMPUTED_VALUE"""),"Maika Blázquez")</f>
        <v>Maika Blázquez</v>
      </c>
      <c r="R587" s="6" t="str">
        <f ca="1">IFERROR(__xludf.DUMMYFUNCTION("""COMPUTED_VALUE"""),"María Garrote Garrote")</f>
        <v>María Garrote Garrote</v>
      </c>
      <c r="S587" s="20" t="str">
        <f ca="1">IFERROR(__xludf.DUMMYFUNCTION("""COMPUTED_VALUE"""),"03 ORL")</f>
        <v>03 ORL</v>
      </c>
      <c r="T587" s="6" t="str">
        <f ca="1">IFERROR(__xludf.DUMMYFUNCTION("""COMPUTED_VALUE"""),"06 ORL")</f>
        <v>06 ORL</v>
      </c>
      <c r="U587" s="21"/>
      <c r="W587" s="20"/>
      <c r="X587" s="21"/>
    </row>
    <row r="588" spans="2:24" ht="16">
      <c r="B588" s="26" t="str">
        <f t="shared" ca="1" si="3"/>
        <v>MBM</v>
      </c>
      <c r="C588" s="23" t="str">
        <f ca="1">IFERROR(__xludf.DUMMYFUNCTION("""COMPUTED_VALUE"""),"MBM11")</f>
        <v>MBM11</v>
      </c>
      <c r="D588" s="6" t="str">
        <f ca="1">IFERROR(__xludf.DUMMYFUNCTION("""COMPUTED_VALUE"""),"PROPIOS")</f>
        <v>PROPIOS</v>
      </c>
      <c r="E588" s="6">
        <f ca="1">IFERROR(__xludf.DUMMYFUNCTION("""COMPUTED_VALUE"""),2026)</f>
        <v>2026</v>
      </c>
      <c r="F588" s="15">
        <f ca="1">IFERROR(__xludf.DUMMYFUNCTION("""COMPUTED_VALUE"""),1)</f>
        <v>1</v>
      </c>
      <c r="G588" s="6" t="str">
        <f ca="1">IFERROR(__xludf.DUMMYFUNCTION("""COMPUTED_VALUE"""),"Getafe")</f>
        <v>Getafe</v>
      </c>
      <c r="H588" s="6" t="str">
        <f ca="1">IFERROR(__xludf.DUMMYFUNCTION("""COMPUTED_VALUE"""),"C202511209435819749")</f>
        <v>C202511209435819749</v>
      </c>
      <c r="I588" s="6" t="str">
        <f ca="1">IFERROR(__xludf.DUMMYFUNCTION("""COMPUTED_VALUE"""),"MARIA SACRAMENTO MARTIN GOMEZ")</f>
        <v>MARIA SACRAMENTO MARTIN GOMEZ</v>
      </c>
      <c r="J588" s="16">
        <f ca="1">IFERROR(__xludf.DUMMYFUNCTION("""COMPUTED_VALUE"""),45981)</f>
        <v>45981</v>
      </c>
      <c r="K588" s="6" t="str">
        <f ca="1">IFERROR(__xludf.DUMMYFUNCTION("""COMPUTED_VALUE"""),"Devuelve")</f>
        <v>Devuelve</v>
      </c>
      <c r="L588" s="16">
        <f ca="1">IFERROR(__xludf.DUMMYFUNCTION("""COMPUTED_VALUE"""),46049)</f>
        <v>46049</v>
      </c>
      <c r="M588" s="23" t="str">
        <f ca="1">IFERROR(__xludf.DUMMYFUNCTION("""COMPUTED_VALUE"""),"NO")</f>
        <v>NO</v>
      </c>
      <c r="N588" s="15">
        <f ca="1">IFERROR(__xludf.DUMMYFUNCTION("""COMPUTED_VALUE"""),2)</f>
        <v>2</v>
      </c>
      <c r="O588" s="23" t="str">
        <f ca="1">IFERROR(__xludf.DUMMYFUNCTION("""COMPUTED_VALUE"""),"QUIET")</f>
        <v>QUIET</v>
      </c>
      <c r="P588" s="21">
        <f ca="1">IFERROR(__xludf.DUMMYFUNCTION("""COMPUTED_VALUE"""),2718.18)</f>
        <v>2718.18</v>
      </c>
      <c r="Q588" s="6" t="str">
        <f ca="1">IFERROR(__xludf.DUMMYFUNCTION("""COMPUTED_VALUE"""),"Maika Blázquez")</f>
        <v>Maika Blázquez</v>
      </c>
      <c r="R588" s="6" t="str">
        <f ca="1">IFERROR(__xludf.DUMMYFUNCTION("""COMPUTED_VALUE"""),"Antonio Rodríguez Rivero")</f>
        <v>Antonio Rodríguez Rivero</v>
      </c>
      <c r="S588" s="20" t="str">
        <f ca="1">IFERROR(__xludf.DUMMYFUNCTION("""COMPUTED_VALUE"""),"03 ORL")</f>
        <v>03 ORL</v>
      </c>
      <c r="T588" s="6" t="str">
        <f ca="1">IFERROR(__xludf.DUMMYFUNCTION("""COMPUTED_VALUE"""),"06 ORL")</f>
        <v>06 ORL</v>
      </c>
      <c r="U588" s="21"/>
      <c r="W588" s="20"/>
      <c r="X588" s="21"/>
    </row>
    <row r="589" spans="2:24" ht="16">
      <c r="B589" s="26" t="str">
        <f t="shared" ca="1" si="3"/>
        <v>MBM</v>
      </c>
      <c r="C589" s="23" t="str">
        <f ca="1">IFERROR(__xludf.DUMMYFUNCTION("""COMPUTED_VALUE"""),"MBM11")</f>
        <v>MBM11</v>
      </c>
      <c r="D589" s="6" t="str">
        <f ca="1">IFERROR(__xludf.DUMMYFUNCTION("""COMPUTED_VALUE"""),"PROPIOS")</f>
        <v>PROPIOS</v>
      </c>
      <c r="E589" s="6">
        <f ca="1">IFERROR(__xludf.DUMMYFUNCTION("""COMPUTED_VALUE"""),2026)</f>
        <v>2026</v>
      </c>
      <c r="F589" s="15">
        <f ca="1">IFERROR(__xludf.DUMMYFUNCTION("""COMPUTED_VALUE"""),3)</f>
        <v>3</v>
      </c>
      <c r="G589" s="6" t="str">
        <f ca="1">IFERROR(__xludf.DUMMYFUNCTION("""COMPUTED_VALUE"""),"Getafe")</f>
        <v>Getafe</v>
      </c>
      <c r="H589" s="6" t="str">
        <f ca="1">IFERROR(__xludf.DUMMYFUNCTION("""COMPUTED_VALUE"""),"C202631716451550127")</f>
        <v>C202631716451550127</v>
      </c>
      <c r="I589" s="6" t="str">
        <f ca="1">IFERROR(__xludf.DUMMYFUNCTION("""COMPUTED_VALUE"""),"MARIA TERESA BAYO DEL MORAL")</f>
        <v>MARIA TERESA BAYO DEL MORAL</v>
      </c>
      <c r="J589" s="16">
        <f ca="1">IFERROR(__xludf.DUMMYFUNCTION("""COMPUTED_VALUE"""),46098)</f>
        <v>46098</v>
      </c>
      <c r="K589" s="6" t="str">
        <f ca="1">IFERROR(__xludf.DUMMYFUNCTION("""COMPUTED_VALUE"""),"Pedido")</f>
        <v>Pedido</v>
      </c>
      <c r="L589" s="16">
        <f ca="1">IFERROR(__xludf.DUMMYFUNCTION("""COMPUTED_VALUE"""),46107)</f>
        <v>46107</v>
      </c>
      <c r="M589" s="23" t="str">
        <f ca="1">IFERROR(__xludf.DUMMYFUNCTION("""COMPUTED_VALUE"""),"NO")</f>
        <v>NO</v>
      </c>
      <c r="N589" s="15">
        <f ca="1">IFERROR(__xludf.DUMMYFUNCTION("""COMPUTED_VALUE"""),1)</f>
        <v>1</v>
      </c>
      <c r="O589" s="23" t="str">
        <f ca="1">IFERROR(__xludf.DUMMYFUNCTION("""COMPUTED_VALUE"""),"PRO")</f>
        <v>PRO</v>
      </c>
      <c r="P589" s="21">
        <f ca="1">IFERROR(__xludf.DUMMYFUNCTION("""COMPUTED_VALUE"""),3440.91)</f>
        <v>3440.91</v>
      </c>
      <c r="Q589" s="6" t="str">
        <f ca="1">IFERROR(__xludf.DUMMYFUNCTION("""COMPUTED_VALUE"""),"Maika Blázquez")</f>
        <v>Maika Blázquez</v>
      </c>
      <c r="R589" s="6" t="str">
        <f ca="1">IFERROR(__xludf.DUMMYFUNCTION("""COMPUTED_VALUE"""),"Antonio Rodríguez Rivero")</f>
        <v>Antonio Rodríguez Rivero</v>
      </c>
      <c r="S589" s="20" t="str">
        <f ca="1">IFERROR(__xludf.DUMMYFUNCTION("""COMPUTED_VALUE"""),"03 ORL")</f>
        <v>03 ORL</v>
      </c>
      <c r="T589" s="6" t="str">
        <f ca="1">IFERROR(__xludf.DUMMYFUNCTION("""COMPUTED_VALUE"""),"06 ORL")</f>
        <v>06 ORL</v>
      </c>
      <c r="U589" s="21"/>
      <c r="W589" s="20"/>
      <c r="X589" s="21"/>
    </row>
    <row r="590" spans="2:24" ht="16">
      <c r="B590" s="26" t="str">
        <f t="shared" ca="1" si="3"/>
        <v>MBM</v>
      </c>
      <c r="C590" s="23" t="str">
        <f ca="1">IFERROR(__xludf.DUMMYFUNCTION("""COMPUTED_VALUE"""),"MBM156")</f>
        <v>MBM156</v>
      </c>
      <c r="D590" s="6" t="str">
        <f ca="1">IFERROR(__xludf.DUMMYFUNCTION("""COMPUTED_VALUE"""),"PROPIOS")</f>
        <v>PROPIOS</v>
      </c>
      <c r="E590" s="6">
        <f ca="1">IFERROR(__xludf.DUMMYFUNCTION("""COMPUTED_VALUE"""),2026)</f>
        <v>2026</v>
      </c>
      <c r="F590" s="15">
        <f ca="1">IFERROR(__xludf.DUMMYFUNCTION("""COMPUTED_VALUE"""),1)</f>
        <v>1</v>
      </c>
      <c r="G590" s="6" t="str">
        <f ca="1">IFERROR(__xludf.DUMMYFUNCTION("""COMPUTED_VALUE"""),"Getafe")</f>
        <v>Getafe</v>
      </c>
      <c r="H590" s="6" t="str">
        <f ca="1">IFERROR(__xludf.DUMMYFUNCTION("""COMPUTED_VALUE"""),"C202512221033375433")</f>
        <v>C202512221033375433</v>
      </c>
      <c r="I590" s="6" t="str">
        <f ca="1">IFERROR(__xludf.DUMMYFUNCTION("""COMPUTED_VALUE"""),"Pablo Millas López-Romero")</f>
        <v>Pablo Millas López-Romero</v>
      </c>
      <c r="J590" s="16">
        <f ca="1">IFERROR(__xludf.DUMMYFUNCTION("""COMPUTED_VALUE"""),46013)</f>
        <v>46013</v>
      </c>
      <c r="K590" s="6" t="str">
        <f ca="1">IFERROR(__xludf.DUMMYFUNCTION("""COMPUTED_VALUE"""),"Devuelve")</f>
        <v>Devuelve</v>
      </c>
      <c r="L590" s="16">
        <f ca="1">IFERROR(__xludf.DUMMYFUNCTION("""COMPUTED_VALUE"""),46030)</f>
        <v>46030</v>
      </c>
      <c r="M590" s="23" t="str">
        <f ca="1">IFERROR(__xludf.DUMMYFUNCTION("""COMPUTED_VALUE"""),"NO")</f>
        <v>NO</v>
      </c>
      <c r="N590" s="15">
        <f ca="1">IFERROR(__xludf.DUMMYFUNCTION("""COMPUTED_VALUE"""),1)</f>
        <v>1</v>
      </c>
      <c r="O590" s="23" t="str">
        <f ca="1">IFERROR(__xludf.DUMMYFUNCTION("""COMPUTED_VALUE"""),"QUIET")</f>
        <v>QUIET</v>
      </c>
      <c r="P590" s="21">
        <f ca="1">IFERROR(__xludf.DUMMYFUNCTION("""COMPUTED_VALUE"""),1631.82)</f>
        <v>1631.82</v>
      </c>
      <c r="Q590" s="6" t="str">
        <f ca="1">IFERROR(__xludf.DUMMYFUNCTION("""COMPUTED_VALUE"""),"Maika Blázquez")</f>
        <v>Maika Blázquez</v>
      </c>
      <c r="R590" s="6" t="str">
        <f ca="1">IFERROR(__xludf.DUMMYFUNCTION("""COMPUTED_VALUE"""),"Marta Colmenero Ruiz")</f>
        <v>Marta Colmenero Ruiz</v>
      </c>
      <c r="S590" s="20" t="str">
        <f ca="1">IFERROR(__xludf.DUMMYFUNCTION("""COMPUTED_VALUE"""),"03 ORL")</f>
        <v>03 ORL</v>
      </c>
      <c r="T590" s="6" t="str">
        <f ca="1">IFERROR(__xludf.DUMMYFUNCTION("""COMPUTED_VALUE"""),"06 ORL")</f>
        <v>06 ORL</v>
      </c>
      <c r="U590" s="21"/>
      <c r="W590" s="20"/>
      <c r="X590" s="21"/>
    </row>
    <row r="591" spans="2:24" ht="16">
      <c r="B591" s="26" t="str">
        <f t="shared" ca="1" si="3"/>
        <v/>
      </c>
      <c r="C591" s="23"/>
      <c r="D591" s="6" t="str">
        <f ca="1">IFERROR(__xludf.DUMMYFUNCTION("""COMPUTED_VALUE"""),"PROPIOS")</f>
        <v>PROPIOS</v>
      </c>
      <c r="E591" s="6">
        <f ca="1">IFERROR(__xludf.DUMMYFUNCTION("""COMPUTED_VALUE"""),2026)</f>
        <v>2026</v>
      </c>
      <c r="F591" s="15">
        <f ca="1">IFERROR(__xludf.DUMMYFUNCTION("""COMPUTED_VALUE"""),1)</f>
        <v>1</v>
      </c>
      <c r="G591" s="6" t="str">
        <f ca="1">IFERROR(__xludf.DUMMYFUNCTION("""COMPUTED_VALUE"""),"Getafe")</f>
        <v>Getafe</v>
      </c>
      <c r="H591" s="6" t="str">
        <f ca="1">IFERROR(__xludf.DUMMYFUNCTION("""COMPUTED_VALUE"""),"C202512412528043568")</f>
        <v>C202512412528043568</v>
      </c>
      <c r="I591" s="6" t="str">
        <f ca="1">IFERROR(__xludf.DUMMYFUNCTION("""COMPUTED_VALUE"""),"PETRA  SAEZ ORTEGA")</f>
        <v>PETRA  SAEZ ORTEGA</v>
      </c>
      <c r="J591" s="16">
        <f ca="1">IFERROR(__xludf.DUMMYFUNCTION("""COMPUTED_VALUE"""),45995)</f>
        <v>45995</v>
      </c>
      <c r="K591" s="6" t="str">
        <f ca="1">IFERROR(__xludf.DUMMYFUNCTION("""COMPUTED_VALUE"""),"Devuelve")</f>
        <v>Devuelve</v>
      </c>
      <c r="L591" s="16">
        <f ca="1">IFERROR(__xludf.DUMMYFUNCTION("""COMPUTED_VALUE"""),46024)</f>
        <v>46024</v>
      </c>
      <c r="M591" s="23" t="str">
        <f ca="1">IFERROR(__xludf.DUMMYFUNCTION("""COMPUTED_VALUE"""),"NO")</f>
        <v>NO</v>
      </c>
      <c r="N591" s="15">
        <f ca="1">IFERROR(__xludf.DUMMYFUNCTION("""COMPUTED_VALUE"""),2)</f>
        <v>2</v>
      </c>
      <c r="O591" s="23" t="str">
        <f ca="1">IFERROR(__xludf.DUMMYFUNCTION("""COMPUTED_VALUE"""),"QUIET")</f>
        <v>QUIET</v>
      </c>
      <c r="P591" s="21">
        <f ca="1">IFERROR(__xludf.DUMMYFUNCTION("""COMPUTED_VALUE"""),2718.18)</f>
        <v>2718.18</v>
      </c>
      <c r="Q591" s="6" t="str">
        <f ca="1">IFERROR(__xludf.DUMMYFUNCTION("""COMPUTED_VALUE"""),"Maika Blázquez")</f>
        <v>Maika Blázquez</v>
      </c>
      <c r="R591" s="6" t="str">
        <f ca="1">IFERROR(__xludf.DUMMYFUNCTION("""COMPUTED_VALUE"""),"No recuerda ORL")</f>
        <v>No recuerda ORL</v>
      </c>
      <c r="S591" s="20" t="str">
        <f ca="1">IFERROR(__xludf.DUMMYFUNCTION("""COMPUTED_VALUE"""),"03 ORL")</f>
        <v>03 ORL</v>
      </c>
      <c r="T591" s="6" t="str">
        <f ca="1">IFERROR(__xludf.DUMMYFUNCTION("""COMPUTED_VALUE"""),"06 ORL")</f>
        <v>06 ORL</v>
      </c>
      <c r="U591" s="21"/>
      <c r="W591" s="20"/>
      <c r="X591" s="21"/>
    </row>
    <row r="592" spans="2:24" ht="16">
      <c r="B592" s="26" t="str">
        <f t="shared" ca="1" si="3"/>
        <v/>
      </c>
      <c r="C592" s="23"/>
      <c r="D592" s="6" t="str">
        <f ca="1">IFERROR(__xludf.DUMMYFUNCTION("""COMPUTED_VALUE"""),"PROPIOS")</f>
        <v>PROPIOS</v>
      </c>
      <c r="E592" s="6">
        <f ca="1">IFERROR(__xludf.DUMMYFUNCTION("""COMPUTED_VALUE"""),2026)</f>
        <v>2026</v>
      </c>
      <c r="F592" s="15">
        <f ca="1">IFERROR(__xludf.DUMMYFUNCTION("""COMPUTED_VALUE"""),2)</f>
        <v>2</v>
      </c>
      <c r="G592" s="6" t="str">
        <f ca="1">IFERROR(__xludf.DUMMYFUNCTION("""COMPUTED_VALUE"""),"Getafe")</f>
        <v>Getafe</v>
      </c>
      <c r="H592" s="6" t="str">
        <f ca="1">IFERROR(__xludf.DUMMYFUNCTION("""COMPUTED_VALUE"""),"C202512111245518864")</f>
        <v>C202512111245518864</v>
      </c>
      <c r="I592" s="6" t="str">
        <f ca="1">IFERROR(__xludf.DUMMYFUNCTION("""COMPUTED_VALUE"""),"ROBERTO MAGANTO TRUJILLO")</f>
        <v>ROBERTO MAGANTO TRUJILLO</v>
      </c>
      <c r="J592" s="16">
        <f ca="1">IFERROR(__xludf.DUMMYFUNCTION("""COMPUTED_VALUE"""),46002)</f>
        <v>46002</v>
      </c>
      <c r="K592" s="6" t="str">
        <f ca="1">IFERROR(__xludf.DUMMYFUNCTION("""COMPUTED_VALUE"""),"Devuelve")</f>
        <v>Devuelve</v>
      </c>
      <c r="L592" s="16">
        <f ca="1">IFERROR(__xludf.DUMMYFUNCTION("""COMPUTED_VALUE"""),46076)</f>
        <v>46076</v>
      </c>
      <c r="M592" s="23" t="str">
        <f ca="1">IFERROR(__xludf.DUMMYFUNCTION("""COMPUTED_VALUE"""),"NO")</f>
        <v>NO</v>
      </c>
      <c r="N592" s="15">
        <f ca="1">IFERROR(__xludf.DUMMYFUNCTION("""COMPUTED_VALUE"""),1)</f>
        <v>1</v>
      </c>
      <c r="O592" s="23" t="str">
        <f ca="1">IFERROR(__xludf.DUMMYFUNCTION("""COMPUTED_VALUE"""),"TRIAL")</f>
        <v>TRIAL</v>
      </c>
      <c r="P592" s="21">
        <f ca="1">IFERROR(__xludf.DUMMYFUNCTION("""COMPUTED_VALUE"""),2180.91)</f>
        <v>2180.91</v>
      </c>
      <c r="Q592" s="6" t="str">
        <f ca="1">IFERROR(__xludf.DUMMYFUNCTION("""COMPUTED_VALUE"""),"Maika Blázquez")</f>
        <v>Maika Blázquez</v>
      </c>
      <c r="R592" s="6" t="str">
        <f ca="1">IFERROR(__xludf.DUMMYFUNCTION("""COMPUTED_VALUE"""),"No recuerda ORL")</f>
        <v>No recuerda ORL</v>
      </c>
      <c r="S592" s="20" t="str">
        <f ca="1">IFERROR(__xludf.DUMMYFUNCTION("""COMPUTED_VALUE"""),"03 ORL")</f>
        <v>03 ORL</v>
      </c>
      <c r="T592" s="6" t="str">
        <f ca="1">IFERROR(__xludf.DUMMYFUNCTION("""COMPUTED_VALUE"""),"22 AUDIOMETRIA CLINICA")</f>
        <v>22 AUDIOMETRIA CLINICA</v>
      </c>
      <c r="U592" s="21"/>
      <c r="W592" s="20"/>
      <c r="X592" s="21"/>
    </row>
    <row r="593" spans="2:37" ht="16">
      <c r="B593" s="26" t="str">
        <f t="shared" ca="1" si="3"/>
        <v>MBM</v>
      </c>
      <c r="C593" s="23" t="str">
        <f ca="1">IFERROR(__xludf.DUMMYFUNCTION("""COMPUTED_VALUE"""),"MBM149")</f>
        <v>MBM149</v>
      </c>
      <c r="D593" s="6" t="str">
        <f ca="1">IFERROR(__xludf.DUMMYFUNCTION("""COMPUTED_VALUE"""),"PROPIOS")</f>
        <v>PROPIOS</v>
      </c>
      <c r="E593" s="6">
        <f ca="1">IFERROR(__xludf.DUMMYFUNCTION("""COMPUTED_VALUE"""),2026)</f>
        <v>2026</v>
      </c>
      <c r="F593" s="15">
        <f ca="1">IFERROR(__xludf.DUMMYFUNCTION("""COMPUTED_VALUE"""),3)</f>
        <v>3</v>
      </c>
      <c r="G593" s="6" t="str">
        <f ca="1">IFERROR(__xludf.DUMMYFUNCTION("""COMPUTED_VALUE"""),"Getafe")</f>
        <v>Getafe</v>
      </c>
      <c r="H593" s="6" t="str">
        <f ca="1">IFERROR(__xludf.DUMMYFUNCTION("""COMPUTED_VALUE"""),"C202632012551603475")</f>
        <v>C202632012551603475</v>
      </c>
      <c r="I593" s="6" t="str">
        <f ca="1">IFERROR(__xludf.DUMMYFUNCTION("""COMPUTED_VALUE"""),"ROSA FERNANDEZ FERNANDEZ")</f>
        <v>ROSA FERNANDEZ FERNANDEZ</v>
      </c>
      <c r="J593" s="16">
        <f ca="1">IFERROR(__xludf.DUMMYFUNCTION("""COMPUTED_VALUE"""),46101)</f>
        <v>46101</v>
      </c>
      <c r="K593" s="6" t="str">
        <f ca="1">IFERROR(__xludf.DUMMYFUNCTION("""COMPUTED_VALUE"""),"Pedido")</f>
        <v>Pedido</v>
      </c>
      <c r="L593" s="16">
        <f ca="1">IFERROR(__xludf.DUMMYFUNCTION("""COMPUTED_VALUE"""),46105)</f>
        <v>46105</v>
      </c>
      <c r="M593" s="23" t="str">
        <f ca="1">IFERROR(__xludf.DUMMYFUNCTION("""COMPUTED_VALUE"""),"NO")</f>
        <v>NO</v>
      </c>
      <c r="N593" s="15">
        <f ca="1">IFERROR(__xludf.DUMMYFUNCTION("""COMPUTED_VALUE"""),2)</f>
        <v>2</v>
      </c>
      <c r="O593" s="23" t="str">
        <f ca="1">IFERROR(__xludf.DUMMYFUNCTION("""COMPUTED_VALUE"""),"QUIET")</f>
        <v>QUIET</v>
      </c>
      <c r="P593" s="21">
        <f ca="1">IFERROR(__xludf.DUMMYFUNCTION("""COMPUTED_VALUE"""),2718.18)</f>
        <v>2718.18</v>
      </c>
      <c r="Q593" s="6" t="str">
        <f ca="1">IFERROR(__xludf.DUMMYFUNCTION("""COMPUTED_VALUE"""),"Maika Blázquez")</f>
        <v>Maika Blázquez</v>
      </c>
      <c r="R593" s="6" t="str">
        <f ca="1">IFERROR(__xludf.DUMMYFUNCTION("""COMPUTED_VALUE"""),"María Garrote Garrote")</f>
        <v>María Garrote Garrote</v>
      </c>
      <c r="S593" s="20" t="str">
        <f ca="1">IFERROR(__xludf.DUMMYFUNCTION("""COMPUTED_VALUE"""),"03 ORL")</f>
        <v>03 ORL</v>
      </c>
      <c r="T593" s="6" t="str">
        <f ca="1">IFERROR(__xludf.DUMMYFUNCTION("""COMPUTED_VALUE"""),"06 ORL")</f>
        <v>06 ORL</v>
      </c>
      <c r="U593" s="21"/>
      <c r="W593" s="20"/>
      <c r="X593" s="21"/>
    </row>
    <row r="594" spans="2:37" ht="16">
      <c r="B594" s="26" t="str">
        <f t="shared" ca="1" si="3"/>
        <v>MBM</v>
      </c>
      <c r="C594" s="23" t="str">
        <f ca="1">IFERROR(__xludf.DUMMYFUNCTION("""COMPUTED_VALUE"""),"MBM165")</f>
        <v>MBM165</v>
      </c>
      <c r="D594" s="6" t="str">
        <f ca="1">IFERROR(__xludf.DUMMYFUNCTION("""COMPUTED_VALUE"""),"PROPIOS")</f>
        <v>PROPIOS</v>
      </c>
      <c r="E594" s="6">
        <f ca="1">IFERROR(__xludf.DUMMYFUNCTION("""COMPUTED_VALUE"""),2026)</f>
        <v>2026</v>
      </c>
      <c r="F594" s="15">
        <f ca="1">IFERROR(__xludf.DUMMYFUNCTION("""COMPUTED_VALUE"""),3)</f>
        <v>3</v>
      </c>
      <c r="G594" s="6" t="str">
        <f ca="1">IFERROR(__xludf.DUMMYFUNCTION("""COMPUTED_VALUE"""),"Getafe")</f>
        <v>Getafe</v>
      </c>
      <c r="H594" s="6" t="str">
        <f ca="1">IFERROR(__xludf.DUMMYFUNCTION("""COMPUTED_VALUE"""),"C202632410394553942")</f>
        <v>C202632410394553942</v>
      </c>
      <c r="I594" s="6" t="str">
        <f ca="1">IFERROR(__xludf.DUMMYFUNCTION("""COMPUTED_VALUE"""),"SAGRARIO ARAGONES JIMENEZ")</f>
        <v>SAGRARIO ARAGONES JIMENEZ</v>
      </c>
      <c r="J594" s="16">
        <f ca="1">IFERROR(__xludf.DUMMYFUNCTION("""COMPUTED_VALUE"""),46105)</f>
        <v>46105</v>
      </c>
      <c r="K594" s="6" t="str">
        <f ca="1">IFERROR(__xludf.DUMMYFUNCTION("""COMPUTED_VALUE"""),"Pedido")</f>
        <v>Pedido</v>
      </c>
      <c r="L594" s="16">
        <f ca="1">IFERROR(__xludf.DUMMYFUNCTION("""COMPUTED_VALUE"""),46105)</f>
        <v>46105</v>
      </c>
      <c r="M594" s="23" t="str">
        <f ca="1">IFERROR(__xludf.DUMMYFUNCTION("""COMPUTED_VALUE"""),"NO")</f>
        <v>NO</v>
      </c>
      <c r="N594" s="15">
        <f ca="1">IFERROR(__xludf.DUMMYFUNCTION("""COMPUTED_VALUE"""),2)</f>
        <v>2</v>
      </c>
      <c r="O594" s="23" t="str">
        <f ca="1">IFERROR(__xludf.DUMMYFUNCTION("""COMPUTED_VALUE"""),"QUIET")</f>
        <v>QUIET</v>
      </c>
      <c r="P594" s="21">
        <f ca="1">IFERROR(__xludf.DUMMYFUNCTION("""COMPUTED_VALUE"""),2718.18)</f>
        <v>2718.18</v>
      </c>
      <c r="Q594" s="6" t="str">
        <f ca="1">IFERROR(__xludf.DUMMYFUNCTION("""COMPUTED_VALUE"""),"Maika Blázquez")</f>
        <v>Maika Blázquez</v>
      </c>
      <c r="R594" s="6" t="str">
        <f ca="1">IFERROR(__xludf.DUMMYFUNCTION("""COMPUTED_VALUE"""),"Paloma Pinacho Martínez")</f>
        <v>Paloma Pinacho Martínez</v>
      </c>
      <c r="S594" s="20" t="str">
        <f ca="1">IFERROR(__xludf.DUMMYFUNCTION("""COMPUTED_VALUE"""),"03 ORL")</f>
        <v>03 ORL</v>
      </c>
      <c r="T594" s="6" t="str">
        <f ca="1">IFERROR(__xludf.DUMMYFUNCTION("""COMPUTED_VALUE"""),"06 ORL")</f>
        <v>06 ORL</v>
      </c>
      <c r="U594" s="21"/>
      <c r="W594" s="20"/>
      <c r="X594" s="21"/>
    </row>
    <row r="595" spans="2:37" ht="16">
      <c r="B595" s="26" t="str">
        <f t="shared" ca="1" si="3"/>
        <v>MBM</v>
      </c>
      <c r="C595" s="23" t="str">
        <f ca="1">IFERROR(__xludf.DUMMYFUNCTION("""COMPUTED_VALUE"""),"MBM96")</f>
        <v>MBM96</v>
      </c>
      <c r="D595" s="6" t="str">
        <f ca="1">IFERROR(__xludf.DUMMYFUNCTION("""COMPUTED_VALUE"""),"PROPIOS")</f>
        <v>PROPIOS</v>
      </c>
      <c r="E595" s="6">
        <f ca="1">IFERROR(__xludf.DUMMYFUNCTION("""COMPUTED_VALUE"""),2026)</f>
        <v>2026</v>
      </c>
      <c r="F595" s="15">
        <f ca="1">IFERROR(__xludf.DUMMYFUNCTION("""COMPUTED_VALUE"""),3)</f>
        <v>3</v>
      </c>
      <c r="G595" s="6" t="str">
        <f ca="1">IFERROR(__xludf.DUMMYFUNCTION("""COMPUTED_VALUE"""),"Getafe")</f>
        <v>Getafe</v>
      </c>
      <c r="H595" s="6" t="str">
        <f ca="1">IFERROR(__xludf.DUMMYFUNCTION("""COMPUTED_VALUE"""),"C202621712453435416")</f>
        <v>C202621712453435416</v>
      </c>
      <c r="I595" s="6" t="str">
        <f ca="1">IFERROR(__xludf.DUMMYFUNCTION("""COMPUTED_VALUE"""),"SANTIAGO JIMENO ALVAREZ")</f>
        <v>SANTIAGO JIMENO ALVAREZ</v>
      </c>
      <c r="J595" s="16">
        <f ca="1">IFERROR(__xludf.DUMMYFUNCTION("""COMPUTED_VALUE"""),46070)</f>
        <v>46070</v>
      </c>
      <c r="K595" s="6" t="str">
        <f ca="1">IFERROR(__xludf.DUMMYFUNCTION("""COMPUTED_VALUE"""),"Devuelve")</f>
        <v>Devuelve</v>
      </c>
      <c r="L595" s="16">
        <f ca="1">IFERROR(__xludf.DUMMYFUNCTION("""COMPUTED_VALUE"""),46100)</f>
        <v>46100</v>
      </c>
      <c r="M595" s="23" t="str">
        <f ca="1">IFERROR(__xludf.DUMMYFUNCTION("""COMPUTED_VALUE"""),"NO")</f>
        <v>NO</v>
      </c>
      <c r="N595" s="15">
        <f ca="1">IFERROR(__xludf.DUMMYFUNCTION("""COMPUTED_VALUE"""),1)</f>
        <v>1</v>
      </c>
      <c r="O595" s="23" t="str">
        <f ca="1">IFERROR(__xludf.DUMMYFUNCTION("""COMPUTED_VALUE"""),"CONFORT")</f>
        <v>CONFORT</v>
      </c>
      <c r="P595" s="21">
        <f ca="1">IFERROR(__xludf.DUMMYFUNCTION("""COMPUTED_VALUE"""),2509.97)</f>
        <v>2509.9699999999998</v>
      </c>
      <c r="Q595" s="6" t="str">
        <f ca="1">IFERROR(__xludf.DUMMYFUNCTION("""COMPUTED_VALUE"""),"Maika Blázquez")</f>
        <v>Maika Blázquez</v>
      </c>
      <c r="R595" s="6" t="str">
        <f ca="1">IFERROR(__xludf.DUMMYFUNCTION("""COMPUTED_VALUE"""),"Beatriz Santos Duque")</f>
        <v>Beatriz Santos Duque</v>
      </c>
      <c r="S595" s="20" t="str">
        <f ca="1">IFERROR(__xludf.DUMMYFUNCTION("""COMPUTED_VALUE"""),"03 ORL")</f>
        <v>03 ORL</v>
      </c>
      <c r="T595" s="6" t="str">
        <f ca="1">IFERROR(__xludf.DUMMYFUNCTION("""COMPUTED_VALUE"""),"06 ORL")</f>
        <v>06 ORL</v>
      </c>
      <c r="U595" s="21"/>
      <c r="W595" s="20"/>
      <c r="X595" s="21"/>
    </row>
    <row r="596" spans="2:37" ht="16">
      <c r="B596" s="26" t="str">
        <f t="shared" ca="1" si="3"/>
        <v>MBM</v>
      </c>
      <c r="C596" s="23" t="str">
        <f ca="1">IFERROR(__xludf.DUMMYFUNCTION("""COMPUTED_VALUE"""),"MBM60")</f>
        <v>MBM60</v>
      </c>
      <c r="D596" s="6" t="str">
        <f ca="1">IFERROR(__xludf.DUMMYFUNCTION("""COMPUTED_VALUE"""),"PROPIOS")</f>
        <v>PROPIOS</v>
      </c>
      <c r="E596" s="6">
        <f ca="1">IFERROR(__xludf.DUMMYFUNCTION("""COMPUTED_VALUE"""),2026)</f>
        <v>2026</v>
      </c>
      <c r="F596" s="15">
        <f ca="1">IFERROR(__xludf.DUMMYFUNCTION("""COMPUTED_VALUE"""),3)</f>
        <v>3</v>
      </c>
      <c r="G596" s="6" t="str">
        <f ca="1">IFERROR(__xludf.DUMMYFUNCTION("""COMPUTED_VALUE"""),"Getafe")</f>
        <v>Getafe</v>
      </c>
      <c r="H596" s="6" t="str">
        <f ca="1">IFERROR(__xludf.DUMMYFUNCTION("""COMPUTED_VALUE"""),"C202622014255307914")</f>
        <v>C202622014255307914</v>
      </c>
      <c r="I596" s="6" t="str">
        <f ca="1">IFERROR(__xludf.DUMMYFUNCTION("""COMPUTED_VALUE"""),"TERESA  AMIGO YLLANA")</f>
        <v>TERESA  AMIGO YLLANA</v>
      </c>
      <c r="J596" s="16">
        <f ca="1">IFERROR(__xludf.DUMMYFUNCTION("""COMPUTED_VALUE"""),46073)</f>
        <v>46073</v>
      </c>
      <c r="K596" s="6" t="str">
        <f ca="1">IFERROR(__xludf.DUMMYFUNCTION("""COMPUTED_VALUE"""),"Presupuesto")</f>
        <v>Presupuesto</v>
      </c>
      <c r="L596" s="16">
        <f ca="1">IFERROR(__xludf.DUMMYFUNCTION("""COMPUTED_VALUE"""),46086)</f>
        <v>46086</v>
      </c>
      <c r="M596" s="23" t="str">
        <f ca="1">IFERROR(__xludf.DUMMYFUNCTION("""COMPUTED_VALUE"""),"NO")</f>
        <v>NO</v>
      </c>
      <c r="N596" s="15">
        <f ca="1">IFERROR(__xludf.DUMMYFUNCTION("""COMPUTED_VALUE"""),2)</f>
        <v>2</v>
      </c>
      <c r="O596" s="23" t="str">
        <f ca="1">IFERROR(__xludf.DUMMYFUNCTION("""COMPUTED_VALUE"""),"QUIET")</f>
        <v>QUIET</v>
      </c>
      <c r="P596" s="21">
        <f ca="1">IFERROR(__xludf.DUMMYFUNCTION("""COMPUTED_VALUE"""),2718.18)</f>
        <v>2718.18</v>
      </c>
      <c r="Q596" s="6" t="str">
        <f ca="1">IFERROR(__xludf.DUMMYFUNCTION("""COMPUTED_VALUE"""),"Maika Blázquez")</f>
        <v>Maika Blázquez</v>
      </c>
      <c r="R596" s="6" t="str">
        <f ca="1">IFERROR(__xludf.DUMMYFUNCTION("""COMPUTED_VALUE"""),"Juan Ignacio Riestra Ayora")</f>
        <v>Juan Ignacio Riestra Ayora</v>
      </c>
      <c r="S596" s="20" t="str">
        <f ca="1">IFERROR(__xludf.DUMMYFUNCTION("""COMPUTED_VALUE"""),"03 ORL")</f>
        <v>03 ORL</v>
      </c>
      <c r="T596" s="6" t="str">
        <f ca="1">IFERROR(__xludf.DUMMYFUNCTION("""COMPUTED_VALUE"""),"06 ORL")</f>
        <v>06 ORL</v>
      </c>
      <c r="U596" s="21"/>
      <c r="W596" s="20"/>
      <c r="X596" s="21"/>
    </row>
    <row r="597" spans="2:37" ht="16">
      <c r="B597" s="26" t="str">
        <f t="shared" ca="1" si="3"/>
        <v>LAA</v>
      </c>
      <c r="C597" s="23" t="str">
        <f ca="1">IFERROR(__xludf.DUMMYFUNCTION("""COMPUTED_VALUE"""),"LAA45")</f>
        <v>LAA45</v>
      </c>
      <c r="D597" s="6" t="str">
        <f ca="1">IFERROR(__xludf.DUMMYFUNCTION("""COMPUTED_VALUE"""),"PROPIOS")</f>
        <v>PROPIOS</v>
      </c>
      <c r="E597" s="6">
        <f ca="1">IFERROR(__xludf.DUMMYFUNCTION("""COMPUTED_VALUE"""),2026)</f>
        <v>2026</v>
      </c>
      <c r="F597" s="15">
        <f ca="1">IFERROR(__xludf.DUMMYFUNCTION("""COMPUTED_VALUE"""),3)</f>
        <v>3</v>
      </c>
      <c r="G597" s="6" t="str">
        <f ca="1">IFERROR(__xludf.DUMMYFUNCTION("""COMPUTED_VALUE"""),"Huelva")</f>
        <v>Huelva</v>
      </c>
      <c r="H597" s="6" t="str">
        <f ca="1">IFERROR(__xludf.DUMMYFUNCTION("""COMPUTED_VALUE"""),"C202631017223969188")</f>
        <v>C202631017223969188</v>
      </c>
      <c r="I597" s="6" t="str">
        <f ca="1">IFERROR(__xludf.DUMMYFUNCTION("""COMPUTED_VALUE"""),"DOMINGA CAMPILLO REYES")</f>
        <v>DOMINGA CAMPILLO REYES</v>
      </c>
      <c r="J597" s="16">
        <f ca="1">IFERROR(__xludf.DUMMYFUNCTION("""COMPUTED_VALUE"""),46091)</f>
        <v>46091</v>
      </c>
      <c r="K597" s="6" t="str">
        <f ca="1">IFERROR(__xludf.DUMMYFUNCTION("""COMPUTED_VALUE"""),"Prueba")</f>
        <v>Prueba</v>
      </c>
      <c r="L597" s="16">
        <f ca="1">IFERROR(__xludf.DUMMYFUNCTION("""COMPUTED_VALUE"""),46112)</f>
        <v>46112</v>
      </c>
      <c r="M597" s="23" t="str">
        <f ca="1">IFERROR(__xludf.DUMMYFUNCTION("""COMPUTED_VALUE"""),"NO")</f>
        <v>NO</v>
      </c>
      <c r="N597" s="15">
        <f ca="1">IFERROR(__xludf.DUMMYFUNCTION("""COMPUTED_VALUE"""),2)</f>
        <v>2</v>
      </c>
      <c r="O597" s="23" t="str">
        <f ca="1">IFERROR(__xludf.DUMMYFUNCTION("""COMPUTED_VALUE"""),"QUIET")</f>
        <v>QUIET</v>
      </c>
      <c r="P597" s="21">
        <f ca="1">IFERROR(__xludf.DUMMYFUNCTION("""COMPUTED_VALUE"""),2718.18)</f>
        <v>2718.18</v>
      </c>
      <c r="Q597" s="6" t="str">
        <f ca="1">IFERROR(__xludf.DUMMYFUNCTION("""COMPUTED_VALUE"""),"Luis Alberto Rodríguez")</f>
        <v>Luis Alberto Rodríguez</v>
      </c>
      <c r="R597" s="6" t="str">
        <f ca="1">IFERROR(__xludf.DUMMYFUNCTION("""COMPUTED_VALUE"""),"Daniela Terán Guamán")</f>
        <v>Daniela Terán Guamán</v>
      </c>
      <c r="S597" s="20" t="str">
        <f ca="1">IFERROR(__xludf.DUMMYFUNCTION("""COMPUTED_VALUE"""),"03 ORL")</f>
        <v>03 ORL</v>
      </c>
      <c r="T597" s="6" t="str">
        <f ca="1">IFERROR(__xludf.DUMMYFUNCTION("""COMPUTED_VALUE"""),"06 ORL")</f>
        <v>06 ORL</v>
      </c>
      <c r="U597" s="21"/>
      <c r="W597" s="21"/>
      <c r="X597" s="21"/>
    </row>
    <row r="598" spans="2:37" ht="16">
      <c r="B598" s="26" t="str">
        <f t="shared" ca="1" si="3"/>
        <v>LAA</v>
      </c>
      <c r="C598" s="23" t="str">
        <f ca="1">IFERROR(__xludf.DUMMYFUNCTION("""COMPUTED_VALUE"""),"LAA47")</f>
        <v>LAA47</v>
      </c>
      <c r="D598" s="6" t="str">
        <f ca="1">IFERROR(__xludf.DUMMYFUNCTION("""COMPUTED_VALUE"""),"PROPIOS")</f>
        <v>PROPIOS</v>
      </c>
      <c r="E598" s="6">
        <f ca="1">IFERROR(__xludf.DUMMYFUNCTION("""COMPUTED_VALUE"""),2026)</f>
        <v>2026</v>
      </c>
      <c r="F598" s="15">
        <f ca="1">IFERROR(__xludf.DUMMYFUNCTION("""COMPUTED_VALUE"""),2)</f>
        <v>2</v>
      </c>
      <c r="G598" s="6" t="str">
        <f ca="1">IFERROR(__xludf.DUMMYFUNCTION("""COMPUTED_VALUE"""),"Huelva")</f>
        <v>Huelva</v>
      </c>
      <c r="H598" s="6" t="str">
        <f ca="1">IFERROR(__xludf.DUMMYFUNCTION("""COMPUTED_VALUE"""),"C20251219117280858")</f>
        <v>C20251219117280858</v>
      </c>
      <c r="I598" s="6" t="str">
        <f ca="1">IFERROR(__xludf.DUMMYFUNCTION("""COMPUTED_VALUE"""),"ROCIO DE LA TORRE RAMOS")</f>
        <v>ROCIO DE LA TORRE RAMOS</v>
      </c>
      <c r="J598" s="16">
        <f ca="1">IFERROR(__xludf.DUMMYFUNCTION("""COMPUTED_VALUE"""),45992)</f>
        <v>45992</v>
      </c>
      <c r="K598" s="6" t="str">
        <f ca="1">IFERROR(__xludf.DUMMYFUNCTION("""COMPUTED_VALUE"""),"Devuelve")</f>
        <v>Devuelve</v>
      </c>
      <c r="L598" s="16">
        <f ca="1">IFERROR(__xludf.DUMMYFUNCTION("""COMPUTED_VALUE"""),46055)</f>
        <v>46055</v>
      </c>
      <c r="M598" s="23" t="str">
        <f ca="1">IFERROR(__xludf.DUMMYFUNCTION("""COMPUTED_VALUE"""),"NO")</f>
        <v>NO</v>
      </c>
      <c r="N598" s="15">
        <f ca="1">IFERROR(__xludf.DUMMYFUNCTION("""COMPUTED_VALUE"""),2)</f>
        <v>2</v>
      </c>
      <c r="O598" s="23" t="str">
        <f ca="1">IFERROR(__xludf.DUMMYFUNCTION("""COMPUTED_VALUE"""),"ADVANCED")</f>
        <v>ADVANCED</v>
      </c>
      <c r="P598" s="21">
        <f ca="1">IFERROR(__xludf.DUMMYFUNCTION("""COMPUTED_VALUE"""),4136.36)</f>
        <v>4136.3599999999997</v>
      </c>
      <c r="Q598" s="6" t="str">
        <f ca="1">IFERROR(__xludf.DUMMYFUNCTION("""COMPUTED_VALUE"""),"Luis Alberto Rodríguez")</f>
        <v>Luis Alberto Rodríguez</v>
      </c>
      <c r="R598" s="6" t="str">
        <f ca="1">IFERROR(__xludf.DUMMYFUNCTION("""COMPUTED_VALUE"""),"Estefanía Berrocal Postigo")</f>
        <v>Estefanía Berrocal Postigo</v>
      </c>
      <c r="S598" s="20" t="str">
        <f ca="1">IFERROR(__xludf.DUMMYFUNCTION("""COMPUTED_VALUE"""),"03 ORL")</f>
        <v>03 ORL</v>
      </c>
      <c r="T598" s="6" t="str">
        <f ca="1">IFERROR(__xludf.DUMMYFUNCTION("""COMPUTED_VALUE"""),"06 ORL")</f>
        <v>06 ORL</v>
      </c>
      <c r="U598" s="21"/>
      <c r="W598" s="20"/>
      <c r="X598" s="21"/>
    </row>
    <row r="599" spans="2:37" ht="16">
      <c r="B599" s="26" t="str">
        <f t="shared" ca="1" si="3"/>
        <v>LAA</v>
      </c>
      <c r="C599" s="23" t="str">
        <f ca="1">IFERROR(__xludf.DUMMYFUNCTION("""COMPUTED_VALUE"""),"LAA70")</f>
        <v>LAA70</v>
      </c>
      <c r="D599" s="6" t="str">
        <f ca="1">IFERROR(__xludf.DUMMYFUNCTION("""COMPUTED_VALUE"""),"PROPIOS")</f>
        <v>PROPIOS</v>
      </c>
      <c r="E599" s="6">
        <f ca="1">IFERROR(__xludf.DUMMYFUNCTION("""COMPUTED_VALUE"""),2026)</f>
        <v>2026</v>
      </c>
      <c r="F599" s="15">
        <f ca="1">IFERROR(__xludf.DUMMYFUNCTION("""COMPUTED_VALUE"""),3)</f>
        <v>3</v>
      </c>
      <c r="G599" s="6" t="str">
        <f ca="1">IFERROR(__xludf.DUMMYFUNCTION("""COMPUTED_VALUE"""),"Jerez de la Frontera")</f>
        <v>Jerez de la Frontera</v>
      </c>
      <c r="H599" s="6" t="str">
        <f ca="1">IFERROR(__xludf.DUMMYFUNCTION("""COMPUTED_VALUE"""),"C202632012495323677")</f>
        <v>C202632012495323677</v>
      </c>
      <c r="I599" s="6" t="str">
        <f ca="1">IFERROR(__xludf.DUMMYFUNCTION("""COMPUTED_VALUE"""),"CARMEN FERNANDEZ ROBLEDO")</f>
        <v>CARMEN FERNANDEZ ROBLEDO</v>
      </c>
      <c r="J599" s="16">
        <f ca="1">IFERROR(__xludf.DUMMYFUNCTION("""COMPUTED_VALUE"""),46101)</f>
        <v>46101</v>
      </c>
      <c r="K599" s="6" t="str">
        <f ca="1">IFERROR(__xludf.DUMMYFUNCTION("""COMPUTED_VALUE"""),"Prueba")</f>
        <v>Prueba</v>
      </c>
      <c r="L599" s="16">
        <f ca="1">IFERROR(__xludf.DUMMYFUNCTION("""COMPUTED_VALUE"""),46108)</f>
        <v>46108</v>
      </c>
      <c r="M599" s="23" t="str">
        <f ca="1">IFERROR(__xludf.DUMMYFUNCTION("""COMPUTED_VALUE"""),"NO")</f>
        <v>NO</v>
      </c>
      <c r="N599" s="15">
        <f ca="1">IFERROR(__xludf.DUMMYFUNCTION("""COMPUTED_VALUE"""),2)</f>
        <v>2</v>
      </c>
      <c r="O599" s="23" t="str">
        <f ca="1">IFERROR(__xludf.DUMMYFUNCTION("""COMPUTED_VALUE"""),"QUIET")</f>
        <v>QUIET</v>
      </c>
      <c r="P599" s="21">
        <f ca="1">IFERROR(__xludf.DUMMYFUNCTION("""COMPUTED_VALUE"""),2918.18)</f>
        <v>2918.18</v>
      </c>
      <c r="Q599" s="6" t="str">
        <f ca="1">IFERROR(__xludf.DUMMYFUNCTION("""COMPUTED_VALUE"""),"Luis Alberto Rodríguez")</f>
        <v>Luis Alberto Rodríguez</v>
      </c>
      <c r="R599" s="6" t="str">
        <f ca="1">IFERROR(__xludf.DUMMYFUNCTION("""COMPUTED_VALUE"""),"Guillermo Sierra Galera")</f>
        <v>Guillermo Sierra Galera</v>
      </c>
      <c r="S599" s="20" t="str">
        <f ca="1">IFERROR(__xludf.DUMMYFUNCTION("""COMPUTED_VALUE"""),"03 ORL")</f>
        <v>03 ORL</v>
      </c>
      <c r="T599" s="6" t="str">
        <f ca="1">IFERROR(__xludf.DUMMYFUNCTION("""COMPUTED_VALUE"""),"06 ORL")</f>
        <v>06 ORL</v>
      </c>
      <c r="U599" s="21"/>
      <c r="W599" s="20"/>
      <c r="X599" s="21"/>
    </row>
    <row r="600" spans="2:37" ht="16">
      <c r="B600" s="26" t="str">
        <f t="shared" ca="1" si="3"/>
        <v>LAA</v>
      </c>
      <c r="C600" s="23" t="str">
        <f ca="1">IFERROR(__xludf.DUMMYFUNCTION("""COMPUTED_VALUE"""),"LAA76")</f>
        <v>LAA76</v>
      </c>
      <c r="D600" s="6" t="str">
        <f ca="1">IFERROR(__xludf.DUMMYFUNCTION("""COMPUTED_VALUE"""),"PROPIOS")</f>
        <v>PROPIOS</v>
      </c>
      <c r="E600" s="6">
        <f ca="1">IFERROR(__xludf.DUMMYFUNCTION("""COMPUTED_VALUE"""),2026)</f>
        <v>2026</v>
      </c>
      <c r="F600" s="15">
        <f ca="1">IFERROR(__xludf.DUMMYFUNCTION("""COMPUTED_VALUE"""),2)</f>
        <v>2</v>
      </c>
      <c r="G600" s="6" t="str">
        <f ca="1">IFERROR(__xludf.DUMMYFUNCTION("""COMPUTED_VALUE"""),"Jerez de la Frontera")</f>
        <v>Jerez de la Frontera</v>
      </c>
      <c r="H600" s="6" t="str">
        <f ca="1">IFERROR(__xludf.DUMMYFUNCTION("""COMPUTED_VALUE"""),"C202621684923617955")</f>
        <v>C202621684923617955</v>
      </c>
      <c r="I600" s="6" t="str">
        <f ca="1">IFERROR(__xludf.DUMMYFUNCTION("""COMPUTED_VALUE"""),"FELIPE CASAYA LAGOMAZZINI")</f>
        <v>FELIPE CASAYA LAGOMAZZINI</v>
      </c>
      <c r="J600" s="16">
        <f ca="1">IFERROR(__xludf.DUMMYFUNCTION("""COMPUTED_VALUE"""),46069)</f>
        <v>46069</v>
      </c>
      <c r="K600" s="6" t="str">
        <f ca="1">IFERROR(__xludf.DUMMYFUNCTION("""COMPUTED_VALUE"""),"Prueba")</f>
        <v>Prueba</v>
      </c>
      <c r="L600" s="16">
        <f ca="1">IFERROR(__xludf.DUMMYFUNCTION("""COMPUTED_VALUE"""),46073)</f>
        <v>46073</v>
      </c>
      <c r="M600" s="23" t="str">
        <f ca="1">IFERROR(__xludf.DUMMYFUNCTION("""COMPUTED_VALUE"""),"NO")</f>
        <v>NO</v>
      </c>
      <c r="N600" s="15">
        <f ca="1">IFERROR(__xludf.DUMMYFUNCTION("""COMPUTED_VALUE"""),1)</f>
        <v>1</v>
      </c>
      <c r="O600" s="23" t="str">
        <f ca="1">IFERROR(__xludf.DUMMYFUNCTION("""COMPUTED_VALUE"""),"TRIAL")</f>
        <v>TRIAL</v>
      </c>
      <c r="P600" s="21">
        <f ca="1">IFERROR(__xludf.DUMMYFUNCTION("""COMPUTED_VALUE"""),2481.82)</f>
        <v>2481.8200000000002</v>
      </c>
      <c r="Q600" s="6" t="str">
        <f ca="1">IFERROR(__xludf.DUMMYFUNCTION("""COMPUTED_VALUE"""),"Luis Alberto Rodríguez")</f>
        <v>Luis Alberto Rodríguez</v>
      </c>
      <c r="R600" s="6" t="str">
        <f ca="1">IFERROR(__xludf.DUMMYFUNCTION("""COMPUTED_VALUE"""),"Gumersindo Jesús Pérez Ortega")</f>
        <v>Gumersindo Jesús Pérez Ortega</v>
      </c>
      <c r="S600" s="20" t="str">
        <f ca="1">IFERROR(__xludf.DUMMYFUNCTION("""COMPUTED_VALUE"""),"03 ORL")</f>
        <v>03 ORL</v>
      </c>
      <c r="T600" s="6" t="str">
        <f ca="1">IFERROR(__xludf.DUMMYFUNCTION("""COMPUTED_VALUE"""),"06 ORL")</f>
        <v>06 ORL</v>
      </c>
      <c r="U600" s="21"/>
      <c r="W600" s="20"/>
      <c r="X600" s="21"/>
    </row>
    <row r="601" spans="2:37" ht="16">
      <c r="B601" s="26" t="str">
        <f t="shared" ca="1" si="3"/>
        <v>#N/</v>
      </c>
      <c r="C601" s="23" t="str">
        <f ca="1">IFERROR(__xludf.DUMMYFUNCTION("""COMPUTED_VALUE"""),"#N/A")</f>
        <v>#N/A</v>
      </c>
      <c r="D601" s="6" t="str">
        <f ca="1">IFERROR(__xludf.DUMMYFUNCTION("""COMPUTED_VALUE"""),"PROPIOS")</f>
        <v>PROPIOS</v>
      </c>
      <c r="E601" s="6">
        <f ca="1">IFERROR(__xludf.DUMMYFUNCTION("""COMPUTED_VALUE"""),2026)</f>
        <v>2026</v>
      </c>
      <c r="F601" s="15">
        <f ca="1">IFERROR(__xludf.DUMMYFUNCTION("""COMPUTED_VALUE"""),2)</f>
        <v>2</v>
      </c>
      <c r="G601" s="6" t="str">
        <f ca="1">IFERROR(__xludf.DUMMYFUNCTION("""COMPUTED_VALUE"""),"Jerez de la Frontera")</f>
        <v>Jerez de la Frontera</v>
      </c>
      <c r="H601" s="6" t="str">
        <f ca="1">IFERROR(__xludf.DUMMYFUNCTION("""COMPUTED_VALUE"""),"C202612817321524395")</f>
        <v>C202612817321524395</v>
      </c>
      <c r="I601" s="6" t="str">
        <f ca="1">IFERROR(__xludf.DUMMYFUNCTION("""COMPUTED_VALUE"""),"FERNANDO SACRISTAN PEREZ")</f>
        <v>FERNANDO SACRISTAN PEREZ</v>
      </c>
      <c r="J601" s="16">
        <f ca="1">IFERROR(__xludf.DUMMYFUNCTION("""COMPUTED_VALUE"""),46050)</f>
        <v>46050</v>
      </c>
      <c r="K601" s="6" t="str">
        <f ca="1">IFERROR(__xludf.DUMMYFUNCTION("""COMPUTED_VALUE"""),"Devuelve")</f>
        <v>Devuelve</v>
      </c>
      <c r="L601" s="16">
        <f ca="1">IFERROR(__xludf.DUMMYFUNCTION("""COMPUTED_VALUE"""),46056)</f>
        <v>46056</v>
      </c>
      <c r="M601" s="23" t="str">
        <f ca="1">IFERROR(__xludf.DUMMYFUNCTION("""COMPUTED_VALUE"""),"NO")</f>
        <v>NO</v>
      </c>
      <c r="N601" s="15">
        <f ca="1">IFERROR(__xludf.DUMMYFUNCTION("""COMPUTED_VALUE"""),2)</f>
        <v>2</v>
      </c>
      <c r="O601" s="23" t="str">
        <f ca="1">IFERROR(__xludf.DUMMYFUNCTION("""COMPUTED_VALUE"""),"ADVANCED")</f>
        <v>ADVANCED</v>
      </c>
      <c r="P601" s="21">
        <f ca="1">IFERROR(__xludf.DUMMYFUNCTION("""COMPUTED_VALUE"""),4136.36)</f>
        <v>4136.3599999999997</v>
      </c>
      <c r="Q601" s="6" t="str">
        <f ca="1">IFERROR(__xludf.DUMMYFUNCTION("""COMPUTED_VALUE"""),"Luis Alberto Rodríguez")</f>
        <v>Luis Alberto Rodríguez</v>
      </c>
      <c r="R601" s="6" t="str">
        <f ca="1">IFERROR(__xludf.DUMMYFUNCTION("""COMPUTED_VALUE"""),"Juan Rebollo Otal")</f>
        <v>Juan Rebollo Otal</v>
      </c>
      <c r="S601" s="20" t="str">
        <f ca="1">IFERROR(__xludf.DUMMYFUNCTION("""COMPUTED_VALUE"""),"02 MARKETING OFF LINE")</f>
        <v>02 MARKETING OFF LINE</v>
      </c>
      <c r="T601" s="6" t="str">
        <f ca="1">IFERROR(__xludf.DUMMYFUNCTION("""COMPUTED_VALUE"""),"18 ESCAPARATE")</f>
        <v>18 ESCAPARATE</v>
      </c>
      <c r="U601" s="21"/>
      <c r="W601" s="20"/>
      <c r="X601" s="21"/>
    </row>
    <row r="602" spans="2:37" ht="16">
      <c r="B602" s="26" t="str">
        <f t="shared" ca="1" si="3"/>
        <v>LAA</v>
      </c>
      <c r="C602" s="23" t="str">
        <f ca="1">IFERROR(__xludf.DUMMYFUNCTION("""COMPUTED_VALUE"""),"LAA78")</f>
        <v>LAA78</v>
      </c>
      <c r="D602" s="6" t="str">
        <f ca="1">IFERROR(__xludf.DUMMYFUNCTION("""COMPUTED_VALUE"""),"PROPIOS")</f>
        <v>PROPIOS</v>
      </c>
      <c r="E602" s="6">
        <f ca="1">IFERROR(__xludf.DUMMYFUNCTION("""COMPUTED_VALUE"""),2026)</f>
        <v>2026</v>
      </c>
      <c r="F602" s="15">
        <f ca="1">IFERROR(__xludf.DUMMYFUNCTION("""COMPUTED_VALUE"""),3)</f>
        <v>3</v>
      </c>
      <c r="G602" s="6" t="str">
        <f ca="1">IFERROR(__xludf.DUMMYFUNCTION("""COMPUTED_VALUE"""),"Jerez de la Frontera")</f>
        <v>Jerez de la Frontera</v>
      </c>
      <c r="H602" s="6" t="str">
        <f ca="1">IFERROR(__xludf.DUMMYFUNCTION("""COMPUTED_VALUE"""),"C202631217364656100")</f>
        <v>C202631217364656100</v>
      </c>
      <c r="I602" s="6" t="str">
        <f ca="1">IFERROR(__xludf.DUMMYFUNCTION("""COMPUTED_VALUE"""),"JOSE  GARCIA DONAIRE")</f>
        <v>JOSE  GARCIA DONAIRE</v>
      </c>
      <c r="J602" s="16">
        <f ca="1">IFERROR(__xludf.DUMMYFUNCTION("""COMPUTED_VALUE"""),46093)</f>
        <v>46093</v>
      </c>
      <c r="K602" s="6" t="str">
        <f ca="1">IFERROR(__xludf.DUMMYFUNCTION("""COMPUTED_VALUE"""),"Presupuesto")</f>
        <v>Presupuesto</v>
      </c>
      <c r="L602" s="16">
        <f ca="1">IFERROR(__xludf.DUMMYFUNCTION("""COMPUTED_VALUE"""),46099)</f>
        <v>46099</v>
      </c>
      <c r="M602" s="23" t="str">
        <f ca="1">IFERROR(__xludf.DUMMYFUNCTION("""COMPUTED_VALUE"""),"NO")</f>
        <v>NO</v>
      </c>
      <c r="N602" s="15">
        <f ca="1">IFERROR(__xludf.DUMMYFUNCTION("""COMPUTED_VALUE"""),1)</f>
        <v>1</v>
      </c>
      <c r="O602" s="23" t="str">
        <f ca="1">IFERROR(__xludf.DUMMYFUNCTION("""COMPUTED_VALUE"""),"QUIET")</f>
        <v>QUIET</v>
      </c>
      <c r="P602" s="21">
        <f ca="1">IFERROR(__xludf.DUMMYFUNCTION("""COMPUTED_VALUE"""),1631.82)</f>
        <v>1631.82</v>
      </c>
      <c r="Q602" s="6" t="str">
        <f ca="1">IFERROR(__xludf.DUMMYFUNCTION("""COMPUTED_VALUE"""),"Luis Alberto Rodríguez")</f>
        <v>Luis Alberto Rodríguez</v>
      </c>
      <c r="R602" s="6" t="str">
        <f ca="1">IFERROR(__xludf.DUMMYFUNCTION("""COMPUTED_VALUE"""),"Maria Del Carmen Salom Coveñas")</f>
        <v>Maria Del Carmen Salom Coveñas</v>
      </c>
      <c r="S602" s="20" t="str">
        <f ca="1">IFERROR(__xludf.DUMMYFUNCTION("""COMPUTED_VALUE"""),"03 ORL")</f>
        <v>03 ORL</v>
      </c>
      <c r="T602" s="6" t="str">
        <f ca="1">IFERROR(__xludf.DUMMYFUNCTION("""COMPUTED_VALUE"""),"06 ORL")</f>
        <v>06 ORL</v>
      </c>
      <c r="U602" s="21"/>
      <c r="W602" s="20"/>
      <c r="X602" s="21"/>
    </row>
    <row r="603" spans="2:37" ht="16">
      <c r="B603" s="26" t="str">
        <f t="shared" ca="1" si="3"/>
        <v>LAA</v>
      </c>
      <c r="C603" s="23" t="str">
        <f ca="1">IFERROR(__xludf.DUMMYFUNCTION("""COMPUTED_VALUE"""),"LAA72")</f>
        <v>LAA72</v>
      </c>
      <c r="D603" s="6" t="str">
        <f ca="1">IFERROR(__xludf.DUMMYFUNCTION("""COMPUTED_VALUE"""),"PROPIOS")</f>
        <v>PROPIOS</v>
      </c>
      <c r="E603" s="6">
        <f ca="1">IFERROR(__xludf.DUMMYFUNCTION("""COMPUTED_VALUE"""),2026)</f>
        <v>2026</v>
      </c>
      <c r="F603" s="15">
        <f ca="1">IFERROR(__xludf.DUMMYFUNCTION("""COMPUTED_VALUE"""),1)</f>
        <v>1</v>
      </c>
      <c r="G603" s="6" t="str">
        <f ca="1">IFERROR(__xludf.DUMMYFUNCTION("""COMPUTED_VALUE"""),"Jerez de la Frontera")</f>
        <v>Jerez de la Frontera</v>
      </c>
      <c r="H603" s="6" t="str">
        <f ca="1">IFERROR(__xludf.DUMMYFUNCTION("""COMPUTED_VALUE"""),"C202611213373311713")</f>
        <v>C202611213373311713</v>
      </c>
      <c r="I603" s="6" t="str">
        <f ca="1">IFERROR(__xludf.DUMMYFUNCTION("""COMPUTED_VALUE"""),"JUANA REINA MORALES")</f>
        <v>JUANA REINA MORALES</v>
      </c>
      <c r="J603" s="16">
        <f ca="1">IFERROR(__xludf.DUMMYFUNCTION("""COMPUTED_VALUE"""),46034)</f>
        <v>46034</v>
      </c>
      <c r="K603" s="6" t="str">
        <f ca="1">IFERROR(__xludf.DUMMYFUNCTION("""COMPUTED_VALUE"""),"Presupuesto")</f>
        <v>Presupuesto</v>
      </c>
      <c r="L603" s="16">
        <f ca="1">IFERROR(__xludf.DUMMYFUNCTION("""COMPUTED_VALUE"""),46036)</f>
        <v>46036</v>
      </c>
      <c r="M603" s="17" t="str">
        <f ca="1">IFERROR(__xludf.DUMMYFUNCTION("""COMPUTED_VALUE"""),"NO")</f>
        <v>NO</v>
      </c>
      <c r="N603" s="15">
        <f ca="1">IFERROR(__xludf.DUMMYFUNCTION("""COMPUTED_VALUE"""),2)</f>
        <v>2</v>
      </c>
      <c r="O603" s="23" t="str">
        <f ca="1">IFERROR(__xludf.DUMMYFUNCTION("""COMPUTED_VALUE"""),"QUIET")</f>
        <v>QUIET</v>
      </c>
      <c r="P603" s="21">
        <f ca="1">IFERROR(__xludf.DUMMYFUNCTION("""COMPUTED_VALUE"""),2718.18)</f>
        <v>2718.18</v>
      </c>
      <c r="Q603" s="6" t="str">
        <f ca="1">IFERROR(__xludf.DUMMYFUNCTION("""COMPUTED_VALUE"""),"Luis Alberto Rodríguez")</f>
        <v>Luis Alberto Rodríguez</v>
      </c>
      <c r="R603" s="6" t="str">
        <f ca="1">IFERROR(__xludf.DUMMYFUNCTION("""COMPUTED_VALUE"""),"Vicente Mira Escartí")</f>
        <v>Vicente Mira Escartí</v>
      </c>
      <c r="S603" s="20" t="str">
        <f ca="1">IFERROR(__xludf.DUMMYFUNCTION("""COMPUTED_VALUE"""),"03 ORL")</f>
        <v>03 ORL</v>
      </c>
      <c r="T603" s="6" t="str">
        <f ca="1">IFERROR(__xludf.DUMMYFUNCTION("""COMPUTED_VALUE"""),"06 ORL")</f>
        <v>06 ORL</v>
      </c>
      <c r="U603" s="21"/>
      <c r="W603" s="20"/>
      <c r="X603" s="21"/>
    </row>
    <row r="604" spans="2:37" ht="16">
      <c r="B604" s="26" t="str">
        <f t="shared" ca="1" si="3"/>
        <v>LAA</v>
      </c>
      <c r="C604" s="23" t="str">
        <f ca="1">IFERROR(__xludf.DUMMYFUNCTION("""COMPUTED_VALUE"""),"LAA13")</f>
        <v>LAA13</v>
      </c>
      <c r="D604" s="6" t="str">
        <f ca="1">IFERROR(__xludf.DUMMYFUNCTION("""COMPUTED_VALUE"""),"PROPIOS")</f>
        <v>PROPIOS</v>
      </c>
      <c r="E604" s="6">
        <f ca="1">IFERROR(__xludf.DUMMYFUNCTION("""COMPUTED_VALUE"""),2026)</f>
        <v>2026</v>
      </c>
      <c r="F604" s="15">
        <f ca="1">IFERROR(__xludf.DUMMYFUNCTION("""COMPUTED_VALUE"""),3)</f>
        <v>3</v>
      </c>
      <c r="G604" s="6" t="str">
        <f ca="1">IFERROR(__xludf.DUMMYFUNCTION("""COMPUTED_VALUE"""),"Jerez de la Frontera")</f>
        <v>Jerez de la Frontera</v>
      </c>
      <c r="H604" s="6" t="str">
        <f ca="1">IFERROR(__xludf.DUMMYFUNCTION("""COMPUTED_VALUE"""),"C202631693126908604")</f>
        <v>C202631693126908604</v>
      </c>
      <c r="I604" s="6" t="str">
        <f ca="1">IFERROR(__xludf.DUMMYFUNCTION("""COMPUTED_VALUE"""),"MAGDALENA MARFIL PEREZ DE LA LASTRA")</f>
        <v>MAGDALENA MARFIL PEREZ DE LA LASTRA</v>
      </c>
      <c r="J604" s="16">
        <f ca="1">IFERROR(__xludf.DUMMYFUNCTION("""COMPUTED_VALUE"""),46097)</f>
        <v>46097</v>
      </c>
      <c r="K604" s="6" t="str">
        <f ca="1">IFERROR(__xludf.DUMMYFUNCTION("""COMPUTED_VALUE"""),"Prueba")</f>
        <v>Prueba</v>
      </c>
      <c r="L604" s="16">
        <f ca="1">IFERROR(__xludf.DUMMYFUNCTION("""COMPUTED_VALUE"""),46105)</f>
        <v>46105</v>
      </c>
      <c r="M604" s="23" t="str">
        <f ca="1">IFERROR(__xludf.DUMMYFUNCTION("""COMPUTED_VALUE"""),"NO")</f>
        <v>NO</v>
      </c>
      <c r="N604" s="15">
        <f ca="1">IFERROR(__xludf.DUMMYFUNCTION("""COMPUTED_VALUE"""),2)</f>
        <v>2</v>
      </c>
      <c r="O604" s="23" t="str">
        <f ca="1">IFERROR(__xludf.DUMMYFUNCTION("""COMPUTED_VALUE"""),"PRO")</f>
        <v>PRO</v>
      </c>
      <c r="P604" s="21">
        <f ca="1">IFERROR(__xludf.DUMMYFUNCTION("""COMPUTED_VALUE"""),4736.36)</f>
        <v>4736.3599999999997</v>
      </c>
      <c r="Q604" s="6" t="str">
        <f ca="1">IFERROR(__xludf.DUMMYFUNCTION("""COMPUTED_VALUE"""),"Luis Alberto Rodríguez")</f>
        <v>Luis Alberto Rodríguez</v>
      </c>
      <c r="R604" s="6" t="str">
        <f ca="1">IFERROR(__xludf.DUMMYFUNCTION("""COMPUTED_VALUE"""),"Francisco Javier Aguilar Vera")</f>
        <v>Francisco Javier Aguilar Vera</v>
      </c>
      <c r="S604" s="20" t="str">
        <f ca="1">IFERROR(__xludf.DUMMYFUNCTION("""COMPUTED_VALUE"""),"03 ORL")</f>
        <v>03 ORL</v>
      </c>
      <c r="T604" s="6" t="str">
        <f ca="1">IFERROR(__xludf.DUMMYFUNCTION("""COMPUTED_VALUE"""),"06 ORL")</f>
        <v>06 ORL</v>
      </c>
      <c r="U604" s="21"/>
      <c r="W604" s="20"/>
      <c r="X604" s="21"/>
    </row>
    <row r="605" spans="2:37" ht="16">
      <c r="B605" s="26" t="str">
        <f t="shared" ca="1" si="3"/>
        <v>LAA</v>
      </c>
      <c r="C605" s="23" t="str">
        <f ca="1">IFERROR(__xludf.DUMMYFUNCTION("""COMPUTED_VALUE"""),"LAA76")</f>
        <v>LAA76</v>
      </c>
      <c r="D605" s="6" t="str">
        <f ca="1">IFERROR(__xludf.DUMMYFUNCTION("""COMPUTED_VALUE"""),"PROPIOS")</f>
        <v>PROPIOS</v>
      </c>
      <c r="E605" s="6">
        <f ca="1">IFERROR(__xludf.DUMMYFUNCTION("""COMPUTED_VALUE"""),2026)</f>
        <v>2026</v>
      </c>
      <c r="F605" s="15">
        <f ca="1">IFERROR(__xludf.DUMMYFUNCTION("""COMPUTED_VALUE"""),1)</f>
        <v>1</v>
      </c>
      <c r="G605" s="6" t="str">
        <f ca="1">IFERROR(__xludf.DUMMYFUNCTION("""COMPUTED_VALUE"""),"Jerez de la Frontera")</f>
        <v>Jerez de la Frontera</v>
      </c>
      <c r="H605" s="6" t="str">
        <f ca="1">IFERROR(__xludf.DUMMYFUNCTION("""COMPUTED_VALUE"""),"C202511261875668873")</f>
        <v>C202511261875668873</v>
      </c>
      <c r="I605" s="6" t="str">
        <f ca="1">IFERROR(__xludf.DUMMYFUNCTION("""COMPUTED_VALUE"""),"MARIA DEL CARMEN RUIZ GARCIA")</f>
        <v>MARIA DEL CARMEN RUIZ GARCIA</v>
      </c>
      <c r="J605" s="16">
        <f ca="1">IFERROR(__xludf.DUMMYFUNCTION("""COMPUTED_VALUE"""),45987)</f>
        <v>45987</v>
      </c>
      <c r="K605" s="6" t="str">
        <f ca="1">IFERROR(__xludf.DUMMYFUNCTION("""COMPUTED_VALUE"""),"Devuelve")</f>
        <v>Devuelve</v>
      </c>
      <c r="L605" s="16">
        <f ca="1">IFERROR(__xludf.DUMMYFUNCTION("""COMPUTED_VALUE"""),46030)</f>
        <v>46030</v>
      </c>
      <c r="M605" s="23" t="str">
        <f ca="1">IFERROR(__xludf.DUMMYFUNCTION("""COMPUTED_VALUE"""),"NO")</f>
        <v>NO</v>
      </c>
      <c r="N605" s="15">
        <f ca="1">IFERROR(__xludf.DUMMYFUNCTION("""COMPUTED_VALUE"""),1)</f>
        <v>1</v>
      </c>
      <c r="O605" s="23" t="str">
        <f ca="1">IFERROR(__xludf.DUMMYFUNCTION("""COMPUTED_VALUE"""),"ADVANCED")</f>
        <v>ADVANCED</v>
      </c>
      <c r="P605" s="21">
        <f ca="1">IFERROR(__xludf.DUMMYFUNCTION("""COMPUTED_VALUE"""),3200)</f>
        <v>3200</v>
      </c>
      <c r="Q605" s="6" t="str">
        <f ca="1">IFERROR(__xludf.DUMMYFUNCTION("""COMPUTED_VALUE"""),"Luis Alberto Rodríguez")</f>
        <v>Luis Alberto Rodríguez</v>
      </c>
      <c r="R605" s="6" t="str">
        <f ca="1">IFERROR(__xludf.DUMMYFUNCTION("""COMPUTED_VALUE"""),"Gumersindo Jesús Pérez Ortega")</f>
        <v>Gumersindo Jesús Pérez Ortega</v>
      </c>
      <c r="S605" s="20" t="str">
        <f ca="1">IFERROR(__xludf.DUMMYFUNCTION("""COMPUTED_VALUE"""),"03 ORL")</f>
        <v>03 ORL</v>
      </c>
      <c r="T605" s="6" t="str">
        <f ca="1">IFERROR(__xludf.DUMMYFUNCTION("""COMPUTED_VALUE"""),"06 ORL")</f>
        <v>06 ORL</v>
      </c>
      <c r="U605" s="21"/>
      <c r="W605" s="20"/>
      <c r="X605" s="21"/>
    </row>
    <row r="606" spans="2:37" ht="16">
      <c r="B606" s="26" t="str">
        <f t="shared" ca="1" si="3"/>
        <v>LAA</v>
      </c>
      <c r="C606" s="23" t="str">
        <f ca="1">IFERROR(__xludf.DUMMYFUNCTION("""COMPUTED_VALUE"""),"LAA78")</f>
        <v>LAA78</v>
      </c>
      <c r="D606" s="6" t="str">
        <f ca="1">IFERROR(__xludf.DUMMYFUNCTION("""COMPUTED_VALUE"""),"PROPIOS")</f>
        <v>PROPIOS</v>
      </c>
      <c r="E606" s="6">
        <f ca="1">IFERROR(__xludf.DUMMYFUNCTION("""COMPUTED_VALUE"""),2026)</f>
        <v>2026</v>
      </c>
      <c r="F606" s="15">
        <f ca="1">IFERROR(__xludf.DUMMYFUNCTION("""COMPUTED_VALUE"""),3)</f>
        <v>3</v>
      </c>
      <c r="G606" s="6" t="str">
        <f ca="1">IFERROR(__xludf.DUMMYFUNCTION("""COMPUTED_VALUE"""),"Jerez de la Frontera")</f>
        <v>Jerez de la Frontera</v>
      </c>
      <c r="H606" s="6" t="str">
        <f ca="1">IFERROR(__xludf.DUMMYFUNCTION("""COMPUTED_VALUE"""),"C202635103639826023")</f>
        <v>C202635103639826023</v>
      </c>
      <c r="I606" s="6" t="str">
        <f ca="1">IFERROR(__xludf.DUMMYFUNCTION("""COMPUTED_VALUE"""),"MONTSERRAT DOMINGUEZ VEGA")</f>
        <v>MONTSERRAT DOMINGUEZ VEGA</v>
      </c>
      <c r="J606" s="16">
        <f ca="1">IFERROR(__xludf.DUMMYFUNCTION("""COMPUTED_VALUE"""),46086)</f>
        <v>46086</v>
      </c>
      <c r="K606" s="6" t="str">
        <f ca="1">IFERROR(__xludf.DUMMYFUNCTION("""COMPUTED_VALUE"""),"Prueba")</f>
        <v>Prueba</v>
      </c>
      <c r="L606" s="16">
        <f ca="1">IFERROR(__xludf.DUMMYFUNCTION("""COMPUTED_VALUE"""),46105)</f>
        <v>46105</v>
      </c>
      <c r="M606" s="23" t="str">
        <f ca="1">IFERROR(__xludf.DUMMYFUNCTION("""COMPUTED_VALUE"""),"NO")</f>
        <v>NO</v>
      </c>
      <c r="N606" s="15">
        <f ca="1">IFERROR(__xludf.DUMMYFUNCTION("""COMPUTED_VALUE"""),2)</f>
        <v>2</v>
      </c>
      <c r="O606" s="23" t="str">
        <f ca="1">IFERROR(__xludf.DUMMYFUNCTION("""COMPUTED_VALUE"""),"ADVANCED")</f>
        <v>ADVANCED</v>
      </c>
      <c r="P606" s="21">
        <f ca="1">IFERROR(__xludf.DUMMYFUNCTION("""COMPUTED_VALUE"""),4136.36)</f>
        <v>4136.3599999999997</v>
      </c>
      <c r="Q606" s="6" t="str">
        <f ca="1">IFERROR(__xludf.DUMMYFUNCTION("""COMPUTED_VALUE"""),"Luis Alberto Rodríguez")</f>
        <v>Luis Alberto Rodríguez</v>
      </c>
      <c r="R606" s="6" t="str">
        <f ca="1">IFERROR(__xludf.DUMMYFUNCTION("""COMPUTED_VALUE"""),"Maria Del Carmen Salom Coveñas")</f>
        <v>Maria Del Carmen Salom Coveñas</v>
      </c>
      <c r="S606" s="20" t="str">
        <f ca="1">IFERROR(__xludf.DUMMYFUNCTION("""COMPUTED_VALUE"""),"03 ORL")</f>
        <v>03 ORL</v>
      </c>
      <c r="T606" s="6" t="str">
        <f ca="1">IFERROR(__xludf.DUMMYFUNCTION("""COMPUTED_VALUE"""),"06 ORL")</f>
        <v>06 ORL</v>
      </c>
      <c r="U606" s="21"/>
      <c r="W606" s="20"/>
      <c r="X606" s="21"/>
    </row>
    <row r="607" spans="2:37" ht="16">
      <c r="B607" s="26" t="str">
        <f t="shared" ca="1" si="3"/>
        <v>MBM</v>
      </c>
      <c r="C607" s="23" t="str">
        <f ca="1">IFERROR(__xludf.DUMMYFUNCTION("""COMPUTED_VALUE"""),"MBM223")</f>
        <v>MBM223</v>
      </c>
      <c r="D607" s="6" t="str">
        <f ca="1">IFERROR(__xludf.DUMMYFUNCTION("""COMPUTED_VALUE"""),"PROPIOS")</f>
        <v>PROPIOS</v>
      </c>
      <c r="E607" s="6">
        <f ca="1">IFERROR(__xludf.DUMMYFUNCTION("""COMPUTED_VALUE"""),2026)</f>
        <v>2026</v>
      </c>
      <c r="F607" s="15">
        <f ca="1">IFERROR(__xludf.DUMMYFUNCTION("""COMPUTED_VALUE"""),3)</f>
        <v>3</v>
      </c>
      <c r="G607" s="6" t="str">
        <f ca="1">IFERROR(__xludf.DUMMYFUNCTION("""COMPUTED_VALUE"""),"Leganés")</f>
        <v>Leganés</v>
      </c>
      <c r="H607" s="6" t="str">
        <f ca="1">IFERROR(__xludf.DUMMYFUNCTION("""COMPUTED_VALUE"""),"C202631918223956423")</f>
        <v>C202631918223956423</v>
      </c>
      <c r="I607" s="6" t="str">
        <f ca="1">IFERROR(__xludf.DUMMYFUNCTION("""COMPUTED_VALUE"""),"ANA MARIA GUZMAN JIMENEZ")</f>
        <v>ANA MARIA GUZMAN JIMENEZ</v>
      </c>
      <c r="J607" s="16">
        <f ca="1">IFERROR(__xludf.DUMMYFUNCTION("""COMPUTED_VALUE"""),46100)</f>
        <v>46100</v>
      </c>
      <c r="K607" s="6" t="str">
        <f ca="1">IFERROR(__xludf.DUMMYFUNCTION("""COMPUTED_VALUE"""),"Prueba")</f>
        <v>Prueba</v>
      </c>
      <c r="L607" s="16">
        <f ca="1">IFERROR(__xludf.DUMMYFUNCTION("""COMPUTED_VALUE"""),46111)</f>
        <v>46111</v>
      </c>
      <c r="M607" s="23" t="str">
        <f ca="1">IFERROR(__xludf.DUMMYFUNCTION("""COMPUTED_VALUE"""),"NO")</f>
        <v>NO</v>
      </c>
      <c r="N607" s="15">
        <f ca="1">IFERROR(__xludf.DUMMYFUNCTION("""COMPUTED_VALUE"""),2)</f>
        <v>2</v>
      </c>
      <c r="O607" s="23" t="str">
        <f ca="1">IFERROR(__xludf.DUMMYFUNCTION("""COMPUTED_VALUE"""),"QUIET")</f>
        <v>QUIET</v>
      </c>
      <c r="P607" s="21">
        <f ca="1">IFERROR(__xludf.DUMMYFUNCTION("""COMPUTED_VALUE"""),2717.31)</f>
        <v>2717.31</v>
      </c>
      <c r="Q607" s="6" t="str">
        <f ca="1">IFERROR(__xludf.DUMMYFUNCTION("""COMPUTED_VALUE"""),"Maika Blázquez")</f>
        <v>Maika Blázquez</v>
      </c>
      <c r="R607" s="6" t="str">
        <f ca="1">IFERROR(__xludf.DUMMYFUNCTION("""COMPUTED_VALUE"""),"Cristina Vaduva")</f>
        <v>Cristina Vaduva</v>
      </c>
      <c r="S607" s="20" t="str">
        <f ca="1">IFERROR(__xludf.DUMMYFUNCTION("""COMPUTED_VALUE"""),"03 ORL")</f>
        <v>03 ORL</v>
      </c>
      <c r="T607" s="6" t="str">
        <f ca="1">IFERROR(__xludf.DUMMYFUNCTION("""COMPUTED_VALUE"""),"06 ORL")</f>
        <v>06 ORL</v>
      </c>
      <c r="U607" s="21"/>
      <c r="W607" s="20"/>
      <c r="X607" s="21"/>
    </row>
    <row r="608" spans="2:37" ht="16">
      <c r="B608" s="26" t="str">
        <f t="shared" ca="1" si="3"/>
        <v>MBM</v>
      </c>
      <c r="C608" s="23" t="str">
        <f ca="1">IFERROR(__xludf.DUMMYFUNCTION("""COMPUTED_VALUE"""),"MBM194")</f>
        <v>MBM194</v>
      </c>
      <c r="D608" s="6" t="str">
        <f ca="1">IFERROR(__xludf.DUMMYFUNCTION("""COMPUTED_VALUE"""),"PROPIOS")</f>
        <v>PROPIOS</v>
      </c>
      <c r="E608" s="6">
        <f ca="1">IFERROR(__xludf.DUMMYFUNCTION("""COMPUTED_VALUE"""),2026)</f>
        <v>2026</v>
      </c>
      <c r="F608" s="15">
        <f ca="1">IFERROR(__xludf.DUMMYFUNCTION("""COMPUTED_VALUE"""),2)</f>
        <v>2</v>
      </c>
      <c r="G608" s="6" t="str">
        <f ca="1">IFERROR(__xludf.DUMMYFUNCTION("""COMPUTED_VALUE"""),"Leganés")</f>
        <v>Leganés</v>
      </c>
      <c r="H608" s="6" t="str">
        <f ca="1">IFERROR(__xludf.DUMMYFUNCTION("""COMPUTED_VALUE"""),"C202612114124384390")</f>
        <v>C202612114124384390</v>
      </c>
      <c r="I608" s="6" t="str">
        <f ca="1">IFERROR(__xludf.DUMMYFUNCTION("""COMPUTED_VALUE"""),"CAMILA GALLEGOS TELLO")</f>
        <v>CAMILA GALLEGOS TELLO</v>
      </c>
      <c r="J608" s="16">
        <f ca="1">IFERROR(__xludf.DUMMYFUNCTION("""COMPUTED_VALUE"""),46043)</f>
        <v>46043</v>
      </c>
      <c r="K608" s="6" t="str">
        <f ca="1">IFERROR(__xludf.DUMMYFUNCTION("""COMPUTED_VALUE"""),"Prueba")</f>
        <v>Prueba</v>
      </c>
      <c r="L608" s="16">
        <f ca="1">IFERROR(__xludf.DUMMYFUNCTION("""COMPUTED_VALUE"""),46077)</f>
        <v>46077</v>
      </c>
      <c r="M608" s="23" t="str">
        <f ca="1">IFERROR(__xludf.DUMMYFUNCTION("""COMPUTED_VALUE"""),"NO")</f>
        <v>NO</v>
      </c>
      <c r="N608" s="15">
        <f ca="1">IFERROR(__xludf.DUMMYFUNCTION("""COMPUTED_VALUE"""),1)</f>
        <v>1</v>
      </c>
      <c r="O608" s="23" t="str">
        <f ca="1">IFERROR(__xludf.DUMMYFUNCTION("""COMPUTED_VALUE"""),"CONFORT")</f>
        <v>CONFORT</v>
      </c>
      <c r="P608" s="21">
        <f ca="1">IFERROR(__xludf.DUMMYFUNCTION("""COMPUTED_VALUE"""),2899.09)</f>
        <v>2899.09</v>
      </c>
      <c r="Q608" s="6" t="str">
        <f ca="1">IFERROR(__xludf.DUMMYFUNCTION("""COMPUTED_VALUE"""),"Maika Blázquez")</f>
        <v>Maika Blázquez</v>
      </c>
      <c r="R608" s="6" t="str">
        <f ca="1">IFERROR(__xludf.DUMMYFUNCTION("""COMPUTED_VALUE"""),"Carles Heredia Llinás")</f>
        <v>Carles Heredia Llinás</v>
      </c>
      <c r="S608" s="20" t="str">
        <f ca="1">IFERROR(__xludf.DUMMYFUNCTION("""COMPUTED_VALUE"""),"03 ORL")</f>
        <v>03 ORL</v>
      </c>
      <c r="T608" s="6" t="str">
        <f ca="1">IFERROR(__xludf.DUMMYFUNCTION("""COMPUTED_VALUE"""),"06 ORL")</f>
        <v>06 ORL</v>
      </c>
      <c r="U608" s="21"/>
      <c r="W608" s="20"/>
      <c r="X608" s="21"/>
      <c r="AK608" s="1"/>
    </row>
    <row r="609" spans="2:24" ht="16">
      <c r="B609" s="26" t="str">
        <f t="shared" ca="1" si="3"/>
        <v>MBM</v>
      </c>
      <c r="C609" s="23" t="str">
        <f ca="1">IFERROR(__xludf.DUMMYFUNCTION("""COMPUTED_VALUE"""),"MBM109")</f>
        <v>MBM109</v>
      </c>
      <c r="D609" s="6" t="str">
        <f ca="1">IFERROR(__xludf.DUMMYFUNCTION("""COMPUTED_VALUE"""),"PROPIOS")</f>
        <v>PROPIOS</v>
      </c>
      <c r="E609" s="6">
        <f ca="1">IFERROR(__xludf.DUMMYFUNCTION("""COMPUTED_VALUE"""),2026)</f>
        <v>2026</v>
      </c>
      <c r="F609" s="15">
        <f ca="1">IFERROR(__xludf.DUMMYFUNCTION("""COMPUTED_VALUE"""),1)</f>
        <v>1</v>
      </c>
      <c r="G609" s="6" t="str">
        <f ca="1">IFERROR(__xludf.DUMMYFUNCTION("""COMPUTED_VALUE"""),"Leganés")</f>
        <v>Leganés</v>
      </c>
      <c r="H609" s="6" t="str">
        <f ca="1">IFERROR(__xludf.DUMMYFUNCTION("""COMPUTED_VALUE"""),"C202512169582790095")</f>
        <v>C202512169582790095</v>
      </c>
      <c r="I609" s="6" t="str">
        <f ca="1">IFERROR(__xludf.DUMMYFUNCTION("""COMPUTED_VALUE"""),"CARMEN GARCIA FUENTELSAS")</f>
        <v>CARMEN GARCIA FUENTELSAS</v>
      </c>
      <c r="J609" s="16">
        <f ca="1">IFERROR(__xludf.DUMMYFUNCTION("""COMPUTED_VALUE"""),46007)</f>
        <v>46007</v>
      </c>
      <c r="K609" s="6" t="str">
        <f ca="1">IFERROR(__xludf.DUMMYFUNCTION("""COMPUTED_VALUE"""),"Devuelve")</f>
        <v>Devuelve</v>
      </c>
      <c r="L609" s="16">
        <f ca="1">IFERROR(__xludf.DUMMYFUNCTION("""COMPUTED_VALUE"""),46034)</f>
        <v>46034</v>
      </c>
      <c r="M609" s="23" t="str">
        <f ca="1">IFERROR(__xludf.DUMMYFUNCTION("""COMPUTED_VALUE"""),"NO")</f>
        <v>NO</v>
      </c>
      <c r="N609" s="15">
        <f ca="1">IFERROR(__xludf.DUMMYFUNCTION("""COMPUTED_VALUE"""),1)</f>
        <v>1</v>
      </c>
      <c r="O609" s="23" t="str">
        <f ca="1">IFERROR(__xludf.DUMMYFUNCTION("""COMPUTED_VALUE"""),"QUIET")</f>
        <v>QUIET</v>
      </c>
      <c r="P609" s="21">
        <f ca="1">IFERROR(__xludf.DUMMYFUNCTION("""COMPUTED_VALUE"""),1631.82)</f>
        <v>1631.82</v>
      </c>
      <c r="Q609" s="6" t="str">
        <f ca="1">IFERROR(__xludf.DUMMYFUNCTION("""COMPUTED_VALUE"""),"Maika Blázquez")</f>
        <v>Maika Blázquez</v>
      </c>
      <c r="R609" s="6" t="str">
        <f ca="1">IFERROR(__xludf.DUMMYFUNCTION("""COMPUTED_VALUE"""),"Desirée Méndez Brenderbache")</f>
        <v>Desirée Méndez Brenderbache</v>
      </c>
      <c r="S609" s="20" t="str">
        <f ca="1">IFERROR(__xludf.DUMMYFUNCTION("""COMPUTED_VALUE"""),"03 ORL")</f>
        <v>03 ORL</v>
      </c>
      <c r="T609" s="6" t="str">
        <f ca="1">IFERROR(__xludf.DUMMYFUNCTION("""COMPUTED_VALUE"""),"06 ORL")</f>
        <v>06 ORL</v>
      </c>
      <c r="U609" s="21"/>
      <c r="W609" s="20"/>
      <c r="X609" s="21"/>
    </row>
    <row r="610" spans="2:24" ht="16">
      <c r="B610" s="26" t="str">
        <f t="shared" ca="1" si="3"/>
        <v/>
      </c>
      <c r="C610" s="23"/>
      <c r="D610" s="6" t="str">
        <f ca="1">IFERROR(__xludf.DUMMYFUNCTION("""COMPUTED_VALUE"""),"PROPIOS")</f>
        <v>PROPIOS</v>
      </c>
      <c r="E610" s="6">
        <f ca="1">IFERROR(__xludf.DUMMYFUNCTION("""COMPUTED_VALUE"""),2026)</f>
        <v>2026</v>
      </c>
      <c r="F610" s="15">
        <f ca="1">IFERROR(__xludf.DUMMYFUNCTION("""COMPUTED_VALUE"""),1)</f>
        <v>1</v>
      </c>
      <c r="G610" s="6" t="str">
        <f ca="1">IFERROR(__xludf.DUMMYFUNCTION("""COMPUTED_VALUE"""),"Leganés")</f>
        <v>Leganés</v>
      </c>
      <c r="H610" s="6" t="str">
        <f ca="1">IFERROR(__xludf.DUMMYFUNCTION("""COMPUTED_VALUE"""),"C202611610222827064")</f>
        <v>C202611610222827064</v>
      </c>
      <c r="I610" s="6" t="str">
        <f ca="1">IFERROR(__xludf.DUMMYFUNCTION("""COMPUTED_VALUE"""),"CARMEN MUÑOZ PULIDO")</f>
        <v>CARMEN MUÑOZ PULIDO</v>
      </c>
      <c r="J610" s="16">
        <f ca="1">IFERROR(__xludf.DUMMYFUNCTION("""COMPUTED_VALUE"""),46038)</f>
        <v>46038</v>
      </c>
      <c r="K610" s="6" t="str">
        <f ca="1">IFERROR(__xludf.DUMMYFUNCTION("""COMPUTED_VALUE"""),"Presupuesto")</f>
        <v>Presupuesto</v>
      </c>
      <c r="L610" s="16">
        <f ca="1">IFERROR(__xludf.DUMMYFUNCTION("""COMPUTED_VALUE"""),46045)</f>
        <v>46045</v>
      </c>
      <c r="M610" s="23" t="str">
        <f ca="1">IFERROR(__xludf.DUMMYFUNCTION("""COMPUTED_VALUE"""),"NO")</f>
        <v>NO</v>
      </c>
      <c r="N610" s="15">
        <f ca="1">IFERROR(__xludf.DUMMYFUNCTION("""COMPUTED_VALUE"""),2)</f>
        <v>2</v>
      </c>
      <c r="O610" s="23" t="str">
        <f ca="1">IFERROR(__xludf.DUMMYFUNCTION("""COMPUTED_VALUE"""),"QUIET")</f>
        <v>QUIET</v>
      </c>
      <c r="P610" s="21">
        <f ca="1">IFERROR(__xludf.DUMMYFUNCTION("""COMPUTED_VALUE"""),2718.18)</f>
        <v>2718.18</v>
      </c>
      <c r="Q610" s="6" t="str">
        <f ca="1">IFERROR(__xludf.DUMMYFUNCTION("""COMPUTED_VALUE"""),"Maika Blázquez")</f>
        <v>Maika Blázquez</v>
      </c>
      <c r="R610" s="6" t="str">
        <f ca="1">IFERROR(__xludf.DUMMYFUNCTION("""COMPUTED_VALUE"""),"No recuerda ORL")</f>
        <v>No recuerda ORL</v>
      </c>
      <c r="S610" s="20" t="str">
        <f ca="1">IFERROR(__xludf.DUMMYFUNCTION("""COMPUTED_VALUE"""),"03 ORL")</f>
        <v>03 ORL</v>
      </c>
      <c r="T610" s="6" t="str">
        <f ca="1">IFERROR(__xludf.DUMMYFUNCTION("""COMPUTED_VALUE"""),"06 ORL")</f>
        <v>06 ORL</v>
      </c>
      <c r="U610" s="21"/>
      <c r="W610" s="20"/>
      <c r="X610" s="21"/>
    </row>
    <row r="611" spans="2:24" ht="16">
      <c r="B611" s="26" t="str">
        <f t="shared" ca="1" si="3"/>
        <v>MBM</v>
      </c>
      <c r="C611" s="23" t="str">
        <f ca="1">IFERROR(__xludf.DUMMYFUNCTION("""COMPUTED_VALUE"""),"MBM108")</f>
        <v>MBM108</v>
      </c>
      <c r="D611" s="6" t="str">
        <f ca="1">IFERROR(__xludf.DUMMYFUNCTION("""COMPUTED_VALUE"""),"PROPIOS")</f>
        <v>PROPIOS</v>
      </c>
      <c r="E611" s="6">
        <f ca="1">IFERROR(__xludf.DUMMYFUNCTION("""COMPUTED_VALUE"""),2026)</f>
        <v>2026</v>
      </c>
      <c r="F611" s="15">
        <f ca="1">IFERROR(__xludf.DUMMYFUNCTION("""COMPUTED_VALUE"""),3)</f>
        <v>3</v>
      </c>
      <c r="G611" s="6" t="str">
        <f ca="1">IFERROR(__xludf.DUMMYFUNCTION("""COMPUTED_VALUE"""),"Leganés")</f>
        <v>Leganés</v>
      </c>
      <c r="H611" s="6" t="str">
        <f ca="1">IFERROR(__xludf.DUMMYFUNCTION("""COMPUTED_VALUE"""),"C202639104738401698")</f>
        <v>C202639104738401698</v>
      </c>
      <c r="I611" s="6" t="str">
        <f ca="1">IFERROR(__xludf.DUMMYFUNCTION("""COMPUTED_VALUE"""),"CONCEPCION APARICIO SERRANO")</f>
        <v>CONCEPCION APARICIO SERRANO</v>
      </c>
      <c r="J611" s="16">
        <f ca="1">IFERROR(__xludf.DUMMYFUNCTION("""COMPUTED_VALUE"""),46090)</f>
        <v>46090</v>
      </c>
      <c r="K611" s="6" t="str">
        <f ca="1">IFERROR(__xludf.DUMMYFUNCTION("""COMPUTED_VALUE"""),"Pedido")</f>
        <v>Pedido</v>
      </c>
      <c r="L611" s="16">
        <f ca="1">IFERROR(__xludf.DUMMYFUNCTION("""COMPUTED_VALUE"""),46107)</f>
        <v>46107</v>
      </c>
      <c r="M611" s="23" t="str">
        <f ca="1">IFERROR(__xludf.DUMMYFUNCTION("""COMPUTED_VALUE"""),"NO")</f>
        <v>NO</v>
      </c>
      <c r="N611" s="15">
        <f ca="1">IFERROR(__xludf.DUMMYFUNCTION("""COMPUTED_VALUE"""),1)</f>
        <v>1</v>
      </c>
      <c r="O611" s="23" t="str">
        <f ca="1">IFERROR(__xludf.DUMMYFUNCTION("""COMPUTED_VALUE"""),"QUIET")</f>
        <v>QUIET</v>
      </c>
      <c r="P611" s="21">
        <f ca="1">IFERROR(__xludf.DUMMYFUNCTION("""COMPUTED_VALUE"""),1631.82)</f>
        <v>1631.82</v>
      </c>
      <c r="Q611" s="6" t="str">
        <f ca="1">IFERROR(__xludf.DUMMYFUNCTION("""COMPUTED_VALUE"""),"Maika Blázquez")</f>
        <v>Maika Blázquez</v>
      </c>
      <c r="R611" s="6" t="str">
        <f ca="1">IFERROR(__xludf.DUMMYFUNCTION("""COMPUTED_VALUE"""),"Mar Lasso de la Vega Zamora")</f>
        <v>Mar Lasso de la Vega Zamora</v>
      </c>
      <c r="S611" s="20" t="str">
        <f ca="1">IFERROR(__xludf.DUMMYFUNCTION("""COMPUTED_VALUE"""),"03 ORL")</f>
        <v>03 ORL</v>
      </c>
      <c r="T611" s="6" t="str">
        <f ca="1">IFERROR(__xludf.DUMMYFUNCTION("""COMPUTED_VALUE"""),"06 ORL")</f>
        <v>06 ORL</v>
      </c>
      <c r="U611" s="21"/>
      <c r="W611" s="20"/>
      <c r="X611" s="21"/>
    </row>
    <row r="612" spans="2:24" ht="16">
      <c r="B612" s="26" t="str">
        <f t="shared" ca="1" si="3"/>
        <v>MBM</v>
      </c>
      <c r="C612" s="23" t="str">
        <f ca="1">IFERROR(__xludf.DUMMYFUNCTION("""COMPUTED_VALUE"""),"MBM43")</f>
        <v>MBM43</v>
      </c>
      <c r="D612" s="6" t="str">
        <f ca="1">IFERROR(__xludf.DUMMYFUNCTION("""COMPUTED_VALUE"""),"PROPIOS")</f>
        <v>PROPIOS</v>
      </c>
      <c r="E612" s="6">
        <f ca="1">IFERROR(__xludf.DUMMYFUNCTION("""COMPUTED_VALUE"""),2026)</f>
        <v>2026</v>
      </c>
      <c r="F612" s="15">
        <f ca="1">IFERROR(__xludf.DUMMYFUNCTION("""COMPUTED_VALUE"""),3)</f>
        <v>3</v>
      </c>
      <c r="G612" s="6" t="str">
        <f ca="1">IFERROR(__xludf.DUMMYFUNCTION("""COMPUTED_VALUE"""),"Leganés")</f>
        <v>Leganés</v>
      </c>
      <c r="H612" s="6" t="str">
        <f ca="1">IFERROR(__xludf.DUMMYFUNCTION("""COMPUTED_VALUE"""),"C202621816929154163")</f>
        <v>C202621816929154163</v>
      </c>
      <c r="I612" s="6" t="str">
        <f ca="1">IFERROR(__xludf.DUMMYFUNCTION("""COMPUTED_VALUE"""),"EUGENIA ABANADES SOTOCA")</f>
        <v>EUGENIA ABANADES SOTOCA</v>
      </c>
      <c r="J612" s="16">
        <f ca="1">IFERROR(__xludf.DUMMYFUNCTION("""COMPUTED_VALUE"""),46071)</f>
        <v>46071</v>
      </c>
      <c r="K612" s="6" t="str">
        <f ca="1">IFERROR(__xludf.DUMMYFUNCTION("""COMPUTED_VALUE"""),"Prueba")</f>
        <v>Prueba</v>
      </c>
      <c r="L612" s="16">
        <f ca="1">IFERROR(__xludf.DUMMYFUNCTION("""COMPUTED_VALUE"""),46085)</f>
        <v>46085</v>
      </c>
      <c r="M612" s="23" t="str">
        <f ca="1">IFERROR(__xludf.DUMMYFUNCTION("""COMPUTED_VALUE"""),"NO")</f>
        <v>NO</v>
      </c>
      <c r="N612" s="15">
        <f ca="1">IFERROR(__xludf.DUMMYFUNCTION("""COMPUTED_VALUE"""),2)</f>
        <v>2</v>
      </c>
      <c r="O612" s="23" t="str">
        <f ca="1">IFERROR(__xludf.DUMMYFUNCTION("""COMPUTED_VALUE"""),"TRIAL")</f>
        <v>TRIAL</v>
      </c>
      <c r="P612" s="21">
        <f ca="1">IFERROR(__xludf.DUMMYFUNCTION("""COMPUTED_VALUE"""),3631.82)</f>
        <v>3631.82</v>
      </c>
      <c r="Q612" s="6" t="str">
        <f ca="1">IFERROR(__xludf.DUMMYFUNCTION("""COMPUTED_VALUE"""),"Maika Blázquez")</f>
        <v>Maika Blázquez</v>
      </c>
      <c r="R612" s="6" t="str">
        <f ca="1">IFERROR(__xludf.DUMMYFUNCTION("""COMPUTED_VALUE"""),"Jesús Ramos Fernández")</f>
        <v>Jesús Ramos Fernández</v>
      </c>
      <c r="S612" s="20" t="str">
        <f ca="1">IFERROR(__xludf.DUMMYFUNCTION("""COMPUTED_VALUE"""),"03 ORL")</f>
        <v>03 ORL</v>
      </c>
      <c r="T612" s="6" t="str">
        <f ca="1">IFERROR(__xludf.DUMMYFUNCTION("""COMPUTED_VALUE"""),"06 ORL")</f>
        <v>06 ORL</v>
      </c>
      <c r="U612" s="21"/>
      <c r="W612" s="20"/>
      <c r="X612" s="21"/>
    </row>
    <row r="613" spans="2:24" ht="16">
      <c r="B613" s="26" t="str">
        <f t="shared" ca="1" si="3"/>
        <v>MBM</v>
      </c>
      <c r="C613" s="23" t="str">
        <f ca="1">IFERROR(__xludf.DUMMYFUNCTION("""COMPUTED_VALUE"""),"MBM43")</f>
        <v>MBM43</v>
      </c>
      <c r="D613" s="6" t="str">
        <f ca="1">IFERROR(__xludf.DUMMYFUNCTION("""COMPUTED_VALUE"""),"PROPIOS")</f>
        <v>PROPIOS</v>
      </c>
      <c r="E613" s="6">
        <f ca="1">IFERROR(__xludf.DUMMYFUNCTION("""COMPUTED_VALUE"""),2026)</f>
        <v>2026</v>
      </c>
      <c r="F613" s="15">
        <f ca="1">IFERROR(__xludf.DUMMYFUNCTION("""COMPUTED_VALUE"""),3)</f>
        <v>3</v>
      </c>
      <c r="G613" s="6" t="str">
        <f ca="1">IFERROR(__xludf.DUMMYFUNCTION("""COMPUTED_VALUE"""),"Leganés")</f>
        <v>Leganés</v>
      </c>
      <c r="H613" s="6" t="str">
        <f ca="1">IFERROR(__xludf.DUMMYFUNCTION("""COMPUTED_VALUE"""),"C202632085657326631")</f>
        <v>C202632085657326631</v>
      </c>
      <c r="I613" s="6" t="str">
        <f ca="1">IFERROR(__xludf.DUMMYFUNCTION("""COMPUTED_VALUE"""),"FELIPE CARRETERO HERAS")</f>
        <v>FELIPE CARRETERO HERAS</v>
      </c>
      <c r="J613" s="16">
        <f ca="1">IFERROR(__xludf.DUMMYFUNCTION("""COMPUTED_VALUE"""),46101)</f>
        <v>46101</v>
      </c>
      <c r="K613" s="6" t="str">
        <f ca="1">IFERROR(__xludf.DUMMYFUNCTION("""COMPUTED_VALUE"""),"Prueba")</f>
        <v>Prueba</v>
      </c>
      <c r="L613" s="16">
        <f ca="1">IFERROR(__xludf.DUMMYFUNCTION("""COMPUTED_VALUE"""),46111)</f>
        <v>46111</v>
      </c>
      <c r="M613" s="23" t="str">
        <f ca="1">IFERROR(__xludf.DUMMYFUNCTION("""COMPUTED_VALUE"""),"NO")</f>
        <v>NO</v>
      </c>
      <c r="N613" s="15">
        <f ca="1">IFERROR(__xludf.DUMMYFUNCTION("""COMPUTED_VALUE"""),2)</f>
        <v>2</v>
      </c>
      <c r="O613" s="23" t="str">
        <f ca="1">IFERROR(__xludf.DUMMYFUNCTION("""COMPUTED_VALUE"""),"QUIET")</f>
        <v>QUIET</v>
      </c>
      <c r="P613" s="21">
        <f ca="1">IFERROR(__xludf.DUMMYFUNCTION("""COMPUTED_VALUE"""),2717.31)</f>
        <v>2717.31</v>
      </c>
      <c r="Q613" s="6" t="str">
        <f ca="1">IFERROR(__xludf.DUMMYFUNCTION("""COMPUTED_VALUE"""),"Maika Blázquez")</f>
        <v>Maika Blázquez</v>
      </c>
      <c r="R613" s="6" t="str">
        <f ca="1">IFERROR(__xludf.DUMMYFUNCTION("""COMPUTED_VALUE"""),"Jesús Ramos Fernández")</f>
        <v>Jesús Ramos Fernández</v>
      </c>
      <c r="S613" s="20" t="str">
        <f ca="1">IFERROR(__xludf.DUMMYFUNCTION("""COMPUTED_VALUE"""),"01 MARKETING ON LINE")</f>
        <v>01 MARKETING ON LINE</v>
      </c>
      <c r="T613" s="6" t="str">
        <f ca="1">IFERROR(__xludf.DUMMYFUNCTION("""COMPUTED_VALUE"""),"36 CENTRO AUDÍFONOS")</f>
        <v>36 CENTRO AUDÍFONOS</v>
      </c>
      <c r="U613" s="21"/>
      <c r="W613" s="20"/>
      <c r="X613" s="21"/>
    </row>
    <row r="614" spans="2:24" ht="16">
      <c r="B614" s="26" t="str">
        <f t="shared" ca="1" si="3"/>
        <v>LRM</v>
      </c>
      <c r="C614" s="23" t="str">
        <f ca="1">IFERROR(__xludf.DUMMYFUNCTION("""COMPUTED_VALUE"""),"LRM222")</f>
        <v>LRM222</v>
      </c>
      <c r="D614" s="6" t="str">
        <f ca="1">IFERROR(__xludf.DUMMYFUNCTION("""COMPUTED_VALUE"""),"PROPIOS")</f>
        <v>PROPIOS</v>
      </c>
      <c r="E614" s="6">
        <f ca="1">IFERROR(__xludf.DUMMYFUNCTION("""COMPUTED_VALUE"""),2026)</f>
        <v>2026</v>
      </c>
      <c r="F614" s="15">
        <f ca="1">IFERROR(__xludf.DUMMYFUNCTION("""COMPUTED_VALUE"""),3)</f>
        <v>3</v>
      </c>
      <c r="G614" s="6" t="str">
        <f ca="1">IFERROR(__xludf.DUMMYFUNCTION("""COMPUTED_VALUE"""),"Leganés")</f>
        <v>Leganés</v>
      </c>
      <c r="H614" s="6" t="str">
        <f ca="1">IFERROR(__xludf.DUMMYFUNCTION("""COMPUTED_VALUE"""),"C202631817474238390")</f>
        <v>C202631817474238390</v>
      </c>
      <c r="I614" s="6" t="str">
        <f ca="1">IFERROR(__xludf.DUMMYFUNCTION("""COMPUTED_VALUE"""),"JIMENA SANCHEZ MUÑOZ")</f>
        <v>JIMENA SANCHEZ MUÑOZ</v>
      </c>
      <c r="J614" s="16">
        <f ca="1">IFERROR(__xludf.DUMMYFUNCTION("""COMPUTED_VALUE"""),46099)</f>
        <v>46099</v>
      </c>
      <c r="K614" s="6" t="str">
        <f ca="1">IFERROR(__xludf.DUMMYFUNCTION("""COMPUTED_VALUE"""),"Presupuesto")</f>
        <v>Presupuesto</v>
      </c>
      <c r="L614" s="16">
        <f ca="1">IFERROR(__xludf.DUMMYFUNCTION("""COMPUTED_VALUE"""),46100)</f>
        <v>46100</v>
      </c>
      <c r="M614" s="23" t="str">
        <f ca="1">IFERROR(__xludf.DUMMYFUNCTION("""COMPUTED_VALUE"""),"NO")</f>
        <v>NO</v>
      </c>
      <c r="N614" s="15">
        <f ca="1">IFERROR(__xludf.DUMMYFUNCTION("""COMPUTED_VALUE"""),2)</f>
        <v>2</v>
      </c>
      <c r="O614" s="23" t="str">
        <f ca="1">IFERROR(__xludf.DUMMYFUNCTION("""COMPUTED_VALUE"""),"QUIET")</f>
        <v>QUIET</v>
      </c>
      <c r="P614" s="21">
        <f ca="1">IFERROR(__xludf.DUMMYFUNCTION("""COMPUTED_VALUE"""),2718.18)</f>
        <v>2718.18</v>
      </c>
      <c r="Q614" s="6" t="str">
        <f ca="1">IFERROR(__xludf.DUMMYFUNCTION("""COMPUTED_VALUE"""),"Maika Blázquez")</f>
        <v>Maika Blázquez</v>
      </c>
      <c r="R614" s="6" t="str">
        <f ca="1">IFERROR(__xludf.DUMMYFUNCTION("""COMPUTED_VALUE"""),"Nuria Arnaiz Canora")</f>
        <v>Nuria Arnaiz Canora</v>
      </c>
      <c r="S614" s="20" t="str">
        <f ca="1">IFERROR(__xludf.DUMMYFUNCTION("""COMPUTED_VALUE"""),"03 ORL")</f>
        <v>03 ORL</v>
      </c>
      <c r="T614" s="6" t="str">
        <f ca="1">IFERROR(__xludf.DUMMYFUNCTION("""COMPUTED_VALUE"""),"06 ORL")</f>
        <v>06 ORL</v>
      </c>
      <c r="U614" s="21"/>
      <c r="W614" s="20"/>
      <c r="X614" s="21"/>
    </row>
    <row r="615" spans="2:24" ht="16">
      <c r="B615" s="26" t="str">
        <f t="shared" ca="1" si="3"/>
        <v>MBM</v>
      </c>
      <c r="C615" s="23" t="str">
        <f ca="1">IFERROR(__xludf.DUMMYFUNCTION("""COMPUTED_VALUE"""),"MBM108")</f>
        <v>MBM108</v>
      </c>
      <c r="D615" s="6" t="str">
        <f ca="1">IFERROR(__xludf.DUMMYFUNCTION("""COMPUTED_VALUE"""),"PROPIOS")</f>
        <v>PROPIOS</v>
      </c>
      <c r="E615" s="6">
        <f ca="1">IFERROR(__xludf.DUMMYFUNCTION("""COMPUTED_VALUE"""),2026)</f>
        <v>2026</v>
      </c>
      <c r="F615" s="15">
        <f ca="1">IFERROR(__xludf.DUMMYFUNCTION("""COMPUTED_VALUE"""),1)</f>
        <v>1</v>
      </c>
      <c r="G615" s="6" t="str">
        <f ca="1">IFERROR(__xludf.DUMMYFUNCTION("""COMPUTED_VALUE"""),"Leganés")</f>
        <v>Leganés</v>
      </c>
      <c r="H615" s="6" t="str">
        <f ca="1">IFERROR(__xludf.DUMMYFUNCTION("""COMPUTED_VALUE"""),"C202615141941536025")</f>
        <v>C202615141941536025</v>
      </c>
      <c r="I615" s="6" t="str">
        <f ca="1">IFERROR(__xludf.DUMMYFUNCTION("""COMPUTED_VALUE"""),"JOAQUÍN LOPEZ MOTA")</f>
        <v>JOAQUÍN LOPEZ MOTA</v>
      </c>
      <c r="J615" s="16">
        <f ca="1">IFERROR(__xludf.DUMMYFUNCTION("""COMPUTED_VALUE"""),46027)</f>
        <v>46027</v>
      </c>
      <c r="K615" s="6" t="str">
        <f ca="1">IFERROR(__xludf.DUMMYFUNCTION("""COMPUTED_VALUE"""),"Presupuesto")</f>
        <v>Presupuesto</v>
      </c>
      <c r="L615" s="16">
        <f ca="1">IFERROR(__xludf.DUMMYFUNCTION("""COMPUTED_VALUE"""),46042)</f>
        <v>46042</v>
      </c>
      <c r="M615" s="23" t="str">
        <f ca="1">IFERROR(__xludf.DUMMYFUNCTION("""COMPUTED_VALUE"""),"NO")</f>
        <v>NO</v>
      </c>
      <c r="N615" s="15">
        <f ca="1">IFERROR(__xludf.DUMMYFUNCTION("""COMPUTED_VALUE"""),2)</f>
        <v>2</v>
      </c>
      <c r="O615" s="23" t="str">
        <f ca="1">IFERROR(__xludf.DUMMYFUNCTION("""COMPUTED_VALUE"""),"CONFORT")</f>
        <v>CONFORT</v>
      </c>
      <c r="P615" s="21">
        <f ca="1">IFERROR(__xludf.DUMMYFUNCTION("""COMPUTED_VALUE"""),3631.82)</f>
        <v>3631.82</v>
      </c>
      <c r="Q615" s="6" t="str">
        <f ca="1">IFERROR(__xludf.DUMMYFUNCTION("""COMPUTED_VALUE"""),"Maika Blázquez")</f>
        <v>Maika Blázquez</v>
      </c>
      <c r="R615" s="6" t="str">
        <f ca="1">IFERROR(__xludf.DUMMYFUNCTION("""COMPUTED_VALUE"""),"Mar Lasso de la Vega Zamora")</f>
        <v>Mar Lasso de la Vega Zamora</v>
      </c>
      <c r="S615" s="20" t="str">
        <f ca="1">IFERROR(__xludf.DUMMYFUNCTION("""COMPUTED_VALUE"""),"03 ORL")</f>
        <v>03 ORL</v>
      </c>
      <c r="T615" s="6" t="str">
        <f ca="1">IFERROR(__xludf.DUMMYFUNCTION("""COMPUTED_VALUE"""),"06 ORL")</f>
        <v>06 ORL</v>
      </c>
      <c r="U615" s="21"/>
      <c r="W615" s="20"/>
      <c r="X615" s="21"/>
    </row>
    <row r="616" spans="2:24" ht="16">
      <c r="B616" s="26" t="str">
        <f t="shared" ca="1" si="3"/>
        <v>MBM</v>
      </c>
      <c r="C616" s="23" t="str">
        <f ca="1">IFERROR(__xludf.DUMMYFUNCTION("""COMPUTED_VALUE"""),"MBM43")</f>
        <v>MBM43</v>
      </c>
      <c r="D616" s="6" t="str">
        <f ca="1">IFERROR(__xludf.DUMMYFUNCTION("""COMPUTED_VALUE"""),"PROPIOS")</f>
        <v>PROPIOS</v>
      </c>
      <c r="E616" s="6">
        <f ca="1">IFERROR(__xludf.DUMMYFUNCTION("""COMPUTED_VALUE"""),2026)</f>
        <v>2026</v>
      </c>
      <c r="F616" s="15">
        <f ca="1">IFERROR(__xludf.DUMMYFUNCTION("""COMPUTED_VALUE"""),3)</f>
        <v>3</v>
      </c>
      <c r="G616" s="6" t="str">
        <f ca="1">IFERROR(__xludf.DUMMYFUNCTION("""COMPUTED_VALUE"""),"Leganés")</f>
        <v>Leganés</v>
      </c>
      <c r="H616" s="6" t="str">
        <f ca="1">IFERROR(__xludf.DUMMYFUNCTION("""COMPUTED_VALUE"""),"C202622712527037190")</f>
        <v>C202622712527037190</v>
      </c>
      <c r="I616" s="6" t="str">
        <f ca="1">IFERROR(__xludf.DUMMYFUNCTION("""COMPUTED_VALUE"""),"JOSEFA IBAÑEZ CUELLAR")</f>
        <v>JOSEFA IBAÑEZ CUELLAR</v>
      </c>
      <c r="J616" s="16">
        <f ca="1">IFERROR(__xludf.DUMMYFUNCTION("""COMPUTED_VALUE"""),46080)</f>
        <v>46080</v>
      </c>
      <c r="K616" s="6" t="str">
        <f ca="1">IFERROR(__xludf.DUMMYFUNCTION("""COMPUTED_VALUE"""),"Pedido")</f>
        <v>Pedido</v>
      </c>
      <c r="L616" s="16">
        <f ca="1">IFERROR(__xludf.DUMMYFUNCTION("""COMPUTED_VALUE"""),46099)</f>
        <v>46099</v>
      </c>
      <c r="M616" s="17" t="str">
        <f ca="1">IFERROR(__xludf.DUMMYFUNCTION("""COMPUTED_VALUE"""),"NO")</f>
        <v>NO</v>
      </c>
      <c r="N616" s="15">
        <f ca="1">IFERROR(__xludf.DUMMYFUNCTION("""COMPUTED_VALUE"""),2)</f>
        <v>2</v>
      </c>
      <c r="O616" s="23" t="str">
        <f ca="1">IFERROR(__xludf.DUMMYFUNCTION("""COMPUTED_VALUE"""),"ADVANCED")</f>
        <v>ADVANCED</v>
      </c>
      <c r="P616" s="21">
        <f ca="1">IFERROR(__xludf.DUMMYFUNCTION("""COMPUTED_VALUE"""),3604.55)</f>
        <v>3604.55</v>
      </c>
      <c r="Q616" s="6" t="str">
        <f ca="1">IFERROR(__xludf.DUMMYFUNCTION("""COMPUTED_VALUE"""),"Maika Blázquez")</f>
        <v>Maika Blázquez</v>
      </c>
      <c r="R616" s="6" t="str">
        <f ca="1">IFERROR(__xludf.DUMMYFUNCTION("""COMPUTED_VALUE"""),"Jesús Ramos Fernández")</f>
        <v>Jesús Ramos Fernández</v>
      </c>
      <c r="S616" s="20" t="str">
        <f ca="1">IFERROR(__xludf.DUMMYFUNCTION("""COMPUTED_VALUE"""),"03 ORL")</f>
        <v>03 ORL</v>
      </c>
      <c r="T616" s="6" t="str">
        <f ca="1">IFERROR(__xludf.DUMMYFUNCTION("""COMPUTED_VALUE"""),"06 ORL")</f>
        <v>06 ORL</v>
      </c>
      <c r="U616" s="21"/>
      <c r="W616" s="20"/>
      <c r="X616" s="21"/>
    </row>
    <row r="617" spans="2:24" ht="16">
      <c r="B617" s="26" t="str">
        <f t="shared" ca="1" si="3"/>
        <v>MBM</v>
      </c>
      <c r="C617" s="23" t="str">
        <f ca="1">IFERROR(__xludf.DUMMYFUNCTION("""COMPUTED_VALUE"""),"MBM108")</f>
        <v>MBM108</v>
      </c>
      <c r="D617" s="6" t="str">
        <f ca="1">IFERROR(__xludf.DUMMYFUNCTION("""COMPUTED_VALUE"""),"PROPIOS")</f>
        <v>PROPIOS</v>
      </c>
      <c r="E617" s="6">
        <f ca="1">IFERROR(__xludf.DUMMYFUNCTION("""COMPUTED_VALUE"""),2026)</f>
        <v>2026</v>
      </c>
      <c r="F617" s="15">
        <f ca="1">IFERROR(__xludf.DUMMYFUNCTION("""COMPUTED_VALUE"""),2)</f>
        <v>2</v>
      </c>
      <c r="G617" s="6" t="str">
        <f ca="1">IFERROR(__xludf.DUMMYFUNCTION("""COMPUTED_VALUE"""),"Leganés")</f>
        <v>Leganés</v>
      </c>
      <c r="H617" s="6" t="str">
        <f ca="1">IFERROR(__xludf.DUMMYFUNCTION("""COMPUTED_VALUE"""),"C202612912109111610")</f>
        <v>C202612912109111610</v>
      </c>
      <c r="I617" s="6" t="str">
        <f ca="1">IFERROR(__xludf.DUMMYFUNCTION("""COMPUTED_VALUE"""),"JUDTIH ECHEVERRY CORTES")</f>
        <v>JUDTIH ECHEVERRY CORTES</v>
      </c>
      <c r="J617" s="16">
        <f ca="1">IFERROR(__xludf.DUMMYFUNCTION("""COMPUTED_VALUE"""),46051)</f>
        <v>46051</v>
      </c>
      <c r="K617" s="6" t="str">
        <f ca="1">IFERROR(__xludf.DUMMYFUNCTION("""COMPUTED_VALUE"""),"Prueba")</f>
        <v>Prueba</v>
      </c>
      <c r="L617" s="16">
        <f ca="1">IFERROR(__xludf.DUMMYFUNCTION("""COMPUTED_VALUE"""),46069)</f>
        <v>46069</v>
      </c>
      <c r="M617" s="23" t="str">
        <f ca="1">IFERROR(__xludf.DUMMYFUNCTION("""COMPUTED_VALUE"""),"NO")</f>
        <v>NO</v>
      </c>
      <c r="N617" s="15">
        <f ca="1">IFERROR(__xludf.DUMMYFUNCTION("""COMPUTED_VALUE"""),1)</f>
        <v>1</v>
      </c>
      <c r="O617" s="23" t="str">
        <f ca="1">IFERROR(__xludf.DUMMYFUNCTION("""COMPUTED_VALUE"""),"TRIAL")</f>
        <v>TRIAL</v>
      </c>
      <c r="P617" s="21">
        <f ca="1">IFERROR(__xludf.DUMMYFUNCTION("""COMPUTED_VALUE"""),2180.91)</f>
        <v>2180.91</v>
      </c>
      <c r="Q617" s="6" t="str">
        <f ca="1">IFERROR(__xludf.DUMMYFUNCTION("""COMPUTED_VALUE"""),"Maika Blázquez")</f>
        <v>Maika Blázquez</v>
      </c>
      <c r="R617" s="6" t="str">
        <f ca="1">IFERROR(__xludf.DUMMYFUNCTION("""COMPUTED_VALUE"""),"Mar Lasso de la Vega Zamora")</f>
        <v>Mar Lasso de la Vega Zamora</v>
      </c>
      <c r="S617" s="20" t="str">
        <f ca="1">IFERROR(__xludf.DUMMYFUNCTION("""COMPUTED_VALUE"""),"03 ORL")</f>
        <v>03 ORL</v>
      </c>
      <c r="T617" s="6" t="str">
        <f ca="1">IFERROR(__xludf.DUMMYFUNCTION("""COMPUTED_VALUE"""),"06 ORL")</f>
        <v>06 ORL</v>
      </c>
      <c r="U617" s="21"/>
      <c r="W617" s="20"/>
      <c r="X617" s="21"/>
    </row>
    <row r="618" spans="2:24" ht="16">
      <c r="B618" s="26" t="str">
        <f t="shared" ca="1" si="3"/>
        <v>LAA</v>
      </c>
      <c r="C618" s="23" t="str">
        <f ca="1">IFERROR(__xludf.DUMMYFUNCTION("""COMPUTED_VALUE"""),"LAA63")</f>
        <v>LAA63</v>
      </c>
      <c r="D618" s="6" t="str">
        <f ca="1">IFERROR(__xludf.DUMMYFUNCTION("""COMPUTED_VALUE"""),"PROPIOS")</f>
        <v>PROPIOS</v>
      </c>
      <c r="E618" s="6">
        <f ca="1">IFERROR(__xludf.DUMMYFUNCTION("""COMPUTED_VALUE"""),2026)</f>
        <v>2026</v>
      </c>
      <c r="F618" s="15">
        <f ca="1">IFERROR(__xludf.DUMMYFUNCTION("""COMPUTED_VALUE"""),3)</f>
        <v>3</v>
      </c>
      <c r="G618" s="6" t="str">
        <f ca="1">IFERROR(__xludf.DUMMYFUNCTION("""COMPUTED_VALUE"""),"Leganés")</f>
        <v>Leganés</v>
      </c>
      <c r="H618" s="6" t="str">
        <f ca="1">IFERROR(__xludf.DUMMYFUNCTION("""COMPUTED_VALUE"""),"C202621814742016942")</f>
        <v>C202621814742016942</v>
      </c>
      <c r="I618" s="6" t="str">
        <f ca="1">IFERROR(__xludf.DUMMYFUNCTION("""COMPUTED_VALUE"""),"JULIAN GODINO QUEVEDO")</f>
        <v>JULIAN GODINO QUEVEDO</v>
      </c>
      <c r="J618" s="16">
        <f ca="1">IFERROR(__xludf.DUMMYFUNCTION("""COMPUTED_VALUE"""),46071)</f>
        <v>46071</v>
      </c>
      <c r="K618" s="6" t="str">
        <f ca="1">IFERROR(__xludf.DUMMYFUNCTION("""COMPUTED_VALUE"""),"Devuelve")</f>
        <v>Devuelve</v>
      </c>
      <c r="L618" s="16">
        <f ca="1">IFERROR(__xludf.DUMMYFUNCTION("""COMPUTED_VALUE"""),46087)</f>
        <v>46087</v>
      </c>
      <c r="M618" s="23" t="str">
        <f ca="1">IFERROR(__xludf.DUMMYFUNCTION("""COMPUTED_VALUE"""),"NO")</f>
        <v>NO</v>
      </c>
      <c r="N618" s="15">
        <f ca="1">IFERROR(__xludf.DUMMYFUNCTION("""COMPUTED_VALUE"""),2)</f>
        <v>2</v>
      </c>
      <c r="O618" s="23" t="str">
        <f ca="1">IFERROR(__xludf.DUMMYFUNCTION("""COMPUTED_VALUE"""),"TRIAL")</f>
        <v>TRIAL</v>
      </c>
      <c r="P618" s="21">
        <f ca="1">IFERROR(__xludf.DUMMYFUNCTION("""COMPUTED_VALUE"""),4136.36)</f>
        <v>4136.3599999999997</v>
      </c>
      <c r="Q618" s="6" t="str">
        <f ca="1">IFERROR(__xludf.DUMMYFUNCTION("""COMPUTED_VALUE"""),"Maika Blázquez")</f>
        <v>Maika Blázquez</v>
      </c>
      <c r="R618" s="6" t="str">
        <f ca="1">IFERROR(__xludf.DUMMYFUNCTION("""COMPUTED_VALUE"""),"Julio López Moya")</f>
        <v>Julio López Moya</v>
      </c>
      <c r="S618" s="20" t="str">
        <f ca="1">IFERROR(__xludf.DUMMYFUNCTION("""COMPUTED_VALUE"""),"03 ORL")</f>
        <v>03 ORL</v>
      </c>
      <c r="T618" s="6" t="str">
        <f ca="1">IFERROR(__xludf.DUMMYFUNCTION("""COMPUTED_VALUE"""),"06 ORL")</f>
        <v>06 ORL</v>
      </c>
      <c r="U618" s="21"/>
      <c r="W618" s="20"/>
      <c r="X618" s="21"/>
    </row>
    <row r="619" spans="2:24" ht="16">
      <c r="B619" s="26" t="str">
        <f t="shared" ca="1" si="3"/>
        <v>MBM</v>
      </c>
      <c r="C619" s="23" t="str">
        <f ca="1">IFERROR(__xludf.DUMMYFUNCTION("""COMPUTED_VALUE"""),"MBM132")</f>
        <v>MBM132</v>
      </c>
      <c r="D619" s="6" t="str">
        <f ca="1">IFERROR(__xludf.DUMMYFUNCTION("""COMPUTED_VALUE"""),"PROPIOS")</f>
        <v>PROPIOS</v>
      </c>
      <c r="E619" s="6">
        <f ca="1">IFERROR(__xludf.DUMMYFUNCTION("""COMPUTED_VALUE"""),2026)</f>
        <v>2026</v>
      </c>
      <c r="F619" s="15">
        <f ca="1">IFERROR(__xludf.DUMMYFUNCTION("""COMPUTED_VALUE"""),3)</f>
        <v>3</v>
      </c>
      <c r="G619" s="6" t="str">
        <f ca="1">IFERROR(__xludf.DUMMYFUNCTION("""COMPUTED_VALUE"""),"Leganés")</f>
        <v>Leganés</v>
      </c>
      <c r="H619" s="6" t="str">
        <f ca="1">IFERROR(__xludf.DUMMYFUNCTION("""COMPUTED_VALUE"""),"C202621912391036168")</f>
        <v>C202621912391036168</v>
      </c>
      <c r="I619" s="6" t="str">
        <f ca="1">IFERROR(__xludf.DUMMYFUNCTION("""COMPUTED_VALUE"""),"MARGARITA GOMEZ MORILLA")</f>
        <v>MARGARITA GOMEZ MORILLA</v>
      </c>
      <c r="J619" s="16">
        <f ca="1">IFERROR(__xludf.DUMMYFUNCTION("""COMPUTED_VALUE"""),46072)</f>
        <v>46072</v>
      </c>
      <c r="K619" s="6" t="str">
        <f ca="1">IFERROR(__xludf.DUMMYFUNCTION("""COMPUTED_VALUE"""),"Devuelve")</f>
        <v>Devuelve</v>
      </c>
      <c r="L619" s="16">
        <f ca="1">IFERROR(__xludf.DUMMYFUNCTION("""COMPUTED_VALUE"""),46099)</f>
        <v>46099</v>
      </c>
      <c r="M619" s="23" t="str">
        <f ca="1">IFERROR(__xludf.DUMMYFUNCTION("""COMPUTED_VALUE"""),"NO")</f>
        <v>NO</v>
      </c>
      <c r="N619" s="15">
        <f ca="1">IFERROR(__xludf.DUMMYFUNCTION("""COMPUTED_VALUE"""),2)</f>
        <v>2</v>
      </c>
      <c r="O619" s="23" t="str">
        <f ca="1">IFERROR(__xludf.DUMMYFUNCTION("""COMPUTED_VALUE"""),"TRIAL")</f>
        <v>TRIAL</v>
      </c>
      <c r="P619" s="21">
        <f ca="1">IFERROR(__xludf.DUMMYFUNCTION("""COMPUTED_VALUE"""),3631.82)</f>
        <v>3631.82</v>
      </c>
      <c r="Q619" s="6" t="str">
        <f ca="1">IFERROR(__xludf.DUMMYFUNCTION("""COMPUTED_VALUE"""),"Maika Blázquez")</f>
        <v>Maika Blázquez</v>
      </c>
      <c r="R619" s="6" t="str">
        <f ca="1">IFERROR(__xludf.DUMMYFUNCTION("""COMPUTED_VALUE"""),"Laura Ruano De Pablo")</f>
        <v>Laura Ruano De Pablo</v>
      </c>
      <c r="S619" s="20" t="str">
        <f ca="1">IFERROR(__xludf.DUMMYFUNCTION("""COMPUTED_VALUE"""),"03 ORL")</f>
        <v>03 ORL</v>
      </c>
      <c r="T619" s="6" t="str">
        <f ca="1">IFERROR(__xludf.DUMMYFUNCTION("""COMPUTED_VALUE"""),"06 ORL")</f>
        <v>06 ORL</v>
      </c>
      <c r="U619" s="21"/>
      <c r="W619" s="20"/>
      <c r="X619" s="21"/>
    </row>
    <row r="620" spans="2:24" ht="16">
      <c r="B620" s="26" t="str">
        <f t="shared" ca="1" si="3"/>
        <v>LRM</v>
      </c>
      <c r="C620" s="23" t="str">
        <f ca="1">IFERROR(__xludf.DUMMYFUNCTION("""COMPUTED_VALUE"""),"LRM222")</f>
        <v>LRM222</v>
      </c>
      <c r="D620" s="6" t="str">
        <f ca="1">IFERROR(__xludf.DUMMYFUNCTION("""COMPUTED_VALUE"""),"PROPIOS")</f>
        <v>PROPIOS</v>
      </c>
      <c r="E620" s="6">
        <f ca="1">IFERROR(__xludf.DUMMYFUNCTION("""COMPUTED_VALUE"""),2026)</f>
        <v>2026</v>
      </c>
      <c r="F620" s="15">
        <f ca="1">IFERROR(__xludf.DUMMYFUNCTION("""COMPUTED_VALUE"""),1)</f>
        <v>1</v>
      </c>
      <c r="G620" s="6" t="str">
        <f ca="1">IFERROR(__xludf.DUMMYFUNCTION("""COMPUTED_VALUE"""),"Leganés")</f>
        <v>Leganés</v>
      </c>
      <c r="H620" s="6" t="str">
        <f ca="1">IFERROR(__xludf.DUMMYFUNCTION("""COMPUTED_VALUE"""),"C202611911244143901")</f>
        <v>C202611911244143901</v>
      </c>
      <c r="I620" s="6" t="str">
        <f ca="1">IFERROR(__xludf.DUMMYFUNCTION("""COMPUTED_VALUE"""),"MARGARITA SANCHEZ ALBADALEJO")</f>
        <v>MARGARITA SANCHEZ ALBADALEJO</v>
      </c>
      <c r="J620" s="16">
        <f ca="1">IFERROR(__xludf.DUMMYFUNCTION("""COMPUTED_VALUE"""),46041)</f>
        <v>46041</v>
      </c>
      <c r="K620" s="6" t="str">
        <f ca="1">IFERROR(__xludf.DUMMYFUNCTION("""COMPUTED_VALUE"""),"Presupuesto")</f>
        <v>Presupuesto</v>
      </c>
      <c r="L620" s="16">
        <f ca="1">IFERROR(__xludf.DUMMYFUNCTION("""COMPUTED_VALUE"""),46048)</f>
        <v>46048</v>
      </c>
      <c r="M620" s="23" t="str">
        <f ca="1">IFERROR(__xludf.DUMMYFUNCTION("""COMPUTED_VALUE"""),"NO")</f>
        <v>NO</v>
      </c>
      <c r="N620" s="15">
        <f ca="1">IFERROR(__xludf.DUMMYFUNCTION("""COMPUTED_VALUE"""),2)</f>
        <v>2</v>
      </c>
      <c r="O620" s="23" t="str">
        <f ca="1">IFERROR(__xludf.DUMMYFUNCTION("""COMPUTED_VALUE"""),"QUIET")</f>
        <v>QUIET</v>
      </c>
      <c r="P620" s="21">
        <f ca="1">IFERROR(__xludf.DUMMYFUNCTION("""COMPUTED_VALUE"""),2718.18)</f>
        <v>2718.18</v>
      </c>
      <c r="Q620" s="6" t="str">
        <f ca="1">IFERROR(__xludf.DUMMYFUNCTION("""COMPUTED_VALUE"""),"Maika Blázquez")</f>
        <v>Maika Blázquez</v>
      </c>
      <c r="R620" s="6" t="str">
        <f ca="1">IFERROR(__xludf.DUMMYFUNCTION("""COMPUTED_VALUE"""),"Nuria Arnaiz Canora")</f>
        <v>Nuria Arnaiz Canora</v>
      </c>
      <c r="S620" s="20" t="str">
        <f ca="1">IFERROR(__xludf.DUMMYFUNCTION("""COMPUTED_VALUE"""),"03 ORL")</f>
        <v>03 ORL</v>
      </c>
      <c r="T620" s="6" t="str">
        <f ca="1">IFERROR(__xludf.DUMMYFUNCTION("""COMPUTED_VALUE"""),"06 ORL")</f>
        <v>06 ORL</v>
      </c>
      <c r="U620" s="21"/>
      <c r="W620" s="20"/>
      <c r="X620" s="21"/>
    </row>
    <row r="621" spans="2:24" ht="16">
      <c r="B621" s="26" t="str">
        <f t="shared" ca="1" si="3"/>
        <v>#N/</v>
      </c>
      <c r="C621" s="23" t="str">
        <f ca="1">IFERROR(__xludf.DUMMYFUNCTION("""COMPUTED_VALUE"""),"#N/A")</f>
        <v>#N/A</v>
      </c>
      <c r="D621" s="6" t="str">
        <f ca="1">IFERROR(__xludf.DUMMYFUNCTION("""COMPUTED_VALUE"""),"PROPIOS")</f>
        <v>PROPIOS</v>
      </c>
      <c r="E621" s="6">
        <f ca="1">IFERROR(__xludf.DUMMYFUNCTION("""COMPUTED_VALUE"""),2026)</f>
        <v>2026</v>
      </c>
      <c r="F621" s="15">
        <f ca="1">IFERROR(__xludf.DUMMYFUNCTION("""COMPUTED_VALUE"""),3)</f>
        <v>3</v>
      </c>
      <c r="G621" s="6" t="str">
        <f ca="1">IFERROR(__xludf.DUMMYFUNCTION("""COMPUTED_VALUE"""),"Leganés")</f>
        <v>Leganés</v>
      </c>
      <c r="H621" s="6" t="str">
        <f ca="1">IFERROR(__xludf.DUMMYFUNCTION("""COMPUTED_VALUE"""),"C202631811503165622")</f>
        <v>C202631811503165622</v>
      </c>
      <c r="I621" s="6" t="str">
        <f ca="1">IFERROR(__xludf.DUMMYFUNCTION("""COMPUTED_VALUE"""),"MARIANO JUAREZ SANCHEZ")</f>
        <v>MARIANO JUAREZ SANCHEZ</v>
      </c>
      <c r="J621" s="16">
        <f ca="1">IFERROR(__xludf.DUMMYFUNCTION("""COMPUTED_VALUE"""),46099)</f>
        <v>46099</v>
      </c>
      <c r="K621" s="6" t="str">
        <f ca="1">IFERROR(__xludf.DUMMYFUNCTION("""COMPUTED_VALUE"""),"Pedido")</f>
        <v>Pedido</v>
      </c>
      <c r="L621" s="16">
        <f ca="1">IFERROR(__xludf.DUMMYFUNCTION("""COMPUTED_VALUE"""),46106)</f>
        <v>46106</v>
      </c>
      <c r="M621" s="23" t="str">
        <f ca="1">IFERROR(__xludf.DUMMYFUNCTION("""COMPUTED_VALUE"""),"NO")</f>
        <v>NO</v>
      </c>
      <c r="N621" s="15">
        <f ca="1">IFERROR(__xludf.DUMMYFUNCTION("""COMPUTED_VALUE"""),2)</f>
        <v>2</v>
      </c>
      <c r="O621" s="23" t="str">
        <f ca="1">IFERROR(__xludf.DUMMYFUNCTION("""COMPUTED_VALUE"""),"QUIET")</f>
        <v>QUIET</v>
      </c>
      <c r="P621" s="21">
        <f ca="1">IFERROR(__xludf.DUMMYFUNCTION("""COMPUTED_VALUE"""),2718.18)</f>
        <v>2718.18</v>
      </c>
      <c r="Q621" s="6" t="str">
        <f ca="1">IFERROR(__xludf.DUMMYFUNCTION("""COMPUTED_VALUE"""),"Maika Blázquez")</f>
        <v>Maika Blázquez</v>
      </c>
      <c r="R621" s="6" t="str">
        <f ca="1">IFERROR(__xludf.DUMMYFUNCTION("""COMPUTED_VALUE"""),"Diana María Hernanperez Hidalgo")</f>
        <v>Diana María Hernanperez Hidalgo</v>
      </c>
      <c r="S621" s="20" t="str">
        <f ca="1">IFERROR(__xludf.DUMMYFUNCTION("""COMPUTED_VALUE"""),"03 ORL")</f>
        <v>03 ORL</v>
      </c>
      <c r="T621" s="6" t="str">
        <f ca="1">IFERROR(__xludf.DUMMYFUNCTION("""COMPUTED_VALUE"""),"06 ORL")</f>
        <v>06 ORL</v>
      </c>
      <c r="U621" s="21"/>
      <c r="W621" s="20"/>
      <c r="X621" s="21"/>
    </row>
    <row r="622" spans="2:24" ht="16">
      <c r="B622" s="26" t="str">
        <f t="shared" ca="1" si="3"/>
        <v/>
      </c>
      <c r="C622" s="23"/>
      <c r="D622" s="6" t="str">
        <f ca="1">IFERROR(__xludf.DUMMYFUNCTION("""COMPUTED_VALUE"""),"PROPIOS")</f>
        <v>PROPIOS</v>
      </c>
      <c r="E622" s="6">
        <f ca="1">IFERROR(__xludf.DUMMYFUNCTION("""COMPUTED_VALUE"""),2026)</f>
        <v>2026</v>
      </c>
      <c r="F622" s="15">
        <f ca="1">IFERROR(__xludf.DUMMYFUNCTION("""COMPUTED_VALUE"""),3)</f>
        <v>3</v>
      </c>
      <c r="G622" s="6" t="str">
        <f ca="1">IFERROR(__xludf.DUMMYFUNCTION("""COMPUTED_VALUE"""),"Leganés")</f>
        <v>Leganés</v>
      </c>
      <c r="H622" s="6" t="str">
        <f ca="1">IFERROR(__xludf.DUMMYFUNCTION("""COMPUTED_VALUE"""),"C202632511352887091")</f>
        <v>C202632511352887091</v>
      </c>
      <c r="I622" s="6" t="str">
        <f ca="1">IFERROR(__xludf.DUMMYFUNCTION("""COMPUTED_VALUE"""),"MARTINA DIAZ AVILA")</f>
        <v>MARTINA DIAZ AVILA</v>
      </c>
      <c r="J622" s="16">
        <f ca="1">IFERROR(__xludf.DUMMYFUNCTION("""COMPUTED_VALUE"""),46106)</f>
        <v>46106</v>
      </c>
      <c r="K622" s="6" t="str">
        <f ca="1">IFERROR(__xludf.DUMMYFUNCTION("""COMPUTED_VALUE"""),"Pedido")</f>
        <v>Pedido</v>
      </c>
      <c r="L622" s="16">
        <f ca="1">IFERROR(__xludf.DUMMYFUNCTION("""COMPUTED_VALUE"""),46108)</f>
        <v>46108</v>
      </c>
      <c r="M622" s="23" t="str">
        <f ca="1">IFERROR(__xludf.DUMMYFUNCTION("""COMPUTED_VALUE"""),"NO")</f>
        <v>NO</v>
      </c>
      <c r="N622" s="15">
        <f ca="1">IFERROR(__xludf.DUMMYFUNCTION("""COMPUTED_VALUE"""),2)</f>
        <v>2</v>
      </c>
      <c r="O622" s="23" t="str">
        <f ca="1">IFERROR(__xludf.DUMMYFUNCTION("""COMPUTED_VALUE"""),"QUIET")</f>
        <v>QUIET</v>
      </c>
      <c r="P622" s="21">
        <f ca="1">IFERROR(__xludf.DUMMYFUNCTION("""COMPUTED_VALUE"""),2718.18)</f>
        <v>2718.18</v>
      </c>
      <c r="Q622" s="6" t="str">
        <f ca="1">IFERROR(__xludf.DUMMYFUNCTION("""COMPUTED_VALUE"""),"Maika Blázquez")</f>
        <v>Maika Blázquez</v>
      </c>
      <c r="R622" s="6" t="str">
        <f ca="1">IFERROR(__xludf.DUMMYFUNCTION("""COMPUTED_VALUE"""),"No recuerda ORL")</f>
        <v>No recuerda ORL</v>
      </c>
      <c r="S622" s="20" t="str">
        <f ca="1">IFERROR(__xludf.DUMMYFUNCTION("""COMPUTED_VALUE"""),"03 ORL")</f>
        <v>03 ORL</v>
      </c>
      <c r="T622" s="6" t="str">
        <f ca="1">IFERROR(__xludf.DUMMYFUNCTION("""COMPUTED_VALUE"""),"06 ORL")</f>
        <v>06 ORL</v>
      </c>
      <c r="U622" s="21"/>
      <c r="W622" s="20"/>
      <c r="X622" s="21"/>
    </row>
    <row r="623" spans="2:24" ht="16">
      <c r="B623" s="26" t="str">
        <f t="shared" ca="1" si="3"/>
        <v>LRM</v>
      </c>
      <c r="C623" s="23" t="str">
        <f ca="1">IFERROR(__xludf.DUMMYFUNCTION("""COMPUTED_VALUE"""),"LRM162")</f>
        <v>LRM162</v>
      </c>
      <c r="D623" s="6" t="str">
        <f ca="1">IFERROR(__xludf.DUMMYFUNCTION("""COMPUTED_VALUE"""),"PROPIOS")</f>
        <v>PROPIOS</v>
      </c>
      <c r="E623" s="6">
        <f ca="1">IFERROR(__xludf.DUMMYFUNCTION("""COMPUTED_VALUE"""),2026)</f>
        <v>2026</v>
      </c>
      <c r="F623" s="15">
        <f ca="1">IFERROR(__xludf.DUMMYFUNCTION("""COMPUTED_VALUE"""),3)</f>
        <v>3</v>
      </c>
      <c r="G623" s="6" t="str">
        <f ca="1">IFERROR(__xludf.DUMMYFUNCTION("""COMPUTED_VALUE"""),"Leganés")</f>
        <v>Leganés</v>
      </c>
      <c r="H623" s="6" t="str">
        <f ca="1">IFERROR(__xludf.DUMMYFUNCTION("""COMPUTED_VALUE"""),"C20263591554758303")</f>
        <v>C20263591554758303</v>
      </c>
      <c r="I623" s="6" t="str">
        <f ca="1">IFERROR(__xludf.DUMMYFUNCTION("""COMPUTED_VALUE"""),"TOMAS MORENO DIAZ")</f>
        <v>TOMAS MORENO DIAZ</v>
      </c>
      <c r="J623" s="16">
        <f ca="1">IFERROR(__xludf.DUMMYFUNCTION("""COMPUTED_VALUE"""),46086)</f>
        <v>46086</v>
      </c>
      <c r="K623" s="6" t="str">
        <f ca="1">IFERROR(__xludf.DUMMYFUNCTION("""COMPUTED_VALUE"""),"Prueba")</f>
        <v>Prueba</v>
      </c>
      <c r="L623" s="16">
        <f ca="1">IFERROR(__xludf.DUMMYFUNCTION("""COMPUTED_VALUE"""),46101)</f>
        <v>46101</v>
      </c>
      <c r="M623" s="23" t="str">
        <f ca="1">IFERROR(__xludf.DUMMYFUNCTION("""COMPUTED_VALUE"""),"NO")</f>
        <v>NO</v>
      </c>
      <c r="N623" s="15">
        <f ca="1">IFERROR(__xludf.DUMMYFUNCTION("""COMPUTED_VALUE"""),2)</f>
        <v>2</v>
      </c>
      <c r="O623" s="23" t="str">
        <f ca="1">IFERROR(__xludf.DUMMYFUNCTION("""COMPUTED_VALUE"""),"TRIAL")</f>
        <v>TRIAL</v>
      </c>
      <c r="P623" s="21">
        <f ca="1">IFERROR(__xludf.DUMMYFUNCTION("""COMPUTED_VALUE"""),3631.82)</f>
        <v>3631.82</v>
      </c>
      <c r="Q623" s="6" t="str">
        <f ca="1">IFERROR(__xludf.DUMMYFUNCTION("""COMPUTED_VALUE"""),"Maika Blázquez")</f>
        <v>Maika Blázquez</v>
      </c>
      <c r="R623" s="6" t="str">
        <f ca="1">IFERROR(__xludf.DUMMYFUNCTION("""COMPUTED_VALUE"""),"Inés Pastor Basterra")</f>
        <v>Inés Pastor Basterra</v>
      </c>
      <c r="S623" s="20" t="str">
        <f ca="1">IFERROR(__xludf.DUMMYFUNCTION("""COMPUTED_VALUE"""),"03 ORL")</f>
        <v>03 ORL</v>
      </c>
      <c r="T623" s="6" t="str">
        <f ca="1">IFERROR(__xludf.DUMMYFUNCTION("""COMPUTED_VALUE"""),"06 ORL")</f>
        <v>06 ORL</v>
      </c>
      <c r="U623" s="21"/>
      <c r="W623" s="20"/>
      <c r="X623" s="21"/>
    </row>
    <row r="624" spans="2:24" ht="16">
      <c r="B624" s="26" t="str">
        <f t="shared" ca="1" si="3"/>
        <v>PSC</v>
      </c>
      <c r="C624" s="23" t="str">
        <f ca="1">IFERROR(__xludf.DUMMYFUNCTION("""COMPUTED_VALUE"""),"PSC30")</f>
        <v>PSC30</v>
      </c>
      <c r="D624" s="6" t="str">
        <f ca="1">IFERROR(__xludf.DUMMYFUNCTION("""COMPUTED_VALUE"""),"ASOCIADOS")</f>
        <v>ASOCIADOS</v>
      </c>
      <c r="E624" s="6">
        <f ca="1">IFERROR(__xludf.DUMMYFUNCTION("""COMPUTED_VALUE"""),2026)</f>
        <v>2026</v>
      </c>
      <c r="F624" s="15">
        <f ca="1">IFERROR(__xludf.DUMMYFUNCTION("""COMPUTED_VALUE"""),2)</f>
        <v>2</v>
      </c>
      <c r="G624" s="6" t="str">
        <f ca="1">IFERROR(__xludf.DUMMYFUNCTION("""COMPUTED_VALUE"""),"León")</f>
        <v>León</v>
      </c>
      <c r="H624" s="6" t="str">
        <f ca="1">IFERROR(__xludf.DUMMYFUNCTION("""COMPUTED_VALUE"""),"C202612217421103552")</f>
        <v>C202612217421103552</v>
      </c>
      <c r="I624" s="6" t="str">
        <f ca="1">IFERROR(__xludf.DUMMYFUNCTION("""COMPUTED_VALUE"""),"Armando Rodriguez Diez")</f>
        <v>Armando Rodriguez Diez</v>
      </c>
      <c r="J624" s="16">
        <f ca="1">IFERROR(__xludf.DUMMYFUNCTION("""COMPUTED_VALUE"""),46044)</f>
        <v>46044</v>
      </c>
      <c r="K624" s="6" t="str">
        <f ca="1">IFERROR(__xludf.DUMMYFUNCTION("""COMPUTED_VALUE"""),"Pedido")</f>
        <v>Pedido</v>
      </c>
      <c r="L624" s="16">
        <f ca="1">IFERROR(__xludf.DUMMYFUNCTION("""COMPUTED_VALUE"""),46062)</f>
        <v>46062</v>
      </c>
      <c r="M624" s="23" t="str">
        <f ca="1">IFERROR(__xludf.DUMMYFUNCTION("""COMPUTED_VALUE"""),"NO")</f>
        <v>NO</v>
      </c>
      <c r="N624" s="15">
        <f ca="1">IFERROR(__xludf.DUMMYFUNCTION("""COMPUTED_VALUE"""),1)</f>
        <v>1</v>
      </c>
      <c r="O624" s="23" t="str">
        <f ca="1">IFERROR(__xludf.DUMMYFUNCTION("""COMPUTED_VALUE"""),"CONFORT")</f>
        <v>CONFORT</v>
      </c>
      <c r="P624" s="21">
        <f ca="1">IFERROR(__xludf.DUMMYFUNCTION("""COMPUTED_VALUE"""),3363.64)</f>
        <v>3363.64</v>
      </c>
      <c r="Q624" s="6" t="str">
        <f ca="1">IFERROR(__xludf.DUMMYFUNCTION("""COMPUTED_VALUE"""),"Alberto Moreno")</f>
        <v>Alberto Moreno</v>
      </c>
      <c r="R624" s="6" t="str">
        <f ca="1">IFERROR(__xludf.DUMMYFUNCTION("""COMPUTED_VALUE"""),"Rafael Pérez González")</f>
        <v>Rafael Pérez González</v>
      </c>
      <c r="S624" s="20" t="str">
        <f ca="1">IFERROR(__xludf.DUMMYFUNCTION("""COMPUTED_VALUE"""),"03 ORL")</f>
        <v>03 ORL</v>
      </c>
      <c r="T624" s="6" t="str">
        <f ca="1">IFERROR(__xludf.DUMMYFUNCTION("""COMPUTED_VALUE"""),"06 ORL")</f>
        <v>06 ORL</v>
      </c>
      <c r="U624" s="21"/>
      <c r="W624" s="20"/>
      <c r="X624" s="21"/>
    </row>
    <row r="625" spans="2:24" ht="16">
      <c r="B625" s="26" t="str">
        <f t="shared" ca="1" si="3"/>
        <v>PSC</v>
      </c>
      <c r="C625" s="23" t="str">
        <f ca="1">IFERROR(__xludf.DUMMYFUNCTION("""COMPUTED_VALUE"""),"PSC47")</f>
        <v>PSC47</v>
      </c>
      <c r="D625" s="6" t="str">
        <f ca="1">IFERROR(__xludf.DUMMYFUNCTION("""COMPUTED_VALUE"""),"ASOCIADOS")</f>
        <v>ASOCIADOS</v>
      </c>
      <c r="E625" s="6">
        <f ca="1">IFERROR(__xludf.DUMMYFUNCTION("""COMPUTED_VALUE"""),2026)</f>
        <v>2026</v>
      </c>
      <c r="F625" s="15">
        <f ca="1">IFERROR(__xludf.DUMMYFUNCTION("""COMPUTED_VALUE"""),1)</f>
        <v>1</v>
      </c>
      <c r="G625" s="6" t="str">
        <f ca="1">IFERROR(__xludf.DUMMYFUNCTION("""COMPUTED_VALUE"""),"León")</f>
        <v>León</v>
      </c>
      <c r="H625" s="6" t="str">
        <f ca="1">IFERROR(__xludf.DUMMYFUNCTION("""COMPUTED_VALUE"""),"LEO-562")</f>
        <v>LEO-562</v>
      </c>
      <c r="I625" s="6" t="str">
        <f ca="1">IFERROR(__xludf.DUMMYFUNCTION("""COMPUTED_VALUE"""),"BALBINO GONZALEZ GOMEZ")</f>
        <v>BALBINO GONZALEZ GOMEZ</v>
      </c>
      <c r="J625" s="16">
        <f ca="1">IFERROR(__xludf.DUMMYFUNCTION("""COMPUTED_VALUE"""),45987)</f>
        <v>45987</v>
      </c>
      <c r="K625" s="6" t="str">
        <f ca="1">IFERROR(__xludf.DUMMYFUNCTION("""COMPUTED_VALUE"""),"Devuelve")</f>
        <v>Devuelve</v>
      </c>
      <c r="L625" s="16">
        <f ca="1">IFERROR(__xludf.DUMMYFUNCTION("""COMPUTED_VALUE"""),46042)</f>
        <v>46042</v>
      </c>
      <c r="M625" s="23" t="str">
        <f ca="1">IFERROR(__xludf.DUMMYFUNCTION("""COMPUTED_VALUE"""),"NO")</f>
        <v>NO</v>
      </c>
      <c r="N625" s="15">
        <f ca="1">IFERROR(__xludf.DUMMYFUNCTION("""COMPUTED_VALUE"""),0)</f>
        <v>0</v>
      </c>
      <c r="O625" s="23"/>
      <c r="P625" s="21"/>
      <c r="Q625" s="6" t="str">
        <f ca="1">IFERROR(__xludf.DUMMYFUNCTION("""COMPUTED_VALUE"""),"Alberto Moreno")</f>
        <v>Alberto Moreno</v>
      </c>
      <c r="R625" s="6" t="str">
        <f ca="1">IFERROR(__xludf.DUMMYFUNCTION("""COMPUTED_VALUE"""),"Mónica Granda Rosales")</f>
        <v>Mónica Granda Rosales</v>
      </c>
      <c r="S625" s="20" t="str">
        <f ca="1">IFERROR(__xludf.DUMMYFUNCTION("""COMPUTED_VALUE"""),"03 ORL")</f>
        <v>03 ORL</v>
      </c>
      <c r="T625" s="6" t="str">
        <f ca="1">IFERROR(__xludf.DUMMYFUNCTION("""COMPUTED_VALUE"""),"06 ORL")</f>
        <v>06 ORL</v>
      </c>
      <c r="U625" s="21"/>
      <c r="W625" s="20"/>
      <c r="X625" s="21"/>
    </row>
    <row r="626" spans="2:24" ht="16">
      <c r="B626" s="26" t="str">
        <f t="shared" ca="1" si="3"/>
        <v>PSC</v>
      </c>
      <c r="C626" s="23" t="str">
        <f ca="1">IFERROR(__xludf.DUMMYFUNCTION("""COMPUTED_VALUE"""),"PSC30")</f>
        <v>PSC30</v>
      </c>
      <c r="D626" s="6" t="str">
        <f ca="1">IFERROR(__xludf.DUMMYFUNCTION("""COMPUTED_VALUE"""),"ASOCIADOS")</f>
        <v>ASOCIADOS</v>
      </c>
      <c r="E626" s="6">
        <f ca="1">IFERROR(__xludf.DUMMYFUNCTION("""COMPUTED_VALUE"""),2026)</f>
        <v>2026</v>
      </c>
      <c r="F626" s="15">
        <f ca="1">IFERROR(__xludf.DUMMYFUNCTION("""COMPUTED_VALUE"""),3)</f>
        <v>3</v>
      </c>
      <c r="G626" s="6" t="str">
        <f ca="1">IFERROR(__xludf.DUMMYFUNCTION("""COMPUTED_VALUE"""),"León")</f>
        <v>León</v>
      </c>
      <c r="H626" s="6" t="str">
        <f ca="1">IFERROR(__xludf.DUMMYFUNCTION("""COMPUTED_VALUE"""),"C202632121952078403")</f>
        <v>C202632121952078403</v>
      </c>
      <c r="I626" s="6" t="str">
        <f ca="1">IFERROR(__xludf.DUMMYFUNCTION("""COMPUTED_VALUE"""),"Manuel Leoncio Riesco Garcia")</f>
        <v>Manuel Leoncio Riesco Garcia</v>
      </c>
      <c r="J626" s="16">
        <f ca="1">IFERROR(__xludf.DUMMYFUNCTION("""COMPUTED_VALUE"""),46083)</f>
        <v>46083</v>
      </c>
      <c r="K626" s="6" t="str">
        <f ca="1">IFERROR(__xludf.DUMMYFUNCTION("""COMPUTED_VALUE"""),"Pedido")</f>
        <v>Pedido</v>
      </c>
      <c r="L626" s="16">
        <f ca="1">IFERROR(__xludf.DUMMYFUNCTION("""COMPUTED_VALUE"""),46087)</f>
        <v>46087</v>
      </c>
      <c r="M626" s="23" t="str">
        <f ca="1">IFERROR(__xludf.DUMMYFUNCTION("""COMPUTED_VALUE"""),"NO")</f>
        <v>NO</v>
      </c>
      <c r="N626" s="15">
        <f ca="1">IFERROR(__xludf.DUMMYFUNCTION("""COMPUTED_VALUE"""),1)</f>
        <v>1</v>
      </c>
      <c r="O626" s="23" t="str">
        <f ca="1">IFERROR(__xludf.DUMMYFUNCTION("""COMPUTED_VALUE"""),"ADVANCED")</f>
        <v>ADVANCED</v>
      </c>
      <c r="P626" s="21">
        <f ca="1">IFERROR(__xludf.DUMMYFUNCTION("""COMPUTED_VALUE"""),4284.55)</f>
        <v>4284.55</v>
      </c>
      <c r="Q626" s="6" t="str">
        <f ca="1">IFERROR(__xludf.DUMMYFUNCTION("""COMPUTED_VALUE"""),"Alberto Moreno")</f>
        <v>Alberto Moreno</v>
      </c>
      <c r="R626" s="6" t="str">
        <f ca="1">IFERROR(__xludf.DUMMYFUNCTION("""COMPUTED_VALUE"""),"Rafael Pérez González")</f>
        <v>Rafael Pérez González</v>
      </c>
      <c r="S626" s="20" t="str">
        <f ca="1">IFERROR(__xludf.DUMMYFUNCTION("""COMPUTED_VALUE"""),"03 ORL")</f>
        <v>03 ORL</v>
      </c>
      <c r="T626" s="6" t="str">
        <f ca="1">IFERROR(__xludf.DUMMYFUNCTION("""COMPUTED_VALUE"""),"06 ORL")</f>
        <v>06 ORL</v>
      </c>
      <c r="U626" s="21"/>
      <c r="W626" s="20"/>
      <c r="X626" s="21"/>
    </row>
    <row r="627" spans="2:24" ht="16">
      <c r="B627" s="26" t="str">
        <f t="shared" ca="1" si="3"/>
        <v>PSC</v>
      </c>
      <c r="C627" s="23" t="str">
        <f ca="1">IFERROR(__xludf.DUMMYFUNCTION("""COMPUTED_VALUE"""),"PSC35")</f>
        <v>PSC35</v>
      </c>
      <c r="D627" s="6" t="str">
        <f ca="1">IFERROR(__xludf.DUMMYFUNCTION("""COMPUTED_VALUE"""),"ASOCIADOS")</f>
        <v>ASOCIADOS</v>
      </c>
      <c r="E627" s="6">
        <f ca="1">IFERROR(__xludf.DUMMYFUNCTION("""COMPUTED_VALUE"""),2026)</f>
        <v>2026</v>
      </c>
      <c r="F627" s="15">
        <f ca="1">IFERROR(__xludf.DUMMYFUNCTION("""COMPUTED_VALUE"""),2)</f>
        <v>2</v>
      </c>
      <c r="G627" s="6" t="str">
        <f ca="1">IFERROR(__xludf.DUMMYFUNCTION("""COMPUTED_VALUE"""),"León")</f>
        <v>León</v>
      </c>
      <c r="H627" s="6" t="str">
        <f ca="1">IFERROR(__xludf.DUMMYFUNCTION("""COMPUTED_VALUE"""),"C202621716172872356")</f>
        <v>C202621716172872356</v>
      </c>
      <c r="I627" s="6" t="str">
        <f ca="1">IFERROR(__xludf.DUMMYFUNCTION("""COMPUTED_VALUE"""),"Maria Jimenez Bermudez")</f>
        <v>Maria Jimenez Bermudez</v>
      </c>
      <c r="J627" s="16">
        <f ca="1">IFERROR(__xludf.DUMMYFUNCTION("""COMPUTED_VALUE"""),46070)</f>
        <v>46070</v>
      </c>
      <c r="K627" s="6" t="str">
        <f ca="1">IFERROR(__xludf.DUMMYFUNCTION("""COMPUTED_VALUE"""),"Presupuesto")</f>
        <v>Presupuesto</v>
      </c>
      <c r="L627" s="16">
        <f ca="1">IFERROR(__xludf.DUMMYFUNCTION("""COMPUTED_VALUE"""),46076)</f>
        <v>46076</v>
      </c>
      <c r="M627" s="23" t="str">
        <f ca="1">IFERROR(__xludf.DUMMYFUNCTION("""COMPUTED_VALUE"""),"NO")</f>
        <v>NO</v>
      </c>
      <c r="N627" s="15">
        <f ca="1">IFERROR(__xludf.DUMMYFUNCTION("""COMPUTED_VALUE"""),2)</f>
        <v>2</v>
      </c>
      <c r="O627" s="23" t="str">
        <f ca="1">IFERROR(__xludf.DUMMYFUNCTION("""COMPUTED_VALUE"""),"SOCIAL")</f>
        <v>SOCIAL</v>
      </c>
      <c r="P627" s="21">
        <f ca="1">IFERROR(__xludf.DUMMYFUNCTION("""COMPUTED_VALUE"""),2709.09)</f>
        <v>2709.09</v>
      </c>
      <c r="Q627" s="6" t="str">
        <f ca="1">IFERROR(__xludf.DUMMYFUNCTION("""COMPUTED_VALUE"""),"Alberto Moreno")</f>
        <v>Alberto Moreno</v>
      </c>
      <c r="R627" s="6" t="str">
        <f ca="1">IFERROR(__xludf.DUMMYFUNCTION("""COMPUTED_VALUE"""),"Carmen Fernández-Cedrón Bermejo")</f>
        <v>Carmen Fernández-Cedrón Bermejo</v>
      </c>
      <c r="S627" s="20" t="str">
        <f ca="1">IFERROR(__xludf.DUMMYFUNCTION("""COMPUTED_VALUE"""),"03 ORL")</f>
        <v>03 ORL</v>
      </c>
      <c r="T627" s="6" t="str">
        <f ca="1">IFERROR(__xludf.DUMMYFUNCTION("""COMPUTED_VALUE"""),"06 ORL")</f>
        <v>06 ORL</v>
      </c>
      <c r="U627" s="21"/>
      <c r="W627" s="20"/>
      <c r="X627" s="21"/>
    </row>
    <row r="628" spans="2:24" ht="16">
      <c r="B628" s="26" t="str">
        <f t="shared" ca="1" si="3"/>
        <v>PSC</v>
      </c>
      <c r="C628" s="23" t="str">
        <f ca="1">IFERROR(__xludf.DUMMYFUNCTION("""COMPUTED_VALUE"""),"PSC30")</f>
        <v>PSC30</v>
      </c>
      <c r="D628" s="6" t="str">
        <f ca="1">IFERROR(__xludf.DUMMYFUNCTION("""COMPUTED_VALUE"""),"ASOCIADOS")</f>
        <v>ASOCIADOS</v>
      </c>
      <c r="E628" s="6">
        <f ca="1">IFERROR(__xludf.DUMMYFUNCTION("""COMPUTED_VALUE"""),2026)</f>
        <v>2026</v>
      </c>
      <c r="F628" s="15">
        <f ca="1">IFERROR(__xludf.DUMMYFUNCTION("""COMPUTED_VALUE"""),1)</f>
        <v>1</v>
      </c>
      <c r="G628" s="6" t="str">
        <f ca="1">IFERROR(__xludf.DUMMYFUNCTION("""COMPUTED_VALUE"""),"León")</f>
        <v>León</v>
      </c>
      <c r="H628" s="6" t="str">
        <f ca="1">IFERROR(__xludf.DUMMYFUNCTION("""COMPUTED_VALUE"""),"C202612716471450244")</f>
        <v>C202612716471450244</v>
      </c>
      <c r="I628" s="6" t="str">
        <f ca="1">IFERROR(__xludf.DUMMYFUNCTION("""COMPUTED_VALUE"""),"Prudencia Villayandre Gonzalez")</f>
        <v>Prudencia Villayandre Gonzalez</v>
      </c>
      <c r="J628" s="16">
        <f ca="1">IFERROR(__xludf.DUMMYFUNCTION("""COMPUTED_VALUE"""),46049)</f>
        <v>46049</v>
      </c>
      <c r="K628" s="6" t="str">
        <f ca="1">IFERROR(__xludf.DUMMYFUNCTION("""COMPUTED_VALUE"""),"Presupuesto")</f>
        <v>Presupuesto</v>
      </c>
      <c r="L628" s="16">
        <f ca="1">IFERROR(__xludf.DUMMYFUNCTION("""COMPUTED_VALUE"""),46052)</f>
        <v>46052</v>
      </c>
      <c r="M628" s="23" t="str">
        <f ca="1">IFERROR(__xludf.DUMMYFUNCTION("""COMPUTED_VALUE"""),"NO")</f>
        <v>NO</v>
      </c>
      <c r="N628" s="15">
        <f ca="1">IFERROR(__xludf.DUMMYFUNCTION("""COMPUTED_VALUE"""),1)</f>
        <v>1</v>
      </c>
      <c r="O628" s="23" t="str">
        <f ca="1">IFERROR(__xludf.DUMMYFUNCTION("""COMPUTED_VALUE"""),"CONFORT")</f>
        <v>CONFORT</v>
      </c>
      <c r="P628" s="21">
        <f ca="1">IFERROR(__xludf.DUMMYFUNCTION("""COMPUTED_VALUE"""),2613.64)</f>
        <v>2613.64</v>
      </c>
      <c r="Q628" s="6" t="str">
        <f ca="1">IFERROR(__xludf.DUMMYFUNCTION("""COMPUTED_VALUE"""),"Alberto Moreno")</f>
        <v>Alberto Moreno</v>
      </c>
      <c r="R628" s="6" t="str">
        <f ca="1">IFERROR(__xludf.DUMMYFUNCTION("""COMPUTED_VALUE"""),"Rafael Pérez González")</f>
        <v>Rafael Pérez González</v>
      </c>
      <c r="S628" s="20" t="str">
        <f ca="1">IFERROR(__xludf.DUMMYFUNCTION("""COMPUTED_VALUE"""),"03 ORL")</f>
        <v>03 ORL</v>
      </c>
      <c r="T628" s="6" t="str">
        <f ca="1">IFERROR(__xludf.DUMMYFUNCTION("""COMPUTED_VALUE"""),"06 ORL")</f>
        <v>06 ORL</v>
      </c>
      <c r="U628" s="21"/>
      <c r="W628" s="20"/>
      <c r="X628" s="21"/>
    </row>
    <row r="629" spans="2:24" ht="16">
      <c r="B629" s="26" t="str">
        <f t="shared" ca="1" si="3"/>
        <v>LRM</v>
      </c>
      <c r="C629" s="23" t="str">
        <f ca="1">IFERROR(__xludf.DUMMYFUNCTION("""COMPUTED_VALUE"""),"LRM249")</f>
        <v>LRM249</v>
      </c>
      <c r="D629" s="6" t="str">
        <f ca="1">IFERROR(__xludf.DUMMYFUNCTION("""COMPUTED_VALUE"""),"PROPIOS")</f>
        <v>PROPIOS</v>
      </c>
      <c r="E629" s="6">
        <f ca="1">IFERROR(__xludf.DUMMYFUNCTION("""COMPUTED_VALUE"""),2026)</f>
        <v>2026</v>
      </c>
      <c r="F629" s="15">
        <f ca="1">IFERROR(__xludf.DUMMYFUNCTION("""COMPUTED_VALUE"""),3)</f>
        <v>3</v>
      </c>
      <c r="G629" s="6" t="str">
        <f ca="1">IFERROR(__xludf.DUMMYFUNCTION("""COMPUTED_VALUE"""),"Logroño")</f>
        <v>Logroño</v>
      </c>
      <c r="H629" s="6" t="str">
        <f ca="1">IFERROR(__xludf.DUMMYFUNCTION("""COMPUTED_VALUE"""),"C202631716645428995")</f>
        <v>C202631716645428995</v>
      </c>
      <c r="I629" s="6" t="str">
        <f ca="1">IFERROR(__xludf.DUMMYFUNCTION("""COMPUTED_VALUE"""),"ALBERTO MIGUEL SALINAS SAEZ")</f>
        <v>ALBERTO MIGUEL SALINAS SAEZ</v>
      </c>
      <c r="J629" s="16">
        <f ca="1">IFERROR(__xludf.DUMMYFUNCTION("""COMPUTED_VALUE"""),46098)</f>
        <v>46098</v>
      </c>
      <c r="K629" s="6" t="str">
        <f ca="1">IFERROR(__xludf.DUMMYFUNCTION("""COMPUTED_VALUE"""),"Prueba")</f>
        <v>Prueba</v>
      </c>
      <c r="L629" s="16">
        <f ca="1">IFERROR(__xludf.DUMMYFUNCTION("""COMPUTED_VALUE"""),46111)</f>
        <v>46111</v>
      </c>
      <c r="M629" s="23" t="str">
        <f ca="1">IFERROR(__xludf.DUMMYFUNCTION("""COMPUTED_VALUE"""),"NO")</f>
        <v>NO</v>
      </c>
      <c r="N629" s="15">
        <f ca="1">IFERROR(__xludf.DUMMYFUNCTION("""COMPUTED_VALUE"""),2)</f>
        <v>2</v>
      </c>
      <c r="O629" s="23" t="str">
        <f ca="1">IFERROR(__xludf.DUMMYFUNCTION("""COMPUTED_VALUE"""),"TRIAL")</f>
        <v>TRIAL</v>
      </c>
      <c r="P629" s="21">
        <f ca="1">IFERROR(__xludf.DUMMYFUNCTION("""COMPUTED_VALUE"""),4136.36)</f>
        <v>4136.3599999999997</v>
      </c>
      <c r="Q629" s="6" t="str">
        <f ca="1">IFERROR(__xludf.DUMMYFUNCTION("""COMPUTED_VALUE"""),"Lisandro Russian")</f>
        <v>Lisandro Russian</v>
      </c>
      <c r="R629" s="6" t="str">
        <f ca="1">IFERROR(__xludf.DUMMYFUNCTION("""COMPUTED_VALUE"""),"Daniel Briones Crespo")</f>
        <v>Daniel Briones Crespo</v>
      </c>
      <c r="S629" s="20" t="str">
        <f ca="1">IFERROR(__xludf.DUMMYFUNCTION("""COMPUTED_VALUE"""),"03 ORL")</f>
        <v>03 ORL</v>
      </c>
      <c r="T629" s="6" t="str">
        <f ca="1">IFERROR(__xludf.DUMMYFUNCTION("""COMPUTED_VALUE"""),"22 AUDIOMETRIA CLINICA")</f>
        <v>22 AUDIOMETRIA CLINICA</v>
      </c>
      <c r="U629" s="21"/>
      <c r="W629" s="20"/>
      <c r="X629" s="21"/>
    </row>
    <row r="630" spans="2:24" ht="16">
      <c r="B630" s="26" t="str">
        <f t="shared" ca="1" si="3"/>
        <v/>
      </c>
      <c r="C630" s="23"/>
      <c r="D630" s="6" t="str">
        <f ca="1">IFERROR(__xludf.DUMMYFUNCTION("""COMPUTED_VALUE"""),"PROPIOS")</f>
        <v>PROPIOS</v>
      </c>
      <c r="E630" s="6">
        <f ca="1">IFERROR(__xludf.DUMMYFUNCTION("""COMPUTED_VALUE"""),2026)</f>
        <v>2026</v>
      </c>
      <c r="F630" s="15">
        <f ca="1">IFERROR(__xludf.DUMMYFUNCTION("""COMPUTED_VALUE"""),3)</f>
        <v>3</v>
      </c>
      <c r="G630" s="6" t="str">
        <f ca="1">IFERROR(__xludf.DUMMYFUNCTION("""COMPUTED_VALUE"""),"Logroño")</f>
        <v>Logroño</v>
      </c>
      <c r="H630" s="6" t="str">
        <f ca="1">IFERROR(__xludf.DUMMYFUNCTION("""COMPUTED_VALUE"""),"C202622518856347208")</f>
        <v>C202622518856347208</v>
      </c>
      <c r="I630" s="6" t="str">
        <f ca="1">IFERROR(__xludf.DUMMYFUNCTION("""COMPUTED_VALUE"""),"ALEJANDRO  CABRERIZO MARTINEZ DE LA PUENTE")</f>
        <v>ALEJANDRO  CABRERIZO MARTINEZ DE LA PUENTE</v>
      </c>
      <c r="J630" s="16">
        <f ca="1">IFERROR(__xludf.DUMMYFUNCTION("""COMPUTED_VALUE"""),46078)</f>
        <v>46078</v>
      </c>
      <c r="K630" s="6" t="str">
        <f ca="1">IFERROR(__xludf.DUMMYFUNCTION("""COMPUTED_VALUE"""),"Prueba")</f>
        <v>Prueba</v>
      </c>
      <c r="L630" s="16">
        <f ca="1">IFERROR(__xludf.DUMMYFUNCTION("""COMPUTED_VALUE"""),46105)</f>
        <v>46105</v>
      </c>
      <c r="M630" s="23" t="str">
        <f ca="1">IFERROR(__xludf.DUMMYFUNCTION("""COMPUTED_VALUE"""),"NO")</f>
        <v>NO</v>
      </c>
      <c r="N630" s="15">
        <f ca="1">IFERROR(__xludf.DUMMYFUNCTION("""COMPUTED_VALUE"""),1)</f>
        <v>1</v>
      </c>
      <c r="O630" s="23" t="str">
        <f ca="1">IFERROR(__xludf.DUMMYFUNCTION("""COMPUTED_VALUE"""),"ADVANCED")</f>
        <v>ADVANCED</v>
      </c>
      <c r="P630" s="21">
        <f ca="1">IFERROR(__xludf.DUMMYFUNCTION("""COMPUTED_VALUE"""),2481.82)</f>
        <v>2481.8200000000002</v>
      </c>
      <c r="Q630" s="6" t="str">
        <f ca="1">IFERROR(__xludf.DUMMYFUNCTION("""COMPUTED_VALUE"""),"Lisandro Russian")</f>
        <v>Lisandro Russian</v>
      </c>
      <c r="R630" s="6" t="str">
        <f ca="1">IFERROR(__xludf.DUMMYFUNCTION("""COMPUTED_VALUE"""),"No recuerda ORL")</f>
        <v>No recuerda ORL</v>
      </c>
      <c r="S630" s="20" t="str">
        <f ca="1">IFERROR(__xludf.DUMMYFUNCTION("""COMPUTED_VALUE"""),"03 ORL")</f>
        <v>03 ORL</v>
      </c>
      <c r="T630" s="6" t="str">
        <f ca="1">IFERROR(__xludf.DUMMYFUNCTION("""COMPUTED_VALUE"""),"06 ORL")</f>
        <v>06 ORL</v>
      </c>
      <c r="U630" s="21"/>
      <c r="W630" s="20"/>
      <c r="X630" s="21"/>
    </row>
    <row r="631" spans="2:24" ht="16">
      <c r="B631" s="26" t="str">
        <f t="shared" ca="1" si="3"/>
        <v/>
      </c>
      <c r="C631" s="23"/>
      <c r="D631" s="6" t="str">
        <f ca="1">IFERROR(__xludf.DUMMYFUNCTION("""COMPUTED_VALUE"""),"PROPIOS")</f>
        <v>PROPIOS</v>
      </c>
      <c r="E631" s="6">
        <f ca="1">IFERROR(__xludf.DUMMYFUNCTION("""COMPUTED_VALUE"""),2026)</f>
        <v>2026</v>
      </c>
      <c r="F631" s="15">
        <f ca="1">IFERROR(__xludf.DUMMYFUNCTION("""COMPUTED_VALUE"""),3)</f>
        <v>3</v>
      </c>
      <c r="G631" s="6" t="str">
        <f ca="1">IFERROR(__xludf.DUMMYFUNCTION("""COMPUTED_VALUE"""),"Logroño")</f>
        <v>Logroño</v>
      </c>
      <c r="H631" s="6" t="str">
        <f ca="1">IFERROR(__xludf.DUMMYFUNCTION("""COMPUTED_VALUE"""),"C20263695145640568")</f>
        <v>C20263695145640568</v>
      </c>
      <c r="I631" s="6" t="str">
        <f ca="1">IFERROR(__xludf.DUMMYFUNCTION("""COMPUTED_VALUE"""),"ANGEL RODRIGUEZ TEJEDOR")</f>
        <v>ANGEL RODRIGUEZ TEJEDOR</v>
      </c>
      <c r="J631" s="16">
        <f ca="1">IFERROR(__xludf.DUMMYFUNCTION("""COMPUTED_VALUE"""),46087)</f>
        <v>46087</v>
      </c>
      <c r="K631" s="6" t="str">
        <f ca="1">IFERROR(__xludf.DUMMYFUNCTION("""COMPUTED_VALUE"""),"Devuelve")</f>
        <v>Devuelve</v>
      </c>
      <c r="L631" s="16">
        <f ca="1">IFERROR(__xludf.DUMMYFUNCTION("""COMPUTED_VALUE"""),46094)</f>
        <v>46094</v>
      </c>
      <c r="M631" s="23" t="str">
        <f ca="1">IFERROR(__xludf.DUMMYFUNCTION("""COMPUTED_VALUE"""),"NO")</f>
        <v>NO</v>
      </c>
      <c r="N631" s="15">
        <f ca="1">IFERROR(__xludf.DUMMYFUNCTION("""COMPUTED_VALUE"""),2)</f>
        <v>2</v>
      </c>
      <c r="O631" s="23" t="str">
        <f ca="1">IFERROR(__xludf.DUMMYFUNCTION("""COMPUTED_VALUE"""),"ADVANCED")</f>
        <v>ADVANCED</v>
      </c>
      <c r="P631" s="21">
        <f ca="1">IFERROR(__xludf.DUMMYFUNCTION("""COMPUTED_VALUE"""),4136.36)</f>
        <v>4136.3599999999997</v>
      </c>
      <c r="Q631" s="6" t="str">
        <f ca="1">IFERROR(__xludf.DUMMYFUNCTION("""COMPUTED_VALUE"""),"Lisandro Russian")</f>
        <v>Lisandro Russian</v>
      </c>
      <c r="R631" s="6" t="str">
        <f ca="1">IFERROR(__xludf.DUMMYFUNCTION("""COMPUTED_VALUE"""),"No recuerda ORL")</f>
        <v>No recuerda ORL</v>
      </c>
      <c r="S631" s="20" t="str">
        <f ca="1">IFERROR(__xludf.DUMMYFUNCTION("""COMPUTED_VALUE"""),"03 ORL")</f>
        <v>03 ORL</v>
      </c>
      <c r="T631" s="6" t="str">
        <f ca="1">IFERROR(__xludf.DUMMYFUNCTION("""COMPUTED_VALUE"""),"06 ORL")</f>
        <v>06 ORL</v>
      </c>
      <c r="U631" s="21"/>
      <c r="W631" s="20"/>
      <c r="X631" s="21"/>
    </row>
    <row r="632" spans="2:24" ht="16">
      <c r="B632" s="26" t="str">
        <f t="shared" ca="1" si="3"/>
        <v>LRM</v>
      </c>
      <c r="C632" s="23" t="str">
        <f ca="1">IFERROR(__xludf.DUMMYFUNCTION("""COMPUTED_VALUE"""),"LRM39")</f>
        <v>LRM39</v>
      </c>
      <c r="D632" s="6" t="str">
        <f ca="1">IFERROR(__xludf.DUMMYFUNCTION("""COMPUTED_VALUE"""),"PROPIOS")</f>
        <v>PROPIOS</v>
      </c>
      <c r="E632" s="6">
        <f ca="1">IFERROR(__xludf.DUMMYFUNCTION("""COMPUTED_VALUE"""),2026)</f>
        <v>2026</v>
      </c>
      <c r="F632" s="15">
        <f ca="1">IFERROR(__xludf.DUMMYFUNCTION("""COMPUTED_VALUE"""),2)</f>
        <v>2</v>
      </c>
      <c r="G632" s="6" t="str">
        <f ca="1">IFERROR(__xludf.DUMMYFUNCTION("""COMPUTED_VALUE"""),"Logroño")</f>
        <v>Logroño</v>
      </c>
      <c r="H632" s="6" t="str">
        <f ca="1">IFERROR(__xludf.DUMMYFUNCTION("""COMPUTED_VALUE"""),"C2026121130532")</f>
        <v>C2026121130532</v>
      </c>
      <c r="I632" s="6" t="str">
        <f ca="1">IFERROR(__xludf.DUMMYFUNCTION("""COMPUTED_VALUE"""),"ANTONIO ROBERT BARRERA")</f>
        <v>ANTONIO ROBERT BARRERA</v>
      </c>
      <c r="J632" s="16">
        <f ca="1">IFERROR(__xludf.DUMMYFUNCTION("""COMPUTED_VALUE"""),46043)</f>
        <v>46043</v>
      </c>
      <c r="K632" s="6" t="str">
        <f ca="1">IFERROR(__xludf.DUMMYFUNCTION("""COMPUTED_VALUE"""),"Prueba")</f>
        <v>Prueba</v>
      </c>
      <c r="L632" s="16">
        <f ca="1">IFERROR(__xludf.DUMMYFUNCTION("""COMPUTED_VALUE"""),46071)</f>
        <v>46071</v>
      </c>
      <c r="M632" s="23" t="str">
        <f ca="1">IFERROR(__xludf.DUMMYFUNCTION("""COMPUTED_VALUE"""),"NO")</f>
        <v>NO</v>
      </c>
      <c r="N632" s="15">
        <f ca="1">IFERROR(__xludf.DUMMYFUNCTION("""COMPUTED_VALUE"""),2)</f>
        <v>2</v>
      </c>
      <c r="O632" s="23" t="str">
        <f ca="1">IFERROR(__xludf.DUMMYFUNCTION("""COMPUTED_VALUE"""),"TRIAL")</f>
        <v>TRIAL</v>
      </c>
      <c r="P632" s="21">
        <f ca="1">IFERROR(__xludf.DUMMYFUNCTION("""COMPUTED_VALUE"""),3631.82)</f>
        <v>3631.82</v>
      </c>
      <c r="Q632" s="6" t="str">
        <f ca="1">IFERROR(__xludf.DUMMYFUNCTION("""COMPUTED_VALUE"""),"Lisandro Russian")</f>
        <v>Lisandro Russian</v>
      </c>
      <c r="R632" s="6" t="str">
        <f ca="1">IFERROR(__xludf.DUMMYFUNCTION("""COMPUTED_VALUE"""),"Fernando Salazar Barcelona")</f>
        <v>Fernando Salazar Barcelona</v>
      </c>
      <c r="S632" s="20" t="str">
        <f ca="1">IFERROR(__xludf.DUMMYFUNCTION("""COMPUTED_VALUE"""),"03 ORL")</f>
        <v>03 ORL</v>
      </c>
      <c r="T632" s="6" t="str">
        <f ca="1">IFERROR(__xludf.DUMMYFUNCTION("""COMPUTED_VALUE"""),"06 ORL")</f>
        <v>06 ORL</v>
      </c>
      <c r="U632" s="21"/>
      <c r="W632" s="20"/>
      <c r="X632" s="21"/>
    </row>
    <row r="633" spans="2:24" ht="16">
      <c r="B633" s="26" t="str">
        <f t="shared" ca="1" si="3"/>
        <v/>
      </c>
      <c r="C633" s="23"/>
      <c r="D633" s="6" t="str">
        <f ca="1">IFERROR(__xludf.DUMMYFUNCTION("""COMPUTED_VALUE"""),"PROPIOS")</f>
        <v>PROPIOS</v>
      </c>
      <c r="E633" s="6">
        <f ca="1">IFERROR(__xludf.DUMMYFUNCTION("""COMPUTED_VALUE"""),2026)</f>
        <v>2026</v>
      </c>
      <c r="F633" s="15">
        <f ca="1">IFERROR(__xludf.DUMMYFUNCTION("""COMPUTED_VALUE"""),3)</f>
        <v>3</v>
      </c>
      <c r="G633" s="6" t="str">
        <f ca="1">IFERROR(__xludf.DUMMYFUNCTION("""COMPUTED_VALUE"""),"Logroño")</f>
        <v>Logroño</v>
      </c>
      <c r="H633" s="6" t="str">
        <f ca="1">IFERROR(__xludf.DUMMYFUNCTION("""COMPUTED_VALUE"""),"C202631617574227092")</f>
        <v>C202631617574227092</v>
      </c>
      <c r="I633" s="6" t="str">
        <f ca="1">IFERROR(__xludf.DUMMYFUNCTION("""COMPUTED_VALUE"""),"MARIA DEL CARMEN SANCHEZ GARCIA")</f>
        <v>MARIA DEL CARMEN SANCHEZ GARCIA</v>
      </c>
      <c r="J633" s="16">
        <f ca="1">IFERROR(__xludf.DUMMYFUNCTION("""COMPUTED_VALUE"""),46097)</f>
        <v>46097</v>
      </c>
      <c r="K633" s="6" t="str">
        <f ca="1">IFERROR(__xludf.DUMMYFUNCTION("""COMPUTED_VALUE"""),"Pedido")</f>
        <v>Pedido</v>
      </c>
      <c r="L633" s="16">
        <f ca="1">IFERROR(__xludf.DUMMYFUNCTION("""COMPUTED_VALUE"""),46108)</f>
        <v>46108</v>
      </c>
      <c r="M633" s="23" t="str">
        <f ca="1">IFERROR(__xludf.DUMMYFUNCTION("""COMPUTED_VALUE"""),"NO")</f>
        <v>NO</v>
      </c>
      <c r="N633" s="15">
        <f ca="1">IFERROR(__xludf.DUMMYFUNCTION("""COMPUTED_VALUE"""),1)</f>
        <v>1</v>
      </c>
      <c r="O633" s="23" t="str">
        <f ca="1">IFERROR(__xludf.DUMMYFUNCTION("""COMPUTED_VALUE"""),"QUIET")</f>
        <v>QUIET</v>
      </c>
      <c r="P633" s="21">
        <f ca="1">IFERROR(__xludf.DUMMYFUNCTION("""COMPUTED_VALUE"""),1631.82)</f>
        <v>1631.82</v>
      </c>
      <c r="Q633" s="6" t="str">
        <f ca="1">IFERROR(__xludf.DUMMYFUNCTION("""COMPUTED_VALUE"""),"Lisandro Russian")</f>
        <v>Lisandro Russian</v>
      </c>
      <c r="R633" s="6" t="str">
        <f ca="1">IFERROR(__xludf.DUMMYFUNCTION("""COMPUTED_VALUE"""),"No recuerda ORL")</f>
        <v>No recuerda ORL</v>
      </c>
      <c r="S633" s="20" t="str">
        <f ca="1">IFERROR(__xludf.DUMMYFUNCTION("""COMPUTED_VALUE"""),"03 ORL")</f>
        <v>03 ORL</v>
      </c>
      <c r="T633" s="6" t="str">
        <f ca="1">IFERROR(__xludf.DUMMYFUNCTION("""COMPUTED_VALUE"""),"06 ORL")</f>
        <v>06 ORL</v>
      </c>
      <c r="U633" s="21"/>
      <c r="W633" s="20"/>
      <c r="X633" s="21"/>
    </row>
    <row r="634" spans="2:24" ht="16">
      <c r="B634" s="26" t="str">
        <f t="shared" ca="1" si="3"/>
        <v>LRM</v>
      </c>
      <c r="C634" s="23" t="str">
        <f ca="1">IFERROR(__xludf.DUMMYFUNCTION("""COMPUTED_VALUE"""),"LRM253")</f>
        <v>LRM253</v>
      </c>
      <c r="D634" s="6" t="str">
        <f ca="1">IFERROR(__xludf.DUMMYFUNCTION("""COMPUTED_VALUE"""),"PROPIOS")</f>
        <v>PROPIOS</v>
      </c>
      <c r="E634" s="6">
        <f ca="1">IFERROR(__xludf.DUMMYFUNCTION("""COMPUTED_VALUE"""),2026)</f>
        <v>2026</v>
      </c>
      <c r="F634" s="15">
        <f ca="1">IFERROR(__xludf.DUMMYFUNCTION("""COMPUTED_VALUE"""),1)</f>
        <v>1</v>
      </c>
      <c r="G634" s="6" t="str">
        <f ca="1">IFERROR(__xludf.DUMMYFUNCTION("""COMPUTED_VALUE"""),"Logroño")</f>
        <v>Logroño</v>
      </c>
      <c r="H634" s="6" t="str">
        <f ca="1">IFERROR(__xludf.DUMMYFUNCTION("""COMPUTED_VALUE"""),"C202511191154559619")</f>
        <v>C202511191154559619</v>
      </c>
      <c r="I634" s="6" t="str">
        <f ca="1">IFERROR(__xludf.DUMMYFUNCTION("""COMPUTED_VALUE"""),"MARIA INES GARCIA GONZALEZ")</f>
        <v>MARIA INES GARCIA GONZALEZ</v>
      </c>
      <c r="J634" s="16">
        <f ca="1">IFERROR(__xludf.DUMMYFUNCTION("""COMPUTED_VALUE"""),45980)</f>
        <v>45980</v>
      </c>
      <c r="K634" s="6" t="str">
        <f ca="1">IFERROR(__xludf.DUMMYFUNCTION("""COMPUTED_VALUE"""),"Pedido")</f>
        <v>Pedido</v>
      </c>
      <c r="L634" s="16">
        <f ca="1">IFERROR(__xludf.DUMMYFUNCTION("""COMPUTED_VALUE"""),46050)</f>
        <v>46050</v>
      </c>
      <c r="M634" s="23" t="str">
        <f ca="1">IFERROR(__xludf.DUMMYFUNCTION("""COMPUTED_VALUE"""),"NO")</f>
        <v>NO</v>
      </c>
      <c r="N634" s="15">
        <f ca="1">IFERROR(__xludf.DUMMYFUNCTION("""COMPUTED_VALUE"""),2)</f>
        <v>2</v>
      </c>
      <c r="O634" s="23" t="str">
        <f ca="1">IFERROR(__xludf.DUMMYFUNCTION("""COMPUTED_VALUE"""),"PRO")</f>
        <v>PRO</v>
      </c>
      <c r="P634" s="21">
        <f ca="1">IFERROR(__xludf.DUMMYFUNCTION("""COMPUTED_VALUE"""),4536.36)</f>
        <v>4536.3599999999997</v>
      </c>
      <c r="Q634" s="6" t="str">
        <f ca="1">IFERROR(__xludf.DUMMYFUNCTION("""COMPUTED_VALUE"""),"Lisandro Russian")</f>
        <v>Lisandro Russian</v>
      </c>
      <c r="R634" s="6" t="str">
        <f ca="1">IFERROR(__xludf.DUMMYFUNCTION("""COMPUTED_VALUE"""),"Marta García Jiménez")</f>
        <v>Marta García Jiménez</v>
      </c>
      <c r="S634" s="20" t="str">
        <f ca="1">IFERROR(__xludf.DUMMYFUNCTION("""COMPUTED_VALUE"""),"03 ORL")</f>
        <v>03 ORL</v>
      </c>
      <c r="T634" s="6" t="str">
        <f ca="1">IFERROR(__xludf.DUMMYFUNCTION("""COMPUTED_VALUE"""),"06 ORL")</f>
        <v>06 ORL</v>
      </c>
      <c r="U634" s="21"/>
      <c r="W634" s="20"/>
      <c r="X634" s="21"/>
    </row>
    <row r="635" spans="2:24" ht="16">
      <c r="B635" s="26" t="str">
        <f t="shared" ca="1" si="3"/>
        <v/>
      </c>
      <c r="C635" s="23"/>
      <c r="D635" s="6" t="str">
        <f ca="1">IFERROR(__xludf.DUMMYFUNCTION("""COMPUTED_VALUE"""),"PROPIOS")</f>
        <v>PROPIOS</v>
      </c>
      <c r="E635" s="6">
        <f ca="1">IFERROR(__xludf.DUMMYFUNCTION("""COMPUTED_VALUE"""),2026)</f>
        <v>2026</v>
      </c>
      <c r="F635" s="15">
        <f ca="1">IFERROR(__xludf.DUMMYFUNCTION("""COMPUTED_VALUE"""),3)</f>
        <v>3</v>
      </c>
      <c r="G635" s="6" t="str">
        <f ca="1">IFERROR(__xludf.DUMMYFUNCTION("""COMPUTED_VALUE"""),"Logroño")</f>
        <v>Logroño</v>
      </c>
      <c r="H635" s="6" t="str">
        <f ca="1">IFERROR(__xludf.DUMMYFUNCTION("""COMPUTED_VALUE"""),"C202619122341487692")</f>
        <v>C202619122341487692</v>
      </c>
      <c r="I635" s="6" t="str">
        <f ca="1">IFERROR(__xludf.DUMMYFUNCTION("""COMPUTED_VALUE"""),"MARIA ROSARIO SAENZ GARRIDO")</f>
        <v>MARIA ROSARIO SAENZ GARRIDO</v>
      </c>
      <c r="J635" s="16">
        <f ca="1">IFERROR(__xludf.DUMMYFUNCTION("""COMPUTED_VALUE"""),46031)</f>
        <v>46031</v>
      </c>
      <c r="K635" s="6" t="str">
        <f ca="1">IFERROR(__xludf.DUMMYFUNCTION("""COMPUTED_VALUE"""),"Prueba")</f>
        <v>Prueba</v>
      </c>
      <c r="L635" s="16">
        <f ca="1">IFERROR(__xludf.DUMMYFUNCTION("""COMPUTED_VALUE"""),46098)</f>
        <v>46098</v>
      </c>
      <c r="M635" s="23" t="str">
        <f ca="1">IFERROR(__xludf.DUMMYFUNCTION("""COMPUTED_VALUE"""),"NO")</f>
        <v>NO</v>
      </c>
      <c r="N635" s="15">
        <f ca="1">IFERROR(__xludf.DUMMYFUNCTION("""COMPUTED_VALUE"""),2)</f>
        <v>2</v>
      </c>
      <c r="O635" s="23" t="str">
        <f ca="1">IFERROR(__xludf.DUMMYFUNCTION("""COMPUTED_VALUE"""),"TRIAL")</f>
        <v>TRIAL</v>
      </c>
      <c r="P635" s="21">
        <f ca="1">IFERROR(__xludf.DUMMYFUNCTION("""COMPUTED_VALUE"""),3631.82)</f>
        <v>3631.82</v>
      </c>
      <c r="Q635" s="6" t="str">
        <f ca="1">IFERROR(__xludf.DUMMYFUNCTION("""COMPUTED_VALUE"""),"Lisandro Russian")</f>
        <v>Lisandro Russian</v>
      </c>
      <c r="R635" s="6" t="str">
        <f ca="1">IFERROR(__xludf.DUMMYFUNCTION("""COMPUTED_VALUE"""),"No recuerda ORL")</f>
        <v>No recuerda ORL</v>
      </c>
      <c r="S635" s="20" t="str">
        <f ca="1">IFERROR(__xludf.DUMMYFUNCTION("""COMPUTED_VALUE"""),"03 ORL")</f>
        <v>03 ORL</v>
      </c>
      <c r="T635" s="6" t="str">
        <f ca="1">IFERROR(__xludf.DUMMYFUNCTION("""COMPUTED_VALUE"""),"06 ORL")</f>
        <v>06 ORL</v>
      </c>
      <c r="U635" s="21"/>
      <c r="W635" s="20"/>
      <c r="X635" s="21"/>
    </row>
    <row r="636" spans="2:24" ht="16">
      <c r="B636" s="26" t="str">
        <f t="shared" ca="1" si="3"/>
        <v/>
      </c>
      <c r="C636" s="23"/>
      <c r="D636" s="6" t="str">
        <f ca="1">IFERROR(__xludf.DUMMYFUNCTION("""COMPUTED_VALUE"""),"PROPIOS")</f>
        <v>PROPIOS</v>
      </c>
      <c r="E636" s="6">
        <f ca="1">IFERROR(__xludf.DUMMYFUNCTION("""COMPUTED_VALUE"""),2026)</f>
        <v>2026</v>
      </c>
      <c r="F636" s="15">
        <f ca="1">IFERROR(__xludf.DUMMYFUNCTION("""COMPUTED_VALUE"""),2)</f>
        <v>2</v>
      </c>
      <c r="G636" s="6" t="str">
        <f ca="1">IFERROR(__xludf.DUMMYFUNCTION("""COMPUTED_VALUE"""),"Logroño")</f>
        <v>Logroño</v>
      </c>
      <c r="H636" s="6" t="str">
        <f ca="1">IFERROR(__xludf.DUMMYFUNCTION("""COMPUTED_VALUE"""),"C202512417171406101")</f>
        <v>C202512417171406101</v>
      </c>
      <c r="I636" s="6" t="str">
        <f ca="1">IFERROR(__xludf.DUMMYFUNCTION("""COMPUTED_VALUE"""),"ROSA MARIA RODRIGUEZ ANDOLLO")</f>
        <v>ROSA MARIA RODRIGUEZ ANDOLLO</v>
      </c>
      <c r="J636" s="16">
        <f ca="1">IFERROR(__xludf.DUMMYFUNCTION("""COMPUTED_VALUE"""),45995)</f>
        <v>45995</v>
      </c>
      <c r="K636" s="6" t="str">
        <f ca="1">IFERROR(__xludf.DUMMYFUNCTION("""COMPUTED_VALUE"""),"Devuelve")</f>
        <v>Devuelve</v>
      </c>
      <c r="L636" s="16">
        <f ca="1">IFERROR(__xludf.DUMMYFUNCTION("""COMPUTED_VALUE"""),46064)</f>
        <v>46064</v>
      </c>
      <c r="M636" s="23" t="str">
        <f ca="1">IFERROR(__xludf.DUMMYFUNCTION("""COMPUTED_VALUE"""),"NO")</f>
        <v>NO</v>
      </c>
      <c r="N636" s="15">
        <f ca="1">IFERROR(__xludf.DUMMYFUNCTION("""COMPUTED_VALUE"""),2)</f>
        <v>2</v>
      </c>
      <c r="O636" s="23" t="str">
        <f ca="1">IFERROR(__xludf.DUMMYFUNCTION("""COMPUTED_VALUE"""),"TRIAL")</f>
        <v>TRIAL</v>
      </c>
      <c r="P636" s="21">
        <f ca="1">IFERROR(__xludf.DUMMYFUNCTION("""COMPUTED_VALUE"""),3631.82)</f>
        <v>3631.82</v>
      </c>
      <c r="Q636" s="6" t="str">
        <f ca="1">IFERROR(__xludf.DUMMYFUNCTION("""COMPUTED_VALUE"""),"Lisandro Russian")</f>
        <v>Lisandro Russian</v>
      </c>
      <c r="R636" s="6" t="str">
        <f ca="1">IFERROR(__xludf.DUMMYFUNCTION("""COMPUTED_VALUE"""),"No recuerda ORL")</f>
        <v>No recuerda ORL</v>
      </c>
      <c r="S636" s="20" t="str">
        <f ca="1">IFERROR(__xludf.DUMMYFUNCTION("""COMPUTED_VALUE"""),"03 ORL")</f>
        <v>03 ORL</v>
      </c>
      <c r="T636" s="6" t="str">
        <f ca="1">IFERROR(__xludf.DUMMYFUNCTION("""COMPUTED_VALUE"""),"06 ORL")</f>
        <v>06 ORL</v>
      </c>
      <c r="U636" s="21"/>
      <c r="W636" s="20"/>
      <c r="X636" s="21"/>
    </row>
    <row r="637" spans="2:24" ht="16">
      <c r="B637" s="26" t="str">
        <f t="shared" ca="1" si="3"/>
        <v/>
      </c>
      <c r="C637" s="23"/>
      <c r="D637" s="6" t="str">
        <f ca="1">IFERROR(__xludf.DUMMYFUNCTION("""COMPUTED_VALUE"""),"PROPIOS")</f>
        <v>PROPIOS</v>
      </c>
      <c r="E637" s="6">
        <f ca="1">IFERROR(__xludf.DUMMYFUNCTION("""COMPUTED_VALUE"""),2026)</f>
        <v>2026</v>
      </c>
      <c r="F637" s="15">
        <f ca="1">IFERROR(__xludf.DUMMYFUNCTION("""COMPUTED_VALUE"""),3)</f>
        <v>3</v>
      </c>
      <c r="G637" s="6" t="str">
        <f ca="1">IFERROR(__xludf.DUMMYFUNCTION("""COMPUTED_VALUE"""),"Logroño")</f>
        <v>Logroño</v>
      </c>
      <c r="H637" s="6" t="str">
        <f ca="1">IFERROR(__xludf.DUMMYFUNCTION("""COMPUTED_VALUE"""),"C202631118331928855")</f>
        <v>C202631118331928855</v>
      </c>
      <c r="I637" s="6" t="str">
        <f ca="1">IFERROR(__xludf.DUMMYFUNCTION("""COMPUTED_VALUE"""),"VICENTE SANTIAGO TEJEDOR PINILLOS")</f>
        <v>VICENTE SANTIAGO TEJEDOR PINILLOS</v>
      </c>
      <c r="J637" s="16">
        <f ca="1">IFERROR(__xludf.DUMMYFUNCTION("""COMPUTED_VALUE"""),46092)</f>
        <v>46092</v>
      </c>
      <c r="K637" s="6" t="str">
        <f ca="1">IFERROR(__xludf.DUMMYFUNCTION("""COMPUTED_VALUE"""),"Prueba")</f>
        <v>Prueba</v>
      </c>
      <c r="L637" s="16">
        <f ca="1">IFERROR(__xludf.DUMMYFUNCTION("""COMPUTED_VALUE"""),46098)</f>
        <v>46098</v>
      </c>
      <c r="M637" s="23" t="str">
        <f ca="1">IFERROR(__xludf.DUMMYFUNCTION("""COMPUTED_VALUE"""),"NO")</f>
        <v>NO</v>
      </c>
      <c r="N637" s="15">
        <f ca="1">IFERROR(__xludf.DUMMYFUNCTION("""COMPUTED_VALUE"""),2)</f>
        <v>2</v>
      </c>
      <c r="O637" s="23" t="str">
        <f ca="1">IFERROR(__xludf.DUMMYFUNCTION("""COMPUTED_VALUE"""),"TRIAL")</f>
        <v>TRIAL</v>
      </c>
      <c r="P637" s="21">
        <f ca="1">IFERROR(__xludf.DUMMYFUNCTION("""COMPUTED_VALUE"""),4136.36)</f>
        <v>4136.3599999999997</v>
      </c>
      <c r="Q637" s="6" t="str">
        <f ca="1">IFERROR(__xludf.DUMMYFUNCTION("""COMPUTED_VALUE"""),"Lisandro Russian")</f>
        <v>Lisandro Russian</v>
      </c>
      <c r="R637" s="6" t="str">
        <f ca="1">IFERROR(__xludf.DUMMYFUNCTION("""COMPUTED_VALUE"""),"No recuerda ORL")</f>
        <v>No recuerda ORL</v>
      </c>
      <c r="S637" s="20" t="str">
        <f ca="1">IFERROR(__xludf.DUMMYFUNCTION("""COMPUTED_VALUE"""),"03 ORL")</f>
        <v>03 ORL</v>
      </c>
      <c r="T637" s="6" t="str">
        <f ca="1">IFERROR(__xludf.DUMMYFUNCTION("""COMPUTED_VALUE"""),"06 ORL")</f>
        <v>06 ORL</v>
      </c>
      <c r="U637" s="21"/>
      <c r="W637" s="20"/>
      <c r="X637" s="21"/>
    </row>
    <row r="638" spans="2:24" ht="16">
      <c r="B638" s="26" t="str">
        <f t="shared" ca="1" si="3"/>
        <v/>
      </c>
      <c r="C638" s="23"/>
      <c r="D638" s="6" t="str">
        <f ca="1">IFERROR(__xludf.DUMMYFUNCTION("""COMPUTED_VALUE"""),"PROPIOS")</f>
        <v>PROPIOS</v>
      </c>
      <c r="E638" s="6">
        <f ca="1">IFERROR(__xludf.DUMMYFUNCTION("""COMPUTED_VALUE"""),2026)</f>
        <v>2026</v>
      </c>
      <c r="F638" s="15">
        <f ca="1">IFERROR(__xludf.DUMMYFUNCTION("""COMPUTED_VALUE"""),2)</f>
        <v>2</v>
      </c>
      <c r="G638" s="6" t="str">
        <f ca="1">IFERROR(__xludf.DUMMYFUNCTION("""COMPUTED_VALUE"""),"Logroño")</f>
        <v>Logroño</v>
      </c>
      <c r="H638" s="6" t="str">
        <f ca="1">IFERROR(__xludf.DUMMYFUNCTION("""COMPUTED_VALUE"""),"C202621314401395683")</f>
        <v>C202621314401395683</v>
      </c>
      <c r="I638" s="6" t="str">
        <f ca="1">IFERROR(__xludf.DUMMYFUNCTION("""COMPUTED_VALUE"""),"Virginia Wilma Yujra Baltazar")</f>
        <v>Virginia Wilma Yujra Baltazar</v>
      </c>
      <c r="J638" s="16">
        <f ca="1">IFERROR(__xludf.DUMMYFUNCTION("""COMPUTED_VALUE"""),46066)</f>
        <v>46066</v>
      </c>
      <c r="K638" s="6" t="str">
        <f ca="1">IFERROR(__xludf.DUMMYFUNCTION("""COMPUTED_VALUE"""),"Presupuesto")</f>
        <v>Presupuesto</v>
      </c>
      <c r="L638" s="16">
        <f ca="1">IFERROR(__xludf.DUMMYFUNCTION("""COMPUTED_VALUE"""),46073)</f>
        <v>46073</v>
      </c>
      <c r="M638" s="23" t="str">
        <f ca="1">IFERROR(__xludf.DUMMYFUNCTION("""COMPUTED_VALUE"""),"NO")</f>
        <v>NO</v>
      </c>
      <c r="N638" s="15">
        <f ca="1">IFERROR(__xludf.DUMMYFUNCTION("""COMPUTED_VALUE"""),1)</f>
        <v>1</v>
      </c>
      <c r="O638" s="23" t="str">
        <f ca="1">IFERROR(__xludf.DUMMYFUNCTION("""COMPUTED_VALUE"""),"QUIET")</f>
        <v>QUIET</v>
      </c>
      <c r="P638" s="21">
        <f ca="1">IFERROR(__xludf.DUMMYFUNCTION("""COMPUTED_VALUE"""),1631.82)</f>
        <v>1631.82</v>
      </c>
      <c r="Q638" s="6" t="str">
        <f ca="1">IFERROR(__xludf.DUMMYFUNCTION("""COMPUTED_VALUE"""),"Lisandro Russian")</f>
        <v>Lisandro Russian</v>
      </c>
      <c r="R638" s="6" t="str">
        <f ca="1">IFERROR(__xludf.DUMMYFUNCTION("""COMPUTED_VALUE"""),"No recuerda ORL")</f>
        <v>No recuerda ORL</v>
      </c>
      <c r="S638" s="20" t="str">
        <f ca="1">IFERROR(__xludf.DUMMYFUNCTION("""COMPUTED_VALUE"""),"03 ORL")</f>
        <v>03 ORL</v>
      </c>
      <c r="T638" s="6" t="str">
        <f ca="1">IFERROR(__xludf.DUMMYFUNCTION("""COMPUTED_VALUE"""),"06 ORL")</f>
        <v>06 ORL</v>
      </c>
      <c r="U638" s="21"/>
      <c r="W638" s="20"/>
      <c r="X638" s="21"/>
    </row>
    <row r="639" spans="2:24" ht="16">
      <c r="B639" s="26" t="str">
        <f t="shared" ca="1" si="3"/>
        <v>RPG</v>
      </c>
      <c r="C639" s="23" t="str">
        <f ca="1">IFERROR(__xludf.DUMMYFUNCTION("""COMPUTED_VALUE"""),"RPG30")</f>
        <v>RPG30</v>
      </c>
      <c r="D639" s="6" t="str">
        <f ca="1">IFERROR(__xludf.DUMMYFUNCTION("""COMPUTED_VALUE"""),"PARTICIPADOS")</f>
        <v>PARTICIPADOS</v>
      </c>
      <c r="E639" s="6">
        <f ca="1">IFERROR(__xludf.DUMMYFUNCTION("""COMPUTED_VALUE"""),2026)</f>
        <v>2026</v>
      </c>
      <c r="F639" s="15">
        <f ca="1">IFERROR(__xludf.DUMMYFUNCTION("""COMPUTED_VALUE"""),2)</f>
        <v>2</v>
      </c>
      <c r="G639" s="6" t="str">
        <f ca="1">IFERROR(__xludf.DUMMYFUNCTION("""COMPUTED_VALUE"""),"Lugo")</f>
        <v>Lugo</v>
      </c>
      <c r="H639" s="6" t="str">
        <f ca="1">IFERROR(__xludf.DUMMYFUNCTION("""COMPUTED_VALUE"""),"C202612812333311783")</f>
        <v>C202612812333311783</v>
      </c>
      <c r="I639" s="6" t="str">
        <f ca="1">IFERROR(__xludf.DUMMYFUNCTION("""COMPUTED_VALUE"""),"ERMITAS FERNANDEZ FERNANDEZ")</f>
        <v>ERMITAS FERNANDEZ FERNANDEZ</v>
      </c>
      <c r="J639" s="16">
        <f ca="1">IFERROR(__xludf.DUMMYFUNCTION("""COMPUTED_VALUE"""),46050)</f>
        <v>46050</v>
      </c>
      <c r="K639" s="6" t="str">
        <f ca="1">IFERROR(__xludf.DUMMYFUNCTION("""COMPUTED_VALUE"""),"Devuelve")</f>
        <v>Devuelve</v>
      </c>
      <c r="L639" s="16">
        <f ca="1">IFERROR(__xludf.DUMMYFUNCTION("""COMPUTED_VALUE"""),46064)</f>
        <v>46064</v>
      </c>
      <c r="M639" s="23" t="str">
        <f ca="1">IFERROR(__xludf.DUMMYFUNCTION("""COMPUTED_VALUE"""),"NO")</f>
        <v>NO</v>
      </c>
      <c r="N639" s="15">
        <f ca="1">IFERROR(__xludf.DUMMYFUNCTION("""COMPUTED_VALUE"""),2)</f>
        <v>2</v>
      </c>
      <c r="O639" s="23" t="str">
        <f ca="1">IFERROR(__xludf.DUMMYFUNCTION("""COMPUTED_VALUE"""),"QUIET")</f>
        <v>QUIET</v>
      </c>
      <c r="P639" s="21">
        <f ca="1">IFERROR(__xludf.DUMMYFUNCTION("""COMPUTED_VALUE"""),2718.18)</f>
        <v>2718.18</v>
      </c>
      <c r="Q639" s="6" t="str">
        <f ca="1">IFERROR(__xludf.DUMMYFUNCTION("""COMPUTED_VALUE"""),"Kiko Ortega")</f>
        <v>Kiko Ortega</v>
      </c>
      <c r="R639" s="6" t="str">
        <f ca="1">IFERROR(__xludf.DUMMYFUNCTION("""COMPUTED_VALUE"""),"Pedro Juiz López")</f>
        <v>Pedro Juiz López</v>
      </c>
      <c r="S639" s="20" t="str">
        <f ca="1">IFERROR(__xludf.DUMMYFUNCTION("""COMPUTED_VALUE"""),"03 ORL")</f>
        <v>03 ORL</v>
      </c>
      <c r="T639" s="6" t="str">
        <f ca="1">IFERROR(__xludf.DUMMYFUNCTION("""COMPUTED_VALUE"""),"06 ORL")</f>
        <v>06 ORL</v>
      </c>
      <c r="U639" s="21"/>
      <c r="W639" s="20"/>
      <c r="X639" s="21"/>
    </row>
    <row r="640" spans="2:24" ht="16">
      <c r="B640" s="26" t="str">
        <f t="shared" ca="1" si="3"/>
        <v>MBM</v>
      </c>
      <c r="C640" s="23" t="str">
        <f ca="1">IFERROR(__xludf.DUMMYFUNCTION("""COMPUTED_VALUE"""),"MBM50")</f>
        <v>MBM50</v>
      </c>
      <c r="D640" s="6" t="str">
        <f ca="1">IFERROR(__xludf.DUMMYFUNCTION("""COMPUTED_VALUE"""),"PROPIOS")</f>
        <v>PROPIOS</v>
      </c>
      <c r="E640" s="6">
        <f ca="1">IFERROR(__xludf.DUMMYFUNCTION("""COMPUTED_VALUE"""),2026)</f>
        <v>2026</v>
      </c>
      <c r="F640" s="15">
        <f ca="1">IFERROR(__xludf.DUMMYFUNCTION("""COMPUTED_VALUE"""),1)</f>
        <v>1</v>
      </c>
      <c r="G640" s="6" t="str">
        <f ca="1">IFERROR(__xludf.DUMMYFUNCTION("""COMPUTED_VALUE"""),"Madrid- Canillas")</f>
        <v>Madrid- Canillas</v>
      </c>
      <c r="H640" s="6" t="str">
        <f ca="1">IFERROR(__xludf.DUMMYFUNCTION("""COMPUTED_VALUE"""),"C202611410524485266")</f>
        <v>C202611410524485266</v>
      </c>
      <c r="I640" s="6" t="str">
        <f ca="1">IFERROR(__xludf.DUMMYFUNCTION("""COMPUTED_VALUE"""),"ANTONIO RODRÍGUEZ OLAYA")</f>
        <v>ANTONIO RODRÍGUEZ OLAYA</v>
      </c>
      <c r="J640" s="16">
        <f ca="1">IFERROR(__xludf.DUMMYFUNCTION("""COMPUTED_VALUE"""),46036)</f>
        <v>46036</v>
      </c>
      <c r="K640" s="6" t="str">
        <f ca="1">IFERROR(__xludf.DUMMYFUNCTION("""COMPUTED_VALUE"""),"Presupuesto")</f>
        <v>Presupuesto</v>
      </c>
      <c r="L640" s="16">
        <f ca="1">IFERROR(__xludf.DUMMYFUNCTION("""COMPUTED_VALUE"""),46042)</f>
        <v>46042</v>
      </c>
      <c r="M640" s="23" t="str">
        <f ca="1">IFERROR(__xludf.DUMMYFUNCTION("""COMPUTED_VALUE"""),"NO")</f>
        <v>NO</v>
      </c>
      <c r="N640" s="15">
        <f ca="1">IFERROR(__xludf.DUMMYFUNCTION("""COMPUTED_VALUE"""),2)</f>
        <v>2</v>
      </c>
      <c r="O640" s="23" t="str">
        <f ca="1">IFERROR(__xludf.DUMMYFUNCTION("""COMPUTED_VALUE"""),"TRIAL")</f>
        <v>TRIAL</v>
      </c>
      <c r="P640" s="21">
        <f ca="1">IFERROR(__xludf.DUMMYFUNCTION("""COMPUTED_VALUE"""),3631.82)</f>
        <v>3631.82</v>
      </c>
      <c r="Q640" s="6" t="str">
        <f ca="1">IFERROR(__xludf.DUMMYFUNCTION("""COMPUTED_VALUE"""),"Maika Blázquez")</f>
        <v>Maika Blázquez</v>
      </c>
      <c r="R640" s="6" t="str">
        <f ca="1">IFERROR(__xludf.DUMMYFUNCTION("""COMPUTED_VALUE"""),"José Gustavo Barroso Braojos")</f>
        <v>José Gustavo Barroso Braojos</v>
      </c>
      <c r="S640" s="20" t="str">
        <f ca="1">IFERROR(__xludf.DUMMYFUNCTION("""COMPUTED_VALUE"""),"03 ORL")</f>
        <v>03 ORL</v>
      </c>
      <c r="T640" s="6" t="str">
        <f ca="1">IFERROR(__xludf.DUMMYFUNCTION("""COMPUTED_VALUE"""),"06 ORL")</f>
        <v>06 ORL</v>
      </c>
      <c r="U640" s="21"/>
      <c r="W640" s="20"/>
      <c r="X640" s="21"/>
    </row>
    <row r="641" spans="2:24" ht="16">
      <c r="B641" s="26" t="str">
        <f t="shared" ca="1" si="3"/>
        <v/>
      </c>
      <c r="C641" s="23"/>
      <c r="D641" s="6" t="str">
        <f ca="1">IFERROR(__xludf.DUMMYFUNCTION("""COMPUTED_VALUE"""),"PROPIOS")</f>
        <v>PROPIOS</v>
      </c>
      <c r="E641" s="6">
        <f ca="1">IFERROR(__xludf.DUMMYFUNCTION("""COMPUTED_VALUE"""),2026)</f>
        <v>2026</v>
      </c>
      <c r="F641" s="15">
        <f ca="1">IFERROR(__xludf.DUMMYFUNCTION("""COMPUTED_VALUE"""),3)</f>
        <v>3</v>
      </c>
      <c r="G641" s="6" t="str">
        <f ca="1">IFERROR(__xludf.DUMMYFUNCTION("""COMPUTED_VALUE"""),"Madrid- Canillas")</f>
        <v>Madrid- Canillas</v>
      </c>
      <c r="H641" s="6" t="str">
        <f ca="1">IFERROR(__xludf.DUMMYFUNCTION("""COMPUTED_VALUE"""),"C202621010363554407")</f>
        <v>C202621010363554407</v>
      </c>
      <c r="I641" s="6" t="str">
        <f ca="1">IFERROR(__xludf.DUMMYFUNCTION("""COMPUTED_VALUE"""),"FRANCINE BORD GARNIER")</f>
        <v>FRANCINE BORD GARNIER</v>
      </c>
      <c r="J641" s="16">
        <f ca="1">IFERROR(__xludf.DUMMYFUNCTION("""COMPUTED_VALUE"""),46063)</f>
        <v>46063</v>
      </c>
      <c r="K641" s="6" t="str">
        <f ca="1">IFERROR(__xludf.DUMMYFUNCTION("""COMPUTED_VALUE"""),"Presupuesto")</f>
        <v>Presupuesto</v>
      </c>
      <c r="L641" s="16">
        <f ca="1">IFERROR(__xludf.DUMMYFUNCTION("""COMPUTED_VALUE"""),46112)</f>
        <v>46112</v>
      </c>
      <c r="M641" s="23" t="str">
        <f ca="1">IFERROR(__xludf.DUMMYFUNCTION("""COMPUTED_VALUE"""),"NO")</f>
        <v>NO</v>
      </c>
      <c r="N641" s="15">
        <f ca="1">IFERROR(__xludf.DUMMYFUNCTION("""COMPUTED_VALUE"""),2)</f>
        <v>2</v>
      </c>
      <c r="O641" s="23" t="str">
        <f ca="1">IFERROR(__xludf.DUMMYFUNCTION("""COMPUTED_VALUE"""),"QUIET")</f>
        <v>QUIET</v>
      </c>
      <c r="P641" s="21">
        <f ca="1">IFERROR(__xludf.DUMMYFUNCTION("""COMPUTED_VALUE"""),2718.18)</f>
        <v>2718.18</v>
      </c>
      <c r="Q641" s="6" t="str">
        <f ca="1">IFERROR(__xludf.DUMMYFUNCTION("""COMPUTED_VALUE"""),"Maika Blázquez")</f>
        <v>Maika Blázquez</v>
      </c>
      <c r="R641" s="6" t="str">
        <f ca="1">IFERROR(__xludf.DUMMYFUNCTION("""COMPUTED_VALUE"""),"No recuerda ORL")</f>
        <v>No recuerda ORL</v>
      </c>
      <c r="S641" s="20" t="str">
        <f ca="1">IFERROR(__xludf.DUMMYFUNCTION("""COMPUTED_VALUE"""),"03 ORL")</f>
        <v>03 ORL</v>
      </c>
      <c r="T641" s="6" t="str">
        <f ca="1">IFERROR(__xludf.DUMMYFUNCTION("""COMPUTED_VALUE"""),"06 ORL")</f>
        <v>06 ORL</v>
      </c>
      <c r="U641" s="21"/>
      <c r="W641" s="20"/>
      <c r="X641" s="21"/>
    </row>
    <row r="642" spans="2:24" ht="16">
      <c r="B642" s="26" t="str">
        <f t="shared" ca="1" si="3"/>
        <v/>
      </c>
      <c r="C642" s="23"/>
      <c r="D642" s="6" t="str">
        <f ca="1">IFERROR(__xludf.DUMMYFUNCTION("""COMPUTED_VALUE"""),"PROPIOS")</f>
        <v>PROPIOS</v>
      </c>
      <c r="E642" s="6">
        <f ca="1">IFERROR(__xludf.DUMMYFUNCTION("""COMPUTED_VALUE"""),2026)</f>
        <v>2026</v>
      </c>
      <c r="F642" s="15">
        <f ca="1">IFERROR(__xludf.DUMMYFUNCTION("""COMPUTED_VALUE"""),2)</f>
        <v>2</v>
      </c>
      <c r="G642" s="6" t="str">
        <f ca="1">IFERROR(__xludf.DUMMYFUNCTION("""COMPUTED_VALUE"""),"Madrid- Canillas")</f>
        <v>Madrid- Canillas</v>
      </c>
      <c r="H642" s="6" t="str">
        <f ca="1">IFERROR(__xludf.DUMMYFUNCTION("""COMPUTED_VALUE"""),"C202621817818380518")</f>
        <v>C202621817818380518</v>
      </c>
      <c r="I642" s="6" t="str">
        <f ca="1">IFERROR(__xludf.DUMMYFUNCTION("""COMPUTED_VALUE"""),"JESUS  DE MIGUEL MUNIESA")</f>
        <v>JESUS  DE MIGUEL MUNIESA</v>
      </c>
      <c r="J642" s="16">
        <f ca="1">IFERROR(__xludf.DUMMYFUNCTION("""COMPUTED_VALUE"""),46071)</f>
        <v>46071</v>
      </c>
      <c r="K642" s="6" t="str">
        <f ca="1">IFERROR(__xludf.DUMMYFUNCTION("""COMPUTED_VALUE"""),"Presupuesto")</f>
        <v>Presupuesto</v>
      </c>
      <c r="L642" s="16">
        <f ca="1">IFERROR(__xludf.DUMMYFUNCTION("""COMPUTED_VALUE"""),46077)</f>
        <v>46077</v>
      </c>
      <c r="M642" s="23" t="str">
        <f ca="1">IFERROR(__xludf.DUMMYFUNCTION("""COMPUTED_VALUE"""),"NO")</f>
        <v>NO</v>
      </c>
      <c r="N642" s="15">
        <f ca="1">IFERROR(__xludf.DUMMYFUNCTION("""COMPUTED_VALUE"""),2)</f>
        <v>2</v>
      </c>
      <c r="O642" s="23" t="str">
        <f ca="1">IFERROR(__xludf.DUMMYFUNCTION("""COMPUTED_VALUE"""),"ADVANCED")</f>
        <v>ADVANCED</v>
      </c>
      <c r="P642" s="21">
        <f ca="1">IFERROR(__xludf.DUMMYFUNCTION("""COMPUTED_VALUE"""),4136.36)</f>
        <v>4136.3599999999997</v>
      </c>
      <c r="Q642" s="6" t="str">
        <f ca="1">IFERROR(__xludf.DUMMYFUNCTION("""COMPUTED_VALUE"""),"Maika Blázquez")</f>
        <v>Maika Blázquez</v>
      </c>
      <c r="R642" s="6" t="str">
        <f ca="1">IFERROR(__xludf.DUMMYFUNCTION("""COMPUTED_VALUE"""),"No recuerda ORL")</f>
        <v>No recuerda ORL</v>
      </c>
      <c r="S642" s="20" t="str">
        <f ca="1">IFERROR(__xludf.DUMMYFUNCTION("""COMPUTED_VALUE"""),"03 ORL")</f>
        <v>03 ORL</v>
      </c>
      <c r="T642" s="6" t="str">
        <f ca="1">IFERROR(__xludf.DUMMYFUNCTION("""COMPUTED_VALUE"""),"06 ORL")</f>
        <v>06 ORL</v>
      </c>
      <c r="U642" s="21"/>
      <c r="W642" s="20"/>
      <c r="X642" s="21"/>
    </row>
    <row r="643" spans="2:24" ht="16">
      <c r="B643" s="26" t="str">
        <f t="shared" ca="1" si="3"/>
        <v>MBM</v>
      </c>
      <c r="C643" s="23" t="str">
        <f ca="1">IFERROR(__xludf.DUMMYFUNCTION("""COMPUTED_VALUE"""),"MBM50")</f>
        <v>MBM50</v>
      </c>
      <c r="D643" s="6" t="str">
        <f ca="1">IFERROR(__xludf.DUMMYFUNCTION("""COMPUTED_VALUE"""),"PROPIOS")</f>
        <v>PROPIOS</v>
      </c>
      <c r="E643" s="6">
        <f ca="1">IFERROR(__xludf.DUMMYFUNCTION("""COMPUTED_VALUE"""),2026)</f>
        <v>2026</v>
      </c>
      <c r="F643" s="15">
        <f ca="1">IFERROR(__xludf.DUMMYFUNCTION("""COMPUTED_VALUE"""),2)</f>
        <v>2</v>
      </c>
      <c r="G643" s="6" t="str">
        <f ca="1">IFERROR(__xludf.DUMMYFUNCTION("""COMPUTED_VALUE"""),"Madrid- Canillas")</f>
        <v>Madrid- Canillas</v>
      </c>
      <c r="H643" s="6" t="str">
        <f ca="1">IFERROR(__xludf.DUMMYFUNCTION("""COMPUTED_VALUE"""),"C202612117450509165")</f>
        <v>C202612117450509165</v>
      </c>
      <c r="I643" s="6" t="str">
        <f ca="1">IFERROR(__xludf.DUMMYFUNCTION("""COMPUTED_VALUE"""),"JOSE LUIS RODRIGUEZ GALINDO")</f>
        <v>JOSE LUIS RODRIGUEZ GALINDO</v>
      </c>
      <c r="J643" s="16">
        <f ca="1">IFERROR(__xludf.DUMMYFUNCTION("""COMPUTED_VALUE"""),46043)</f>
        <v>46043</v>
      </c>
      <c r="K643" s="6" t="str">
        <f ca="1">IFERROR(__xludf.DUMMYFUNCTION("""COMPUTED_VALUE"""),"Presupuesto")</f>
        <v>Presupuesto</v>
      </c>
      <c r="L643" s="16">
        <f ca="1">IFERROR(__xludf.DUMMYFUNCTION("""COMPUTED_VALUE"""),46056)</f>
        <v>46056</v>
      </c>
      <c r="M643" s="23" t="str">
        <f ca="1">IFERROR(__xludf.DUMMYFUNCTION("""COMPUTED_VALUE"""),"NO")</f>
        <v>NO</v>
      </c>
      <c r="N643" s="15">
        <f ca="1">IFERROR(__xludf.DUMMYFUNCTION("""COMPUTED_VALUE"""),2)</f>
        <v>2</v>
      </c>
      <c r="O643" s="23" t="str">
        <f ca="1">IFERROR(__xludf.DUMMYFUNCTION("""COMPUTED_VALUE"""),"ADVANCED")</f>
        <v>ADVANCED</v>
      </c>
      <c r="P643" s="21">
        <f ca="1">IFERROR(__xludf.DUMMYFUNCTION("""COMPUTED_VALUE"""),4136.36)</f>
        <v>4136.3599999999997</v>
      </c>
      <c r="Q643" s="6" t="str">
        <f ca="1">IFERROR(__xludf.DUMMYFUNCTION("""COMPUTED_VALUE"""),"Maika Blázquez")</f>
        <v>Maika Blázquez</v>
      </c>
      <c r="R643" s="6" t="str">
        <f ca="1">IFERROR(__xludf.DUMMYFUNCTION("""COMPUTED_VALUE"""),"José Gustavo Barroso Braojos")</f>
        <v>José Gustavo Barroso Braojos</v>
      </c>
      <c r="S643" s="20" t="str">
        <f ca="1">IFERROR(__xludf.DUMMYFUNCTION("""COMPUTED_VALUE"""),"03 ORL")</f>
        <v>03 ORL</v>
      </c>
      <c r="T643" s="6" t="str">
        <f ca="1">IFERROR(__xludf.DUMMYFUNCTION("""COMPUTED_VALUE"""),"06 ORL")</f>
        <v>06 ORL</v>
      </c>
      <c r="U643" s="21"/>
      <c r="W643" s="20"/>
      <c r="X643" s="21"/>
    </row>
    <row r="644" spans="2:24" ht="16">
      <c r="B644" s="26" t="str">
        <f t="shared" ca="1" si="3"/>
        <v>MBM</v>
      </c>
      <c r="C644" s="23" t="str">
        <f ca="1">IFERROR(__xludf.DUMMYFUNCTION("""COMPUTED_VALUE"""),"MBM50")</f>
        <v>MBM50</v>
      </c>
      <c r="D644" s="6" t="str">
        <f ca="1">IFERROR(__xludf.DUMMYFUNCTION("""COMPUTED_VALUE"""),"PROPIOS")</f>
        <v>PROPIOS</v>
      </c>
      <c r="E644" s="6">
        <f ca="1">IFERROR(__xludf.DUMMYFUNCTION("""COMPUTED_VALUE"""),2026)</f>
        <v>2026</v>
      </c>
      <c r="F644" s="15">
        <f ca="1">IFERROR(__xludf.DUMMYFUNCTION("""COMPUTED_VALUE"""),3)</f>
        <v>3</v>
      </c>
      <c r="G644" s="6" t="str">
        <f ca="1">IFERROR(__xludf.DUMMYFUNCTION("""COMPUTED_VALUE"""),"Madrid- Canillas")</f>
        <v>Madrid- Canillas</v>
      </c>
      <c r="H644" s="6" t="str">
        <f ca="1">IFERROR(__xludf.DUMMYFUNCTION("""COMPUTED_VALUE"""),"C202622781821951881")</f>
        <v>C202622781821951881</v>
      </c>
      <c r="I644" s="6" t="str">
        <f ca="1">IFERROR(__xludf.DUMMYFUNCTION("""COMPUTED_VALUE"""),"JULIANA INAREJOS GONZÁLEZ")</f>
        <v>JULIANA INAREJOS GONZÁLEZ</v>
      </c>
      <c r="J644" s="16">
        <f ca="1">IFERROR(__xludf.DUMMYFUNCTION("""COMPUTED_VALUE"""),46080)</f>
        <v>46080</v>
      </c>
      <c r="K644" s="6" t="str">
        <f ca="1">IFERROR(__xludf.DUMMYFUNCTION("""COMPUTED_VALUE"""),"Pedido")</f>
        <v>Pedido</v>
      </c>
      <c r="L644" s="16">
        <f ca="1">IFERROR(__xludf.DUMMYFUNCTION("""COMPUTED_VALUE"""),46090)</f>
        <v>46090</v>
      </c>
      <c r="M644" s="23" t="str">
        <f ca="1">IFERROR(__xludf.DUMMYFUNCTION("""COMPUTED_VALUE"""),"NO")</f>
        <v>NO</v>
      </c>
      <c r="N644" s="15">
        <f ca="1">IFERROR(__xludf.DUMMYFUNCTION("""COMPUTED_VALUE"""),2)</f>
        <v>2</v>
      </c>
      <c r="O644" s="23" t="str">
        <f ca="1">IFERROR(__xludf.DUMMYFUNCTION("""COMPUTED_VALUE"""),"QUIET")</f>
        <v>QUIET</v>
      </c>
      <c r="P644" s="21">
        <f ca="1">IFERROR(__xludf.DUMMYFUNCTION("""COMPUTED_VALUE"""),2718.18)</f>
        <v>2718.18</v>
      </c>
      <c r="Q644" s="6" t="str">
        <f ca="1">IFERROR(__xludf.DUMMYFUNCTION("""COMPUTED_VALUE"""),"Maika Blázquez")</f>
        <v>Maika Blázquez</v>
      </c>
      <c r="R644" s="6" t="str">
        <f ca="1">IFERROR(__xludf.DUMMYFUNCTION("""COMPUTED_VALUE"""),"José Gustavo Barroso Braojos")</f>
        <v>José Gustavo Barroso Braojos</v>
      </c>
      <c r="S644" s="20" t="str">
        <f ca="1">IFERROR(__xludf.DUMMYFUNCTION("""COMPUTED_VALUE"""),"03 ORL")</f>
        <v>03 ORL</v>
      </c>
      <c r="T644" s="6" t="str">
        <f ca="1">IFERROR(__xludf.DUMMYFUNCTION("""COMPUTED_VALUE"""),"06 ORL")</f>
        <v>06 ORL</v>
      </c>
      <c r="U644" s="21"/>
      <c r="W644" s="20"/>
      <c r="X644" s="21"/>
    </row>
    <row r="645" spans="2:24" ht="16">
      <c r="B645" s="26" t="str">
        <f t="shared" ca="1" si="3"/>
        <v>MBM</v>
      </c>
      <c r="C645" s="23" t="str">
        <f ca="1">IFERROR(__xludf.DUMMYFUNCTION("""COMPUTED_VALUE"""),"MBM50")</f>
        <v>MBM50</v>
      </c>
      <c r="D645" s="6" t="str">
        <f ca="1">IFERROR(__xludf.DUMMYFUNCTION("""COMPUTED_VALUE"""),"PROPIOS")</f>
        <v>PROPIOS</v>
      </c>
      <c r="E645" s="6">
        <f ca="1">IFERROR(__xludf.DUMMYFUNCTION("""COMPUTED_VALUE"""),2026)</f>
        <v>2026</v>
      </c>
      <c r="F645" s="15">
        <f ca="1">IFERROR(__xludf.DUMMYFUNCTION("""COMPUTED_VALUE"""),3)</f>
        <v>3</v>
      </c>
      <c r="G645" s="6" t="str">
        <f ca="1">IFERROR(__xludf.DUMMYFUNCTION("""COMPUTED_VALUE"""),"Madrid- Canillas")</f>
        <v>Madrid- Canillas</v>
      </c>
      <c r="H645" s="6" t="str">
        <f ca="1">IFERROR(__xludf.DUMMYFUNCTION("""COMPUTED_VALUE"""),"C202634114914815207")</f>
        <v>C202634114914815207</v>
      </c>
      <c r="I645" s="6" t="str">
        <f ca="1">IFERROR(__xludf.DUMMYFUNCTION("""COMPUTED_VALUE"""),"JULIO HERNÁNDEZ GÓMEZ")</f>
        <v>JULIO HERNÁNDEZ GÓMEZ</v>
      </c>
      <c r="J645" s="16">
        <f ca="1">IFERROR(__xludf.DUMMYFUNCTION("""COMPUTED_VALUE"""),46085)</f>
        <v>46085</v>
      </c>
      <c r="K645" s="6" t="str">
        <f ca="1">IFERROR(__xludf.DUMMYFUNCTION("""COMPUTED_VALUE"""),"Presupuesto")</f>
        <v>Presupuesto</v>
      </c>
      <c r="L645" s="16">
        <f ca="1">IFERROR(__xludf.DUMMYFUNCTION("""COMPUTED_VALUE"""),46092)</f>
        <v>46092</v>
      </c>
      <c r="M645" s="23" t="str">
        <f ca="1">IFERROR(__xludf.DUMMYFUNCTION("""COMPUTED_VALUE"""),"NO")</f>
        <v>NO</v>
      </c>
      <c r="N645" s="15">
        <f ca="1">IFERROR(__xludf.DUMMYFUNCTION("""COMPUTED_VALUE"""),2)</f>
        <v>2</v>
      </c>
      <c r="O645" s="23" t="str">
        <f ca="1">IFERROR(__xludf.DUMMYFUNCTION("""COMPUTED_VALUE"""),"ADVANCED")</f>
        <v>ADVANCED</v>
      </c>
      <c r="P645" s="21">
        <f ca="1">IFERROR(__xludf.DUMMYFUNCTION("""COMPUTED_VALUE"""),4136.36)</f>
        <v>4136.3599999999997</v>
      </c>
      <c r="Q645" s="6" t="str">
        <f ca="1">IFERROR(__xludf.DUMMYFUNCTION("""COMPUTED_VALUE"""),"Maika Blázquez")</f>
        <v>Maika Blázquez</v>
      </c>
      <c r="R645" s="6" t="str">
        <f ca="1">IFERROR(__xludf.DUMMYFUNCTION("""COMPUTED_VALUE"""),"José Gustavo Barroso Braojos")</f>
        <v>José Gustavo Barroso Braojos</v>
      </c>
      <c r="S645" s="20" t="str">
        <f ca="1">IFERROR(__xludf.DUMMYFUNCTION("""COMPUTED_VALUE"""),"03 ORL")</f>
        <v>03 ORL</v>
      </c>
      <c r="T645" s="6" t="str">
        <f ca="1">IFERROR(__xludf.DUMMYFUNCTION("""COMPUTED_VALUE"""),"06 ORL")</f>
        <v>06 ORL</v>
      </c>
      <c r="U645" s="21"/>
      <c r="W645" s="20"/>
      <c r="X645" s="21"/>
    </row>
    <row r="646" spans="2:24" ht="16">
      <c r="B646" s="26" t="str">
        <f t="shared" ca="1" si="3"/>
        <v>MBM</v>
      </c>
      <c r="C646" s="23" t="str">
        <f ca="1">IFERROR(__xludf.DUMMYFUNCTION("""COMPUTED_VALUE"""),"MBM50")</f>
        <v>MBM50</v>
      </c>
      <c r="D646" s="6" t="str">
        <f ca="1">IFERROR(__xludf.DUMMYFUNCTION("""COMPUTED_VALUE"""),"PROPIOS")</f>
        <v>PROPIOS</v>
      </c>
      <c r="E646" s="6">
        <f ca="1">IFERROR(__xludf.DUMMYFUNCTION("""COMPUTED_VALUE"""),2026)</f>
        <v>2026</v>
      </c>
      <c r="F646" s="15">
        <f ca="1">IFERROR(__xludf.DUMMYFUNCTION("""COMPUTED_VALUE"""),3)</f>
        <v>3</v>
      </c>
      <c r="G646" s="6" t="str">
        <f ca="1">IFERROR(__xludf.DUMMYFUNCTION("""COMPUTED_VALUE"""),"Madrid- Canillas")</f>
        <v>Madrid- Canillas</v>
      </c>
      <c r="H646" s="6" t="str">
        <f ca="1">IFERROR(__xludf.DUMMYFUNCTION("""COMPUTED_VALUE"""),"C20263121238113942")</f>
        <v>C20263121238113942</v>
      </c>
      <c r="I646" s="6" t="str">
        <f ca="1">IFERROR(__xludf.DUMMYFUNCTION("""COMPUTED_VALUE"""),"LUIS CORTÉS RODERO")</f>
        <v>LUIS CORTÉS RODERO</v>
      </c>
      <c r="J646" s="16">
        <f ca="1">IFERROR(__xludf.DUMMYFUNCTION("""COMPUTED_VALUE"""),46093)</f>
        <v>46093</v>
      </c>
      <c r="K646" s="6" t="str">
        <f ca="1">IFERROR(__xludf.DUMMYFUNCTION("""COMPUTED_VALUE"""),"Presupuesto")</f>
        <v>Presupuesto</v>
      </c>
      <c r="L646" s="16">
        <f ca="1">IFERROR(__xludf.DUMMYFUNCTION("""COMPUTED_VALUE"""),46099)</f>
        <v>46099</v>
      </c>
      <c r="M646" s="23" t="str">
        <f ca="1">IFERROR(__xludf.DUMMYFUNCTION("""COMPUTED_VALUE"""),"NO")</f>
        <v>NO</v>
      </c>
      <c r="N646" s="15">
        <f ca="1">IFERROR(__xludf.DUMMYFUNCTION("""COMPUTED_VALUE"""),2)</f>
        <v>2</v>
      </c>
      <c r="O646" s="23" t="str">
        <f ca="1">IFERROR(__xludf.DUMMYFUNCTION("""COMPUTED_VALUE"""),"QUIET")</f>
        <v>QUIET</v>
      </c>
      <c r="P646" s="21">
        <f ca="1">IFERROR(__xludf.DUMMYFUNCTION("""COMPUTED_VALUE"""),2718.18)</f>
        <v>2718.18</v>
      </c>
      <c r="Q646" s="6" t="str">
        <f ca="1">IFERROR(__xludf.DUMMYFUNCTION("""COMPUTED_VALUE"""),"Maika Blázquez")</f>
        <v>Maika Blázquez</v>
      </c>
      <c r="R646" s="6" t="str">
        <f ca="1">IFERROR(__xludf.DUMMYFUNCTION("""COMPUTED_VALUE"""),"José Gustavo Barroso Braojos")</f>
        <v>José Gustavo Barroso Braojos</v>
      </c>
      <c r="S646" s="20" t="str">
        <f ca="1">IFERROR(__xludf.DUMMYFUNCTION("""COMPUTED_VALUE"""),"03 ORL")</f>
        <v>03 ORL</v>
      </c>
      <c r="T646" s="6" t="str">
        <f ca="1">IFERROR(__xludf.DUMMYFUNCTION("""COMPUTED_VALUE"""),"06 ORL")</f>
        <v>06 ORL</v>
      </c>
      <c r="U646" s="21"/>
      <c r="W646" s="20"/>
      <c r="X646" s="21"/>
    </row>
    <row r="647" spans="2:24" ht="16">
      <c r="B647" s="26" t="str">
        <f t="shared" ca="1" si="3"/>
        <v/>
      </c>
      <c r="C647" s="23"/>
      <c r="D647" s="6" t="str">
        <f ca="1">IFERROR(__xludf.DUMMYFUNCTION("""COMPUTED_VALUE"""),"PROPIOS")</f>
        <v>PROPIOS</v>
      </c>
      <c r="E647" s="6">
        <f ca="1">IFERROR(__xludf.DUMMYFUNCTION("""COMPUTED_VALUE"""),2026)</f>
        <v>2026</v>
      </c>
      <c r="F647" s="15">
        <f ca="1">IFERROR(__xludf.DUMMYFUNCTION("""COMPUTED_VALUE"""),2)</f>
        <v>2</v>
      </c>
      <c r="G647" s="6" t="str">
        <f ca="1">IFERROR(__xludf.DUMMYFUNCTION("""COMPUTED_VALUE"""),"Madrid- Canillas")</f>
        <v>Madrid- Canillas</v>
      </c>
      <c r="H647" s="6" t="str">
        <f ca="1">IFERROR(__xludf.DUMMYFUNCTION("""COMPUTED_VALUE"""),"C202621815343050568")</f>
        <v>C202621815343050568</v>
      </c>
      <c r="I647" s="6" t="str">
        <f ca="1">IFERROR(__xludf.DUMMYFUNCTION("""COMPUTED_VALUE"""),"MARIA JESUS MERCHAN GARCIA")</f>
        <v>MARIA JESUS MERCHAN GARCIA</v>
      </c>
      <c r="J647" s="16">
        <f ca="1">IFERROR(__xludf.DUMMYFUNCTION("""COMPUTED_VALUE"""),46071)</f>
        <v>46071</v>
      </c>
      <c r="K647" s="6" t="str">
        <f ca="1">IFERROR(__xludf.DUMMYFUNCTION("""COMPUTED_VALUE"""),"Presupuesto")</f>
        <v>Presupuesto</v>
      </c>
      <c r="L647" s="16">
        <f ca="1">IFERROR(__xludf.DUMMYFUNCTION("""COMPUTED_VALUE"""),46079)</f>
        <v>46079</v>
      </c>
      <c r="M647" s="23" t="str">
        <f ca="1">IFERROR(__xludf.DUMMYFUNCTION("""COMPUTED_VALUE"""),"NO")</f>
        <v>NO</v>
      </c>
      <c r="N647" s="15">
        <f ca="1">IFERROR(__xludf.DUMMYFUNCTION("""COMPUTED_VALUE"""),2)</f>
        <v>2</v>
      </c>
      <c r="O647" s="23" t="str">
        <f ca="1">IFERROR(__xludf.DUMMYFUNCTION("""COMPUTED_VALUE"""),"TRIAL")</f>
        <v>TRIAL</v>
      </c>
      <c r="P647" s="21">
        <f ca="1">IFERROR(__xludf.DUMMYFUNCTION("""COMPUTED_VALUE"""),4136.36)</f>
        <v>4136.3599999999997</v>
      </c>
      <c r="Q647" s="6" t="str">
        <f ca="1">IFERROR(__xludf.DUMMYFUNCTION("""COMPUTED_VALUE"""),"Maika Blázquez")</f>
        <v>Maika Blázquez</v>
      </c>
      <c r="R647" s="6" t="str">
        <f ca="1">IFERROR(__xludf.DUMMYFUNCTION("""COMPUTED_VALUE"""),"No recuerda ORL")</f>
        <v>No recuerda ORL</v>
      </c>
      <c r="S647" s="20" t="str">
        <f ca="1">IFERROR(__xludf.DUMMYFUNCTION("""COMPUTED_VALUE"""),"03 ORL")</f>
        <v>03 ORL</v>
      </c>
      <c r="T647" s="6" t="str">
        <f ca="1">IFERROR(__xludf.DUMMYFUNCTION("""COMPUTED_VALUE"""),"06 ORL")</f>
        <v>06 ORL</v>
      </c>
      <c r="U647" s="21"/>
      <c r="W647" s="20"/>
      <c r="X647" s="21"/>
    </row>
    <row r="648" spans="2:24" ht="16">
      <c r="B648" s="26" t="str">
        <f t="shared" ca="1" si="3"/>
        <v>LRM</v>
      </c>
      <c r="C648" s="23" t="str">
        <f ca="1">IFERROR(__xludf.DUMMYFUNCTION("""COMPUTED_VALUE"""),"LRM13")</f>
        <v>LRM13</v>
      </c>
      <c r="D648" s="6" t="str">
        <f ca="1">IFERROR(__xludf.DUMMYFUNCTION("""COMPUTED_VALUE"""),"PARTICIPADOS")</f>
        <v>PARTICIPADOS</v>
      </c>
      <c r="E648" s="6">
        <f ca="1">IFERROR(__xludf.DUMMYFUNCTION("""COMPUTED_VALUE"""),2026)</f>
        <v>2026</v>
      </c>
      <c r="F648" s="15">
        <f ca="1">IFERROR(__xludf.DUMMYFUNCTION("""COMPUTED_VALUE"""),3)</f>
        <v>3</v>
      </c>
      <c r="G648" s="6" t="str">
        <f ca="1">IFERROR(__xludf.DUMMYFUNCTION("""COMPUTED_VALUE"""),"Madrid- Costa Rica")</f>
        <v>Madrid- Costa Rica</v>
      </c>
      <c r="H648" s="6" t="str">
        <f ca="1">IFERROR(__xludf.DUMMYFUNCTION("""COMPUTED_VALUE"""),"C202632312368884490")</f>
        <v>C202632312368884490</v>
      </c>
      <c r="I648" s="6" t="str">
        <f ca="1">IFERROR(__xludf.DUMMYFUNCTION("""COMPUTED_VALUE"""),"CARMEN  DOPEREIRO HALLY")</f>
        <v>CARMEN  DOPEREIRO HALLY</v>
      </c>
      <c r="J648" s="16">
        <f ca="1">IFERROR(__xludf.DUMMYFUNCTION("""COMPUTED_VALUE"""),46104)</f>
        <v>46104</v>
      </c>
      <c r="K648" s="6" t="str">
        <f ca="1">IFERROR(__xludf.DUMMYFUNCTION("""COMPUTED_VALUE"""),"Pedido")</f>
        <v>Pedido</v>
      </c>
      <c r="L648" s="16">
        <f ca="1">IFERROR(__xludf.DUMMYFUNCTION("""COMPUTED_VALUE"""),46112)</f>
        <v>46112</v>
      </c>
      <c r="M648" s="23" t="str">
        <f ca="1">IFERROR(__xludf.DUMMYFUNCTION("""COMPUTED_VALUE"""),"NO")</f>
        <v>NO</v>
      </c>
      <c r="N648" s="15">
        <f ca="1">IFERROR(__xludf.DUMMYFUNCTION("""COMPUTED_VALUE"""),2)</f>
        <v>2</v>
      </c>
      <c r="O648" s="23" t="str">
        <f ca="1">IFERROR(__xludf.DUMMYFUNCTION("""COMPUTED_VALUE"""),"CONFORT")</f>
        <v>CONFORT</v>
      </c>
      <c r="P648" s="21">
        <f ca="1">IFERROR(__xludf.DUMMYFUNCTION("""COMPUTED_VALUE"""),3286.36)</f>
        <v>3286.36</v>
      </c>
      <c r="Q648" s="6" t="str">
        <f ca="1">IFERROR(__xludf.DUMMYFUNCTION("""COMPUTED_VALUE"""),"Maika Blázquez")</f>
        <v>Maika Blázquez</v>
      </c>
      <c r="R648" s="6" t="str">
        <f ca="1">IFERROR(__xludf.DUMMYFUNCTION("""COMPUTED_VALUE"""),"Antonio Bueno Ríos")</f>
        <v>Antonio Bueno Ríos</v>
      </c>
      <c r="S648" s="20" t="str">
        <f ca="1">IFERROR(__xludf.DUMMYFUNCTION("""COMPUTED_VALUE"""),"03 ORL")</f>
        <v>03 ORL</v>
      </c>
      <c r="T648" s="6" t="str">
        <f ca="1">IFERROR(__xludf.DUMMYFUNCTION("""COMPUTED_VALUE"""),"06 ORL")</f>
        <v>06 ORL</v>
      </c>
      <c r="U648" s="21"/>
      <c r="W648" s="20"/>
      <c r="X648" s="21"/>
    </row>
    <row r="649" spans="2:24" ht="16">
      <c r="B649" s="26" t="str">
        <f t="shared" ca="1" si="3"/>
        <v>LRM</v>
      </c>
      <c r="C649" s="23" t="str">
        <f ca="1">IFERROR(__xludf.DUMMYFUNCTION("""COMPUTED_VALUE"""),"LRM13")</f>
        <v>LRM13</v>
      </c>
      <c r="D649" s="6" t="str">
        <f ca="1">IFERROR(__xludf.DUMMYFUNCTION("""COMPUTED_VALUE"""),"PARTICIPADOS")</f>
        <v>PARTICIPADOS</v>
      </c>
      <c r="E649" s="6">
        <f ca="1">IFERROR(__xludf.DUMMYFUNCTION("""COMPUTED_VALUE"""),2026)</f>
        <v>2026</v>
      </c>
      <c r="F649" s="15">
        <f ca="1">IFERROR(__xludf.DUMMYFUNCTION("""COMPUTED_VALUE"""),3)</f>
        <v>3</v>
      </c>
      <c r="G649" s="6" t="str">
        <f ca="1">IFERROR(__xludf.DUMMYFUNCTION("""COMPUTED_VALUE"""),"Madrid- Costa Rica")</f>
        <v>Madrid- Costa Rica</v>
      </c>
      <c r="H649" s="6" t="str">
        <f ca="1">IFERROR(__xludf.DUMMYFUNCTION("""COMPUTED_VALUE"""),"C202622313474990442")</f>
        <v>C202622313474990442</v>
      </c>
      <c r="I649" s="6" t="str">
        <f ca="1">IFERROR(__xludf.DUMMYFUNCTION("""COMPUTED_VALUE"""),"FLORENCIO ESTEBAN OLMEDO")</f>
        <v>FLORENCIO ESTEBAN OLMEDO</v>
      </c>
      <c r="J649" s="16">
        <f ca="1">IFERROR(__xludf.DUMMYFUNCTION("""COMPUTED_VALUE"""),46076)</f>
        <v>46076</v>
      </c>
      <c r="K649" s="6" t="str">
        <f ca="1">IFERROR(__xludf.DUMMYFUNCTION("""COMPUTED_VALUE"""),"Pedido")</f>
        <v>Pedido</v>
      </c>
      <c r="L649" s="16">
        <f ca="1">IFERROR(__xludf.DUMMYFUNCTION("""COMPUTED_VALUE"""),46094)</f>
        <v>46094</v>
      </c>
      <c r="M649" s="23" t="str">
        <f ca="1">IFERROR(__xludf.DUMMYFUNCTION("""COMPUTED_VALUE"""),"NO")</f>
        <v>NO</v>
      </c>
      <c r="N649" s="15">
        <f ca="1">IFERROR(__xludf.DUMMYFUNCTION("""COMPUTED_VALUE"""),1)</f>
        <v>1</v>
      </c>
      <c r="O649" s="23" t="str">
        <f ca="1">IFERROR(__xludf.DUMMYFUNCTION("""COMPUTED_VALUE"""),"CONFORT")</f>
        <v>CONFORT</v>
      </c>
      <c r="P649" s="21">
        <f ca="1">IFERROR(__xludf.DUMMYFUNCTION("""COMPUTED_VALUE"""),2162.73)</f>
        <v>2162.73</v>
      </c>
      <c r="Q649" s="6" t="str">
        <f ca="1">IFERROR(__xludf.DUMMYFUNCTION("""COMPUTED_VALUE"""),"Maika Blázquez")</f>
        <v>Maika Blázquez</v>
      </c>
      <c r="R649" s="6" t="str">
        <f ca="1">IFERROR(__xludf.DUMMYFUNCTION("""COMPUTED_VALUE"""),"Antonio Bueno Ríos")</f>
        <v>Antonio Bueno Ríos</v>
      </c>
      <c r="S649" s="20" t="str">
        <f ca="1">IFERROR(__xludf.DUMMYFUNCTION("""COMPUTED_VALUE"""),"03 ORL")</f>
        <v>03 ORL</v>
      </c>
      <c r="T649" s="6" t="str">
        <f ca="1">IFERROR(__xludf.DUMMYFUNCTION("""COMPUTED_VALUE"""),"06 ORL")</f>
        <v>06 ORL</v>
      </c>
      <c r="U649" s="21"/>
      <c r="W649" s="20"/>
      <c r="X649" s="21"/>
    </row>
    <row r="650" spans="2:24" ht="16">
      <c r="B650" s="26" t="str">
        <f t="shared" ca="1" si="3"/>
        <v>LRM</v>
      </c>
      <c r="C650" s="23" t="str">
        <f ca="1">IFERROR(__xludf.DUMMYFUNCTION("""COMPUTED_VALUE"""),"LRM256")</f>
        <v>LRM256</v>
      </c>
      <c r="D650" s="6" t="str">
        <f ca="1">IFERROR(__xludf.DUMMYFUNCTION("""COMPUTED_VALUE"""),"PARTICIPADOS")</f>
        <v>PARTICIPADOS</v>
      </c>
      <c r="E650" s="6">
        <f ca="1">IFERROR(__xludf.DUMMYFUNCTION("""COMPUTED_VALUE"""),2026)</f>
        <v>2026</v>
      </c>
      <c r="F650" s="15">
        <f ca="1">IFERROR(__xludf.DUMMYFUNCTION("""COMPUTED_VALUE"""),3)</f>
        <v>3</v>
      </c>
      <c r="G650" s="6" t="str">
        <f ca="1">IFERROR(__xludf.DUMMYFUNCTION("""COMPUTED_VALUE"""),"Madrid- Costa Rica")</f>
        <v>Madrid- Costa Rica</v>
      </c>
      <c r="H650" s="6" t="str">
        <f ca="1">IFERROR(__xludf.DUMMYFUNCTION("""COMPUTED_VALUE"""),"C202632392859381257")</f>
        <v>C202632392859381257</v>
      </c>
      <c r="I650" s="6" t="str">
        <f ca="1">IFERROR(__xludf.DUMMYFUNCTION("""COMPUTED_VALUE"""),"GERARDO RODRIGUEZ RODRIGUEZ")</f>
        <v>GERARDO RODRIGUEZ RODRIGUEZ</v>
      </c>
      <c r="J650" s="16">
        <f ca="1">IFERROR(__xludf.DUMMYFUNCTION("""COMPUTED_VALUE"""),46104)</f>
        <v>46104</v>
      </c>
      <c r="K650" s="6" t="str">
        <f ca="1">IFERROR(__xludf.DUMMYFUNCTION("""COMPUTED_VALUE"""),"Pedido")</f>
        <v>Pedido</v>
      </c>
      <c r="L650" s="16">
        <f ca="1">IFERROR(__xludf.DUMMYFUNCTION("""COMPUTED_VALUE"""),46108)</f>
        <v>46108</v>
      </c>
      <c r="M650" s="23" t="str">
        <f ca="1">IFERROR(__xludf.DUMMYFUNCTION("""COMPUTED_VALUE"""),"NO")</f>
        <v>NO</v>
      </c>
      <c r="N650" s="15">
        <f ca="1">IFERROR(__xludf.DUMMYFUNCTION("""COMPUTED_VALUE"""),2)</f>
        <v>2</v>
      </c>
      <c r="O650" s="23" t="str">
        <f ca="1">IFERROR(__xludf.DUMMYFUNCTION("""COMPUTED_VALUE"""),"QUIET")</f>
        <v>QUIET</v>
      </c>
      <c r="P650" s="21">
        <f ca="1">IFERROR(__xludf.DUMMYFUNCTION("""COMPUTED_VALUE"""),2718.18)</f>
        <v>2718.18</v>
      </c>
      <c r="Q650" s="6" t="str">
        <f ca="1">IFERROR(__xludf.DUMMYFUNCTION("""COMPUTED_VALUE"""),"Maika Blázquez")</f>
        <v>Maika Blázquez</v>
      </c>
      <c r="R650" s="6" t="str">
        <f ca="1">IFERROR(__xludf.DUMMYFUNCTION("""COMPUTED_VALUE"""),"Coloma Grau Van Laak")</f>
        <v>Coloma Grau Van Laak</v>
      </c>
      <c r="S650" s="20" t="str">
        <f ca="1">IFERROR(__xludf.DUMMYFUNCTION("""COMPUTED_VALUE"""),"03 ORL")</f>
        <v>03 ORL</v>
      </c>
      <c r="T650" s="6" t="str">
        <f ca="1">IFERROR(__xludf.DUMMYFUNCTION("""COMPUTED_VALUE"""),"06 ORL")</f>
        <v>06 ORL</v>
      </c>
      <c r="U650" s="21"/>
      <c r="W650" s="20"/>
      <c r="X650" s="21"/>
    </row>
    <row r="651" spans="2:24" ht="16">
      <c r="B651" s="26" t="str">
        <f t="shared" ca="1" si="3"/>
        <v>MBM</v>
      </c>
      <c r="C651" s="23" t="str">
        <f ca="1">IFERROR(__xludf.DUMMYFUNCTION("""COMPUTED_VALUE"""),"MBM50")</f>
        <v>MBM50</v>
      </c>
      <c r="D651" s="6" t="str">
        <f ca="1">IFERROR(__xludf.DUMMYFUNCTION("""COMPUTED_VALUE"""),"PARTICIPADOS")</f>
        <v>PARTICIPADOS</v>
      </c>
      <c r="E651" s="6">
        <f ca="1">IFERROR(__xludf.DUMMYFUNCTION("""COMPUTED_VALUE"""),2026)</f>
        <v>2026</v>
      </c>
      <c r="F651" s="15">
        <f ca="1">IFERROR(__xludf.DUMMYFUNCTION("""COMPUTED_VALUE"""),3)</f>
        <v>3</v>
      </c>
      <c r="G651" s="6" t="str">
        <f ca="1">IFERROR(__xludf.DUMMYFUNCTION("""COMPUTED_VALUE"""),"Madrid- Costa Rica")</f>
        <v>Madrid- Costa Rica</v>
      </c>
      <c r="H651" s="6" t="str">
        <f ca="1">IFERROR(__xludf.DUMMYFUNCTION("""COMPUTED_VALUE"""),"C202632135822752774")</f>
        <v>C202632135822752774</v>
      </c>
      <c r="I651" s="6" t="str">
        <f ca="1">IFERROR(__xludf.DUMMYFUNCTION("""COMPUTED_VALUE"""),"JOSEFINA  ALIX TRUEBA")</f>
        <v>JOSEFINA  ALIX TRUEBA</v>
      </c>
      <c r="J651" s="16">
        <f ca="1">IFERROR(__xludf.DUMMYFUNCTION("""COMPUTED_VALUE"""),46083)</f>
        <v>46083</v>
      </c>
      <c r="K651" s="6" t="str">
        <f ca="1">IFERROR(__xludf.DUMMYFUNCTION("""COMPUTED_VALUE"""),"Devuelve")</f>
        <v>Devuelve</v>
      </c>
      <c r="L651" s="16">
        <f ca="1">IFERROR(__xludf.DUMMYFUNCTION("""COMPUTED_VALUE"""),46098)</f>
        <v>46098</v>
      </c>
      <c r="M651" s="23" t="str">
        <f ca="1">IFERROR(__xludf.DUMMYFUNCTION("""COMPUTED_VALUE"""),"NO")</f>
        <v>NO</v>
      </c>
      <c r="N651" s="15">
        <f ca="1">IFERROR(__xludf.DUMMYFUNCTION("""COMPUTED_VALUE"""),2)</f>
        <v>2</v>
      </c>
      <c r="O651" s="23" t="str">
        <f ca="1">IFERROR(__xludf.DUMMYFUNCTION("""COMPUTED_VALUE"""),"QUIET")</f>
        <v>QUIET</v>
      </c>
      <c r="P651" s="21">
        <f ca="1">IFERROR(__xludf.DUMMYFUNCTION("""COMPUTED_VALUE"""),2718.18)</f>
        <v>2718.18</v>
      </c>
      <c r="Q651" s="6" t="str">
        <f ca="1">IFERROR(__xludf.DUMMYFUNCTION("""COMPUTED_VALUE"""),"Maika Blázquez")</f>
        <v>Maika Blázquez</v>
      </c>
      <c r="R651" s="6" t="str">
        <f ca="1">IFERROR(__xludf.DUMMYFUNCTION("""COMPUTED_VALUE"""),"José Gustavo Barroso Braojos")</f>
        <v>José Gustavo Barroso Braojos</v>
      </c>
      <c r="S651" s="20" t="str">
        <f ca="1">IFERROR(__xludf.DUMMYFUNCTION("""COMPUTED_VALUE"""),"03 ORL")</f>
        <v>03 ORL</v>
      </c>
      <c r="T651" s="6" t="str">
        <f ca="1">IFERROR(__xludf.DUMMYFUNCTION("""COMPUTED_VALUE"""),"06 ORL")</f>
        <v>06 ORL</v>
      </c>
      <c r="U651" s="21"/>
      <c r="W651" s="20"/>
      <c r="X651" s="21"/>
    </row>
    <row r="652" spans="2:24" ht="16">
      <c r="B652" s="26" t="str">
        <f t="shared" ca="1" si="3"/>
        <v>MBM</v>
      </c>
      <c r="C652" s="23" t="str">
        <f ca="1">IFERROR(__xludf.DUMMYFUNCTION("""COMPUTED_VALUE"""),"MBM46")</f>
        <v>MBM46</v>
      </c>
      <c r="D652" s="6" t="str">
        <f ca="1">IFERROR(__xludf.DUMMYFUNCTION("""COMPUTED_VALUE"""),"PARTICIPADOS")</f>
        <v>PARTICIPADOS</v>
      </c>
      <c r="E652" s="6">
        <f ca="1">IFERROR(__xludf.DUMMYFUNCTION("""COMPUTED_VALUE"""),2026)</f>
        <v>2026</v>
      </c>
      <c r="F652" s="15">
        <f ca="1">IFERROR(__xludf.DUMMYFUNCTION("""COMPUTED_VALUE"""),3)</f>
        <v>3</v>
      </c>
      <c r="G652" s="6" t="str">
        <f ca="1">IFERROR(__xludf.DUMMYFUNCTION("""COMPUTED_VALUE"""),"Madrid- Costa Rica")</f>
        <v>Madrid- Costa Rica</v>
      </c>
      <c r="H652" s="6" t="str">
        <f ca="1">IFERROR(__xludf.DUMMYFUNCTION("""COMPUTED_VALUE"""),"C202632310519898343")</f>
        <v>C202632310519898343</v>
      </c>
      <c r="I652" s="6" t="str">
        <f ca="1">IFERROR(__xludf.DUMMYFUNCTION("""COMPUTED_VALUE"""),"MANUEL PANIZO ACOSTA")</f>
        <v>MANUEL PANIZO ACOSTA</v>
      </c>
      <c r="J652" s="16">
        <f ca="1">IFERROR(__xludf.DUMMYFUNCTION("""COMPUTED_VALUE"""),46104)</f>
        <v>46104</v>
      </c>
      <c r="K652" s="6" t="str">
        <f ca="1">IFERROR(__xludf.DUMMYFUNCTION("""COMPUTED_VALUE"""),"Pedido")</f>
        <v>Pedido</v>
      </c>
      <c r="L652" s="16">
        <f ca="1">IFERROR(__xludf.DUMMYFUNCTION("""COMPUTED_VALUE"""),46112)</f>
        <v>46112</v>
      </c>
      <c r="M652" s="23" t="str">
        <f ca="1">IFERROR(__xludf.DUMMYFUNCTION("""COMPUTED_VALUE"""),"NO")</f>
        <v>NO</v>
      </c>
      <c r="N652" s="15">
        <f ca="1">IFERROR(__xludf.DUMMYFUNCTION("""COMPUTED_VALUE"""),2)</f>
        <v>2</v>
      </c>
      <c r="O652" s="23" t="str">
        <f ca="1">IFERROR(__xludf.DUMMYFUNCTION("""COMPUTED_VALUE"""),"CONFORT")</f>
        <v>CONFORT</v>
      </c>
      <c r="P652" s="21">
        <f ca="1">IFERROR(__xludf.DUMMYFUNCTION("""COMPUTED_VALUE"""),3631.82)</f>
        <v>3631.82</v>
      </c>
      <c r="Q652" s="6" t="str">
        <f ca="1">IFERROR(__xludf.DUMMYFUNCTION("""COMPUTED_VALUE"""),"Maika Blázquez")</f>
        <v>Maika Blázquez</v>
      </c>
      <c r="R652" s="6" t="str">
        <f ca="1">IFERROR(__xludf.DUMMYFUNCTION("""COMPUTED_VALUE"""),"Jonathan Esteban Sánchez")</f>
        <v>Jonathan Esteban Sánchez</v>
      </c>
      <c r="S652" s="20" t="str">
        <f ca="1">IFERROR(__xludf.DUMMYFUNCTION("""COMPUTED_VALUE"""),"03 ORL")</f>
        <v>03 ORL</v>
      </c>
      <c r="T652" s="6" t="str">
        <f ca="1">IFERROR(__xludf.DUMMYFUNCTION("""COMPUTED_VALUE"""),"06 ORL")</f>
        <v>06 ORL</v>
      </c>
      <c r="U652" s="21"/>
      <c r="W652" s="20"/>
      <c r="X652" s="21"/>
    </row>
    <row r="653" spans="2:24" ht="16">
      <c r="B653" s="26" t="str">
        <f t="shared" ca="1" si="3"/>
        <v>LAA</v>
      </c>
      <c r="C653" s="23" t="str">
        <f ca="1">IFERROR(__xludf.DUMMYFUNCTION("""COMPUTED_VALUE"""),"LAA27")</f>
        <v>LAA27</v>
      </c>
      <c r="D653" s="6" t="str">
        <f ca="1">IFERROR(__xludf.DUMMYFUNCTION("""COMPUTED_VALUE"""),"PARTICIPADOS")</f>
        <v>PARTICIPADOS</v>
      </c>
      <c r="E653" s="6">
        <f ca="1">IFERROR(__xludf.DUMMYFUNCTION("""COMPUTED_VALUE"""),2026)</f>
        <v>2026</v>
      </c>
      <c r="F653" s="15">
        <f ca="1">IFERROR(__xludf.DUMMYFUNCTION("""COMPUTED_VALUE"""),3)</f>
        <v>3</v>
      </c>
      <c r="G653" s="6" t="str">
        <f ca="1">IFERROR(__xludf.DUMMYFUNCTION("""COMPUTED_VALUE"""),"Madrid- Costa Rica")</f>
        <v>Madrid- Costa Rica</v>
      </c>
      <c r="H653" s="6" t="str">
        <f ca="1">IFERROR(__xludf.DUMMYFUNCTION("""COMPUTED_VALUE"""),"C202621614315746318")</f>
        <v>C202621614315746318</v>
      </c>
      <c r="I653" s="6" t="str">
        <f ca="1">IFERROR(__xludf.DUMMYFUNCTION("""COMPUTED_VALUE"""),"MARIA JOSE ASINS CEBRIAN")</f>
        <v>MARIA JOSE ASINS CEBRIAN</v>
      </c>
      <c r="J653" s="16">
        <f ca="1">IFERROR(__xludf.DUMMYFUNCTION("""COMPUTED_VALUE"""),46069)</f>
        <v>46069</v>
      </c>
      <c r="K653" s="6" t="str">
        <f ca="1">IFERROR(__xludf.DUMMYFUNCTION("""COMPUTED_VALUE"""),"Prueba")</f>
        <v>Prueba</v>
      </c>
      <c r="L653" s="16">
        <f ca="1">IFERROR(__xludf.DUMMYFUNCTION("""COMPUTED_VALUE"""),46101)</f>
        <v>46101</v>
      </c>
      <c r="M653" s="17" t="str">
        <f ca="1">IFERROR(__xludf.DUMMYFUNCTION("""COMPUTED_VALUE"""),"NO")</f>
        <v>NO</v>
      </c>
      <c r="N653" s="15">
        <f ca="1">IFERROR(__xludf.DUMMYFUNCTION("""COMPUTED_VALUE"""),2)</f>
        <v>2</v>
      </c>
      <c r="O653" s="23" t="str">
        <f ca="1">IFERROR(__xludf.DUMMYFUNCTION("""COMPUTED_VALUE"""),"TRIAL")</f>
        <v>TRIAL</v>
      </c>
      <c r="P653" s="21">
        <f ca="1">IFERROR(__xludf.DUMMYFUNCTION("""COMPUTED_VALUE"""),3627.27)</f>
        <v>3627.27</v>
      </c>
      <c r="Q653" s="6" t="str">
        <f ca="1">IFERROR(__xludf.DUMMYFUNCTION("""COMPUTED_VALUE"""),"Maika Blázquez")</f>
        <v>Maika Blázquez</v>
      </c>
      <c r="R653" s="6" t="str">
        <f ca="1">IFERROR(__xludf.DUMMYFUNCTION("""COMPUTED_VALUE"""),"José María Hernández Hernández")</f>
        <v>José María Hernández Hernández</v>
      </c>
      <c r="S653" s="20" t="str">
        <f ca="1">IFERROR(__xludf.DUMMYFUNCTION("""COMPUTED_VALUE"""),"03 ORL")</f>
        <v>03 ORL</v>
      </c>
      <c r="T653" s="6" t="str">
        <f ca="1">IFERROR(__xludf.DUMMYFUNCTION("""COMPUTED_VALUE"""),"06 ORL")</f>
        <v>06 ORL</v>
      </c>
      <c r="U653" s="21"/>
      <c r="W653" s="20"/>
      <c r="X653" s="21"/>
    </row>
    <row r="654" spans="2:24" ht="16">
      <c r="B654" s="26" t="str">
        <f t="shared" ca="1" si="3"/>
        <v>LRM</v>
      </c>
      <c r="C654" s="23" t="str">
        <f ca="1">IFERROR(__xludf.DUMMYFUNCTION("""COMPUTED_VALUE"""),"LRM13")</f>
        <v>LRM13</v>
      </c>
      <c r="D654" s="6" t="str">
        <f ca="1">IFERROR(__xludf.DUMMYFUNCTION("""COMPUTED_VALUE"""),"PARTICIPADOS")</f>
        <v>PARTICIPADOS</v>
      </c>
      <c r="E654" s="6">
        <f ca="1">IFERROR(__xludf.DUMMYFUNCTION("""COMPUTED_VALUE"""),2026)</f>
        <v>2026</v>
      </c>
      <c r="F654" s="15">
        <f ca="1">IFERROR(__xludf.DUMMYFUNCTION("""COMPUTED_VALUE"""),2)</f>
        <v>2</v>
      </c>
      <c r="G654" s="6" t="str">
        <f ca="1">IFERROR(__xludf.DUMMYFUNCTION("""COMPUTED_VALUE"""),"Madrid- Costa Rica")</f>
        <v>Madrid- Costa Rica</v>
      </c>
      <c r="H654" s="6" t="str">
        <f ca="1">IFERROR(__xludf.DUMMYFUNCTION("""COMPUTED_VALUE"""),"C202621010715782112")</f>
        <v>C202621010715782112</v>
      </c>
      <c r="I654" s="6" t="str">
        <f ca="1">IFERROR(__xludf.DUMMYFUNCTION("""COMPUTED_VALUE"""),"MARIA JOSE MARTINEZ FERRER")</f>
        <v>MARIA JOSE MARTINEZ FERRER</v>
      </c>
      <c r="J654" s="16">
        <f ca="1">IFERROR(__xludf.DUMMYFUNCTION("""COMPUTED_VALUE"""),46063)</f>
        <v>46063</v>
      </c>
      <c r="K654" s="6" t="str">
        <f ca="1">IFERROR(__xludf.DUMMYFUNCTION("""COMPUTED_VALUE"""),"Prueba")</f>
        <v>Prueba</v>
      </c>
      <c r="L654" s="16">
        <f ca="1">IFERROR(__xludf.DUMMYFUNCTION("""COMPUTED_VALUE"""),46076)</f>
        <v>46076</v>
      </c>
      <c r="M654" s="23" t="str">
        <f ca="1">IFERROR(__xludf.DUMMYFUNCTION("""COMPUTED_VALUE"""),"NO")</f>
        <v>NO</v>
      </c>
      <c r="N654" s="15">
        <f ca="1">IFERROR(__xludf.DUMMYFUNCTION("""COMPUTED_VALUE"""),2)</f>
        <v>2</v>
      </c>
      <c r="O654" s="23" t="str">
        <f ca="1">IFERROR(__xludf.DUMMYFUNCTION("""COMPUTED_VALUE"""),"TRIAL")</f>
        <v>TRIAL</v>
      </c>
      <c r="P654" s="21">
        <f ca="1">IFERROR(__xludf.DUMMYFUNCTION("""COMPUTED_VALUE"""),4136.36)</f>
        <v>4136.3599999999997</v>
      </c>
      <c r="Q654" s="6" t="str">
        <f ca="1">IFERROR(__xludf.DUMMYFUNCTION("""COMPUTED_VALUE"""),"Maika Blázquez")</f>
        <v>Maika Blázquez</v>
      </c>
      <c r="R654" s="6" t="str">
        <f ca="1">IFERROR(__xludf.DUMMYFUNCTION("""COMPUTED_VALUE"""),"Antonio Bueno Ríos")</f>
        <v>Antonio Bueno Ríos</v>
      </c>
      <c r="S654" s="20" t="str">
        <f ca="1">IFERROR(__xludf.DUMMYFUNCTION("""COMPUTED_VALUE"""),"03 ORL")</f>
        <v>03 ORL</v>
      </c>
      <c r="T654" s="6" t="str">
        <f ca="1">IFERROR(__xludf.DUMMYFUNCTION("""COMPUTED_VALUE"""),"06 ORL")</f>
        <v>06 ORL</v>
      </c>
      <c r="U654" s="21"/>
      <c r="W654" s="20"/>
      <c r="X654" s="21"/>
    </row>
    <row r="655" spans="2:24" ht="16">
      <c r="B655" s="26" t="str">
        <f t="shared" ca="1" si="3"/>
        <v>MBM</v>
      </c>
      <c r="C655" s="23" t="str">
        <f ca="1">IFERROR(__xludf.DUMMYFUNCTION("""COMPUTED_VALUE"""),"MBM18")</f>
        <v>MBM18</v>
      </c>
      <c r="D655" s="6" t="str">
        <f ca="1">IFERROR(__xludf.DUMMYFUNCTION("""COMPUTED_VALUE"""),"PARTICIPADOS")</f>
        <v>PARTICIPADOS</v>
      </c>
      <c r="E655" s="6">
        <f ca="1">IFERROR(__xludf.DUMMYFUNCTION("""COMPUTED_VALUE"""),2026)</f>
        <v>2026</v>
      </c>
      <c r="F655" s="15">
        <f ca="1">IFERROR(__xludf.DUMMYFUNCTION("""COMPUTED_VALUE"""),3)</f>
        <v>3</v>
      </c>
      <c r="G655" s="6" t="str">
        <f ca="1">IFERROR(__xludf.DUMMYFUNCTION("""COMPUTED_VALUE"""),"Madrid- Costa Rica")</f>
        <v>Madrid- Costa Rica</v>
      </c>
      <c r="H655" s="6" t="str">
        <f ca="1">IFERROR(__xludf.DUMMYFUNCTION("""COMPUTED_VALUE"""),"C202635141748358900")</f>
        <v>C202635141748358900</v>
      </c>
      <c r="I655" s="6" t="str">
        <f ca="1">IFERROR(__xludf.DUMMYFUNCTION("""COMPUTED_VALUE"""),"MARTA CASADO REVUELTA")</f>
        <v>MARTA CASADO REVUELTA</v>
      </c>
      <c r="J655" s="16">
        <f ca="1">IFERROR(__xludf.DUMMYFUNCTION("""COMPUTED_VALUE"""),46086)</f>
        <v>46086</v>
      </c>
      <c r="K655" s="6" t="str">
        <f ca="1">IFERROR(__xludf.DUMMYFUNCTION("""COMPUTED_VALUE"""),"Pedido")</f>
        <v>Pedido</v>
      </c>
      <c r="L655" s="16">
        <f ca="1">IFERROR(__xludf.DUMMYFUNCTION("""COMPUTED_VALUE"""),46097)</f>
        <v>46097</v>
      </c>
      <c r="M655" s="23" t="str">
        <f ca="1">IFERROR(__xludf.DUMMYFUNCTION("""COMPUTED_VALUE"""),"NO")</f>
        <v>NO</v>
      </c>
      <c r="N655" s="15">
        <f ca="1">IFERROR(__xludf.DUMMYFUNCTION("""COMPUTED_VALUE"""),2)</f>
        <v>2</v>
      </c>
      <c r="O655" s="23" t="str">
        <f ca="1">IFERROR(__xludf.DUMMYFUNCTION("""COMPUTED_VALUE"""),"CONFORT")</f>
        <v>CONFORT</v>
      </c>
      <c r="P655" s="21">
        <f ca="1">IFERROR(__xludf.DUMMYFUNCTION("""COMPUTED_VALUE"""),3631.82)</f>
        <v>3631.82</v>
      </c>
      <c r="Q655" s="6" t="str">
        <f ca="1">IFERROR(__xludf.DUMMYFUNCTION("""COMPUTED_VALUE"""),"Maika Blázquez")</f>
        <v>Maika Blázquez</v>
      </c>
      <c r="R655" s="6" t="str">
        <f ca="1">IFERROR(__xludf.DUMMYFUNCTION("""COMPUTED_VALUE"""),"Esteban Scola Pliego")</f>
        <v>Esteban Scola Pliego</v>
      </c>
      <c r="S655" s="20" t="str">
        <f ca="1">IFERROR(__xludf.DUMMYFUNCTION("""COMPUTED_VALUE"""),"03 ORL")</f>
        <v>03 ORL</v>
      </c>
      <c r="T655" s="6" t="str">
        <f ca="1">IFERROR(__xludf.DUMMYFUNCTION("""COMPUTED_VALUE"""),"06 ORL")</f>
        <v>06 ORL</v>
      </c>
      <c r="U655" s="21"/>
      <c r="W655" s="20"/>
      <c r="X655" s="21"/>
    </row>
    <row r="656" spans="2:24" ht="16">
      <c r="B656" s="26" t="str">
        <f t="shared" ca="1" si="3"/>
        <v>LRM</v>
      </c>
      <c r="C656" s="23" t="str">
        <f ca="1">IFERROR(__xludf.DUMMYFUNCTION("""COMPUTED_VALUE"""),"LRM94")</f>
        <v>LRM94</v>
      </c>
      <c r="D656" s="6" t="str">
        <f ca="1">IFERROR(__xludf.DUMMYFUNCTION("""COMPUTED_VALUE"""),"PARTICIPADOS")</f>
        <v>PARTICIPADOS</v>
      </c>
      <c r="E656" s="6">
        <f ca="1">IFERROR(__xludf.DUMMYFUNCTION("""COMPUTED_VALUE"""),2026)</f>
        <v>2026</v>
      </c>
      <c r="F656" s="15">
        <f ca="1">IFERROR(__xludf.DUMMYFUNCTION("""COMPUTED_VALUE"""),2)</f>
        <v>2</v>
      </c>
      <c r="G656" s="6" t="str">
        <f ca="1">IFERROR(__xludf.DUMMYFUNCTION("""COMPUTED_VALUE"""),"Madrid- Costa Rica")</f>
        <v>Madrid- Costa Rica</v>
      </c>
      <c r="H656" s="6" t="str">
        <f ca="1">IFERROR(__xludf.DUMMYFUNCTION("""COMPUTED_VALUE"""),"C202511121256727364")</f>
        <v>C202511121256727364</v>
      </c>
      <c r="I656" s="6" t="str">
        <f ca="1">IFERROR(__xludf.DUMMYFUNCTION("""COMPUTED_VALUE"""),"PEDRO SAEZ GARCIA")</f>
        <v>PEDRO SAEZ GARCIA</v>
      </c>
      <c r="J656" s="16">
        <f ca="1">IFERROR(__xludf.DUMMYFUNCTION("""COMPUTED_VALUE"""),45973)</f>
        <v>45973</v>
      </c>
      <c r="K656" s="6" t="str">
        <f ca="1">IFERROR(__xludf.DUMMYFUNCTION("""COMPUTED_VALUE"""),"Devuelve")</f>
        <v>Devuelve</v>
      </c>
      <c r="L656" s="16">
        <f ca="1">IFERROR(__xludf.DUMMYFUNCTION("""COMPUTED_VALUE"""),46059)</f>
        <v>46059</v>
      </c>
      <c r="M656" s="23" t="str">
        <f ca="1">IFERROR(__xludf.DUMMYFUNCTION("""COMPUTED_VALUE"""),"NO")</f>
        <v>NO</v>
      </c>
      <c r="N656" s="15">
        <f ca="1">IFERROR(__xludf.DUMMYFUNCTION("""COMPUTED_VALUE"""),2)</f>
        <v>2</v>
      </c>
      <c r="O656" s="23" t="str">
        <f ca="1">IFERROR(__xludf.DUMMYFUNCTION("""COMPUTED_VALUE"""),"QUIET")</f>
        <v>QUIET</v>
      </c>
      <c r="P656" s="21">
        <f ca="1">IFERROR(__xludf.DUMMYFUNCTION("""COMPUTED_VALUE"""),2718.18)</f>
        <v>2718.18</v>
      </c>
      <c r="Q656" s="6" t="str">
        <f ca="1">IFERROR(__xludf.DUMMYFUNCTION("""COMPUTED_VALUE"""),"Maika Blázquez")</f>
        <v>Maika Blázquez</v>
      </c>
      <c r="R656" s="6" t="str">
        <f ca="1">IFERROR(__xludf.DUMMYFUNCTION("""COMPUTED_VALUE"""),"Luis Jiménez Ferreres")</f>
        <v>Luis Jiménez Ferreres</v>
      </c>
      <c r="S656" s="20" t="str">
        <f ca="1">IFERROR(__xludf.DUMMYFUNCTION("""COMPUTED_VALUE"""),"03 ORL")</f>
        <v>03 ORL</v>
      </c>
      <c r="T656" s="6" t="str">
        <f ca="1">IFERROR(__xludf.DUMMYFUNCTION("""COMPUTED_VALUE"""),"06 ORL")</f>
        <v>06 ORL</v>
      </c>
      <c r="U656" s="21"/>
      <c r="W656" s="20"/>
      <c r="X656" s="21"/>
    </row>
    <row r="657" spans="2:24" ht="16">
      <c r="B657" s="26" t="str">
        <f t="shared" ca="1" si="3"/>
        <v>LRM</v>
      </c>
      <c r="C657" s="23" t="str">
        <f ca="1">IFERROR(__xludf.DUMMYFUNCTION("""COMPUTED_VALUE"""),"LRM82")</f>
        <v>LRM82</v>
      </c>
      <c r="D657" s="6" t="str">
        <f ca="1">IFERROR(__xludf.DUMMYFUNCTION("""COMPUTED_VALUE"""),"PARTICIPADOS")</f>
        <v>PARTICIPADOS</v>
      </c>
      <c r="E657" s="6">
        <f ca="1">IFERROR(__xludf.DUMMYFUNCTION("""COMPUTED_VALUE"""),2026)</f>
        <v>2026</v>
      </c>
      <c r="F657" s="15">
        <f ca="1">IFERROR(__xludf.DUMMYFUNCTION("""COMPUTED_VALUE"""),3)</f>
        <v>3</v>
      </c>
      <c r="G657" s="6" t="str">
        <f ca="1">IFERROR(__xludf.DUMMYFUNCTION("""COMPUTED_VALUE"""),"Madrid- Galileo")</f>
        <v>Madrid- Galileo</v>
      </c>
      <c r="H657" s="6" t="str">
        <f ca="1">IFERROR(__xludf.DUMMYFUNCTION("""COMPUTED_VALUE"""),"C202632316322636069")</f>
        <v>C202632316322636069</v>
      </c>
      <c r="I657" s="6" t="str">
        <f ca="1">IFERROR(__xludf.DUMMYFUNCTION("""COMPUTED_VALUE"""),"ANA MARIA GARCÍA PRADILLO")</f>
        <v>ANA MARIA GARCÍA PRADILLO</v>
      </c>
      <c r="J657" s="16">
        <f ca="1">IFERROR(__xludf.DUMMYFUNCTION("""COMPUTED_VALUE"""),46104)</f>
        <v>46104</v>
      </c>
      <c r="K657" s="6" t="str">
        <f ca="1">IFERROR(__xludf.DUMMYFUNCTION("""COMPUTED_VALUE"""),"Presupuesto")</f>
        <v>Presupuesto</v>
      </c>
      <c r="L657" s="16">
        <f ca="1">IFERROR(__xludf.DUMMYFUNCTION("""COMPUTED_VALUE"""),46108)</f>
        <v>46108</v>
      </c>
      <c r="M657" s="23" t="str">
        <f ca="1">IFERROR(__xludf.DUMMYFUNCTION("""COMPUTED_VALUE"""),"NO")</f>
        <v>NO</v>
      </c>
      <c r="N657" s="15">
        <f ca="1">IFERROR(__xludf.DUMMYFUNCTION("""COMPUTED_VALUE"""),1)</f>
        <v>1</v>
      </c>
      <c r="O657" s="23" t="str">
        <f ca="1">IFERROR(__xludf.DUMMYFUNCTION("""COMPUTED_VALUE"""),"QUIET")</f>
        <v>QUIET</v>
      </c>
      <c r="P657" s="21">
        <f ca="1">IFERROR(__xludf.DUMMYFUNCTION("""COMPUTED_VALUE"""),1631.82)</f>
        <v>1631.82</v>
      </c>
      <c r="Q657" s="6" t="str">
        <f ca="1">IFERROR(__xludf.DUMMYFUNCTION("""COMPUTED_VALUE"""),"Maika Blázquez")</f>
        <v>Maika Blázquez</v>
      </c>
      <c r="R657" s="6" t="str">
        <f ca="1">IFERROR(__xludf.DUMMYFUNCTION("""COMPUTED_VALUE"""),"José Miguel Aparicio Fernández")</f>
        <v>José Miguel Aparicio Fernández</v>
      </c>
      <c r="S657" s="20" t="str">
        <f ca="1">IFERROR(__xludf.DUMMYFUNCTION("""COMPUTED_VALUE"""),"03 ORL")</f>
        <v>03 ORL</v>
      </c>
      <c r="T657" s="6" t="str">
        <f ca="1">IFERROR(__xludf.DUMMYFUNCTION("""COMPUTED_VALUE"""),"06 ORL")</f>
        <v>06 ORL</v>
      </c>
      <c r="U657" s="21"/>
      <c r="W657" s="20"/>
      <c r="X657" s="21"/>
    </row>
    <row r="658" spans="2:24" ht="16">
      <c r="B658" s="26" t="str">
        <f t="shared" ca="1" si="3"/>
        <v>MBM</v>
      </c>
      <c r="C658" s="23" t="str">
        <f ca="1">IFERROR(__xludf.DUMMYFUNCTION("""COMPUTED_VALUE"""),"MBM201")</f>
        <v>MBM201</v>
      </c>
      <c r="D658" s="6" t="str">
        <f ca="1">IFERROR(__xludf.DUMMYFUNCTION("""COMPUTED_VALUE"""),"PARTICIPADOS")</f>
        <v>PARTICIPADOS</v>
      </c>
      <c r="E658" s="6">
        <f ca="1">IFERROR(__xludf.DUMMYFUNCTION("""COMPUTED_VALUE"""),2026)</f>
        <v>2026</v>
      </c>
      <c r="F658" s="15">
        <f ca="1">IFERROR(__xludf.DUMMYFUNCTION("""COMPUTED_VALUE"""),2)</f>
        <v>2</v>
      </c>
      <c r="G658" s="6" t="str">
        <f ca="1">IFERROR(__xludf.DUMMYFUNCTION("""COMPUTED_VALUE"""),"Madrid- Galileo")</f>
        <v>Madrid- Galileo</v>
      </c>
      <c r="H658" s="6" t="str">
        <f ca="1">IFERROR(__xludf.DUMMYFUNCTION("""COMPUTED_VALUE"""),"C202621392511783836")</f>
        <v>C202621392511783836</v>
      </c>
      <c r="I658" s="6" t="str">
        <f ca="1">IFERROR(__xludf.DUMMYFUNCTION("""COMPUTED_VALUE"""),"JOSE LUIS PELLICER MIRET")</f>
        <v>JOSE LUIS PELLICER MIRET</v>
      </c>
      <c r="J658" s="16">
        <f ca="1">IFERROR(__xludf.DUMMYFUNCTION("""COMPUTED_VALUE"""),46066)</f>
        <v>46066</v>
      </c>
      <c r="K658" s="6" t="str">
        <f ca="1">IFERROR(__xludf.DUMMYFUNCTION("""COMPUTED_VALUE"""),"Presupuesto")</f>
        <v>Presupuesto</v>
      </c>
      <c r="L658" s="16">
        <f ca="1">IFERROR(__xludf.DUMMYFUNCTION("""COMPUTED_VALUE"""),46069)</f>
        <v>46069</v>
      </c>
      <c r="M658" s="17" t="str">
        <f ca="1">IFERROR(__xludf.DUMMYFUNCTION("""COMPUTED_VALUE"""),"NO")</f>
        <v>NO</v>
      </c>
      <c r="N658" s="15">
        <f ca="1">IFERROR(__xludf.DUMMYFUNCTION("""COMPUTED_VALUE"""),2)</f>
        <v>2</v>
      </c>
      <c r="O658" s="23" t="str">
        <f ca="1">IFERROR(__xludf.DUMMYFUNCTION("""COMPUTED_VALUE"""),"QUIET")</f>
        <v>QUIET</v>
      </c>
      <c r="P658" s="21">
        <f ca="1">IFERROR(__xludf.DUMMYFUNCTION("""COMPUTED_VALUE"""),2918.18)</f>
        <v>2918.18</v>
      </c>
      <c r="Q658" s="6" t="str">
        <f ca="1">IFERROR(__xludf.DUMMYFUNCTION("""COMPUTED_VALUE"""),"Maika Blázquez")</f>
        <v>Maika Blázquez</v>
      </c>
      <c r="R658" s="6" t="str">
        <f ca="1">IFERROR(__xludf.DUMMYFUNCTION("""COMPUTED_VALUE"""),"María Cecilia Scola Torres")</f>
        <v>María Cecilia Scola Torres</v>
      </c>
      <c r="S658" s="20" t="str">
        <f ca="1">IFERROR(__xludf.DUMMYFUNCTION("""COMPUTED_VALUE"""),"03 ORL")</f>
        <v>03 ORL</v>
      </c>
      <c r="T658" s="6" t="str">
        <f ca="1">IFERROR(__xludf.DUMMYFUNCTION("""COMPUTED_VALUE"""),"06 ORL")</f>
        <v>06 ORL</v>
      </c>
      <c r="U658" s="21"/>
      <c r="W658" s="20"/>
      <c r="X658" s="21"/>
    </row>
    <row r="659" spans="2:24" ht="16">
      <c r="B659" s="26" t="str">
        <f t="shared" ca="1" si="3"/>
        <v>#N/</v>
      </c>
      <c r="C659" s="23" t="str">
        <f ca="1">IFERROR(__xludf.DUMMYFUNCTION("""COMPUTED_VALUE"""),"#N/A")</f>
        <v>#N/A</v>
      </c>
      <c r="D659" s="6" t="str">
        <f ca="1">IFERROR(__xludf.DUMMYFUNCTION("""COMPUTED_VALUE"""),"PARTICIPADOS")</f>
        <v>PARTICIPADOS</v>
      </c>
      <c r="E659" s="6">
        <f ca="1">IFERROR(__xludf.DUMMYFUNCTION("""COMPUTED_VALUE"""),2026)</f>
        <v>2026</v>
      </c>
      <c r="F659" s="15">
        <f ca="1">IFERROR(__xludf.DUMMYFUNCTION("""COMPUTED_VALUE"""),3)</f>
        <v>3</v>
      </c>
      <c r="G659" s="6" t="str">
        <f ca="1">IFERROR(__xludf.DUMMYFUNCTION("""COMPUTED_VALUE"""),"Madrid- Galileo")</f>
        <v>Madrid- Galileo</v>
      </c>
      <c r="H659" s="6" t="str">
        <f ca="1">IFERROR(__xludf.DUMMYFUNCTION("""COMPUTED_VALUE"""),"C202633152116008520")</f>
        <v>C202633152116008520</v>
      </c>
      <c r="I659" s="6" t="str">
        <f ca="1">IFERROR(__xludf.DUMMYFUNCTION("""COMPUTED_VALUE"""),"JOSE  MUÑOZ FERNANDEZ")</f>
        <v>JOSE  MUÑOZ FERNANDEZ</v>
      </c>
      <c r="J659" s="16">
        <f ca="1">IFERROR(__xludf.DUMMYFUNCTION("""COMPUTED_VALUE"""),46084)</f>
        <v>46084</v>
      </c>
      <c r="K659" s="6" t="str">
        <f ca="1">IFERROR(__xludf.DUMMYFUNCTION("""COMPUTED_VALUE"""),"Prueba")</f>
        <v>Prueba</v>
      </c>
      <c r="L659" s="16">
        <f ca="1">IFERROR(__xludf.DUMMYFUNCTION("""COMPUTED_VALUE"""),46107)</f>
        <v>46107</v>
      </c>
      <c r="M659" s="23" t="str">
        <f ca="1">IFERROR(__xludf.DUMMYFUNCTION("""COMPUTED_VALUE"""),"NO")</f>
        <v>NO</v>
      </c>
      <c r="N659" s="15">
        <f ca="1">IFERROR(__xludf.DUMMYFUNCTION("""COMPUTED_VALUE"""),2)</f>
        <v>2</v>
      </c>
      <c r="O659" s="23" t="str">
        <f ca="1">IFERROR(__xludf.DUMMYFUNCTION("""COMPUTED_VALUE"""),"CONFORT")</f>
        <v>CONFORT</v>
      </c>
      <c r="P659" s="21">
        <f ca="1">IFERROR(__xludf.DUMMYFUNCTION("""COMPUTED_VALUE"""),3080)</f>
        <v>3080</v>
      </c>
      <c r="Q659" s="6" t="str">
        <f ca="1">IFERROR(__xludf.DUMMYFUNCTION("""COMPUTED_VALUE"""),"Maika Blázquez")</f>
        <v>Maika Blázquez</v>
      </c>
      <c r="R659" s="6" t="str">
        <f ca="1">IFERROR(__xludf.DUMMYFUNCTION("""COMPUTED_VALUE"""),"Isabel Bueno Aventín")</f>
        <v>Isabel Bueno Aventín</v>
      </c>
      <c r="S659" s="20" t="str">
        <f ca="1">IFERROR(__xludf.DUMMYFUNCTION("""COMPUTED_VALUE"""),"03 ORL")</f>
        <v>03 ORL</v>
      </c>
      <c r="T659" s="6" t="str">
        <f ca="1">IFERROR(__xludf.DUMMYFUNCTION("""COMPUTED_VALUE"""),"06 ORL")</f>
        <v>06 ORL</v>
      </c>
      <c r="U659" s="21"/>
      <c r="W659" s="20"/>
      <c r="X659" s="21"/>
    </row>
    <row r="660" spans="2:24" ht="16">
      <c r="B660" s="26" t="str">
        <f t="shared" ca="1" si="3"/>
        <v>LRM</v>
      </c>
      <c r="C660" s="23" t="str">
        <f ca="1">IFERROR(__xludf.DUMMYFUNCTION("""COMPUTED_VALUE"""),"LRM239")</f>
        <v>LRM239</v>
      </c>
      <c r="D660" s="6" t="str">
        <f ca="1">IFERROR(__xludf.DUMMYFUNCTION("""COMPUTED_VALUE"""),"PROPIOS")</f>
        <v>PROPIOS</v>
      </c>
      <c r="E660" s="6">
        <f ca="1">IFERROR(__xludf.DUMMYFUNCTION("""COMPUTED_VALUE"""),2026)</f>
        <v>2026</v>
      </c>
      <c r="F660" s="15">
        <f ca="1">IFERROR(__xludf.DUMMYFUNCTION("""COMPUTED_VALUE"""),1)</f>
        <v>1</v>
      </c>
      <c r="G660" s="6" t="str">
        <f ca="1">IFERROR(__xludf.DUMMYFUNCTION("""COMPUTED_VALUE"""),"Madrid- Juan Bravo")</f>
        <v>Madrid- Juan Bravo</v>
      </c>
      <c r="H660" s="6" t="str">
        <f ca="1">IFERROR(__xludf.DUMMYFUNCTION("""COMPUTED_VALUE"""),"C202512291626481178")</f>
        <v>C202512291626481178</v>
      </c>
      <c r="I660" s="6" t="str">
        <f ca="1">IFERROR(__xludf.DUMMYFUNCTION("""COMPUTED_VALUE"""),"AMADEO CAMARERO ARRIBAS")</f>
        <v>AMADEO CAMARERO ARRIBAS</v>
      </c>
      <c r="J660" s="16">
        <f ca="1">IFERROR(__xludf.DUMMYFUNCTION("""COMPUTED_VALUE"""),46020)</f>
        <v>46020</v>
      </c>
      <c r="K660" s="6" t="str">
        <f ca="1">IFERROR(__xludf.DUMMYFUNCTION("""COMPUTED_VALUE"""),"Devuelve")</f>
        <v>Devuelve</v>
      </c>
      <c r="L660" s="16">
        <f ca="1">IFERROR(__xludf.DUMMYFUNCTION("""COMPUTED_VALUE"""),46041)</f>
        <v>46041</v>
      </c>
      <c r="M660" s="23" t="str">
        <f ca="1">IFERROR(__xludf.DUMMYFUNCTION("""COMPUTED_VALUE"""),"NO")</f>
        <v>NO</v>
      </c>
      <c r="N660" s="15">
        <f ca="1">IFERROR(__xludf.DUMMYFUNCTION("""COMPUTED_VALUE"""),2)</f>
        <v>2</v>
      </c>
      <c r="O660" s="23" t="str">
        <f ca="1">IFERROR(__xludf.DUMMYFUNCTION("""COMPUTED_VALUE"""),"CONFORT")</f>
        <v>CONFORT</v>
      </c>
      <c r="P660" s="21">
        <f ca="1">IFERROR(__xludf.DUMMYFUNCTION("""COMPUTED_VALUE"""),4136.36)</f>
        <v>4136.3599999999997</v>
      </c>
      <c r="Q660" s="6" t="str">
        <f ca="1">IFERROR(__xludf.DUMMYFUNCTION("""COMPUTED_VALUE"""),"Maika Blázquez")</f>
        <v>Maika Blázquez</v>
      </c>
      <c r="R660" s="6" t="str">
        <f ca="1">IFERROR(__xludf.DUMMYFUNCTION("""COMPUTED_VALUE"""),"Carlos Barajas del Rosal")</f>
        <v>Carlos Barajas del Rosal</v>
      </c>
      <c r="S660" s="20" t="str">
        <f ca="1">IFERROR(__xludf.DUMMYFUNCTION("""COMPUTED_VALUE"""),"03 ORL")</f>
        <v>03 ORL</v>
      </c>
      <c r="T660" s="6" t="str">
        <f ca="1">IFERROR(__xludf.DUMMYFUNCTION("""COMPUTED_VALUE"""),"06 ORL")</f>
        <v>06 ORL</v>
      </c>
      <c r="U660" s="21"/>
      <c r="W660" s="20"/>
      <c r="X660" s="21"/>
    </row>
    <row r="661" spans="2:24" ht="16">
      <c r="B661" s="26" t="str">
        <f t="shared" ca="1" si="3"/>
        <v>MBM</v>
      </c>
      <c r="C661" s="23" t="str">
        <f ca="1">IFERROR(__xludf.DUMMYFUNCTION("""COMPUTED_VALUE"""),"MBM41")</f>
        <v>MBM41</v>
      </c>
      <c r="D661" s="6" t="str">
        <f ca="1">IFERROR(__xludf.DUMMYFUNCTION("""COMPUTED_VALUE"""),"PROPIOS")</f>
        <v>PROPIOS</v>
      </c>
      <c r="E661" s="6">
        <f ca="1">IFERROR(__xludf.DUMMYFUNCTION("""COMPUTED_VALUE"""),2026)</f>
        <v>2026</v>
      </c>
      <c r="F661" s="15">
        <f ca="1">IFERROR(__xludf.DUMMYFUNCTION("""COMPUTED_VALUE"""),1)</f>
        <v>1</v>
      </c>
      <c r="G661" s="6" t="str">
        <f ca="1">IFERROR(__xludf.DUMMYFUNCTION("""COMPUTED_VALUE"""),"Madrid- Juan Bravo")</f>
        <v>Madrid- Juan Bravo</v>
      </c>
      <c r="H661" s="6" t="str">
        <f ca="1">IFERROR(__xludf.DUMMYFUNCTION("""COMPUTED_VALUE"""),"C202512191174676302")</f>
        <v>C202512191174676302</v>
      </c>
      <c r="I661" s="6" t="str">
        <f ca="1">IFERROR(__xludf.DUMMYFUNCTION("""COMPUTED_VALUE"""),"AMELIA ROJO GARCIA")</f>
        <v>AMELIA ROJO GARCIA</v>
      </c>
      <c r="J661" s="16">
        <f ca="1">IFERROR(__xludf.DUMMYFUNCTION("""COMPUTED_VALUE"""),46010)</f>
        <v>46010</v>
      </c>
      <c r="K661" s="6" t="str">
        <f ca="1">IFERROR(__xludf.DUMMYFUNCTION("""COMPUTED_VALUE"""),"Devuelve")</f>
        <v>Devuelve</v>
      </c>
      <c r="L661" s="16">
        <f ca="1">IFERROR(__xludf.DUMMYFUNCTION("""COMPUTED_VALUE"""),46042)</f>
        <v>46042</v>
      </c>
      <c r="M661" s="23" t="str">
        <f ca="1">IFERROR(__xludf.DUMMYFUNCTION("""COMPUTED_VALUE"""),"NO")</f>
        <v>NO</v>
      </c>
      <c r="N661" s="15">
        <f ca="1">IFERROR(__xludf.DUMMYFUNCTION("""COMPUTED_VALUE"""),2)</f>
        <v>2</v>
      </c>
      <c r="O661" s="23" t="str">
        <f ca="1">IFERROR(__xludf.DUMMYFUNCTION("""COMPUTED_VALUE"""),"TRIAL")</f>
        <v>TRIAL</v>
      </c>
      <c r="P661" s="21">
        <f ca="1">IFERROR(__xludf.DUMMYFUNCTION("""COMPUTED_VALUE"""),4154.22)</f>
        <v>4154.22</v>
      </c>
      <c r="Q661" s="6" t="str">
        <f ca="1">IFERROR(__xludf.DUMMYFUNCTION("""COMPUTED_VALUE"""),"Maika Blázquez")</f>
        <v>Maika Blázquez</v>
      </c>
      <c r="R661" s="6" t="str">
        <f ca="1">IFERROR(__xludf.DUMMYFUNCTION("""COMPUTED_VALUE"""),"Javier Olarieta Soto")</f>
        <v>Javier Olarieta Soto</v>
      </c>
      <c r="S661" s="20" t="str">
        <f ca="1">IFERROR(__xludf.DUMMYFUNCTION("""COMPUTED_VALUE"""),"03 ORL")</f>
        <v>03 ORL</v>
      </c>
      <c r="T661" s="6" t="str">
        <f ca="1">IFERROR(__xludf.DUMMYFUNCTION("""COMPUTED_VALUE"""),"06 ORL")</f>
        <v>06 ORL</v>
      </c>
      <c r="U661" s="21"/>
      <c r="W661" s="20"/>
      <c r="X661" s="21"/>
    </row>
    <row r="662" spans="2:24" ht="16">
      <c r="B662" s="26" t="str">
        <f t="shared" ca="1" si="3"/>
        <v>MBM</v>
      </c>
      <c r="C662" s="23" t="str">
        <f ca="1">IFERROR(__xludf.DUMMYFUNCTION("""COMPUTED_VALUE"""),"MBM45")</f>
        <v>MBM45</v>
      </c>
      <c r="D662" s="6" t="str">
        <f ca="1">IFERROR(__xludf.DUMMYFUNCTION("""COMPUTED_VALUE"""),"PROPIOS")</f>
        <v>PROPIOS</v>
      </c>
      <c r="E662" s="6">
        <f ca="1">IFERROR(__xludf.DUMMYFUNCTION("""COMPUTED_VALUE"""),2026)</f>
        <v>2026</v>
      </c>
      <c r="F662" s="15">
        <f ca="1">IFERROR(__xludf.DUMMYFUNCTION("""COMPUTED_VALUE"""),3)</f>
        <v>3</v>
      </c>
      <c r="G662" s="6" t="str">
        <f ca="1">IFERROR(__xludf.DUMMYFUNCTION("""COMPUTED_VALUE"""),"Madrid- Juan Bravo")</f>
        <v>Madrid- Juan Bravo</v>
      </c>
      <c r="H662" s="6" t="str">
        <f ca="1">IFERROR(__xludf.DUMMYFUNCTION("""COMPUTED_VALUE"""),"C202631311169449763")</f>
        <v>C202631311169449763</v>
      </c>
      <c r="I662" s="6" t="str">
        <f ca="1">IFERROR(__xludf.DUMMYFUNCTION("""COMPUTED_VALUE"""),"ANTONIO HUALDE GOMEZ")</f>
        <v>ANTONIO HUALDE GOMEZ</v>
      </c>
      <c r="J662" s="16">
        <f ca="1">IFERROR(__xludf.DUMMYFUNCTION("""COMPUTED_VALUE"""),46094)</f>
        <v>46094</v>
      </c>
      <c r="K662" s="6" t="str">
        <f ca="1">IFERROR(__xludf.DUMMYFUNCTION("""COMPUTED_VALUE"""),"Presupuesto")</f>
        <v>Presupuesto</v>
      </c>
      <c r="L662" s="16">
        <f ca="1">IFERROR(__xludf.DUMMYFUNCTION("""COMPUTED_VALUE"""),46100)</f>
        <v>46100</v>
      </c>
      <c r="M662" s="23" t="str">
        <f ca="1">IFERROR(__xludf.DUMMYFUNCTION("""COMPUTED_VALUE"""),"NO")</f>
        <v>NO</v>
      </c>
      <c r="N662" s="15">
        <f ca="1">IFERROR(__xludf.DUMMYFUNCTION("""COMPUTED_VALUE"""),2)</f>
        <v>2</v>
      </c>
      <c r="O662" s="23" t="str">
        <f ca="1">IFERROR(__xludf.DUMMYFUNCTION("""COMPUTED_VALUE"""),"CONFORT")</f>
        <v>CONFORT</v>
      </c>
      <c r="P662" s="21">
        <f ca="1">IFERROR(__xludf.DUMMYFUNCTION("""COMPUTED_VALUE"""),3631.82)</f>
        <v>3631.82</v>
      </c>
      <c r="Q662" s="6" t="str">
        <f ca="1">IFERROR(__xludf.DUMMYFUNCTION("""COMPUTED_VALUE"""),"Maika Blázquez")</f>
        <v>Maika Blázquez</v>
      </c>
      <c r="R662" s="6" t="str">
        <f ca="1">IFERROR(__xludf.DUMMYFUNCTION("""COMPUTED_VALUE"""),"Joaquín Alacio Casero")</f>
        <v>Joaquín Alacio Casero</v>
      </c>
      <c r="S662" s="20" t="str">
        <f ca="1">IFERROR(__xludf.DUMMYFUNCTION("""COMPUTED_VALUE"""),"03 ORL")</f>
        <v>03 ORL</v>
      </c>
      <c r="T662" s="6" t="str">
        <f ca="1">IFERROR(__xludf.DUMMYFUNCTION("""COMPUTED_VALUE"""),"06 ORL")</f>
        <v>06 ORL</v>
      </c>
      <c r="U662" s="21"/>
      <c r="W662" s="20"/>
      <c r="X662" s="21"/>
    </row>
    <row r="663" spans="2:24" ht="16">
      <c r="B663" s="26" t="str">
        <f t="shared" ca="1" si="3"/>
        <v>LRM</v>
      </c>
      <c r="C663" s="23" t="str">
        <f ca="1">IFERROR(__xludf.DUMMYFUNCTION("""COMPUTED_VALUE"""),"LRM239")</f>
        <v>LRM239</v>
      </c>
      <c r="D663" s="6" t="str">
        <f ca="1">IFERROR(__xludf.DUMMYFUNCTION("""COMPUTED_VALUE"""),"PROPIOS")</f>
        <v>PROPIOS</v>
      </c>
      <c r="E663" s="6">
        <f ca="1">IFERROR(__xludf.DUMMYFUNCTION("""COMPUTED_VALUE"""),2026)</f>
        <v>2026</v>
      </c>
      <c r="F663" s="15">
        <f ca="1">IFERROR(__xludf.DUMMYFUNCTION("""COMPUTED_VALUE"""),2)</f>
        <v>2</v>
      </c>
      <c r="G663" s="6" t="str">
        <f ca="1">IFERROR(__xludf.DUMMYFUNCTION("""COMPUTED_VALUE"""),"Madrid- Juan Bravo")</f>
        <v>Madrid- Juan Bravo</v>
      </c>
      <c r="H663" s="6" t="str">
        <f ca="1">IFERROR(__xludf.DUMMYFUNCTION("""COMPUTED_VALUE"""),"C20262295125976474")</f>
        <v>C20262295125976474</v>
      </c>
      <c r="I663" s="6" t="str">
        <f ca="1">IFERROR(__xludf.DUMMYFUNCTION("""COMPUTED_VALUE"""),"BUMY  HOLLANDER")</f>
        <v>BUMY  HOLLANDER</v>
      </c>
      <c r="J663" s="16">
        <f ca="1">IFERROR(__xludf.DUMMYFUNCTION("""COMPUTED_VALUE"""),46055)</f>
        <v>46055</v>
      </c>
      <c r="K663" s="6" t="str">
        <f ca="1">IFERROR(__xludf.DUMMYFUNCTION("""COMPUTED_VALUE"""),"Presupuesto")</f>
        <v>Presupuesto</v>
      </c>
      <c r="L663" s="16">
        <f ca="1">IFERROR(__xludf.DUMMYFUNCTION("""COMPUTED_VALUE"""),46062)</f>
        <v>46062</v>
      </c>
      <c r="M663" s="23" t="str">
        <f ca="1">IFERROR(__xludf.DUMMYFUNCTION("""COMPUTED_VALUE"""),"NO")</f>
        <v>NO</v>
      </c>
      <c r="N663" s="15">
        <f ca="1">IFERROR(__xludf.DUMMYFUNCTION("""COMPUTED_VALUE"""),2)</f>
        <v>2</v>
      </c>
      <c r="O663" s="23" t="str">
        <f ca="1">IFERROR(__xludf.DUMMYFUNCTION("""COMPUTED_VALUE"""),"QUIET")</f>
        <v>QUIET</v>
      </c>
      <c r="P663" s="21">
        <f ca="1">IFERROR(__xludf.DUMMYFUNCTION("""COMPUTED_VALUE"""),2718.18)</f>
        <v>2718.18</v>
      </c>
      <c r="Q663" s="6" t="str">
        <f ca="1">IFERROR(__xludf.DUMMYFUNCTION("""COMPUTED_VALUE"""),"Maika Blázquez")</f>
        <v>Maika Blázquez</v>
      </c>
      <c r="R663" s="6" t="str">
        <f ca="1">IFERROR(__xludf.DUMMYFUNCTION("""COMPUTED_VALUE"""),"Carlos Barajas del Rosal")</f>
        <v>Carlos Barajas del Rosal</v>
      </c>
      <c r="S663" s="20" t="str">
        <f ca="1">IFERROR(__xludf.DUMMYFUNCTION("""COMPUTED_VALUE"""),"03 ORL")</f>
        <v>03 ORL</v>
      </c>
      <c r="T663" s="6" t="str">
        <f ca="1">IFERROR(__xludf.DUMMYFUNCTION("""COMPUTED_VALUE"""),"06 ORL")</f>
        <v>06 ORL</v>
      </c>
      <c r="U663" s="21"/>
      <c r="W663" s="20"/>
      <c r="X663" s="21"/>
    </row>
    <row r="664" spans="2:24" ht="16">
      <c r="B664" s="26" t="str">
        <f t="shared" ca="1" si="3"/>
        <v>MBM</v>
      </c>
      <c r="C664" s="23" t="str">
        <f ca="1">IFERROR(__xludf.DUMMYFUNCTION("""COMPUTED_VALUE"""),"MBM39")</f>
        <v>MBM39</v>
      </c>
      <c r="D664" s="6" t="str">
        <f ca="1">IFERROR(__xludf.DUMMYFUNCTION("""COMPUTED_VALUE"""),"PROPIOS")</f>
        <v>PROPIOS</v>
      </c>
      <c r="E664" s="6">
        <f ca="1">IFERROR(__xludf.DUMMYFUNCTION("""COMPUTED_VALUE"""),2026)</f>
        <v>2026</v>
      </c>
      <c r="F664" s="15">
        <f ca="1">IFERROR(__xludf.DUMMYFUNCTION("""COMPUTED_VALUE"""),3)</f>
        <v>3</v>
      </c>
      <c r="G664" s="6" t="str">
        <f ca="1">IFERROR(__xludf.DUMMYFUNCTION("""COMPUTED_VALUE"""),"Madrid- Juan Bravo")</f>
        <v>Madrid- Juan Bravo</v>
      </c>
      <c r="H664" s="6" t="str">
        <f ca="1">IFERROR(__xludf.DUMMYFUNCTION("""COMPUTED_VALUE"""),"C202612211512037330")</f>
        <v>C202612211512037330</v>
      </c>
      <c r="I664" s="6" t="str">
        <f ca="1">IFERROR(__xludf.DUMMYFUNCTION("""COMPUTED_VALUE"""),"CARLOS  RODRIGUEZ RAMOS")</f>
        <v>CARLOS  RODRIGUEZ RAMOS</v>
      </c>
      <c r="J664" s="16">
        <f ca="1">IFERROR(__xludf.DUMMYFUNCTION("""COMPUTED_VALUE"""),46044)</f>
        <v>46044</v>
      </c>
      <c r="K664" s="6" t="str">
        <f ca="1">IFERROR(__xludf.DUMMYFUNCTION("""COMPUTED_VALUE"""),"Prueba")</f>
        <v>Prueba</v>
      </c>
      <c r="L664" s="16">
        <f ca="1">IFERROR(__xludf.DUMMYFUNCTION("""COMPUTED_VALUE"""),46105)</f>
        <v>46105</v>
      </c>
      <c r="M664" s="23" t="str">
        <f ca="1">IFERROR(__xludf.DUMMYFUNCTION("""COMPUTED_VALUE"""),"NO")</f>
        <v>NO</v>
      </c>
      <c r="N664" s="15">
        <f ca="1">IFERROR(__xludf.DUMMYFUNCTION("""COMPUTED_VALUE"""),2)</f>
        <v>2</v>
      </c>
      <c r="O664" s="23" t="str">
        <f ca="1">IFERROR(__xludf.DUMMYFUNCTION("""COMPUTED_VALUE"""),"TRIAL")</f>
        <v>TRIAL</v>
      </c>
      <c r="P664" s="21">
        <f ca="1">IFERROR(__xludf.DUMMYFUNCTION("""COMPUTED_VALUE"""),4136.36)</f>
        <v>4136.3599999999997</v>
      </c>
      <c r="Q664" s="6" t="str">
        <f ca="1">IFERROR(__xludf.DUMMYFUNCTION("""COMPUTED_VALUE"""),"Maika Blázquez")</f>
        <v>Maika Blázquez</v>
      </c>
      <c r="R664" s="6" t="str">
        <f ca="1">IFERROR(__xludf.DUMMYFUNCTION("""COMPUTED_VALUE"""),"Javier García Domínguez")</f>
        <v>Javier García Domínguez</v>
      </c>
      <c r="S664" s="20" t="str">
        <f ca="1">IFERROR(__xludf.DUMMYFUNCTION("""COMPUTED_VALUE"""),"03 ORL")</f>
        <v>03 ORL</v>
      </c>
      <c r="T664" s="6" t="str">
        <f ca="1">IFERROR(__xludf.DUMMYFUNCTION("""COMPUTED_VALUE"""),"06 ORL")</f>
        <v>06 ORL</v>
      </c>
      <c r="U664" s="21"/>
      <c r="W664" s="20"/>
      <c r="X664" s="21"/>
    </row>
    <row r="665" spans="2:24" ht="16">
      <c r="B665" s="26" t="str">
        <f t="shared" ca="1" si="3"/>
        <v>MBM</v>
      </c>
      <c r="C665" s="23" t="str">
        <f ca="1">IFERROR(__xludf.DUMMYFUNCTION("""COMPUTED_VALUE"""),"MBM11")</f>
        <v>MBM11</v>
      </c>
      <c r="D665" s="6" t="str">
        <f ca="1">IFERROR(__xludf.DUMMYFUNCTION("""COMPUTED_VALUE"""),"PROPIOS")</f>
        <v>PROPIOS</v>
      </c>
      <c r="E665" s="6">
        <f ca="1">IFERROR(__xludf.DUMMYFUNCTION("""COMPUTED_VALUE"""),2026)</f>
        <v>2026</v>
      </c>
      <c r="F665" s="15">
        <f ca="1">IFERROR(__xludf.DUMMYFUNCTION("""COMPUTED_VALUE"""),2)</f>
        <v>2</v>
      </c>
      <c r="G665" s="6" t="str">
        <f ca="1">IFERROR(__xludf.DUMMYFUNCTION("""COMPUTED_VALUE"""),"Madrid- Juan Bravo")</f>
        <v>Madrid- Juan Bravo</v>
      </c>
      <c r="H665" s="6" t="str">
        <f ca="1">IFERROR(__xludf.DUMMYFUNCTION("""COMPUTED_VALUE"""),"C202591510568152")</f>
        <v>C202591510568152</v>
      </c>
      <c r="I665" s="6" t="str">
        <f ca="1">IFERROR(__xludf.DUMMYFUNCTION("""COMPUTED_VALUE"""),"GUADALUPE  SANCHEZ MERINO")</f>
        <v>GUADALUPE  SANCHEZ MERINO</v>
      </c>
      <c r="J665" s="16">
        <f ca="1">IFERROR(__xludf.DUMMYFUNCTION("""COMPUTED_VALUE"""),45909)</f>
        <v>45909</v>
      </c>
      <c r="K665" s="6" t="str">
        <f ca="1">IFERROR(__xludf.DUMMYFUNCTION("""COMPUTED_VALUE"""),"Devuelve")</f>
        <v>Devuelve</v>
      </c>
      <c r="L665" s="16">
        <f ca="1">IFERROR(__xludf.DUMMYFUNCTION("""COMPUTED_VALUE"""),46065)</f>
        <v>46065</v>
      </c>
      <c r="M665" s="23" t="str">
        <f ca="1">IFERROR(__xludf.DUMMYFUNCTION("""COMPUTED_VALUE"""),"NO")</f>
        <v>NO</v>
      </c>
      <c r="N665" s="15">
        <f ca="1">IFERROR(__xludf.DUMMYFUNCTION("""COMPUTED_VALUE"""),2)</f>
        <v>2</v>
      </c>
      <c r="O665" s="23" t="str">
        <f ca="1">IFERROR(__xludf.DUMMYFUNCTION("""COMPUTED_VALUE"""),"TRIAL")</f>
        <v>TRIAL</v>
      </c>
      <c r="P665" s="21">
        <f ca="1">IFERROR(__xludf.DUMMYFUNCTION("""COMPUTED_VALUE"""),4153.64)</f>
        <v>4153.6400000000003</v>
      </c>
      <c r="Q665" s="6" t="str">
        <f ca="1">IFERROR(__xludf.DUMMYFUNCTION("""COMPUTED_VALUE"""),"Maika Blázquez")</f>
        <v>Maika Blázquez</v>
      </c>
      <c r="R665" s="6" t="str">
        <f ca="1">IFERROR(__xludf.DUMMYFUNCTION("""COMPUTED_VALUE"""),"Antonio Rodríguez Rivero")</f>
        <v>Antonio Rodríguez Rivero</v>
      </c>
      <c r="S665" s="20" t="str">
        <f ca="1">IFERROR(__xludf.DUMMYFUNCTION("""COMPUTED_VALUE"""),"03 ORL")</f>
        <v>03 ORL</v>
      </c>
      <c r="T665" s="6" t="str">
        <f ca="1">IFERROR(__xludf.DUMMYFUNCTION("""COMPUTED_VALUE"""),"06 ORL")</f>
        <v>06 ORL</v>
      </c>
      <c r="U665" s="21"/>
      <c r="W665" s="20"/>
      <c r="X665" s="21"/>
    </row>
    <row r="666" spans="2:24" ht="16">
      <c r="B666" s="26" t="str">
        <f t="shared" ca="1" si="3"/>
        <v/>
      </c>
      <c r="C666" s="23"/>
      <c r="D666" s="6" t="str">
        <f ca="1">IFERROR(__xludf.DUMMYFUNCTION("""COMPUTED_VALUE"""),"PROPIOS")</f>
        <v>PROPIOS</v>
      </c>
      <c r="E666" s="6">
        <f ca="1">IFERROR(__xludf.DUMMYFUNCTION("""COMPUTED_VALUE"""),2026)</f>
        <v>2026</v>
      </c>
      <c r="F666" s="15">
        <f ca="1">IFERROR(__xludf.DUMMYFUNCTION("""COMPUTED_VALUE"""),3)</f>
        <v>3</v>
      </c>
      <c r="G666" s="6" t="str">
        <f ca="1">IFERROR(__xludf.DUMMYFUNCTION("""COMPUTED_VALUE"""),"Madrid- Juan Bravo")</f>
        <v>Madrid- Juan Bravo</v>
      </c>
      <c r="H666" s="6" t="str">
        <f ca="1">IFERROR(__xludf.DUMMYFUNCTION("""COMPUTED_VALUE"""),"C202622710264839045")</f>
        <v>C202622710264839045</v>
      </c>
      <c r="I666" s="6" t="str">
        <f ca="1">IFERROR(__xludf.DUMMYFUNCTION("""COMPUTED_VALUE"""),"ISIDRO LOPEZ FERNANDEZ")</f>
        <v>ISIDRO LOPEZ FERNANDEZ</v>
      </c>
      <c r="J666" s="16">
        <f ca="1">IFERROR(__xludf.DUMMYFUNCTION("""COMPUTED_VALUE"""),46080)</f>
        <v>46080</v>
      </c>
      <c r="K666" s="6" t="str">
        <f ca="1">IFERROR(__xludf.DUMMYFUNCTION("""COMPUTED_VALUE"""),"Prueba")</f>
        <v>Prueba</v>
      </c>
      <c r="L666" s="16">
        <f ca="1">IFERROR(__xludf.DUMMYFUNCTION("""COMPUTED_VALUE"""),46090)</f>
        <v>46090</v>
      </c>
      <c r="M666" s="23" t="str">
        <f ca="1">IFERROR(__xludf.DUMMYFUNCTION("""COMPUTED_VALUE"""),"NO")</f>
        <v>NO</v>
      </c>
      <c r="N666" s="15">
        <f ca="1">IFERROR(__xludf.DUMMYFUNCTION("""COMPUTED_VALUE"""),2)</f>
        <v>2</v>
      </c>
      <c r="O666" s="23" t="str">
        <f ca="1">IFERROR(__xludf.DUMMYFUNCTION("""COMPUTED_VALUE"""),"QUIET")</f>
        <v>QUIET</v>
      </c>
      <c r="P666" s="21">
        <f ca="1">IFERROR(__xludf.DUMMYFUNCTION("""COMPUTED_VALUE"""),2718.18)</f>
        <v>2718.18</v>
      </c>
      <c r="Q666" s="6" t="str">
        <f ca="1">IFERROR(__xludf.DUMMYFUNCTION("""COMPUTED_VALUE"""),"Maika Blázquez")</f>
        <v>Maika Blázquez</v>
      </c>
      <c r="R666" s="6" t="str">
        <f ca="1">IFERROR(__xludf.DUMMYFUNCTION("""COMPUTED_VALUE"""),"No recuerda ORL")</f>
        <v>No recuerda ORL</v>
      </c>
      <c r="S666" s="20" t="str">
        <f ca="1">IFERROR(__xludf.DUMMYFUNCTION("""COMPUTED_VALUE"""),"03 ORL")</f>
        <v>03 ORL</v>
      </c>
      <c r="T666" s="6" t="str">
        <f ca="1">IFERROR(__xludf.DUMMYFUNCTION("""COMPUTED_VALUE"""),"06 ORL")</f>
        <v>06 ORL</v>
      </c>
      <c r="U666" s="21"/>
      <c r="W666" s="20"/>
      <c r="X666" s="21"/>
    </row>
    <row r="667" spans="2:24" ht="16">
      <c r="B667" s="26" t="str">
        <f t="shared" ca="1" si="3"/>
        <v>MBM</v>
      </c>
      <c r="C667" s="23" t="str">
        <f ca="1">IFERROR(__xludf.DUMMYFUNCTION("""COMPUTED_VALUE"""),"MBM11")</f>
        <v>MBM11</v>
      </c>
      <c r="D667" s="6" t="str">
        <f ca="1">IFERROR(__xludf.DUMMYFUNCTION("""COMPUTED_VALUE"""),"PROPIOS")</f>
        <v>PROPIOS</v>
      </c>
      <c r="E667" s="6">
        <f ca="1">IFERROR(__xludf.DUMMYFUNCTION("""COMPUTED_VALUE"""),2026)</f>
        <v>2026</v>
      </c>
      <c r="F667" s="15">
        <f ca="1">IFERROR(__xludf.DUMMYFUNCTION("""COMPUTED_VALUE"""),1)</f>
        <v>1</v>
      </c>
      <c r="G667" s="6" t="str">
        <f ca="1">IFERROR(__xludf.DUMMYFUNCTION("""COMPUTED_VALUE"""),"Madrid- Juan Bravo")</f>
        <v>Madrid- Juan Bravo</v>
      </c>
      <c r="H667" s="6" t="str">
        <f ca="1">IFERROR(__xludf.DUMMYFUNCTION("""COMPUTED_VALUE"""),"C202512298417895332")</f>
        <v>C202512298417895332</v>
      </c>
      <c r="I667" s="6" t="str">
        <f ca="1">IFERROR(__xludf.DUMMYFUNCTION("""COMPUTED_VALUE"""),"JESUS BARRIO BRAVO")</f>
        <v>JESUS BARRIO BRAVO</v>
      </c>
      <c r="J667" s="16">
        <f ca="1">IFERROR(__xludf.DUMMYFUNCTION("""COMPUTED_VALUE"""),46020)</f>
        <v>46020</v>
      </c>
      <c r="K667" s="6" t="str">
        <f ca="1">IFERROR(__xludf.DUMMYFUNCTION("""COMPUTED_VALUE"""),"Presupuesto")</f>
        <v>Presupuesto</v>
      </c>
      <c r="L667" s="16">
        <f ca="1">IFERROR(__xludf.DUMMYFUNCTION("""COMPUTED_VALUE"""),46038)</f>
        <v>46038</v>
      </c>
      <c r="M667" s="23" t="str">
        <f ca="1">IFERROR(__xludf.DUMMYFUNCTION("""COMPUTED_VALUE"""),"NO")</f>
        <v>NO</v>
      </c>
      <c r="N667" s="15">
        <f ca="1">IFERROR(__xludf.DUMMYFUNCTION("""COMPUTED_VALUE"""),2)</f>
        <v>2</v>
      </c>
      <c r="O667" s="23" t="str">
        <f ca="1">IFERROR(__xludf.DUMMYFUNCTION("""COMPUTED_VALUE"""),"QUIET")</f>
        <v>QUIET</v>
      </c>
      <c r="P667" s="21">
        <f ca="1">IFERROR(__xludf.DUMMYFUNCTION("""COMPUTED_VALUE"""),2718.18)</f>
        <v>2718.18</v>
      </c>
      <c r="Q667" s="6" t="str">
        <f ca="1">IFERROR(__xludf.DUMMYFUNCTION("""COMPUTED_VALUE"""),"Maika Blázquez")</f>
        <v>Maika Blázquez</v>
      </c>
      <c r="R667" s="6" t="str">
        <f ca="1">IFERROR(__xludf.DUMMYFUNCTION("""COMPUTED_VALUE"""),"Antonio Rodríguez Rivero")</f>
        <v>Antonio Rodríguez Rivero</v>
      </c>
      <c r="S667" s="20" t="str">
        <f ca="1">IFERROR(__xludf.DUMMYFUNCTION("""COMPUTED_VALUE"""),"03 ORL")</f>
        <v>03 ORL</v>
      </c>
      <c r="T667" s="6" t="str">
        <f ca="1">IFERROR(__xludf.DUMMYFUNCTION("""COMPUTED_VALUE"""),"22 AUDIOMETRIA CLINICA")</f>
        <v>22 AUDIOMETRIA CLINICA</v>
      </c>
      <c r="U667" s="21"/>
      <c r="W667" s="20"/>
      <c r="X667" s="21"/>
    </row>
    <row r="668" spans="2:24" ht="16">
      <c r="B668" s="26" t="str">
        <f t="shared" ca="1" si="3"/>
        <v>MBM</v>
      </c>
      <c r="C668" s="23" t="str">
        <f ca="1">IFERROR(__xludf.DUMMYFUNCTION("""COMPUTED_VALUE"""),"MBM39")</f>
        <v>MBM39</v>
      </c>
      <c r="D668" s="6" t="str">
        <f ca="1">IFERROR(__xludf.DUMMYFUNCTION("""COMPUTED_VALUE"""),"PROPIOS")</f>
        <v>PROPIOS</v>
      </c>
      <c r="E668" s="6">
        <f ca="1">IFERROR(__xludf.DUMMYFUNCTION("""COMPUTED_VALUE"""),2026)</f>
        <v>2026</v>
      </c>
      <c r="F668" s="15">
        <f ca="1">IFERROR(__xludf.DUMMYFUNCTION("""COMPUTED_VALUE"""),3)</f>
        <v>3</v>
      </c>
      <c r="G668" s="6" t="str">
        <f ca="1">IFERROR(__xludf.DUMMYFUNCTION("""COMPUTED_VALUE"""),"Madrid- Juan Bravo")</f>
        <v>Madrid- Juan Bravo</v>
      </c>
      <c r="H668" s="6" t="str">
        <f ca="1">IFERROR(__xludf.DUMMYFUNCTION("""COMPUTED_VALUE"""),"C202631711554825061")</f>
        <v>C202631711554825061</v>
      </c>
      <c r="I668" s="6" t="str">
        <f ca="1">IFERROR(__xludf.DUMMYFUNCTION("""COMPUTED_VALUE"""),"JESUS DIAZ RAMIREZ")</f>
        <v>JESUS DIAZ RAMIREZ</v>
      </c>
      <c r="J668" s="16">
        <f ca="1">IFERROR(__xludf.DUMMYFUNCTION("""COMPUTED_VALUE"""),46098)</f>
        <v>46098</v>
      </c>
      <c r="K668" s="6" t="str">
        <f ca="1">IFERROR(__xludf.DUMMYFUNCTION("""COMPUTED_VALUE"""),"Devuelve")</f>
        <v>Devuelve</v>
      </c>
      <c r="L668" s="16">
        <f ca="1">IFERROR(__xludf.DUMMYFUNCTION("""COMPUTED_VALUE"""),46111)</f>
        <v>46111</v>
      </c>
      <c r="M668" s="23" t="str">
        <f ca="1">IFERROR(__xludf.DUMMYFUNCTION("""COMPUTED_VALUE"""),"NO")</f>
        <v>NO</v>
      </c>
      <c r="N668" s="15">
        <f ca="1">IFERROR(__xludf.DUMMYFUNCTION("""COMPUTED_VALUE"""),2)</f>
        <v>2</v>
      </c>
      <c r="O668" s="23" t="str">
        <f ca="1">IFERROR(__xludf.DUMMYFUNCTION("""COMPUTED_VALUE"""),"TRIAL")</f>
        <v>TRIAL</v>
      </c>
      <c r="P668" s="21">
        <f ca="1">IFERROR(__xludf.DUMMYFUNCTION("""COMPUTED_VALUE"""),4381.27)</f>
        <v>4381.2700000000004</v>
      </c>
      <c r="Q668" s="6" t="str">
        <f ca="1">IFERROR(__xludf.DUMMYFUNCTION("""COMPUTED_VALUE"""),"Maika Blázquez")</f>
        <v>Maika Blázquez</v>
      </c>
      <c r="R668" s="6" t="str">
        <f ca="1">IFERROR(__xludf.DUMMYFUNCTION("""COMPUTED_VALUE"""),"Javier García Domínguez")</f>
        <v>Javier García Domínguez</v>
      </c>
      <c r="S668" s="20" t="str">
        <f ca="1">IFERROR(__xludf.DUMMYFUNCTION("""COMPUTED_VALUE"""),"03 ORL")</f>
        <v>03 ORL</v>
      </c>
      <c r="T668" s="6" t="str">
        <f ca="1">IFERROR(__xludf.DUMMYFUNCTION("""COMPUTED_VALUE"""),"06 ORL")</f>
        <v>06 ORL</v>
      </c>
      <c r="U668" s="21"/>
      <c r="W668" s="20"/>
      <c r="X668" s="21"/>
    </row>
    <row r="669" spans="2:24" ht="16">
      <c r="B669" s="26" t="str">
        <f t="shared" ca="1" si="3"/>
        <v>MBM</v>
      </c>
      <c r="C669" s="23" t="str">
        <f ca="1">IFERROR(__xludf.DUMMYFUNCTION("""COMPUTED_VALUE"""),"MBM45")</f>
        <v>MBM45</v>
      </c>
      <c r="D669" s="6" t="str">
        <f ca="1">IFERROR(__xludf.DUMMYFUNCTION("""COMPUTED_VALUE"""),"PROPIOS")</f>
        <v>PROPIOS</v>
      </c>
      <c r="E669" s="6">
        <f ca="1">IFERROR(__xludf.DUMMYFUNCTION("""COMPUTED_VALUE"""),2026)</f>
        <v>2026</v>
      </c>
      <c r="F669" s="15">
        <f ca="1">IFERROR(__xludf.DUMMYFUNCTION("""COMPUTED_VALUE"""),3)</f>
        <v>3</v>
      </c>
      <c r="G669" s="6" t="str">
        <f ca="1">IFERROR(__xludf.DUMMYFUNCTION("""COMPUTED_VALUE"""),"Madrid- Juan Bravo")</f>
        <v>Madrid- Juan Bravo</v>
      </c>
      <c r="H669" s="6" t="str">
        <f ca="1">IFERROR(__xludf.DUMMYFUNCTION("""COMPUTED_VALUE"""),"C202631395819188152")</f>
        <v>C202631395819188152</v>
      </c>
      <c r="I669" s="6" t="str">
        <f ca="1">IFERROR(__xludf.DUMMYFUNCTION("""COMPUTED_VALUE"""),"JORGE  IGLESIAS ECHEGOYEN")</f>
        <v>JORGE  IGLESIAS ECHEGOYEN</v>
      </c>
      <c r="J669" s="16">
        <f ca="1">IFERROR(__xludf.DUMMYFUNCTION("""COMPUTED_VALUE"""),46094)</f>
        <v>46094</v>
      </c>
      <c r="K669" s="6" t="str">
        <f ca="1">IFERROR(__xludf.DUMMYFUNCTION("""COMPUTED_VALUE"""),"Prueba")</f>
        <v>Prueba</v>
      </c>
      <c r="L669" s="16">
        <f ca="1">IFERROR(__xludf.DUMMYFUNCTION("""COMPUTED_VALUE"""),46112)</f>
        <v>46112</v>
      </c>
      <c r="M669" s="23" t="str">
        <f ca="1">IFERROR(__xludf.DUMMYFUNCTION("""COMPUTED_VALUE"""),"NO")</f>
        <v>NO</v>
      </c>
      <c r="N669" s="15">
        <f ca="1">IFERROR(__xludf.DUMMYFUNCTION("""COMPUTED_VALUE"""),2)</f>
        <v>2</v>
      </c>
      <c r="O669" s="23" t="str">
        <f ca="1">IFERROR(__xludf.DUMMYFUNCTION("""COMPUTED_VALUE"""),"QUIET")</f>
        <v>QUIET</v>
      </c>
      <c r="P669" s="21">
        <f ca="1">IFERROR(__xludf.DUMMYFUNCTION("""COMPUTED_VALUE"""),2718.18)</f>
        <v>2718.18</v>
      </c>
      <c r="Q669" s="6" t="str">
        <f ca="1">IFERROR(__xludf.DUMMYFUNCTION("""COMPUTED_VALUE"""),"Maika Blázquez")</f>
        <v>Maika Blázquez</v>
      </c>
      <c r="R669" s="6" t="str">
        <f ca="1">IFERROR(__xludf.DUMMYFUNCTION("""COMPUTED_VALUE"""),"Joaquín Alacio Casero")</f>
        <v>Joaquín Alacio Casero</v>
      </c>
      <c r="S669" s="20" t="str">
        <f ca="1">IFERROR(__xludf.DUMMYFUNCTION("""COMPUTED_VALUE"""),"03 ORL")</f>
        <v>03 ORL</v>
      </c>
      <c r="T669" s="6" t="str">
        <f ca="1">IFERROR(__xludf.DUMMYFUNCTION("""COMPUTED_VALUE"""),"06 ORL")</f>
        <v>06 ORL</v>
      </c>
      <c r="U669" s="21"/>
      <c r="W669" s="20"/>
      <c r="X669" s="21"/>
    </row>
    <row r="670" spans="2:24" ht="16">
      <c r="B670" s="26" t="str">
        <f t="shared" ca="1" si="3"/>
        <v>LRM</v>
      </c>
      <c r="C670" s="23" t="str">
        <f ca="1">IFERROR(__xludf.DUMMYFUNCTION("""COMPUTED_VALUE"""),"LRM239")</f>
        <v>LRM239</v>
      </c>
      <c r="D670" s="6" t="str">
        <f ca="1">IFERROR(__xludf.DUMMYFUNCTION("""COMPUTED_VALUE"""),"PROPIOS")</f>
        <v>PROPIOS</v>
      </c>
      <c r="E670" s="6">
        <f ca="1">IFERROR(__xludf.DUMMYFUNCTION("""COMPUTED_VALUE"""),2026)</f>
        <v>2026</v>
      </c>
      <c r="F670" s="15">
        <f ca="1">IFERROR(__xludf.DUMMYFUNCTION("""COMPUTED_VALUE"""),3)</f>
        <v>3</v>
      </c>
      <c r="G670" s="6" t="str">
        <f ca="1">IFERROR(__xludf.DUMMYFUNCTION("""COMPUTED_VALUE"""),"Madrid- Juan Bravo")</f>
        <v>Madrid- Juan Bravo</v>
      </c>
      <c r="H670" s="6" t="str">
        <f ca="1">IFERROR(__xludf.DUMMYFUNCTION("""COMPUTED_VALUE"""),"C202633114611813018")</f>
        <v>C202633114611813018</v>
      </c>
      <c r="I670" s="6" t="str">
        <f ca="1">IFERROR(__xludf.DUMMYFUNCTION("""COMPUTED_VALUE"""),"JOSE LUIS MIGUEL CAMARERO")</f>
        <v>JOSE LUIS MIGUEL CAMARERO</v>
      </c>
      <c r="J670" s="16">
        <f ca="1">IFERROR(__xludf.DUMMYFUNCTION("""COMPUTED_VALUE"""),46084)</f>
        <v>46084</v>
      </c>
      <c r="K670" s="6" t="str">
        <f ca="1">IFERROR(__xludf.DUMMYFUNCTION("""COMPUTED_VALUE"""),"Pedido")</f>
        <v>Pedido</v>
      </c>
      <c r="L670" s="16">
        <f ca="1">IFERROR(__xludf.DUMMYFUNCTION("""COMPUTED_VALUE"""),46098)</f>
        <v>46098</v>
      </c>
      <c r="M670" s="23" t="str">
        <f ca="1">IFERROR(__xludf.DUMMYFUNCTION("""COMPUTED_VALUE"""),"NO")</f>
        <v>NO</v>
      </c>
      <c r="N670" s="15">
        <f ca="1">IFERROR(__xludf.DUMMYFUNCTION("""COMPUTED_VALUE"""),2)</f>
        <v>2</v>
      </c>
      <c r="O670" s="23" t="str">
        <f ca="1">IFERROR(__xludf.DUMMYFUNCTION("""COMPUTED_VALUE"""),"CONFORT")</f>
        <v>CONFORT</v>
      </c>
      <c r="P670" s="21">
        <f ca="1">IFERROR(__xludf.DUMMYFUNCTION("""COMPUTED_VALUE"""),4154.22)</f>
        <v>4154.22</v>
      </c>
      <c r="Q670" s="6" t="str">
        <f ca="1">IFERROR(__xludf.DUMMYFUNCTION("""COMPUTED_VALUE"""),"Maika Blázquez")</f>
        <v>Maika Blázquez</v>
      </c>
      <c r="R670" s="6" t="str">
        <f ca="1">IFERROR(__xludf.DUMMYFUNCTION("""COMPUTED_VALUE"""),"Carlos Barajas del Rosal")</f>
        <v>Carlos Barajas del Rosal</v>
      </c>
      <c r="S670" s="20" t="str">
        <f ca="1">IFERROR(__xludf.DUMMYFUNCTION("""COMPUTED_VALUE"""),"03 ORL")</f>
        <v>03 ORL</v>
      </c>
      <c r="T670" s="6" t="str">
        <f ca="1">IFERROR(__xludf.DUMMYFUNCTION("""COMPUTED_VALUE"""),"06 ORL")</f>
        <v>06 ORL</v>
      </c>
      <c r="U670" s="21"/>
      <c r="W670" s="20"/>
      <c r="X670" s="21"/>
    </row>
    <row r="671" spans="2:24" ht="16">
      <c r="B671" s="26" t="str">
        <f t="shared" ca="1" si="3"/>
        <v>MBM</v>
      </c>
      <c r="C671" s="23" t="str">
        <f ca="1">IFERROR(__xludf.DUMMYFUNCTION("""COMPUTED_VALUE"""),"MBM34")</f>
        <v>MBM34</v>
      </c>
      <c r="D671" s="6" t="str">
        <f ca="1">IFERROR(__xludf.DUMMYFUNCTION("""COMPUTED_VALUE"""),"PROPIOS")</f>
        <v>PROPIOS</v>
      </c>
      <c r="E671" s="6">
        <f ca="1">IFERROR(__xludf.DUMMYFUNCTION("""COMPUTED_VALUE"""),2026)</f>
        <v>2026</v>
      </c>
      <c r="F671" s="15">
        <f ca="1">IFERROR(__xludf.DUMMYFUNCTION("""COMPUTED_VALUE"""),3)</f>
        <v>3</v>
      </c>
      <c r="G671" s="6" t="str">
        <f ca="1">IFERROR(__xludf.DUMMYFUNCTION("""COMPUTED_VALUE"""),"Madrid- Juan Bravo")</f>
        <v>Madrid- Juan Bravo</v>
      </c>
      <c r="H671" s="6" t="str">
        <f ca="1">IFERROR(__xludf.DUMMYFUNCTION("""COMPUTED_VALUE"""),"C20263416586274798")</f>
        <v>C20263416586274798</v>
      </c>
      <c r="I671" s="6" t="str">
        <f ca="1">IFERROR(__xludf.DUMMYFUNCTION("""COMPUTED_VALUE"""),"JOSE MARIA  BARZANO CABELLO")</f>
        <v>JOSE MARIA  BARZANO CABELLO</v>
      </c>
      <c r="J671" s="16">
        <f ca="1">IFERROR(__xludf.DUMMYFUNCTION("""COMPUTED_VALUE"""),46085)</f>
        <v>46085</v>
      </c>
      <c r="K671" s="6" t="str">
        <f ca="1">IFERROR(__xludf.DUMMYFUNCTION("""COMPUTED_VALUE"""),"Prueba")</f>
        <v>Prueba</v>
      </c>
      <c r="L671" s="16">
        <f ca="1">IFERROR(__xludf.DUMMYFUNCTION("""COMPUTED_VALUE"""),46097)</f>
        <v>46097</v>
      </c>
      <c r="M671" s="23" t="str">
        <f ca="1">IFERROR(__xludf.DUMMYFUNCTION("""COMPUTED_VALUE"""),"NO")</f>
        <v>NO</v>
      </c>
      <c r="N671" s="15">
        <f ca="1">IFERROR(__xludf.DUMMYFUNCTION("""COMPUTED_VALUE"""),2)</f>
        <v>2</v>
      </c>
      <c r="O671" s="23" t="str">
        <f ca="1">IFERROR(__xludf.DUMMYFUNCTION("""COMPUTED_VALUE"""),"QUIET")</f>
        <v>QUIET</v>
      </c>
      <c r="P671" s="21">
        <f ca="1">IFERROR(__xludf.DUMMYFUNCTION("""COMPUTED_VALUE"""),2718.18)</f>
        <v>2718.18</v>
      </c>
      <c r="Q671" s="6" t="str">
        <f ca="1">IFERROR(__xludf.DUMMYFUNCTION("""COMPUTED_VALUE"""),"Maika Blázquez")</f>
        <v>Maika Blázquez</v>
      </c>
      <c r="R671" s="6" t="str">
        <f ca="1">IFERROR(__xludf.DUMMYFUNCTION("""COMPUTED_VALUE"""),"Ignacio Aristegui Torrano")</f>
        <v>Ignacio Aristegui Torrano</v>
      </c>
      <c r="S671" s="20" t="str">
        <f ca="1">IFERROR(__xludf.DUMMYFUNCTION("""COMPUTED_VALUE"""),"03 ORL")</f>
        <v>03 ORL</v>
      </c>
      <c r="T671" s="6" t="str">
        <f ca="1">IFERROR(__xludf.DUMMYFUNCTION("""COMPUTED_VALUE"""),"06 ORL")</f>
        <v>06 ORL</v>
      </c>
      <c r="U671" s="21"/>
      <c r="W671" s="20"/>
      <c r="X671" s="21"/>
    </row>
    <row r="672" spans="2:24" ht="16">
      <c r="B672" s="26" t="str">
        <f t="shared" ca="1" si="3"/>
        <v>MBM</v>
      </c>
      <c r="C672" s="23" t="str">
        <f ca="1">IFERROR(__xludf.DUMMYFUNCTION("""COMPUTED_VALUE"""),"MBM200")</f>
        <v>MBM200</v>
      </c>
      <c r="D672" s="6" t="str">
        <f ca="1">IFERROR(__xludf.DUMMYFUNCTION("""COMPUTED_VALUE"""),"PROPIOS")</f>
        <v>PROPIOS</v>
      </c>
      <c r="E672" s="6">
        <f ca="1">IFERROR(__xludf.DUMMYFUNCTION("""COMPUTED_VALUE"""),2026)</f>
        <v>2026</v>
      </c>
      <c r="F672" s="15">
        <f ca="1">IFERROR(__xludf.DUMMYFUNCTION("""COMPUTED_VALUE"""),1)</f>
        <v>1</v>
      </c>
      <c r="G672" s="6" t="str">
        <f ca="1">IFERROR(__xludf.DUMMYFUNCTION("""COMPUTED_VALUE"""),"Madrid- Juan Bravo")</f>
        <v>Madrid- Juan Bravo</v>
      </c>
      <c r="H672" s="6" t="str">
        <f ca="1">IFERROR(__xludf.DUMMYFUNCTION("""COMPUTED_VALUE"""),"C202510168274877025")</f>
        <v>C202510168274877025</v>
      </c>
      <c r="I672" s="6" t="str">
        <f ca="1">IFERROR(__xludf.DUMMYFUNCTION("""COMPUTED_VALUE"""),"JUAN ANTONIO POGGIO ALCALDE")</f>
        <v>JUAN ANTONIO POGGIO ALCALDE</v>
      </c>
      <c r="J672" s="16">
        <f ca="1">IFERROR(__xludf.DUMMYFUNCTION("""COMPUTED_VALUE"""),45946)</f>
        <v>45946</v>
      </c>
      <c r="K672" s="6" t="str">
        <f ca="1">IFERROR(__xludf.DUMMYFUNCTION("""COMPUTED_VALUE"""),"Devuelve")</f>
        <v>Devuelve</v>
      </c>
      <c r="L672" s="16">
        <f ca="1">IFERROR(__xludf.DUMMYFUNCTION("""COMPUTED_VALUE"""),46027)</f>
        <v>46027</v>
      </c>
      <c r="M672" s="23" t="str">
        <f ca="1">IFERROR(__xludf.DUMMYFUNCTION("""COMPUTED_VALUE"""),"NO")</f>
        <v>NO</v>
      </c>
      <c r="N672" s="15">
        <f ca="1">IFERROR(__xludf.DUMMYFUNCTION("""COMPUTED_VALUE"""),1)</f>
        <v>1</v>
      </c>
      <c r="O672" s="23" t="str">
        <f ca="1">IFERROR(__xludf.DUMMYFUNCTION("""COMPUTED_VALUE"""),"TRIAL")</f>
        <v>TRIAL</v>
      </c>
      <c r="P672" s="21">
        <f ca="1">IFERROR(__xludf.DUMMYFUNCTION("""COMPUTED_VALUE"""),2628.76)</f>
        <v>2628.76</v>
      </c>
      <c r="Q672" s="6" t="str">
        <f ca="1">IFERROR(__xludf.DUMMYFUNCTION("""COMPUTED_VALUE"""),"Maika Blázquez")</f>
        <v>Maika Blázquez</v>
      </c>
      <c r="R672" s="6" t="str">
        <f ca="1">IFERROR(__xludf.DUMMYFUNCTION("""COMPUTED_VALUE"""),"Marta Chaurre Cordero")</f>
        <v>Marta Chaurre Cordero</v>
      </c>
      <c r="S672" s="20" t="str">
        <f ca="1">IFERROR(__xludf.DUMMYFUNCTION("""COMPUTED_VALUE"""),"03 ORL")</f>
        <v>03 ORL</v>
      </c>
      <c r="T672" s="6" t="str">
        <f ca="1">IFERROR(__xludf.DUMMYFUNCTION("""COMPUTED_VALUE"""),"06 ORL")</f>
        <v>06 ORL</v>
      </c>
      <c r="U672" s="21"/>
      <c r="W672" s="20"/>
      <c r="X672" s="21"/>
    </row>
    <row r="673" spans="2:24" ht="16">
      <c r="B673" s="26" t="str">
        <f t="shared" ca="1" si="3"/>
        <v/>
      </c>
      <c r="C673" s="23"/>
      <c r="D673" s="6" t="str">
        <f ca="1">IFERROR(__xludf.DUMMYFUNCTION("""COMPUTED_VALUE"""),"PROPIOS")</f>
        <v>PROPIOS</v>
      </c>
      <c r="E673" s="6">
        <f ca="1">IFERROR(__xludf.DUMMYFUNCTION("""COMPUTED_VALUE"""),2026)</f>
        <v>2026</v>
      </c>
      <c r="F673" s="15">
        <f ca="1">IFERROR(__xludf.DUMMYFUNCTION("""COMPUTED_VALUE"""),3)</f>
        <v>3</v>
      </c>
      <c r="G673" s="6" t="str">
        <f ca="1">IFERROR(__xludf.DUMMYFUNCTION("""COMPUTED_VALUE"""),"Madrid- Juan Bravo")</f>
        <v>Madrid- Juan Bravo</v>
      </c>
      <c r="H673" s="6" t="str">
        <f ca="1">IFERROR(__xludf.DUMMYFUNCTION("""COMPUTED_VALUE"""),"C202631016514266522")</f>
        <v>C202631016514266522</v>
      </c>
      <c r="I673" s="6" t="str">
        <f ca="1">IFERROR(__xludf.DUMMYFUNCTION("""COMPUTED_VALUE"""),"JUAN JOSE  FUENTES MORALES")</f>
        <v>JUAN JOSE  FUENTES MORALES</v>
      </c>
      <c r="J673" s="16">
        <f ca="1">IFERROR(__xludf.DUMMYFUNCTION("""COMPUTED_VALUE"""),46091)</f>
        <v>46091</v>
      </c>
      <c r="K673" s="6" t="str">
        <f ca="1">IFERROR(__xludf.DUMMYFUNCTION("""COMPUTED_VALUE"""),"Prueba")</f>
        <v>Prueba</v>
      </c>
      <c r="L673" s="16">
        <f ca="1">IFERROR(__xludf.DUMMYFUNCTION("""COMPUTED_VALUE"""),46100)</f>
        <v>46100</v>
      </c>
      <c r="M673" s="23" t="str">
        <f ca="1">IFERROR(__xludf.DUMMYFUNCTION("""COMPUTED_VALUE"""),"NO")</f>
        <v>NO</v>
      </c>
      <c r="N673" s="15">
        <f ca="1">IFERROR(__xludf.DUMMYFUNCTION("""COMPUTED_VALUE"""),2)</f>
        <v>2</v>
      </c>
      <c r="O673" s="23" t="str">
        <f ca="1">IFERROR(__xludf.DUMMYFUNCTION("""COMPUTED_VALUE"""),"TRIAL")</f>
        <v>TRIAL</v>
      </c>
      <c r="P673" s="21">
        <f ca="1">IFERROR(__xludf.DUMMYFUNCTION("""COMPUTED_VALUE"""),3631.82)</f>
        <v>3631.82</v>
      </c>
      <c r="Q673" s="6" t="str">
        <f ca="1">IFERROR(__xludf.DUMMYFUNCTION("""COMPUTED_VALUE"""),"Maika Blázquez")</f>
        <v>Maika Blázquez</v>
      </c>
      <c r="R673" s="6" t="str">
        <f ca="1">IFERROR(__xludf.DUMMYFUNCTION("""COMPUTED_VALUE"""),"No recuerda ORL")</f>
        <v>No recuerda ORL</v>
      </c>
      <c r="S673" s="20" t="str">
        <f ca="1">IFERROR(__xludf.DUMMYFUNCTION("""COMPUTED_VALUE"""),"03 ORL")</f>
        <v>03 ORL</v>
      </c>
      <c r="T673" s="6" t="str">
        <f ca="1">IFERROR(__xludf.DUMMYFUNCTION("""COMPUTED_VALUE"""),"06 ORL")</f>
        <v>06 ORL</v>
      </c>
      <c r="U673" s="21"/>
      <c r="W673" s="20"/>
      <c r="X673" s="21"/>
    </row>
    <row r="674" spans="2:24" ht="16">
      <c r="B674" s="26" t="str">
        <f t="shared" ca="1" si="3"/>
        <v>MBM</v>
      </c>
      <c r="C674" s="23" t="str">
        <f ca="1">IFERROR(__xludf.DUMMYFUNCTION("""COMPUTED_VALUE"""),"MBM45")</f>
        <v>MBM45</v>
      </c>
      <c r="D674" s="6" t="str">
        <f ca="1">IFERROR(__xludf.DUMMYFUNCTION("""COMPUTED_VALUE"""),"PROPIOS")</f>
        <v>PROPIOS</v>
      </c>
      <c r="E674" s="6">
        <f ca="1">IFERROR(__xludf.DUMMYFUNCTION("""COMPUTED_VALUE"""),2026)</f>
        <v>2026</v>
      </c>
      <c r="F674" s="15">
        <f ca="1">IFERROR(__xludf.DUMMYFUNCTION("""COMPUTED_VALUE"""),3)</f>
        <v>3</v>
      </c>
      <c r="G674" s="6" t="str">
        <f ca="1">IFERROR(__xludf.DUMMYFUNCTION("""COMPUTED_VALUE"""),"Madrid- Juan Bravo")</f>
        <v>Madrid- Juan Bravo</v>
      </c>
      <c r="H674" s="6" t="str">
        <f ca="1">IFERROR(__xludf.DUMMYFUNCTION("""COMPUTED_VALUE"""),"C202632411331630417")</f>
        <v>C202632411331630417</v>
      </c>
      <c r="I674" s="6" t="str">
        <f ca="1">IFERROR(__xludf.DUMMYFUNCTION("""COMPUTED_VALUE"""),"LUCILA MARIA RAMOS SALVADOR")</f>
        <v>LUCILA MARIA RAMOS SALVADOR</v>
      </c>
      <c r="J674" s="16">
        <f ca="1">IFERROR(__xludf.DUMMYFUNCTION("""COMPUTED_VALUE"""),46105)</f>
        <v>46105</v>
      </c>
      <c r="K674" s="6" t="str">
        <f ca="1">IFERROR(__xludf.DUMMYFUNCTION("""COMPUTED_VALUE"""),"Pedido")</f>
        <v>Pedido</v>
      </c>
      <c r="L674" s="16">
        <f ca="1">IFERROR(__xludf.DUMMYFUNCTION("""COMPUTED_VALUE"""),46108)</f>
        <v>46108</v>
      </c>
      <c r="M674" s="23" t="str">
        <f ca="1">IFERROR(__xludf.DUMMYFUNCTION("""COMPUTED_VALUE"""),"NO")</f>
        <v>NO</v>
      </c>
      <c r="N674" s="15">
        <f ca="1">IFERROR(__xludf.DUMMYFUNCTION("""COMPUTED_VALUE"""),2)</f>
        <v>2</v>
      </c>
      <c r="O674" s="23" t="str">
        <f ca="1">IFERROR(__xludf.DUMMYFUNCTION("""COMPUTED_VALUE"""),"TRIAL")</f>
        <v>TRIAL</v>
      </c>
      <c r="P674" s="21">
        <f ca="1">IFERROR(__xludf.DUMMYFUNCTION("""COMPUTED_VALUE"""),3631.82)</f>
        <v>3631.82</v>
      </c>
      <c r="Q674" s="6" t="str">
        <f ca="1">IFERROR(__xludf.DUMMYFUNCTION("""COMPUTED_VALUE"""),"Maika Blázquez")</f>
        <v>Maika Blázquez</v>
      </c>
      <c r="R674" s="6" t="str">
        <f ca="1">IFERROR(__xludf.DUMMYFUNCTION("""COMPUTED_VALUE"""),"Joaquín Alacio Casero")</f>
        <v>Joaquín Alacio Casero</v>
      </c>
      <c r="S674" s="20" t="str">
        <f ca="1">IFERROR(__xludf.DUMMYFUNCTION("""COMPUTED_VALUE"""),"03 ORL")</f>
        <v>03 ORL</v>
      </c>
      <c r="T674" s="6" t="str">
        <f ca="1">IFERROR(__xludf.DUMMYFUNCTION("""COMPUTED_VALUE"""),"06 ORL")</f>
        <v>06 ORL</v>
      </c>
      <c r="U674" s="21"/>
      <c r="W674" s="20"/>
      <c r="X674" s="21"/>
    </row>
    <row r="675" spans="2:24" ht="16">
      <c r="B675" s="26" t="str">
        <f t="shared" ca="1" si="3"/>
        <v>MBM</v>
      </c>
      <c r="C675" s="23" t="str">
        <f ca="1">IFERROR(__xludf.DUMMYFUNCTION("""COMPUTED_VALUE"""),"MBM54")</f>
        <v>MBM54</v>
      </c>
      <c r="D675" s="6" t="str">
        <f ca="1">IFERROR(__xludf.DUMMYFUNCTION("""COMPUTED_VALUE"""),"PROPIOS")</f>
        <v>PROPIOS</v>
      </c>
      <c r="E675" s="6">
        <f ca="1">IFERROR(__xludf.DUMMYFUNCTION("""COMPUTED_VALUE"""),2026)</f>
        <v>2026</v>
      </c>
      <c r="F675" s="15">
        <f ca="1">IFERROR(__xludf.DUMMYFUNCTION("""COMPUTED_VALUE"""),3)</f>
        <v>3</v>
      </c>
      <c r="G675" s="6" t="str">
        <f ca="1">IFERROR(__xludf.DUMMYFUNCTION("""COMPUTED_VALUE"""),"Madrid- Juan Bravo")</f>
        <v>Madrid- Juan Bravo</v>
      </c>
      <c r="H675" s="6" t="str">
        <f ca="1">IFERROR(__xludf.DUMMYFUNCTION("""COMPUTED_VALUE"""),"C202632516273167255")</f>
        <v>C202632516273167255</v>
      </c>
      <c r="I675" s="6" t="str">
        <f ca="1">IFERROR(__xludf.DUMMYFUNCTION("""COMPUTED_VALUE"""),"MARIA CONCEPCION FERNANDA DE VELAZQUEZ")</f>
        <v>MARIA CONCEPCION FERNANDA DE VELAZQUEZ</v>
      </c>
      <c r="J675" s="16">
        <f ca="1">IFERROR(__xludf.DUMMYFUNCTION("""COMPUTED_VALUE"""),46106)</f>
        <v>46106</v>
      </c>
      <c r="K675" s="6" t="str">
        <f ca="1">IFERROR(__xludf.DUMMYFUNCTION("""COMPUTED_VALUE"""),"Pedido")</f>
        <v>Pedido</v>
      </c>
      <c r="L675" s="16">
        <f ca="1">IFERROR(__xludf.DUMMYFUNCTION("""COMPUTED_VALUE"""),46111)</f>
        <v>46111</v>
      </c>
      <c r="M675" s="23" t="str">
        <f ca="1">IFERROR(__xludf.DUMMYFUNCTION("""COMPUTED_VALUE"""),"NO")</f>
        <v>NO</v>
      </c>
      <c r="N675" s="15">
        <f ca="1">IFERROR(__xludf.DUMMYFUNCTION("""COMPUTED_VALUE"""),1)</f>
        <v>1</v>
      </c>
      <c r="O675" s="23" t="str">
        <f ca="1">IFERROR(__xludf.DUMMYFUNCTION("""COMPUTED_VALUE"""),"QUIET")</f>
        <v>QUIET</v>
      </c>
      <c r="P675" s="21">
        <f ca="1">IFERROR(__xludf.DUMMYFUNCTION("""COMPUTED_VALUE"""),1631.82)</f>
        <v>1631.82</v>
      </c>
      <c r="Q675" s="6" t="str">
        <f ca="1">IFERROR(__xludf.DUMMYFUNCTION("""COMPUTED_VALUE"""),"Maika Blázquez")</f>
        <v>Maika Blázquez</v>
      </c>
      <c r="R675" s="6" t="str">
        <f ca="1">IFERROR(__xludf.DUMMYFUNCTION("""COMPUTED_VALUE"""),"José María Relanzón López")</f>
        <v>José María Relanzón López</v>
      </c>
      <c r="S675" s="20" t="str">
        <f ca="1">IFERROR(__xludf.DUMMYFUNCTION("""COMPUTED_VALUE"""),"03 ORL")</f>
        <v>03 ORL</v>
      </c>
      <c r="T675" s="6" t="str">
        <f ca="1">IFERROR(__xludf.DUMMYFUNCTION("""COMPUTED_VALUE"""),"06 ORL")</f>
        <v>06 ORL</v>
      </c>
      <c r="U675" s="21"/>
      <c r="W675" s="20"/>
      <c r="X675" s="21"/>
    </row>
    <row r="676" spans="2:24" ht="16">
      <c r="B676" s="26" t="str">
        <f t="shared" ca="1" si="3"/>
        <v>#N/</v>
      </c>
      <c r="C676" s="23" t="str">
        <f ca="1">IFERROR(__xludf.DUMMYFUNCTION("""COMPUTED_VALUE"""),"#N/A")</f>
        <v>#N/A</v>
      </c>
      <c r="D676" s="6" t="str">
        <f ca="1">IFERROR(__xludf.DUMMYFUNCTION("""COMPUTED_VALUE"""),"PROPIOS")</f>
        <v>PROPIOS</v>
      </c>
      <c r="E676" s="6">
        <f ca="1">IFERROR(__xludf.DUMMYFUNCTION("""COMPUTED_VALUE"""),2026)</f>
        <v>2026</v>
      </c>
      <c r="F676" s="15">
        <f ca="1">IFERROR(__xludf.DUMMYFUNCTION("""COMPUTED_VALUE"""),3)</f>
        <v>3</v>
      </c>
      <c r="G676" s="6" t="str">
        <f ca="1">IFERROR(__xludf.DUMMYFUNCTION("""COMPUTED_VALUE"""),"Madrid- Juan Bravo")</f>
        <v>Madrid- Juan Bravo</v>
      </c>
      <c r="H676" s="6" t="str">
        <f ca="1">IFERROR(__xludf.DUMMYFUNCTION("""COMPUTED_VALUE"""),"JBR-1447")</f>
        <v>JBR-1447</v>
      </c>
      <c r="I676" s="6" t="str">
        <f ca="1">IFERROR(__xludf.DUMMYFUNCTION("""COMPUTED_VALUE"""),"MARIA DOLORES CASTRO-GIRONA CAMPOS")</f>
        <v>MARIA DOLORES CASTRO-GIRONA CAMPOS</v>
      </c>
      <c r="J676" s="16">
        <f ca="1">IFERROR(__xludf.DUMMYFUNCTION("""COMPUTED_VALUE"""),44477)</f>
        <v>44477</v>
      </c>
      <c r="K676" s="6" t="str">
        <f ca="1">IFERROR(__xludf.DUMMYFUNCTION("""COMPUTED_VALUE"""),"Devuelve")</f>
        <v>Devuelve</v>
      </c>
      <c r="L676" s="16">
        <f ca="1">IFERROR(__xludf.DUMMYFUNCTION("""COMPUTED_VALUE"""),46092)</f>
        <v>46092</v>
      </c>
      <c r="M676" s="23" t="str">
        <f ca="1">IFERROR(__xludf.DUMMYFUNCTION("""COMPUTED_VALUE"""),"NO")</f>
        <v>NO</v>
      </c>
      <c r="N676" s="15">
        <f ca="1">IFERROR(__xludf.DUMMYFUNCTION("""COMPUTED_VALUE"""),2)</f>
        <v>2</v>
      </c>
      <c r="O676" s="23" t="str">
        <f ca="1">IFERROR(__xludf.DUMMYFUNCTION("""COMPUTED_VALUE"""),"TRIAL")</f>
        <v>TRIAL</v>
      </c>
      <c r="P676" s="21">
        <f ca="1">IFERROR(__xludf.DUMMYFUNCTION("""COMPUTED_VALUE"""),0)</f>
        <v>0</v>
      </c>
      <c r="Q676" s="6" t="str">
        <f ca="1">IFERROR(__xludf.DUMMYFUNCTION("""COMPUTED_VALUE"""),"Maika Blázquez")</f>
        <v>Maika Blázquez</v>
      </c>
      <c r="R676" s="6" t="str">
        <f ca="1">IFERROR(__xludf.DUMMYFUNCTION("""COMPUTED_VALUE"""),"García Domínguez")</f>
        <v>García Domínguez</v>
      </c>
      <c r="S676" s="20" t="str">
        <f ca="1">IFERROR(__xludf.DUMMYFUNCTION("""COMPUTED_VALUE"""),"03 ORL")</f>
        <v>03 ORL</v>
      </c>
      <c r="T676" s="6" t="str">
        <f ca="1">IFERROR(__xludf.DUMMYFUNCTION("""COMPUTED_VALUE"""),"03 ORL")</f>
        <v>03 ORL</v>
      </c>
      <c r="U676" s="21"/>
      <c r="W676" s="20"/>
      <c r="X676" s="21"/>
    </row>
    <row r="677" spans="2:24" ht="16">
      <c r="B677" s="26" t="str">
        <f t="shared" ca="1" si="3"/>
        <v>LRM</v>
      </c>
      <c r="C677" s="23" t="str">
        <f ca="1">IFERROR(__xludf.DUMMYFUNCTION("""COMPUTED_VALUE"""),"LRM239")</f>
        <v>LRM239</v>
      </c>
      <c r="D677" s="6" t="str">
        <f ca="1">IFERROR(__xludf.DUMMYFUNCTION("""COMPUTED_VALUE"""),"PROPIOS")</f>
        <v>PROPIOS</v>
      </c>
      <c r="E677" s="6">
        <f ca="1">IFERROR(__xludf.DUMMYFUNCTION("""COMPUTED_VALUE"""),2026)</f>
        <v>2026</v>
      </c>
      <c r="F677" s="15">
        <f ca="1">IFERROR(__xludf.DUMMYFUNCTION("""COMPUTED_VALUE"""),3)</f>
        <v>3</v>
      </c>
      <c r="G677" s="6" t="str">
        <f ca="1">IFERROR(__xludf.DUMMYFUNCTION("""COMPUTED_VALUE"""),"Madrid- Juan Bravo")</f>
        <v>Madrid- Juan Bravo</v>
      </c>
      <c r="H677" s="6" t="str">
        <f ca="1">IFERROR(__xludf.DUMMYFUNCTION("""COMPUTED_VALUE"""),"C20263511290483207")</f>
        <v>C20263511290483207</v>
      </c>
      <c r="I677" s="6" t="str">
        <f ca="1">IFERROR(__xludf.DUMMYFUNCTION("""COMPUTED_VALUE"""),"MAXIMO JAVIER  HERREROS VENTOSA")</f>
        <v>MAXIMO JAVIER  HERREROS VENTOSA</v>
      </c>
      <c r="J677" s="16">
        <f ca="1">IFERROR(__xludf.DUMMYFUNCTION("""COMPUTED_VALUE"""),46086)</f>
        <v>46086</v>
      </c>
      <c r="K677" s="6" t="str">
        <f ca="1">IFERROR(__xludf.DUMMYFUNCTION("""COMPUTED_VALUE"""),"Prueba")</f>
        <v>Prueba</v>
      </c>
      <c r="L677" s="16">
        <f ca="1">IFERROR(__xludf.DUMMYFUNCTION("""COMPUTED_VALUE"""),46097)</f>
        <v>46097</v>
      </c>
      <c r="M677" s="23" t="str">
        <f ca="1">IFERROR(__xludf.DUMMYFUNCTION("""COMPUTED_VALUE"""),"NO")</f>
        <v>NO</v>
      </c>
      <c r="N677" s="15">
        <f ca="1">IFERROR(__xludf.DUMMYFUNCTION("""COMPUTED_VALUE"""),1)</f>
        <v>1</v>
      </c>
      <c r="O677" s="23" t="str">
        <f ca="1">IFERROR(__xludf.DUMMYFUNCTION("""COMPUTED_VALUE"""),"TRIAL")</f>
        <v>TRIAL</v>
      </c>
      <c r="P677" s="21">
        <f ca="1">IFERROR(__xludf.DUMMYFUNCTION("""COMPUTED_VALUE"""),2481.82)</f>
        <v>2481.8200000000002</v>
      </c>
      <c r="Q677" s="6" t="str">
        <f ca="1">IFERROR(__xludf.DUMMYFUNCTION("""COMPUTED_VALUE"""),"Maika Blázquez")</f>
        <v>Maika Blázquez</v>
      </c>
      <c r="R677" s="6" t="str">
        <f ca="1">IFERROR(__xludf.DUMMYFUNCTION("""COMPUTED_VALUE"""),"Carlos Barajas del Rosal")</f>
        <v>Carlos Barajas del Rosal</v>
      </c>
      <c r="S677" s="20" t="str">
        <f ca="1">IFERROR(__xludf.DUMMYFUNCTION("""COMPUTED_VALUE"""),"03 ORL")</f>
        <v>03 ORL</v>
      </c>
      <c r="T677" s="6" t="str">
        <f ca="1">IFERROR(__xludf.DUMMYFUNCTION("""COMPUTED_VALUE"""),"06 ORL")</f>
        <v>06 ORL</v>
      </c>
      <c r="U677" s="21"/>
      <c r="W677" s="20"/>
      <c r="X677" s="21"/>
    </row>
    <row r="678" spans="2:24" ht="16">
      <c r="B678" s="26" t="str">
        <f t="shared" ca="1" si="3"/>
        <v/>
      </c>
      <c r="C678" s="23"/>
      <c r="D678" s="6" t="str">
        <f ca="1">IFERROR(__xludf.DUMMYFUNCTION("""COMPUTED_VALUE"""),"PROPIOS")</f>
        <v>PROPIOS</v>
      </c>
      <c r="E678" s="6">
        <f ca="1">IFERROR(__xludf.DUMMYFUNCTION("""COMPUTED_VALUE"""),2026)</f>
        <v>2026</v>
      </c>
      <c r="F678" s="15">
        <f ca="1">IFERROR(__xludf.DUMMYFUNCTION("""COMPUTED_VALUE"""),3)</f>
        <v>3</v>
      </c>
      <c r="G678" s="6" t="str">
        <f ca="1">IFERROR(__xludf.DUMMYFUNCTION("""COMPUTED_VALUE"""),"Madrid- Juan Bravo")</f>
        <v>Madrid- Juan Bravo</v>
      </c>
      <c r="H678" s="6" t="str">
        <f ca="1">IFERROR(__xludf.DUMMYFUNCTION("""COMPUTED_VALUE"""),"C20263614581771394")</f>
        <v>C20263614581771394</v>
      </c>
      <c r="I678" s="6" t="str">
        <f ca="1">IFERROR(__xludf.DUMMYFUNCTION("""COMPUTED_VALUE"""),"MERCEDES SERRANO  CADAHIA")</f>
        <v>MERCEDES SERRANO  CADAHIA</v>
      </c>
      <c r="J678" s="16">
        <f ca="1">IFERROR(__xludf.DUMMYFUNCTION("""COMPUTED_VALUE"""),46087)</f>
        <v>46087</v>
      </c>
      <c r="K678" s="6" t="str">
        <f ca="1">IFERROR(__xludf.DUMMYFUNCTION("""COMPUTED_VALUE"""),"Prueba")</f>
        <v>Prueba</v>
      </c>
      <c r="L678" s="16">
        <f ca="1">IFERROR(__xludf.DUMMYFUNCTION("""COMPUTED_VALUE"""),46100)</f>
        <v>46100</v>
      </c>
      <c r="M678" s="23" t="str">
        <f ca="1">IFERROR(__xludf.DUMMYFUNCTION("""COMPUTED_VALUE"""),"NO")</f>
        <v>NO</v>
      </c>
      <c r="N678" s="15">
        <f ca="1">IFERROR(__xludf.DUMMYFUNCTION("""COMPUTED_VALUE"""),2)</f>
        <v>2</v>
      </c>
      <c r="O678" s="23" t="str">
        <f ca="1">IFERROR(__xludf.DUMMYFUNCTION("""COMPUTED_VALUE"""),"TRIAL")</f>
        <v>TRIAL</v>
      </c>
      <c r="P678" s="21">
        <f ca="1">IFERROR(__xludf.DUMMYFUNCTION("""COMPUTED_VALUE"""),3631.82)</f>
        <v>3631.82</v>
      </c>
      <c r="Q678" s="6" t="str">
        <f ca="1">IFERROR(__xludf.DUMMYFUNCTION("""COMPUTED_VALUE"""),"Maika Blázquez")</f>
        <v>Maika Blázquez</v>
      </c>
      <c r="R678" s="6" t="str">
        <f ca="1">IFERROR(__xludf.DUMMYFUNCTION("""COMPUTED_VALUE"""),"No recuerda ORL")</f>
        <v>No recuerda ORL</v>
      </c>
      <c r="S678" s="20" t="str">
        <f ca="1">IFERROR(__xludf.DUMMYFUNCTION("""COMPUTED_VALUE"""),"03 ORL")</f>
        <v>03 ORL</v>
      </c>
      <c r="T678" s="6" t="str">
        <f ca="1">IFERROR(__xludf.DUMMYFUNCTION("""COMPUTED_VALUE"""),"06 ORL")</f>
        <v>06 ORL</v>
      </c>
      <c r="U678" s="21"/>
      <c r="W678" s="20"/>
      <c r="X678" s="21"/>
    </row>
    <row r="679" spans="2:24" ht="16">
      <c r="B679" s="26" t="str">
        <f t="shared" ca="1" si="3"/>
        <v>MBM</v>
      </c>
      <c r="C679" s="23" t="str">
        <f ca="1">IFERROR(__xludf.DUMMYFUNCTION("""COMPUTED_VALUE"""),"MBM39")</f>
        <v>MBM39</v>
      </c>
      <c r="D679" s="6" t="str">
        <f ca="1">IFERROR(__xludf.DUMMYFUNCTION("""COMPUTED_VALUE"""),"PROPIOS")</f>
        <v>PROPIOS</v>
      </c>
      <c r="E679" s="6">
        <f ca="1">IFERROR(__xludf.DUMMYFUNCTION("""COMPUTED_VALUE"""),2026)</f>
        <v>2026</v>
      </c>
      <c r="F679" s="15">
        <f ca="1">IFERROR(__xludf.DUMMYFUNCTION("""COMPUTED_VALUE"""),3)</f>
        <v>3</v>
      </c>
      <c r="G679" s="6" t="str">
        <f ca="1">IFERROR(__xludf.DUMMYFUNCTION("""COMPUTED_VALUE"""),"Madrid- Juan Bravo")</f>
        <v>Madrid- Juan Bravo</v>
      </c>
      <c r="H679" s="6" t="str">
        <f ca="1">IFERROR(__xludf.DUMMYFUNCTION("""COMPUTED_VALUE"""),"C202632393051537616")</f>
        <v>C202632393051537616</v>
      </c>
      <c r="I679" s="6" t="str">
        <f ca="1">IFERROR(__xludf.DUMMYFUNCTION("""COMPUTED_VALUE"""),"PALMIRA  JIMENEZ GARCIA")</f>
        <v>PALMIRA  JIMENEZ GARCIA</v>
      </c>
      <c r="J679" s="16">
        <f ca="1">IFERROR(__xludf.DUMMYFUNCTION("""COMPUTED_VALUE"""),46104)</f>
        <v>46104</v>
      </c>
      <c r="K679" s="6" t="str">
        <f ca="1">IFERROR(__xludf.DUMMYFUNCTION("""COMPUTED_VALUE"""),"Pedido")</f>
        <v>Pedido</v>
      </c>
      <c r="L679" s="16">
        <f ca="1">IFERROR(__xludf.DUMMYFUNCTION("""COMPUTED_VALUE"""),46107)</f>
        <v>46107</v>
      </c>
      <c r="M679" s="23" t="str">
        <f ca="1">IFERROR(__xludf.DUMMYFUNCTION("""COMPUTED_VALUE"""),"NO")</f>
        <v>NO</v>
      </c>
      <c r="N679" s="15">
        <f ca="1">IFERROR(__xludf.DUMMYFUNCTION("""COMPUTED_VALUE"""),2)</f>
        <v>2</v>
      </c>
      <c r="O679" s="23" t="str">
        <f ca="1">IFERROR(__xludf.DUMMYFUNCTION("""COMPUTED_VALUE"""),"QUIET")</f>
        <v>QUIET</v>
      </c>
      <c r="P679" s="21">
        <f ca="1">IFERROR(__xludf.DUMMYFUNCTION("""COMPUTED_VALUE"""),2718.18)</f>
        <v>2718.18</v>
      </c>
      <c r="Q679" s="6" t="str">
        <f ca="1">IFERROR(__xludf.DUMMYFUNCTION("""COMPUTED_VALUE"""),"Maika Blázquez")</f>
        <v>Maika Blázquez</v>
      </c>
      <c r="R679" s="6" t="str">
        <f ca="1">IFERROR(__xludf.DUMMYFUNCTION("""COMPUTED_VALUE"""),"Javier García Domínguez")</f>
        <v>Javier García Domínguez</v>
      </c>
      <c r="S679" s="20" t="str">
        <f ca="1">IFERROR(__xludf.DUMMYFUNCTION("""COMPUTED_VALUE"""),"03 ORL")</f>
        <v>03 ORL</v>
      </c>
      <c r="T679" s="6" t="str">
        <f ca="1">IFERROR(__xludf.DUMMYFUNCTION("""COMPUTED_VALUE"""),"06 ORL")</f>
        <v>06 ORL</v>
      </c>
      <c r="U679" s="21"/>
      <c r="W679" s="20"/>
      <c r="X679" s="21"/>
    </row>
    <row r="680" spans="2:24" ht="16">
      <c r="B680" s="26" t="str">
        <f t="shared" ca="1" si="3"/>
        <v>LRM</v>
      </c>
      <c r="C680" s="23" t="str">
        <f ca="1">IFERROR(__xludf.DUMMYFUNCTION("""COMPUTED_VALUE"""),"LRM239")</f>
        <v>LRM239</v>
      </c>
      <c r="D680" s="6" t="str">
        <f ca="1">IFERROR(__xludf.DUMMYFUNCTION("""COMPUTED_VALUE"""),"PROPIOS")</f>
        <v>PROPIOS</v>
      </c>
      <c r="E680" s="6">
        <f ca="1">IFERROR(__xludf.DUMMYFUNCTION("""COMPUTED_VALUE"""),2026)</f>
        <v>2026</v>
      </c>
      <c r="F680" s="15">
        <f ca="1">IFERROR(__xludf.DUMMYFUNCTION("""COMPUTED_VALUE"""),3)</f>
        <v>3</v>
      </c>
      <c r="G680" s="6" t="str">
        <f ca="1">IFERROR(__xludf.DUMMYFUNCTION("""COMPUTED_VALUE"""),"Madrid- Juan Bravo")</f>
        <v>Madrid- Juan Bravo</v>
      </c>
      <c r="H680" s="6" t="str">
        <f ca="1">IFERROR(__xludf.DUMMYFUNCTION("""COMPUTED_VALUE"""),"C202622416585374018")</f>
        <v>C202622416585374018</v>
      </c>
      <c r="I680" s="6" t="str">
        <f ca="1">IFERROR(__xludf.DUMMYFUNCTION("""COMPUTED_VALUE"""),"PILAR JIMENEZ SANCHO")</f>
        <v>PILAR JIMENEZ SANCHO</v>
      </c>
      <c r="J680" s="16">
        <f ca="1">IFERROR(__xludf.DUMMYFUNCTION("""COMPUTED_VALUE"""),46077)</f>
        <v>46077</v>
      </c>
      <c r="K680" s="6" t="str">
        <f ca="1">IFERROR(__xludf.DUMMYFUNCTION("""COMPUTED_VALUE"""),"Presupuesto")</f>
        <v>Presupuesto</v>
      </c>
      <c r="L680" s="16">
        <f ca="1">IFERROR(__xludf.DUMMYFUNCTION("""COMPUTED_VALUE"""),46085)</f>
        <v>46085</v>
      </c>
      <c r="M680" s="23" t="str">
        <f ca="1">IFERROR(__xludf.DUMMYFUNCTION("""COMPUTED_VALUE"""),"NO")</f>
        <v>NO</v>
      </c>
      <c r="N680" s="15">
        <f ca="1">IFERROR(__xludf.DUMMYFUNCTION("""COMPUTED_VALUE"""),1)</f>
        <v>1</v>
      </c>
      <c r="O680" s="23" t="str">
        <f ca="1">IFERROR(__xludf.DUMMYFUNCTION("""COMPUTED_VALUE"""),"QUIET")</f>
        <v>QUIET</v>
      </c>
      <c r="P680" s="21">
        <f ca="1">IFERROR(__xludf.DUMMYFUNCTION("""COMPUTED_VALUE"""),1631.82)</f>
        <v>1631.82</v>
      </c>
      <c r="Q680" s="6" t="str">
        <f ca="1">IFERROR(__xludf.DUMMYFUNCTION("""COMPUTED_VALUE"""),"Maika Blázquez")</f>
        <v>Maika Blázquez</v>
      </c>
      <c r="R680" s="6" t="str">
        <f ca="1">IFERROR(__xludf.DUMMYFUNCTION("""COMPUTED_VALUE"""),"Carlos Barajas del Rosal")</f>
        <v>Carlos Barajas del Rosal</v>
      </c>
      <c r="S680" s="20" t="str">
        <f ca="1">IFERROR(__xludf.DUMMYFUNCTION("""COMPUTED_VALUE"""),"03 ORL")</f>
        <v>03 ORL</v>
      </c>
      <c r="T680" s="6" t="str">
        <f ca="1">IFERROR(__xludf.DUMMYFUNCTION("""COMPUTED_VALUE"""),"06 ORL")</f>
        <v>06 ORL</v>
      </c>
      <c r="U680" s="21"/>
      <c r="W680" s="20"/>
      <c r="X680" s="21"/>
    </row>
    <row r="681" spans="2:24" ht="16">
      <c r="B681" s="26" t="str">
        <f t="shared" ca="1" si="3"/>
        <v>LRM</v>
      </c>
      <c r="C681" s="23" t="str">
        <f ca="1">IFERROR(__xludf.DUMMYFUNCTION("""COMPUTED_VALUE"""),"LRM239")</f>
        <v>LRM239</v>
      </c>
      <c r="D681" s="6" t="str">
        <f ca="1">IFERROR(__xludf.DUMMYFUNCTION("""COMPUTED_VALUE"""),"PROPIOS")</f>
        <v>PROPIOS</v>
      </c>
      <c r="E681" s="6">
        <f ca="1">IFERROR(__xludf.DUMMYFUNCTION("""COMPUTED_VALUE"""),2026)</f>
        <v>2026</v>
      </c>
      <c r="F681" s="15">
        <f ca="1">IFERROR(__xludf.DUMMYFUNCTION("""COMPUTED_VALUE"""),3)</f>
        <v>3</v>
      </c>
      <c r="G681" s="6" t="str">
        <f ca="1">IFERROR(__xludf.DUMMYFUNCTION("""COMPUTED_VALUE"""),"Madrid- Juan Bravo")</f>
        <v>Madrid- Juan Bravo</v>
      </c>
      <c r="H681" s="6" t="str">
        <f ca="1">IFERROR(__xludf.DUMMYFUNCTION("""COMPUTED_VALUE"""),"C202631111595485356")</f>
        <v>C202631111595485356</v>
      </c>
      <c r="I681" s="6" t="str">
        <f ca="1">IFERROR(__xludf.DUMMYFUNCTION("""COMPUTED_VALUE"""),"SERAFIN ARANDA GAMEZ")</f>
        <v>SERAFIN ARANDA GAMEZ</v>
      </c>
      <c r="J681" s="16">
        <f ca="1">IFERROR(__xludf.DUMMYFUNCTION("""COMPUTED_VALUE"""),46092)</f>
        <v>46092</v>
      </c>
      <c r="K681" s="6" t="str">
        <f ca="1">IFERROR(__xludf.DUMMYFUNCTION("""COMPUTED_VALUE"""),"Prueba")</f>
        <v>Prueba</v>
      </c>
      <c r="L681" s="16">
        <f ca="1">IFERROR(__xludf.DUMMYFUNCTION("""COMPUTED_VALUE"""),46101)</f>
        <v>46101</v>
      </c>
      <c r="M681" s="23" t="str">
        <f ca="1">IFERROR(__xludf.DUMMYFUNCTION("""COMPUTED_VALUE"""),"NO")</f>
        <v>NO</v>
      </c>
      <c r="N681" s="15">
        <f ca="1">IFERROR(__xludf.DUMMYFUNCTION("""COMPUTED_VALUE"""),2)</f>
        <v>2</v>
      </c>
      <c r="O681" s="23" t="str">
        <f ca="1">IFERROR(__xludf.DUMMYFUNCTION("""COMPUTED_VALUE"""),"QUIET")</f>
        <v>QUIET</v>
      </c>
      <c r="P681" s="21">
        <f ca="1">IFERROR(__xludf.DUMMYFUNCTION("""COMPUTED_VALUE"""),2718.18)</f>
        <v>2718.18</v>
      </c>
      <c r="Q681" s="6" t="str">
        <f ca="1">IFERROR(__xludf.DUMMYFUNCTION("""COMPUTED_VALUE"""),"Maika Blázquez")</f>
        <v>Maika Blázquez</v>
      </c>
      <c r="R681" s="6" t="str">
        <f ca="1">IFERROR(__xludf.DUMMYFUNCTION("""COMPUTED_VALUE"""),"Carlos Barajas del Rosal")</f>
        <v>Carlos Barajas del Rosal</v>
      </c>
      <c r="S681" s="20" t="str">
        <f ca="1">IFERROR(__xludf.DUMMYFUNCTION("""COMPUTED_VALUE"""),"03 ORL")</f>
        <v>03 ORL</v>
      </c>
      <c r="T681" s="6" t="str">
        <f ca="1">IFERROR(__xludf.DUMMYFUNCTION("""COMPUTED_VALUE"""),"06 ORL")</f>
        <v>06 ORL</v>
      </c>
      <c r="W681" s="20"/>
    </row>
    <row r="682" spans="2:24" ht="16">
      <c r="B682" s="26" t="str">
        <f t="shared" ca="1" si="3"/>
        <v>MBM</v>
      </c>
      <c r="C682" s="23" t="str">
        <f ca="1">IFERROR(__xludf.DUMMYFUNCTION("""COMPUTED_VALUE"""),"MBM39")</f>
        <v>MBM39</v>
      </c>
      <c r="D682" s="6" t="str">
        <f ca="1">IFERROR(__xludf.DUMMYFUNCTION("""COMPUTED_VALUE"""),"PROPIOS")</f>
        <v>PROPIOS</v>
      </c>
      <c r="E682" s="6">
        <f ca="1">IFERROR(__xludf.DUMMYFUNCTION("""COMPUTED_VALUE"""),2026)</f>
        <v>2026</v>
      </c>
      <c r="F682" s="15">
        <f ca="1">IFERROR(__xludf.DUMMYFUNCTION("""COMPUTED_VALUE"""),3)</f>
        <v>3</v>
      </c>
      <c r="G682" s="6" t="str">
        <f ca="1">IFERROR(__xludf.DUMMYFUNCTION("""COMPUTED_VALUE"""),"Madrid- Juan Bravo")</f>
        <v>Madrid- Juan Bravo</v>
      </c>
      <c r="H682" s="6" t="str">
        <f ca="1">IFERROR(__xludf.DUMMYFUNCTION("""COMPUTED_VALUE"""),"C20263239330667640")</f>
        <v>C20263239330667640</v>
      </c>
      <c r="I682" s="6" t="str">
        <f ca="1">IFERROR(__xludf.DUMMYFUNCTION("""COMPUTED_VALUE"""),"TEOFILO PEREZ DE SANTOS")</f>
        <v>TEOFILO PEREZ DE SANTOS</v>
      </c>
      <c r="J682" s="16">
        <f ca="1">IFERROR(__xludf.DUMMYFUNCTION("""COMPUTED_VALUE"""),46104)</f>
        <v>46104</v>
      </c>
      <c r="K682" s="6" t="str">
        <f ca="1">IFERROR(__xludf.DUMMYFUNCTION("""COMPUTED_VALUE"""),"Pedido")</f>
        <v>Pedido</v>
      </c>
      <c r="L682" s="16">
        <f ca="1">IFERROR(__xludf.DUMMYFUNCTION("""COMPUTED_VALUE"""),46108)</f>
        <v>46108</v>
      </c>
      <c r="M682" s="23" t="str">
        <f ca="1">IFERROR(__xludf.DUMMYFUNCTION("""COMPUTED_VALUE"""),"NO")</f>
        <v>NO</v>
      </c>
      <c r="N682" s="15">
        <f ca="1">IFERROR(__xludf.DUMMYFUNCTION("""COMPUTED_VALUE"""),2)</f>
        <v>2</v>
      </c>
      <c r="O682" s="23" t="str">
        <f ca="1">IFERROR(__xludf.DUMMYFUNCTION("""COMPUTED_VALUE"""),"QUIET")</f>
        <v>QUIET</v>
      </c>
      <c r="P682" s="21">
        <f ca="1">IFERROR(__xludf.DUMMYFUNCTION("""COMPUTED_VALUE"""),2718.18)</f>
        <v>2718.18</v>
      </c>
      <c r="Q682" s="6" t="str">
        <f ca="1">IFERROR(__xludf.DUMMYFUNCTION("""COMPUTED_VALUE"""),"Maika Blázquez")</f>
        <v>Maika Blázquez</v>
      </c>
      <c r="R682" s="6" t="str">
        <f ca="1">IFERROR(__xludf.DUMMYFUNCTION("""COMPUTED_VALUE"""),"Javier García Domínguez")</f>
        <v>Javier García Domínguez</v>
      </c>
      <c r="S682" s="20" t="str">
        <f ca="1">IFERROR(__xludf.DUMMYFUNCTION("""COMPUTED_VALUE"""),"03 ORL")</f>
        <v>03 ORL</v>
      </c>
      <c r="T682" s="6" t="str">
        <f ca="1">IFERROR(__xludf.DUMMYFUNCTION("""COMPUTED_VALUE"""),"06 ORL")</f>
        <v>06 ORL</v>
      </c>
      <c r="U682" s="21"/>
      <c r="W682" s="20"/>
      <c r="X682" s="21"/>
    </row>
    <row r="683" spans="2:24" ht="16">
      <c r="B683" s="26" t="str">
        <f t="shared" ca="1" si="3"/>
        <v>MBM</v>
      </c>
      <c r="C683" s="23" t="str">
        <f ca="1">IFERROR(__xludf.DUMMYFUNCTION("""COMPUTED_VALUE"""),"MBM52")</f>
        <v>MBM52</v>
      </c>
      <c r="D683" s="6" t="str">
        <f ca="1">IFERROR(__xludf.DUMMYFUNCTION("""COMPUTED_VALUE"""),"PARTICIPADOS")</f>
        <v>PARTICIPADOS</v>
      </c>
      <c r="E683" s="6">
        <f ca="1">IFERROR(__xludf.DUMMYFUNCTION("""COMPUTED_VALUE"""),2026)</f>
        <v>2026</v>
      </c>
      <c r="F683" s="15">
        <f ca="1">IFERROR(__xludf.DUMMYFUNCTION("""COMPUTED_VALUE"""),3)</f>
        <v>3</v>
      </c>
      <c r="G683" s="6" t="str">
        <f ca="1">IFERROR(__xludf.DUMMYFUNCTION("""COMPUTED_VALUE"""),"Madrid- La Oca")</f>
        <v>Madrid- La Oca</v>
      </c>
      <c r="H683" s="6" t="str">
        <f ca="1">IFERROR(__xludf.DUMMYFUNCTION("""COMPUTED_VALUE"""),"C20263209498725558")</f>
        <v>C20263209498725558</v>
      </c>
      <c r="I683" s="6" t="str">
        <f ca="1">IFERROR(__xludf.DUMMYFUNCTION("""COMPUTED_VALUE"""),"ANTONIA  VARGAS LORENTE")</f>
        <v>ANTONIA  VARGAS LORENTE</v>
      </c>
      <c r="J683" s="16">
        <f ca="1">IFERROR(__xludf.DUMMYFUNCTION("""COMPUTED_VALUE"""),46101)</f>
        <v>46101</v>
      </c>
      <c r="K683" s="6" t="str">
        <f ca="1">IFERROR(__xludf.DUMMYFUNCTION("""COMPUTED_VALUE"""),"Prueba")</f>
        <v>Prueba</v>
      </c>
      <c r="L683" s="16">
        <f ca="1">IFERROR(__xludf.DUMMYFUNCTION("""COMPUTED_VALUE"""),46105)</f>
        <v>46105</v>
      </c>
      <c r="M683" s="23" t="str">
        <f ca="1">IFERROR(__xludf.DUMMYFUNCTION("""COMPUTED_VALUE"""),"NO")</f>
        <v>NO</v>
      </c>
      <c r="N683" s="15">
        <f ca="1">IFERROR(__xludf.DUMMYFUNCTION("""COMPUTED_VALUE"""),1)</f>
        <v>1</v>
      </c>
      <c r="O683" s="23" t="str">
        <f ca="1">IFERROR(__xludf.DUMMYFUNCTION("""COMPUTED_VALUE"""),"QUIET")</f>
        <v>QUIET</v>
      </c>
      <c r="P683" s="21">
        <f ca="1">IFERROR(__xludf.DUMMYFUNCTION("""COMPUTED_VALUE"""),1631.82)</f>
        <v>1631.82</v>
      </c>
      <c r="Q683" s="6" t="str">
        <f ca="1">IFERROR(__xludf.DUMMYFUNCTION("""COMPUTED_VALUE"""),"Maika Blázquez")</f>
        <v>Maika Blázquez</v>
      </c>
      <c r="R683" s="6" t="str">
        <f ca="1">IFERROR(__xludf.DUMMYFUNCTION("""COMPUTED_VALUE"""),"José Joaquín Gutiérrez Barquín")</f>
        <v>José Joaquín Gutiérrez Barquín</v>
      </c>
      <c r="S683" s="20" t="str">
        <f ca="1">IFERROR(__xludf.DUMMYFUNCTION("""COMPUTED_VALUE"""),"03 ORL")</f>
        <v>03 ORL</v>
      </c>
      <c r="T683" s="6" t="str">
        <f ca="1">IFERROR(__xludf.DUMMYFUNCTION("""COMPUTED_VALUE"""),"06 ORL")</f>
        <v>06 ORL</v>
      </c>
      <c r="U683" s="21"/>
      <c r="W683" s="20"/>
      <c r="X683" s="21"/>
    </row>
    <row r="684" spans="2:24" ht="16">
      <c r="B684" s="26" t="str">
        <f t="shared" ca="1" si="3"/>
        <v/>
      </c>
      <c r="C684" s="23"/>
      <c r="D684" s="6" t="str">
        <f ca="1">IFERROR(__xludf.DUMMYFUNCTION("""COMPUTED_VALUE"""),"PARTICIPADOS")</f>
        <v>PARTICIPADOS</v>
      </c>
      <c r="E684" s="6">
        <f ca="1">IFERROR(__xludf.DUMMYFUNCTION("""COMPUTED_VALUE"""),2026)</f>
        <v>2026</v>
      </c>
      <c r="F684" s="15">
        <f ca="1">IFERROR(__xludf.DUMMYFUNCTION("""COMPUTED_VALUE"""),3)</f>
        <v>3</v>
      </c>
      <c r="G684" s="6" t="str">
        <f ca="1">IFERROR(__xludf.DUMMYFUNCTION("""COMPUTED_VALUE"""),"Madrid- La Oca")</f>
        <v>Madrid- La Oca</v>
      </c>
      <c r="H684" s="6" t="str">
        <f ca="1">IFERROR(__xludf.DUMMYFUNCTION("""COMPUTED_VALUE"""),"C202631210111579218")</f>
        <v>C202631210111579218</v>
      </c>
      <c r="I684" s="6" t="str">
        <f ca="1">IFERROR(__xludf.DUMMYFUNCTION("""COMPUTED_VALUE"""),"FELIPE FAGUNDES CALVO")</f>
        <v>FELIPE FAGUNDES CALVO</v>
      </c>
      <c r="J684" s="16">
        <f ca="1">IFERROR(__xludf.DUMMYFUNCTION("""COMPUTED_VALUE"""),46093)</f>
        <v>46093</v>
      </c>
      <c r="K684" s="6" t="str">
        <f ca="1">IFERROR(__xludf.DUMMYFUNCTION("""COMPUTED_VALUE"""),"Prueba")</f>
        <v>Prueba</v>
      </c>
      <c r="L684" s="16">
        <f ca="1">IFERROR(__xludf.DUMMYFUNCTION("""COMPUTED_VALUE"""),46105)</f>
        <v>46105</v>
      </c>
      <c r="M684" s="23" t="str">
        <f ca="1">IFERROR(__xludf.DUMMYFUNCTION("""COMPUTED_VALUE"""),"NO")</f>
        <v>NO</v>
      </c>
      <c r="N684" s="15">
        <f ca="1">IFERROR(__xludf.DUMMYFUNCTION("""COMPUTED_VALUE"""),2)</f>
        <v>2</v>
      </c>
      <c r="O684" s="23" t="str">
        <f ca="1">IFERROR(__xludf.DUMMYFUNCTION("""COMPUTED_VALUE"""),"QUIET")</f>
        <v>QUIET</v>
      </c>
      <c r="P684" s="21">
        <f ca="1">IFERROR(__xludf.DUMMYFUNCTION("""COMPUTED_VALUE"""),2718.18)</f>
        <v>2718.18</v>
      </c>
      <c r="Q684" s="6" t="str">
        <f ca="1">IFERROR(__xludf.DUMMYFUNCTION("""COMPUTED_VALUE"""),"Maika Blázquez")</f>
        <v>Maika Blázquez</v>
      </c>
      <c r="R684" s="6" t="str">
        <f ca="1">IFERROR(__xludf.DUMMYFUNCTION("""COMPUTED_VALUE"""),"No recuerda ORL")</f>
        <v>No recuerda ORL</v>
      </c>
      <c r="S684" s="20" t="str">
        <f ca="1">IFERROR(__xludf.DUMMYFUNCTION("""COMPUTED_VALUE"""),"03 ORL")</f>
        <v>03 ORL</v>
      </c>
      <c r="T684" s="6" t="str">
        <f ca="1">IFERROR(__xludf.DUMMYFUNCTION("""COMPUTED_VALUE"""),"06 ORL")</f>
        <v>06 ORL</v>
      </c>
      <c r="U684" s="21"/>
      <c r="W684" s="20"/>
      <c r="X684" s="21"/>
    </row>
    <row r="685" spans="2:24" ht="16">
      <c r="B685" s="26" t="str">
        <f t="shared" ca="1" si="3"/>
        <v>MBM</v>
      </c>
      <c r="C685" s="23" t="str">
        <f ca="1">IFERROR(__xludf.DUMMYFUNCTION("""COMPUTED_VALUE"""),"MBM07")</f>
        <v>MBM07</v>
      </c>
      <c r="D685" s="6" t="str">
        <f ca="1">IFERROR(__xludf.DUMMYFUNCTION("""COMPUTED_VALUE"""),"PARTICIPADOS")</f>
        <v>PARTICIPADOS</v>
      </c>
      <c r="E685" s="6">
        <f ca="1">IFERROR(__xludf.DUMMYFUNCTION("""COMPUTED_VALUE"""),2026)</f>
        <v>2026</v>
      </c>
      <c r="F685" s="15">
        <f ca="1">IFERROR(__xludf.DUMMYFUNCTION("""COMPUTED_VALUE"""),3)</f>
        <v>3</v>
      </c>
      <c r="G685" s="6" t="str">
        <f ca="1">IFERROR(__xludf.DUMMYFUNCTION("""COMPUTED_VALUE"""),"Madrid- La Oca")</f>
        <v>Madrid- La Oca</v>
      </c>
      <c r="H685" s="6" t="str">
        <f ca="1">IFERROR(__xludf.DUMMYFUNCTION("""COMPUTED_VALUE"""),"C202631217123359439")</f>
        <v>C202631217123359439</v>
      </c>
      <c r="I685" s="6" t="str">
        <f ca="1">IFERROR(__xludf.DUMMYFUNCTION("""COMPUTED_VALUE"""),"FRANCISCO JAVIER GRANERO PRIETO")</f>
        <v>FRANCISCO JAVIER GRANERO PRIETO</v>
      </c>
      <c r="J685" s="16">
        <f ca="1">IFERROR(__xludf.DUMMYFUNCTION("""COMPUTED_VALUE"""),46093)</f>
        <v>46093</v>
      </c>
      <c r="K685" s="6" t="str">
        <f ca="1">IFERROR(__xludf.DUMMYFUNCTION("""COMPUTED_VALUE"""),"Prueba")</f>
        <v>Prueba</v>
      </c>
      <c r="L685" s="16">
        <f ca="1">IFERROR(__xludf.DUMMYFUNCTION("""COMPUTED_VALUE"""),46106)</f>
        <v>46106</v>
      </c>
      <c r="M685" s="23" t="str">
        <f ca="1">IFERROR(__xludf.DUMMYFUNCTION("""COMPUTED_VALUE"""),"NO")</f>
        <v>NO</v>
      </c>
      <c r="N685" s="15">
        <f ca="1">IFERROR(__xludf.DUMMYFUNCTION("""COMPUTED_VALUE"""),1)</f>
        <v>1</v>
      </c>
      <c r="O685" s="23" t="str">
        <f ca="1">IFERROR(__xludf.DUMMYFUNCTION("""COMPUTED_VALUE"""),"QUIET")</f>
        <v>QUIET</v>
      </c>
      <c r="P685" s="21">
        <f ca="1">IFERROR(__xludf.DUMMYFUNCTION("""COMPUTED_VALUE"""),1631.82)</f>
        <v>1631.82</v>
      </c>
      <c r="Q685" s="6" t="str">
        <f ca="1">IFERROR(__xludf.DUMMYFUNCTION("""COMPUTED_VALUE"""),"Maika Blázquez")</f>
        <v>Maika Blázquez</v>
      </c>
      <c r="R685" s="6" t="str">
        <f ca="1">IFERROR(__xludf.DUMMYFUNCTION("""COMPUTED_VALUE"""),"Andreas Schilling Borghesi")</f>
        <v>Andreas Schilling Borghesi</v>
      </c>
      <c r="S685" s="20" t="str">
        <f ca="1">IFERROR(__xludf.DUMMYFUNCTION("""COMPUTED_VALUE"""),"03 ORL")</f>
        <v>03 ORL</v>
      </c>
      <c r="T685" s="6" t="str">
        <f ca="1">IFERROR(__xludf.DUMMYFUNCTION("""COMPUTED_VALUE"""),"06 ORL")</f>
        <v>06 ORL</v>
      </c>
      <c r="U685" s="21"/>
      <c r="W685" s="20"/>
      <c r="X685" s="21"/>
    </row>
    <row r="686" spans="2:24" ht="16">
      <c r="B686" s="26" t="str">
        <f t="shared" ca="1" si="3"/>
        <v>MBM</v>
      </c>
      <c r="C686" s="23" t="str">
        <f ca="1">IFERROR(__xludf.DUMMYFUNCTION("""COMPUTED_VALUE"""),"MBM21")</f>
        <v>MBM21</v>
      </c>
      <c r="D686" s="6" t="str">
        <f ca="1">IFERROR(__xludf.DUMMYFUNCTION("""COMPUTED_VALUE"""),"PARTICIPADOS")</f>
        <v>PARTICIPADOS</v>
      </c>
      <c r="E686" s="6">
        <f ca="1">IFERROR(__xludf.DUMMYFUNCTION("""COMPUTED_VALUE"""),2026)</f>
        <v>2026</v>
      </c>
      <c r="F686" s="15">
        <f ca="1">IFERROR(__xludf.DUMMYFUNCTION("""COMPUTED_VALUE"""),3)</f>
        <v>3</v>
      </c>
      <c r="G686" s="6" t="str">
        <f ca="1">IFERROR(__xludf.DUMMYFUNCTION("""COMPUTED_VALUE"""),"Madrid- La Oca")</f>
        <v>Madrid- La Oca</v>
      </c>
      <c r="H686" s="6" t="str">
        <f ca="1">IFERROR(__xludf.DUMMYFUNCTION("""COMPUTED_VALUE"""),"C202631616393157766")</f>
        <v>C202631616393157766</v>
      </c>
      <c r="I686" s="6" t="str">
        <f ca="1">IFERROR(__xludf.DUMMYFUNCTION("""COMPUTED_VALUE"""),"ISOLINA GOMEZ GIL")</f>
        <v>ISOLINA GOMEZ GIL</v>
      </c>
      <c r="J686" s="16">
        <f ca="1">IFERROR(__xludf.DUMMYFUNCTION("""COMPUTED_VALUE"""),46097)</f>
        <v>46097</v>
      </c>
      <c r="K686" s="6" t="str">
        <f ca="1">IFERROR(__xludf.DUMMYFUNCTION("""COMPUTED_VALUE"""),"Pedido")</f>
        <v>Pedido</v>
      </c>
      <c r="L686" s="16">
        <f ca="1">IFERROR(__xludf.DUMMYFUNCTION("""COMPUTED_VALUE"""),46105)</f>
        <v>46105</v>
      </c>
      <c r="M686" s="23" t="str">
        <f ca="1">IFERROR(__xludf.DUMMYFUNCTION("""COMPUTED_VALUE"""),"NO")</f>
        <v>NO</v>
      </c>
      <c r="N686" s="15">
        <f ca="1">IFERROR(__xludf.DUMMYFUNCTION("""COMPUTED_VALUE"""),2)</f>
        <v>2</v>
      </c>
      <c r="O686" s="23" t="str">
        <f ca="1">IFERROR(__xludf.DUMMYFUNCTION("""COMPUTED_VALUE"""),"CONFORT")</f>
        <v>CONFORT</v>
      </c>
      <c r="P686" s="21">
        <f ca="1">IFERROR(__xludf.DUMMYFUNCTION("""COMPUTED_VALUE"""),3658.2)</f>
        <v>3658.2</v>
      </c>
      <c r="Q686" s="6" t="str">
        <f ca="1">IFERROR(__xludf.DUMMYFUNCTION("""COMPUTED_VALUE"""),"Maika Blázquez")</f>
        <v>Maika Blázquez</v>
      </c>
      <c r="R686" s="6" t="str">
        <f ca="1">IFERROR(__xludf.DUMMYFUNCTION("""COMPUTED_VALUE"""),"Félix Rodríguez Paz")</f>
        <v>Félix Rodríguez Paz</v>
      </c>
      <c r="S686" s="20" t="str">
        <f ca="1">IFERROR(__xludf.DUMMYFUNCTION("""COMPUTED_VALUE"""),"03 ORL")</f>
        <v>03 ORL</v>
      </c>
      <c r="T686" s="6" t="str">
        <f ca="1">IFERROR(__xludf.DUMMYFUNCTION("""COMPUTED_VALUE"""),"06 ORL")</f>
        <v>06 ORL</v>
      </c>
      <c r="U686" s="21"/>
      <c r="W686" s="20"/>
      <c r="X686" s="21"/>
    </row>
    <row r="687" spans="2:24" ht="16">
      <c r="B687" s="26" t="str">
        <f t="shared" ca="1" si="3"/>
        <v>MBM</v>
      </c>
      <c r="C687" s="23" t="str">
        <f ca="1">IFERROR(__xludf.DUMMYFUNCTION("""COMPUTED_VALUE"""),"MBM52")</f>
        <v>MBM52</v>
      </c>
      <c r="D687" s="6" t="str">
        <f ca="1">IFERROR(__xludf.DUMMYFUNCTION("""COMPUTED_VALUE"""),"PARTICIPADOS")</f>
        <v>PARTICIPADOS</v>
      </c>
      <c r="E687" s="6">
        <f ca="1">IFERROR(__xludf.DUMMYFUNCTION("""COMPUTED_VALUE"""),2026)</f>
        <v>2026</v>
      </c>
      <c r="F687" s="15">
        <f ca="1">IFERROR(__xludf.DUMMYFUNCTION("""COMPUTED_VALUE"""),1)</f>
        <v>1</v>
      </c>
      <c r="G687" s="6" t="str">
        <f ca="1">IFERROR(__xludf.DUMMYFUNCTION("""COMPUTED_VALUE"""),"Madrid- La Oca")</f>
        <v>Madrid- La Oca</v>
      </c>
      <c r="H687" s="6" t="str">
        <f ca="1">IFERROR(__xludf.DUMMYFUNCTION("""COMPUTED_VALUE"""),"C202511251652173695")</f>
        <v>C202511251652173695</v>
      </c>
      <c r="I687" s="6" t="str">
        <f ca="1">IFERROR(__xludf.DUMMYFUNCTION("""COMPUTED_VALUE"""),"MARIA TERESA LOPEZ JIMENEZ")</f>
        <v>MARIA TERESA LOPEZ JIMENEZ</v>
      </c>
      <c r="J687" s="16">
        <f ca="1">IFERROR(__xludf.DUMMYFUNCTION("""COMPUTED_VALUE"""),45986)</f>
        <v>45986</v>
      </c>
      <c r="K687" s="6" t="str">
        <f ca="1">IFERROR(__xludf.DUMMYFUNCTION("""COMPUTED_VALUE"""),"Devuelve")</f>
        <v>Devuelve</v>
      </c>
      <c r="L687" s="16">
        <f ca="1">IFERROR(__xludf.DUMMYFUNCTION("""COMPUTED_VALUE"""),46027)</f>
        <v>46027</v>
      </c>
      <c r="M687" s="23" t="str">
        <f ca="1">IFERROR(__xludf.DUMMYFUNCTION("""COMPUTED_VALUE"""),"NO")</f>
        <v>NO</v>
      </c>
      <c r="N687" s="15">
        <f ca="1">IFERROR(__xludf.DUMMYFUNCTION("""COMPUTED_VALUE"""),-2)</f>
        <v>-2</v>
      </c>
      <c r="O687" s="23" t="str">
        <f ca="1">IFERROR(__xludf.DUMMYFUNCTION("""COMPUTED_VALUE"""),"CONFORT")</f>
        <v>CONFORT</v>
      </c>
      <c r="P687" s="21">
        <f ca="1">IFERROR(__xludf.DUMMYFUNCTION("""COMPUTED_VALUE"""),-3631.82)</f>
        <v>-3631.82</v>
      </c>
      <c r="Q687" s="6" t="str">
        <f ca="1">IFERROR(__xludf.DUMMYFUNCTION("""COMPUTED_VALUE"""),"Maika Blázquez")</f>
        <v>Maika Blázquez</v>
      </c>
      <c r="R687" s="6" t="str">
        <f ca="1">IFERROR(__xludf.DUMMYFUNCTION("""COMPUTED_VALUE"""),"José Joaquín Gutiérrez Barquín")</f>
        <v>José Joaquín Gutiérrez Barquín</v>
      </c>
      <c r="S687" s="20" t="str">
        <f ca="1">IFERROR(__xludf.DUMMYFUNCTION("""COMPUTED_VALUE"""),"03 ORL")</f>
        <v>03 ORL</v>
      </c>
      <c r="T687" s="6" t="str">
        <f ca="1">IFERROR(__xludf.DUMMYFUNCTION("""COMPUTED_VALUE"""),"22 AUDIOMETRIA CLINICA")</f>
        <v>22 AUDIOMETRIA CLINICA</v>
      </c>
      <c r="U687" s="21"/>
      <c r="W687" s="20"/>
      <c r="X687" s="21"/>
    </row>
    <row r="688" spans="2:24" ht="16">
      <c r="B688" s="26" t="str">
        <f t="shared" ca="1" si="3"/>
        <v>MBM</v>
      </c>
      <c r="C688" s="23" t="str">
        <f ca="1">IFERROR(__xludf.DUMMYFUNCTION("""COMPUTED_VALUE"""),"MBM119")</f>
        <v>MBM119</v>
      </c>
      <c r="D688" s="6" t="str">
        <f ca="1">IFERROR(__xludf.DUMMYFUNCTION("""COMPUTED_VALUE"""),"PARTICIPADOS")</f>
        <v>PARTICIPADOS</v>
      </c>
      <c r="E688" s="6">
        <f ca="1">IFERROR(__xludf.DUMMYFUNCTION("""COMPUTED_VALUE"""),2026)</f>
        <v>2026</v>
      </c>
      <c r="F688" s="15">
        <f ca="1">IFERROR(__xludf.DUMMYFUNCTION("""COMPUTED_VALUE"""),2)</f>
        <v>2</v>
      </c>
      <c r="G688" s="6" t="str">
        <f ca="1">IFERROR(__xludf.DUMMYFUNCTION("""COMPUTED_VALUE"""),"Madrid- La Oca")</f>
        <v>Madrid- La Oca</v>
      </c>
      <c r="H688" s="6" t="str">
        <f ca="1">IFERROR(__xludf.DUMMYFUNCTION("""COMPUTED_VALUE"""),"C20262412658724283")</f>
        <v>C20262412658724283</v>
      </c>
      <c r="I688" s="6" t="str">
        <f ca="1">IFERROR(__xludf.DUMMYFUNCTION("""COMPUTED_VALUE"""),"VIRGINIA OLAYA URIAS")</f>
        <v>VIRGINIA OLAYA URIAS</v>
      </c>
      <c r="J688" s="16">
        <f ca="1">IFERROR(__xludf.DUMMYFUNCTION("""COMPUTED_VALUE"""),46057)</f>
        <v>46057</v>
      </c>
      <c r="K688" s="6" t="str">
        <f ca="1">IFERROR(__xludf.DUMMYFUNCTION("""COMPUTED_VALUE"""),"Presupuesto")</f>
        <v>Presupuesto</v>
      </c>
      <c r="L688" s="16">
        <f ca="1">IFERROR(__xludf.DUMMYFUNCTION("""COMPUTED_VALUE"""),46064)</f>
        <v>46064</v>
      </c>
      <c r="M688" s="23" t="str">
        <f ca="1">IFERROR(__xludf.DUMMYFUNCTION("""COMPUTED_VALUE"""),"NO")</f>
        <v>NO</v>
      </c>
      <c r="N688" s="15">
        <f ca="1">IFERROR(__xludf.DUMMYFUNCTION("""COMPUTED_VALUE"""),1)</f>
        <v>1</v>
      </c>
      <c r="O688" s="23" t="str">
        <f ca="1">IFERROR(__xludf.DUMMYFUNCTION("""COMPUTED_VALUE"""),"CONFORT")</f>
        <v>CONFORT</v>
      </c>
      <c r="P688" s="21">
        <f ca="1">IFERROR(__xludf.DUMMYFUNCTION("""COMPUTED_VALUE"""),2180.91)</f>
        <v>2180.91</v>
      </c>
      <c r="Q688" s="6" t="str">
        <f ca="1">IFERROR(__xludf.DUMMYFUNCTION("""COMPUTED_VALUE"""),"Maika Blázquez")</f>
        <v>Maika Blázquez</v>
      </c>
      <c r="R688" s="6" t="str">
        <f ca="1">IFERROR(__xludf.DUMMYFUNCTION("""COMPUTED_VALUE"""),"Inmaculada Sancho Martín")</f>
        <v>Inmaculada Sancho Martín</v>
      </c>
      <c r="S688" s="20" t="str">
        <f ca="1">IFERROR(__xludf.DUMMYFUNCTION("""COMPUTED_VALUE"""),"03 ORL")</f>
        <v>03 ORL</v>
      </c>
      <c r="T688" s="6" t="str">
        <f ca="1">IFERROR(__xludf.DUMMYFUNCTION("""COMPUTED_VALUE"""),"06 ORL")</f>
        <v>06 ORL</v>
      </c>
      <c r="U688" s="21"/>
      <c r="W688" s="20"/>
      <c r="X688" s="21"/>
    </row>
    <row r="689" spans="2:24" ht="16">
      <c r="B689" s="26" t="str">
        <f t="shared" ca="1" si="3"/>
        <v>MBM</v>
      </c>
      <c r="C689" s="23" t="str">
        <f ca="1">IFERROR(__xludf.DUMMYFUNCTION("""COMPUTED_VALUE"""),"MBM31")</f>
        <v>MBM31</v>
      </c>
      <c r="D689" s="6" t="str">
        <f ca="1">IFERROR(__xludf.DUMMYFUNCTION("""COMPUTED_VALUE"""),"PROPIOS")</f>
        <v>PROPIOS</v>
      </c>
      <c r="E689" s="6">
        <f ca="1">IFERROR(__xludf.DUMMYFUNCTION("""COMPUTED_VALUE"""),2026)</f>
        <v>2026</v>
      </c>
      <c r="F689" s="15">
        <f ca="1">IFERROR(__xludf.DUMMYFUNCTION("""COMPUTED_VALUE"""),2)</f>
        <v>2</v>
      </c>
      <c r="G689" s="6" t="str">
        <f ca="1">IFERROR(__xludf.DUMMYFUNCTION("""COMPUTED_VALUE"""),"Madrid- Monforte de Lemos")</f>
        <v>Madrid- Monforte de Lemos</v>
      </c>
      <c r="H689" s="6" t="str">
        <f ca="1">IFERROR(__xludf.DUMMYFUNCTION("""COMPUTED_VALUE"""),"VAG-4844")</f>
        <v>VAG-4844</v>
      </c>
      <c r="I689" s="6" t="str">
        <f ca="1">IFERROR(__xludf.DUMMYFUNCTION("""COMPUTED_VALUE"""),"ACISCLO MARTINEZ AGUEDA")</f>
        <v>ACISCLO MARTINEZ AGUEDA</v>
      </c>
      <c r="J689" s="16">
        <f ca="1">IFERROR(__xludf.DUMMYFUNCTION("""COMPUTED_VALUE"""),44973)</f>
        <v>44973</v>
      </c>
      <c r="K689" s="6" t="str">
        <f ca="1">IFERROR(__xludf.DUMMYFUNCTION("""COMPUTED_VALUE"""),"Devuelve")</f>
        <v>Devuelve</v>
      </c>
      <c r="L689" s="16">
        <f ca="1">IFERROR(__xludf.DUMMYFUNCTION("""COMPUTED_VALUE"""),46057)</f>
        <v>46057</v>
      </c>
      <c r="M689" s="23" t="str">
        <f ca="1">IFERROR(__xludf.DUMMYFUNCTION("""COMPUTED_VALUE"""),"NO")</f>
        <v>NO</v>
      </c>
      <c r="N689" s="15">
        <f ca="1">IFERROR(__xludf.DUMMYFUNCTION("""COMPUTED_VALUE"""),2)</f>
        <v>2</v>
      </c>
      <c r="O689" s="23" t="str">
        <f ca="1">IFERROR(__xludf.DUMMYFUNCTION("""COMPUTED_VALUE"""),"ADVANCED")</f>
        <v>ADVANCED</v>
      </c>
      <c r="P689" s="21">
        <f ca="1">IFERROR(__xludf.DUMMYFUNCTION("""COMPUTED_VALUE"""),4000)</f>
        <v>4000</v>
      </c>
      <c r="Q689" s="6" t="str">
        <f ca="1">IFERROR(__xludf.DUMMYFUNCTION("""COMPUTED_VALUE"""),"Maika Blázquez")</f>
        <v>Maika Blázquez</v>
      </c>
      <c r="R689" s="6" t="str">
        <f ca="1">IFERROR(__xludf.DUMMYFUNCTION("""COMPUTED_VALUE"""),"Gustavo Córdova Ramos")</f>
        <v>Gustavo Córdova Ramos</v>
      </c>
      <c r="S689" s="20" t="str">
        <f ca="1">IFERROR(__xludf.DUMMYFUNCTION("""COMPUTED_VALUE"""),"03 ORL")</f>
        <v>03 ORL</v>
      </c>
      <c r="T689" s="6" t="str">
        <f ca="1">IFERROR(__xludf.DUMMYFUNCTION("""COMPUTED_VALUE"""),"06 ORL")</f>
        <v>06 ORL</v>
      </c>
      <c r="U689" s="21"/>
      <c r="W689" s="20"/>
      <c r="X689" s="21"/>
    </row>
    <row r="690" spans="2:24" ht="16">
      <c r="B690" s="26" t="str">
        <f t="shared" ca="1" si="3"/>
        <v>#N/</v>
      </c>
      <c r="C690" s="23" t="str">
        <f ca="1">IFERROR(__xludf.DUMMYFUNCTION("""COMPUTED_VALUE"""),"#N/A")</f>
        <v>#N/A</v>
      </c>
      <c r="D690" s="6" t="str">
        <f ca="1">IFERROR(__xludf.DUMMYFUNCTION("""COMPUTED_VALUE"""),"PROPIOS")</f>
        <v>PROPIOS</v>
      </c>
      <c r="E690" s="6">
        <f ca="1">IFERROR(__xludf.DUMMYFUNCTION("""COMPUTED_VALUE"""),2026)</f>
        <v>2026</v>
      </c>
      <c r="F690" s="15">
        <f ca="1">IFERROR(__xludf.DUMMYFUNCTION("""COMPUTED_VALUE"""),2)</f>
        <v>2</v>
      </c>
      <c r="G690" s="6" t="str">
        <f ca="1">IFERROR(__xludf.DUMMYFUNCTION("""COMPUTED_VALUE"""),"Madrid- Monforte de Lemos")</f>
        <v>Madrid- Monforte de Lemos</v>
      </c>
      <c r="H690" s="6" t="str">
        <f ca="1">IFERROR(__xludf.DUMMYFUNCTION("""COMPUTED_VALUE"""),"VAG-2821")</f>
        <v>VAG-2821</v>
      </c>
      <c r="I690" s="6" t="str">
        <f ca="1">IFERROR(__xludf.DUMMYFUNCTION("""COMPUTED_VALUE"""),"ADORACION LOZANO MOLINA")</f>
        <v>ADORACION LOZANO MOLINA</v>
      </c>
      <c r="J690" s="16">
        <f ca="1">IFERROR(__xludf.DUMMYFUNCTION("""COMPUTED_VALUE"""),43497)</f>
        <v>43497</v>
      </c>
      <c r="K690" s="6" t="str">
        <f ca="1">IFERROR(__xludf.DUMMYFUNCTION("""COMPUTED_VALUE"""),"Devuelve")</f>
        <v>Devuelve</v>
      </c>
      <c r="L690" s="16">
        <f ca="1">IFERROR(__xludf.DUMMYFUNCTION("""COMPUTED_VALUE"""),46073)</f>
        <v>46073</v>
      </c>
      <c r="M690" s="23" t="str">
        <f ca="1">IFERROR(__xludf.DUMMYFUNCTION("""COMPUTED_VALUE"""),"NO")</f>
        <v>NO</v>
      </c>
      <c r="N690" s="15">
        <f ca="1">IFERROR(__xludf.DUMMYFUNCTION("""COMPUTED_VALUE"""),1)</f>
        <v>1</v>
      </c>
      <c r="O690" s="23" t="str">
        <f ca="1">IFERROR(__xludf.DUMMYFUNCTION("""COMPUTED_VALUE"""),"CONFORT")</f>
        <v>CONFORT</v>
      </c>
      <c r="P690" s="21">
        <f ca="1">IFERROR(__xludf.DUMMYFUNCTION("""COMPUTED_VALUE"""),2180.91)</f>
        <v>2180.91</v>
      </c>
      <c r="Q690" s="6" t="str">
        <f ca="1">IFERROR(__xludf.DUMMYFUNCTION("""COMPUTED_VALUE"""),"Maika Blázquez")</f>
        <v>Maika Blázquez</v>
      </c>
      <c r="R690" s="6" t="str">
        <f ca="1">IFERROR(__xludf.DUMMYFUNCTION("""COMPUTED_VALUE"""),"Enrique Melcom Diez")</f>
        <v>Enrique Melcom Diez</v>
      </c>
      <c r="S690" s="20" t="str">
        <f ca="1">IFERROR(__xludf.DUMMYFUNCTION("""COMPUTED_VALUE"""),"03 ORL")</f>
        <v>03 ORL</v>
      </c>
      <c r="T690" s="6" t="str">
        <f ca="1">IFERROR(__xludf.DUMMYFUNCTION("""COMPUTED_VALUE"""),"06 ORL")</f>
        <v>06 ORL</v>
      </c>
      <c r="U690" s="21"/>
      <c r="W690" s="20"/>
      <c r="X690" s="21"/>
    </row>
    <row r="691" spans="2:24" ht="16">
      <c r="B691" s="26" t="str">
        <f t="shared" ca="1" si="3"/>
        <v>MBM</v>
      </c>
      <c r="C691" s="23" t="str">
        <f ca="1">IFERROR(__xludf.DUMMYFUNCTION("""COMPUTED_VALUE"""),"MBM30")</f>
        <v>MBM30</v>
      </c>
      <c r="D691" s="6" t="str">
        <f ca="1">IFERROR(__xludf.DUMMYFUNCTION("""COMPUTED_VALUE"""),"PROPIOS")</f>
        <v>PROPIOS</v>
      </c>
      <c r="E691" s="6">
        <f ca="1">IFERROR(__xludf.DUMMYFUNCTION("""COMPUTED_VALUE"""),2026)</f>
        <v>2026</v>
      </c>
      <c r="F691" s="15">
        <f ca="1">IFERROR(__xludf.DUMMYFUNCTION("""COMPUTED_VALUE"""),2)</f>
        <v>2</v>
      </c>
      <c r="G691" s="6" t="str">
        <f ca="1">IFERROR(__xludf.DUMMYFUNCTION("""COMPUTED_VALUE"""),"Madrid- Monforte de Lemos")</f>
        <v>Madrid- Monforte de Lemos</v>
      </c>
      <c r="H691" s="6" t="str">
        <f ca="1">IFERROR(__xludf.DUMMYFUNCTION("""COMPUTED_VALUE"""),"C202621615501661659")</f>
        <v>C202621615501661659</v>
      </c>
      <c r="I691" s="6" t="str">
        <f ca="1">IFERROR(__xludf.DUMMYFUNCTION("""COMPUTED_VALUE"""),"AMELIA MANSILLA PRIETO")</f>
        <v>AMELIA MANSILLA PRIETO</v>
      </c>
      <c r="J691" s="16">
        <f ca="1">IFERROR(__xludf.DUMMYFUNCTION("""COMPUTED_VALUE"""),46069)</f>
        <v>46069</v>
      </c>
      <c r="K691" s="6" t="str">
        <f ca="1">IFERROR(__xludf.DUMMYFUNCTION("""COMPUTED_VALUE"""),"Presupuesto")</f>
        <v>Presupuesto</v>
      </c>
      <c r="L691" s="16">
        <f ca="1">IFERROR(__xludf.DUMMYFUNCTION("""COMPUTED_VALUE"""),46078)</f>
        <v>46078</v>
      </c>
      <c r="M691" s="23" t="str">
        <f ca="1">IFERROR(__xludf.DUMMYFUNCTION("""COMPUTED_VALUE"""),"NO")</f>
        <v>NO</v>
      </c>
      <c r="N691" s="15">
        <f ca="1">IFERROR(__xludf.DUMMYFUNCTION("""COMPUTED_VALUE"""),2)</f>
        <v>2</v>
      </c>
      <c r="O691" s="23" t="str">
        <f ca="1">IFERROR(__xludf.DUMMYFUNCTION("""COMPUTED_VALUE"""),"CONFORT")</f>
        <v>CONFORT</v>
      </c>
      <c r="P691" s="21">
        <f ca="1">IFERROR(__xludf.DUMMYFUNCTION("""COMPUTED_VALUE"""),3631.82)</f>
        <v>3631.82</v>
      </c>
      <c r="Q691" s="6" t="str">
        <f ca="1">IFERROR(__xludf.DUMMYFUNCTION("""COMPUTED_VALUE"""),"Maika Blázquez")</f>
        <v>Maika Blázquez</v>
      </c>
      <c r="R691" s="6" t="str">
        <f ca="1">IFERROR(__xludf.DUMMYFUNCTION("""COMPUTED_VALUE"""),"Guillermo San Juan de la Moreta")</f>
        <v>Guillermo San Juan de la Moreta</v>
      </c>
      <c r="S691" s="20" t="str">
        <f ca="1">IFERROR(__xludf.DUMMYFUNCTION("""COMPUTED_VALUE"""),"03 ORL")</f>
        <v>03 ORL</v>
      </c>
      <c r="T691" s="6" t="str">
        <f ca="1">IFERROR(__xludf.DUMMYFUNCTION("""COMPUTED_VALUE"""),"06 ORL")</f>
        <v>06 ORL</v>
      </c>
      <c r="U691" s="21"/>
      <c r="W691" s="20"/>
      <c r="X691" s="21"/>
    </row>
    <row r="692" spans="2:24" ht="16">
      <c r="B692" s="26" t="str">
        <f t="shared" ca="1" si="3"/>
        <v>MBM</v>
      </c>
      <c r="C692" s="23" t="str">
        <f ca="1">IFERROR(__xludf.DUMMYFUNCTION("""COMPUTED_VALUE"""),"MBM95")</f>
        <v>MBM95</v>
      </c>
      <c r="D692" s="6" t="str">
        <f ca="1">IFERROR(__xludf.DUMMYFUNCTION("""COMPUTED_VALUE"""),"PROPIOS")</f>
        <v>PROPIOS</v>
      </c>
      <c r="E692" s="6">
        <f ca="1">IFERROR(__xludf.DUMMYFUNCTION("""COMPUTED_VALUE"""),2026)</f>
        <v>2026</v>
      </c>
      <c r="F692" s="15">
        <f ca="1">IFERROR(__xludf.DUMMYFUNCTION("""COMPUTED_VALUE"""),1)</f>
        <v>1</v>
      </c>
      <c r="G692" s="6" t="str">
        <f ca="1">IFERROR(__xludf.DUMMYFUNCTION("""COMPUTED_VALUE"""),"Madrid- Monforte de Lemos")</f>
        <v>Madrid- Monforte de Lemos</v>
      </c>
      <c r="H692" s="6" t="str">
        <f ca="1">IFERROR(__xludf.DUMMYFUNCTION("""COMPUTED_VALUE"""),"C202617151148483786")</f>
        <v>C202617151148483786</v>
      </c>
      <c r="I692" s="6" t="str">
        <f ca="1">IFERROR(__xludf.DUMMYFUNCTION("""COMPUTED_VALUE"""),"ARACELI CASARRUBIOS MARTINEZ-CAVA")</f>
        <v>ARACELI CASARRUBIOS MARTINEZ-CAVA</v>
      </c>
      <c r="J692" s="16">
        <f ca="1">IFERROR(__xludf.DUMMYFUNCTION("""COMPUTED_VALUE"""),46029)</f>
        <v>46029</v>
      </c>
      <c r="K692" s="6" t="str">
        <f ca="1">IFERROR(__xludf.DUMMYFUNCTION("""COMPUTED_VALUE"""),"Devuelve")</f>
        <v>Devuelve</v>
      </c>
      <c r="L692" s="16">
        <f ca="1">IFERROR(__xludf.DUMMYFUNCTION("""COMPUTED_VALUE"""),46042)</f>
        <v>46042</v>
      </c>
      <c r="M692" s="23" t="str">
        <f ca="1">IFERROR(__xludf.DUMMYFUNCTION("""COMPUTED_VALUE"""),"NO")</f>
        <v>NO</v>
      </c>
      <c r="N692" s="15">
        <f ca="1">IFERROR(__xludf.DUMMYFUNCTION("""COMPUTED_VALUE"""),2)</f>
        <v>2</v>
      </c>
      <c r="O692" s="23" t="str">
        <f ca="1">IFERROR(__xludf.DUMMYFUNCTION("""COMPUTED_VALUE"""),"ADVANCED")</f>
        <v>ADVANCED</v>
      </c>
      <c r="P692" s="21">
        <f ca="1">IFERROR(__xludf.DUMMYFUNCTION("""COMPUTED_VALUE"""),4136.36)</f>
        <v>4136.3599999999997</v>
      </c>
      <c r="Q692" s="6" t="str">
        <f ca="1">IFERROR(__xludf.DUMMYFUNCTION("""COMPUTED_VALUE"""),"Maika Blázquez")</f>
        <v>Maika Blázquez</v>
      </c>
      <c r="R692" s="6" t="str">
        <f ca="1">IFERROR(__xludf.DUMMYFUNCTION("""COMPUTED_VALUE"""),"Beatriz Arana Fernández")</f>
        <v>Beatriz Arana Fernández</v>
      </c>
      <c r="S692" s="20" t="str">
        <f ca="1">IFERROR(__xludf.DUMMYFUNCTION("""COMPUTED_VALUE"""),"04 TIENDA")</f>
        <v>04 TIENDA</v>
      </c>
      <c r="T692" s="6" t="str">
        <f ca="1">IFERROR(__xludf.DUMMYFUNCTION("""COMPUTED_VALUE"""),"07 BOCA/BOCA")</f>
        <v>07 BOCA/BOCA</v>
      </c>
      <c r="U692" s="21"/>
      <c r="W692" s="20"/>
      <c r="X692" s="21"/>
    </row>
    <row r="693" spans="2:24" ht="16">
      <c r="B693" s="26" t="str">
        <f t="shared" ca="1" si="3"/>
        <v>#N/</v>
      </c>
      <c r="C693" s="23" t="str">
        <f ca="1">IFERROR(__xludf.DUMMYFUNCTION("""COMPUTED_VALUE"""),"#N/A")</f>
        <v>#N/A</v>
      </c>
      <c r="D693" s="6" t="str">
        <f ca="1">IFERROR(__xludf.DUMMYFUNCTION("""COMPUTED_VALUE"""),"PROPIOS")</f>
        <v>PROPIOS</v>
      </c>
      <c r="E693" s="6">
        <f ca="1">IFERROR(__xludf.DUMMYFUNCTION("""COMPUTED_VALUE"""),2026)</f>
        <v>2026</v>
      </c>
      <c r="F693" s="15">
        <f ca="1">IFERROR(__xludf.DUMMYFUNCTION("""COMPUTED_VALUE"""),3)</f>
        <v>3</v>
      </c>
      <c r="G693" s="6" t="str">
        <f ca="1">IFERROR(__xludf.DUMMYFUNCTION("""COMPUTED_VALUE"""),"Madrid- Monforte de Lemos")</f>
        <v>Madrid- Monforte de Lemos</v>
      </c>
      <c r="H693" s="6" t="str">
        <f ca="1">IFERROR(__xludf.DUMMYFUNCTION("""COMPUTED_VALUE"""),"C202622618385874585")</f>
        <v>C202622618385874585</v>
      </c>
      <c r="I693" s="6" t="str">
        <f ca="1">IFERROR(__xludf.DUMMYFUNCTION("""COMPUTED_VALUE"""),"AVELINO FRUTOS GONZÁLEZ")</f>
        <v>AVELINO FRUTOS GONZÁLEZ</v>
      </c>
      <c r="J693" s="16">
        <f ca="1">IFERROR(__xludf.DUMMYFUNCTION("""COMPUTED_VALUE"""),46079)</f>
        <v>46079</v>
      </c>
      <c r="K693" s="6" t="str">
        <f ca="1">IFERROR(__xludf.DUMMYFUNCTION("""COMPUTED_VALUE"""),"Presupuesto")</f>
        <v>Presupuesto</v>
      </c>
      <c r="L693" s="16">
        <f ca="1">IFERROR(__xludf.DUMMYFUNCTION("""COMPUTED_VALUE"""),46084)</f>
        <v>46084</v>
      </c>
      <c r="M693" s="23" t="str">
        <f ca="1">IFERROR(__xludf.DUMMYFUNCTION("""COMPUTED_VALUE"""),"NO")</f>
        <v>NO</v>
      </c>
      <c r="N693" s="15">
        <f ca="1">IFERROR(__xludf.DUMMYFUNCTION("""COMPUTED_VALUE"""),2)</f>
        <v>2</v>
      </c>
      <c r="O693" s="23" t="str">
        <f ca="1">IFERROR(__xludf.DUMMYFUNCTION("""COMPUTED_VALUE"""),"CONFORT")</f>
        <v>CONFORT</v>
      </c>
      <c r="P693" s="21">
        <f ca="1">IFERROR(__xludf.DUMMYFUNCTION("""COMPUTED_VALUE"""),3631.82)</f>
        <v>3631.82</v>
      </c>
      <c r="Q693" s="6" t="str">
        <f ca="1">IFERROR(__xludf.DUMMYFUNCTION("""COMPUTED_VALUE"""),"Maika Blázquez")</f>
        <v>Maika Blázquez</v>
      </c>
      <c r="R693" s="6" t="str">
        <f ca="1">IFERROR(__xludf.DUMMYFUNCTION("""COMPUTED_VALUE"""),"Francisco Javier Guerra")</f>
        <v>Francisco Javier Guerra</v>
      </c>
      <c r="S693" s="20" t="str">
        <f ca="1">IFERROR(__xludf.DUMMYFUNCTION("""COMPUTED_VALUE"""),"03 ORL")</f>
        <v>03 ORL</v>
      </c>
      <c r="T693" s="6" t="str">
        <f ca="1">IFERROR(__xludf.DUMMYFUNCTION("""COMPUTED_VALUE"""),"06 ORL")</f>
        <v>06 ORL</v>
      </c>
      <c r="U693" s="21"/>
      <c r="W693" s="20"/>
      <c r="X693" s="21"/>
    </row>
    <row r="694" spans="2:24" ht="16">
      <c r="B694" s="26" t="str">
        <f t="shared" ca="1" si="3"/>
        <v>MBM</v>
      </c>
      <c r="C694" s="23" t="str">
        <f ca="1">IFERROR(__xludf.DUMMYFUNCTION("""COMPUTED_VALUE"""),"MBM184")</f>
        <v>MBM184</v>
      </c>
      <c r="D694" s="6" t="str">
        <f ca="1">IFERROR(__xludf.DUMMYFUNCTION("""COMPUTED_VALUE"""),"PROPIOS")</f>
        <v>PROPIOS</v>
      </c>
      <c r="E694" s="6">
        <f ca="1">IFERROR(__xludf.DUMMYFUNCTION("""COMPUTED_VALUE"""),2026)</f>
        <v>2026</v>
      </c>
      <c r="F694" s="15">
        <f ca="1">IFERROR(__xludf.DUMMYFUNCTION("""COMPUTED_VALUE"""),2)</f>
        <v>2</v>
      </c>
      <c r="G694" s="6" t="str">
        <f ca="1">IFERROR(__xludf.DUMMYFUNCTION("""COMPUTED_VALUE"""),"Madrid- Monforte de Lemos")</f>
        <v>Madrid- Monforte de Lemos</v>
      </c>
      <c r="H694" s="6" t="str">
        <f ca="1">IFERROR(__xludf.DUMMYFUNCTION("""COMPUTED_VALUE"""),"C20262410538208639")</f>
        <v>C20262410538208639</v>
      </c>
      <c r="I694" s="6" t="str">
        <f ca="1">IFERROR(__xludf.DUMMYFUNCTION("""COMPUTED_VALUE"""),"BEATRIZ GONZALO ALCONADA")</f>
        <v>BEATRIZ GONZALO ALCONADA</v>
      </c>
      <c r="J694" s="16">
        <f ca="1">IFERROR(__xludf.DUMMYFUNCTION("""COMPUTED_VALUE"""),46057)</f>
        <v>46057</v>
      </c>
      <c r="K694" s="6" t="str">
        <f ca="1">IFERROR(__xludf.DUMMYFUNCTION("""COMPUTED_VALUE"""),"Presupuesto")</f>
        <v>Presupuesto</v>
      </c>
      <c r="L694" s="16">
        <f ca="1">IFERROR(__xludf.DUMMYFUNCTION("""COMPUTED_VALUE"""),46059)</f>
        <v>46059</v>
      </c>
      <c r="M694" s="23" t="str">
        <f ca="1">IFERROR(__xludf.DUMMYFUNCTION("""COMPUTED_VALUE"""),"NO")</f>
        <v>NO</v>
      </c>
      <c r="N694" s="15">
        <f ca="1">IFERROR(__xludf.DUMMYFUNCTION("""COMPUTED_VALUE"""),2)</f>
        <v>2</v>
      </c>
      <c r="O694" s="23" t="str">
        <f ca="1">IFERROR(__xludf.DUMMYFUNCTION("""COMPUTED_VALUE"""),"CONFORT")</f>
        <v>CONFORT</v>
      </c>
      <c r="P694" s="21">
        <f ca="1">IFERROR(__xludf.DUMMYFUNCTION("""COMPUTED_VALUE"""),3631.82)</f>
        <v>3631.82</v>
      </c>
      <c r="Q694" s="6" t="str">
        <f ca="1">IFERROR(__xludf.DUMMYFUNCTION("""COMPUTED_VALUE"""),"Maika Blázquez")</f>
        <v>Maika Blázquez</v>
      </c>
      <c r="R694" s="6" t="str">
        <f ca="1">IFERROR(__xludf.DUMMYFUNCTION("""COMPUTED_VALUE"""),"Victoria García Peces")</f>
        <v>Victoria García Peces</v>
      </c>
      <c r="S694" s="20" t="str">
        <f ca="1">IFERROR(__xludf.DUMMYFUNCTION("""COMPUTED_VALUE"""),"03 ORL")</f>
        <v>03 ORL</v>
      </c>
      <c r="T694" s="6" t="str">
        <f ca="1">IFERROR(__xludf.DUMMYFUNCTION("""COMPUTED_VALUE"""),"06 ORL")</f>
        <v>06 ORL</v>
      </c>
      <c r="U694" s="21"/>
      <c r="W694" s="20"/>
      <c r="X694" s="21"/>
    </row>
    <row r="695" spans="2:24" ht="16">
      <c r="B695" s="26" t="str">
        <f t="shared" ca="1" si="3"/>
        <v>MBM</v>
      </c>
      <c r="C695" s="23" t="str">
        <f ca="1">IFERROR(__xludf.DUMMYFUNCTION("""COMPUTED_VALUE"""),"MBM95")</f>
        <v>MBM95</v>
      </c>
      <c r="D695" s="6" t="str">
        <f ca="1">IFERROR(__xludf.DUMMYFUNCTION("""COMPUTED_VALUE"""),"PROPIOS")</f>
        <v>PROPIOS</v>
      </c>
      <c r="E695" s="6">
        <f ca="1">IFERROR(__xludf.DUMMYFUNCTION("""COMPUTED_VALUE"""),2026)</f>
        <v>2026</v>
      </c>
      <c r="F695" s="15">
        <f ca="1">IFERROR(__xludf.DUMMYFUNCTION("""COMPUTED_VALUE"""),2)</f>
        <v>2</v>
      </c>
      <c r="G695" s="6" t="str">
        <f ca="1">IFERROR(__xludf.DUMMYFUNCTION("""COMPUTED_VALUE"""),"Madrid- Monforte de Lemos")</f>
        <v>Madrid- Monforte de Lemos</v>
      </c>
      <c r="H695" s="6" t="str">
        <f ca="1">IFERROR(__xludf.DUMMYFUNCTION("""COMPUTED_VALUE"""),"C202622612234598965")</f>
        <v>C202622612234598965</v>
      </c>
      <c r="I695" s="6" t="str">
        <f ca="1">IFERROR(__xludf.DUMMYFUNCTION("""COMPUTED_VALUE"""),"CARMEN RUIZ MARTÍNEZ")</f>
        <v>CARMEN RUIZ MARTÍNEZ</v>
      </c>
      <c r="J695" s="16">
        <f ca="1">IFERROR(__xludf.DUMMYFUNCTION("""COMPUTED_VALUE"""),46079)</f>
        <v>46079</v>
      </c>
      <c r="K695" s="6" t="str">
        <f ca="1">IFERROR(__xludf.DUMMYFUNCTION("""COMPUTED_VALUE"""),"Presupuesto")</f>
        <v>Presupuesto</v>
      </c>
      <c r="L695" s="16">
        <f ca="1">IFERROR(__xludf.DUMMYFUNCTION("""COMPUTED_VALUE"""),46079)</f>
        <v>46079</v>
      </c>
      <c r="M695" s="23" t="str">
        <f ca="1">IFERROR(__xludf.DUMMYFUNCTION("""COMPUTED_VALUE"""),"NO")</f>
        <v>NO</v>
      </c>
      <c r="N695" s="15">
        <f ca="1">IFERROR(__xludf.DUMMYFUNCTION("""COMPUTED_VALUE"""),2)</f>
        <v>2</v>
      </c>
      <c r="O695" s="23" t="str">
        <f ca="1">IFERROR(__xludf.DUMMYFUNCTION("""COMPUTED_VALUE"""),"QUIET")</f>
        <v>QUIET</v>
      </c>
      <c r="P695" s="21">
        <f ca="1">IFERROR(__xludf.DUMMYFUNCTION("""COMPUTED_VALUE"""),2718.18)</f>
        <v>2718.18</v>
      </c>
      <c r="Q695" s="6" t="str">
        <f ca="1">IFERROR(__xludf.DUMMYFUNCTION("""COMPUTED_VALUE"""),"Maika Blázquez")</f>
        <v>Maika Blázquez</v>
      </c>
      <c r="R695" s="6" t="str">
        <f ca="1">IFERROR(__xludf.DUMMYFUNCTION("""COMPUTED_VALUE"""),"Beatriz Arana Fernández")</f>
        <v>Beatriz Arana Fernández</v>
      </c>
      <c r="S695" s="20" t="str">
        <f ca="1">IFERROR(__xludf.DUMMYFUNCTION("""COMPUTED_VALUE"""),"03 ORL")</f>
        <v>03 ORL</v>
      </c>
      <c r="T695" s="6" t="str">
        <f ca="1">IFERROR(__xludf.DUMMYFUNCTION("""COMPUTED_VALUE"""),"06 ORL")</f>
        <v>06 ORL</v>
      </c>
      <c r="U695" s="21"/>
      <c r="W695" s="20"/>
      <c r="X695" s="21"/>
    </row>
    <row r="696" spans="2:24" ht="16">
      <c r="B696" s="26" t="str">
        <f t="shared" ca="1" si="3"/>
        <v/>
      </c>
      <c r="C696" s="23"/>
      <c r="D696" s="6" t="str">
        <f ca="1">IFERROR(__xludf.DUMMYFUNCTION("""COMPUTED_VALUE"""),"PROPIOS")</f>
        <v>PROPIOS</v>
      </c>
      <c r="E696" s="6">
        <f ca="1">IFERROR(__xludf.DUMMYFUNCTION("""COMPUTED_VALUE"""),2026)</f>
        <v>2026</v>
      </c>
      <c r="F696" s="15">
        <f ca="1">IFERROR(__xludf.DUMMYFUNCTION("""COMPUTED_VALUE"""),1)</f>
        <v>1</v>
      </c>
      <c r="G696" s="6" t="str">
        <f ca="1">IFERROR(__xludf.DUMMYFUNCTION("""COMPUTED_VALUE"""),"Madrid- Monforte de Lemos")</f>
        <v>Madrid- Monforte de Lemos</v>
      </c>
      <c r="H696" s="6" t="str">
        <f ca="1">IFERROR(__xludf.DUMMYFUNCTION("""COMPUTED_VALUE"""),"C202512261049411315")</f>
        <v>C202512261049411315</v>
      </c>
      <c r="I696" s="6" t="str">
        <f ca="1">IFERROR(__xludf.DUMMYFUNCTION("""COMPUTED_VALUE"""),"EDUARDO BLASCO DOMINGO")</f>
        <v>EDUARDO BLASCO DOMINGO</v>
      </c>
      <c r="J696" s="16">
        <f ca="1">IFERROR(__xludf.DUMMYFUNCTION("""COMPUTED_VALUE"""),46017)</f>
        <v>46017</v>
      </c>
      <c r="K696" s="6" t="str">
        <f ca="1">IFERROR(__xludf.DUMMYFUNCTION("""COMPUTED_VALUE"""),"Devuelve")</f>
        <v>Devuelve</v>
      </c>
      <c r="L696" s="16">
        <f ca="1">IFERROR(__xludf.DUMMYFUNCTION("""COMPUTED_VALUE"""),46035)</f>
        <v>46035</v>
      </c>
      <c r="M696" s="23" t="str">
        <f ca="1">IFERROR(__xludf.DUMMYFUNCTION("""COMPUTED_VALUE"""),"NO")</f>
        <v>NO</v>
      </c>
      <c r="N696" s="15">
        <f ca="1">IFERROR(__xludf.DUMMYFUNCTION("""COMPUTED_VALUE"""),2)</f>
        <v>2</v>
      </c>
      <c r="O696" s="17" t="str">
        <f ca="1">IFERROR(__xludf.DUMMYFUNCTION("""COMPUTED_VALUE"""),"QUIET")</f>
        <v>QUIET</v>
      </c>
      <c r="P696" s="21">
        <f ca="1">IFERROR(__xludf.DUMMYFUNCTION("""COMPUTED_VALUE"""),2718.18)</f>
        <v>2718.18</v>
      </c>
      <c r="Q696" s="6" t="str">
        <f ca="1">IFERROR(__xludf.DUMMYFUNCTION("""COMPUTED_VALUE"""),"Maika Blázquez")</f>
        <v>Maika Blázquez</v>
      </c>
      <c r="R696" s="6" t="str">
        <f ca="1">IFERROR(__xludf.DUMMYFUNCTION("""COMPUTED_VALUE"""),"No recuerda ORL")</f>
        <v>No recuerda ORL</v>
      </c>
      <c r="S696" s="20" t="str">
        <f ca="1">IFERROR(__xludf.DUMMYFUNCTION("""COMPUTED_VALUE"""),"03 ORL")</f>
        <v>03 ORL</v>
      </c>
      <c r="T696" s="6" t="str">
        <f ca="1">IFERROR(__xludf.DUMMYFUNCTION("""COMPUTED_VALUE"""),"06 ORL")</f>
        <v>06 ORL</v>
      </c>
      <c r="U696" s="21"/>
      <c r="W696" s="20"/>
      <c r="X696" s="21"/>
    </row>
    <row r="697" spans="2:24" ht="16">
      <c r="B697" s="26" t="str">
        <f t="shared" ca="1" si="3"/>
        <v>LRM</v>
      </c>
      <c r="C697" s="23" t="str">
        <f ca="1">IFERROR(__xludf.DUMMYFUNCTION("""COMPUTED_VALUE"""),"LRM54")</f>
        <v>LRM54</v>
      </c>
      <c r="D697" s="6" t="str">
        <f ca="1">IFERROR(__xludf.DUMMYFUNCTION("""COMPUTED_VALUE"""),"PROPIOS")</f>
        <v>PROPIOS</v>
      </c>
      <c r="E697" s="6">
        <f ca="1">IFERROR(__xludf.DUMMYFUNCTION("""COMPUTED_VALUE"""),2026)</f>
        <v>2026</v>
      </c>
      <c r="F697" s="15">
        <f ca="1">IFERROR(__xludf.DUMMYFUNCTION("""COMPUTED_VALUE"""),2)</f>
        <v>2</v>
      </c>
      <c r="G697" s="6" t="str">
        <f ca="1">IFERROR(__xludf.DUMMYFUNCTION("""COMPUTED_VALUE"""),"Madrid- Monforte de Lemos")</f>
        <v>Madrid- Monforte de Lemos</v>
      </c>
      <c r="H697" s="6" t="str">
        <f ca="1">IFERROR(__xludf.DUMMYFUNCTION("""COMPUTED_VALUE"""),"C202612816405477818")</f>
        <v>C202612816405477818</v>
      </c>
      <c r="I697" s="6" t="str">
        <f ca="1">IFERROR(__xludf.DUMMYFUNCTION("""COMPUTED_VALUE"""),"FRANCISCO OLALLA FERNÁNDEZ")</f>
        <v>FRANCISCO OLALLA FERNÁNDEZ</v>
      </c>
      <c r="J697" s="16">
        <f ca="1">IFERROR(__xludf.DUMMYFUNCTION("""COMPUTED_VALUE"""),46050)</f>
        <v>46050</v>
      </c>
      <c r="K697" s="6" t="str">
        <f ca="1">IFERROR(__xludf.DUMMYFUNCTION("""COMPUTED_VALUE"""),"Presupuesto")</f>
        <v>Presupuesto</v>
      </c>
      <c r="L697" s="16">
        <f ca="1">IFERROR(__xludf.DUMMYFUNCTION("""COMPUTED_VALUE"""),46058)</f>
        <v>46058</v>
      </c>
      <c r="M697" s="23" t="str">
        <f ca="1">IFERROR(__xludf.DUMMYFUNCTION("""COMPUTED_VALUE"""),"NO")</f>
        <v>NO</v>
      </c>
      <c r="N697" s="15">
        <f ca="1">IFERROR(__xludf.DUMMYFUNCTION("""COMPUTED_VALUE"""),2)</f>
        <v>2</v>
      </c>
      <c r="O697" s="23" t="str">
        <f ca="1">IFERROR(__xludf.DUMMYFUNCTION("""COMPUTED_VALUE"""),"CONFORT")</f>
        <v>CONFORT</v>
      </c>
      <c r="P697" s="21">
        <f ca="1">IFERROR(__xludf.DUMMYFUNCTION("""COMPUTED_VALUE"""),3631.82)</f>
        <v>3631.82</v>
      </c>
      <c r="Q697" s="6" t="str">
        <f ca="1">IFERROR(__xludf.DUMMYFUNCTION("""COMPUTED_VALUE"""),"Maika Blázquez")</f>
        <v>Maika Blázquez</v>
      </c>
      <c r="R697" s="6" t="str">
        <f ca="1">IFERROR(__xludf.DUMMYFUNCTION("""COMPUTED_VALUE"""),"Ignacio Sierra Arbide")</f>
        <v>Ignacio Sierra Arbide</v>
      </c>
      <c r="S697" s="20" t="str">
        <f ca="1">IFERROR(__xludf.DUMMYFUNCTION("""COMPUTED_VALUE"""),"03 ORL")</f>
        <v>03 ORL</v>
      </c>
      <c r="T697" s="6" t="str">
        <f ca="1">IFERROR(__xludf.DUMMYFUNCTION("""COMPUTED_VALUE"""),"06 ORL")</f>
        <v>06 ORL</v>
      </c>
      <c r="U697" s="21"/>
      <c r="W697" s="20"/>
      <c r="X697" s="21"/>
    </row>
    <row r="698" spans="2:24" ht="16">
      <c r="B698" s="26" t="str">
        <f t="shared" ca="1" si="3"/>
        <v>LRM</v>
      </c>
      <c r="C698" s="23" t="str">
        <f ca="1">IFERROR(__xludf.DUMMYFUNCTION("""COMPUTED_VALUE"""),"LRM09")</f>
        <v>LRM09</v>
      </c>
      <c r="D698" s="6" t="str">
        <f ca="1">IFERROR(__xludf.DUMMYFUNCTION("""COMPUTED_VALUE"""),"PROPIOS")</f>
        <v>PROPIOS</v>
      </c>
      <c r="E698" s="6">
        <f ca="1">IFERROR(__xludf.DUMMYFUNCTION("""COMPUTED_VALUE"""),2026)</f>
        <v>2026</v>
      </c>
      <c r="F698" s="15">
        <f ca="1">IFERROR(__xludf.DUMMYFUNCTION("""COMPUTED_VALUE"""),1)</f>
        <v>1</v>
      </c>
      <c r="G698" s="6" t="str">
        <f ca="1">IFERROR(__xludf.DUMMYFUNCTION("""COMPUTED_VALUE"""),"Madrid- Monforte de Lemos")</f>
        <v>Madrid- Monforte de Lemos</v>
      </c>
      <c r="H698" s="6" t="str">
        <f ca="1">IFERROR(__xludf.DUMMYFUNCTION("""COMPUTED_VALUE"""),"C202611214161713806")</f>
        <v>C202611214161713806</v>
      </c>
      <c r="I698" s="6" t="str">
        <f ca="1">IFERROR(__xludf.DUMMYFUNCTION("""COMPUTED_VALUE"""),"GERARDO CHRIST")</f>
        <v>GERARDO CHRIST</v>
      </c>
      <c r="J698" s="16">
        <f ca="1">IFERROR(__xludf.DUMMYFUNCTION("""COMPUTED_VALUE"""),46034)</f>
        <v>46034</v>
      </c>
      <c r="K698" s="6" t="str">
        <f ca="1">IFERROR(__xludf.DUMMYFUNCTION("""COMPUTED_VALUE"""),"Presupuesto")</f>
        <v>Presupuesto</v>
      </c>
      <c r="L698" s="16">
        <f ca="1">IFERROR(__xludf.DUMMYFUNCTION("""COMPUTED_VALUE"""),46036)</f>
        <v>46036</v>
      </c>
      <c r="M698" s="17" t="str">
        <f ca="1">IFERROR(__xludf.DUMMYFUNCTION("""COMPUTED_VALUE"""),"NO")</f>
        <v>NO</v>
      </c>
      <c r="N698" s="15">
        <f ca="1">IFERROR(__xludf.DUMMYFUNCTION("""COMPUTED_VALUE"""),2)</f>
        <v>2</v>
      </c>
      <c r="O698" s="23" t="str">
        <f ca="1">IFERROR(__xludf.DUMMYFUNCTION("""COMPUTED_VALUE"""),"CONFORT")</f>
        <v>CONFORT</v>
      </c>
      <c r="P698" s="21">
        <f ca="1">IFERROR(__xludf.DUMMYFUNCTION("""COMPUTED_VALUE"""),3631.82)</f>
        <v>3631.82</v>
      </c>
      <c r="Q698" s="6" t="str">
        <f ca="1">IFERROR(__xludf.DUMMYFUNCTION("""COMPUTED_VALUE"""),"Maika Blázquez")</f>
        <v>Maika Blázquez</v>
      </c>
      <c r="R698" s="6" t="str">
        <f ca="1">IFERROR(__xludf.DUMMYFUNCTION("""COMPUTED_VALUE"""),"Álvaro Sánchez de Arriba")</f>
        <v>Álvaro Sánchez de Arriba</v>
      </c>
      <c r="S698" s="20" t="str">
        <f ca="1">IFERROR(__xludf.DUMMYFUNCTION("""COMPUTED_VALUE"""),"03 ORL")</f>
        <v>03 ORL</v>
      </c>
      <c r="T698" s="6" t="str">
        <f ca="1">IFERROR(__xludf.DUMMYFUNCTION("""COMPUTED_VALUE"""),"06 ORL")</f>
        <v>06 ORL</v>
      </c>
      <c r="U698" s="21"/>
      <c r="W698" s="20"/>
      <c r="X698" s="21"/>
    </row>
    <row r="699" spans="2:24" ht="16">
      <c r="B699" s="26" t="str">
        <f t="shared" ca="1" si="3"/>
        <v>MBM</v>
      </c>
      <c r="C699" s="23" t="str">
        <f ca="1">IFERROR(__xludf.DUMMYFUNCTION("""COMPUTED_VALUE"""),"MBM81")</f>
        <v>MBM81</v>
      </c>
      <c r="D699" s="6" t="str">
        <f ca="1">IFERROR(__xludf.DUMMYFUNCTION("""COMPUTED_VALUE"""),"PROPIOS")</f>
        <v>PROPIOS</v>
      </c>
      <c r="E699" s="6">
        <f ca="1">IFERROR(__xludf.DUMMYFUNCTION("""COMPUTED_VALUE"""),2026)</f>
        <v>2026</v>
      </c>
      <c r="F699" s="15">
        <f ca="1">IFERROR(__xludf.DUMMYFUNCTION("""COMPUTED_VALUE"""),3)</f>
        <v>3</v>
      </c>
      <c r="G699" s="6" t="str">
        <f ca="1">IFERROR(__xludf.DUMMYFUNCTION("""COMPUTED_VALUE"""),"Madrid- Monforte de Lemos")</f>
        <v>Madrid- Monforte de Lemos</v>
      </c>
      <c r="H699" s="6" t="str">
        <f ca="1">IFERROR(__xludf.DUMMYFUNCTION("""COMPUTED_VALUE"""),"C202631211912881375")</f>
        <v>C202631211912881375</v>
      </c>
      <c r="I699" s="6" t="str">
        <f ca="1">IFERROR(__xludf.DUMMYFUNCTION("""COMPUTED_VALUE"""),"MARIA CARMEN ARIAS JATO")</f>
        <v>MARIA CARMEN ARIAS JATO</v>
      </c>
      <c r="J699" s="16">
        <f ca="1">IFERROR(__xludf.DUMMYFUNCTION("""COMPUTED_VALUE"""),46093)</f>
        <v>46093</v>
      </c>
      <c r="K699" s="6" t="str">
        <f ca="1">IFERROR(__xludf.DUMMYFUNCTION("""COMPUTED_VALUE"""),"Pedido")</f>
        <v>Pedido</v>
      </c>
      <c r="L699" s="16">
        <f ca="1">IFERROR(__xludf.DUMMYFUNCTION("""COMPUTED_VALUE"""),46105)</f>
        <v>46105</v>
      </c>
      <c r="M699" s="23" t="str">
        <f ca="1">IFERROR(__xludf.DUMMYFUNCTION("""COMPUTED_VALUE"""),"NO")</f>
        <v>NO</v>
      </c>
      <c r="N699" s="15">
        <f ca="1">IFERROR(__xludf.DUMMYFUNCTION("""COMPUTED_VALUE"""),2)</f>
        <v>2</v>
      </c>
      <c r="O699" s="23" t="str">
        <f ca="1">IFERROR(__xludf.DUMMYFUNCTION("""COMPUTED_VALUE"""),"QUIET")</f>
        <v>QUIET</v>
      </c>
      <c r="P699" s="21">
        <f ca="1">IFERROR(__xludf.DUMMYFUNCTION("""COMPUTED_VALUE"""),2718.19)</f>
        <v>2718.19</v>
      </c>
      <c r="Q699" s="6" t="str">
        <f ca="1">IFERROR(__xludf.DUMMYFUNCTION("""COMPUTED_VALUE"""),"Maika Blázquez")</f>
        <v>Maika Blázquez</v>
      </c>
      <c r="R699" s="6" t="str">
        <f ca="1">IFERROR(__xludf.DUMMYFUNCTION("""COMPUTED_VALUE"""),"Sergio Zaragoza Guijo")</f>
        <v>Sergio Zaragoza Guijo</v>
      </c>
      <c r="S699" s="20" t="str">
        <f ca="1">IFERROR(__xludf.DUMMYFUNCTION("""COMPUTED_VALUE"""),"03 ORL")</f>
        <v>03 ORL</v>
      </c>
      <c r="T699" s="6" t="str">
        <f ca="1">IFERROR(__xludf.DUMMYFUNCTION("""COMPUTED_VALUE"""),"06 ORL")</f>
        <v>06 ORL</v>
      </c>
      <c r="U699" s="21"/>
      <c r="W699" s="20"/>
      <c r="X699" s="21"/>
    </row>
    <row r="700" spans="2:24" ht="16">
      <c r="B700" s="26" t="str">
        <f t="shared" ca="1" si="3"/>
        <v>MBM</v>
      </c>
      <c r="C700" s="23" t="str">
        <f ca="1">IFERROR(__xludf.DUMMYFUNCTION("""COMPUTED_VALUE"""),"MBM18")</f>
        <v>MBM18</v>
      </c>
      <c r="D700" s="6" t="str">
        <f ca="1">IFERROR(__xludf.DUMMYFUNCTION("""COMPUTED_VALUE"""),"PROPIOS")</f>
        <v>PROPIOS</v>
      </c>
      <c r="E700" s="6">
        <f ca="1">IFERROR(__xludf.DUMMYFUNCTION("""COMPUTED_VALUE"""),2026)</f>
        <v>2026</v>
      </c>
      <c r="F700" s="15">
        <f ca="1">IFERROR(__xludf.DUMMYFUNCTION("""COMPUTED_VALUE"""),3)</f>
        <v>3</v>
      </c>
      <c r="G700" s="6" t="str">
        <f ca="1">IFERROR(__xludf.DUMMYFUNCTION("""COMPUTED_VALUE"""),"Madrid- Monforte de Lemos")</f>
        <v>Madrid- Monforte de Lemos</v>
      </c>
      <c r="H700" s="6" t="str">
        <f ca="1">IFERROR(__xludf.DUMMYFUNCTION("""COMPUTED_VALUE"""),"C202631611591040356")</f>
        <v>C202631611591040356</v>
      </c>
      <c r="I700" s="6" t="str">
        <f ca="1">IFERROR(__xludf.DUMMYFUNCTION("""COMPUTED_VALUE"""),"MARIA PILAR BAUTISTA ESQUIVEL")</f>
        <v>MARIA PILAR BAUTISTA ESQUIVEL</v>
      </c>
      <c r="J700" s="16">
        <f ca="1">IFERROR(__xludf.DUMMYFUNCTION("""COMPUTED_VALUE"""),46097)</f>
        <v>46097</v>
      </c>
      <c r="K700" s="6" t="str">
        <f ca="1">IFERROR(__xludf.DUMMYFUNCTION("""COMPUTED_VALUE"""),"Pedido")</f>
        <v>Pedido</v>
      </c>
      <c r="L700" s="16">
        <f ca="1">IFERROR(__xludf.DUMMYFUNCTION("""COMPUTED_VALUE"""),46107)</f>
        <v>46107</v>
      </c>
      <c r="M700" s="23" t="str">
        <f ca="1">IFERROR(__xludf.DUMMYFUNCTION("""COMPUTED_VALUE"""),"NO")</f>
        <v>NO</v>
      </c>
      <c r="N700" s="15">
        <f ca="1">IFERROR(__xludf.DUMMYFUNCTION("""COMPUTED_VALUE"""),2)</f>
        <v>2</v>
      </c>
      <c r="O700" s="23" t="str">
        <f ca="1">IFERROR(__xludf.DUMMYFUNCTION("""COMPUTED_VALUE"""),"QUIET")</f>
        <v>QUIET</v>
      </c>
      <c r="P700" s="21">
        <f ca="1">IFERROR(__xludf.DUMMYFUNCTION("""COMPUTED_VALUE"""),2718.18)</f>
        <v>2718.18</v>
      </c>
      <c r="Q700" s="6" t="str">
        <f ca="1">IFERROR(__xludf.DUMMYFUNCTION("""COMPUTED_VALUE"""),"Maika Blázquez")</f>
        <v>Maika Blázquez</v>
      </c>
      <c r="R700" s="6" t="str">
        <f ca="1">IFERROR(__xludf.DUMMYFUNCTION("""COMPUTED_VALUE"""),"Esteban Scola Pliego")</f>
        <v>Esteban Scola Pliego</v>
      </c>
      <c r="S700" s="20" t="str">
        <f ca="1">IFERROR(__xludf.DUMMYFUNCTION("""COMPUTED_VALUE"""),"03 ORL")</f>
        <v>03 ORL</v>
      </c>
      <c r="T700" s="6" t="str">
        <f ca="1">IFERROR(__xludf.DUMMYFUNCTION("""COMPUTED_VALUE"""),"06 ORL")</f>
        <v>06 ORL</v>
      </c>
      <c r="U700" s="21"/>
      <c r="W700" s="20"/>
      <c r="X700" s="21"/>
    </row>
    <row r="701" spans="2:24" ht="16">
      <c r="B701" s="26" t="str">
        <f t="shared" ca="1" si="3"/>
        <v/>
      </c>
      <c r="C701" s="23"/>
      <c r="D701" s="6" t="str">
        <f ca="1">IFERROR(__xludf.DUMMYFUNCTION("""COMPUTED_VALUE"""),"PROPIOS")</f>
        <v>PROPIOS</v>
      </c>
      <c r="E701" s="6">
        <f ca="1">IFERROR(__xludf.DUMMYFUNCTION("""COMPUTED_VALUE"""),2026)</f>
        <v>2026</v>
      </c>
      <c r="F701" s="15">
        <f ca="1">IFERROR(__xludf.DUMMYFUNCTION("""COMPUTED_VALUE"""),2)</f>
        <v>2</v>
      </c>
      <c r="G701" s="6" t="str">
        <f ca="1">IFERROR(__xludf.DUMMYFUNCTION("""COMPUTED_VALUE"""),"Madrid- Monforte de Lemos")</f>
        <v>Madrid- Monforte de Lemos</v>
      </c>
      <c r="H701" s="6" t="str">
        <f ca="1">IFERROR(__xludf.DUMMYFUNCTION("""COMPUTED_VALUE"""),"C202621711125628276")</f>
        <v>C202621711125628276</v>
      </c>
      <c r="I701" s="6" t="str">
        <f ca="1">IFERROR(__xludf.DUMMYFUNCTION("""COMPUTED_VALUE"""),"TEODORO  VILLACORTA GARCÍA")</f>
        <v>TEODORO  VILLACORTA GARCÍA</v>
      </c>
      <c r="J701" s="16">
        <f ca="1">IFERROR(__xludf.DUMMYFUNCTION("""COMPUTED_VALUE"""),46070)</f>
        <v>46070</v>
      </c>
      <c r="K701" s="6" t="str">
        <f ca="1">IFERROR(__xludf.DUMMYFUNCTION("""COMPUTED_VALUE"""),"Presupuesto")</f>
        <v>Presupuesto</v>
      </c>
      <c r="L701" s="16">
        <f ca="1">IFERROR(__xludf.DUMMYFUNCTION("""COMPUTED_VALUE"""),46071)</f>
        <v>46071</v>
      </c>
      <c r="M701" s="23" t="str">
        <f ca="1">IFERROR(__xludf.DUMMYFUNCTION("""COMPUTED_VALUE"""),"NO")</f>
        <v>NO</v>
      </c>
      <c r="N701" s="15">
        <f ca="1">IFERROR(__xludf.DUMMYFUNCTION("""COMPUTED_VALUE"""),2)</f>
        <v>2</v>
      </c>
      <c r="O701" s="23" t="str">
        <f ca="1">IFERROR(__xludf.DUMMYFUNCTION("""COMPUTED_VALUE"""),"CONFORT")</f>
        <v>CONFORT</v>
      </c>
      <c r="P701" s="21">
        <f ca="1">IFERROR(__xludf.DUMMYFUNCTION("""COMPUTED_VALUE"""),3631.82)</f>
        <v>3631.82</v>
      </c>
      <c r="Q701" s="6" t="str">
        <f ca="1">IFERROR(__xludf.DUMMYFUNCTION("""COMPUTED_VALUE"""),"Maika Blázquez")</f>
        <v>Maika Blázquez</v>
      </c>
      <c r="R701" s="6" t="str">
        <f ca="1">IFERROR(__xludf.DUMMYFUNCTION("""COMPUTED_VALUE"""),"No recuerda ORL")</f>
        <v>No recuerda ORL</v>
      </c>
      <c r="S701" s="20" t="str">
        <f ca="1">IFERROR(__xludf.DUMMYFUNCTION("""COMPUTED_VALUE"""),"03 ORL")</f>
        <v>03 ORL</v>
      </c>
      <c r="T701" s="6" t="str">
        <f ca="1">IFERROR(__xludf.DUMMYFUNCTION("""COMPUTED_VALUE"""),"06 ORL")</f>
        <v>06 ORL</v>
      </c>
      <c r="U701" s="21"/>
      <c r="W701" s="20"/>
      <c r="X701" s="21"/>
    </row>
    <row r="702" spans="2:24" ht="16">
      <c r="B702" s="26" t="str">
        <f t="shared" ca="1" si="3"/>
        <v>MBM</v>
      </c>
      <c r="C702" s="23" t="str">
        <f ca="1">IFERROR(__xludf.DUMMYFUNCTION("""COMPUTED_VALUE"""),"MBM201")</f>
        <v>MBM201</v>
      </c>
      <c r="D702" s="6" t="str">
        <f ca="1">IFERROR(__xludf.DUMMYFUNCTION("""COMPUTED_VALUE"""),"PROPIOS")</f>
        <v>PROPIOS</v>
      </c>
      <c r="E702" s="6">
        <f ca="1">IFERROR(__xludf.DUMMYFUNCTION("""COMPUTED_VALUE"""),2026)</f>
        <v>2026</v>
      </c>
      <c r="F702" s="15">
        <f ca="1">IFERROR(__xludf.DUMMYFUNCTION("""COMPUTED_VALUE"""),3)</f>
        <v>3</v>
      </c>
      <c r="G702" s="6" t="str">
        <f ca="1">IFERROR(__xludf.DUMMYFUNCTION("""COMPUTED_VALUE"""),"Madrid- Moratalaz")</f>
        <v>Madrid- Moratalaz</v>
      </c>
      <c r="H702" s="6" t="str">
        <f ca="1">IFERROR(__xludf.DUMMYFUNCTION("""COMPUTED_VALUE"""),"C202639114630849380")</f>
        <v>C202639114630849380</v>
      </c>
      <c r="I702" s="6" t="str">
        <f ca="1">IFERROR(__xludf.DUMMYFUNCTION("""COMPUTED_VALUE"""),"ANTONIO JUAREZ ALVAREZ")</f>
        <v>ANTONIO JUAREZ ALVAREZ</v>
      </c>
      <c r="J702" s="16">
        <f ca="1">IFERROR(__xludf.DUMMYFUNCTION("""COMPUTED_VALUE"""),46090)</f>
        <v>46090</v>
      </c>
      <c r="K702" s="6" t="str">
        <f ca="1">IFERROR(__xludf.DUMMYFUNCTION("""COMPUTED_VALUE"""),"Prueba")</f>
        <v>Prueba</v>
      </c>
      <c r="L702" s="16">
        <f ca="1">IFERROR(__xludf.DUMMYFUNCTION("""COMPUTED_VALUE"""),46099)</f>
        <v>46099</v>
      </c>
      <c r="M702" s="23" t="str">
        <f ca="1">IFERROR(__xludf.DUMMYFUNCTION("""COMPUTED_VALUE"""),"NO")</f>
        <v>NO</v>
      </c>
      <c r="N702" s="15">
        <f ca="1">IFERROR(__xludf.DUMMYFUNCTION("""COMPUTED_VALUE"""),2)</f>
        <v>2</v>
      </c>
      <c r="O702" s="23" t="str">
        <f ca="1">IFERROR(__xludf.DUMMYFUNCTION("""COMPUTED_VALUE"""),"TRIAL")</f>
        <v>TRIAL</v>
      </c>
      <c r="P702" s="21">
        <f ca="1">IFERROR(__xludf.DUMMYFUNCTION("""COMPUTED_VALUE"""),4136.36)</f>
        <v>4136.3599999999997</v>
      </c>
      <c r="Q702" s="6" t="str">
        <f ca="1">IFERROR(__xludf.DUMMYFUNCTION("""COMPUTED_VALUE"""),"Maika Blázquez")</f>
        <v>Maika Blázquez</v>
      </c>
      <c r="R702" s="6" t="str">
        <f ca="1">IFERROR(__xludf.DUMMYFUNCTION("""COMPUTED_VALUE"""),"María Cecilia Scola Torres")</f>
        <v>María Cecilia Scola Torres</v>
      </c>
      <c r="S702" s="20" t="str">
        <f ca="1">IFERROR(__xludf.DUMMYFUNCTION("""COMPUTED_VALUE"""),"03 ORL")</f>
        <v>03 ORL</v>
      </c>
      <c r="T702" s="6" t="str">
        <f ca="1">IFERROR(__xludf.DUMMYFUNCTION("""COMPUTED_VALUE"""),"06 ORL")</f>
        <v>06 ORL</v>
      </c>
      <c r="U702" s="21"/>
      <c r="W702" s="20"/>
      <c r="X702" s="21"/>
    </row>
    <row r="703" spans="2:24" ht="16">
      <c r="B703" s="26" t="str">
        <f t="shared" ca="1" si="3"/>
        <v/>
      </c>
      <c r="C703" s="23"/>
      <c r="D703" s="6" t="str">
        <f ca="1">IFERROR(__xludf.DUMMYFUNCTION("""COMPUTED_VALUE"""),"PROPIOS")</f>
        <v>PROPIOS</v>
      </c>
      <c r="E703" s="6">
        <f ca="1">IFERROR(__xludf.DUMMYFUNCTION("""COMPUTED_VALUE"""),2026)</f>
        <v>2026</v>
      </c>
      <c r="F703" s="15">
        <f ca="1">IFERROR(__xludf.DUMMYFUNCTION("""COMPUTED_VALUE"""),3)</f>
        <v>3</v>
      </c>
      <c r="G703" s="6" t="str">
        <f ca="1">IFERROR(__xludf.DUMMYFUNCTION("""COMPUTED_VALUE"""),"Madrid- Moratalaz")</f>
        <v>Madrid- Moratalaz</v>
      </c>
      <c r="H703" s="6" t="str">
        <f ca="1">IFERROR(__xludf.DUMMYFUNCTION("""COMPUTED_VALUE"""),"C202631011102917804")</f>
        <v>C202631011102917804</v>
      </c>
      <c r="I703" s="6" t="str">
        <f ca="1">IFERROR(__xludf.DUMMYFUNCTION("""COMPUTED_VALUE"""),"IRENE MARTINEZ RUIZ")</f>
        <v>IRENE MARTINEZ RUIZ</v>
      </c>
      <c r="J703" s="16">
        <f ca="1">IFERROR(__xludf.DUMMYFUNCTION("""COMPUTED_VALUE"""),46091)</f>
        <v>46091</v>
      </c>
      <c r="K703" s="6" t="str">
        <f ca="1">IFERROR(__xludf.DUMMYFUNCTION("""COMPUTED_VALUE"""),"Presupuesto")</f>
        <v>Presupuesto</v>
      </c>
      <c r="L703" s="16">
        <f ca="1">IFERROR(__xludf.DUMMYFUNCTION("""COMPUTED_VALUE"""),46097)</f>
        <v>46097</v>
      </c>
      <c r="M703" s="23" t="str">
        <f ca="1">IFERROR(__xludf.DUMMYFUNCTION("""COMPUTED_VALUE"""),"NO")</f>
        <v>NO</v>
      </c>
      <c r="N703" s="15">
        <f ca="1">IFERROR(__xludf.DUMMYFUNCTION("""COMPUTED_VALUE"""),2)</f>
        <v>2</v>
      </c>
      <c r="O703" s="23" t="str">
        <f ca="1">IFERROR(__xludf.DUMMYFUNCTION("""COMPUTED_VALUE"""),"ADVANCED")</f>
        <v>ADVANCED</v>
      </c>
      <c r="P703" s="21">
        <f ca="1">IFERROR(__xludf.DUMMYFUNCTION("""COMPUTED_VALUE"""),4136.36)</f>
        <v>4136.3599999999997</v>
      </c>
      <c r="Q703" s="6" t="str">
        <f ca="1">IFERROR(__xludf.DUMMYFUNCTION("""COMPUTED_VALUE"""),"Maika Blázquez")</f>
        <v>Maika Blázquez</v>
      </c>
      <c r="R703" s="6" t="str">
        <f ca="1">IFERROR(__xludf.DUMMYFUNCTION("""COMPUTED_VALUE"""),"No recuerda ORL")</f>
        <v>No recuerda ORL</v>
      </c>
      <c r="S703" s="20" t="str">
        <f ca="1">IFERROR(__xludf.DUMMYFUNCTION("""COMPUTED_VALUE"""),"03 ORL")</f>
        <v>03 ORL</v>
      </c>
      <c r="T703" s="6" t="str">
        <f ca="1">IFERROR(__xludf.DUMMYFUNCTION("""COMPUTED_VALUE"""),"06 ORL")</f>
        <v>06 ORL</v>
      </c>
      <c r="U703" s="21"/>
      <c r="W703" s="20"/>
      <c r="X703" s="21"/>
    </row>
    <row r="704" spans="2:24" ht="16">
      <c r="B704" s="26" t="str">
        <f t="shared" ca="1" si="3"/>
        <v>MBM</v>
      </c>
      <c r="C704" s="23" t="str">
        <f ca="1">IFERROR(__xludf.DUMMYFUNCTION("""COMPUTED_VALUE"""),"MBM129")</f>
        <v>MBM129</v>
      </c>
      <c r="D704" s="6" t="str">
        <f ca="1">IFERROR(__xludf.DUMMYFUNCTION("""COMPUTED_VALUE"""),"PROPIOS")</f>
        <v>PROPIOS</v>
      </c>
      <c r="E704" s="6">
        <f ca="1">IFERROR(__xludf.DUMMYFUNCTION("""COMPUTED_VALUE"""),2026)</f>
        <v>2026</v>
      </c>
      <c r="F704" s="15">
        <f ca="1">IFERROR(__xludf.DUMMYFUNCTION("""COMPUTED_VALUE"""),3)</f>
        <v>3</v>
      </c>
      <c r="G704" s="6" t="str">
        <f ca="1">IFERROR(__xludf.DUMMYFUNCTION("""COMPUTED_VALUE"""),"Móstoles")</f>
        <v>Móstoles</v>
      </c>
      <c r="H704" s="6" t="str">
        <f ca="1">IFERROR(__xludf.DUMMYFUNCTION("""COMPUTED_VALUE"""),"C202622616103451654")</f>
        <v>C202622616103451654</v>
      </c>
      <c r="I704" s="6" t="str">
        <f ca="1">IFERROR(__xludf.DUMMYFUNCTION("""COMPUTED_VALUE"""),"JONH ALFRED SABATINI")</f>
        <v>JONH ALFRED SABATINI</v>
      </c>
      <c r="J704" s="16">
        <f ca="1">IFERROR(__xludf.DUMMYFUNCTION("""COMPUTED_VALUE"""),46079)</f>
        <v>46079</v>
      </c>
      <c r="K704" s="6" t="str">
        <f ca="1">IFERROR(__xludf.DUMMYFUNCTION("""COMPUTED_VALUE"""),"Pedido")</f>
        <v>Pedido</v>
      </c>
      <c r="L704" s="16">
        <f ca="1">IFERROR(__xludf.DUMMYFUNCTION("""COMPUTED_VALUE"""),46112)</f>
        <v>46112</v>
      </c>
      <c r="M704" s="23" t="str">
        <f ca="1">IFERROR(__xludf.DUMMYFUNCTION("""COMPUTED_VALUE"""),"NO")</f>
        <v>NO</v>
      </c>
      <c r="N704" s="15">
        <f ca="1">IFERROR(__xludf.DUMMYFUNCTION("""COMPUTED_VALUE"""),2)</f>
        <v>2</v>
      </c>
      <c r="O704" s="23" t="str">
        <f ca="1">IFERROR(__xludf.DUMMYFUNCTION("""COMPUTED_VALUE"""),"CONFORT")</f>
        <v>CONFORT</v>
      </c>
      <c r="P704" s="21">
        <f ca="1">IFERROR(__xludf.DUMMYFUNCTION("""COMPUTED_VALUE"""),3631.82)</f>
        <v>3631.82</v>
      </c>
      <c r="Q704" s="6" t="str">
        <f ca="1">IFERROR(__xludf.DUMMYFUNCTION("""COMPUTED_VALUE"""),"Maika Blázquez")</f>
        <v>Maika Blázquez</v>
      </c>
      <c r="R704" s="6" t="str">
        <f ca="1">IFERROR(__xludf.DUMMYFUNCTION("""COMPUTED_VALUE"""),"Laura del Toro Gil")</f>
        <v>Laura del Toro Gil</v>
      </c>
      <c r="S704" s="20" t="str">
        <f ca="1">IFERROR(__xludf.DUMMYFUNCTION("""COMPUTED_VALUE"""),"03 ORL")</f>
        <v>03 ORL</v>
      </c>
      <c r="T704" s="6" t="str">
        <f ca="1">IFERROR(__xludf.DUMMYFUNCTION("""COMPUTED_VALUE"""),"06 ORL")</f>
        <v>06 ORL</v>
      </c>
      <c r="U704" s="21"/>
      <c r="W704" s="20"/>
      <c r="X704" s="21"/>
    </row>
    <row r="705" spans="2:24" ht="16">
      <c r="B705" s="26" t="str">
        <f t="shared" ca="1" si="3"/>
        <v>ISL</v>
      </c>
      <c r="C705" s="23" t="str">
        <f ca="1">IFERROR(__xludf.DUMMYFUNCTION("""COMPUTED_VALUE"""),"ISL123")</f>
        <v>ISL123</v>
      </c>
      <c r="D705" s="6" t="str">
        <f ca="1">IFERROR(__xludf.DUMMYFUNCTION("""COMPUTED_VALUE"""),"PROPIOS")</f>
        <v>PROPIOS</v>
      </c>
      <c r="E705" s="6">
        <f ca="1">IFERROR(__xludf.DUMMYFUNCTION("""COMPUTED_VALUE"""),2026)</f>
        <v>2026</v>
      </c>
      <c r="F705" s="15">
        <f ca="1">IFERROR(__xludf.DUMMYFUNCTION("""COMPUTED_VALUE"""),3)</f>
        <v>3</v>
      </c>
      <c r="G705" s="6" t="str">
        <f ca="1">IFERROR(__xludf.DUMMYFUNCTION("""COMPUTED_VALUE"""),"Murcia")</f>
        <v>Murcia</v>
      </c>
      <c r="H705" s="6" t="str">
        <f ca="1">IFERROR(__xludf.DUMMYFUNCTION("""COMPUTED_VALUE"""),"C202631110310641371")</f>
        <v>C202631110310641371</v>
      </c>
      <c r="I705" s="6" t="str">
        <f ca="1">IFERROR(__xludf.DUMMYFUNCTION("""COMPUTED_VALUE"""),"AGUSTIN OLMOS ALMANSA")</f>
        <v>AGUSTIN OLMOS ALMANSA</v>
      </c>
      <c r="J705" s="16">
        <f ca="1">IFERROR(__xludf.DUMMYFUNCTION("""COMPUTED_VALUE"""),46092)</f>
        <v>46092</v>
      </c>
      <c r="K705" s="6" t="str">
        <f ca="1">IFERROR(__xludf.DUMMYFUNCTION("""COMPUTED_VALUE"""),"Devuelve")</f>
        <v>Devuelve</v>
      </c>
      <c r="L705" s="16">
        <f ca="1">IFERROR(__xludf.DUMMYFUNCTION("""COMPUTED_VALUE"""),46097)</f>
        <v>46097</v>
      </c>
      <c r="M705" s="23" t="str">
        <f ca="1">IFERROR(__xludf.DUMMYFUNCTION("""COMPUTED_VALUE"""),"NO")</f>
        <v>NO</v>
      </c>
      <c r="N705" s="15">
        <f ca="1">IFERROR(__xludf.DUMMYFUNCTION("""COMPUTED_VALUE"""),1)</f>
        <v>1</v>
      </c>
      <c r="O705" s="23" t="str">
        <f ca="1">IFERROR(__xludf.DUMMYFUNCTION("""COMPUTED_VALUE"""),"QUIET")</f>
        <v>QUIET</v>
      </c>
      <c r="P705" s="21">
        <f ca="1">IFERROR(__xludf.DUMMYFUNCTION("""COMPUTED_VALUE"""),1631.82)</f>
        <v>1631.82</v>
      </c>
      <c r="Q705" s="6" t="str">
        <f ca="1">IFERROR(__xludf.DUMMYFUNCTION("""COMPUTED_VALUE"""),"Iván Sánchez")</f>
        <v>Iván Sánchez</v>
      </c>
      <c r="R705" s="6" t="str">
        <f ca="1">IFERROR(__xludf.DUMMYFUNCTION("""COMPUTED_VALUE"""),"María Teresa Almela Rojo")</f>
        <v>María Teresa Almela Rojo</v>
      </c>
      <c r="S705" s="20" t="str">
        <f ca="1">IFERROR(__xludf.DUMMYFUNCTION("""COMPUTED_VALUE"""),"03 ORL")</f>
        <v>03 ORL</v>
      </c>
      <c r="T705" s="6" t="str">
        <f ca="1">IFERROR(__xludf.DUMMYFUNCTION("""COMPUTED_VALUE"""),"06 ORL")</f>
        <v>06 ORL</v>
      </c>
      <c r="U705" s="21"/>
      <c r="W705" s="20"/>
      <c r="X705" s="21"/>
    </row>
    <row r="706" spans="2:24" ht="16">
      <c r="B706" s="26" t="str">
        <f t="shared" ca="1" si="3"/>
        <v>ISL</v>
      </c>
      <c r="C706" s="23" t="str">
        <f ca="1">IFERROR(__xludf.DUMMYFUNCTION("""COMPUTED_VALUE"""),"ISL122")</f>
        <v>ISL122</v>
      </c>
      <c r="D706" s="6" t="str">
        <f ca="1">IFERROR(__xludf.DUMMYFUNCTION("""COMPUTED_VALUE"""),"PROPIOS")</f>
        <v>PROPIOS</v>
      </c>
      <c r="E706" s="6">
        <f ca="1">IFERROR(__xludf.DUMMYFUNCTION("""COMPUTED_VALUE"""),2026)</f>
        <v>2026</v>
      </c>
      <c r="F706" s="15">
        <f ca="1">IFERROR(__xludf.DUMMYFUNCTION("""COMPUTED_VALUE"""),3)</f>
        <v>3</v>
      </c>
      <c r="G706" s="6" t="str">
        <f ca="1">IFERROR(__xludf.DUMMYFUNCTION("""COMPUTED_VALUE"""),"Murcia")</f>
        <v>Murcia</v>
      </c>
      <c r="H706" s="6" t="str">
        <f ca="1">IFERROR(__xludf.DUMMYFUNCTION("""COMPUTED_VALUE"""),"C202631118175675668")</f>
        <v>C202631118175675668</v>
      </c>
      <c r="I706" s="6" t="str">
        <f ca="1">IFERROR(__xludf.DUMMYFUNCTION("""COMPUTED_VALUE"""),"AMANDA DEL SOCORRO VINASCO VINASCO")</f>
        <v>AMANDA DEL SOCORRO VINASCO VINASCO</v>
      </c>
      <c r="J706" s="16">
        <f ca="1">IFERROR(__xludf.DUMMYFUNCTION("""COMPUTED_VALUE"""),46092)</f>
        <v>46092</v>
      </c>
      <c r="K706" s="6" t="str">
        <f ca="1">IFERROR(__xludf.DUMMYFUNCTION("""COMPUTED_VALUE"""),"Prueba")</f>
        <v>Prueba</v>
      </c>
      <c r="L706" s="16">
        <f ca="1">IFERROR(__xludf.DUMMYFUNCTION("""COMPUTED_VALUE"""),46112)</f>
        <v>46112</v>
      </c>
      <c r="M706" s="23" t="str">
        <f ca="1">IFERROR(__xludf.DUMMYFUNCTION("""COMPUTED_VALUE"""),"NO")</f>
        <v>NO</v>
      </c>
      <c r="N706" s="15">
        <f ca="1">IFERROR(__xludf.DUMMYFUNCTION("""COMPUTED_VALUE"""),2)</f>
        <v>2</v>
      </c>
      <c r="O706" s="23" t="str">
        <f ca="1">IFERROR(__xludf.DUMMYFUNCTION("""COMPUTED_VALUE"""),"TRIAL")</f>
        <v>TRIAL</v>
      </c>
      <c r="P706" s="21">
        <f ca="1">IFERROR(__xludf.DUMMYFUNCTION("""COMPUTED_VALUE"""),10070.91)</f>
        <v>10070.91</v>
      </c>
      <c r="Q706" s="6" t="str">
        <f ca="1">IFERROR(__xludf.DUMMYFUNCTION("""COMPUTED_VALUE"""),"Iván Sánchez")</f>
        <v>Iván Sánchez</v>
      </c>
      <c r="R706" s="6" t="str">
        <f ca="1">IFERROR(__xludf.DUMMYFUNCTION("""COMPUTED_VALUE"""),"María Agustina Sevilla García")</f>
        <v>María Agustina Sevilla García</v>
      </c>
      <c r="S706" s="20" t="str">
        <f ca="1">IFERROR(__xludf.DUMMYFUNCTION("""COMPUTED_VALUE"""),"03 ORL")</f>
        <v>03 ORL</v>
      </c>
      <c r="T706" s="6" t="str">
        <f ca="1">IFERROR(__xludf.DUMMYFUNCTION("""COMPUTED_VALUE"""),"06 ORL")</f>
        <v>06 ORL</v>
      </c>
      <c r="U706" s="21"/>
      <c r="W706" s="20"/>
      <c r="X706" s="21"/>
    </row>
    <row r="707" spans="2:24" ht="16">
      <c r="B707" s="26" t="str">
        <f t="shared" ca="1" si="3"/>
        <v>ISL</v>
      </c>
      <c r="C707" s="23" t="str">
        <f ca="1">IFERROR(__xludf.DUMMYFUNCTION("""COMPUTED_VALUE"""),"ISL122")</f>
        <v>ISL122</v>
      </c>
      <c r="D707" s="6" t="str">
        <f ca="1">IFERROR(__xludf.DUMMYFUNCTION("""COMPUTED_VALUE"""),"PROPIOS")</f>
        <v>PROPIOS</v>
      </c>
      <c r="E707" s="6">
        <f ca="1">IFERROR(__xludf.DUMMYFUNCTION("""COMPUTED_VALUE"""),2026)</f>
        <v>2026</v>
      </c>
      <c r="F707" s="15">
        <f ca="1">IFERROR(__xludf.DUMMYFUNCTION("""COMPUTED_VALUE"""),3)</f>
        <v>3</v>
      </c>
      <c r="G707" s="6" t="str">
        <f ca="1">IFERROR(__xludf.DUMMYFUNCTION("""COMPUTED_VALUE"""),"Murcia")</f>
        <v>Murcia</v>
      </c>
      <c r="H707" s="6" t="str">
        <f ca="1">IFERROR(__xludf.DUMMYFUNCTION("""COMPUTED_VALUE"""),"C202631115292719467")</f>
        <v>C202631115292719467</v>
      </c>
      <c r="I707" s="6" t="str">
        <f ca="1">IFERROR(__xludf.DUMMYFUNCTION("""COMPUTED_VALUE"""),"ANA DOLORES  ABRIL SANCHEZ")</f>
        <v>ANA DOLORES  ABRIL SANCHEZ</v>
      </c>
      <c r="J707" s="16">
        <f ca="1">IFERROR(__xludf.DUMMYFUNCTION("""COMPUTED_VALUE"""),46092)</f>
        <v>46092</v>
      </c>
      <c r="K707" s="6" t="str">
        <f ca="1">IFERROR(__xludf.DUMMYFUNCTION("""COMPUTED_VALUE"""),"Prueba")</f>
        <v>Prueba</v>
      </c>
      <c r="L707" s="16">
        <f ca="1">IFERROR(__xludf.DUMMYFUNCTION("""COMPUTED_VALUE"""),46111)</f>
        <v>46111</v>
      </c>
      <c r="M707" s="23" t="str">
        <f ca="1">IFERROR(__xludf.DUMMYFUNCTION("""COMPUTED_VALUE"""),"NO")</f>
        <v>NO</v>
      </c>
      <c r="N707" s="15">
        <f ca="1">IFERROR(__xludf.DUMMYFUNCTION("""COMPUTED_VALUE"""),2)</f>
        <v>2</v>
      </c>
      <c r="O707" s="23" t="str">
        <f ca="1">IFERROR(__xludf.DUMMYFUNCTION("""COMPUTED_VALUE"""),"TRIAL")</f>
        <v>TRIAL</v>
      </c>
      <c r="P707" s="21">
        <f ca="1">IFERROR(__xludf.DUMMYFUNCTION("""COMPUTED_VALUE"""),3631.82)</f>
        <v>3631.82</v>
      </c>
      <c r="Q707" s="6" t="str">
        <f ca="1">IFERROR(__xludf.DUMMYFUNCTION("""COMPUTED_VALUE"""),"Iván Sánchez")</f>
        <v>Iván Sánchez</v>
      </c>
      <c r="R707" s="6" t="str">
        <f ca="1">IFERROR(__xludf.DUMMYFUNCTION("""COMPUTED_VALUE"""),"María Agustina Sevilla García")</f>
        <v>María Agustina Sevilla García</v>
      </c>
      <c r="S707" s="20" t="str">
        <f ca="1">IFERROR(__xludf.DUMMYFUNCTION("""COMPUTED_VALUE"""),"03 ORL")</f>
        <v>03 ORL</v>
      </c>
      <c r="T707" s="6" t="str">
        <f ca="1">IFERROR(__xludf.DUMMYFUNCTION("""COMPUTED_VALUE"""),"22 AUDIOMETRIA CLINICA")</f>
        <v>22 AUDIOMETRIA CLINICA</v>
      </c>
      <c r="U707" s="21"/>
      <c r="W707" s="20"/>
      <c r="X707" s="21"/>
    </row>
    <row r="708" spans="2:24" ht="16">
      <c r="B708" s="26" t="str">
        <f t="shared" ca="1" si="3"/>
        <v>ISL</v>
      </c>
      <c r="C708" s="23" t="str">
        <f ca="1">IFERROR(__xludf.DUMMYFUNCTION("""COMPUTED_VALUE"""),"ISL106")</f>
        <v>ISL106</v>
      </c>
      <c r="D708" s="6" t="str">
        <f ca="1">IFERROR(__xludf.DUMMYFUNCTION("""COMPUTED_VALUE"""),"PROPIOS")</f>
        <v>PROPIOS</v>
      </c>
      <c r="E708" s="6">
        <f ca="1">IFERROR(__xludf.DUMMYFUNCTION("""COMPUTED_VALUE"""),2026)</f>
        <v>2026</v>
      </c>
      <c r="F708" s="15">
        <f ca="1">IFERROR(__xludf.DUMMYFUNCTION("""COMPUTED_VALUE"""),3)</f>
        <v>3</v>
      </c>
      <c r="G708" s="6" t="str">
        <f ca="1">IFERROR(__xludf.DUMMYFUNCTION("""COMPUTED_VALUE"""),"Murcia")</f>
        <v>Murcia</v>
      </c>
      <c r="H708" s="6" t="str">
        <f ca="1">IFERROR(__xludf.DUMMYFUNCTION("""COMPUTED_VALUE"""),"C202631793058158792")</f>
        <v>C202631793058158792</v>
      </c>
      <c r="I708" s="6" t="str">
        <f ca="1">IFERROR(__xludf.DUMMYFUNCTION("""COMPUTED_VALUE"""),"ANGEL SARRION ALBA")</f>
        <v>ANGEL SARRION ALBA</v>
      </c>
      <c r="J708" s="16">
        <f ca="1">IFERROR(__xludf.DUMMYFUNCTION("""COMPUTED_VALUE"""),46098)</f>
        <v>46098</v>
      </c>
      <c r="K708" s="6" t="str">
        <f ca="1">IFERROR(__xludf.DUMMYFUNCTION("""COMPUTED_VALUE"""),"Prueba")</f>
        <v>Prueba</v>
      </c>
      <c r="L708" s="16">
        <f ca="1">IFERROR(__xludf.DUMMYFUNCTION("""COMPUTED_VALUE"""),46101)</f>
        <v>46101</v>
      </c>
      <c r="M708" s="23" t="str">
        <f ca="1">IFERROR(__xludf.DUMMYFUNCTION("""COMPUTED_VALUE"""),"NO")</f>
        <v>NO</v>
      </c>
      <c r="N708" s="15">
        <f ca="1">IFERROR(__xludf.DUMMYFUNCTION("""COMPUTED_VALUE"""),2)</f>
        <v>2</v>
      </c>
      <c r="O708" s="23" t="str">
        <f ca="1">IFERROR(__xludf.DUMMYFUNCTION("""COMPUTED_VALUE"""),"QUIET")</f>
        <v>QUIET</v>
      </c>
      <c r="P708" s="21">
        <f ca="1">IFERROR(__xludf.DUMMYFUNCTION("""COMPUTED_VALUE"""),2718.18)</f>
        <v>2718.18</v>
      </c>
      <c r="Q708" s="6" t="str">
        <f ca="1">IFERROR(__xludf.DUMMYFUNCTION("""COMPUTED_VALUE"""),"Iván Sánchez")</f>
        <v>Iván Sánchez</v>
      </c>
      <c r="R708" s="6" t="str">
        <f ca="1">IFERROR(__xludf.DUMMYFUNCTION("""COMPUTED_VALUE"""),"Laura Arias Gómez")</f>
        <v>Laura Arias Gómez</v>
      </c>
      <c r="S708" s="20" t="str">
        <f ca="1">IFERROR(__xludf.DUMMYFUNCTION("""COMPUTED_VALUE"""),"03 ORL")</f>
        <v>03 ORL</v>
      </c>
      <c r="T708" s="6" t="str">
        <f ca="1">IFERROR(__xludf.DUMMYFUNCTION("""COMPUTED_VALUE"""),"06 ORL")</f>
        <v>06 ORL</v>
      </c>
      <c r="U708" s="21"/>
      <c r="W708" s="20"/>
      <c r="X708" s="21"/>
    </row>
    <row r="709" spans="2:24" ht="16">
      <c r="B709" s="26" t="str">
        <f t="shared" ca="1" si="3"/>
        <v>ISL</v>
      </c>
      <c r="C709" s="23" t="str">
        <f ca="1">IFERROR(__xludf.DUMMYFUNCTION("""COMPUTED_VALUE"""),"ISL91")</f>
        <v>ISL91</v>
      </c>
      <c r="D709" s="6" t="str">
        <f ca="1">IFERROR(__xludf.DUMMYFUNCTION("""COMPUTED_VALUE"""),"PROPIOS")</f>
        <v>PROPIOS</v>
      </c>
      <c r="E709" s="6">
        <f ca="1">IFERROR(__xludf.DUMMYFUNCTION("""COMPUTED_VALUE"""),2026)</f>
        <v>2026</v>
      </c>
      <c r="F709" s="15">
        <f ca="1">IFERROR(__xludf.DUMMYFUNCTION("""COMPUTED_VALUE"""),1)</f>
        <v>1</v>
      </c>
      <c r="G709" s="6" t="str">
        <f ca="1">IFERROR(__xludf.DUMMYFUNCTION("""COMPUTED_VALUE"""),"Murcia")</f>
        <v>Murcia</v>
      </c>
      <c r="H709" s="6" t="str">
        <f ca="1">IFERROR(__xludf.DUMMYFUNCTION("""COMPUTED_VALUE"""),"C202618104423151915")</f>
        <v>C202618104423151915</v>
      </c>
      <c r="I709" s="6" t="str">
        <f ca="1">IFERROR(__xludf.DUMMYFUNCTION("""COMPUTED_VALUE"""),"ANTONIO GRIGNAFFINI")</f>
        <v>ANTONIO GRIGNAFFINI</v>
      </c>
      <c r="J709" s="16">
        <f ca="1">IFERROR(__xludf.DUMMYFUNCTION("""COMPUTED_VALUE"""),46030)</f>
        <v>46030</v>
      </c>
      <c r="K709" s="6" t="str">
        <f ca="1">IFERROR(__xludf.DUMMYFUNCTION("""COMPUTED_VALUE"""),"Presupuesto")</f>
        <v>Presupuesto</v>
      </c>
      <c r="L709" s="16">
        <f ca="1">IFERROR(__xludf.DUMMYFUNCTION("""COMPUTED_VALUE"""),46035)</f>
        <v>46035</v>
      </c>
      <c r="M709" s="23" t="str">
        <f ca="1">IFERROR(__xludf.DUMMYFUNCTION("""COMPUTED_VALUE"""),"NO")</f>
        <v>NO</v>
      </c>
      <c r="N709" s="15">
        <f ca="1">IFERROR(__xludf.DUMMYFUNCTION("""COMPUTED_VALUE"""),2)</f>
        <v>2</v>
      </c>
      <c r="O709" s="23" t="str">
        <f ca="1">IFERROR(__xludf.DUMMYFUNCTION("""COMPUTED_VALUE"""),"QUIET")</f>
        <v>QUIET</v>
      </c>
      <c r="P709" s="21">
        <f ca="1">IFERROR(__xludf.DUMMYFUNCTION("""COMPUTED_VALUE"""),2718.18)</f>
        <v>2718.18</v>
      </c>
      <c r="Q709" s="6" t="str">
        <f ca="1">IFERROR(__xludf.DUMMYFUNCTION("""COMPUTED_VALUE"""),"Iván Sánchez")</f>
        <v>Iván Sánchez</v>
      </c>
      <c r="R709" s="6" t="str">
        <f ca="1">IFERROR(__xludf.DUMMYFUNCTION("""COMPUTED_VALUE"""),"Alejandra Jara Maquilón")</f>
        <v>Alejandra Jara Maquilón</v>
      </c>
      <c r="S709" s="20" t="str">
        <f ca="1">IFERROR(__xludf.DUMMYFUNCTION("""COMPUTED_VALUE"""),"03 ORL")</f>
        <v>03 ORL</v>
      </c>
      <c r="T709" s="6" t="str">
        <f ca="1">IFERROR(__xludf.DUMMYFUNCTION("""COMPUTED_VALUE"""),"06 ORL")</f>
        <v>06 ORL</v>
      </c>
      <c r="U709" s="21"/>
      <c r="W709" s="20"/>
      <c r="X709" s="21"/>
    </row>
    <row r="710" spans="2:24" ht="16">
      <c r="B710" s="26" t="str">
        <f t="shared" ca="1" si="3"/>
        <v>ISL</v>
      </c>
      <c r="C710" s="23" t="str">
        <f ca="1">IFERROR(__xludf.DUMMYFUNCTION("""COMPUTED_VALUE"""),"ISL39")</f>
        <v>ISL39</v>
      </c>
      <c r="D710" s="6" t="str">
        <f ca="1">IFERROR(__xludf.DUMMYFUNCTION("""COMPUTED_VALUE"""),"PROPIOS")</f>
        <v>PROPIOS</v>
      </c>
      <c r="E710" s="6">
        <f ca="1">IFERROR(__xludf.DUMMYFUNCTION("""COMPUTED_VALUE"""),2026)</f>
        <v>2026</v>
      </c>
      <c r="F710" s="15">
        <f ca="1">IFERROR(__xludf.DUMMYFUNCTION("""COMPUTED_VALUE"""),3)</f>
        <v>3</v>
      </c>
      <c r="G710" s="6" t="str">
        <f ca="1">IFERROR(__xludf.DUMMYFUNCTION("""COMPUTED_VALUE"""),"Murcia")</f>
        <v>Murcia</v>
      </c>
      <c r="H710" s="6" t="str">
        <f ca="1">IFERROR(__xludf.DUMMYFUNCTION("""COMPUTED_VALUE"""),"C202622411297642785")</f>
        <v>C202622411297642785</v>
      </c>
      <c r="I710" s="6" t="str">
        <f ca="1">IFERROR(__xludf.DUMMYFUNCTION("""COMPUTED_VALUE"""),"ANTONIO MARTINEZ MARTINEZ")</f>
        <v>ANTONIO MARTINEZ MARTINEZ</v>
      </c>
      <c r="J710" s="16">
        <f ca="1">IFERROR(__xludf.DUMMYFUNCTION("""COMPUTED_VALUE"""),46077)</f>
        <v>46077</v>
      </c>
      <c r="K710" s="6" t="str">
        <f ca="1">IFERROR(__xludf.DUMMYFUNCTION("""COMPUTED_VALUE"""),"Devuelve")</f>
        <v>Devuelve</v>
      </c>
      <c r="L710" s="16">
        <f ca="1">IFERROR(__xludf.DUMMYFUNCTION("""COMPUTED_VALUE"""),46105)</f>
        <v>46105</v>
      </c>
      <c r="M710" s="23" t="str">
        <f ca="1">IFERROR(__xludf.DUMMYFUNCTION("""COMPUTED_VALUE"""),"NO")</f>
        <v>NO</v>
      </c>
      <c r="N710" s="15">
        <f ca="1">IFERROR(__xludf.DUMMYFUNCTION("""COMPUTED_VALUE"""),2)</f>
        <v>2</v>
      </c>
      <c r="O710" s="23" t="str">
        <f ca="1">IFERROR(__xludf.DUMMYFUNCTION("""COMPUTED_VALUE"""),"QUIET")</f>
        <v>QUIET</v>
      </c>
      <c r="P710" s="21">
        <f ca="1">IFERROR(__xludf.DUMMYFUNCTION("""COMPUTED_VALUE"""),2718.18)</f>
        <v>2718.18</v>
      </c>
      <c r="Q710" s="6" t="str">
        <f ca="1">IFERROR(__xludf.DUMMYFUNCTION("""COMPUTED_VALUE"""),"Iván Sánchez")</f>
        <v>Iván Sánchez</v>
      </c>
      <c r="R710" s="6" t="str">
        <f ca="1">IFERROR(__xludf.DUMMYFUNCTION("""COMPUTED_VALUE"""),"Ignacio Albaladejo Devis")</f>
        <v>Ignacio Albaladejo Devis</v>
      </c>
      <c r="S710" s="20" t="str">
        <f ca="1">IFERROR(__xludf.DUMMYFUNCTION("""COMPUTED_VALUE"""),"03 ORL")</f>
        <v>03 ORL</v>
      </c>
      <c r="T710" s="6" t="str">
        <f ca="1">IFERROR(__xludf.DUMMYFUNCTION("""COMPUTED_VALUE"""),"06 ORL")</f>
        <v>06 ORL</v>
      </c>
      <c r="U710" s="21"/>
      <c r="W710" s="20"/>
      <c r="X710" s="21"/>
    </row>
    <row r="711" spans="2:24" ht="16">
      <c r="B711" s="26" t="str">
        <f t="shared" ca="1" si="3"/>
        <v>ISL</v>
      </c>
      <c r="C711" s="23" t="str">
        <f ca="1">IFERROR(__xludf.DUMMYFUNCTION("""COMPUTED_VALUE"""),"ISL122")</f>
        <v>ISL122</v>
      </c>
      <c r="D711" s="6" t="str">
        <f ca="1">IFERROR(__xludf.DUMMYFUNCTION("""COMPUTED_VALUE"""),"PROPIOS")</f>
        <v>PROPIOS</v>
      </c>
      <c r="E711" s="6">
        <f ca="1">IFERROR(__xludf.DUMMYFUNCTION("""COMPUTED_VALUE"""),2026)</f>
        <v>2026</v>
      </c>
      <c r="F711" s="15">
        <f ca="1">IFERROR(__xludf.DUMMYFUNCTION("""COMPUTED_VALUE"""),2)</f>
        <v>2</v>
      </c>
      <c r="G711" s="6" t="str">
        <f ca="1">IFERROR(__xludf.DUMMYFUNCTION("""COMPUTED_VALUE"""),"Murcia")</f>
        <v>Murcia</v>
      </c>
      <c r="H711" s="6" t="str">
        <f ca="1">IFERROR(__xludf.DUMMYFUNCTION("""COMPUTED_VALUE"""),"C202612717181496620")</f>
        <v>C202612717181496620</v>
      </c>
      <c r="I711" s="6" t="str">
        <f ca="1">IFERROR(__xludf.DUMMYFUNCTION("""COMPUTED_VALUE"""),"AURORA CRERSPO CARRILLO")</f>
        <v>AURORA CRERSPO CARRILLO</v>
      </c>
      <c r="J711" s="16">
        <f ca="1">IFERROR(__xludf.DUMMYFUNCTION("""COMPUTED_VALUE"""),46049)</f>
        <v>46049</v>
      </c>
      <c r="K711" s="6" t="str">
        <f ca="1">IFERROR(__xludf.DUMMYFUNCTION("""COMPUTED_VALUE"""),"Presupuesto")</f>
        <v>Presupuesto</v>
      </c>
      <c r="L711" s="16">
        <f ca="1">IFERROR(__xludf.DUMMYFUNCTION("""COMPUTED_VALUE"""),46055)</f>
        <v>46055</v>
      </c>
      <c r="M711" s="23" t="str">
        <f ca="1">IFERROR(__xludf.DUMMYFUNCTION("""COMPUTED_VALUE"""),"NO")</f>
        <v>NO</v>
      </c>
      <c r="N711" s="15">
        <f ca="1">IFERROR(__xludf.DUMMYFUNCTION("""COMPUTED_VALUE"""),1)</f>
        <v>1</v>
      </c>
      <c r="O711" s="23" t="str">
        <f ca="1">IFERROR(__xludf.DUMMYFUNCTION("""COMPUTED_VALUE"""),"CONFORT")</f>
        <v>CONFORT</v>
      </c>
      <c r="P711" s="21">
        <f ca="1">IFERROR(__xludf.DUMMYFUNCTION("""COMPUTED_VALUE"""),2180.91)</f>
        <v>2180.91</v>
      </c>
      <c r="Q711" s="6" t="str">
        <f ca="1">IFERROR(__xludf.DUMMYFUNCTION("""COMPUTED_VALUE"""),"Iván Sánchez")</f>
        <v>Iván Sánchez</v>
      </c>
      <c r="R711" s="6" t="str">
        <f ca="1">IFERROR(__xludf.DUMMYFUNCTION("""COMPUTED_VALUE"""),"María Agustina Sevilla García")</f>
        <v>María Agustina Sevilla García</v>
      </c>
      <c r="S711" s="20" t="str">
        <f ca="1">IFERROR(__xludf.DUMMYFUNCTION("""COMPUTED_VALUE"""),"03 ORL")</f>
        <v>03 ORL</v>
      </c>
      <c r="T711" s="6" t="str">
        <f ca="1">IFERROR(__xludf.DUMMYFUNCTION("""COMPUTED_VALUE"""),"06 ORL")</f>
        <v>06 ORL</v>
      </c>
      <c r="U711" s="21"/>
      <c r="W711" s="20"/>
      <c r="X711" s="21"/>
    </row>
    <row r="712" spans="2:24" ht="16">
      <c r="B712" s="26" t="str">
        <f t="shared" ca="1" si="3"/>
        <v>ISL</v>
      </c>
      <c r="C712" s="23" t="str">
        <f ca="1">IFERROR(__xludf.DUMMYFUNCTION("""COMPUTED_VALUE"""),"ISL45")</f>
        <v>ISL45</v>
      </c>
      <c r="D712" s="6" t="str">
        <f ca="1">IFERROR(__xludf.DUMMYFUNCTION("""COMPUTED_VALUE"""),"PROPIOS")</f>
        <v>PROPIOS</v>
      </c>
      <c r="E712" s="6">
        <f ca="1">IFERROR(__xludf.DUMMYFUNCTION("""COMPUTED_VALUE"""),2026)</f>
        <v>2026</v>
      </c>
      <c r="F712" s="15">
        <f ca="1">IFERROR(__xludf.DUMMYFUNCTION("""COMPUTED_VALUE"""),1)</f>
        <v>1</v>
      </c>
      <c r="G712" s="6" t="str">
        <f ca="1">IFERROR(__xludf.DUMMYFUNCTION("""COMPUTED_VALUE"""),"Murcia")</f>
        <v>Murcia</v>
      </c>
      <c r="H712" s="6" t="str">
        <f ca="1">IFERROR(__xludf.DUMMYFUNCTION("""COMPUTED_VALUE"""),"C202617102020980821")</f>
        <v>C202617102020980821</v>
      </c>
      <c r="I712" s="6" t="str">
        <f ca="1">IFERROR(__xludf.DUMMYFUNCTION("""COMPUTED_VALUE"""),"DIEGO ZABALA DIAZ")</f>
        <v>DIEGO ZABALA DIAZ</v>
      </c>
      <c r="J712" s="16">
        <f ca="1">IFERROR(__xludf.DUMMYFUNCTION("""COMPUTED_VALUE"""),46029)</f>
        <v>46029</v>
      </c>
      <c r="K712" s="6" t="str">
        <f ca="1">IFERROR(__xludf.DUMMYFUNCTION("""COMPUTED_VALUE"""),"Presupuesto")</f>
        <v>Presupuesto</v>
      </c>
      <c r="L712" s="16">
        <f ca="1">IFERROR(__xludf.DUMMYFUNCTION("""COMPUTED_VALUE"""),46030)</f>
        <v>46030</v>
      </c>
      <c r="M712" s="23" t="str">
        <f ca="1">IFERROR(__xludf.DUMMYFUNCTION("""COMPUTED_VALUE"""),"NO")</f>
        <v>NO</v>
      </c>
      <c r="N712" s="15">
        <f ca="1">IFERROR(__xludf.DUMMYFUNCTION("""COMPUTED_VALUE"""),2)</f>
        <v>2</v>
      </c>
      <c r="O712" s="23" t="str">
        <f ca="1">IFERROR(__xludf.DUMMYFUNCTION("""COMPUTED_VALUE"""),"QUIET")</f>
        <v>QUIET</v>
      </c>
      <c r="P712" s="21">
        <f ca="1">IFERROR(__xludf.DUMMYFUNCTION("""COMPUTED_VALUE"""),2718.18)</f>
        <v>2718.18</v>
      </c>
      <c r="Q712" s="6" t="str">
        <f ca="1">IFERROR(__xludf.DUMMYFUNCTION("""COMPUTED_VALUE"""),"Iván Sánchez")</f>
        <v>Iván Sánchez</v>
      </c>
      <c r="R712" s="6" t="str">
        <f ca="1">IFERROR(__xludf.DUMMYFUNCTION("""COMPUTED_VALUE"""),"Jesús Miguel Iniesta Turpín")</f>
        <v>Jesús Miguel Iniesta Turpín</v>
      </c>
      <c r="S712" s="20" t="str">
        <f ca="1">IFERROR(__xludf.DUMMYFUNCTION("""COMPUTED_VALUE"""),"03 ORL")</f>
        <v>03 ORL</v>
      </c>
      <c r="T712" s="6" t="str">
        <f ca="1">IFERROR(__xludf.DUMMYFUNCTION("""COMPUTED_VALUE"""),"06 ORL")</f>
        <v>06 ORL</v>
      </c>
      <c r="U712" s="21"/>
      <c r="W712" s="20"/>
      <c r="X712" s="21"/>
    </row>
    <row r="713" spans="2:24" ht="16">
      <c r="B713" s="26" t="str">
        <f t="shared" ca="1" si="3"/>
        <v>ISL</v>
      </c>
      <c r="C713" s="23" t="str">
        <f ca="1">IFERROR(__xludf.DUMMYFUNCTION("""COMPUTED_VALUE"""),"ISL120")</f>
        <v>ISL120</v>
      </c>
      <c r="D713" s="6" t="str">
        <f ca="1">IFERROR(__xludf.DUMMYFUNCTION("""COMPUTED_VALUE"""),"PROPIOS")</f>
        <v>PROPIOS</v>
      </c>
      <c r="E713" s="6">
        <f ca="1">IFERROR(__xludf.DUMMYFUNCTION("""COMPUTED_VALUE"""),2026)</f>
        <v>2026</v>
      </c>
      <c r="F713" s="15">
        <f ca="1">IFERROR(__xludf.DUMMYFUNCTION("""COMPUTED_VALUE"""),3)</f>
        <v>3</v>
      </c>
      <c r="G713" s="6" t="str">
        <f ca="1">IFERROR(__xludf.DUMMYFUNCTION("""COMPUTED_VALUE"""),"Murcia")</f>
        <v>Murcia</v>
      </c>
      <c r="H713" s="6" t="str">
        <f ca="1">IFERROR(__xludf.DUMMYFUNCTION("""COMPUTED_VALUE"""),"C202632510164794857")</f>
        <v>C202632510164794857</v>
      </c>
      <c r="I713" s="6" t="str">
        <f ca="1">IFERROR(__xludf.DUMMYFUNCTION("""COMPUTED_VALUE"""),"DOLORES MANUEL NAVARRO")</f>
        <v>DOLORES MANUEL NAVARRO</v>
      </c>
      <c r="J713" s="16">
        <f ca="1">IFERROR(__xludf.DUMMYFUNCTION("""COMPUTED_VALUE"""),46106)</f>
        <v>46106</v>
      </c>
      <c r="K713" s="6" t="str">
        <f ca="1">IFERROR(__xludf.DUMMYFUNCTION("""COMPUTED_VALUE"""),"Prueba")</f>
        <v>Prueba</v>
      </c>
      <c r="L713" s="16">
        <f ca="1">IFERROR(__xludf.DUMMYFUNCTION("""COMPUTED_VALUE"""),46112)</f>
        <v>46112</v>
      </c>
      <c r="M713" s="23" t="str">
        <f ca="1">IFERROR(__xludf.DUMMYFUNCTION("""COMPUTED_VALUE"""),"NO")</f>
        <v>NO</v>
      </c>
      <c r="N713" s="15">
        <f ca="1">IFERROR(__xludf.DUMMYFUNCTION("""COMPUTED_VALUE"""),2)</f>
        <v>2</v>
      </c>
      <c r="O713" s="23" t="str">
        <f ca="1">IFERROR(__xludf.DUMMYFUNCTION("""COMPUTED_VALUE"""),"QUIET")</f>
        <v>QUIET</v>
      </c>
      <c r="P713" s="21">
        <f ca="1">IFERROR(__xludf.DUMMYFUNCTION("""COMPUTED_VALUE"""),2718.19)</f>
        <v>2718.19</v>
      </c>
      <c r="Q713" s="6" t="str">
        <f ca="1">IFERROR(__xludf.DUMMYFUNCTION("""COMPUTED_VALUE"""),"Iván Sánchez")</f>
        <v>Iván Sánchez</v>
      </c>
      <c r="R713" s="6" t="str">
        <f ca="1">IFERROR(__xludf.DUMMYFUNCTION("""COMPUTED_VALUE"""),"María López Robles")</f>
        <v>María López Robles</v>
      </c>
      <c r="S713" s="20" t="str">
        <f ca="1">IFERROR(__xludf.DUMMYFUNCTION("""COMPUTED_VALUE"""),"03 ORL")</f>
        <v>03 ORL</v>
      </c>
      <c r="T713" s="6" t="str">
        <f ca="1">IFERROR(__xludf.DUMMYFUNCTION("""COMPUTED_VALUE"""),"06 ORL")</f>
        <v>06 ORL</v>
      </c>
      <c r="U713" s="21"/>
      <c r="W713" s="20"/>
      <c r="X713" s="21"/>
    </row>
    <row r="714" spans="2:24" ht="16">
      <c r="B714" s="26" t="str">
        <f t="shared" ca="1" si="3"/>
        <v>ISL</v>
      </c>
      <c r="C714" s="23" t="str">
        <f ca="1">IFERROR(__xludf.DUMMYFUNCTION("""COMPUTED_VALUE"""),"ISL123")</f>
        <v>ISL123</v>
      </c>
      <c r="D714" s="6" t="str">
        <f ca="1">IFERROR(__xludf.DUMMYFUNCTION("""COMPUTED_VALUE"""),"PROPIOS")</f>
        <v>PROPIOS</v>
      </c>
      <c r="E714" s="6">
        <f ca="1">IFERROR(__xludf.DUMMYFUNCTION("""COMPUTED_VALUE"""),2026)</f>
        <v>2026</v>
      </c>
      <c r="F714" s="15">
        <f ca="1">IFERROR(__xludf.DUMMYFUNCTION("""COMPUTED_VALUE"""),3)</f>
        <v>3</v>
      </c>
      <c r="G714" s="6" t="str">
        <f ca="1">IFERROR(__xludf.DUMMYFUNCTION("""COMPUTED_VALUE"""),"Murcia")</f>
        <v>Murcia</v>
      </c>
      <c r="H714" s="6" t="str">
        <f ca="1">IFERROR(__xludf.DUMMYFUNCTION("""COMPUTED_VALUE"""),"C202634114159839414")</f>
        <v>C202634114159839414</v>
      </c>
      <c r="I714" s="6" t="str">
        <f ca="1">IFERROR(__xludf.DUMMYFUNCTION("""COMPUTED_VALUE"""),"ENCARNACION FERNANDEZ TAPIA")</f>
        <v>ENCARNACION FERNANDEZ TAPIA</v>
      </c>
      <c r="J714" s="16">
        <f ca="1">IFERROR(__xludf.DUMMYFUNCTION("""COMPUTED_VALUE"""),46085)</f>
        <v>46085</v>
      </c>
      <c r="K714" s="6" t="str">
        <f ca="1">IFERROR(__xludf.DUMMYFUNCTION("""COMPUTED_VALUE"""),"Prueba")</f>
        <v>Prueba</v>
      </c>
      <c r="L714" s="16">
        <f ca="1">IFERROR(__xludf.DUMMYFUNCTION("""COMPUTED_VALUE"""),46106)</f>
        <v>46106</v>
      </c>
      <c r="M714" s="23" t="str">
        <f ca="1">IFERROR(__xludf.DUMMYFUNCTION("""COMPUTED_VALUE"""),"NO")</f>
        <v>NO</v>
      </c>
      <c r="N714" s="15">
        <f ca="1">IFERROR(__xludf.DUMMYFUNCTION("""COMPUTED_VALUE"""),2)</f>
        <v>2</v>
      </c>
      <c r="O714" s="23" t="str">
        <f ca="1">IFERROR(__xludf.DUMMYFUNCTION("""COMPUTED_VALUE"""),"QUIET")</f>
        <v>QUIET</v>
      </c>
      <c r="P714" s="21">
        <f ca="1">IFERROR(__xludf.DUMMYFUNCTION("""COMPUTED_VALUE"""),2718.18)</f>
        <v>2718.18</v>
      </c>
      <c r="Q714" s="6" t="str">
        <f ca="1">IFERROR(__xludf.DUMMYFUNCTION("""COMPUTED_VALUE"""),"Iván Sánchez")</f>
        <v>Iván Sánchez</v>
      </c>
      <c r="R714" s="6" t="str">
        <f ca="1">IFERROR(__xludf.DUMMYFUNCTION("""COMPUTED_VALUE"""),"María Teresa Almela Rojo")</f>
        <v>María Teresa Almela Rojo</v>
      </c>
      <c r="S714" s="20" t="str">
        <f ca="1">IFERROR(__xludf.DUMMYFUNCTION("""COMPUTED_VALUE"""),"03 ORL")</f>
        <v>03 ORL</v>
      </c>
      <c r="T714" s="6" t="str">
        <f ca="1">IFERROR(__xludf.DUMMYFUNCTION("""COMPUTED_VALUE"""),"06 ORL")</f>
        <v>06 ORL</v>
      </c>
      <c r="U714" s="21"/>
      <c r="W714" s="20"/>
      <c r="X714" s="21"/>
    </row>
    <row r="715" spans="2:24" ht="16">
      <c r="B715" s="26" t="str">
        <f t="shared" ca="1" si="3"/>
        <v>ISL</v>
      </c>
      <c r="C715" s="23" t="str">
        <f ca="1">IFERROR(__xludf.DUMMYFUNCTION("""COMPUTED_VALUE"""),"ISL134")</f>
        <v>ISL134</v>
      </c>
      <c r="D715" s="6" t="str">
        <f ca="1">IFERROR(__xludf.DUMMYFUNCTION("""COMPUTED_VALUE"""),"PROPIOS")</f>
        <v>PROPIOS</v>
      </c>
      <c r="E715" s="6">
        <f ca="1">IFERROR(__xludf.DUMMYFUNCTION("""COMPUTED_VALUE"""),2026)</f>
        <v>2026</v>
      </c>
      <c r="F715" s="15">
        <f ca="1">IFERROR(__xludf.DUMMYFUNCTION("""COMPUTED_VALUE"""),3)</f>
        <v>3</v>
      </c>
      <c r="G715" s="6" t="str">
        <f ca="1">IFERROR(__xludf.DUMMYFUNCTION("""COMPUTED_VALUE"""),"Murcia")</f>
        <v>Murcia</v>
      </c>
      <c r="H715" s="6" t="str">
        <f ca="1">IFERROR(__xludf.DUMMYFUNCTION("""COMPUTED_VALUE"""),"C202622612810143592")</f>
        <v>C202622612810143592</v>
      </c>
      <c r="I715" s="6" t="str">
        <f ca="1">IFERROR(__xludf.DUMMYFUNCTION("""COMPUTED_VALUE"""),"FRANCISCA PINEDA MORENO")</f>
        <v>FRANCISCA PINEDA MORENO</v>
      </c>
      <c r="J715" s="16">
        <f ca="1">IFERROR(__xludf.DUMMYFUNCTION("""COMPUTED_VALUE"""),46079)</f>
        <v>46079</v>
      </c>
      <c r="K715" s="6" t="str">
        <f ca="1">IFERROR(__xludf.DUMMYFUNCTION("""COMPUTED_VALUE"""),"Presupuesto")</f>
        <v>Presupuesto</v>
      </c>
      <c r="L715" s="16">
        <f ca="1">IFERROR(__xludf.DUMMYFUNCTION("""COMPUTED_VALUE"""),46090)</f>
        <v>46090</v>
      </c>
      <c r="M715" s="23" t="str">
        <f ca="1">IFERROR(__xludf.DUMMYFUNCTION("""COMPUTED_VALUE"""),"NO")</f>
        <v>NO</v>
      </c>
      <c r="N715" s="15">
        <f ca="1">IFERROR(__xludf.DUMMYFUNCTION("""COMPUTED_VALUE"""),2)</f>
        <v>2</v>
      </c>
      <c r="O715" s="23" t="str">
        <f ca="1">IFERROR(__xludf.DUMMYFUNCTION("""COMPUTED_VALUE"""),"TRIAL")</f>
        <v>TRIAL</v>
      </c>
      <c r="P715" s="21">
        <f ca="1">IFERROR(__xludf.DUMMYFUNCTION("""COMPUTED_VALUE"""),3631.82)</f>
        <v>3631.82</v>
      </c>
      <c r="Q715" s="6" t="str">
        <f ca="1">IFERROR(__xludf.DUMMYFUNCTION("""COMPUTED_VALUE"""),"Iván Sánchez")</f>
        <v>Iván Sánchez</v>
      </c>
      <c r="R715" s="6" t="str">
        <f ca="1">IFERROR(__xludf.DUMMYFUNCTION("""COMPUTED_VALUE"""),"Vania Novoa Juiz")</f>
        <v>Vania Novoa Juiz</v>
      </c>
      <c r="S715" s="20" t="str">
        <f ca="1">IFERROR(__xludf.DUMMYFUNCTION("""COMPUTED_VALUE"""),"03 ORL")</f>
        <v>03 ORL</v>
      </c>
      <c r="T715" s="6" t="str">
        <f ca="1">IFERROR(__xludf.DUMMYFUNCTION("""COMPUTED_VALUE"""),"06 ORL")</f>
        <v>06 ORL</v>
      </c>
      <c r="U715" s="21"/>
      <c r="W715" s="20"/>
      <c r="X715" s="21"/>
    </row>
    <row r="716" spans="2:24" ht="16">
      <c r="B716" s="26" t="str">
        <f t="shared" ca="1" si="3"/>
        <v>ISL</v>
      </c>
      <c r="C716" s="23" t="str">
        <f ca="1">IFERROR(__xludf.DUMMYFUNCTION("""COMPUTED_VALUE"""),"ISL122")</f>
        <v>ISL122</v>
      </c>
      <c r="D716" s="6" t="str">
        <f ca="1">IFERROR(__xludf.DUMMYFUNCTION("""COMPUTED_VALUE"""),"PROPIOS")</f>
        <v>PROPIOS</v>
      </c>
      <c r="E716" s="6">
        <f ca="1">IFERROR(__xludf.DUMMYFUNCTION("""COMPUTED_VALUE"""),2026)</f>
        <v>2026</v>
      </c>
      <c r="F716" s="15">
        <f ca="1">IFERROR(__xludf.DUMMYFUNCTION("""COMPUTED_VALUE"""),3)</f>
        <v>3</v>
      </c>
      <c r="G716" s="6" t="str">
        <f ca="1">IFERROR(__xludf.DUMMYFUNCTION("""COMPUTED_VALUE"""),"Murcia")</f>
        <v>Murcia</v>
      </c>
      <c r="H716" s="6" t="str">
        <f ca="1">IFERROR(__xludf.DUMMYFUNCTION("""COMPUTED_VALUE"""),"C202621911155422098")</f>
        <v>C202621911155422098</v>
      </c>
      <c r="I716" s="6" t="str">
        <f ca="1">IFERROR(__xludf.DUMMYFUNCTION("""COMPUTED_VALUE"""),"FRANCISCO MOYA ECIJA")</f>
        <v>FRANCISCO MOYA ECIJA</v>
      </c>
      <c r="J716" s="16">
        <f ca="1">IFERROR(__xludf.DUMMYFUNCTION("""COMPUTED_VALUE"""),46072)</f>
        <v>46072</v>
      </c>
      <c r="K716" s="6" t="str">
        <f ca="1">IFERROR(__xludf.DUMMYFUNCTION("""COMPUTED_VALUE"""),"Pedido")</f>
        <v>Pedido</v>
      </c>
      <c r="L716" s="16">
        <f ca="1">IFERROR(__xludf.DUMMYFUNCTION("""COMPUTED_VALUE"""),46112)</f>
        <v>46112</v>
      </c>
      <c r="M716" s="23" t="str">
        <f ca="1">IFERROR(__xludf.DUMMYFUNCTION("""COMPUTED_VALUE"""),"NO")</f>
        <v>NO</v>
      </c>
      <c r="N716" s="15">
        <f ca="1">IFERROR(__xludf.DUMMYFUNCTION("""COMPUTED_VALUE"""),2)</f>
        <v>2</v>
      </c>
      <c r="O716" s="17" t="str">
        <f ca="1">IFERROR(__xludf.DUMMYFUNCTION("""COMPUTED_VALUE"""),"QUIET")</f>
        <v>QUIET</v>
      </c>
      <c r="P716" s="21">
        <f ca="1">IFERROR(__xludf.DUMMYFUNCTION("""COMPUTED_VALUE"""),2718.18)</f>
        <v>2718.18</v>
      </c>
      <c r="Q716" s="6" t="str">
        <f ca="1">IFERROR(__xludf.DUMMYFUNCTION("""COMPUTED_VALUE"""),"Iván Sánchez")</f>
        <v>Iván Sánchez</v>
      </c>
      <c r="R716" s="6" t="str">
        <f ca="1">IFERROR(__xludf.DUMMYFUNCTION("""COMPUTED_VALUE"""),"María Agustina Sevilla García")</f>
        <v>María Agustina Sevilla García</v>
      </c>
      <c r="S716" s="20" t="str">
        <f ca="1">IFERROR(__xludf.DUMMYFUNCTION("""COMPUTED_VALUE"""),"03 ORL")</f>
        <v>03 ORL</v>
      </c>
      <c r="T716" s="6" t="str">
        <f ca="1">IFERROR(__xludf.DUMMYFUNCTION("""COMPUTED_VALUE"""),"22 AUDIOMETRIA CLINICA")</f>
        <v>22 AUDIOMETRIA CLINICA</v>
      </c>
      <c r="U716" s="21"/>
      <c r="W716" s="20"/>
      <c r="X716" s="21"/>
    </row>
    <row r="717" spans="2:24" ht="16">
      <c r="B717" s="26" t="str">
        <f t="shared" ca="1" si="3"/>
        <v>ISL</v>
      </c>
      <c r="C717" s="23" t="str">
        <f ca="1">IFERROR(__xludf.DUMMYFUNCTION("""COMPUTED_VALUE"""),"ISL122")</f>
        <v>ISL122</v>
      </c>
      <c r="D717" s="6" t="str">
        <f ca="1">IFERROR(__xludf.DUMMYFUNCTION("""COMPUTED_VALUE"""),"PROPIOS")</f>
        <v>PROPIOS</v>
      </c>
      <c r="E717" s="6">
        <f ca="1">IFERROR(__xludf.DUMMYFUNCTION("""COMPUTED_VALUE"""),2026)</f>
        <v>2026</v>
      </c>
      <c r="F717" s="15">
        <f ca="1">IFERROR(__xludf.DUMMYFUNCTION("""COMPUTED_VALUE"""),1)</f>
        <v>1</v>
      </c>
      <c r="G717" s="6" t="str">
        <f ca="1">IFERROR(__xludf.DUMMYFUNCTION("""COMPUTED_VALUE"""),"Murcia")</f>
        <v>Murcia</v>
      </c>
      <c r="H717" s="6" t="str">
        <f ca="1">IFERROR(__xludf.DUMMYFUNCTION("""COMPUTED_VALUE"""),"C202611492528028349")</f>
        <v>C202611492528028349</v>
      </c>
      <c r="I717" s="6" t="str">
        <f ca="1">IFERROR(__xludf.DUMMYFUNCTION("""COMPUTED_VALUE"""),"FRANCISCO  SANCHEZ FUERTES")</f>
        <v>FRANCISCO  SANCHEZ FUERTES</v>
      </c>
      <c r="J717" s="16">
        <f ca="1">IFERROR(__xludf.DUMMYFUNCTION("""COMPUTED_VALUE"""),46036)</f>
        <v>46036</v>
      </c>
      <c r="K717" s="6" t="str">
        <f ca="1">IFERROR(__xludf.DUMMYFUNCTION("""COMPUTED_VALUE"""),"Devuelve")</f>
        <v>Devuelve</v>
      </c>
      <c r="L717" s="16">
        <f ca="1">IFERROR(__xludf.DUMMYFUNCTION("""COMPUTED_VALUE"""),46042)</f>
        <v>46042</v>
      </c>
      <c r="M717" s="23" t="str">
        <f ca="1">IFERROR(__xludf.DUMMYFUNCTION("""COMPUTED_VALUE"""),"NO")</f>
        <v>NO</v>
      </c>
      <c r="N717" s="15">
        <f ca="1">IFERROR(__xludf.DUMMYFUNCTION("""COMPUTED_VALUE"""),1)</f>
        <v>1</v>
      </c>
      <c r="O717" s="23" t="str">
        <f ca="1">IFERROR(__xludf.DUMMYFUNCTION("""COMPUTED_VALUE"""),"TRIAL")</f>
        <v>TRIAL</v>
      </c>
      <c r="P717" s="21">
        <f ca="1">IFERROR(__xludf.DUMMYFUNCTION("""COMPUTED_VALUE"""),2481.82)</f>
        <v>2481.8200000000002</v>
      </c>
      <c r="Q717" s="6" t="str">
        <f ca="1">IFERROR(__xludf.DUMMYFUNCTION("""COMPUTED_VALUE"""),"Iván Sánchez")</f>
        <v>Iván Sánchez</v>
      </c>
      <c r="R717" s="6" t="str">
        <f ca="1">IFERROR(__xludf.DUMMYFUNCTION("""COMPUTED_VALUE"""),"María Agustina Sevilla García")</f>
        <v>María Agustina Sevilla García</v>
      </c>
      <c r="S717" s="20" t="str">
        <f ca="1">IFERROR(__xludf.DUMMYFUNCTION("""COMPUTED_VALUE"""),"03 ORL")</f>
        <v>03 ORL</v>
      </c>
      <c r="T717" s="6" t="str">
        <f ca="1">IFERROR(__xludf.DUMMYFUNCTION("""COMPUTED_VALUE"""),"06 ORL")</f>
        <v>06 ORL</v>
      </c>
      <c r="U717" s="21"/>
      <c r="W717" s="20"/>
      <c r="X717" s="21"/>
    </row>
    <row r="718" spans="2:24" ht="16">
      <c r="B718" s="26" t="str">
        <f t="shared" ca="1" si="3"/>
        <v>ISL</v>
      </c>
      <c r="C718" s="23" t="str">
        <f ca="1">IFERROR(__xludf.DUMMYFUNCTION("""COMPUTED_VALUE"""),"ISL152")</f>
        <v>ISL152</v>
      </c>
      <c r="D718" s="6" t="str">
        <f ca="1">IFERROR(__xludf.DUMMYFUNCTION("""COMPUTED_VALUE"""),"PROPIOS")</f>
        <v>PROPIOS</v>
      </c>
      <c r="E718" s="6">
        <f ca="1">IFERROR(__xludf.DUMMYFUNCTION("""COMPUTED_VALUE"""),2026)</f>
        <v>2026</v>
      </c>
      <c r="F718" s="15">
        <f ca="1">IFERROR(__xludf.DUMMYFUNCTION("""COMPUTED_VALUE"""),2)</f>
        <v>2</v>
      </c>
      <c r="G718" s="6" t="str">
        <f ca="1">IFERROR(__xludf.DUMMYFUNCTION("""COMPUTED_VALUE"""),"Murcia")</f>
        <v>Murcia</v>
      </c>
      <c r="H718" s="6" t="str">
        <f ca="1">IFERROR(__xludf.DUMMYFUNCTION("""COMPUTED_VALUE"""),"C202612611181223730")</f>
        <v>C202612611181223730</v>
      </c>
      <c r="I718" s="6" t="str">
        <f ca="1">IFERROR(__xludf.DUMMYFUNCTION("""COMPUTED_VALUE"""),"FUENSANTA NICOLAS HERNANDEZ")</f>
        <v>FUENSANTA NICOLAS HERNANDEZ</v>
      </c>
      <c r="J718" s="16">
        <f ca="1">IFERROR(__xludf.DUMMYFUNCTION("""COMPUTED_VALUE"""),46048)</f>
        <v>46048</v>
      </c>
      <c r="K718" s="6" t="str">
        <f ca="1">IFERROR(__xludf.DUMMYFUNCTION("""COMPUTED_VALUE"""),"Devuelve")</f>
        <v>Devuelve</v>
      </c>
      <c r="L718" s="16">
        <f ca="1">IFERROR(__xludf.DUMMYFUNCTION("""COMPUTED_VALUE"""),46056)</f>
        <v>46056</v>
      </c>
      <c r="M718" s="23" t="str">
        <f ca="1">IFERROR(__xludf.DUMMYFUNCTION("""COMPUTED_VALUE"""),"NO")</f>
        <v>NO</v>
      </c>
      <c r="N718" s="15">
        <f ca="1">IFERROR(__xludf.DUMMYFUNCTION("""COMPUTED_VALUE"""),2)</f>
        <v>2</v>
      </c>
      <c r="O718" s="23" t="str">
        <f ca="1">IFERROR(__xludf.DUMMYFUNCTION("""COMPUTED_VALUE"""),"TRIAL")</f>
        <v>TRIAL</v>
      </c>
      <c r="P718" s="21">
        <f ca="1">IFERROR(__xludf.DUMMYFUNCTION("""COMPUTED_VALUE"""),3631.82)</f>
        <v>3631.82</v>
      </c>
      <c r="Q718" s="6" t="str">
        <f ca="1">IFERROR(__xludf.DUMMYFUNCTION("""COMPUTED_VALUE"""),"Iván Sánchez")</f>
        <v>Iván Sánchez</v>
      </c>
      <c r="R718" s="6" t="str">
        <f ca="1">IFERROR(__xludf.DUMMYFUNCTION("""COMPUTED_VALUE"""),"Alberto Guillén Martínez")</f>
        <v>Alberto Guillén Martínez</v>
      </c>
      <c r="S718" s="20" t="str">
        <f ca="1">IFERROR(__xludf.DUMMYFUNCTION("""COMPUTED_VALUE"""),"03 ORL")</f>
        <v>03 ORL</v>
      </c>
      <c r="T718" s="6" t="str">
        <f ca="1">IFERROR(__xludf.DUMMYFUNCTION("""COMPUTED_VALUE"""),"06 ORL")</f>
        <v>06 ORL</v>
      </c>
      <c r="U718" s="21"/>
      <c r="W718" s="20"/>
      <c r="X718" s="21"/>
    </row>
    <row r="719" spans="2:24" ht="16">
      <c r="B719" s="26" t="str">
        <f t="shared" ca="1" si="3"/>
        <v>ISL</v>
      </c>
      <c r="C719" s="23" t="str">
        <f ca="1">IFERROR(__xludf.DUMMYFUNCTION("""COMPUTED_VALUE"""),"ISL94")</f>
        <v>ISL94</v>
      </c>
      <c r="D719" s="6" t="str">
        <f ca="1">IFERROR(__xludf.DUMMYFUNCTION("""COMPUTED_VALUE"""),"PROPIOS")</f>
        <v>PROPIOS</v>
      </c>
      <c r="E719" s="6">
        <f ca="1">IFERROR(__xludf.DUMMYFUNCTION("""COMPUTED_VALUE"""),2026)</f>
        <v>2026</v>
      </c>
      <c r="F719" s="15">
        <f ca="1">IFERROR(__xludf.DUMMYFUNCTION("""COMPUTED_VALUE"""),3)</f>
        <v>3</v>
      </c>
      <c r="G719" s="6" t="str">
        <f ca="1">IFERROR(__xludf.DUMMYFUNCTION("""COMPUTED_VALUE"""),"Murcia")</f>
        <v>Murcia</v>
      </c>
      <c r="H719" s="6" t="str">
        <f ca="1">IFERROR(__xludf.DUMMYFUNCTION("""COMPUTED_VALUE"""),"C20263495055018342")</f>
        <v>C20263495055018342</v>
      </c>
      <c r="I719" s="6" t="str">
        <f ca="1">IFERROR(__xludf.DUMMYFUNCTION("""COMPUTED_VALUE"""),"ISABEL MARTINEZ LLORENTE")</f>
        <v>ISABEL MARTINEZ LLORENTE</v>
      </c>
      <c r="J719" s="16">
        <f ca="1">IFERROR(__xludf.DUMMYFUNCTION("""COMPUTED_VALUE"""),46085)</f>
        <v>46085</v>
      </c>
      <c r="K719" s="6" t="str">
        <f ca="1">IFERROR(__xludf.DUMMYFUNCTION("""COMPUTED_VALUE"""),"Devuelve")</f>
        <v>Devuelve</v>
      </c>
      <c r="L719" s="16">
        <f ca="1">IFERROR(__xludf.DUMMYFUNCTION("""COMPUTED_VALUE"""),46092)</f>
        <v>46092</v>
      </c>
      <c r="M719" s="23" t="str">
        <f ca="1">IFERROR(__xludf.DUMMYFUNCTION("""COMPUTED_VALUE"""),"NO")</f>
        <v>NO</v>
      </c>
      <c r="N719" s="15">
        <f ca="1">IFERROR(__xludf.DUMMYFUNCTION("""COMPUTED_VALUE"""),2)</f>
        <v>2</v>
      </c>
      <c r="O719" s="23" t="str">
        <f ca="1">IFERROR(__xludf.DUMMYFUNCTION("""COMPUTED_VALUE"""),"QUIET")</f>
        <v>QUIET</v>
      </c>
      <c r="P719" s="21">
        <f ca="1">IFERROR(__xludf.DUMMYFUNCTION("""COMPUTED_VALUE"""),2718.19)</f>
        <v>2718.19</v>
      </c>
      <c r="Q719" s="6" t="str">
        <f ca="1">IFERROR(__xludf.DUMMYFUNCTION("""COMPUTED_VALUE"""),"Iván Sánchez")</f>
        <v>Iván Sánchez</v>
      </c>
      <c r="R719" s="6" t="str">
        <f ca="1">IFERROR(__xludf.DUMMYFUNCTION("""COMPUTED_VALUE"""),"Beatriz Rodríguez González Herrero")</f>
        <v>Beatriz Rodríguez González Herrero</v>
      </c>
      <c r="S719" s="20" t="str">
        <f ca="1">IFERROR(__xludf.DUMMYFUNCTION("""COMPUTED_VALUE"""),"03 ORL")</f>
        <v>03 ORL</v>
      </c>
      <c r="T719" s="6" t="str">
        <f ca="1">IFERROR(__xludf.DUMMYFUNCTION("""COMPUTED_VALUE"""),"06 ORL")</f>
        <v>06 ORL</v>
      </c>
      <c r="U719" s="21"/>
      <c r="W719" s="20"/>
      <c r="X719" s="21"/>
    </row>
    <row r="720" spans="2:24" ht="16">
      <c r="B720" s="26" t="str">
        <f t="shared" ca="1" si="3"/>
        <v>ISL</v>
      </c>
      <c r="C720" s="23" t="str">
        <f ca="1">IFERROR(__xludf.DUMMYFUNCTION("""COMPUTED_VALUE"""),"ISL25")</f>
        <v>ISL25</v>
      </c>
      <c r="D720" s="6" t="str">
        <f ca="1">IFERROR(__xludf.DUMMYFUNCTION("""COMPUTED_VALUE"""),"PROPIOS")</f>
        <v>PROPIOS</v>
      </c>
      <c r="E720" s="6">
        <f ca="1">IFERROR(__xludf.DUMMYFUNCTION("""COMPUTED_VALUE"""),2026)</f>
        <v>2026</v>
      </c>
      <c r="F720" s="15">
        <f ca="1">IFERROR(__xludf.DUMMYFUNCTION("""COMPUTED_VALUE"""),3)</f>
        <v>3</v>
      </c>
      <c r="G720" s="6" t="str">
        <f ca="1">IFERROR(__xludf.DUMMYFUNCTION("""COMPUTED_VALUE"""),"Murcia")</f>
        <v>Murcia</v>
      </c>
      <c r="H720" s="6" t="str">
        <f ca="1">IFERROR(__xludf.DUMMYFUNCTION("""COMPUTED_VALUE"""),"MUR-1672")</f>
        <v>MUR-1672</v>
      </c>
      <c r="I720" s="6" t="str">
        <f ca="1">IFERROR(__xludf.DUMMYFUNCTION("""COMPUTED_VALUE"""),"JOSE ANTONIO ALCANTARA JUAREZ")</f>
        <v>JOSE ANTONIO ALCANTARA JUAREZ</v>
      </c>
      <c r="J720" s="16">
        <f ca="1">IFERROR(__xludf.DUMMYFUNCTION("""COMPUTED_VALUE"""),45226)</f>
        <v>45226</v>
      </c>
      <c r="K720" s="6" t="str">
        <f ca="1">IFERROR(__xludf.DUMMYFUNCTION("""COMPUTED_VALUE"""),"Devuelve")</f>
        <v>Devuelve</v>
      </c>
      <c r="L720" s="16">
        <f ca="1">IFERROR(__xludf.DUMMYFUNCTION("""COMPUTED_VALUE"""),46101)</f>
        <v>46101</v>
      </c>
      <c r="M720" s="23" t="str">
        <f ca="1">IFERROR(__xludf.DUMMYFUNCTION("""COMPUTED_VALUE"""),"NO")</f>
        <v>NO</v>
      </c>
      <c r="N720" s="15">
        <f ca="1">IFERROR(__xludf.DUMMYFUNCTION("""COMPUTED_VALUE"""),2)</f>
        <v>2</v>
      </c>
      <c r="O720" s="23" t="str">
        <f ca="1">IFERROR(__xludf.DUMMYFUNCTION("""COMPUTED_VALUE"""),"TRIAL")</f>
        <v>TRIAL</v>
      </c>
      <c r="P720" s="21">
        <f ca="1">IFERROR(__xludf.DUMMYFUNCTION("""COMPUTED_VALUE"""),4136.36)</f>
        <v>4136.3599999999997</v>
      </c>
      <c r="Q720" s="6" t="str">
        <f ca="1">IFERROR(__xludf.DUMMYFUNCTION("""COMPUTED_VALUE"""),"Iván Sánchez")</f>
        <v>Iván Sánchez</v>
      </c>
      <c r="R720" s="6" t="str">
        <f ca="1">IFERROR(__xludf.DUMMYFUNCTION("""COMPUTED_VALUE"""),"Enrique Viviente Rodríguez")</f>
        <v>Enrique Viviente Rodríguez</v>
      </c>
      <c r="S720" s="20" t="str">
        <f ca="1">IFERROR(__xludf.DUMMYFUNCTION("""COMPUTED_VALUE"""),"03 ORL")</f>
        <v>03 ORL</v>
      </c>
      <c r="T720" s="6" t="str">
        <f ca="1">IFERROR(__xludf.DUMMYFUNCTION("""COMPUTED_VALUE"""),"06 ORL")</f>
        <v>06 ORL</v>
      </c>
      <c r="U720" s="21"/>
      <c r="W720" s="20"/>
      <c r="X720" s="21"/>
    </row>
    <row r="721" spans="2:24" ht="16">
      <c r="B721" s="26" t="str">
        <f t="shared" ca="1" si="3"/>
        <v/>
      </c>
      <c r="C721" s="23"/>
      <c r="D721" s="6" t="str">
        <f ca="1">IFERROR(__xludf.DUMMYFUNCTION("""COMPUTED_VALUE"""),"PROPIOS")</f>
        <v>PROPIOS</v>
      </c>
      <c r="E721" s="6">
        <f ca="1">IFERROR(__xludf.DUMMYFUNCTION("""COMPUTED_VALUE"""),2026)</f>
        <v>2026</v>
      </c>
      <c r="F721" s="15">
        <f ca="1">IFERROR(__xludf.DUMMYFUNCTION("""COMPUTED_VALUE"""),2)</f>
        <v>2</v>
      </c>
      <c r="G721" s="6" t="str">
        <f ca="1">IFERROR(__xludf.DUMMYFUNCTION("""COMPUTED_VALUE"""),"Murcia")</f>
        <v>Murcia</v>
      </c>
      <c r="H721" s="6" t="str">
        <f ca="1">IFERROR(__xludf.DUMMYFUNCTION("""COMPUTED_VALUE"""),"C202612817503768539")</f>
        <v>C202612817503768539</v>
      </c>
      <c r="I721" s="6" t="str">
        <f ca="1">IFERROR(__xludf.DUMMYFUNCTION("""COMPUTED_VALUE"""),"JOSE ANTONIO BALLESTER COMAS")</f>
        <v>JOSE ANTONIO BALLESTER COMAS</v>
      </c>
      <c r="J721" s="16">
        <f ca="1">IFERROR(__xludf.DUMMYFUNCTION("""COMPUTED_VALUE"""),46050)</f>
        <v>46050</v>
      </c>
      <c r="K721" s="6" t="str">
        <f ca="1">IFERROR(__xludf.DUMMYFUNCTION("""COMPUTED_VALUE"""),"Devuelve")</f>
        <v>Devuelve</v>
      </c>
      <c r="L721" s="16">
        <f ca="1">IFERROR(__xludf.DUMMYFUNCTION("""COMPUTED_VALUE"""),46057)</f>
        <v>46057</v>
      </c>
      <c r="M721" s="23" t="str">
        <f ca="1">IFERROR(__xludf.DUMMYFUNCTION("""COMPUTED_VALUE"""),"NO")</f>
        <v>NO</v>
      </c>
      <c r="N721" s="15">
        <f ca="1">IFERROR(__xludf.DUMMYFUNCTION("""COMPUTED_VALUE"""),2)</f>
        <v>2</v>
      </c>
      <c r="O721" s="23" t="str">
        <f ca="1">IFERROR(__xludf.DUMMYFUNCTION("""COMPUTED_VALUE"""),"QUIET")</f>
        <v>QUIET</v>
      </c>
      <c r="P721" s="21">
        <f ca="1">IFERROR(__xludf.DUMMYFUNCTION("""COMPUTED_VALUE"""),2718.18)</f>
        <v>2718.18</v>
      </c>
      <c r="Q721" s="6" t="str">
        <f ca="1">IFERROR(__xludf.DUMMYFUNCTION("""COMPUTED_VALUE"""),"Iván Sánchez")</f>
        <v>Iván Sánchez</v>
      </c>
      <c r="R721" s="6" t="str">
        <f ca="1">IFERROR(__xludf.DUMMYFUNCTION("""COMPUTED_VALUE"""),"No recuerda ORL")</f>
        <v>No recuerda ORL</v>
      </c>
      <c r="S721" s="20" t="str">
        <f ca="1">IFERROR(__xludf.DUMMYFUNCTION("""COMPUTED_VALUE"""),"03 ORL")</f>
        <v>03 ORL</v>
      </c>
      <c r="T721" s="6" t="str">
        <f ca="1">IFERROR(__xludf.DUMMYFUNCTION("""COMPUTED_VALUE"""),"06 ORL")</f>
        <v>06 ORL</v>
      </c>
      <c r="U721" s="21"/>
      <c r="W721" s="20"/>
      <c r="X721" s="21"/>
    </row>
    <row r="722" spans="2:24" ht="16">
      <c r="B722" s="26" t="str">
        <f t="shared" ca="1" si="3"/>
        <v>ISL</v>
      </c>
      <c r="C722" s="23" t="str">
        <f ca="1">IFERROR(__xludf.DUMMYFUNCTION("""COMPUTED_VALUE"""),"ISL45")</f>
        <v>ISL45</v>
      </c>
      <c r="D722" s="6" t="str">
        <f ca="1">IFERROR(__xludf.DUMMYFUNCTION("""COMPUTED_VALUE"""),"PROPIOS")</f>
        <v>PROPIOS</v>
      </c>
      <c r="E722" s="6">
        <f ca="1">IFERROR(__xludf.DUMMYFUNCTION("""COMPUTED_VALUE"""),2026)</f>
        <v>2026</v>
      </c>
      <c r="F722" s="15">
        <f ca="1">IFERROR(__xludf.DUMMYFUNCTION("""COMPUTED_VALUE"""),3)</f>
        <v>3</v>
      </c>
      <c r="G722" s="6" t="str">
        <f ca="1">IFERROR(__xludf.DUMMYFUNCTION("""COMPUTED_VALUE"""),"Murcia")</f>
        <v>Murcia</v>
      </c>
      <c r="H722" s="6" t="str">
        <f ca="1">IFERROR(__xludf.DUMMYFUNCTION("""COMPUTED_VALUE"""),"C20263215582153673")</f>
        <v>C20263215582153673</v>
      </c>
      <c r="I722" s="6" t="str">
        <f ca="1">IFERROR(__xludf.DUMMYFUNCTION("""COMPUTED_VALUE"""),"JOSEFA MERINO MURCIA")</f>
        <v>JOSEFA MERINO MURCIA</v>
      </c>
      <c r="J722" s="16">
        <f ca="1">IFERROR(__xludf.DUMMYFUNCTION("""COMPUTED_VALUE"""),46083)</f>
        <v>46083</v>
      </c>
      <c r="K722" s="6" t="str">
        <f ca="1">IFERROR(__xludf.DUMMYFUNCTION("""COMPUTED_VALUE"""),"Prueba")</f>
        <v>Prueba</v>
      </c>
      <c r="L722" s="16">
        <f ca="1">IFERROR(__xludf.DUMMYFUNCTION("""COMPUTED_VALUE"""),46101)</f>
        <v>46101</v>
      </c>
      <c r="M722" s="23" t="str">
        <f ca="1">IFERROR(__xludf.DUMMYFUNCTION("""COMPUTED_VALUE"""),"NO")</f>
        <v>NO</v>
      </c>
      <c r="N722" s="15">
        <f ca="1">IFERROR(__xludf.DUMMYFUNCTION("""COMPUTED_VALUE"""),1)</f>
        <v>1</v>
      </c>
      <c r="O722" s="23" t="str">
        <f ca="1">IFERROR(__xludf.DUMMYFUNCTION("""COMPUTED_VALUE"""),"CONFORT")</f>
        <v>CONFORT</v>
      </c>
      <c r="P722" s="21">
        <f ca="1">IFERROR(__xludf.DUMMYFUNCTION("""COMPUTED_VALUE"""),2018.18)</f>
        <v>2018.18</v>
      </c>
      <c r="Q722" s="6" t="str">
        <f ca="1">IFERROR(__xludf.DUMMYFUNCTION("""COMPUTED_VALUE"""),"Iván Sánchez")</f>
        <v>Iván Sánchez</v>
      </c>
      <c r="R722" s="6" t="str">
        <f ca="1">IFERROR(__xludf.DUMMYFUNCTION("""COMPUTED_VALUE"""),"Jesús Miguel Iniesta Turpín")</f>
        <v>Jesús Miguel Iniesta Turpín</v>
      </c>
      <c r="S722" s="20" t="str">
        <f ca="1">IFERROR(__xludf.DUMMYFUNCTION("""COMPUTED_VALUE"""),"03 ORL")</f>
        <v>03 ORL</v>
      </c>
      <c r="T722" s="6" t="str">
        <f ca="1">IFERROR(__xludf.DUMMYFUNCTION("""COMPUTED_VALUE"""),"06 ORL")</f>
        <v>06 ORL</v>
      </c>
      <c r="U722" s="21"/>
      <c r="W722" s="20"/>
      <c r="X722" s="21"/>
    </row>
    <row r="723" spans="2:24" ht="16">
      <c r="B723" s="26" t="str">
        <f t="shared" ca="1" si="3"/>
        <v>ISL</v>
      </c>
      <c r="C723" s="23" t="str">
        <f ca="1">IFERROR(__xludf.DUMMYFUNCTION("""COMPUTED_VALUE"""),"ISL45")</f>
        <v>ISL45</v>
      </c>
      <c r="D723" s="6" t="str">
        <f ca="1">IFERROR(__xludf.DUMMYFUNCTION("""COMPUTED_VALUE"""),"PROPIOS")</f>
        <v>PROPIOS</v>
      </c>
      <c r="E723" s="6">
        <f ca="1">IFERROR(__xludf.DUMMYFUNCTION("""COMPUTED_VALUE"""),2026)</f>
        <v>2026</v>
      </c>
      <c r="F723" s="15">
        <f ca="1">IFERROR(__xludf.DUMMYFUNCTION("""COMPUTED_VALUE"""),1)</f>
        <v>1</v>
      </c>
      <c r="G723" s="6" t="str">
        <f ca="1">IFERROR(__xludf.DUMMYFUNCTION("""COMPUTED_VALUE"""),"Murcia")</f>
        <v>Murcia</v>
      </c>
      <c r="H723" s="6" t="str">
        <f ca="1">IFERROR(__xludf.DUMMYFUNCTION("""COMPUTED_VALUE"""),"C20261791252300690")</f>
        <v>C20261791252300690</v>
      </c>
      <c r="I723" s="6" t="str">
        <f ca="1">IFERROR(__xludf.DUMMYFUNCTION("""COMPUTED_VALUE"""),"JOSE GARRIDO MOLINA")</f>
        <v>JOSE GARRIDO MOLINA</v>
      </c>
      <c r="J723" s="16">
        <f ca="1">IFERROR(__xludf.DUMMYFUNCTION("""COMPUTED_VALUE"""),46029)</f>
        <v>46029</v>
      </c>
      <c r="K723" s="6" t="str">
        <f ca="1">IFERROR(__xludf.DUMMYFUNCTION("""COMPUTED_VALUE"""),"Devuelve")</f>
        <v>Devuelve</v>
      </c>
      <c r="L723" s="16">
        <f ca="1">IFERROR(__xludf.DUMMYFUNCTION("""COMPUTED_VALUE"""),46035)</f>
        <v>46035</v>
      </c>
      <c r="M723" s="23" t="str">
        <f ca="1">IFERROR(__xludf.DUMMYFUNCTION("""COMPUTED_VALUE"""),"NO")</f>
        <v>NO</v>
      </c>
      <c r="N723" s="15">
        <f ca="1">IFERROR(__xludf.DUMMYFUNCTION("""COMPUTED_VALUE"""),2)</f>
        <v>2</v>
      </c>
      <c r="O723" s="23" t="str">
        <f ca="1">IFERROR(__xludf.DUMMYFUNCTION("""COMPUTED_VALUE"""),"QUIET")</f>
        <v>QUIET</v>
      </c>
      <c r="P723" s="21">
        <f ca="1">IFERROR(__xludf.DUMMYFUNCTION("""COMPUTED_VALUE"""),2718.18)</f>
        <v>2718.18</v>
      </c>
      <c r="Q723" s="6" t="str">
        <f ca="1">IFERROR(__xludf.DUMMYFUNCTION("""COMPUTED_VALUE"""),"Iván Sánchez")</f>
        <v>Iván Sánchez</v>
      </c>
      <c r="R723" s="6" t="str">
        <f ca="1">IFERROR(__xludf.DUMMYFUNCTION("""COMPUTED_VALUE"""),"Jesús Miguel Iniesta Turpín")</f>
        <v>Jesús Miguel Iniesta Turpín</v>
      </c>
      <c r="S723" s="20" t="str">
        <f ca="1">IFERROR(__xludf.DUMMYFUNCTION("""COMPUTED_VALUE"""),"03 ORL")</f>
        <v>03 ORL</v>
      </c>
      <c r="T723" s="6" t="str">
        <f ca="1">IFERROR(__xludf.DUMMYFUNCTION("""COMPUTED_VALUE"""),"06 ORL")</f>
        <v>06 ORL</v>
      </c>
      <c r="U723" s="21"/>
      <c r="W723" s="20"/>
      <c r="X723" s="21"/>
    </row>
    <row r="724" spans="2:24" ht="16">
      <c r="B724" s="26" t="str">
        <f t="shared" ca="1" si="3"/>
        <v>ISL</v>
      </c>
      <c r="C724" s="23" t="str">
        <f ca="1">IFERROR(__xludf.DUMMYFUNCTION("""COMPUTED_VALUE"""),"ISL45")</f>
        <v>ISL45</v>
      </c>
      <c r="D724" s="6" t="str">
        <f ca="1">IFERROR(__xludf.DUMMYFUNCTION("""COMPUTED_VALUE"""),"PROPIOS")</f>
        <v>PROPIOS</v>
      </c>
      <c r="E724" s="6">
        <f ca="1">IFERROR(__xludf.DUMMYFUNCTION("""COMPUTED_VALUE"""),2026)</f>
        <v>2026</v>
      </c>
      <c r="F724" s="15">
        <f ca="1">IFERROR(__xludf.DUMMYFUNCTION("""COMPUTED_VALUE"""),3)</f>
        <v>3</v>
      </c>
      <c r="G724" s="6" t="str">
        <f ca="1">IFERROR(__xludf.DUMMYFUNCTION("""COMPUTED_VALUE"""),"Murcia")</f>
        <v>Murcia</v>
      </c>
      <c r="H724" s="6" t="str">
        <f ca="1">IFERROR(__xludf.DUMMYFUNCTION("""COMPUTED_VALUE"""),"C202635103523747974")</f>
        <v>C202635103523747974</v>
      </c>
      <c r="I724" s="6" t="str">
        <f ca="1">IFERROR(__xludf.DUMMYFUNCTION("""COMPUTED_VALUE"""),"JUAN  LOPEZ FONTES")</f>
        <v>JUAN  LOPEZ FONTES</v>
      </c>
      <c r="J724" s="16">
        <f ca="1">IFERROR(__xludf.DUMMYFUNCTION("""COMPUTED_VALUE"""),46086)</f>
        <v>46086</v>
      </c>
      <c r="K724" s="6" t="str">
        <f ca="1">IFERROR(__xludf.DUMMYFUNCTION("""COMPUTED_VALUE"""),"Presupuesto")</f>
        <v>Presupuesto</v>
      </c>
      <c r="L724" s="16">
        <f ca="1">IFERROR(__xludf.DUMMYFUNCTION("""COMPUTED_VALUE"""),46093)</f>
        <v>46093</v>
      </c>
      <c r="M724" s="23" t="str">
        <f ca="1">IFERROR(__xludf.DUMMYFUNCTION("""COMPUTED_VALUE"""),"NO")</f>
        <v>NO</v>
      </c>
      <c r="N724" s="15">
        <f ca="1">IFERROR(__xludf.DUMMYFUNCTION("""COMPUTED_VALUE"""),1)</f>
        <v>1</v>
      </c>
      <c r="O724" s="23" t="str">
        <f ca="1">IFERROR(__xludf.DUMMYFUNCTION("""COMPUTED_VALUE"""),"ADVANCED")</f>
        <v>ADVANCED</v>
      </c>
      <c r="P724" s="21">
        <f ca="1">IFERROR(__xludf.DUMMYFUNCTION("""COMPUTED_VALUE"""),2481.82)</f>
        <v>2481.8200000000002</v>
      </c>
      <c r="Q724" s="6" t="str">
        <f ca="1">IFERROR(__xludf.DUMMYFUNCTION("""COMPUTED_VALUE"""),"Iván Sánchez")</f>
        <v>Iván Sánchez</v>
      </c>
      <c r="R724" s="6" t="str">
        <f ca="1">IFERROR(__xludf.DUMMYFUNCTION("""COMPUTED_VALUE"""),"Jesús Miguel Iniesta Turpín")</f>
        <v>Jesús Miguel Iniesta Turpín</v>
      </c>
      <c r="S724" s="20" t="str">
        <f ca="1">IFERROR(__xludf.DUMMYFUNCTION("""COMPUTED_VALUE"""),"01 MARKETING ON LINE")</f>
        <v>01 MARKETING ON LINE</v>
      </c>
      <c r="T724" s="6" t="str">
        <f ca="1">IFERROR(__xludf.DUMMYFUNCTION("""COMPUTED_VALUE"""),"04 AUDIFONO,ES")</f>
        <v>04 AUDIFONO,ES</v>
      </c>
      <c r="U724" s="21"/>
      <c r="W724" s="20"/>
      <c r="X724" s="21"/>
    </row>
    <row r="725" spans="2:24" ht="16">
      <c r="B725" s="26" t="str">
        <f t="shared" ca="1" si="3"/>
        <v>ISL</v>
      </c>
      <c r="C725" s="23" t="str">
        <f ca="1">IFERROR(__xludf.DUMMYFUNCTION("""COMPUTED_VALUE"""),"ISL83")</f>
        <v>ISL83</v>
      </c>
      <c r="D725" s="6" t="str">
        <f ca="1">IFERROR(__xludf.DUMMYFUNCTION("""COMPUTED_VALUE"""),"PROPIOS")</f>
        <v>PROPIOS</v>
      </c>
      <c r="E725" s="6">
        <f ca="1">IFERROR(__xludf.DUMMYFUNCTION("""COMPUTED_VALUE"""),2026)</f>
        <v>2026</v>
      </c>
      <c r="F725" s="15">
        <f ca="1">IFERROR(__xludf.DUMMYFUNCTION("""COMPUTED_VALUE"""),3)</f>
        <v>3</v>
      </c>
      <c r="G725" s="6" t="str">
        <f ca="1">IFERROR(__xludf.DUMMYFUNCTION("""COMPUTED_VALUE"""),"Murcia")</f>
        <v>Murcia</v>
      </c>
      <c r="H725" s="6" t="str">
        <f ca="1">IFERROR(__xludf.DUMMYFUNCTION("""COMPUTED_VALUE"""),"C202532610155344")</f>
        <v>C202532610155344</v>
      </c>
      <c r="I725" s="6" t="str">
        <f ca="1">IFERROR(__xludf.DUMMYFUNCTION("""COMPUTED_VALUE"""),"JUAN TEODORO BAÑO FRANCO")</f>
        <v>JUAN TEODORO BAÑO FRANCO</v>
      </c>
      <c r="J725" s="16">
        <f ca="1">IFERROR(__xludf.DUMMYFUNCTION("""COMPUTED_VALUE"""),45741)</f>
        <v>45741</v>
      </c>
      <c r="K725" s="6" t="str">
        <f ca="1">IFERROR(__xludf.DUMMYFUNCTION("""COMPUTED_VALUE"""),"Pedido")</f>
        <v>Pedido</v>
      </c>
      <c r="L725" s="16">
        <f ca="1">IFERROR(__xludf.DUMMYFUNCTION("""COMPUTED_VALUE"""),46104)</f>
        <v>46104</v>
      </c>
      <c r="M725" s="23" t="str">
        <f ca="1">IFERROR(__xludf.DUMMYFUNCTION("""COMPUTED_VALUE"""),"NO")</f>
        <v>NO</v>
      </c>
      <c r="N725" s="15">
        <f ca="1">IFERROR(__xludf.DUMMYFUNCTION("""COMPUTED_VALUE"""),1)</f>
        <v>1</v>
      </c>
      <c r="O725" s="23" t="str">
        <f ca="1">IFERROR(__xludf.DUMMYFUNCTION("""COMPUTED_VALUE"""),"ADVANCED")</f>
        <v>ADVANCED</v>
      </c>
      <c r="P725" s="21">
        <f ca="1">IFERROR(__xludf.DUMMYFUNCTION("""COMPUTED_VALUE"""),1720)</f>
        <v>1720</v>
      </c>
      <c r="Q725" s="6" t="str">
        <f ca="1">IFERROR(__xludf.DUMMYFUNCTION("""COMPUTED_VALUE"""),"Iván Sánchez")</f>
        <v>Iván Sánchez</v>
      </c>
      <c r="R725" s="6" t="str">
        <f ca="1">IFERROR(__xludf.DUMMYFUNCTION("""COMPUTED_VALUE"""),"Aida Aviñoa Arias")</f>
        <v>Aida Aviñoa Arias</v>
      </c>
      <c r="S725" s="20" t="str">
        <f ca="1">IFERROR(__xludf.DUMMYFUNCTION("""COMPUTED_VALUE"""),"03 ORL")</f>
        <v>03 ORL</v>
      </c>
      <c r="T725" s="6" t="str">
        <f ca="1">IFERROR(__xludf.DUMMYFUNCTION("""COMPUTED_VALUE"""),"06 ORL")</f>
        <v>06 ORL</v>
      </c>
      <c r="U725" s="21"/>
      <c r="W725" s="20"/>
      <c r="X725" s="21"/>
    </row>
    <row r="726" spans="2:24" ht="16">
      <c r="B726" s="26" t="str">
        <f t="shared" ca="1" si="3"/>
        <v>ISL</v>
      </c>
      <c r="C726" s="23" t="str">
        <f ca="1">IFERROR(__xludf.DUMMYFUNCTION("""COMPUTED_VALUE"""),"ISL45")</f>
        <v>ISL45</v>
      </c>
      <c r="D726" s="6" t="str">
        <f ca="1">IFERROR(__xludf.DUMMYFUNCTION("""COMPUTED_VALUE"""),"PROPIOS")</f>
        <v>PROPIOS</v>
      </c>
      <c r="E726" s="6">
        <f ca="1">IFERROR(__xludf.DUMMYFUNCTION("""COMPUTED_VALUE"""),2026)</f>
        <v>2026</v>
      </c>
      <c r="F726" s="15">
        <f ca="1">IFERROR(__xludf.DUMMYFUNCTION("""COMPUTED_VALUE"""),3)</f>
        <v>3</v>
      </c>
      <c r="G726" s="6" t="str">
        <f ca="1">IFERROR(__xludf.DUMMYFUNCTION("""COMPUTED_VALUE"""),"Murcia")</f>
        <v>Murcia</v>
      </c>
      <c r="H726" s="6" t="str">
        <f ca="1">IFERROR(__xludf.DUMMYFUNCTION("""COMPUTED_VALUE"""),"C202621012173213759")</f>
        <v>C202621012173213759</v>
      </c>
      <c r="I726" s="6" t="str">
        <f ca="1">IFERROR(__xludf.DUMMYFUNCTION("""COMPUTED_VALUE"""),"LUCIA PIQUERAS PEREZ")</f>
        <v>LUCIA PIQUERAS PEREZ</v>
      </c>
      <c r="J726" s="16">
        <f ca="1">IFERROR(__xludf.DUMMYFUNCTION("""COMPUTED_VALUE"""),46063)</f>
        <v>46063</v>
      </c>
      <c r="K726" s="6" t="str">
        <f ca="1">IFERROR(__xludf.DUMMYFUNCTION("""COMPUTED_VALUE"""),"Prueba")</f>
        <v>Prueba</v>
      </c>
      <c r="L726" s="16">
        <f ca="1">IFERROR(__xludf.DUMMYFUNCTION("""COMPUTED_VALUE"""),46094)</f>
        <v>46094</v>
      </c>
      <c r="M726" s="23" t="str">
        <f ca="1">IFERROR(__xludf.DUMMYFUNCTION("""COMPUTED_VALUE"""),"NO")</f>
        <v>NO</v>
      </c>
      <c r="N726" s="15">
        <f ca="1">IFERROR(__xludf.DUMMYFUNCTION("""COMPUTED_VALUE"""),2)</f>
        <v>2</v>
      </c>
      <c r="O726" s="23" t="str">
        <f ca="1">IFERROR(__xludf.DUMMYFUNCTION("""COMPUTED_VALUE"""),"ADVANCED")</f>
        <v>ADVANCED</v>
      </c>
      <c r="P726" s="21">
        <f ca="1">IFERROR(__xludf.DUMMYFUNCTION("""COMPUTED_VALUE"""),4136.36)</f>
        <v>4136.3599999999997</v>
      </c>
      <c r="Q726" s="6" t="str">
        <f ca="1">IFERROR(__xludf.DUMMYFUNCTION("""COMPUTED_VALUE"""),"Iván Sánchez")</f>
        <v>Iván Sánchez</v>
      </c>
      <c r="R726" s="6" t="str">
        <f ca="1">IFERROR(__xludf.DUMMYFUNCTION("""COMPUTED_VALUE"""),"Jesús Miguel Iniesta Turpín")</f>
        <v>Jesús Miguel Iniesta Turpín</v>
      </c>
      <c r="S726" s="20" t="str">
        <f ca="1">IFERROR(__xludf.DUMMYFUNCTION("""COMPUTED_VALUE"""),"03 ORL")</f>
        <v>03 ORL</v>
      </c>
      <c r="T726" s="6" t="str">
        <f ca="1">IFERROR(__xludf.DUMMYFUNCTION("""COMPUTED_VALUE"""),"06 ORL")</f>
        <v>06 ORL</v>
      </c>
      <c r="U726" s="21"/>
      <c r="W726" s="20"/>
      <c r="X726" s="21"/>
    </row>
    <row r="727" spans="2:24" ht="16">
      <c r="B727" s="26" t="str">
        <f t="shared" ca="1" si="3"/>
        <v>ISL</v>
      </c>
      <c r="C727" s="23" t="str">
        <f ca="1">IFERROR(__xludf.DUMMYFUNCTION("""COMPUTED_VALUE"""),"ISL122")</f>
        <v>ISL122</v>
      </c>
      <c r="D727" s="6" t="str">
        <f ca="1">IFERROR(__xludf.DUMMYFUNCTION("""COMPUTED_VALUE"""),"PROPIOS")</f>
        <v>PROPIOS</v>
      </c>
      <c r="E727" s="6">
        <f ca="1">IFERROR(__xludf.DUMMYFUNCTION("""COMPUTED_VALUE"""),2026)</f>
        <v>2026</v>
      </c>
      <c r="F727" s="15">
        <f ca="1">IFERROR(__xludf.DUMMYFUNCTION("""COMPUTED_VALUE"""),3)</f>
        <v>3</v>
      </c>
      <c r="G727" s="6" t="str">
        <f ca="1">IFERROR(__xludf.DUMMYFUNCTION("""COMPUTED_VALUE"""),"Murcia")</f>
        <v>Murcia</v>
      </c>
      <c r="H727" s="6" t="str">
        <f ca="1">IFERROR(__xludf.DUMMYFUNCTION("""COMPUTED_VALUE"""),"C202622411122311524")</f>
        <v>C202622411122311524</v>
      </c>
      <c r="I727" s="6" t="str">
        <f ca="1">IFERROR(__xludf.DUMMYFUNCTION("""COMPUTED_VALUE"""),"MANUEL MONTOYA PEDREÑO")</f>
        <v>MANUEL MONTOYA PEDREÑO</v>
      </c>
      <c r="J727" s="16">
        <f ca="1">IFERROR(__xludf.DUMMYFUNCTION("""COMPUTED_VALUE"""),46077)</f>
        <v>46077</v>
      </c>
      <c r="K727" s="6" t="str">
        <f ca="1">IFERROR(__xludf.DUMMYFUNCTION("""COMPUTED_VALUE"""),"Prueba")</f>
        <v>Prueba</v>
      </c>
      <c r="L727" s="16">
        <f ca="1">IFERROR(__xludf.DUMMYFUNCTION("""COMPUTED_VALUE"""),46094)</f>
        <v>46094</v>
      </c>
      <c r="M727" s="23" t="str">
        <f ca="1">IFERROR(__xludf.DUMMYFUNCTION("""COMPUTED_VALUE"""),"NO")</f>
        <v>NO</v>
      </c>
      <c r="N727" s="15">
        <f ca="1">IFERROR(__xludf.DUMMYFUNCTION("""COMPUTED_VALUE"""),2)</f>
        <v>2</v>
      </c>
      <c r="O727" s="23" t="str">
        <f ca="1">IFERROR(__xludf.DUMMYFUNCTION("""COMPUTED_VALUE"""),"ADVANCED")</f>
        <v>ADVANCED</v>
      </c>
      <c r="P727" s="21">
        <f ca="1">IFERROR(__xludf.DUMMYFUNCTION("""COMPUTED_VALUE"""),4381.27)</f>
        <v>4381.2700000000004</v>
      </c>
      <c r="Q727" s="6" t="str">
        <f ca="1">IFERROR(__xludf.DUMMYFUNCTION("""COMPUTED_VALUE"""),"Iván Sánchez")</f>
        <v>Iván Sánchez</v>
      </c>
      <c r="R727" s="6" t="str">
        <f ca="1">IFERROR(__xludf.DUMMYFUNCTION("""COMPUTED_VALUE"""),"María Agustina Sevilla García")</f>
        <v>María Agustina Sevilla García</v>
      </c>
      <c r="S727" s="20" t="str">
        <f ca="1">IFERROR(__xludf.DUMMYFUNCTION("""COMPUTED_VALUE"""),"03 ORL")</f>
        <v>03 ORL</v>
      </c>
      <c r="T727" s="6" t="str">
        <f ca="1">IFERROR(__xludf.DUMMYFUNCTION("""COMPUTED_VALUE"""),"06 ORL")</f>
        <v>06 ORL</v>
      </c>
      <c r="U727" s="21"/>
      <c r="W727" s="20"/>
      <c r="X727" s="21"/>
    </row>
    <row r="728" spans="2:24" ht="16">
      <c r="B728" s="26" t="str">
        <f t="shared" ca="1" si="3"/>
        <v>ISL</v>
      </c>
      <c r="C728" s="23" t="str">
        <f ca="1">IFERROR(__xludf.DUMMYFUNCTION("""COMPUTED_VALUE"""),"ISL56")</f>
        <v>ISL56</v>
      </c>
      <c r="D728" s="6" t="str">
        <f ca="1">IFERROR(__xludf.DUMMYFUNCTION("""COMPUTED_VALUE"""),"PROPIOS")</f>
        <v>PROPIOS</v>
      </c>
      <c r="E728" s="6">
        <f ca="1">IFERROR(__xludf.DUMMYFUNCTION("""COMPUTED_VALUE"""),2026)</f>
        <v>2026</v>
      </c>
      <c r="F728" s="15">
        <f ca="1">IFERROR(__xludf.DUMMYFUNCTION("""COMPUTED_VALUE"""),1)</f>
        <v>1</v>
      </c>
      <c r="G728" s="6" t="str">
        <f ca="1">IFERROR(__xludf.DUMMYFUNCTION("""COMPUTED_VALUE"""),"Murcia")</f>
        <v>Murcia</v>
      </c>
      <c r="H728" s="6" t="str">
        <f ca="1">IFERROR(__xludf.DUMMYFUNCTION("""COMPUTED_VALUE"""),"C2024121812922488")</f>
        <v>C2024121812922488</v>
      </c>
      <c r="I728" s="6" t="str">
        <f ca="1">IFERROR(__xludf.DUMMYFUNCTION("""COMPUTED_VALUE"""),"MANUEL VIDAL SANZ")</f>
        <v>MANUEL VIDAL SANZ</v>
      </c>
      <c r="J728" s="16">
        <f ca="1">IFERROR(__xludf.DUMMYFUNCTION("""COMPUTED_VALUE"""),45643)</f>
        <v>45643</v>
      </c>
      <c r="K728" s="6" t="str">
        <f ca="1">IFERROR(__xludf.DUMMYFUNCTION("""COMPUTED_VALUE"""),"Devuelve")</f>
        <v>Devuelve</v>
      </c>
      <c r="L728" s="16">
        <f ca="1">IFERROR(__xludf.DUMMYFUNCTION("""COMPUTED_VALUE"""),46045)</f>
        <v>46045</v>
      </c>
      <c r="M728" s="23" t="str">
        <f ca="1">IFERROR(__xludf.DUMMYFUNCTION("""COMPUTED_VALUE"""),"NO")</f>
        <v>NO</v>
      </c>
      <c r="N728" s="15">
        <f ca="1">IFERROR(__xludf.DUMMYFUNCTION("""COMPUTED_VALUE"""),2)</f>
        <v>2</v>
      </c>
      <c r="O728" s="23" t="str">
        <f ca="1">IFERROR(__xludf.DUMMYFUNCTION("""COMPUTED_VALUE"""),"TRIAL")</f>
        <v>TRIAL</v>
      </c>
      <c r="P728" s="21">
        <f ca="1">IFERROR(__xludf.DUMMYFUNCTION("""COMPUTED_VALUE"""),4536.36)</f>
        <v>4536.3599999999997</v>
      </c>
      <c r="Q728" s="6" t="str">
        <f ca="1">IFERROR(__xludf.DUMMYFUNCTION("""COMPUTED_VALUE"""),"Iván Sánchez")</f>
        <v>Iván Sánchez</v>
      </c>
      <c r="R728" s="6" t="str">
        <f ca="1">IFERROR(__xludf.DUMMYFUNCTION("""COMPUTED_VALUE"""),"José Miguel Osete Albaladejo")</f>
        <v>José Miguel Osete Albaladejo</v>
      </c>
      <c r="S728" s="20" t="str">
        <f ca="1">IFERROR(__xludf.DUMMYFUNCTION("""COMPUTED_VALUE"""),"03 ORL")</f>
        <v>03 ORL</v>
      </c>
      <c r="T728" s="6" t="str">
        <f ca="1">IFERROR(__xludf.DUMMYFUNCTION("""COMPUTED_VALUE"""),"06 ORL")</f>
        <v>06 ORL</v>
      </c>
      <c r="U728" s="21"/>
      <c r="W728" s="20"/>
      <c r="X728" s="21"/>
    </row>
    <row r="729" spans="2:24" ht="16">
      <c r="B729" s="26" t="str">
        <f t="shared" ca="1" si="3"/>
        <v>ISL</v>
      </c>
      <c r="C729" s="23" t="str">
        <f ca="1">IFERROR(__xludf.DUMMYFUNCTION("""COMPUTED_VALUE"""),"ISL39")</f>
        <v>ISL39</v>
      </c>
      <c r="D729" s="6" t="str">
        <f ca="1">IFERROR(__xludf.DUMMYFUNCTION("""COMPUTED_VALUE"""),"PROPIOS")</f>
        <v>PROPIOS</v>
      </c>
      <c r="E729" s="6">
        <f ca="1">IFERROR(__xludf.DUMMYFUNCTION("""COMPUTED_VALUE"""),2026)</f>
        <v>2026</v>
      </c>
      <c r="F729" s="15">
        <f ca="1">IFERROR(__xludf.DUMMYFUNCTION("""COMPUTED_VALUE"""),3)</f>
        <v>3</v>
      </c>
      <c r="G729" s="6" t="str">
        <f ca="1">IFERROR(__xludf.DUMMYFUNCTION("""COMPUTED_VALUE"""),"Murcia")</f>
        <v>Murcia</v>
      </c>
      <c r="H729" s="6" t="str">
        <f ca="1">IFERROR(__xludf.DUMMYFUNCTION("""COMPUTED_VALUE"""),"C202632014153712775")</f>
        <v>C202632014153712775</v>
      </c>
      <c r="I729" s="6" t="str">
        <f ca="1">IFERROR(__xludf.DUMMYFUNCTION("""COMPUTED_VALUE"""),"MARIA DOLORES MARTINEZ SANCHEZ")</f>
        <v>MARIA DOLORES MARTINEZ SANCHEZ</v>
      </c>
      <c r="J729" s="16">
        <f ca="1">IFERROR(__xludf.DUMMYFUNCTION("""COMPUTED_VALUE"""),46101)</f>
        <v>46101</v>
      </c>
      <c r="K729" s="6" t="str">
        <f ca="1">IFERROR(__xludf.DUMMYFUNCTION("""COMPUTED_VALUE"""),"Prueba")</f>
        <v>Prueba</v>
      </c>
      <c r="L729" s="16">
        <f ca="1">IFERROR(__xludf.DUMMYFUNCTION("""COMPUTED_VALUE"""),46111)</f>
        <v>46111</v>
      </c>
      <c r="M729" s="23" t="str">
        <f ca="1">IFERROR(__xludf.DUMMYFUNCTION("""COMPUTED_VALUE"""),"NO")</f>
        <v>NO</v>
      </c>
      <c r="N729" s="15">
        <f ca="1">IFERROR(__xludf.DUMMYFUNCTION("""COMPUTED_VALUE"""),1)</f>
        <v>1</v>
      </c>
      <c r="O729" s="23" t="str">
        <f ca="1">IFERROR(__xludf.DUMMYFUNCTION("""COMPUTED_VALUE"""),"TRIAL")</f>
        <v>TRIAL</v>
      </c>
      <c r="P729" s="21">
        <f ca="1">IFERROR(__xludf.DUMMYFUNCTION("""COMPUTED_VALUE"""),2180.91)</f>
        <v>2180.91</v>
      </c>
      <c r="Q729" s="6" t="str">
        <f ca="1">IFERROR(__xludf.DUMMYFUNCTION("""COMPUTED_VALUE"""),"Iván Sánchez")</f>
        <v>Iván Sánchez</v>
      </c>
      <c r="R729" s="6" t="str">
        <f ca="1">IFERROR(__xludf.DUMMYFUNCTION("""COMPUTED_VALUE"""),"Ignacio Albaladejo Devis")</f>
        <v>Ignacio Albaladejo Devis</v>
      </c>
      <c r="S729" s="20" t="str">
        <f ca="1">IFERROR(__xludf.DUMMYFUNCTION("""COMPUTED_VALUE"""),"03 ORL")</f>
        <v>03 ORL</v>
      </c>
      <c r="T729" s="6" t="str">
        <f ca="1">IFERROR(__xludf.DUMMYFUNCTION("""COMPUTED_VALUE"""),"06 ORL")</f>
        <v>06 ORL</v>
      </c>
      <c r="U729" s="21"/>
      <c r="W729" s="20"/>
      <c r="X729" s="21"/>
    </row>
    <row r="730" spans="2:24" ht="16">
      <c r="B730" s="26" t="str">
        <f t="shared" ca="1" si="3"/>
        <v>ISL</v>
      </c>
      <c r="C730" s="23" t="str">
        <f ca="1">IFERROR(__xludf.DUMMYFUNCTION("""COMPUTED_VALUE"""),"ISL45")</f>
        <v>ISL45</v>
      </c>
      <c r="D730" s="6" t="str">
        <f ca="1">IFERROR(__xludf.DUMMYFUNCTION("""COMPUTED_VALUE"""),"PROPIOS")</f>
        <v>PROPIOS</v>
      </c>
      <c r="E730" s="6">
        <f ca="1">IFERROR(__xludf.DUMMYFUNCTION("""COMPUTED_VALUE"""),2026)</f>
        <v>2026</v>
      </c>
      <c r="F730" s="15">
        <f ca="1">IFERROR(__xludf.DUMMYFUNCTION("""COMPUTED_VALUE"""),3)</f>
        <v>3</v>
      </c>
      <c r="G730" s="6" t="str">
        <f ca="1">IFERROR(__xludf.DUMMYFUNCTION("""COMPUTED_VALUE"""),"Murcia")</f>
        <v>Murcia</v>
      </c>
      <c r="H730" s="6" t="str">
        <f ca="1">IFERROR(__xludf.DUMMYFUNCTION("""COMPUTED_VALUE"""),"C202621810330890955")</f>
        <v>C202621810330890955</v>
      </c>
      <c r="I730" s="6" t="str">
        <f ca="1">IFERROR(__xludf.DUMMYFUNCTION("""COMPUTED_VALUE"""),"MARIA ENCARNACIÓN LOPEZ MOYA")</f>
        <v>MARIA ENCARNACIÓN LOPEZ MOYA</v>
      </c>
      <c r="J730" s="16">
        <f ca="1">IFERROR(__xludf.DUMMYFUNCTION("""COMPUTED_VALUE"""),46071)</f>
        <v>46071</v>
      </c>
      <c r="K730" s="6" t="str">
        <f ca="1">IFERROR(__xludf.DUMMYFUNCTION("""COMPUTED_VALUE"""),"Devuelve")</f>
        <v>Devuelve</v>
      </c>
      <c r="L730" s="16">
        <f ca="1">IFERROR(__xludf.DUMMYFUNCTION("""COMPUTED_VALUE"""),46083)</f>
        <v>46083</v>
      </c>
      <c r="M730" s="23" t="str">
        <f ca="1">IFERROR(__xludf.DUMMYFUNCTION("""COMPUTED_VALUE"""),"NO")</f>
        <v>NO</v>
      </c>
      <c r="N730" s="15">
        <f ca="1">IFERROR(__xludf.DUMMYFUNCTION("""COMPUTED_VALUE"""),2)</f>
        <v>2</v>
      </c>
      <c r="O730" s="23" t="str">
        <f ca="1">IFERROR(__xludf.DUMMYFUNCTION("""COMPUTED_VALUE"""),"QUIET")</f>
        <v>QUIET</v>
      </c>
      <c r="P730" s="21">
        <f ca="1">IFERROR(__xludf.DUMMYFUNCTION("""COMPUTED_VALUE"""),2711.54)</f>
        <v>2711.54</v>
      </c>
      <c r="Q730" s="6" t="str">
        <f ca="1">IFERROR(__xludf.DUMMYFUNCTION("""COMPUTED_VALUE"""),"Iván Sánchez")</f>
        <v>Iván Sánchez</v>
      </c>
      <c r="R730" s="6" t="str">
        <f ca="1">IFERROR(__xludf.DUMMYFUNCTION("""COMPUTED_VALUE"""),"Jesús Miguel Iniesta Turpín")</f>
        <v>Jesús Miguel Iniesta Turpín</v>
      </c>
      <c r="S730" s="20" t="str">
        <f ca="1">IFERROR(__xludf.DUMMYFUNCTION("""COMPUTED_VALUE"""),"03 ORL")</f>
        <v>03 ORL</v>
      </c>
      <c r="T730" s="6" t="str">
        <f ca="1">IFERROR(__xludf.DUMMYFUNCTION("""COMPUTED_VALUE"""),"06 ORL")</f>
        <v>06 ORL</v>
      </c>
      <c r="U730" s="21"/>
      <c r="W730" s="20"/>
      <c r="X730" s="21"/>
    </row>
    <row r="731" spans="2:24" ht="16">
      <c r="B731" s="26" t="str">
        <f t="shared" ca="1" si="3"/>
        <v>ISL</v>
      </c>
      <c r="C731" s="23" t="str">
        <f ca="1">IFERROR(__xludf.DUMMYFUNCTION("""COMPUTED_VALUE"""),"ISL122")</f>
        <v>ISL122</v>
      </c>
      <c r="D731" s="6" t="str">
        <f ca="1">IFERROR(__xludf.DUMMYFUNCTION("""COMPUTED_VALUE"""),"PROPIOS")</f>
        <v>PROPIOS</v>
      </c>
      <c r="E731" s="6">
        <f ca="1">IFERROR(__xludf.DUMMYFUNCTION("""COMPUTED_VALUE"""),2026)</f>
        <v>2026</v>
      </c>
      <c r="F731" s="15">
        <f ca="1">IFERROR(__xludf.DUMMYFUNCTION("""COMPUTED_VALUE"""),3)</f>
        <v>3</v>
      </c>
      <c r="G731" s="6" t="str">
        <f ca="1">IFERROR(__xludf.DUMMYFUNCTION("""COMPUTED_VALUE"""),"Murcia")</f>
        <v>Murcia</v>
      </c>
      <c r="H731" s="6" t="str">
        <f ca="1">IFERROR(__xludf.DUMMYFUNCTION("""COMPUTED_VALUE"""),"C202612710465569203")</f>
        <v>C202612710465569203</v>
      </c>
      <c r="I731" s="6" t="str">
        <f ca="1">IFERROR(__xludf.DUMMYFUNCTION("""COMPUTED_VALUE"""),"MARIA LUCIA SORIANO ORTUÑO")</f>
        <v>MARIA LUCIA SORIANO ORTUÑO</v>
      </c>
      <c r="J731" s="16">
        <f ca="1">IFERROR(__xludf.DUMMYFUNCTION("""COMPUTED_VALUE"""),46049)</f>
        <v>46049</v>
      </c>
      <c r="K731" s="6" t="str">
        <f ca="1">IFERROR(__xludf.DUMMYFUNCTION("""COMPUTED_VALUE"""),"Prueba")</f>
        <v>Prueba</v>
      </c>
      <c r="L731" s="16">
        <f ca="1">IFERROR(__xludf.DUMMYFUNCTION("""COMPUTED_VALUE"""),46084)</f>
        <v>46084</v>
      </c>
      <c r="M731" s="23" t="str">
        <f ca="1">IFERROR(__xludf.DUMMYFUNCTION("""COMPUTED_VALUE"""),"NO")</f>
        <v>NO</v>
      </c>
      <c r="N731" s="15">
        <f ca="1">IFERROR(__xludf.DUMMYFUNCTION("""COMPUTED_VALUE"""),2)</f>
        <v>2</v>
      </c>
      <c r="O731" s="23" t="str">
        <f ca="1">IFERROR(__xludf.DUMMYFUNCTION("""COMPUTED_VALUE"""),"QUIET")</f>
        <v>QUIET</v>
      </c>
      <c r="P731" s="21">
        <f ca="1">IFERROR(__xludf.DUMMYFUNCTION("""COMPUTED_VALUE"""),2718.18)</f>
        <v>2718.18</v>
      </c>
      <c r="Q731" s="6" t="str">
        <f ca="1">IFERROR(__xludf.DUMMYFUNCTION("""COMPUTED_VALUE"""),"Iván Sánchez")</f>
        <v>Iván Sánchez</v>
      </c>
      <c r="R731" s="6" t="str">
        <f ca="1">IFERROR(__xludf.DUMMYFUNCTION("""COMPUTED_VALUE"""),"María Agustina Sevilla García")</f>
        <v>María Agustina Sevilla García</v>
      </c>
      <c r="S731" s="20" t="str">
        <f ca="1">IFERROR(__xludf.DUMMYFUNCTION("""COMPUTED_VALUE"""),"03 ORL")</f>
        <v>03 ORL</v>
      </c>
      <c r="T731" s="6" t="str">
        <f ca="1">IFERROR(__xludf.DUMMYFUNCTION("""COMPUTED_VALUE"""),"22 AUDIOMETRIA CLINICA")</f>
        <v>22 AUDIOMETRIA CLINICA</v>
      </c>
      <c r="U731" s="21"/>
      <c r="W731" s="20"/>
      <c r="X731" s="21"/>
    </row>
    <row r="732" spans="2:24" ht="16">
      <c r="B732" s="26" t="str">
        <f t="shared" ca="1" si="3"/>
        <v/>
      </c>
      <c r="C732" s="23"/>
      <c r="D732" s="6" t="str">
        <f ca="1">IFERROR(__xludf.DUMMYFUNCTION("""COMPUTED_VALUE"""),"PROPIOS")</f>
        <v>PROPIOS</v>
      </c>
      <c r="E732" s="6">
        <f ca="1">IFERROR(__xludf.DUMMYFUNCTION("""COMPUTED_VALUE"""),2026)</f>
        <v>2026</v>
      </c>
      <c r="F732" s="15">
        <f ca="1">IFERROR(__xludf.DUMMYFUNCTION("""COMPUTED_VALUE"""),2)</f>
        <v>2</v>
      </c>
      <c r="G732" s="6" t="str">
        <f ca="1">IFERROR(__xludf.DUMMYFUNCTION("""COMPUTED_VALUE"""),"Murcia")</f>
        <v>Murcia</v>
      </c>
      <c r="H732" s="6" t="str">
        <f ca="1">IFERROR(__xludf.DUMMYFUNCTION("""COMPUTED_VALUE"""),"C202612811956622413")</f>
        <v>C202612811956622413</v>
      </c>
      <c r="I732" s="6" t="str">
        <f ca="1">IFERROR(__xludf.DUMMYFUNCTION("""COMPUTED_VALUE"""),"MARIA LUISA SANCHEZ CONESA")</f>
        <v>MARIA LUISA SANCHEZ CONESA</v>
      </c>
      <c r="J732" s="16">
        <f ca="1">IFERROR(__xludf.DUMMYFUNCTION("""COMPUTED_VALUE"""),46050)</f>
        <v>46050</v>
      </c>
      <c r="K732" s="6" t="str">
        <f ca="1">IFERROR(__xludf.DUMMYFUNCTION("""COMPUTED_VALUE"""),"Presupuesto")</f>
        <v>Presupuesto</v>
      </c>
      <c r="L732" s="16">
        <f ca="1">IFERROR(__xludf.DUMMYFUNCTION("""COMPUTED_VALUE"""),46058)</f>
        <v>46058</v>
      </c>
      <c r="M732" s="23" t="str">
        <f ca="1">IFERROR(__xludf.DUMMYFUNCTION("""COMPUTED_VALUE"""),"NO")</f>
        <v>NO</v>
      </c>
      <c r="N732" s="15">
        <f ca="1">IFERROR(__xludf.DUMMYFUNCTION("""COMPUTED_VALUE"""),2)</f>
        <v>2</v>
      </c>
      <c r="O732" s="23" t="str">
        <f ca="1">IFERROR(__xludf.DUMMYFUNCTION("""COMPUTED_VALUE"""),"TRIAL")</f>
        <v>TRIAL</v>
      </c>
      <c r="P732" s="21">
        <f ca="1">IFERROR(__xludf.DUMMYFUNCTION("""COMPUTED_VALUE"""),3631.82)</f>
        <v>3631.82</v>
      </c>
      <c r="Q732" s="6" t="str">
        <f ca="1">IFERROR(__xludf.DUMMYFUNCTION("""COMPUTED_VALUE"""),"Iván Sánchez")</f>
        <v>Iván Sánchez</v>
      </c>
      <c r="R732" s="6" t="str">
        <f ca="1">IFERROR(__xludf.DUMMYFUNCTION("""COMPUTED_VALUE"""),"No recuerda ORL")</f>
        <v>No recuerda ORL</v>
      </c>
      <c r="S732" s="20" t="str">
        <f ca="1">IFERROR(__xludf.DUMMYFUNCTION("""COMPUTED_VALUE"""),"03 ORL")</f>
        <v>03 ORL</v>
      </c>
      <c r="T732" s="6" t="str">
        <f ca="1">IFERROR(__xludf.DUMMYFUNCTION("""COMPUTED_VALUE"""),"06 ORL")</f>
        <v>06 ORL</v>
      </c>
      <c r="U732" s="21"/>
      <c r="W732" s="20"/>
      <c r="X732" s="21"/>
    </row>
    <row r="733" spans="2:24" ht="16">
      <c r="B733" s="26" t="str">
        <f t="shared" ca="1" si="3"/>
        <v>ISL</v>
      </c>
      <c r="C733" s="23" t="str">
        <f ca="1">IFERROR(__xludf.DUMMYFUNCTION("""COMPUTED_VALUE"""),"ISL94")</f>
        <v>ISL94</v>
      </c>
      <c r="D733" s="6" t="str">
        <f ca="1">IFERROR(__xludf.DUMMYFUNCTION("""COMPUTED_VALUE"""),"PROPIOS")</f>
        <v>PROPIOS</v>
      </c>
      <c r="E733" s="6">
        <f ca="1">IFERROR(__xludf.DUMMYFUNCTION("""COMPUTED_VALUE"""),2026)</f>
        <v>2026</v>
      </c>
      <c r="F733" s="15">
        <f ca="1">IFERROR(__xludf.DUMMYFUNCTION("""COMPUTED_VALUE"""),1)</f>
        <v>1</v>
      </c>
      <c r="G733" s="6" t="str">
        <f ca="1">IFERROR(__xludf.DUMMYFUNCTION("""COMPUTED_VALUE"""),"Murcia")</f>
        <v>Murcia</v>
      </c>
      <c r="H733" s="6" t="str">
        <f ca="1">IFERROR(__xludf.DUMMYFUNCTION("""COMPUTED_VALUE"""),"MUR-1140")</f>
        <v>MUR-1140</v>
      </c>
      <c r="I733" s="6" t="str">
        <f ca="1">IFERROR(__xludf.DUMMYFUNCTION("""COMPUTED_VALUE"""),"MARIANO CANTERO SORROCHE")</f>
        <v>MARIANO CANTERO SORROCHE</v>
      </c>
      <c r="J733" s="16">
        <f ca="1">IFERROR(__xludf.DUMMYFUNCTION("""COMPUTED_VALUE"""),44859)</f>
        <v>44859</v>
      </c>
      <c r="K733" s="6" t="str">
        <f ca="1">IFERROR(__xludf.DUMMYFUNCTION("""COMPUTED_VALUE"""),"Presupuesto")</f>
        <v>Presupuesto</v>
      </c>
      <c r="L733" s="16">
        <f ca="1">IFERROR(__xludf.DUMMYFUNCTION("""COMPUTED_VALUE"""),46050)</f>
        <v>46050</v>
      </c>
      <c r="M733" s="23" t="str">
        <f ca="1">IFERROR(__xludf.DUMMYFUNCTION("""COMPUTED_VALUE"""),"NO")</f>
        <v>NO</v>
      </c>
      <c r="N733" s="15">
        <f ca="1">IFERROR(__xludf.DUMMYFUNCTION("""COMPUTED_VALUE"""),1)</f>
        <v>1</v>
      </c>
      <c r="O733" s="23" t="str">
        <f ca="1">IFERROR(__xludf.DUMMYFUNCTION("""COMPUTED_VALUE"""),"QUIET")</f>
        <v>QUIET</v>
      </c>
      <c r="P733" s="21">
        <f ca="1">IFERROR(__xludf.DUMMYFUNCTION("""COMPUTED_VALUE"""),0)</f>
        <v>0</v>
      </c>
      <c r="Q733" s="6" t="str">
        <f ca="1">IFERROR(__xludf.DUMMYFUNCTION("""COMPUTED_VALUE"""),"Iván Sánchez")</f>
        <v>Iván Sánchez</v>
      </c>
      <c r="R733" s="6" t="str">
        <f ca="1">IFERROR(__xludf.DUMMYFUNCTION("""COMPUTED_VALUE"""),"Beatriz Rodríguez González Herrero")</f>
        <v>Beatriz Rodríguez González Herrero</v>
      </c>
      <c r="S733" s="20" t="str">
        <f ca="1">IFERROR(__xludf.DUMMYFUNCTION("""COMPUTED_VALUE"""),"03 ORL")</f>
        <v>03 ORL</v>
      </c>
      <c r="T733" s="6" t="str">
        <f ca="1">IFERROR(__xludf.DUMMYFUNCTION("""COMPUTED_VALUE"""),"06 ORL")</f>
        <v>06 ORL</v>
      </c>
      <c r="U733" s="21"/>
      <c r="W733" s="20"/>
      <c r="X733" s="21"/>
    </row>
    <row r="734" spans="2:24" ht="16">
      <c r="B734" s="26" t="str">
        <f t="shared" ca="1" si="3"/>
        <v>ISL</v>
      </c>
      <c r="C734" s="23" t="str">
        <f ca="1">IFERROR(__xludf.DUMMYFUNCTION("""COMPUTED_VALUE"""),"ISL98")</f>
        <v>ISL98</v>
      </c>
      <c r="D734" s="6" t="str">
        <f ca="1">IFERROR(__xludf.DUMMYFUNCTION("""COMPUTED_VALUE"""),"PROPIOS")</f>
        <v>PROPIOS</v>
      </c>
      <c r="E734" s="6">
        <f ca="1">IFERROR(__xludf.DUMMYFUNCTION("""COMPUTED_VALUE"""),2026)</f>
        <v>2026</v>
      </c>
      <c r="F734" s="15">
        <f ca="1">IFERROR(__xludf.DUMMYFUNCTION("""COMPUTED_VALUE"""),3)</f>
        <v>3</v>
      </c>
      <c r="G734" s="6" t="str">
        <f ca="1">IFERROR(__xludf.DUMMYFUNCTION("""COMPUTED_VALUE"""),"Murcia")</f>
        <v>Murcia</v>
      </c>
      <c r="H734" s="6" t="str">
        <f ca="1">IFERROR(__xludf.DUMMYFUNCTION("""COMPUTED_VALUE"""),"C202634122611315393")</f>
        <v>C202634122611315393</v>
      </c>
      <c r="I734" s="6" t="str">
        <f ca="1">IFERROR(__xludf.DUMMYFUNCTION("""COMPUTED_VALUE"""),"MARIA PEREZ PELLICER")</f>
        <v>MARIA PEREZ PELLICER</v>
      </c>
      <c r="J734" s="16">
        <f ca="1">IFERROR(__xludf.DUMMYFUNCTION("""COMPUTED_VALUE"""),46085)</f>
        <v>46085</v>
      </c>
      <c r="K734" s="6" t="str">
        <f ca="1">IFERROR(__xludf.DUMMYFUNCTION("""COMPUTED_VALUE"""),"Prueba")</f>
        <v>Prueba</v>
      </c>
      <c r="L734" s="16">
        <f ca="1">IFERROR(__xludf.DUMMYFUNCTION("""COMPUTED_VALUE"""),46093)</f>
        <v>46093</v>
      </c>
      <c r="M734" s="23" t="str">
        <f ca="1">IFERROR(__xludf.DUMMYFUNCTION("""COMPUTED_VALUE"""),"NO")</f>
        <v>NO</v>
      </c>
      <c r="N734" s="15">
        <f ca="1">IFERROR(__xludf.DUMMYFUNCTION("""COMPUTED_VALUE"""),1)</f>
        <v>1</v>
      </c>
      <c r="O734" s="23" t="str">
        <f ca="1">IFERROR(__xludf.DUMMYFUNCTION("""COMPUTED_VALUE"""),"QUIET")</f>
        <v>QUIET</v>
      </c>
      <c r="P734" s="21">
        <f ca="1">IFERROR(__xludf.DUMMYFUNCTION("""COMPUTED_VALUE"""),1631.82)</f>
        <v>1631.82</v>
      </c>
      <c r="Q734" s="6" t="str">
        <f ca="1">IFERROR(__xludf.DUMMYFUNCTION("""COMPUTED_VALUE"""),"Iván Sánchez")</f>
        <v>Iván Sánchez</v>
      </c>
      <c r="R734" s="6" t="str">
        <f ca="1">IFERROR(__xludf.DUMMYFUNCTION("""COMPUTED_VALUE"""),"Cristina Esther Torregrosa Carrasquer")</f>
        <v>Cristina Esther Torregrosa Carrasquer</v>
      </c>
      <c r="S734" s="20" t="str">
        <f ca="1">IFERROR(__xludf.DUMMYFUNCTION("""COMPUTED_VALUE"""),"03 ORL")</f>
        <v>03 ORL</v>
      </c>
      <c r="T734" s="6" t="str">
        <f ca="1">IFERROR(__xludf.DUMMYFUNCTION("""COMPUTED_VALUE"""),"06 ORL")</f>
        <v>06 ORL</v>
      </c>
      <c r="U734" s="21"/>
      <c r="W734" s="20"/>
      <c r="X734" s="21"/>
    </row>
    <row r="735" spans="2:24" ht="16">
      <c r="B735" s="26" t="str">
        <f t="shared" ca="1" si="3"/>
        <v>ISL</v>
      </c>
      <c r="C735" s="23" t="str">
        <f ca="1">IFERROR(__xludf.DUMMYFUNCTION("""COMPUTED_VALUE"""),"ISL128")</f>
        <v>ISL128</v>
      </c>
      <c r="D735" s="6" t="str">
        <f ca="1">IFERROR(__xludf.DUMMYFUNCTION("""COMPUTED_VALUE"""),"PROPIOS")</f>
        <v>PROPIOS</v>
      </c>
      <c r="E735" s="6">
        <f ca="1">IFERROR(__xludf.DUMMYFUNCTION("""COMPUTED_VALUE"""),2026)</f>
        <v>2026</v>
      </c>
      <c r="F735" s="15">
        <f ca="1">IFERROR(__xludf.DUMMYFUNCTION("""COMPUTED_VALUE"""),3)</f>
        <v>3</v>
      </c>
      <c r="G735" s="6" t="str">
        <f ca="1">IFERROR(__xludf.DUMMYFUNCTION("""COMPUTED_VALUE"""),"Murcia")</f>
        <v>Murcia</v>
      </c>
      <c r="H735" s="6" t="str">
        <f ca="1">IFERROR(__xludf.DUMMYFUNCTION("""COMPUTED_VALUE"""),"C202622791422736215")</f>
        <v>C202622791422736215</v>
      </c>
      <c r="I735" s="6" t="str">
        <f ca="1">IFERROR(__xludf.DUMMYFUNCTION("""COMPUTED_VALUE"""),"MIGUEL ANGEL MARIN GONZALEZ")</f>
        <v>MIGUEL ANGEL MARIN GONZALEZ</v>
      </c>
      <c r="J735" s="16">
        <f ca="1">IFERROR(__xludf.DUMMYFUNCTION("""COMPUTED_VALUE"""),46080)</f>
        <v>46080</v>
      </c>
      <c r="K735" s="6" t="str">
        <f ca="1">IFERROR(__xludf.DUMMYFUNCTION("""COMPUTED_VALUE"""),"Devuelve")</f>
        <v>Devuelve</v>
      </c>
      <c r="L735" s="16">
        <f ca="1">IFERROR(__xludf.DUMMYFUNCTION("""COMPUTED_VALUE"""),46091)</f>
        <v>46091</v>
      </c>
      <c r="M735" s="23" t="str">
        <f ca="1">IFERROR(__xludf.DUMMYFUNCTION("""COMPUTED_VALUE"""),"NO")</f>
        <v>NO</v>
      </c>
      <c r="N735" s="15">
        <f ca="1">IFERROR(__xludf.DUMMYFUNCTION("""COMPUTED_VALUE"""),1)</f>
        <v>1</v>
      </c>
      <c r="O735" s="23" t="str">
        <f ca="1">IFERROR(__xludf.DUMMYFUNCTION("""COMPUTED_VALUE"""),"TRIAL")</f>
        <v>TRIAL</v>
      </c>
      <c r="P735" s="21">
        <f ca="1">IFERROR(__xludf.DUMMYFUNCTION("""COMPUTED_VALUE"""),2467.31)</f>
        <v>2467.31</v>
      </c>
      <c r="Q735" s="6" t="str">
        <f ca="1">IFERROR(__xludf.DUMMYFUNCTION("""COMPUTED_VALUE"""),"Iván Sánchez")</f>
        <v>Iván Sánchez</v>
      </c>
      <c r="R735" s="6" t="str">
        <f ca="1">IFERROR(__xludf.DUMMYFUNCTION("""COMPUTED_VALUE"""),"Nuria Salas Barrio")</f>
        <v>Nuria Salas Barrio</v>
      </c>
      <c r="S735" s="20" t="str">
        <f ca="1">IFERROR(__xludf.DUMMYFUNCTION("""COMPUTED_VALUE"""),"03 ORL")</f>
        <v>03 ORL</v>
      </c>
      <c r="T735" s="6" t="str">
        <f ca="1">IFERROR(__xludf.DUMMYFUNCTION("""COMPUTED_VALUE"""),"06 ORL")</f>
        <v>06 ORL</v>
      </c>
      <c r="U735" s="21"/>
      <c r="W735" s="20"/>
      <c r="X735" s="21"/>
    </row>
    <row r="736" spans="2:24" ht="16">
      <c r="B736" s="26" t="str">
        <f t="shared" ca="1" si="3"/>
        <v>ISL</v>
      </c>
      <c r="C736" s="23" t="str">
        <f ca="1">IFERROR(__xludf.DUMMYFUNCTION("""COMPUTED_VALUE"""),"ISL45")</f>
        <v>ISL45</v>
      </c>
      <c r="D736" s="6" t="str">
        <f ca="1">IFERROR(__xludf.DUMMYFUNCTION("""COMPUTED_VALUE"""),"PROPIOS")</f>
        <v>PROPIOS</v>
      </c>
      <c r="E736" s="6">
        <f ca="1">IFERROR(__xludf.DUMMYFUNCTION("""COMPUTED_VALUE"""),2026)</f>
        <v>2026</v>
      </c>
      <c r="F736" s="15">
        <f ca="1">IFERROR(__xludf.DUMMYFUNCTION("""COMPUTED_VALUE"""),3)</f>
        <v>3</v>
      </c>
      <c r="G736" s="6" t="str">
        <f ca="1">IFERROR(__xludf.DUMMYFUNCTION("""COMPUTED_VALUE"""),"Murcia")</f>
        <v>Murcia</v>
      </c>
      <c r="H736" s="6" t="str">
        <f ca="1">IFERROR(__xludf.DUMMYFUNCTION("""COMPUTED_VALUE"""),"C20263594051060275")</f>
        <v>C20263594051060275</v>
      </c>
      <c r="I736" s="6" t="str">
        <f ca="1">IFERROR(__xludf.DUMMYFUNCTION("""COMPUTED_VALUE"""),"MIGUEL GARCIA ANDREU")</f>
        <v>MIGUEL GARCIA ANDREU</v>
      </c>
      <c r="J736" s="16">
        <f ca="1">IFERROR(__xludf.DUMMYFUNCTION("""COMPUTED_VALUE"""),46086)</f>
        <v>46086</v>
      </c>
      <c r="K736" s="6" t="str">
        <f ca="1">IFERROR(__xludf.DUMMYFUNCTION("""COMPUTED_VALUE"""),"Presupuesto")</f>
        <v>Presupuesto</v>
      </c>
      <c r="L736" s="16">
        <f ca="1">IFERROR(__xludf.DUMMYFUNCTION("""COMPUTED_VALUE"""),46093)</f>
        <v>46093</v>
      </c>
      <c r="M736" s="23" t="str">
        <f ca="1">IFERROR(__xludf.DUMMYFUNCTION("""COMPUTED_VALUE"""),"NO")</f>
        <v>NO</v>
      </c>
      <c r="N736" s="15">
        <f ca="1">IFERROR(__xludf.DUMMYFUNCTION("""COMPUTED_VALUE"""),2)</f>
        <v>2</v>
      </c>
      <c r="O736" s="23" t="str">
        <f ca="1">IFERROR(__xludf.DUMMYFUNCTION("""COMPUTED_VALUE"""),"QUIET")</f>
        <v>QUIET</v>
      </c>
      <c r="P736" s="21">
        <f ca="1">IFERROR(__xludf.DUMMYFUNCTION("""COMPUTED_VALUE"""),2718.19)</f>
        <v>2718.19</v>
      </c>
      <c r="Q736" s="6" t="str">
        <f ca="1">IFERROR(__xludf.DUMMYFUNCTION("""COMPUTED_VALUE"""),"Iván Sánchez")</f>
        <v>Iván Sánchez</v>
      </c>
      <c r="R736" s="6" t="str">
        <f ca="1">IFERROR(__xludf.DUMMYFUNCTION("""COMPUTED_VALUE"""),"Jesús Miguel Iniesta Turpín")</f>
        <v>Jesús Miguel Iniesta Turpín</v>
      </c>
      <c r="S736" s="20" t="str">
        <f ca="1">IFERROR(__xludf.DUMMYFUNCTION("""COMPUTED_VALUE"""),"03 ORL")</f>
        <v>03 ORL</v>
      </c>
      <c r="T736" s="6" t="str">
        <f ca="1">IFERROR(__xludf.DUMMYFUNCTION("""COMPUTED_VALUE"""),"06 ORL")</f>
        <v>06 ORL</v>
      </c>
      <c r="U736" s="21"/>
      <c r="W736" s="20"/>
      <c r="X736" s="21"/>
    </row>
    <row r="737" spans="2:24" ht="16">
      <c r="B737" s="26" t="str">
        <f t="shared" ca="1" si="3"/>
        <v>ISL</v>
      </c>
      <c r="C737" s="23" t="str">
        <f ca="1">IFERROR(__xludf.DUMMYFUNCTION("""COMPUTED_VALUE"""),"ISL45")</f>
        <v>ISL45</v>
      </c>
      <c r="D737" s="6" t="str">
        <f ca="1">IFERROR(__xludf.DUMMYFUNCTION("""COMPUTED_VALUE"""),"PROPIOS")</f>
        <v>PROPIOS</v>
      </c>
      <c r="E737" s="6">
        <f ca="1">IFERROR(__xludf.DUMMYFUNCTION("""COMPUTED_VALUE"""),2026)</f>
        <v>2026</v>
      </c>
      <c r="F737" s="15">
        <f ca="1">IFERROR(__xludf.DUMMYFUNCTION("""COMPUTED_VALUE"""),3)</f>
        <v>3</v>
      </c>
      <c r="G737" s="6" t="str">
        <f ca="1">IFERROR(__xludf.DUMMYFUNCTION("""COMPUTED_VALUE"""),"Murcia")</f>
        <v>Murcia</v>
      </c>
      <c r="H737" s="6" t="str">
        <f ca="1">IFERROR(__xludf.DUMMYFUNCTION("""COMPUTED_VALUE"""),"MUR-1269")</f>
        <v>MUR-1269</v>
      </c>
      <c r="I737" s="6" t="str">
        <f ca="1">IFERROR(__xludf.DUMMYFUNCTION("""COMPUTED_VALUE"""),"PALOMA CARRILERO BARRIOS")</f>
        <v>PALOMA CARRILERO BARRIOS</v>
      </c>
      <c r="J737" s="16">
        <f ca="1">IFERROR(__xludf.DUMMYFUNCTION("""COMPUTED_VALUE"""),44967)</f>
        <v>44967</v>
      </c>
      <c r="K737" s="6" t="str">
        <f ca="1">IFERROR(__xludf.DUMMYFUNCTION("""COMPUTED_VALUE"""),"Devuelve")</f>
        <v>Devuelve</v>
      </c>
      <c r="L737" s="16">
        <f ca="1">IFERROR(__xludf.DUMMYFUNCTION("""COMPUTED_VALUE"""),46094)</f>
        <v>46094</v>
      </c>
      <c r="M737" s="23" t="str">
        <f ca="1">IFERROR(__xludf.DUMMYFUNCTION("""COMPUTED_VALUE"""),"NO")</f>
        <v>NO</v>
      </c>
      <c r="N737" s="15">
        <f ca="1">IFERROR(__xludf.DUMMYFUNCTION("""COMPUTED_VALUE"""),2)</f>
        <v>2</v>
      </c>
      <c r="O737" s="23" t="str">
        <f ca="1">IFERROR(__xludf.DUMMYFUNCTION("""COMPUTED_VALUE"""),"CONFORT")</f>
        <v>CONFORT</v>
      </c>
      <c r="P737" s="21">
        <f ca="1">IFERROR(__xludf.DUMMYFUNCTION("""COMPUTED_VALUE"""),3631.82)</f>
        <v>3631.82</v>
      </c>
      <c r="Q737" s="6" t="str">
        <f ca="1">IFERROR(__xludf.DUMMYFUNCTION("""COMPUTED_VALUE"""),"Iván Sánchez")</f>
        <v>Iván Sánchez</v>
      </c>
      <c r="R737" s="6" t="str">
        <f ca="1">IFERROR(__xludf.DUMMYFUNCTION("""COMPUTED_VALUE"""),"Jesús Miguel Iniesta Turpín")</f>
        <v>Jesús Miguel Iniesta Turpín</v>
      </c>
      <c r="S737" s="20" t="str">
        <f ca="1">IFERROR(__xludf.DUMMYFUNCTION("""COMPUTED_VALUE"""),"03 ORL")</f>
        <v>03 ORL</v>
      </c>
      <c r="T737" s="6" t="str">
        <f ca="1">IFERROR(__xludf.DUMMYFUNCTION("""COMPUTED_VALUE"""),"06 ORL")</f>
        <v>06 ORL</v>
      </c>
      <c r="U737" s="21"/>
      <c r="W737" s="20"/>
      <c r="X737" s="21"/>
    </row>
    <row r="738" spans="2:24" ht="16">
      <c r="B738" s="26" t="str">
        <f t="shared" ca="1" si="3"/>
        <v>ISL</v>
      </c>
      <c r="C738" s="23" t="str">
        <f ca="1">IFERROR(__xludf.DUMMYFUNCTION("""COMPUTED_VALUE"""),"ISL25")</f>
        <v>ISL25</v>
      </c>
      <c r="D738" s="6" t="str">
        <f ca="1">IFERROR(__xludf.DUMMYFUNCTION("""COMPUTED_VALUE"""),"PROPIOS")</f>
        <v>PROPIOS</v>
      </c>
      <c r="E738" s="6">
        <f ca="1">IFERROR(__xludf.DUMMYFUNCTION("""COMPUTED_VALUE"""),2026)</f>
        <v>2026</v>
      </c>
      <c r="F738" s="15">
        <f ca="1">IFERROR(__xludf.DUMMYFUNCTION("""COMPUTED_VALUE"""),1)</f>
        <v>1</v>
      </c>
      <c r="G738" s="6" t="str">
        <f ca="1">IFERROR(__xludf.DUMMYFUNCTION("""COMPUTED_VALUE"""),"Murcia")</f>
        <v>Murcia</v>
      </c>
      <c r="H738" s="6" t="str">
        <f ca="1">IFERROR(__xludf.DUMMYFUNCTION("""COMPUTED_VALUE"""),"C202511251824355019")</f>
        <v>C202511251824355019</v>
      </c>
      <c r="I738" s="6" t="str">
        <f ca="1">IFERROR(__xludf.DUMMYFUNCTION("""COMPUTED_VALUE"""),"PATRICIO MARTINEZ TORTOLA")</f>
        <v>PATRICIO MARTINEZ TORTOLA</v>
      </c>
      <c r="J738" s="16">
        <f ca="1">IFERROR(__xludf.DUMMYFUNCTION("""COMPUTED_VALUE"""),45986)</f>
        <v>45986</v>
      </c>
      <c r="K738" s="6" t="str">
        <f ca="1">IFERROR(__xludf.DUMMYFUNCTION("""COMPUTED_VALUE"""),"Devuelve")</f>
        <v>Devuelve</v>
      </c>
      <c r="L738" s="16">
        <f ca="1">IFERROR(__xludf.DUMMYFUNCTION("""COMPUTED_VALUE"""),46029)</f>
        <v>46029</v>
      </c>
      <c r="M738" s="23" t="str">
        <f ca="1">IFERROR(__xludf.DUMMYFUNCTION("""COMPUTED_VALUE"""),"NO")</f>
        <v>NO</v>
      </c>
      <c r="N738" s="15">
        <f ca="1">IFERROR(__xludf.DUMMYFUNCTION("""COMPUTED_VALUE"""),2)</f>
        <v>2</v>
      </c>
      <c r="O738" s="23" t="str">
        <f ca="1">IFERROR(__xludf.DUMMYFUNCTION("""COMPUTED_VALUE"""),"QUIET")</f>
        <v>QUIET</v>
      </c>
      <c r="P738" s="21">
        <f ca="1">IFERROR(__xludf.DUMMYFUNCTION("""COMPUTED_VALUE"""),2718.18)</f>
        <v>2718.18</v>
      </c>
      <c r="Q738" s="6" t="str">
        <f ca="1">IFERROR(__xludf.DUMMYFUNCTION("""COMPUTED_VALUE"""),"Iván Sánchez")</f>
        <v>Iván Sánchez</v>
      </c>
      <c r="R738" s="6" t="str">
        <f ca="1">IFERROR(__xludf.DUMMYFUNCTION("""COMPUTED_VALUE"""),"Enrique Viviente Rodríguez")</f>
        <v>Enrique Viviente Rodríguez</v>
      </c>
      <c r="S738" s="20" t="str">
        <f ca="1">IFERROR(__xludf.DUMMYFUNCTION("""COMPUTED_VALUE"""),"03 ORL")</f>
        <v>03 ORL</v>
      </c>
      <c r="T738" s="6" t="str">
        <f ca="1">IFERROR(__xludf.DUMMYFUNCTION("""COMPUTED_VALUE"""),"06 ORL")</f>
        <v>06 ORL</v>
      </c>
      <c r="U738" s="21"/>
      <c r="W738" s="20"/>
      <c r="X738" s="21"/>
    </row>
    <row r="739" spans="2:24" ht="16">
      <c r="B739" s="26" t="str">
        <f t="shared" ca="1" si="3"/>
        <v>ISL</v>
      </c>
      <c r="C739" s="23" t="str">
        <f ca="1">IFERROR(__xludf.DUMMYFUNCTION("""COMPUTED_VALUE"""),"ISL122")</f>
        <v>ISL122</v>
      </c>
      <c r="D739" s="6" t="str">
        <f ca="1">IFERROR(__xludf.DUMMYFUNCTION("""COMPUTED_VALUE"""),"PROPIOS")</f>
        <v>PROPIOS</v>
      </c>
      <c r="E739" s="6">
        <f ca="1">IFERROR(__xludf.DUMMYFUNCTION("""COMPUTED_VALUE"""),2026)</f>
        <v>2026</v>
      </c>
      <c r="F739" s="15">
        <f ca="1">IFERROR(__xludf.DUMMYFUNCTION("""COMPUTED_VALUE"""),3)</f>
        <v>3</v>
      </c>
      <c r="G739" s="6" t="str">
        <f ca="1">IFERROR(__xludf.DUMMYFUNCTION("""COMPUTED_VALUE"""),"Murcia")</f>
        <v>Murcia</v>
      </c>
      <c r="H739" s="6" t="str">
        <f ca="1">IFERROR(__xludf.DUMMYFUNCTION("""COMPUTED_VALUE"""),"C202532516432291")</f>
        <v>C202532516432291</v>
      </c>
      <c r="I739" s="6" t="str">
        <f ca="1">IFERROR(__xludf.DUMMYFUNCTION("""COMPUTED_VALUE"""),"SONIA MARTINEZ MARTINEZ")</f>
        <v>SONIA MARTINEZ MARTINEZ</v>
      </c>
      <c r="J739" s="16">
        <f ca="1">IFERROR(__xludf.DUMMYFUNCTION("""COMPUTED_VALUE"""),45733)</f>
        <v>45733</v>
      </c>
      <c r="K739" s="6" t="str">
        <f ca="1">IFERROR(__xludf.DUMMYFUNCTION("""COMPUTED_VALUE"""),"Devuelve")</f>
        <v>Devuelve</v>
      </c>
      <c r="L739" s="16">
        <f ca="1">IFERROR(__xludf.DUMMYFUNCTION("""COMPUTED_VALUE"""),46092)</f>
        <v>46092</v>
      </c>
      <c r="M739" s="17" t="str">
        <f ca="1">IFERROR(__xludf.DUMMYFUNCTION("""COMPUTED_VALUE"""),"NO")</f>
        <v>NO</v>
      </c>
      <c r="N739" s="15">
        <f ca="1">IFERROR(__xludf.DUMMYFUNCTION("""COMPUTED_VALUE"""),2)</f>
        <v>2</v>
      </c>
      <c r="O739" s="23" t="str">
        <f ca="1">IFERROR(__xludf.DUMMYFUNCTION("""COMPUTED_VALUE"""),"TRIAL")</f>
        <v>TRIAL</v>
      </c>
      <c r="P739" s="21">
        <f ca="1">IFERROR(__xludf.DUMMYFUNCTION("""COMPUTED_VALUE"""),4136.36)</f>
        <v>4136.3599999999997</v>
      </c>
      <c r="Q739" s="6" t="str">
        <f ca="1">IFERROR(__xludf.DUMMYFUNCTION("""COMPUTED_VALUE"""),"Iván Sánchez")</f>
        <v>Iván Sánchez</v>
      </c>
      <c r="R739" s="6" t="str">
        <f ca="1">IFERROR(__xludf.DUMMYFUNCTION("""COMPUTED_VALUE"""),"María Agustina Sevilla García")</f>
        <v>María Agustina Sevilla García</v>
      </c>
      <c r="S739" s="20" t="str">
        <f ca="1">IFERROR(__xludf.DUMMYFUNCTION("""COMPUTED_VALUE"""),"03 ORL")</f>
        <v>03 ORL</v>
      </c>
      <c r="T739" s="6" t="str">
        <f ca="1">IFERROR(__xludf.DUMMYFUNCTION("""COMPUTED_VALUE"""),"22 AUDIOMETRIA CLINICA")</f>
        <v>22 AUDIOMETRIA CLINICA</v>
      </c>
      <c r="U739" s="21"/>
      <c r="W739" s="20"/>
      <c r="X739" s="21"/>
    </row>
    <row r="740" spans="2:24" ht="16">
      <c r="B740" s="26" t="str">
        <f t="shared" ca="1" si="3"/>
        <v>ISL</v>
      </c>
      <c r="C740" s="23" t="str">
        <f ca="1">IFERROR(__xludf.DUMMYFUNCTION("""COMPUTED_VALUE"""),"ISL25")</f>
        <v>ISL25</v>
      </c>
      <c r="D740" s="6" t="str">
        <f ca="1">IFERROR(__xludf.DUMMYFUNCTION("""COMPUTED_VALUE"""),"PROPIOS")</f>
        <v>PROPIOS</v>
      </c>
      <c r="E740" s="6">
        <f ca="1">IFERROR(__xludf.DUMMYFUNCTION("""COMPUTED_VALUE"""),2026)</f>
        <v>2026</v>
      </c>
      <c r="F740" s="15">
        <f ca="1">IFERROR(__xludf.DUMMYFUNCTION("""COMPUTED_VALUE"""),3)</f>
        <v>3</v>
      </c>
      <c r="G740" s="6" t="str">
        <f ca="1">IFERROR(__xludf.DUMMYFUNCTION("""COMPUTED_VALUE"""),"Murcia")</f>
        <v>Murcia</v>
      </c>
      <c r="H740" s="6" t="str">
        <f ca="1">IFERROR(__xludf.DUMMYFUNCTION("""COMPUTED_VALUE"""),"C202632010552830768")</f>
        <v>C202632010552830768</v>
      </c>
      <c r="I740" s="6" t="str">
        <f ca="1">IFERROR(__xludf.DUMMYFUNCTION("""COMPUTED_VALUE"""),"TRINITARIO ALBERT MIRA")</f>
        <v>TRINITARIO ALBERT MIRA</v>
      </c>
      <c r="J740" s="16">
        <f ca="1">IFERROR(__xludf.DUMMYFUNCTION("""COMPUTED_VALUE"""),46101)</f>
        <v>46101</v>
      </c>
      <c r="K740" s="6" t="str">
        <f ca="1">IFERROR(__xludf.DUMMYFUNCTION("""COMPUTED_VALUE"""),"Prueba")</f>
        <v>Prueba</v>
      </c>
      <c r="L740" s="16">
        <f ca="1">IFERROR(__xludf.DUMMYFUNCTION("""COMPUTED_VALUE"""),46107)</f>
        <v>46107</v>
      </c>
      <c r="M740" s="23" t="str">
        <f ca="1">IFERROR(__xludf.DUMMYFUNCTION("""COMPUTED_VALUE"""),"NO")</f>
        <v>NO</v>
      </c>
      <c r="N740" s="15">
        <f ca="1">IFERROR(__xludf.DUMMYFUNCTION("""COMPUTED_VALUE"""),2)</f>
        <v>2</v>
      </c>
      <c r="O740" s="23" t="str">
        <f ca="1">IFERROR(__xludf.DUMMYFUNCTION("""COMPUTED_VALUE"""),"QUIET")</f>
        <v>QUIET</v>
      </c>
      <c r="P740" s="21">
        <f ca="1">IFERROR(__xludf.DUMMYFUNCTION("""COMPUTED_VALUE"""),2718.19)</f>
        <v>2718.19</v>
      </c>
      <c r="Q740" s="6" t="str">
        <f ca="1">IFERROR(__xludf.DUMMYFUNCTION("""COMPUTED_VALUE"""),"Iván Sánchez")</f>
        <v>Iván Sánchez</v>
      </c>
      <c r="R740" s="6" t="str">
        <f ca="1">IFERROR(__xludf.DUMMYFUNCTION("""COMPUTED_VALUE"""),"Enrique Viviente Rodríguez")</f>
        <v>Enrique Viviente Rodríguez</v>
      </c>
      <c r="S740" s="20" t="str">
        <f ca="1">IFERROR(__xludf.DUMMYFUNCTION("""COMPUTED_VALUE"""),"03 ORL")</f>
        <v>03 ORL</v>
      </c>
      <c r="T740" s="6" t="str">
        <f ca="1">IFERROR(__xludf.DUMMYFUNCTION("""COMPUTED_VALUE"""),"06 ORL")</f>
        <v>06 ORL</v>
      </c>
      <c r="U740" s="21"/>
      <c r="W740" s="20"/>
      <c r="X740" s="21"/>
    </row>
    <row r="741" spans="2:24" ht="16">
      <c r="B741" s="26" t="str">
        <f t="shared" ca="1" si="3"/>
        <v>ISL</v>
      </c>
      <c r="C741" s="23" t="str">
        <f ca="1">IFERROR(__xludf.DUMMYFUNCTION("""COMPUTED_VALUE"""),"ISL45")</f>
        <v>ISL45</v>
      </c>
      <c r="D741" s="6" t="str">
        <f ca="1">IFERROR(__xludf.DUMMYFUNCTION("""COMPUTED_VALUE"""),"PROPIOS")</f>
        <v>PROPIOS</v>
      </c>
      <c r="E741" s="6">
        <f ca="1">IFERROR(__xludf.DUMMYFUNCTION("""COMPUTED_VALUE"""),2026)</f>
        <v>2026</v>
      </c>
      <c r="F741" s="15">
        <f ca="1">IFERROR(__xludf.DUMMYFUNCTION("""COMPUTED_VALUE"""),1)</f>
        <v>1</v>
      </c>
      <c r="G741" s="6" t="str">
        <f ca="1">IFERROR(__xludf.DUMMYFUNCTION("""COMPUTED_VALUE"""),"Murcia")</f>
        <v>Murcia</v>
      </c>
      <c r="H741" s="6" t="str">
        <f ca="1">IFERROR(__xludf.DUMMYFUNCTION("""COMPUTED_VALUE"""),"C202611614562966323")</f>
        <v>C202611614562966323</v>
      </c>
      <c r="I741" s="6" t="str">
        <f ca="1">IFERROR(__xludf.DUMMYFUNCTION("""COMPUTED_VALUE"""),"WHELAN LIDIJA BORISOVNA")</f>
        <v>WHELAN LIDIJA BORISOVNA</v>
      </c>
      <c r="J741" s="16">
        <f ca="1">IFERROR(__xludf.DUMMYFUNCTION("""COMPUTED_VALUE"""),46038)</f>
        <v>46038</v>
      </c>
      <c r="K741" s="6" t="str">
        <f ca="1">IFERROR(__xludf.DUMMYFUNCTION("""COMPUTED_VALUE"""),"Devuelve")</f>
        <v>Devuelve</v>
      </c>
      <c r="L741" s="16">
        <f ca="1">IFERROR(__xludf.DUMMYFUNCTION("""COMPUTED_VALUE"""),46048)</f>
        <v>46048</v>
      </c>
      <c r="M741" s="23" t="str">
        <f ca="1">IFERROR(__xludf.DUMMYFUNCTION("""COMPUTED_VALUE"""),"NO")</f>
        <v>NO</v>
      </c>
      <c r="N741" s="15">
        <f ca="1">IFERROR(__xludf.DUMMYFUNCTION("""COMPUTED_VALUE"""),2)</f>
        <v>2</v>
      </c>
      <c r="O741" s="23" t="str">
        <f ca="1">IFERROR(__xludf.DUMMYFUNCTION("""COMPUTED_VALUE"""),"TRIAL")</f>
        <v>TRIAL</v>
      </c>
      <c r="P741" s="21">
        <f ca="1">IFERROR(__xludf.DUMMYFUNCTION("""COMPUTED_VALUE"""),3631.82)</f>
        <v>3631.82</v>
      </c>
      <c r="Q741" s="6" t="str">
        <f ca="1">IFERROR(__xludf.DUMMYFUNCTION("""COMPUTED_VALUE"""),"Iván Sánchez")</f>
        <v>Iván Sánchez</v>
      </c>
      <c r="R741" s="6" t="str">
        <f ca="1">IFERROR(__xludf.DUMMYFUNCTION("""COMPUTED_VALUE"""),"Jesús Miguel Iniesta Turpín")</f>
        <v>Jesús Miguel Iniesta Turpín</v>
      </c>
      <c r="S741" s="20" t="str">
        <f ca="1">IFERROR(__xludf.DUMMYFUNCTION("""COMPUTED_VALUE"""),"03 ORL")</f>
        <v>03 ORL</v>
      </c>
      <c r="T741" s="6" t="str">
        <f ca="1">IFERROR(__xludf.DUMMYFUNCTION("""COMPUTED_VALUE"""),"06 ORL")</f>
        <v>06 ORL</v>
      </c>
      <c r="U741" s="21"/>
      <c r="W741" s="20"/>
      <c r="X741" s="21"/>
    </row>
    <row r="742" spans="2:24" ht="16">
      <c r="B742" s="26" t="str">
        <f t="shared" ca="1" si="3"/>
        <v>ISL</v>
      </c>
      <c r="C742" s="23" t="str">
        <f ca="1">IFERROR(__xludf.DUMMYFUNCTION("""COMPUTED_VALUE"""),"ISL45")</f>
        <v>ISL45</v>
      </c>
      <c r="D742" s="6" t="str">
        <f ca="1">IFERROR(__xludf.DUMMYFUNCTION("""COMPUTED_VALUE"""),"PROPIOS")</f>
        <v>PROPIOS</v>
      </c>
      <c r="E742" s="6">
        <f ca="1">IFERROR(__xludf.DUMMYFUNCTION("""COMPUTED_VALUE"""),2026)</f>
        <v>2026</v>
      </c>
      <c r="F742" s="15">
        <f ca="1">IFERROR(__xludf.DUMMYFUNCTION("""COMPUTED_VALUE"""),2)</f>
        <v>2</v>
      </c>
      <c r="G742" s="6" t="str">
        <f ca="1">IFERROR(__xludf.DUMMYFUNCTION("""COMPUTED_VALUE"""),"Murcia")</f>
        <v>Murcia</v>
      </c>
      <c r="H742" s="6" t="str">
        <f ca="1">IFERROR(__xludf.DUMMYFUNCTION("""COMPUTED_VALUE"""),"C202510291821465073")</f>
        <v>C202510291821465073</v>
      </c>
      <c r="I742" s="6" t="str">
        <f ca="1">IFERROR(__xludf.DUMMYFUNCTION("""COMPUTED_VALUE"""),"YOLANDA ROSADO LOPEZ")</f>
        <v>YOLANDA ROSADO LOPEZ</v>
      </c>
      <c r="J742" s="16">
        <f ca="1">IFERROR(__xludf.DUMMYFUNCTION("""COMPUTED_VALUE"""),45959)</f>
        <v>45959</v>
      </c>
      <c r="K742" s="6" t="str">
        <f ca="1">IFERROR(__xludf.DUMMYFUNCTION("""COMPUTED_VALUE"""),"Devuelve")</f>
        <v>Devuelve</v>
      </c>
      <c r="L742" s="16">
        <f ca="1">IFERROR(__xludf.DUMMYFUNCTION("""COMPUTED_VALUE"""),46079)</f>
        <v>46079</v>
      </c>
      <c r="M742" s="23" t="str">
        <f ca="1">IFERROR(__xludf.DUMMYFUNCTION("""COMPUTED_VALUE"""),"NO")</f>
        <v>NO</v>
      </c>
      <c r="N742" s="15">
        <f ca="1">IFERROR(__xludf.DUMMYFUNCTION("""COMPUTED_VALUE"""),2)</f>
        <v>2</v>
      </c>
      <c r="O742" s="23" t="str">
        <f ca="1">IFERROR(__xludf.DUMMYFUNCTION("""COMPUTED_VALUE"""),"TRIAL")</f>
        <v>TRIAL</v>
      </c>
      <c r="P742" s="21">
        <f ca="1">IFERROR(__xludf.DUMMYFUNCTION("""COMPUTED_VALUE"""),4136.36)</f>
        <v>4136.3599999999997</v>
      </c>
      <c r="Q742" s="6" t="str">
        <f ca="1">IFERROR(__xludf.DUMMYFUNCTION("""COMPUTED_VALUE"""),"Iván Sánchez")</f>
        <v>Iván Sánchez</v>
      </c>
      <c r="R742" s="6" t="str">
        <f ca="1">IFERROR(__xludf.DUMMYFUNCTION("""COMPUTED_VALUE"""),"Jesús Miguel Iniesta Turpín")</f>
        <v>Jesús Miguel Iniesta Turpín</v>
      </c>
      <c r="S742" s="20" t="str">
        <f ca="1">IFERROR(__xludf.DUMMYFUNCTION("""COMPUTED_VALUE"""),"03 ORL")</f>
        <v>03 ORL</v>
      </c>
      <c r="T742" s="6" t="str">
        <f ca="1">IFERROR(__xludf.DUMMYFUNCTION("""COMPUTED_VALUE"""),"22 AUDIOMETRIA CLINICA")</f>
        <v>22 AUDIOMETRIA CLINICA</v>
      </c>
      <c r="U742" s="21"/>
      <c r="W742" s="20"/>
      <c r="X742" s="21"/>
    </row>
    <row r="743" spans="2:24" ht="16">
      <c r="B743" s="26" t="str">
        <f t="shared" ca="1" si="3"/>
        <v/>
      </c>
      <c r="C743" s="23"/>
      <c r="D743" s="6" t="str">
        <f ca="1">IFERROR(__xludf.DUMMYFUNCTION("""COMPUTED_VALUE"""),"ASOCIADOS")</f>
        <v>ASOCIADOS</v>
      </c>
      <c r="E743" s="6">
        <f ca="1">IFERROR(__xludf.DUMMYFUNCTION("""COMPUTED_VALUE"""),2026)</f>
        <v>2026</v>
      </c>
      <c r="F743" s="15">
        <f ca="1">IFERROR(__xludf.DUMMYFUNCTION("""COMPUTED_VALUE"""),2)</f>
        <v>2</v>
      </c>
      <c r="G743" s="6" t="str">
        <f ca="1">IFERROR(__xludf.DUMMYFUNCTION("""COMPUTED_VALUE"""),"O Barco de Valdeorras")</f>
        <v>O Barco de Valdeorras</v>
      </c>
      <c r="H743" s="6" t="str">
        <f ca="1">IFERROR(__xludf.DUMMYFUNCTION("""COMPUTED_VALUE"""),"C20262189014769047")</f>
        <v>C20262189014769047</v>
      </c>
      <c r="I743" s="6" t="str">
        <f ca="1">IFERROR(__xludf.DUMMYFUNCTION("""COMPUTED_VALUE"""),"celestino  lopez lopez")</f>
        <v>celestino  lopez lopez</v>
      </c>
      <c r="J743" s="16">
        <f ca="1">IFERROR(__xludf.DUMMYFUNCTION("""COMPUTED_VALUE"""),46071)</f>
        <v>46071</v>
      </c>
      <c r="K743" s="6" t="str">
        <f ca="1">IFERROR(__xludf.DUMMYFUNCTION("""COMPUTED_VALUE"""),"Presupuesto")</f>
        <v>Presupuesto</v>
      </c>
      <c r="L743" s="16">
        <f ca="1">IFERROR(__xludf.DUMMYFUNCTION("""COMPUTED_VALUE"""),46072)</f>
        <v>46072</v>
      </c>
      <c r="M743" s="23" t="str">
        <f ca="1">IFERROR(__xludf.DUMMYFUNCTION("""COMPUTED_VALUE"""),"NO")</f>
        <v>NO</v>
      </c>
      <c r="N743" s="15">
        <f ca="1">IFERROR(__xludf.DUMMYFUNCTION("""COMPUTED_VALUE"""),2)</f>
        <v>2</v>
      </c>
      <c r="O743" s="23" t="str">
        <f ca="1">IFERROR(__xludf.DUMMYFUNCTION("""COMPUTED_VALUE"""),"QUIET")</f>
        <v>QUIET</v>
      </c>
      <c r="P743" s="21">
        <f ca="1">IFERROR(__xludf.DUMMYFUNCTION("""COMPUTED_VALUE"""),3181.82)</f>
        <v>3181.82</v>
      </c>
      <c r="Q743" s="6" t="str">
        <f ca="1">IFERROR(__xludf.DUMMYFUNCTION("""COMPUTED_VALUE"""),"Iván Sánchez")</f>
        <v>Iván Sánchez</v>
      </c>
      <c r="R743" s="6" t="str">
        <f ca="1">IFERROR(__xludf.DUMMYFUNCTION("""COMPUTED_VALUE"""),"No recuerda ORL")</f>
        <v>No recuerda ORL</v>
      </c>
      <c r="S743" s="20" t="str">
        <f ca="1">IFERROR(__xludf.DUMMYFUNCTION("""COMPUTED_VALUE"""),"03 ORL")</f>
        <v>03 ORL</v>
      </c>
      <c r="T743" s="6" t="str">
        <f ca="1">IFERROR(__xludf.DUMMYFUNCTION("""COMPUTED_VALUE"""),"22 AUDIOMETRIA CLINICA")</f>
        <v>22 AUDIOMETRIA CLINICA</v>
      </c>
      <c r="U743" s="21"/>
      <c r="W743" s="20"/>
      <c r="X743" s="21"/>
    </row>
    <row r="744" spans="2:24" ht="16">
      <c r="B744" s="26" t="str">
        <f t="shared" ca="1" si="3"/>
        <v>ISL</v>
      </c>
      <c r="C744" s="23" t="str">
        <f ca="1">IFERROR(__xludf.DUMMYFUNCTION("""COMPUTED_VALUE"""),"ISL80")</f>
        <v>ISL80</v>
      </c>
      <c r="D744" s="6" t="str">
        <f ca="1">IFERROR(__xludf.DUMMYFUNCTION("""COMPUTED_VALUE"""),"PROPIOS")</f>
        <v>PROPIOS</v>
      </c>
      <c r="E744" s="6">
        <f ca="1">IFERROR(__xludf.DUMMYFUNCTION("""COMPUTED_VALUE"""),2026)</f>
        <v>2026</v>
      </c>
      <c r="F744" s="15">
        <f ca="1">IFERROR(__xludf.DUMMYFUNCTION("""COMPUTED_VALUE"""),1)</f>
        <v>1</v>
      </c>
      <c r="G744" s="6" t="str">
        <f ca="1">IFERROR(__xludf.DUMMYFUNCTION("""COMPUTED_VALUE"""),"Orihuela")</f>
        <v>Orihuela</v>
      </c>
      <c r="H744" s="6" t="str">
        <f ca="1">IFERROR(__xludf.DUMMYFUNCTION("""COMPUTED_VALUE"""),"C202512231662888254")</f>
        <v>C202512231662888254</v>
      </c>
      <c r="I744" s="6" t="str">
        <f ca="1">IFERROR(__xludf.DUMMYFUNCTION("""COMPUTED_VALUE"""),"CARLOS MONTESA BERNET")</f>
        <v>CARLOS MONTESA BERNET</v>
      </c>
      <c r="J744" s="16">
        <f ca="1">IFERROR(__xludf.DUMMYFUNCTION("""COMPUTED_VALUE"""),46014)</f>
        <v>46014</v>
      </c>
      <c r="K744" s="6" t="str">
        <f ca="1">IFERROR(__xludf.DUMMYFUNCTION("""COMPUTED_VALUE"""),"Presupuesto")</f>
        <v>Presupuesto</v>
      </c>
      <c r="L744" s="16">
        <f ca="1">IFERROR(__xludf.DUMMYFUNCTION("""COMPUTED_VALUE"""),46029)</f>
        <v>46029</v>
      </c>
      <c r="M744" s="23" t="str">
        <f ca="1">IFERROR(__xludf.DUMMYFUNCTION("""COMPUTED_VALUE"""),"NO")</f>
        <v>NO</v>
      </c>
      <c r="N744" s="15">
        <f ca="1">IFERROR(__xludf.DUMMYFUNCTION("""COMPUTED_VALUE"""),2)</f>
        <v>2</v>
      </c>
      <c r="O744" s="23" t="str">
        <f ca="1">IFERROR(__xludf.DUMMYFUNCTION("""COMPUTED_VALUE"""),"CONFORT")</f>
        <v>CONFORT</v>
      </c>
      <c r="P744" s="21">
        <f ca="1">IFERROR(__xludf.DUMMYFUNCTION("""COMPUTED_VALUE"""),3631.82)</f>
        <v>3631.82</v>
      </c>
      <c r="Q744" s="6" t="str">
        <f ca="1">IFERROR(__xludf.DUMMYFUNCTION("""COMPUTED_VALUE"""),"Iván Sánchez")</f>
        <v>Iván Sánchez</v>
      </c>
      <c r="R744" s="6" t="str">
        <f ca="1">IFERROR(__xludf.DUMMYFUNCTION("""COMPUTED_VALUE"""),"Santiago Moreno Paredes")</f>
        <v>Santiago Moreno Paredes</v>
      </c>
      <c r="S744" s="20" t="str">
        <f ca="1">IFERROR(__xludf.DUMMYFUNCTION("""COMPUTED_VALUE"""),"03 ORL")</f>
        <v>03 ORL</v>
      </c>
      <c r="T744" s="6" t="str">
        <f ca="1">IFERROR(__xludf.DUMMYFUNCTION("""COMPUTED_VALUE"""),"06 ORL")</f>
        <v>06 ORL</v>
      </c>
      <c r="U744" s="21"/>
      <c r="W744" s="20"/>
      <c r="X744" s="21"/>
    </row>
    <row r="745" spans="2:24" ht="16">
      <c r="B745" s="26" t="str">
        <f t="shared" ca="1" si="3"/>
        <v/>
      </c>
      <c r="C745" s="23"/>
      <c r="D745" s="6" t="str">
        <f ca="1">IFERROR(__xludf.DUMMYFUNCTION("""COMPUTED_VALUE"""),"PROPIOS")</f>
        <v>PROPIOS</v>
      </c>
      <c r="E745" s="6">
        <f ca="1">IFERROR(__xludf.DUMMYFUNCTION("""COMPUTED_VALUE"""),2026)</f>
        <v>2026</v>
      </c>
      <c r="F745" s="15">
        <f ca="1">IFERROR(__xludf.DUMMYFUNCTION("""COMPUTED_VALUE"""),1)</f>
        <v>1</v>
      </c>
      <c r="G745" s="6" t="str">
        <f ca="1">IFERROR(__xludf.DUMMYFUNCTION("""COMPUTED_VALUE"""),"Orihuela")</f>
        <v>Orihuela</v>
      </c>
      <c r="H745" s="6" t="str">
        <f ca="1">IFERROR(__xludf.DUMMYFUNCTION("""COMPUTED_VALUE"""),"C202611915381671609")</f>
        <v>C202611915381671609</v>
      </c>
      <c r="I745" s="6" t="str">
        <f ca="1">IFERROR(__xludf.DUMMYFUNCTION("""COMPUTED_VALUE"""),"JULIÁN RUZ TREVIÑO")</f>
        <v>JULIÁN RUZ TREVIÑO</v>
      </c>
      <c r="J745" s="16">
        <f ca="1">IFERROR(__xludf.DUMMYFUNCTION("""COMPUTED_VALUE"""),46041)</f>
        <v>46041</v>
      </c>
      <c r="K745" s="6" t="str">
        <f ca="1">IFERROR(__xludf.DUMMYFUNCTION("""COMPUTED_VALUE"""),"Presupuesto")</f>
        <v>Presupuesto</v>
      </c>
      <c r="L745" s="16">
        <f ca="1">IFERROR(__xludf.DUMMYFUNCTION("""COMPUTED_VALUE"""),46045)</f>
        <v>46045</v>
      </c>
      <c r="M745" s="23" t="str">
        <f ca="1">IFERROR(__xludf.DUMMYFUNCTION("""COMPUTED_VALUE"""),"NO")</f>
        <v>NO</v>
      </c>
      <c r="N745" s="15">
        <f ca="1">IFERROR(__xludf.DUMMYFUNCTION("""COMPUTED_VALUE"""),2)</f>
        <v>2</v>
      </c>
      <c r="O745" s="23" t="str">
        <f ca="1">IFERROR(__xludf.DUMMYFUNCTION("""COMPUTED_VALUE"""),"QUIET")</f>
        <v>QUIET</v>
      </c>
      <c r="P745" s="21">
        <f ca="1">IFERROR(__xludf.DUMMYFUNCTION("""COMPUTED_VALUE"""),2718.18)</f>
        <v>2718.18</v>
      </c>
      <c r="Q745" s="6" t="str">
        <f ca="1">IFERROR(__xludf.DUMMYFUNCTION("""COMPUTED_VALUE"""),"Iván Sánchez")</f>
        <v>Iván Sánchez</v>
      </c>
      <c r="R745" s="6" t="str">
        <f ca="1">IFERROR(__xludf.DUMMYFUNCTION("""COMPUTED_VALUE"""),"No recuerda ORL")</f>
        <v>No recuerda ORL</v>
      </c>
      <c r="S745" s="20" t="str">
        <f ca="1">IFERROR(__xludf.DUMMYFUNCTION("""COMPUTED_VALUE"""),"03 ORL")</f>
        <v>03 ORL</v>
      </c>
      <c r="T745" s="6" t="str">
        <f ca="1">IFERROR(__xludf.DUMMYFUNCTION("""COMPUTED_VALUE"""),"06 ORL")</f>
        <v>06 ORL</v>
      </c>
      <c r="U745" s="21"/>
      <c r="W745" s="20"/>
      <c r="X745" s="21"/>
    </row>
    <row r="746" spans="2:24" ht="16">
      <c r="B746" s="26" t="str">
        <f t="shared" ca="1" si="3"/>
        <v>ISL</v>
      </c>
      <c r="C746" s="23" t="str">
        <f ca="1">IFERROR(__xludf.DUMMYFUNCTION("""COMPUTED_VALUE"""),"ISL93")</f>
        <v>ISL93</v>
      </c>
      <c r="D746" s="6" t="str">
        <f ca="1">IFERROR(__xludf.DUMMYFUNCTION("""COMPUTED_VALUE"""),"PROPIOS")</f>
        <v>PROPIOS</v>
      </c>
      <c r="E746" s="6">
        <f ca="1">IFERROR(__xludf.DUMMYFUNCTION("""COMPUTED_VALUE"""),2026)</f>
        <v>2026</v>
      </c>
      <c r="F746" s="15">
        <f ca="1">IFERROR(__xludf.DUMMYFUNCTION("""COMPUTED_VALUE"""),2)</f>
        <v>2</v>
      </c>
      <c r="G746" s="6" t="str">
        <f ca="1">IFERROR(__xludf.DUMMYFUNCTION("""COMPUTED_VALUE"""),"Orihuela")</f>
        <v>Orihuela</v>
      </c>
      <c r="H746" s="6" t="str">
        <f ca="1">IFERROR(__xludf.DUMMYFUNCTION("""COMPUTED_VALUE"""),"C202624162045493638")</f>
        <v>C202624162045493638</v>
      </c>
      <c r="I746" s="6" t="str">
        <f ca="1">IFERROR(__xludf.DUMMYFUNCTION("""COMPUTED_VALUE"""),"LUIS MIGUEL MONTEIRO CORREIA FALEIRO")</f>
        <v>LUIS MIGUEL MONTEIRO CORREIA FALEIRO</v>
      </c>
      <c r="J746" s="16">
        <f ca="1">IFERROR(__xludf.DUMMYFUNCTION("""COMPUTED_VALUE"""),46057)</f>
        <v>46057</v>
      </c>
      <c r="K746" s="6" t="str">
        <f ca="1">IFERROR(__xludf.DUMMYFUNCTION("""COMPUTED_VALUE"""),"Devuelve")</f>
        <v>Devuelve</v>
      </c>
      <c r="L746" s="16">
        <f ca="1">IFERROR(__xludf.DUMMYFUNCTION("""COMPUTED_VALUE"""),46064)</f>
        <v>46064</v>
      </c>
      <c r="M746" s="23" t="str">
        <f ca="1">IFERROR(__xludf.DUMMYFUNCTION("""COMPUTED_VALUE"""),"NO")</f>
        <v>NO</v>
      </c>
      <c r="N746" s="15">
        <f ca="1">IFERROR(__xludf.DUMMYFUNCTION("""COMPUTED_VALUE"""),2)</f>
        <v>2</v>
      </c>
      <c r="O746" s="23" t="str">
        <f ca="1">IFERROR(__xludf.DUMMYFUNCTION("""COMPUTED_VALUE"""),"TRIAL")</f>
        <v>TRIAL</v>
      </c>
      <c r="P746" s="21">
        <f ca="1">IFERROR(__xludf.DUMMYFUNCTION("""COMPUTED_VALUE"""),3631.82)</f>
        <v>3631.82</v>
      </c>
      <c r="Q746" s="6" t="str">
        <f ca="1">IFERROR(__xludf.DUMMYFUNCTION("""COMPUTED_VALUE"""),"Iván Sánchez")</f>
        <v>Iván Sánchez</v>
      </c>
      <c r="R746" s="6" t="str">
        <f ca="1">IFERROR(__xludf.DUMMYFUNCTION("""COMPUTED_VALUE"""),"Aurora López Llames")</f>
        <v>Aurora López Llames</v>
      </c>
      <c r="S746" s="20" t="str">
        <f ca="1">IFERROR(__xludf.DUMMYFUNCTION("""COMPUTED_VALUE"""),"03 ORL")</f>
        <v>03 ORL</v>
      </c>
      <c r="T746" s="6" t="str">
        <f ca="1">IFERROR(__xludf.DUMMYFUNCTION("""COMPUTED_VALUE"""),"06 ORL")</f>
        <v>06 ORL</v>
      </c>
      <c r="U746" s="21"/>
      <c r="W746" s="20"/>
      <c r="X746" s="21"/>
    </row>
    <row r="747" spans="2:24" ht="16">
      <c r="B747" s="26" t="str">
        <f t="shared" ca="1" si="3"/>
        <v>ISL</v>
      </c>
      <c r="C747" s="23" t="str">
        <f ca="1">IFERROR(__xludf.DUMMYFUNCTION("""COMPUTED_VALUE"""),"ISL58")</f>
        <v>ISL58</v>
      </c>
      <c r="D747" s="6" t="str">
        <f ca="1">IFERROR(__xludf.DUMMYFUNCTION("""COMPUTED_VALUE"""),"PROPIOS")</f>
        <v>PROPIOS</v>
      </c>
      <c r="E747" s="6">
        <f ca="1">IFERROR(__xludf.DUMMYFUNCTION("""COMPUTED_VALUE"""),2026)</f>
        <v>2026</v>
      </c>
      <c r="F747" s="15">
        <f ca="1">IFERROR(__xludf.DUMMYFUNCTION("""COMPUTED_VALUE"""),2)</f>
        <v>2</v>
      </c>
      <c r="G747" s="6" t="str">
        <f ca="1">IFERROR(__xludf.DUMMYFUNCTION("""COMPUTED_VALUE"""),"Orihuela")</f>
        <v>Orihuela</v>
      </c>
      <c r="H747" s="6" t="str">
        <f ca="1">IFERROR(__xludf.DUMMYFUNCTION("""COMPUTED_VALUE"""),"C20262317314884201")</f>
        <v>C20262317314884201</v>
      </c>
      <c r="I747" s="6" t="str">
        <f ca="1">IFERROR(__xludf.DUMMYFUNCTION("""COMPUTED_VALUE"""),"MONIQUE MARIE KLEIN")</f>
        <v>MONIQUE MARIE KLEIN</v>
      </c>
      <c r="J747" s="16">
        <f ca="1">IFERROR(__xludf.DUMMYFUNCTION("""COMPUTED_VALUE"""),46056)</f>
        <v>46056</v>
      </c>
      <c r="K747" s="6" t="str">
        <f ca="1">IFERROR(__xludf.DUMMYFUNCTION("""COMPUTED_VALUE"""),"Devuelve")</f>
        <v>Devuelve</v>
      </c>
      <c r="L747" s="16">
        <f ca="1">IFERROR(__xludf.DUMMYFUNCTION("""COMPUTED_VALUE"""),46071)</f>
        <v>46071</v>
      </c>
      <c r="M747" s="23" t="str">
        <f ca="1">IFERROR(__xludf.DUMMYFUNCTION("""COMPUTED_VALUE"""),"NO")</f>
        <v>NO</v>
      </c>
      <c r="N747" s="15">
        <f ca="1">IFERROR(__xludf.DUMMYFUNCTION("""COMPUTED_VALUE"""),2)</f>
        <v>2</v>
      </c>
      <c r="O747" s="23" t="str">
        <f ca="1">IFERROR(__xludf.DUMMYFUNCTION("""COMPUTED_VALUE"""),"CONFORT")</f>
        <v>CONFORT</v>
      </c>
      <c r="P747" s="21">
        <f ca="1">IFERROR(__xludf.DUMMYFUNCTION("""COMPUTED_VALUE"""),3631.82)</f>
        <v>3631.82</v>
      </c>
      <c r="Q747" s="6" t="str">
        <f ca="1">IFERROR(__xludf.DUMMYFUNCTION("""COMPUTED_VALUE"""),"Iván Sánchez")</f>
        <v>Iván Sánchez</v>
      </c>
      <c r="R747" s="6" t="str">
        <f ca="1">IFERROR(__xludf.DUMMYFUNCTION("""COMPUTED_VALUE"""),"Juan Javier Álvarez López")</f>
        <v>Juan Javier Álvarez López</v>
      </c>
      <c r="S747" s="20" t="str">
        <f ca="1">IFERROR(__xludf.DUMMYFUNCTION("""COMPUTED_VALUE"""),"03 ORL")</f>
        <v>03 ORL</v>
      </c>
      <c r="T747" s="6" t="str">
        <f ca="1">IFERROR(__xludf.DUMMYFUNCTION("""COMPUTED_VALUE"""),"06 ORL")</f>
        <v>06 ORL</v>
      </c>
      <c r="U747" s="21"/>
      <c r="W747" s="20"/>
      <c r="X747" s="21"/>
    </row>
    <row r="748" spans="2:24" ht="16">
      <c r="B748" s="26" t="str">
        <f t="shared" ca="1" si="3"/>
        <v>ISL</v>
      </c>
      <c r="C748" s="23" t="str">
        <f ca="1">IFERROR(__xludf.DUMMYFUNCTION("""COMPUTED_VALUE"""),"ISL58")</f>
        <v>ISL58</v>
      </c>
      <c r="D748" s="6" t="str">
        <f ca="1">IFERROR(__xludf.DUMMYFUNCTION("""COMPUTED_VALUE"""),"PROPIOS")</f>
        <v>PROPIOS</v>
      </c>
      <c r="E748" s="6">
        <f ca="1">IFERROR(__xludf.DUMMYFUNCTION("""COMPUTED_VALUE"""),2026)</f>
        <v>2026</v>
      </c>
      <c r="F748" s="15">
        <f ca="1">IFERROR(__xludf.DUMMYFUNCTION("""COMPUTED_VALUE"""),1)</f>
        <v>1</v>
      </c>
      <c r="G748" s="6" t="str">
        <f ca="1">IFERROR(__xludf.DUMMYFUNCTION("""COMPUTED_VALUE"""),"Orihuela")</f>
        <v>Orihuela</v>
      </c>
      <c r="H748" s="6" t="str">
        <f ca="1">IFERROR(__xludf.DUMMYFUNCTION("""COMPUTED_VALUE"""),"C202512301027322065")</f>
        <v>C202512301027322065</v>
      </c>
      <c r="I748" s="6" t="str">
        <f ca="1">IFERROR(__xludf.DUMMYFUNCTION("""COMPUTED_VALUE"""),"ROBERTO JOAQUÍN DEL MORAL MEZO")</f>
        <v>ROBERTO JOAQUÍN DEL MORAL MEZO</v>
      </c>
      <c r="J748" s="16">
        <f ca="1">IFERROR(__xludf.DUMMYFUNCTION("""COMPUTED_VALUE"""),46021)</f>
        <v>46021</v>
      </c>
      <c r="K748" s="6" t="str">
        <f ca="1">IFERROR(__xludf.DUMMYFUNCTION("""COMPUTED_VALUE"""),"Devuelve")</f>
        <v>Devuelve</v>
      </c>
      <c r="L748" s="16">
        <f ca="1">IFERROR(__xludf.DUMMYFUNCTION("""COMPUTED_VALUE"""),46036)</f>
        <v>46036</v>
      </c>
      <c r="M748" s="23" t="str">
        <f ca="1">IFERROR(__xludf.DUMMYFUNCTION("""COMPUTED_VALUE"""),"NO")</f>
        <v>NO</v>
      </c>
      <c r="N748" s="15">
        <f ca="1">IFERROR(__xludf.DUMMYFUNCTION("""COMPUTED_VALUE"""),2)</f>
        <v>2</v>
      </c>
      <c r="O748" s="23" t="str">
        <f ca="1">IFERROR(__xludf.DUMMYFUNCTION("""COMPUTED_VALUE"""),"QUIET")</f>
        <v>QUIET</v>
      </c>
      <c r="P748" s="21">
        <f ca="1">IFERROR(__xludf.DUMMYFUNCTION("""COMPUTED_VALUE"""),2718.18)</f>
        <v>2718.18</v>
      </c>
      <c r="Q748" s="6" t="str">
        <f ca="1">IFERROR(__xludf.DUMMYFUNCTION("""COMPUTED_VALUE"""),"Iván Sánchez")</f>
        <v>Iván Sánchez</v>
      </c>
      <c r="R748" s="6" t="str">
        <f ca="1">IFERROR(__xludf.DUMMYFUNCTION("""COMPUTED_VALUE"""),"Juan Javier Álvarez López")</f>
        <v>Juan Javier Álvarez López</v>
      </c>
      <c r="S748" s="20" t="str">
        <f ca="1">IFERROR(__xludf.DUMMYFUNCTION("""COMPUTED_VALUE"""),"03 ORL")</f>
        <v>03 ORL</v>
      </c>
      <c r="T748" s="6" t="str">
        <f ca="1">IFERROR(__xludf.DUMMYFUNCTION("""COMPUTED_VALUE"""),"06 ORL")</f>
        <v>06 ORL</v>
      </c>
      <c r="U748" s="21"/>
      <c r="W748" s="20"/>
      <c r="X748" s="21"/>
    </row>
    <row r="749" spans="2:24" ht="16">
      <c r="B749" s="26" t="str">
        <f t="shared" ca="1" si="3"/>
        <v>ISL</v>
      </c>
      <c r="C749" s="23" t="str">
        <f ca="1">IFERROR(__xludf.DUMMYFUNCTION("""COMPUTED_VALUE"""),"ISL14")</f>
        <v>ISL14</v>
      </c>
      <c r="D749" s="6" t="str">
        <f ca="1">IFERROR(__xludf.DUMMYFUNCTION("""COMPUTED_VALUE"""),"PROPIOS")</f>
        <v>PROPIOS</v>
      </c>
      <c r="E749" s="6">
        <f ca="1">IFERROR(__xludf.DUMMYFUNCTION("""COMPUTED_VALUE"""),2026)</f>
        <v>2026</v>
      </c>
      <c r="F749" s="15">
        <f ca="1">IFERROR(__xludf.DUMMYFUNCTION("""COMPUTED_VALUE"""),3)</f>
        <v>3</v>
      </c>
      <c r="G749" s="6" t="str">
        <f ca="1">IFERROR(__xludf.DUMMYFUNCTION("""COMPUTED_VALUE"""),"Orihuela")</f>
        <v>Orihuela</v>
      </c>
      <c r="H749" s="6" t="str">
        <f ca="1">IFERROR(__xludf.DUMMYFUNCTION("""COMPUTED_VALUE"""),"C202621810511350282")</f>
        <v>C202621810511350282</v>
      </c>
      <c r="I749" s="6" t="str">
        <f ca="1">IFERROR(__xludf.DUMMYFUNCTION("""COMPUTED_VALUE"""),"SERGEI MISHANKOV")</f>
        <v>SERGEI MISHANKOV</v>
      </c>
      <c r="J749" s="16">
        <f ca="1">IFERROR(__xludf.DUMMYFUNCTION("""COMPUTED_VALUE"""),46071)</f>
        <v>46071</v>
      </c>
      <c r="K749" s="6" t="str">
        <f ca="1">IFERROR(__xludf.DUMMYFUNCTION("""COMPUTED_VALUE"""),"Devuelve")</f>
        <v>Devuelve</v>
      </c>
      <c r="L749" s="16">
        <f ca="1">IFERROR(__xludf.DUMMYFUNCTION("""COMPUTED_VALUE"""),46083)</f>
        <v>46083</v>
      </c>
      <c r="M749" s="23" t="str">
        <f ca="1">IFERROR(__xludf.DUMMYFUNCTION("""COMPUTED_VALUE"""),"NO")</f>
        <v>NO</v>
      </c>
      <c r="N749" s="15">
        <f ca="1">IFERROR(__xludf.DUMMYFUNCTION("""COMPUTED_VALUE"""),2)</f>
        <v>2</v>
      </c>
      <c r="O749" s="23" t="str">
        <f ca="1">IFERROR(__xludf.DUMMYFUNCTION("""COMPUTED_VALUE"""),"QUIET")</f>
        <v>QUIET</v>
      </c>
      <c r="P749" s="21">
        <f ca="1">IFERROR(__xludf.DUMMYFUNCTION("""COMPUTED_VALUE"""),2718.18)</f>
        <v>2718.18</v>
      </c>
      <c r="Q749" s="6" t="str">
        <f ca="1">IFERROR(__xludf.DUMMYFUNCTION("""COMPUTED_VALUE"""),"Iván Sánchez")</f>
        <v>Iván Sánchez</v>
      </c>
      <c r="R749" s="6" t="str">
        <f ca="1">IFERROR(__xludf.DUMMYFUNCTION("""COMPUTED_VALUE"""),"Carlos Velásquez Fermín")</f>
        <v>Carlos Velásquez Fermín</v>
      </c>
      <c r="S749" s="20" t="str">
        <f ca="1">IFERROR(__xludf.DUMMYFUNCTION("""COMPUTED_VALUE"""),"03 ORL")</f>
        <v>03 ORL</v>
      </c>
      <c r="T749" s="6" t="str">
        <f ca="1">IFERROR(__xludf.DUMMYFUNCTION("""COMPUTED_VALUE"""),"06 ORL")</f>
        <v>06 ORL</v>
      </c>
      <c r="U749" s="21"/>
      <c r="W749" s="20"/>
      <c r="X749" s="21"/>
    </row>
    <row r="750" spans="2:24" ht="16">
      <c r="B750" s="26" t="str">
        <f t="shared" ca="1" si="3"/>
        <v>ISL</v>
      </c>
      <c r="C750" s="23" t="str">
        <f ca="1">IFERROR(__xludf.DUMMYFUNCTION("""COMPUTED_VALUE"""),"ISL130")</f>
        <v>ISL130</v>
      </c>
      <c r="D750" s="6" t="str">
        <f ca="1">IFERROR(__xludf.DUMMYFUNCTION("""COMPUTED_VALUE"""),"PROPIOS")</f>
        <v>PROPIOS</v>
      </c>
      <c r="E750" s="6">
        <f ca="1">IFERROR(__xludf.DUMMYFUNCTION("""COMPUTED_VALUE"""),2026)</f>
        <v>2026</v>
      </c>
      <c r="F750" s="15">
        <f ca="1">IFERROR(__xludf.DUMMYFUNCTION("""COMPUTED_VALUE"""),3)</f>
        <v>3</v>
      </c>
      <c r="G750" s="6" t="str">
        <f ca="1">IFERROR(__xludf.DUMMYFUNCTION("""COMPUTED_VALUE"""),"Orihuela")</f>
        <v>Orihuela</v>
      </c>
      <c r="H750" s="6" t="str">
        <f ca="1">IFERROR(__xludf.DUMMYFUNCTION("""COMPUTED_VALUE"""),"C2025729174459859")</f>
        <v>C2025729174459859</v>
      </c>
      <c r="I750" s="6" t="str">
        <f ca="1">IFERROR(__xludf.DUMMYFUNCTION("""COMPUTED_VALUE"""),"SERGIO ANTONIO SEGURA PEÑA")</f>
        <v>SERGIO ANTONIO SEGURA PEÑA</v>
      </c>
      <c r="J750" s="16">
        <f ca="1">IFERROR(__xludf.DUMMYFUNCTION("""COMPUTED_VALUE"""),45867)</f>
        <v>45867</v>
      </c>
      <c r="K750" s="6" t="str">
        <f ca="1">IFERROR(__xludf.DUMMYFUNCTION("""COMPUTED_VALUE"""),"Presupuesto")</f>
        <v>Presupuesto</v>
      </c>
      <c r="L750" s="16">
        <f ca="1">IFERROR(__xludf.DUMMYFUNCTION("""COMPUTED_VALUE"""),46083)</f>
        <v>46083</v>
      </c>
      <c r="M750" s="23" t="str">
        <f ca="1">IFERROR(__xludf.DUMMYFUNCTION("""COMPUTED_VALUE"""),"NO")</f>
        <v>NO</v>
      </c>
      <c r="N750" s="15">
        <f ca="1">IFERROR(__xludf.DUMMYFUNCTION("""COMPUTED_VALUE"""),2)</f>
        <v>2</v>
      </c>
      <c r="O750" s="23" t="str">
        <f ca="1">IFERROR(__xludf.DUMMYFUNCTION("""COMPUTED_VALUE"""),"QUIET")</f>
        <v>QUIET</v>
      </c>
      <c r="P750" s="21">
        <f ca="1">IFERROR(__xludf.DUMMYFUNCTION("""COMPUTED_VALUE"""),2718.18)</f>
        <v>2718.18</v>
      </c>
      <c r="Q750" s="6" t="str">
        <f ca="1">IFERROR(__xludf.DUMMYFUNCTION("""COMPUTED_VALUE"""),"Iván Sánchez")</f>
        <v>Iván Sánchez</v>
      </c>
      <c r="R750" s="6" t="str">
        <f ca="1">IFERROR(__xludf.DUMMYFUNCTION("""COMPUTED_VALUE"""),"Paula Hernández Ruíz")</f>
        <v>Paula Hernández Ruíz</v>
      </c>
      <c r="S750" s="20" t="str">
        <f ca="1">IFERROR(__xludf.DUMMYFUNCTION("""COMPUTED_VALUE"""),"03 ORL")</f>
        <v>03 ORL</v>
      </c>
      <c r="T750" s="6" t="str">
        <f ca="1">IFERROR(__xludf.DUMMYFUNCTION("""COMPUTED_VALUE"""),"06 ORL")</f>
        <v>06 ORL</v>
      </c>
      <c r="U750" s="21"/>
      <c r="W750" s="20"/>
      <c r="X750" s="21"/>
    </row>
    <row r="751" spans="2:24" ht="16">
      <c r="B751" s="26" t="str">
        <f t="shared" ca="1" si="3"/>
        <v>RPG</v>
      </c>
      <c r="C751" s="23" t="str">
        <f ca="1">IFERROR(__xludf.DUMMYFUNCTION("""COMPUTED_VALUE"""),"RPG51")</f>
        <v>RPG51</v>
      </c>
      <c r="D751" s="6" t="str">
        <f ca="1">IFERROR(__xludf.DUMMYFUNCTION("""COMPUTED_VALUE"""),"PARTICIPADOS")</f>
        <v>PARTICIPADOS</v>
      </c>
      <c r="E751" s="6">
        <f ca="1">IFERROR(__xludf.DUMMYFUNCTION("""COMPUTED_VALUE"""),2026)</f>
        <v>2026</v>
      </c>
      <c r="F751" s="15">
        <f ca="1">IFERROR(__xludf.DUMMYFUNCTION("""COMPUTED_VALUE"""),2)</f>
        <v>2</v>
      </c>
      <c r="G751" s="6" t="str">
        <f ca="1">IFERROR(__xludf.DUMMYFUNCTION("""COMPUTED_VALUE"""),"Ourense")</f>
        <v>Ourense</v>
      </c>
      <c r="H751" s="6" t="str">
        <f ca="1">IFERROR(__xludf.DUMMYFUNCTION("""COMPUTED_VALUE"""),"C202612911333326269")</f>
        <v>C202612911333326269</v>
      </c>
      <c r="I751" s="6" t="str">
        <f ca="1">IFERROR(__xludf.DUMMYFUNCTION("""COMPUTED_VALUE"""),"ALEXAIDA JOSEFINA AGUILAR GONZALEZ")</f>
        <v>ALEXAIDA JOSEFINA AGUILAR GONZALEZ</v>
      </c>
      <c r="J751" s="16">
        <f ca="1">IFERROR(__xludf.DUMMYFUNCTION("""COMPUTED_VALUE"""),46051)</f>
        <v>46051</v>
      </c>
      <c r="K751" s="6" t="str">
        <f ca="1">IFERROR(__xludf.DUMMYFUNCTION("""COMPUTED_VALUE"""),"Devuelve")</f>
        <v>Devuelve</v>
      </c>
      <c r="L751" s="16">
        <f ca="1">IFERROR(__xludf.DUMMYFUNCTION("""COMPUTED_VALUE"""),46059)</f>
        <v>46059</v>
      </c>
      <c r="M751" s="23" t="str">
        <f ca="1">IFERROR(__xludf.DUMMYFUNCTION("""COMPUTED_VALUE"""),"NO")</f>
        <v>NO</v>
      </c>
      <c r="N751" s="15">
        <f ca="1">IFERROR(__xludf.DUMMYFUNCTION("""COMPUTED_VALUE"""),2)</f>
        <v>2</v>
      </c>
      <c r="O751" s="23" t="str">
        <f ca="1">IFERROR(__xludf.DUMMYFUNCTION("""COMPUTED_VALUE"""),"QUIET")</f>
        <v>QUIET</v>
      </c>
      <c r="P751" s="21">
        <f ca="1">IFERROR(__xludf.DUMMYFUNCTION("""COMPUTED_VALUE"""),2718.18)</f>
        <v>2718.18</v>
      </c>
      <c r="Q751" s="6" t="str">
        <f ca="1">IFERROR(__xludf.DUMMYFUNCTION("""COMPUTED_VALUE"""),"Kiko Ortega")</f>
        <v>Kiko Ortega</v>
      </c>
      <c r="R751" s="6" t="str">
        <f ca="1">IFERROR(__xludf.DUMMYFUNCTION("""COMPUTED_VALUE"""),"María Rey Marcos")</f>
        <v>María Rey Marcos</v>
      </c>
      <c r="S751" s="20" t="str">
        <f ca="1">IFERROR(__xludf.DUMMYFUNCTION("""COMPUTED_VALUE"""),"01 MARKETING ON LINE")</f>
        <v>01 MARKETING ON LINE</v>
      </c>
      <c r="T751" s="6" t="str">
        <f ca="1">IFERROR(__xludf.DUMMYFUNCTION("""COMPUTED_VALUE"""),"04 AUDIFONO,ES")</f>
        <v>04 AUDIFONO,ES</v>
      </c>
      <c r="U751" s="21"/>
      <c r="W751" s="20"/>
      <c r="X751" s="21"/>
    </row>
    <row r="752" spans="2:24" ht="16">
      <c r="B752" s="26" t="str">
        <f t="shared" ca="1" si="3"/>
        <v>RPG</v>
      </c>
      <c r="C752" s="23" t="str">
        <f ca="1">IFERROR(__xludf.DUMMYFUNCTION("""COMPUTED_VALUE"""),"RPG37")</f>
        <v>RPG37</v>
      </c>
      <c r="D752" s="6" t="str">
        <f ca="1">IFERROR(__xludf.DUMMYFUNCTION("""COMPUTED_VALUE"""),"PARTICIPADOS")</f>
        <v>PARTICIPADOS</v>
      </c>
      <c r="E752" s="6">
        <f ca="1">IFERROR(__xludf.DUMMYFUNCTION("""COMPUTED_VALUE"""),2026)</f>
        <v>2026</v>
      </c>
      <c r="F752" s="15">
        <f ca="1">IFERROR(__xludf.DUMMYFUNCTION("""COMPUTED_VALUE"""),2)</f>
        <v>2</v>
      </c>
      <c r="G752" s="6" t="str">
        <f ca="1">IFERROR(__xludf.DUMMYFUNCTION("""COMPUTED_VALUE"""),"Ourense")</f>
        <v>Ourense</v>
      </c>
      <c r="H752" s="6" t="str">
        <f ca="1">IFERROR(__xludf.DUMMYFUNCTION("""COMPUTED_VALUE"""),"C20262917448200249")</f>
        <v>C20262917448200249</v>
      </c>
      <c r="I752" s="6" t="str">
        <f ca="1">IFERROR(__xludf.DUMMYFUNCTION("""COMPUTED_VALUE"""),"ANGELES BERMEJO GALLARDO")</f>
        <v>ANGELES BERMEJO GALLARDO</v>
      </c>
      <c r="J752" s="16">
        <f ca="1">IFERROR(__xludf.DUMMYFUNCTION("""COMPUTED_VALUE"""),46062)</f>
        <v>46062</v>
      </c>
      <c r="K752" s="6" t="str">
        <f ca="1">IFERROR(__xludf.DUMMYFUNCTION("""COMPUTED_VALUE"""),"Prueba")</f>
        <v>Prueba</v>
      </c>
      <c r="L752" s="16">
        <f ca="1">IFERROR(__xludf.DUMMYFUNCTION("""COMPUTED_VALUE"""),46072)</f>
        <v>46072</v>
      </c>
      <c r="M752" s="23" t="str">
        <f ca="1">IFERROR(__xludf.DUMMYFUNCTION("""COMPUTED_VALUE"""),"NO")</f>
        <v>NO</v>
      </c>
      <c r="N752" s="15">
        <f ca="1">IFERROR(__xludf.DUMMYFUNCTION("""COMPUTED_VALUE"""),2)</f>
        <v>2</v>
      </c>
      <c r="O752" s="23" t="str">
        <f ca="1">IFERROR(__xludf.DUMMYFUNCTION("""COMPUTED_VALUE"""),"TRIAL")</f>
        <v>TRIAL</v>
      </c>
      <c r="P752" s="21">
        <f ca="1">IFERROR(__xludf.DUMMYFUNCTION("""COMPUTED_VALUE"""),3631.82)</f>
        <v>3631.82</v>
      </c>
      <c r="Q752" s="6" t="str">
        <f ca="1">IFERROR(__xludf.DUMMYFUNCTION("""COMPUTED_VALUE"""),"Kiko Ortega")</f>
        <v>Kiko Ortega</v>
      </c>
      <c r="R752" s="6" t="str">
        <f ca="1">IFERROR(__xludf.DUMMYFUNCTION("""COMPUTED_VALUE"""),"Ana Quintana Sanjuan")</f>
        <v>Ana Quintana Sanjuan</v>
      </c>
      <c r="S752" s="20" t="str">
        <f ca="1">IFERROR(__xludf.DUMMYFUNCTION("""COMPUTED_VALUE"""),"01 MARKETING ON LINE")</f>
        <v>01 MARKETING ON LINE</v>
      </c>
      <c r="T752" s="6" t="str">
        <f ca="1">IFERROR(__xludf.DUMMYFUNCTION("""COMPUTED_VALUE"""),"04 AUDIFONO,ES")</f>
        <v>04 AUDIFONO,ES</v>
      </c>
      <c r="U752" s="21"/>
      <c r="W752" s="20"/>
      <c r="X752" s="21"/>
    </row>
    <row r="753" spans="2:24" ht="16">
      <c r="B753" s="26" t="str">
        <f t="shared" ca="1" si="3"/>
        <v>RPG</v>
      </c>
      <c r="C753" s="23" t="str">
        <f ca="1">IFERROR(__xludf.DUMMYFUNCTION("""COMPUTED_VALUE"""),"RPG51")</f>
        <v>RPG51</v>
      </c>
      <c r="D753" s="6" t="str">
        <f ca="1">IFERROR(__xludf.DUMMYFUNCTION("""COMPUTED_VALUE"""),"PARTICIPADOS")</f>
        <v>PARTICIPADOS</v>
      </c>
      <c r="E753" s="6">
        <f ca="1">IFERROR(__xludf.DUMMYFUNCTION("""COMPUTED_VALUE"""),2026)</f>
        <v>2026</v>
      </c>
      <c r="F753" s="15">
        <f ca="1">IFERROR(__xludf.DUMMYFUNCTION("""COMPUTED_VALUE"""),1)</f>
        <v>1</v>
      </c>
      <c r="G753" s="6" t="str">
        <f ca="1">IFERROR(__xludf.DUMMYFUNCTION("""COMPUTED_VALUE"""),"Ourense")</f>
        <v>Ourense</v>
      </c>
      <c r="H753" s="6" t="str">
        <f ca="1">IFERROR(__xludf.DUMMYFUNCTION("""COMPUTED_VALUE"""),"C202611293821803687")</f>
        <v>C202611293821803687</v>
      </c>
      <c r="I753" s="6" t="str">
        <f ca="1">IFERROR(__xludf.DUMMYFUNCTION("""COMPUTED_VALUE"""),"CELSA MORGADE PEREZ")</f>
        <v>CELSA MORGADE PEREZ</v>
      </c>
      <c r="J753" s="16">
        <f ca="1">IFERROR(__xludf.DUMMYFUNCTION("""COMPUTED_VALUE"""),46034)</f>
        <v>46034</v>
      </c>
      <c r="K753" s="6" t="str">
        <f ca="1">IFERROR(__xludf.DUMMYFUNCTION("""COMPUTED_VALUE"""),"Devuelve")</f>
        <v>Devuelve</v>
      </c>
      <c r="L753" s="16">
        <f ca="1">IFERROR(__xludf.DUMMYFUNCTION("""COMPUTED_VALUE"""),46038)</f>
        <v>46038</v>
      </c>
      <c r="M753" s="23" t="str">
        <f ca="1">IFERROR(__xludf.DUMMYFUNCTION("""COMPUTED_VALUE"""),"NO")</f>
        <v>NO</v>
      </c>
      <c r="N753" s="15">
        <f ca="1">IFERROR(__xludf.DUMMYFUNCTION("""COMPUTED_VALUE"""),2)</f>
        <v>2</v>
      </c>
      <c r="O753" s="23" t="str">
        <f ca="1">IFERROR(__xludf.DUMMYFUNCTION("""COMPUTED_VALUE"""),"TRIAL")</f>
        <v>TRIAL</v>
      </c>
      <c r="P753" s="21">
        <f ca="1">IFERROR(__xludf.DUMMYFUNCTION("""COMPUTED_VALUE"""),3631.82)</f>
        <v>3631.82</v>
      </c>
      <c r="Q753" s="6" t="str">
        <f ca="1">IFERROR(__xludf.DUMMYFUNCTION("""COMPUTED_VALUE"""),"Kiko Ortega")</f>
        <v>Kiko Ortega</v>
      </c>
      <c r="R753" s="6" t="str">
        <f ca="1">IFERROR(__xludf.DUMMYFUNCTION("""COMPUTED_VALUE"""),"María Rey Marcos")</f>
        <v>María Rey Marcos</v>
      </c>
      <c r="S753" s="20" t="str">
        <f ca="1">IFERROR(__xludf.DUMMYFUNCTION("""COMPUTED_VALUE"""),"03 ORL")</f>
        <v>03 ORL</v>
      </c>
      <c r="T753" s="6" t="str">
        <f ca="1">IFERROR(__xludf.DUMMYFUNCTION("""COMPUTED_VALUE"""),"06 ORL")</f>
        <v>06 ORL</v>
      </c>
      <c r="U753" s="21"/>
      <c r="W753" s="20"/>
      <c r="X753" s="21"/>
    </row>
    <row r="754" spans="2:24" ht="16">
      <c r="B754" s="26" t="str">
        <f t="shared" ca="1" si="3"/>
        <v>RPG</v>
      </c>
      <c r="C754" s="23" t="str">
        <f ca="1">IFERROR(__xludf.DUMMYFUNCTION("""COMPUTED_VALUE"""),"RPG51")</f>
        <v>RPG51</v>
      </c>
      <c r="D754" s="6" t="str">
        <f ca="1">IFERROR(__xludf.DUMMYFUNCTION("""COMPUTED_VALUE"""),"PARTICIPADOS")</f>
        <v>PARTICIPADOS</v>
      </c>
      <c r="E754" s="6">
        <f ca="1">IFERROR(__xludf.DUMMYFUNCTION("""COMPUTED_VALUE"""),2026)</f>
        <v>2026</v>
      </c>
      <c r="F754" s="15">
        <f ca="1">IFERROR(__xludf.DUMMYFUNCTION("""COMPUTED_VALUE"""),3)</f>
        <v>3</v>
      </c>
      <c r="G754" s="6" t="str">
        <f ca="1">IFERROR(__xludf.DUMMYFUNCTION("""COMPUTED_VALUE"""),"Ourense")</f>
        <v>Ourense</v>
      </c>
      <c r="H754" s="6" t="str">
        <f ca="1">IFERROR(__xludf.DUMMYFUNCTION("""COMPUTED_VALUE"""),"C202631215272871114")</f>
        <v>C202631215272871114</v>
      </c>
      <c r="I754" s="6" t="str">
        <f ca="1">IFERROR(__xludf.DUMMYFUNCTION("""COMPUTED_VALUE"""),"CONSTANTINO ALMEIDA VELOSO")</f>
        <v>CONSTANTINO ALMEIDA VELOSO</v>
      </c>
      <c r="J754" s="16">
        <f ca="1">IFERROR(__xludf.DUMMYFUNCTION("""COMPUTED_VALUE"""),46093)</f>
        <v>46093</v>
      </c>
      <c r="K754" s="6" t="str">
        <f ca="1">IFERROR(__xludf.DUMMYFUNCTION("""COMPUTED_VALUE"""),"Pedido")</f>
        <v>Pedido</v>
      </c>
      <c r="L754" s="16">
        <f ca="1">IFERROR(__xludf.DUMMYFUNCTION("""COMPUTED_VALUE"""),46107)</f>
        <v>46107</v>
      </c>
      <c r="M754" s="23" t="str">
        <f ca="1">IFERROR(__xludf.DUMMYFUNCTION("""COMPUTED_VALUE"""),"NO")</f>
        <v>NO</v>
      </c>
      <c r="N754" s="15">
        <f ca="1">IFERROR(__xludf.DUMMYFUNCTION("""COMPUTED_VALUE"""),2)</f>
        <v>2</v>
      </c>
      <c r="O754" s="23" t="str">
        <f ca="1">IFERROR(__xludf.DUMMYFUNCTION("""COMPUTED_VALUE"""),"QUIET")</f>
        <v>QUIET</v>
      </c>
      <c r="P754" s="21">
        <f ca="1">IFERROR(__xludf.DUMMYFUNCTION("""COMPUTED_VALUE"""),2718.18)</f>
        <v>2718.18</v>
      </c>
      <c r="Q754" s="6" t="str">
        <f ca="1">IFERROR(__xludf.DUMMYFUNCTION("""COMPUTED_VALUE"""),"Kiko Ortega")</f>
        <v>Kiko Ortega</v>
      </c>
      <c r="R754" s="6" t="str">
        <f ca="1">IFERROR(__xludf.DUMMYFUNCTION("""COMPUTED_VALUE"""),"María Rey Marcos")</f>
        <v>María Rey Marcos</v>
      </c>
      <c r="S754" s="20" t="str">
        <f ca="1">IFERROR(__xludf.DUMMYFUNCTION("""COMPUTED_VALUE"""),"03 ORL")</f>
        <v>03 ORL</v>
      </c>
      <c r="T754" s="6" t="str">
        <f ca="1">IFERROR(__xludf.DUMMYFUNCTION("""COMPUTED_VALUE"""),"06 ORL")</f>
        <v>06 ORL</v>
      </c>
      <c r="U754" s="21"/>
      <c r="W754" s="20"/>
      <c r="X754" s="21"/>
    </row>
    <row r="755" spans="2:24" ht="16">
      <c r="B755" s="26" t="str">
        <f t="shared" ca="1" si="3"/>
        <v>RPG</v>
      </c>
      <c r="C755" s="23" t="str">
        <f ca="1">IFERROR(__xludf.DUMMYFUNCTION("""COMPUTED_VALUE"""),"RPG51")</f>
        <v>RPG51</v>
      </c>
      <c r="D755" s="6" t="str">
        <f ca="1">IFERROR(__xludf.DUMMYFUNCTION("""COMPUTED_VALUE"""),"PARTICIPADOS")</f>
        <v>PARTICIPADOS</v>
      </c>
      <c r="E755" s="6">
        <f ca="1">IFERROR(__xludf.DUMMYFUNCTION("""COMPUTED_VALUE"""),2026)</f>
        <v>2026</v>
      </c>
      <c r="F755" s="15">
        <f ca="1">IFERROR(__xludf.DUMMYFUNCTION("""COMPUTED_VALUE"""),3)</f>
        <v>3</v>
      </c>
      <c r="G755" s="6" t="str">
        <f ca="1">IFERROR(__xludf.DUMMYFUNCTION("""COMPUTED_VALUE"""),"Ourense")</f>
        <v>Ourense</v>
      </c>
      <c r="H755" s="6" t="str">
        <f ca="1">IFERROR(__xludf.DUMMYFUNCTION("""COMPUTED_VALUE"""),"C202631093754166070")</f>
        <v>C202631093754166070</v>
      </c>
      <c r="I755" s="6" t="str">
        <f ca="1">IFERROR(__xludf.DUMMYFUNCTION("""COMPUTED_VALUE"""),"ELISARDO OTERO FORMOSO")</f>
        <v>ELISARDO OTERO FORMOSO</v>
      </c>
      <c r="J755" s="16">
        <f ca="1">IFERROR(__xludf.DUMMYFUNCTION("""COMPUTED_VALUE"""),46091)</f>
        <v>46091</v>
      </c>
      <c r="K755" s="6" t="str">
        <f ca="1">IFERROR(__xludf.DUMMYFUNCTION("""COMPUTED_VALUE"""),"Prueba")</f>
        <v>Prueba</v>
      </c>
      <c r="L755" s="16">
        <f ca="1">IFERROR(__xludf.DUMMYFUNCTION("""COMPUTED_VALUE"""),46097)</f>
        <v>46097</v>
      </c>
      <c r="M755" s="23" t="str">
        <f ca="1">IFERROR(__xludf.DUMMYFUNCTION("""COMPUTED_VALUE"""),"NO")</f>
        <v>NO</v>
      </c>
      <c r="N755" s="15">
        <f ca="1">IFERROR(__xludf.DUMMYFUNCTION("""COMPUTED_VALUE"""),1)</f>
        <v>1</v>
      </c>
      <c r="O755" s="23" t="str">
        <f ca="1">IFERROR(__xludf.DUMMYFUNCTION("""COMPUTED_VALUE"""),"ADVANCED")</f>
        <v>ADVANCED</v>
      </c>
      <c r="P755" s="21">
        <f ca="1">IFERROR(__xludf.DUMMYFUNCTION("""COMPUTED_VALUE"""),3200)</f>
        <v>3200</v>
      </c>
      <c r="Q755" s="6" t="str">
        <f ca="1">IFERROR(__xludf.DUMMYFUNCTION("""COMPUTED_VALUE"""),"Kiko Ortega")</f>
        <v>Kiko Ortega</v>
      </c>
      <c r="R755" s="6" t="str">
        <f ca="1">IFERROR(__xludf.DUMMYFUNCTION("""COMPUTED_VALUE"""),"María Rey Marcos")</f>
        <v>María Rey Marcos</v>
      </c>
      <c r="S755" s="20" t="str">
        <f ca="1">IFERROR(__xludf.DUMMYFUNCTION("""COMPUTED_VALUE"""),"03 ORL")</f>
        <v>03 ORL</v>
      </c>
      <c r="T755" s="6" t="str">
        <f ca="1">IFERROR(__xludf.DUMMYFUNCTION("""COMPUTED_VALUE"""),"06 ORL")</f>
        <v>06 ORL</v>
      </c>
      <c r="U755" s="21"/>
      <c r="W755" s="20"/>
      <c r="X755" s="21"/>
    </row>
    <row r="756" spans="2:24" ht="16">
      <c r="B756" s="26" t="str">
        <f t="shared" ca="1" si="3"/>
        <v>RPG</v>
      </c>
      <c r="C756" s="23" t="str">
        <f ca="1">IFERROR(__xludf.DUMMYFUNCTION("""COMPUTED_VALUE"""),"RPG51")</f>
        <v>RPG51</v>
      </c>
      <c r="D756" s="6" t="str">
        <f ca="1">IFERROR(__xludf.DUMMYFUNCTION("""COMPUTED_VALUE"""),"PARTICIPADOS")</f>
        <v>PARTICIPADOS</v>
      </c>
      <c r="E756" s="6">
        <f ca="1">IFERROR(__xludf.DUMMYFUNCTION("""COMPUTED_VALUE"""),2026)</f>
        <v>2026</v>
      </c>
      <c r="F756" s="15">
        <f ca="1">IFERROR(__xludf.DUMMYFUNCTION("""COMPUTED_VALUE"""),3)</f>
        <v>3</v>
      </c>
      <c r="G756" s="6" t="str">
        <f ca="1">IFERROR(__xludf.DUMMYFUNCTION("""COMPUTED_VALUE"""),"Ourense")</f>
        <v>Ourense</v>
      </c>
      <c r="H756" s="6" t="str">
        <f ca="1">IFERROR(__xludf.DUMMYFUNCTION("""COMPUTED_VALUE"""),"C20263109218141966")</f>
        <v>C20263109218141966</v>
      </c>
      <c r="I756" s="6" t="str">
        <f ca="1">IFERROR(__xludf.DUMMYFUNCTION("""COMPUTED_VALUE"""),"ELOY CESAR QUINTELA VAZQUEZ")</f>
        <v>ELOY CESAR QUINTELA VAZQUEZ</v>
      </c>
      <c r="J756" s="16">
        <f ca="1">IFERROR(__xludf.DUMMYFUNCTION("""COMPUTED_VALUE"""),46091)</f>
        <v>46091</v>
      </c>
      <c r="K756" s="6" t="str">
        <f ca="1">IFERROR(__xludf.DUMMYFUNCTION("""COMPUTED_VALUE"""),"Prueba")</f>
        <v>Prueba</v>
      </c>
      <c r="L756" s="16">
        <f ca="1">IFERROR(__xludf.DUMMYFUNCTION("""COMPUTED_VALUE"""),46093)</f>
        <v>46093</v>
      </c>
      <c r="M756" s="23" t="str">
        <f ca="1">IFERROR(__xludf.DUMMYFUNCTION("""COMPUTED_VALUE"""),"NO")</f>
        <v>NO</v>
      </c>
      <c r="N756" s="15">
        <f ca="1">IFERROR(__xludf.DUMMYFUNCTION("""COMPUTED_VALUE"""),2)</f>
        <v>2</v>
      </c>
      <c r="O756" s="23" t="str">
        <f ca="1">IFERROR(__xludf.DUMMYFUNCTION("""COMPUTED_VALUE"""),"TRIAL")</f>
        <v>TRIAL</v>
      </c>
      <c r="P756" s="21">
        <f ca="1">IFERROR(__xludf.DUMMYFUNCTION("""COMPUTED_VALUE"""),3631.82)</f>
        <v>3631.82</v>
      </c>
      <c r="Q756" s="6" t="str">
        <f ca="1">IFERROR(__xludf.DUMMYFUNCTION("""COMPUTED_VALUE"""),"Kiko Ortega")</f>
        <v>Kiko Ortega</v>
      </c>
      <c r="R756" s="6" t="str">
        <f ca="1">IFERROR(__xludf.DUMMYFUNCTION("""COMPUTED_VALUE"""),"María Rey Marcos")</f>
        <v>María Rey Marcos</v>
      </c>
      <c r="S756" s="20" t="str">
        <f ca="1">IFERROR(__xludf.DUMMYFUNCTION("""COMPUTED_VALUE"""),"03 ORL")</f>
        <v>03 ORL</v>
      </c>
      <c r="T756" s="6" t="str">
        <f ca="1">IFERROR(__xludf.DUMMYFUNCTION("""COMPUTED_VALUE"""),"06 ORL")</f>
        <v>06 ORL</v>
      </c>
      <c r="U756" s="21"/>
      <c r="W756" s="20"/>
      <c r="X756" s="21"/>
    </row>
    <row r="757" spans="2:24" ht="16">
      <c r="B757" s="26" t="str">
        <f t="shared" ca="1" si="3"/>
        <v>RPG</v>
      </c>
      <c r="C757" s="23" t="str">
        <f ca="1">IFERROR(__xludf.DUMMYFUNCTION("""COMPUTED_VALUE"""),"RPG20")</f>
        <v>RPG20</v>
      </c>
      <c r="D757" s="6" t="str">
        <f ca="1">IFERROR(__xludf.DUMMYFUNCTION("""COMPUTED_VALUE"""),"PARTICIPADOS")</f>
        <v>PARTICIPADOS</v>
      </c>
      <c r="E757" s="6">
        <f ca="1">IFERROR(__xludf.DUMMYFUNCTION("""COMPUTED_VALUE"""),2026)</f>
        <v>2026</v>
      </c>
      <c r="F757" s="15">
        <f ca="1">IFERROR(__xludf.DUMMYFUNCTION("""COMPUTED_VALUE"""),2)</f>
        <v>2</v>
      </c>
      <c r="G757" s="6" t="str">
        <f ca="1">IFERROR(__xludf.DUMMYFUNCTION("""COMPUTED_VALUE"""),"Ourense")</f>
        <v>Ourense</v>
      </c>
      <c r="H757" s="6" t="str">
        <f ca="1">IFERROR(__xludf.DUMMYFUNCTION("""COMPUTED_VALUE"""),"ORS-166")</f>
        <v>ORS-166</v>
      </c>
      <c r="I757" s="6" t="str">
        <f ca="1">IFERROR(__xludf.DUMMYFUNCTION("""COMPUTED_VALUE"""),"EVARISTO ATANES ALVAREZ")</f>
        <v>EVARISTO ATANES ALVAREZ</v>
      </c>
      <c r="J757" s="16">
        <f ca="1">IFERROR(__xludf.DUMMYFUNCTION("""COMPUTED_VALUE"""),44868)</f>
        <v>44868</v>
      </c>
      <c r="K757" s="6" t="str">
        <f ca="1">IFERROR(__xludf.DUMMYFUNCTION("""COMPUTED_VALUE"""),"Presupuesto")</f>
        <v>Presupuesto</v>
      </c>
      <c r="L757" s="16">
        <f ca="1">IFERROR(__xludf.DUMMYFUNCTION("""COMPUTED_VALUE"""),46073)</f>
        <v>46073</v>
      </c>
      <c r="M757" s="23" t="str">
        <f ca="1">IFERROR(__xludf.DUMMYFUNCTION("""COMPUTED_VALUE"""),"NO")</f>
        <v>NO</v>
      </c>
      <c r="N757" s="15">
        <f ca="1">IFERROR(__xludf.DUMMYFUNCTION("""COMPUTED_VALUE"""),2)</f>
        <v>2</v>
      </c>
      <c r="O757" s="23" t="str">
        <f ca="1">IFERROR(__xludf.DUMMYFUNCTION("""COMPUTED_VALUE"""),"TRIAL")</f>
        <v>TRIAL</v>
      </c>
      <c r="P757" s="21">
        <f ca="1">IFERROR(__xludf.DUMMYFUNCTION("""COMPUTED_VALUE"""),3454.55)</f>
        <v>3454.55</v>
      </c>
      <c r="Q757" s="6" t="str">
        <f ca="1">IFERROR(__xludf.DUMMYFUNCTION("""COMPUTED_VALUE"""),"Kiko Ortega")</f>
        <v>Kiko Ortega</v>
      </c>
      <c r="R757" s="6" t="str">
        <f ca="1">IFERROR(__xludf.DUMMYFUNCTION("""COMPUTED_VALUE"""),"Jose Antonio Torre Eiriz")</f>
        <v>Jose Antonio Torre Eiriz</v>
      </c>
      <c r="S757" s="20" t="str">
        <f ca="1">IFERROR(__xludf.DUMMYFUNCTION("""COMPUTED_VALUE"""),"03 ORL")</f>
        <v>03 ORL</v>
      </c>
      <c r="T757" s="6" t="str">
        <f ca="1">IFERROR(__xludf.DUMMYFUNCTION("""COMPUTED_VALUE"""),"06 ORL")</f>
        <v>06 ORL</v>
      </c>
      <c r="U757" s="21"/>
      <c r="W757" s="20"/>
      <c r="X757" s="21"/>
    </row>
    <row r="758" spans="2:24" ht="16">
      <c r="B758" s="26" t="str">
        <f t="shared" ca="1" si="3"/>
        <v/>
      </c>
      <c r="C758" s="23"/>
      <c r="D758" s="6" t="str">
        <f ca="1">IFERROR(__xludf.DUMMYFUNCTION("""COMPUTED_VALUE"""),"PARTICIPADOS")</f>
        <v>PARTICIPADOS</v>
      </c>
      <c r="E758" s="6">
        <f ca="1">IFERROR(__xludf.DUMMYFUNCTION("""COMPUTED_VALUE"""),2026)</f>
        <v>2026</v>
      </c>
      <c r="F758" s="15">
        <f ca="1">IFERROR(__xludf.DUMMYFUNCTION("""COMPUTED_VALUE"""),3)</f>
        <v>3</v>
      </c>
      <c r="G758" s="6" t="str">
        <f ca="1">IFERROR(__xludf.DUMMYFUNCTION("""COMPUTED_VALUE"""),"Ourense")</f>
        <v>Ourense</v>
      </c>
      <c r="H758" s="6" t="str">
        <f ca="1">IFERROR(__xludf.DUMMYFUNCTION("""COMPUTED_VALUE"""),"C202631015421865120")</f>
        <v>C202631015421865120</v>
      </c>
      <c r="I758" s="6" t="str">
        <f ca="1">IFERROR(__xludf.DUMMYFUNCTION("""COMPUTED_VALUE"""),"FRANCISCO LAZA RODRIGUEZ")</f>
        <v>FRANCISCO LAZA RODRIGUEZ</v>
      </c>
      <c r="J758" s="16">
        <f ca="1">IFERROR(__xludf.DUMMYFUNCTION("""COMPUTED_VALUE"""),46091)</f>
        <v>46091</v>
      </c>
      <c r="K758" s="6" t="str">
        <f ca="1">IFERROR(__xludf.DUMMYFUNCTION("""COMPUTED_VALUE"""),"Prueba")</f>
        <v>Prueba</v>
      </c>
      <c r="L758" s="16">
        <f ca="1">IFERROR(__xludf.DUMMYFUNCTION("""COMPUTED_VALUE"""),46106)</f>
        <v>46106</v>
      </c>
      <c r="M758" s="23" t="str">
        <f ca="1">IFERROR(__xludf.DUMMYFUNCTION("""COMPUTED_VALUE"""),"NO")</f>
        <v>NO</v>
      </c>
      <c r="N758" s="15">
        <f ca="1">IFERROR(__xludf.DUMMYFUNCTION("""COMPUTED_VALUE"""),2)</f>
        <v>2</v>
      </c>
      <c r="O758" s="23" t="str">
        <f ca="1">IFERROR(__xludf.DUMMYFUNCTION("""COMPUTED_VALUE"""),"TRIAL")</f>
        <v>TRIAL</v>
      </c>
      <c r="P758" s="21">
        <f ca="1">IFERROR(__xludf.DUMMYFUNCTION("""COMPUTED_VALUE"""),3631.82)</f>
        <v>3631.82</v>
      </c>
      <c r="Q758" s="6" t="str">
        <f ca="1">IFERROR(__xludf.DUMMYFUNCTION("""COMPUTED_VALUE"""),"Kiko Ortega")</f>
        <v>Kiko Ortega</v>
      </c>
      <c r="R758" s="6" t="str">
        <f ca="1">IFERROR(__xludf.DUMMYFUNCTION("""COMPUTED_VALUE"""),"No recuerda ORL")</f>
        <v>No recuerda ORL</v>
      </c>
      <c r="S758" s="20" t="str">
        <f ca="1">IFERROR(__xludf.DUMMYFUNCTION("""COMPUTED_VALUE"""),"03 ORL")</f>
        <v>03 ORL</v>
      </c>
      <c r="T758" s="6" t="str">
        <f ca="1">IFERROR(__xludf.DUMMYFUNCTION("""COMPUTED_VALUE"""),"06 ORL")</f>
        <v>06 ORL</v>
      </c>
      <c r="U758" s="21"/>
      <c r="W758" s="20"/>
      <c r="X758" s="21"/>
    </row>
    <row r="759" spans="2:24" ht="16">
      <c r="B759" s="26" t="str">
        <f t="shared" ca="1" si="3"/>
        <v/>
      </c>
      <c r="C759" s="23"/>
      <c r="D759" s="6" t="str">
        <f ca="1">IFERROR(__xludf.DUMMYFUNCTION("""COMPUTED_VALUE"""),"PARTICIPADOS")</f>
        <v>PARTICIPADOS</v>
      </c>
      <c r="E759" s="6">
        <f ca="1">IFERROR(__xludf.DUMMYFUNCTION("""COMPUTED_VALUE"""),2026)</f>
        <v>2026</v>
      </c>
      <c r="F759" s="15">
        <f ca="1">IFERROR(__xludf.DUMMYFUNCTION("""COMPUTED_VALUE"""),3)</f>
        <v>3</v>
      </c>
      <c r="G759" s="6" t="str">
        <f ca="1">IFERROR(__xludf.DUMMYFUNCTION("""COMPUTED_VALUE"""),"Ourense")</f>
        <v>Ourense</v>
      </c>
      <c r="H759" s="6" t="str">
        <f ca="1">IFERROR(__xludf.DUMMYFUNCTION("""COMPUTED_VALUE"""),"C202632385751673514")</f>
        <v>C202632385751673514</v>
      </c>
      <c r="I759" s="6" t="str">
        <f ca="1">IFERROR(__xludf.DUMMYFUNCTION("""COMPUTED_VALUE"""),"IRENE OUTEIRIÑO SAL")</f>
        <v>IRENE OUTEIRIÑO SAL</v>
      </c>
      <c r="J759" s="16">
        <f ca="1">IFERROR(__xludf.DUMMYFUNCTION("""COMPUTED_VALUE"""),46104)</f>
        <v>46104</v>
      </c>
      <c r="K759" s="6" t="str">
        <f ca="1">IFERROR(__xludf.DUMMYFUNCTION("""COMPUTED_VALUE"""),"Pedido")</f>
        <v>Pedido</v>
      </c>
      <c r="L759" s="16">
        <f ca="1">IFERROR(__xludf.DUMMYFUNCTION("""COMPUTED_VALUE"""),46108)</f>
        <v>46108</v>
      </c>
      <c r="M759" s="23" t="str">
        <f ca="1">IFERROR(__xludf.DUMMYFUNCTION("""COMPUTED_VALUE"""),"NO")</f>
        <v>NO</v>
      </c>
      <c r="N759" s="15">
        <f ca="1">IFERROR(__xludf.DUMMYFUNCTION("""COMPUTED_VALUE"""),2)</f>
        <v>2</v>
      </c>
      <c r="O759" s="23" t="str">
        <f ca="1">IFERROR(__xludf.DUMMYFUNCTION("""COMPUTED_VALUE"""),"QUIET")</f>
        <v>QUIET</v>
      </c>
      <c r="P759" s="21">
        <f ca="1">IFERROR(__xludf.DUMMYFUNCTION("""COMPUTED_VALUE"""),2718.18)</f>
        <v>2718.18</v>
      </c>
      <c r="Q759" s="6" t="str">
        <f ca="1">IFERROR(__xludf.DUMMYFUNCTION("""COMPUTED_VALUE"""),"Kiko Ortega")</f>
        <v>Kiko Ortega</v>
      </c>
      <c r="R759" s="6" t="str">
        <f ca="1">IFERROR(__xludf.DUMMYFUNCTION("""COMPUTED_VALUE"""),"No recuerda ORL")</f>
        <v>No recuerda ORL</v>
      </c>
      <c r="S759" s="20" t="str">
        <f ca="1">IFERROR(__xludf.DUMMYFUNCTION("""COMPUTED_VALUE"""),"03 ORL")</f>
        <v>03 ORL</v>
      </c>
      <c r="T759" s="6" t="str">
        <f ca="1">IFERROR(__xludf.DUMMYFUNCTION("""COMPUTED_VALUE"""),"06 ORL")</f>
        <v>06 ORL</v>
      </c>
      <c r="U759" s="21"/>
      <c r="W759" s="20"/>
      <c r="X759" s="21"/>
    </row>
    <row r="760" spans="2:24" ht="16">
      <c r="B760" s="26" t="str">
        <f t="shared" ca="1" si="3"/>
        <v/>
      </c>
      <c r="C760" s="23"/>
      <c r="D760" s="6" t="str">
        <f ca="1">IFERROR(__xludf.DUMMYFUNCTION("""COMPUTED_VALUE"""),"PARTICIPADOS")</f>
        <v>PARTICIPADOS</v>
      </c>
      <c r="E760" s="6">
        <f ca="1">IFERROR(__xludf.DUMMYFUNCTION("""COMPUTED_VALUE"""),2026)</f>
        <v>2026</v>
      </c>
      <c r="F760" s="15">
        <f ca="1">IFERROR(__xludf.DUMMYFUNCTION("""COMPUTED_VALUE"""),3)</f>
        <v>3</v>
      </c>
      <c r="G760" s="6" t="str">
        <f ca="1">IFERROR(__xludf.DUMMYFUNCTION("""COMPUTED_VALUE"""),"Ourense")</f>
        <v>Ourense</v>
      </c>
      <c r="H760" s="6" t="str">
        <f ca="1">IFERROR(__xludf.DUMMYFUNCTION("""COMPUTED_VALUE"""),"C20263108466439771")</f>
        <v>C20263108466439771</v>
      </c>
      <c r="I760" s="6" t="str">
        <f ca="1">IFERROR(__xludf.DUMMYFUNCTION("""COMPUTED_VALUE"""),"JULIAN BAAMONDE GARRIDO")</f>
        <v>JULIAN BAAMONDE GARRIDO</v>
      </c>
      <c r="J760" s="16">
        <f ca="1">IFERROR(__xludf.DUMMYFUNCTION("""COMPUTED_VALUE"""),46091)</f>
        <v>46091</v>
      </c>
      <c r="K760" s="6" t="str">
        <f ca="1">IFERROR(__xludf.DUMMYFUNCTION("""COMPUTED_VALUE"""),"Prueba")</f>
        <v>Prueba</v>
      </c>
      <c r="L760" s="16">
        <f ca="1">IFERROR(__xludf.DUMMYFUNCTION("""COMPUTED_VALUE"""),46099)</f>
        <v>46099</v>
      </c>
      <c r="M760" s="23" t="str">
        <f ca="1">IFERROR(__xludf.DUMMYFUNCTION("""COMPUTED_VALUE"""),"NO")</f>
        <v>NO</v>
      </c>
      <c r="N760" s="15">
        <f ca="1">IFERROR(__xludf.DUMMYFUNCTION("""COMPUTED_VALUE"""),2)</f>
        <v>2</v>
      </c>
      <c r="O760" s="23" t="str">
        <f ca="1">IFERROR(__xludf.DUMMYFUNCTION("""COMPUTED_VALUE"""),"QUIET")</f>
        <v>QUIET</v>
      </c>
      <c r="P760" s="21">
        <f ca="1">IFERROR(__xludf.DUMMYFUNCTION("""COMPUTED_VALUE"""),2718.18)</f>
        <v>2718.18</v>
      </c>
      <c r="Q760" s="6" t="str">
        <f ca="1">IFERROR(__xludf.DUMMYFUNCTION("""COMPUTED_VALUE"""),"Kiko Ortega")</f>
        <v>Kiko Ortega</v>
      </c>
      <c r="R760" s="6" t="str">
        <f ca="1">IFERROR(__xludf.DUMMYFUNCTION("""COMPUTED_VALUE"""),"No recuerda ORL")</f>
        <v>No recuerda ORL</v>
      </c>
      <c r="S760" s="20" t="str">
        <f ca="1">IFERROR(__xludf.DUMMYFUNCTION("""COMPUTED_VALUE"""),"03 ORL")</f>
        <v>03 ORL</v>
      </c>
      <c r="T760" s="6" t="str">
        <f ca="1">IFERROR(__xludf.DUMMYFUNCTION("""COMPUTED_VALUE"""),"06 ORL")</f>
        <v>06 ORL</v>
      </c>
      <c r="U760" s="21"/>
      <c r="W760" s="20"/>
      <c r="X760" s="21"/>
    </row>
    <row r="761" spans="2:24" ht="16">
      <c r="B761" s="26" t="str">
        <f t="shared" ca="1" si="3"/>
        <v>RPG</v>
      </c>
      <c r="C761" s="23" t="str">
        <f ca="1">IFERROR(__xludf.DUMMYFUNCTION("""COMPUTED_VALUE"""),"RPG51")</f>
        <v>RPG51</v>
      </c>
      <c r="D761" s="6" t="str">
        <f ca="1">IFERROR(__xludf.DUMMYFUNCTION("""COMPUTED_VALUE"""),"PARTICIPADOS")</f>
        <v>PARTICIPADOS</v>
      </c>
      <c r="E761" s="6">
        <f ca="1">IFERROR(__xludf.DUMMYFUNCTION("""COMPUTED_VALUE"""),2026)</f>
        <v>2026</v>
      </c>
      <c r="F761" s="15">
        <f ca="1">IFERROR(__xludf.DUMMYFUNCTION("""COMPUTED_VALUE"""),1)</f>
        <v>1</v>
      </c>
      <c r="G761" s="6" t="str">
        <f ca="1">IFERROR(__xludf.DUMMYFUNCTION("""COMPUTED_VALUE"""),"Ourense")</f>
        <v>Ourense</v>
      </c>
      <c r="H761" s="6" t="str">
        <f ca="1">IFERROR(__xludf.DUMMYFUNCTION("""COMPUTED_VALUE"""),"ORS-164")</f>
        <v>ORS-164</v>
      </c>
      <c r="I761" s="6" t="str">
        <f ca="1">IFERROR(__xludf.DUMMYFUNCTION("""COMPUTED_VALUE"""),"MANUEL CANEIRO ALVAREZ")</f>
        <v>MANUEL CANEIRO ALVAREZ</v>
      </c>
      <c r="J761" s="16">
        <f ca="1">IFERROR(__xludf.DUMMYFUNCTION("""COMPUTED_VALUE"""),44851)</f>
        <v>44851</v>
      </c>
      <c r="K761" s="6" t="str">
        <f ca="1">IFERROR(__xludf.DUMMYFUNCTION("""COMPUTED_VALUE"""),"Pedido")</f>
        <v>Pedido</v>
      </c>
      <c r="L761" s="16">
        <f ca="1">IFERROR(__xludf.DUMMYFUNCTION("""COMPUTED_VALUE"""),46042)</f>
        <v>46042</v>
      </c>
      <c r="M761" s="23" t="str">
        <f ca="1">IFERROR(__xludf.DUMMYFUNCTION("""COMPUTED_VALUE"""),"NO")</f>
        <v>NO</v>
      </c>
      <c r="N761" s="15">
        <f ca="1">IFERROR(__xludf.DUMMYFUNCTION("""COMPUTED_VALUE"""),1)</f>
        <v>1</v>
      </c>
      <c r="O761" s="23" t="str">
        <f ca="1">IFERROR(__xludf.DUMMYFUNCTION("""COMPUTED_VALUE"""),"CONFORT")</f>
        <v>CONFORT</v>
      </c>
      <c r="P761" s="21">
        <f ca="1">IFERROR(__xludf.DUMMYFUNCTION("""COMPUTED_VALUE"""),0)</f>
        <v>0</v>
      </c>
      <c r="Q761" s="6" t="str">
        <f ca="1">IFERROR(__xludf.DUMMYFUNCTION("""COMPUTED_VALUE"""),"Kiko Ortega")</f>
        <v>Kiko Ortega</v>
      </c>
      <c r="R761" s="6" t="str">
        <f ca="1">IFERROR(__xludf.DUMMYFUNCTION("""COMPUTED_VALUE"""),"María Rey Marcos")</f>
        <v>María Rey Marcos</v>
      </c>
      <c r="S761" s="20" t="str">
        <f ca="1">IFERROR(__xludf.DUMMYFUNCTION("""COMPUTED_VALUE"""),"03 ORL")</f>
        <v>03 ORL</v>
      </c>
      <c r="T761" s="6" t="str">
        <f ca="1">IFERROR(__xludf.DUMMYFUNCTION("""COMPUTED_VALUE"""),"06 ORL")</f>
        <v>06 ORL</v>
      </c>
      <c r="U761" s="21"/>
      <c r="W761" s="20"/>
      <c r="X761" s="21"/>
    </row>
    <row r="762" spans="2:24" ht="16">
      <c r="B762" s="26" t="str">
        <f t="shared" ca="1" si="3"/>
        <v>RPG</v>
      </c>
      <c r="C762" s="23" t="str">
        <f ca="1">IFERROR(__xludf.DUMMYFUNCTION("""COMPUTED_VALUE"""),"RPG40")</f>
        <v>RPG40</v>
      </c>
      <c r="D762" s="6" t="str">
        <f ca="1">IFERROR(__xludf.DUMMYFUNCTION("""COMPUTED_VALUE"""),"PARTICIPADOS")</f>
        <v>PARTICIPADOS</v>
      </c>
      <c r="E762" s="6">
        <f ca="1">IFERROR(__xludf.DUMMYFUNCTION("""COMPUTED_VALUE"""),2026)</f>
        <v>2026</v>
      </c>
      <c r="F762" s="15">
        <f ca="1">IFERROR(__xludf.DUMMYFUNCTION("""COMPUTED_VALUE"""),3)</f>
        <v>3</v>
      </c>
      <c r="G762" s="6" t="str">
        <f ca="1">IFERROR(__xludf.DUMMYFUNCTION("""COMPUTED_VALUE"""),"Ourense")</f>
        <v>Ourense</v>
      </c>
      <c r="H762" s="6" t="str">
        <f ca="1">IFERROR(__xludf.DUMMYFUNCTION("""COMPUTED_VALUE"""),"ORS-332")</f>
        <v>ORS-332</v>
      </c>
      <c r="I762" s="6" t="str">
        <f ca="1">IFERROR(__xludf.DUMMYFUNCTION("""COMPUTED_VALUE"""),"MANUEL GARRIDO GARRIDO")</f>
        <v>MANUEL GARRIDO GARRIDO</v>
      </c>
      <c r="J762" s="16">
        <f ca="1">IFERROR(__xludf.DUMMYFUNCTION("""COMPUTED_VALUE"""),45338)</f>
        <v>45338</v>
      </c>
      <c r="K762" s="6" t="str">
        <f ca="1">IFERROR(__xludf.DUMMYFUNCTION("""COMPUTED_VALUE"""),"Pedido")</f>
        <v>Pedido</v>
      </c>
      <c r="L762" s="16">
        <f ca="1">IFERROR(__xludf.DUMMYFUNCTION("""COMPUTED_VALUE"""),46093)</f>
        <v>46093</v>
      </c>
      <c r="M762" s="23" t="str">
        <f ca="1">IFERROR(__xludf.DUMMYFUNCTION("""COMPUTED_VALUE"""),"NO")</f>
        <v>NO</v>
      </c>
      <c r="N762" s="15">
        <f ca="1">IFERROR(__xludf.DUMMYFUNCTION("""COMPUTED_VALUE"""),1)</f>
        <v>1</v>
      </c>
      <c r="O762" s="23" t="str">
        <f ca="1">IFERROR(__xludf.DUMMYFUNCTION("""COMPUTED_VALUE"""),"CONFORT")</f>
        <v>CONFORT</v>
      </c>
      <c r="P762" s="21">
        <f ca="1">IFERROR(__xludf.DUMMYFUNCTION("""COMPUTED_VALUE"""),0)</f>
        <v>0</v>
      </c>
      <c r="Q762" s="6" t="str">
        <f ca="1">IFERROR(__xludf.DUMMYFUNCTION("""COMPUTED_VALUE"""),"Kiko Ortega")</f>
        <v>Kiko Ortega</v>
      </c>
      <c r="R762" s="6" t="str">
        <f ca="1">IFERROR(__xludf.DUMMYFUNCTION("""COMPUTED_VALUE"""),"Celia Lendorio Otero")</f>
        <v>Celia Lendorio Otero</v>
      </c>
      <c r="S762" s="20" t="str">
        <f ca="1">IFERROR(__xludf.DUMMYFUNCTION("""COMPUTED_VALUE"""),"03 ORL")</f>
        <v>03 ORL</v>
      </c>
      <c r="T762" s="6" t="str">
        <f ca="1">IFERROR(__xludf.DUMMYFUNCTION("""COMPUTED_VALUE"""),"06 ORL")</f>
        <v>06 ORL</v>
      </c>
      <c r="U762" s="21"/>
      <c r="W762" s="20"/>
      <c r="X762" s="21"/>
    </row>
    <row r="763" spans="2:24" ht="16">
      <c r="B763" s="26" t="str">
        <f t="shared" ca="1" si="3"/>
        <v>RPG</v>
      </c>
      <c r="C763" s="23" t="str">
        <f ca="1">IFERROR(__xludf.DUMMYFUNCTION("""COMPUTED_VALUE"""),"RPG51")</f>
        <v>RPG51</v>
      </c>
      <c r="D763" s="6" t="str">
        <f ca="1">IFERROR(__xludf.DUMMYFUNCTION("""COMPUTED_VALUE"""),"PARTICIPADOS")</f>
        <v>PARTICIPADOS</v>
      </c>
      <c r="E763" s="6">
        <f ca="1">IFERROR(__xludf.DUMMYFUNCTION("""COMPUTED_VALUE"""),2026)</f>
        <v>2026</v>
      </c>
      <c r="F763" s="15">
        <f ca="1">IFERROR(__xludf.DUMMYFUNCTION("""COMPUTED_VALUE"""),3)</f>
        <v>3</v>
      </c>
      <c r="G763" s="6" t="str">
        <f ca="1">IFERROR(__xludf.DUMMYFUNCTION("""COMPUTED_VALUE"""),"Ourense")</f>
        <v>Ourense</v>
      </c>
      <c r="H763" s="6" t="str">
        <f ca="1">IFERROR(__xludf.DUMMYFUNCTION("""COMPUTED_VALUE"""),"C202631212241553702")</f>
        <v>C202631212241553702</v>
      </c>
      <c r="I763" s="6" t="str">
        <f ca="1">IFERROR(__xludf.DUMMYFUNCTION("""COMPUTED_VALUE"""),"MANUEL GIL RODRIGUEZ")</f>
        <v>MANUEL GIL RODRIGUEZ</v>
      </c>
      <c r="J763" s="16">
        <f ca="1">IFERROR(__xludf.DUMMYFUNCTION("""COMPUTED_VALUE"""),46093)</f>
        <v>46093</v>
      </c>
      <c r="K763" s="6" t="str">
        <f ca="1">IFERROR(__xludf.DUMMYFUNCTION("""COMPUTED_VALUE"""),"Prueba")</f>
        <v>Prueba</v>
      </c>
      <c r="L763" s="16">
        <f ca="1">IFERROR(__xludf.DUMMYFUNCTION("""COMPUTED_VALUE"""),46099)</f>
        <v>46099</v>
      </c>
      <c r="M763" s="23" t="str">
        <f ca="1">IFERROR(__xludf.DUMMYFUNCTION("""COMPUTED_VALUE"""),"NO")</f>
        <v>NO</v>
      </c>
      <c r="N763" s="15">
        <f ca="1">IFERROR(__xludf.DUMMYFUNCTION("""COMPUTED_VALUE"""),2)</f>
        <v>2</v>
      </c>
      <c r="O763" s="23" t="str">
        <f ca="1">IFERROR(__xludf.DUMMYFUNCTION("""COMPUTED_VALUE"""),"QUIET")</f>
        <v>QUIET</v>
      </c>
      <c r="P763" s="21">
        <f ca="1">IFERROR(__xludf.DUMMYFUNCTION("""COMPUTED_VALUE"""),2718.18)</f>
        <v>2718.18</v>
      </c>
      <c r="Q763" s="6" t="str">
        <f ca="1">IFERROR(__xludf.DUMMYFUNCTION("""COMPUTED_VALUE"""),"Kiko Ortega")</f>
        <v>Kiko Ortega</v>
      </c>
      <c r="R763" s="6" t="str">
        <f ca="1">IFERROR(__xludf.DUMMYFUNCTION("""COMPUTED_VALUE"""),"María Rey Marcos")</f>
        <v>María Rey Marcos</v>
      </c>
      <c r="S763" s="20" t="str">
        <f ca="1">IFERROR(__xludf.DUMMYFUNCTION("""COMPUTED_VALUE"""),"03 ORL")</f>
        <v>03 ORL</v>
      </c>
      <c r="T763" s="6" t="str">
        <f ca="1">IFERROR(__xludf.DUMMYFUNCTION("""COMPUTED_VALUE"""),"06 ORL")</f>
        <v>06 ORL</v>
      </c>
      <c r="U763" s="21"/>
      <c r="W763" s="20"/>
      <c r="X763" s="21"/>
    </row>
    <row r="764" spans="2:24" ht="16">
      <c r="B764" s="26" t="str">
        <f t="shared" ca="1" si="3"/>
        <v>RPG</v>
      </c>
      <c r="C764" s="23" t="str">
        <f ca="1">IFERROR(__xludf.DUMMYFUNCTION("""COMPUTED_VALUE"""),"RPG51")</f>
        <v>RPG51</v>
      </c>
      <c r="D764" s="6" t="str">
        <f ca="1">IFERROR(__xludf.DUMMYFUNCTION("""COMPUTED_VALUE"""),"PARTICIPADOS")</f>
        <v>PARTICIPADOS</v>
      </c>
      <c r="E764" s="6">
        <f ca="1">IFERROR(__xludf.DUMMYFUNCTION("""COMPUTED_VALUE"""),2026)</f>
        <v>2026</v>
      </c>
      <c r="F764" s="15">
        <f ca="1">IFERROR(__xludf.DUMMYFUNCTION("""COMPUTED_VALUE"""),2)</f>
        <v>2</v>
      </c>
      <c r="G764" s="6" t="str">
        <f ca="1">IFERROR(__xludf.DUMMYFUNCTION("""COMPUTED_VALUE"""),"Ourense")</f>
        <v>Ourense</v>
      </c>
      <c r="H764" s="6" t="str">
        <f ca="1">IFERROR(__xludf.DUMMYFUNCTION("""COMPUTED_VALUE"""),"C202612711512464312")</f>
        <v>C202612711512464312</v>
      </c>
      <c r="I764" s="6" t="str">
        <f ca="1">IFERROR(__xludf.DUMMYFUNCTION("""COMPUTED_VALUE"""),"MARIA DOMINGUEZ BELLO")</f>
        <v>MARIA DOMINGUEZ BELLO</v>
      </c>
      <c r="J764" s="16">
        <f ca="1">IFERROR(__xludf.DUMMYFUNCTION("""COMPUTED_VALUE"""),46049)</f>
        <v>46049</v>
      </c>
      <c r="K764" s="6" t="str">
        <f ca="1">IFERROR(__xludf.DUMMYFUNCTION("""COMPUTED_VALUE"""),"Presupuesto")</f>
        <v>Presupuesto</v>
      </c>
      <c r="L764" s="16">
        <f ca="1">IFERROR(__xludf.DUMMYFUNCTION("""COMPUTED_VALUE"""),46057)</f>
        <v>46057</v>
      </c>
      <c r="M764" s="23" t="str">
        <f ca="1">IFERROR(__xludf.DUMMYFUNCTION("""COMPUTED_VALUE"""),"NO")</f>
        <v>NO</v>
      </c>
      <c r="N764" s="15">
        <f ca="1">IFERROR(__xludf.DUMMYFUNCTION("""COMPUTED_VALUE"""),2)</f>
        <v>2</v>
      </c>
      <c r="O764" s="23" t="str">
        <f ca="1">IFERROR(__xludf.DUMMYFUNCTION("""COMPUTED_VALUE"""),"TRIAL")</f>
        <v>TRIAL</v>
      </c>
      <c r="P764" s="21">
        <f ca="1">IFERROR(__xludf.DUMMYFUNCTION("""COMPUTED_VALUE"""),3631.82)</f>
        <v>3631.82</v>
      </c>
      <c r="Q764" s="6" t="str">
        <f ca="1">IFERROR(__xludf.DUMMYFUNCTION("""COMPUTED_VALUE"""),"Kiko Ortega")</f>
        <v>Kiko Ortega</v>
      </c>
      <c r="R764" s="6" t="str">
        <f ca="1">IFERROR(__xludf.DUMMYFUNCTION("""COMPUTED_VALUE"""),"María Rey Marcos")</f>
        <v>María Rey Marcos</v>
      </c>
      <c r="S764" s="20" t="str">
        <f ca="1">IFERROR(__xludf.DUMMYFUNCTION("""COMPUTED_VALUE"""),"03 ORL")</f>
        <v>03 ORL</v>
      </c>
      <c r="T764" s="6" t="str">
        <f ca="1">IFERROR(__xludf.DUMMYFUNCTION("""COMPUTED_VALUE"""),"06 ORL")</f>
        <v>06 ORL</v>
      </c>
      <c r="U764" s="21"/>
      <c r="W764" s="20"/>
      <c r="X764" s="21"/>
    </row>
    <row r="765" spans="2:24" ht="16">
      <c r="B765" s="26" t="str">
        <f t="shared" ca="1" si="3"/>
        <v/>
      </c>
      <c r="C765" s="23"/>
      <c r="D765" s="6" t="str">
        <f ca="1">IFERROR(__xludf.DUMMYFUNCTION("""COMPUTED_VALUE"""),"PARTICIPADOS")</f>
        <v>PARTICIPADOS</v>
      </c>
      <c r="E765" s="6">
        <f ca="1">IFERROR(__xludf.DUMMYFUNCTION("""COMPUTED_VALUE"""),2026)</f>
        <v>2026</v>
      </c>
      <c r="F765" s="15">
        <f ca="1">IFERROR(__xludf.DUMMYFUNCTION("""COMPUTED_VALUE"""),3)</f>
        <v>3</v>
      </c>
      <c r="G765" s="6" t="str">
        <f ca="1">IFERROR(__xludf.DUMMYFUNCTION("""COMPUTED_VALUE"""),"Ourense")</f>
        <v>Ourense</v>
      </c>
      <c r="H765" s="6" t="str">
        <f ca="1">IFERROR(__xludf.DUMMYFUNCTION("""COMPUTED_VALUE"""),"C202632310474154438")</f>
        <v>C202632310474154438</v>
      </c>
      <c r="I765" s="6" t="str">
        <f ca="1">IFERROR(__xludf.DUMMYFUNCTION("""COMPUTED_VALUE"""),"MARIA MARTINEZ ESTEVEZ")</f>
        <v>MARIA MARTINEZ ESTEVEZ</v>
      </c>
      <c r="J765" s="16">
        <f ca="1">IFERROR(__xludf.DUMMYFUNCTION("""COMPUTED_VALUE"""),46104)</f>
        <v>46104</v>
      </c>
      <c r="K765" s="6" t="str">
        <f ca="1">IFERROR(__xludf.DUMMYFUNCTION("""COMPUTED_VALUE"""),"Presupuesto")</f>
        <v>Presupuesto</v>
      </c>
      <c r="L765" s="16">
        <f ca="1">IFERROR(__xludf.DUMMYFUNCTION("""COMPUTED_VALUE"""),46112)</f>
        <v>46112</v>
      </c>
      <c r="M765" s="17" t="str">
        <f ca="1">IFERROR(__xludf.DUMMYFUNCTION("""COMPUTED_VALUE"""),"NO")</f>
        <v>NO</v>
      </c>
      <c r="N765" s="15">
        <f ca="1">IFERROR(__xludf.DUMMYFUNCTION("""COMPUTED_VALUE"""),2)</f>
        <v>2</v>
      </c>
      <c r="O765" s="23" t="str">
        <f ca="1">IFERROR(__xludf.DUMMYFUNCTION("""COMPUTED_VALUE"""),"CONFORT")</f>
        <v>CONFORT</v>
      </c>
      <c r="P765" s="21">
        <f ca="1">IFERROR(__xludf.DUMMYFUNCTION("""COMPUTED_VALUE"""),3631.82)</f>
        <v>3631.82</v>
      </c>
      <c r="Q765" s="6" t="str">
        <f ca="1">IFERROR(__xludf.DUMMYFUNCTION("""COMPUTED_VALUE"""),"Kiko Ortega")</f>
        <v>Kiko Ortega</v>
      </c>
      <c r="R765" s="6" t="str">
        <f ca="1">IFERROR(__xludf.DUMMYFUNCTION("""COMPUTED_VALUE"""),"No recuerda ORL")</f>
        <v>No recuerda ORL</v>
      </c>
      <c r="S765" s="20" t="str">
        <f ca="1">IFERROR(__xludf.DUMMYFUNCTION("""COMPUTED_VALUE"""),"03 ORL")</f>
        <v>03 ORL</v>
      </c>
      <c r="T765" s="6" t="str">
        <f ca="1">IFERROR(__xludf.DUMMYFUNCTION("""COMPUTED_VALUE"""),"06 ORL")</f>
        <v>06 ORL</v>
      </c>
      <c r="U765" s="21"/>
      <c r="W765" s="20"/>
      <c r="X765" s="21"/>
    </row>
    <row r="766" spans="2:24" ht="16">
      <c r="B766" s="26" t="str">
        <f t="shared" ca="1" si="3"/>
        <v>RPG</v>
      </c>
      <c r="C766" s="23" t="str">
        <f ca="1">IFERROR(__xludf.DUMMYFUNCTION("""COMPUTED_VALUE"""),"RPG31")</f>
        <v>RPG31</v>
      </c>
      <c r="D766" s="6" t="str">
        <f ca="1">IFERROR(__xludf.DUMMYFUNCTION("""COMPUTED_VALUE"""),"PARTICIPADOS")</f>
        <v>PARTICIPADOS</v>
      </c>
      <c r="E766" s="6">
        <f ca="1">IFERROR(__xludf.DUMMYFUNCTION("""COMPUTED_VALUE"""),2026)</f>
        <v>2026</v>
      </c>
      <c r="F766" s="15">
        <f ca="1">IFERROR(__xludf.DUMMYFUNCTION("""COMPUTED_VALUE"""),1)</f>
        <v>1</v>
      </c>
      <c r="G766" s="6" t="str">
        <f ca="1">IFERROR(__xludf.DUMMYFUNCTION("""COMPUTED_VALUE"""),"Ourense")</f>
        <v>Ourense</v>
      </c>
      <c r="H766" s="6" t="str">
        <f ca="1">IFERROR(__xludf.DUMMYFUNCTION("""COMPUTED_VALUE"""),"C202512301131984966")</f>
        <v>C202512301131984966</v>
      </c>
      <c r="I766" s="1" t="str">
        <f ca="1">IFERROR(__xludf.DUMMYFUNCTION("""COMPUTED_VALUE"""),"MARIA SUSANA DIAZ RODRIGUEZ")</f>
        <v>MARIA SUSANA DIAZ RODRIGUEZ</v>
      </c>
      <c r="J766" s="16">
        <f ca="1">IFERROR(__xludf.DUMMYFUNCTION("""COMPUTED_VALUE"""),46021)</f>
        <v>46021</v>
      </c>
      <c r="K766" s="6" t="str">
        <f ca="1">IFERROR(__xludf.DUMMYFUNCTION("""COMPUTED_VALUE"""),"Devuelve")</f>
        <v>Devuelve</v>
      </c>
      <c r="L766" s="16">
        <f ca="1">IFERROR(__xludf.DUMMYFUNCTION("""COMPUTED_VALUE"""),46035)</f>
        <v>46035</v>
      </c>
      <c r="M766" s="23" t="str">
        <f ca="1">IFERROR(__xludf.DUMMYFUNCTION("""COMPUTED_VALUE"""),"NO")</f>
        <v>NO</v>
      </c>
      <c r="N766" s="15">
        <f ca="1">IFERROR(__xludf.DUMMYFUNCTION("""COMPUTED_VALUE"""),2)</f>
        <v>2</v>
      </c>
      <c r="O766" s="23" t="str">
        <f ca="1">IFERROR(__xludf.DUMMYFUNCTION("""COMPUTED_VALUE"""),"TRIAL")</f>
        <v>TRIAL</v>
      </c>
      <c r="P766" s="21">
        <f ca="1">IFERROR(__xludf.DUMMYFUNCTION("""COMPUTED_VALUE"""),3631.82)</f>
        <v>3631.82</v>
      </c>
      <c r="Q766" s="6" t="str">
        <f ca="1">IFERROR(__xludf.DUMMYFUNCTION("""COMPUTED_VALUE"""),"Kiko Ortega")</f>
        <v>Kiko Ortega</v>
      </c>
      <c r="R766" s="6" t="str">
        <f ca="1">IFERROR(__xludf.DUMMYFUNCTION("""COMPUTED_VALUE"""),"Rafael Alfonso Hurtado Ruzza")</f>
        <v>Rafael Alfonso Hurtado Ruzza</v>
      </c>
      <c r="S766" s="20" t="str">
        <f ca="1">IFERROR(__xludf.DUMMYFUNCTION("""COMPUTED_VALUE"""),"03 ORL")</f>
        <v>03 ORL</v>
      </c>
      <c r="T766" s="6" t="str">
        <f ca="1">IFERROR(__xludf.DUMMYFUNCTION("""COMPUTED_VALUE"""),"06 ORL")</f>
        <v>06 ORL</v>
      </c>
      <c r="U766" s="21"/>
      <c r="W766" s="20"/>
      <c r="X766" s="21"/>
    </row>
    <row r="767" spans="2:24" ht="16">
      <c r="B767" s="26" t="str">
        <f t="shared" ca="1" si="3"/>
        <v>RPG</v>
      </c>
      <c r="C767" s="23" t="str">
        <f ca="1">IFERROR(__xludf.DUMMYFUNCTION("""COMPUTED_VALUE"""),"RPG51")</f>
        <v>RPG51</v>
      </c>
      <c r="D767" s="6" t="str">
        <f ca="1">IFERROR(__xludf.DUMMYFUNCTION("""COMPUTED_VALUE"""),"PARTICIPADOS")</f>
        <v>PARTICIPADOS</v>
      </c>
      <c r="E767" s="6">
        <f ca="1">IFERROR(__xludf.DUMMYFUNCTION("""COMPUTED_VALUE"""),2026)</f>
        <v>2026</v>
      </c>
      <c r="F767" s="15">
        <f ca="1">IFERROR(__xludf.DUMMYFUNCTION("""COMPUTED_VALUE"""),3)</f>
        <v>3</v>
      </c>
      <c r="G767" s="6" t="str">
        <f ca="1">IFERROR(__xludf.DUMMYFUNCTION("""COMPUTED_VALUE"""),"Ourense")</f>
        <v>Ourense</v>
      </c>
      <c r="H767" s="6" t="str">
        <f ca="1">IFERROR(__xludf.DUMMYFUNCTION("""COMPUTED_VALUE"""),"C202639123420059752")</f>
        <v>C202639123420059752</v>
      </c>
      <c r="I767" s="6" t="str">
        <f ca="1">IFERROR(__xludf.DUMMYFUNCTION("""COMPUTED_VALUE"""),"RAMONA FEIJOO QUINTAIROS")</f>
        <v>RAMONA FEIJOO QUINTAIROS</v>
      </c>
      <c r="J767" s="16">
        <f ca="1">IFERROR(__xludf.DUMMYFUNCTION("""COMPUTED_VALUE"""),46090)</f>
        <v>46090</v>
      </c>
      <c r="K767" s="6" t="str">
        <f ca="1">IFERROR(__xludf.DUMMYFUNCTION("""COMPUTED_VALUE"""),"Presupuesto")</f>
        <v>Presupuesto</v>
      </c>
      <c r="L767" s="16">
        <f ca="1">IFERROR(__xludf.DUMMYFUNCTION("""COMPUTED_VALUE"""),46091)</f>
        <v>46091</v>
      </c>
      <c r="M767" s="23" t="str">
        <f ca="1">IFERROR(__xludf.DUMMYFUNCTION("""COMPUTED_VALUE"""),"NO")</f>
        <v>NO</v>
      </c>
      <c r="N767" s="15">
        <f ca="1">IFERROR(__xludf.DUMMYFUNCTION("""COMPUTED_VALUE"""),2)</f>
        <v>2</v>
      </c>
      <c r="O767" s="23" t="str">
        <f ca="1">IFERROR(__xludf.DUMMYFUNCTION("""COMPUTED_VALUE"""),"ADVANCED")</f>
        <v>ADVANCED</v>
      </c>
      <c r="P767" s="21">
        <f ca="1">IFERROR(__xludf.DUMMYFUNCTION("""COMPUTED_VALUE"""),3423.64)</f>
        <v>3423.64</v>
      </c>
      <c r="Q767" s="6" t="str">
        <f ca="1">IFERROR(__xludf.DUMMYFUNCTION("""COMPUTED_VALUE"""),"Kiko Ortega")</f>
        <v>Kiko Ortega</v>
      </c>
      <c r="R767" s="6" t="str">
        <f ca="1">IFERROR(__xludf.DUMMYFUNCTION("""COMPUTED_VALUE"""),"María Rey Marcos")</f>
        <v>María Rey Marcos</v>
      </c>
      <c r="S767" s="20" t="str">
        <f ca="1">IFERROR(__xludf.DUMMYFUNCTION("""COMPUTED_VALUE"""),"03 ORL")</f>
        <v>03 ORL</v>
      </c>
      <c r="T767" s="6" t="str">
        <f ca="1">IFERROR(__xludf.DUMMYFUNCTION("""COMPUTED_VALUE"""),"06 ORL")</f>
        <v>06 ORL</v>
      </c>
      <c r="U767" s="21"/>
      <c r="W767" s="20"/>
      <c r="X767" s="21"/>
    </row>
    <row r="768" spans="2:24" ht="16">
      <c r="B768" s="26" t="str">
        <f t="shared" ca="1" si="3"/>
        <v/>
      </c>
      <c r="C768" s="23"/>
      <c r="D768" s="6" t="str">
        <f ca="1">IFERROR(__xludf.DUMMYFUNCTION("""COMPUTED_VALUE"""),"PARTICIPADOS")</f>
        <v>PARTICIPADOS</v>
      </c>
      <c r="E768" s="6">
        <f ca="1">IFERROR(__xludf.DUMMYFUNCTION("""COMPUTED_VALUE"""),2026)</f>
        <v>2026</v>
      </c>
      <c r="F768" s="15">
        <f ca="1">IFERROR(__xludf.DUMMYFUNCTION("""COMPUTED_VALUE"""),3)</f>
        <v>3</v>
      </c>
      <c r="G768" s="6" t="str">
        <f ca="1">IFERROR(__xludf.DUMMYFUNCTION("""COMPUTED_VALUE"""),"Ourense")</f>
        <v>Ourense</v>
      </c>
      <c r="H768" s="6" t="str">
        <f ca="1">IFERROR(__xludf.DUMMYFUNCTION("""COMPUTED_VALUE"""),"C202635124418697047")</f>
        <v>C202635124418697047</v>
      </c>
      <c r="I768" s="6" t="str">
        <f ca="1">IFERROR(__xludf.DUMMYFUNCTION("""COMPUTED_VALUE"""),"ROSA FERNANDEZ MORGADE")</f>
        <v>ROSA FERNANDEZ MORGADE</v>
      </c>
      <c r="J768" s="16">
        <f ca="1">IFERROR(__xludf.DUMMYFUNCTION("""COMPUTED_VALUE"""),46086)</f>
        <v>46086</v>
      </c>
      <c r="K768" s="6" t="str">
        <f ca="1">IFERROR(__xludf.DUMMYFUNCTION("""COMPUTED_VALUE"""),"Prueba")</f>
        <v>Prueba</v>
      </c>
      <c r="L768" s="16">
        <f ca="1">IFERROR(__xludf.DUMMYFUNCTION("""COMPUTED_VALUE"""),46093)</f>
        <v>46093</v>
      </c>
      <c r="M768" s="23" t="str">
        <f ca="1">IFERROR(__xludf.DUMMYFUNCTION("""COMPUTED_VALUE"""),"NO")</f>
        <v>NO</v>
      </c>
      <c r="N768" s="15">
        <f ca="1">IFERROR(__xludf.DUMMYFUNCTION("""COMPUTED_VALUE"""),2)</f>
        <v>2</v>
      </c>
      <c r="O768" s="23" t="str">
        <f ca="1">IFERROR(__xludf.DUMMYFUNCTION("""COMPUTED_VALUE"""),"QUIET")</f>
        <v>QUIET</v>
      </c>
      <c r="P768" s="21">
        <f ca="1">IFERROR(__xludf.DUMMYFUNCTION("""COMPUTED_VALUE"""),2718.18)</f>
        <v>2718.18</v>
      </c>
      <c r="Q768" s="6" t="str">
        <f ca="1">IFERROR(__xludf.DUMMYFUNCTION("""COMPUTED_VALUE"""),"Kiko Ortega")</f>
        <v>Kiko Ortega</v>
      </c>
      <c r="R768" s="6" t="str">
        <f ca="1">IFERROR(__xludf.DUMMYFUNCTION("""COMPUTED_VALUE"""),"No recuerda ORL")</f>
        <v>No recuerda ORL</v>
      </c>
      <c r="S768" s="20" t="str">
        <f ca="1">IFERROR(__xludf.DUMMYFUNCTION("""COMPUTED_VALUE"""),"03 ORL")</f>
        <v>03 ORL</v>
      </c>
      <c r="T768" s="6" t="str">
        <f ca="1">IFERROR(__xludf.DUMMYFUNCTION("""COMPUTED_VALUE"""),"06 ORL")</f>
        <v>06 ORL</v>
      </c>
      <c r="U768" s="21"/>
      <c r="W768" s="20"/>
      <c r="X768" s="21"/>
    </row>
    <row r="769" spans="2:24" ht="16">
      <c r="B769" s="26" t="str">
        <f t="shared" ca="1" si="3"/>
        <v>PSC</v>
      </c>
      <c r="C769" s="23" t="str">
        <f ca="1">IFERROR(__xludf.DUMMYFUNCTION("""COMPUTED_VALUE"""),"PSC23")</f>
        <v>PSC23</v>
      </c>
      <c r="D769" s="6" t="str">
        <f ca="1">IFERROR(__xludf.DUMMYFUNCTION("""COMPUTED_VALUE"""),"PARTICIPADOS")</f>
        <v>PARTICIPADOS</v>
      </c>
      <c r="E769" s="6">
        <f ca="1">IFERROR(__xludf.DUMMYFUNCTION("""COMPUTED_VALUE"""),2026)</f>
        <v>2026</v>
      </c>
      <c r="F769" s="15">
        <f ca="1">IFERROR(__xludf.DUMMYFUNCTION("""COMPUTED_VALUE"""),2)</f>
        <v>2</v>
      </c>
      <c r="G769" s="6" t="str">
        <f ca="1">IFERROR(__xludf.DUMMYFUNCTION("""COMPUTED_VALUE"""),"Palencia")</f>
        <v>Palencia</v>
      </c>
      <c r="H769" s="6" t="str">
        <f ca="1">IFERROR(__xludf.DUMMYFUNCTION("""COMPUTED_VALUE"""),"C202621716335656322")</f>
        <v>C202621716335656322</v>
      </c>
      <c r="I769" s="6" t="str">
        <f ca="1">IFERROR(__xludf.DUMMYFUNCTION("""COMPUTED_VALUE"""),"ANA ISABEL MORRONDO ABRIL")</f>
        <v>ANA ISABEL MORRONDO ABRIL</v>
      </c>
      <c r="J769" s="16">
        <f ca="1">IFERROR(__xludf.DUMMYFUNCTION("""COMPUTED_VALUE"""),46070)</f>
        <v>46070</v>
      </c>
      <c r="K769" s="6" t="str">
        <f ca="1">IFERROR(__xludf.DUMMYFUNCTION("""COMPUTED_VALUE"""),"Devuelve")</f>
        <v>Devuelve</v>
      </c>
      <c r="L769" s="16">
        <f ca="1">IFERROR(__xludf.DUMMYFUNCTION("""COMPUTED_VALUE"""),46077)</f>
        <v>46077</v>
      </c>
      <c r="M769" s="23" t="str">
        <f ca="1">IFERROR(__xludf.DUMMYFUNCTION("""COMPUTED_VALUE"""),"NO")</f>
        <v>NO</v>
      </c>
      <c r="N769" s="15">
        <f ca="1">IFERROR(__xludf.DUMMYFUNCTION("""COMPUTED_VALUE"""),2)</f>
        <v>2</v>
      </c>
      <c r="O769" s="23" t="str">
        <f ca="1">IFERROR(__xludf.DUMMYFUNCTION("""COMPUTED_VALUE"""),"QUIET")</f>
        <v>QUIET</v>
      </c>
      <c r="P769" s="21">
        <f ca="1">IFERROR(__xludf.DUMMYFUNCTION("""COMPUTED_VALUE"""),2918.18)</f>
        <v>2918.18</v>
      </c>
      <c r="Q769" s="6" t="str">
        <f ca="1">IFERROR(__xludf.DUMMYFUNCTION("""COMPUTED_VALUE"""),"Alberto Moreno")</f>
        <v>Alberto Moreno</v>
      </c>
      <c r="R769" s="6" t="str">
        <f ca="1">IFERROR(__xludf.DUMMYFUNCTION("""COMPUTED_VALUE"""),"Manuel Acuña García")</f>
        <v>Manuel Acuña García</v>
      </c>
      <c r="S769" s="20" t="str">
        <f ca="1">IFERROR(__xludf.DUMMYFUNCTION("""COMPUTED_VALUE"""),"03 ORL")</f>
        <v>03 ORL</v>
      </c>
      <c r="T769" s="6" t="str">
        <f ca="1">IFERROR(__xludf.DUMMYFUNCTION("""COMPUTED_VALUE"""),"06 ORL")</f>
        <v>06 ORL</v>
      </c>
      <c r="U769" s="21"/>
      <c r="W769" s="20"/>
      <c r="X769" s="21"/>
    </row>
    <row r="770" spans="2:24" ht="16">
      <c r="B770" s="26" t="str">
        <f t="shared" ca="1" si="3"/>
        <v/>
      </c>
      <c r="C770" s="23"/>
      <c r="D770" s="6" t="str">
        <f ca="1">IFERROR(__xludf.DUMMYFUNCTION("""COMPUTED_VALUE"""),"PARTICIPADOS")</f>
        <v>PARTICIPADOS</v>
      </c>
      <c r="E770" s="6">
        <f ca="1">IFERROR(__xludf.DUMMYFUNCTION("""COMPUTED_VALUE"""),2026)</f>
        <v>2026</v>
      </c>
      <c r="F770" s="15">
        <f ca="1">IFERROR(__xludf.DUMMYFUNCTION("""COMPUTED_VALUE"""),3)</f>
        <v>3</v>
      </c>
      <c r="G770" s="6" t="str">
        <f ca="1">IFERROR(__xludf.DUMMYFUNCTION("""COMPUTED_VALUE"""),"Palencia")</f>
        <v>Palencia</v>
      </c>
      <c r="H770" s="6" t="str">
        <f ca="1">IFERROR(__xludf.DUMMYFUNCTION("""COMPUTED_VALUE"""),"C202632412304479474")</f>
        <v>C202632412304479474</v>
      </c>
      <c r="I770" s="6" t="str">
        <f ca="1">IFERROR(__xludf.DUMMYFUNCTION("""COMPUTED_VALUE"""),"MARIA PILAR CUADRADO FERNANDEZ")</f>
        <v>MARIA PILAR CUADRADO FERNANDEZ</v>
      </c>
      <c r="J770" s="16">
        <f ca="1">IFERROR(__xludf.DUMMYFUNCTION("""COMPUTED_VALUE"""),46105)</f>
        <v>46105</v>
      </c>
      <c r="K770" s="6" t="str">
        <f ca="1">IFERROR(__xludf.DUMMYFUNCTION("""COMPUTED_VALUE"""),"Pedido")</f>
        <v>Pedido</v>
      </c>
      <c r="L770" s="16">
        <f ca="1">IFERROR(__xludf.DUMMYFUNCTION("""COMPUTED_VALUE"""),46105)</f>
        <v>46105</v>
      </c>
      <c r="M770" s="23" t="str">
        <f ca="1">IFERROR(__xludf.DUMMYFUNCTION("""COMPUTED_VALUE"""),"NO")</f>
        <v>NO</v>
      </c>
      <c r="N770" s="15">
        <f ca="1">IFERROR(__xludf.DUMMYFUNCTION("""COMPUTED_VALUE"""),2)</f>
        <v>2</v>
      </c>
      <c r="O770" s="23" t="str">
        <f ca="1">IFERROR(__xludf.DUMMYFUNCTION("""COMPUTED_VALUE"""),"QUIET")</f>
        <v>QUIET</v>
      </c>
      <c r="P770" s="21">
        <f ca="1">IFERROR(__xludf.DUMMYFUNCTION("""COMPUTED_VALUE"""),2918.18)</f>
        <v>2918.18</v>
      </c>
      <c r="Q770" s="6" t="str">
        <f ca="1">IFERROR(__xludf.DUMMYFUNCTION("""COMPUTED_VALUE"""),"Alberto Moreno")</f>
        <v>Alberto Moreno</v>
      </c>
      <c r="R770" s="6" t="str">
        <f ca="1">IFERROR(__xludf.DUMMYFUNCTION("""COMPUTED_VALUE"""),"No recuerda ORL")</f>
        <v>No recuerda ORL</v>
      </c>
      <c r="S770" s="20" t="str">
        <f ca="1">IFERROR(__xludf.DUMMYFUNCTION("""COMPUTED_VALUE"""),"03 ORL")</f>
        <v>03 ORL</v>
      </c>
      <c r="T770" s="6" t="str">
        <f ca="1">IFERROR(__xludf.DUMMYFUNCTION("""COMPUTED_VALUE"""),"06 ORL")</f>
        <v>06 ORL</v>
      </c>
      <c r="U770" s="21"/>
      <c r="W770" s="20"/>
      <c r="X770" s="21"/>
    </row>
    <row r="771" spans="2:24" ht="16">
      <c r="B771" s="26" t="str">
        <f t="shared" ca="1" si="3"/>
        <v>PSC</v>
      </c>
      <c r="C771" s="23" t="str">
        <f ca="1">IFERROR(__xludf.DUMMYFUNCTION("""COMPUTED_VALUE"""),"PSC24")</f>
        <v>PSC24</v>
      </c>
      <c r="D771" s="6" t="str">
        <f ca="1">IFERROR(__xludf.DUMMYFUNCTION("""COMPUTED_VALUE"""),"PARTICIPADOS")</f>
        <v>PARTICIPADOS</v>
      </c>
      <c r="E771" s="6">
        <f ca="1">IFERROR(__xludf.DUMMYFUNCTION("""COMPUTED_VALUE"""),2026)</f>
        <v>2026</v>
      </c>
      <c r="F771" s="15">
        <f ca="1">IFERROR(__xludf.DUMMYFUNCTION("""COMPUTED_VALUE"""),1)</f>
        <v>1</v>
      </c>
      <c r="G771" s="6" t="str">
        <f ca="1">IFERROR(__xludf.DUMMYFUNCTION("""COMPUTED_VALUE"""),"Palencia")</f>
        <v>Palencia</v>
      </c>
      <c r="H771" s="6" t="str">
        <f ca="1">IFERROR(__xludf.DUMMYFUNCTION("""COMPUTED_VALUE"""),"PAL-17")</f>
        <v>PAL-17</v>
      </c>
      <c r="I771" s="6" t="str">
        <f ca="1">IFERROR(__xludf.DUMMYFUNCTION("""COMPUTED_VALUE"""),"MERCEDES GARCIA BECOECHEA")</f>
        <v>MERCEDES GARCIA BECOECHEA</v>
      </c>
      <c r="J771" s="16">
        <f ca="1">IFERROR(__xludf.DUMMYFUNCTION("""COMPUTED_VALUE"""),45033)</f>
        <v>45033</v>
      </c>
      <c r="K771" s="6" t="str">
        <f ca="1">IFERROR(__xludf.DUMMYFUNCTION("""COMPUTED_VALUE"""),"Devuelve")</f>
        <v>Devuelve</v>
      </c>
      <c r="L771" s="16">
        <f ca="1">IFERROR(__xludf.DUMMYFUNCTION("""COMPUTED_VALUE"""),46042)</f>
        <v>46042</v>
      </c>
      <c r="M771" s="23" t="str">
        <f ca="1">IFERROR(__xludf.DUMMYFUNCTION("""COMPUTED_VALUE"""),"NO")</f>
        <v>NO</v>
      </c>
      <c r="N771" s="15">
        <f ca="1">IFERROR(__xludf.DUMMYFUNCTION("""COMPUTED_VALUE"""),1)</f>
        <v>1</v>
      </c>
      <c r="O771" s="23" t="str">
        <f ca="1">IFERROR(__xludf.DUMMYFUNCTION("""COMPUTED_VALUE"""),"QUIET")</f>
        <v>QUIET</v>
      </c>
      <c r="P771" s="21">
        <f ca="1">IFERROR(__xludf.DUMMYFUNCTION("""COMPUTED_VALUE"""),0)</f>
        <v>0</v>
      </c>
      <c r="Q771" s="6" t="str">
        <f ca="1">IFERROR(__xludf.DUMMYFUNCTION("""COMPUTED_VALUE"""),"Alberto Moreno")</f>
        <v>Alberto Moreno</v>
      </c>
      <c r="R771" s="6" t="str">
        <f ca="1">IFERROR(__xludf.DUMMYFUNCTION("""COMPUTED_VALUE"""),"María Jesús Cornejo Domínguez")</f>
        <v>María Jesús Cornejo Domínguez</v>
      </c>
      <c r="S771" s="20" t="str">
        <f ca="1">IFERROR(__xludf.DUMMYFUNCTION("""COMPUTED_VALUE"""),"03 ORL")</f>
        <v>03 ORL</v>
      </c>
      <c r="T771" s="6" t="str">
        <f ca="1">IFERROR(__xludf.DUMMYFUNCTION("""COMPUTED_VALUE"""),"06 ORL")</f>
        <v>06 ORL</v>
      </c>
      <c r="U771" s="21"/>
      <c r="W771" s="20"/>
      <c r="X771" s="21"/>
    </row>
    <row r="772" spans="2:24" ht="16">
      <c r="B772" s="26" t="str">
        <f t="shared" ca="1" si="3"/>
        <v>PSC</v>
      </c>
      <c r="C772" s="23" t="str">
        <f ca="1">IFERROR(__xludf.DUMMYFUNCTION("""COMPUTED_VALUE"""),"PSC55")</f>
        <v>PSC55</v>
      </c>
      <c r="D772" s="6" t="str">
        <f ca="1">IFERROR(__xludf.DUMMYFUNCTION("""COMPUTED_VALUE"""),"ASOCIADOS")</f>
        <v>ASOCIADOS</v>
      </c>
      <c r="E772" s="6">
        <f ca="1">IFERROR(__xludf.DUMMYFUNCTION("""COMPUTED_VALUE"""),2026)</f>
        <v>2026</v>
      </c>
      <c r="F772" s="15">
        <f ca="1">IFERROR(__xludf.DUMMYFUNCTION("""COMPUTED_VALUE"""),2)</f>
        <v>2</v>
      </c>
      <c r="G772" s="6" t="str">
        <f ca="1">IFERROR(__xludf.DUMMYFUNCTION("""COMPUTED_VALUE"""),"Ponferrada")</f>
        <v>Ponferrada</v>
      </c>
      <c r="H772" s="6" t="str">
        <f ca="1">IFERROR(__xludf.DUMMYFUNCTION("""COMPUTED_VALUE"""),"PON-319")</f>
        <v>PON-319</v>
      </c>
      <c r="I772" s="6" t="str">
        <f ca="1">IFERROR(__xludf.DUMMYFUNCTION("""COMPUTED_VALUE"""),"ALBERTO PEREZ RIBADA")</f>
        <v>ALBERTO PEREZ RIBADA</v>
      </c>
      <c r="J772" s="16">
        <f ca="1">IFERROR(__xludf.DUMMYFUNCTION("""COMPUTED_VALUE"""),45994)</f>
        <v>45994</v>
      </c>
      <c r="K772" s="6" t="str">
        <f ca="1">IFERROR(__xludf.DUMMYFUNCTION("""COMPUTED_VALUE"""),"Prueba")</f>
        <v>Prueba</v>
      </c>
      <c r="L772" s="16">
        <f ca="1">IFERROR(__xludf.DUMMYFUNCTION("""COMPUTED_VALUE"""),46069)</f>
        <v>46069</v>
      </c>
      <c r="M772" s="23" t="str">
        <f ca="1">IFERROR(__xludf.DUMMYFUNCTION("""COMPUTED_VALUE"""),"NO")</f>
        <v>NO</v>
      </c>
      <c r="N772" s="15">
        <f ca="1">IFERROR(__xludf.DUMMYFUNCTION("""COMPUTED_VALUE"""),1)</f>
        <v>1</v>
      </c>
      <c r="O772" s="23" t="str">
        <f ca="1">IFERROR(__xludf.DUMMYFUNCTION("""COMPUTED_VALUE"""),"PRO")</f>
        <v>PRO</v>
      </c>
      <c r="P772" s="21">
        <f ca="1">IFERROR(__xludf.DUMMYFUNCTION("""COMPUTED_VALUE"""),1431.82)</f>
        <v>1431.82</v>
      </c>
      <c r="Q772" s="6" t="str">
        <f ca="1">IFERROR(__xludf.DUMMYFUNCTION("""COMPUTED_VALUE"""),"Alberto Moreno")</f>
        <v>Alberto Moreno</v>
      </c>
      <c r="R772" s="6" t="str">
        <f ca="1">IFERROR(__xludf.DUMMYFUNCTION("""COMPUTED_VALUE"""),"Xenia Mota Rojas")</f>
        <v>Xenia Mota Rojas</v>
      </c>
      <c r="S772" s="20" t="str">
        <f ca="1">IFERROR(__xludf.DUMMYFUNCTION("""COMPUTED_VALUE"""),"03 ORL")</f>
        <v>03 ORL</v>
      </c>
      <c r="T772" s="6" t="str">
        <f ca="1">IFERROR(__xludf.DUMMYFUNCTION("""COMPUTED_VALUE"""),"06 ORL")</f>
        <v>06 ORL</v>
      </c>
      <c r="U772" s="21"/>
      <c r="W772" s="20"/>
      <c r="X772" s="21"/>
    </row>
    <row r="773" spans="2:24" ht="16">
      <c r="B773" s="26" t="str">
        <f t="shared" ca="1" si="3"/>
        <v>PSC</v>
      </c>
      <c r="C773" s="23" t="str">
        <f ca="1">IFERROR(__xludf.DUMMYFUNCTION("""COMPUTED_VALUE"""),"PSC37")</f>
        <v>PSC37</v>
      </c>
      <c r="D773" s="6" t="str">
        <f ca="1">IFERROR(__xludf.DUMMYFUNCTION("""COMPUTED_VALUE"""),"ASOCIADOS")</f>
        <v>ASOCIADOS</v>
      </c>
      <c r="E773" s="6">
        <f ca="1">IFERROR(__xludf.DUMMYFUNCTION("""COMPUTED_VALUE"""),2026)</f>
        <v>2026</v>
      </c>
      <c r="F773" s="15">
        <f ca="1">IFERROR(__xludf.DUMMYFUNCTION("""COMPUTED_VALUE"""),2)</f>
        <v>2</v>
      </c>
      <c r="G773" s="6" t="str">
        <f ca="1">IFERROR(__xludf.DUMMYFUNCTION("""COMPUTED_VALUE"""),"Ponferrada")</f>
        <v>Ponferrada</v>
      </c>
      <c r="H773" s="6" t="str">
        <f ca="1">IFERROR(__xludf.DUMMYFUNCTION("""COMPUTED_VALUE"""),"PON-566")</f>
        <v>PON-566</v>
      </c>
      <c r="I773" s="6" t="str">
        <f ca="1">IFERROR(__xludf.DUMMYFUNCTION("""COMPUTED_VALUE"""),"ARGENTINA FERNANDEZ ALVAREZ")</f>
        <v>ARGENTINA FERNANDEZ ALVAREZ</v>
      </c>
      <c r="J773" s="16">
        <f ca="1">IFERROR(__xludf.DUMMYFUNCTION("""COMPUTED_VALUE"""),45994)</f>
        <v>45994</v>
      </c>
      <c r="K773" s="6" t="str">
        <f ca="1">IFERROR(__xludf.DUMMYFUNCTION("""COMPUTED_VALUE"""),"Presupuesto")</f>
        <v>Presupuesto</v>
      </c>
      <c r="L773" s="16">
        <f ca="1">IFERROR(__xludf.DUMMYFUNCTION("""COMPUTED_VALUE"""),46066)</f>
        <v>46066</v>
      </c>
      <c r="M773" s="23" t="str">
        <f ca="1">IFERROR(__xludf.DUMMYFUNCTION("""COMPUTED_VALUE"""),"NO")</f>
        <v>NO</v>
      </c>
      <c r="N773" s="15">
        <f ca="1">IFERROR(__xludf.DUMMYFUNCTION("""COMPUTED_VALUE"""),1)</f>
        <v>1</v>
      </c>
      <c r="O773" s="23" t="str">
        <f ca="1">IFERROR(__xludf.DUMMYFUNCTION("""COMPUTED_VALUE"""),"CONFORT")</f>
        <v>CONFORT</v>
      </c>
      <c r="P773" s="21">
        <f ca="1">IFERROR(__xludf.DUMMYFUNCTION("""COMPUTED_VALUE"""),1818.18)</f>
        <v>1818.18</v>
      </c>
      <c r="Q773" s="6" t="str">
        <f ca="1">IFERROR(__xludf.DUMMYFUNCTION("""COMPUTED_VALUE"""),"Alberto Moreno")</f>
        <v>Alberto Moreno</v>
      </c>
      <c r="R773" s="6" t="str">
        <f ca="1">IFERROR(__xludf.DUMMYFUNCTION("""COMPUTED_VALUE"""),"Diana Lysbeth Lourido Piedrahita")</f>
        <v>Diana Lysbeth Lourido Piedrahita</v>
      </c>
      <c r="S773" s="20" t="str">
        <f ca="1">IFERROR(__xludf.DUMMYFUNCTION("""COMPUTED_VALUE"""),"04 TIENDA")</f>
        <v>04 TIENDA</v>
      </c>
      <c r="T773" s="6" t="str">
        <f ca="1">IFERROR(__xludf.DUMMYFUNCTION("""COMPUTED_VALUE"""),"07 BOCA/BOCA")</f>
        <v>07 BOCA/BOCA</v>
      </c>
      <c r="U773" s="21"/>
      <c r="W773" s="20"/>
      <c r="X773" s="21"/>
    </row>
    <row r="774" spans="2:24" ht="16">
      <c r="B774" s="26" t="str">
        <f t="shared" ca="1" si="3"/>
        <v>PSC</v>
      </c>
      <c r="C774" s="23" t="str">
        <f ca="1">IFERROR(__xludf.DUMMYFUNCTION("""COMPUTED_VALUE"""),"PSC47")</f>
        <v>PSC47</v>
      </c>
      <c r="D774" s="6" t="str">
        <f ca="1">IFERROR(__xludf.DUMMYFUNCTION("""COMPUTED_VALUE"""),"ASOCIADOS")</f>
        <v>ASOCIADOS</v>
      </c>
      <c r="E774" s="6">
        <f ca="1">IFERROR(__xludf.DUMMYFUNCTION("""COMPUTED_VALUE"""),2026)</f>
        <v>2026</v>
      </c>
      <c r="F774" s="15">
        <f ca="1">IFERROR(__xludf.DUMMYFUNCTION("""COMPUTED_VALUE"""),3)</f>
        <v>3</v>
      </c>
      <c r="G774" s="6" t="str">
        <f ca="1">IFERROR(__xludf.DUMMYFUNCTION("""COMPUTED_VALUE"""),"Ponferrada")</f>
        <v>Ponferrada</v>
      </c>
      <c r="H774" s="6" t="str">
        <f ca="1">IFERROR(__xludf.DUMMYFUNCTION("""COMPUTED_VALUE"""),"PON-889")</f>
        <v>PON-889</v>
      </c>
      <c r="I774" s="6" t="str">
        <f ca="1">IFERROR(__xludf.DUMMYFUNCTION("""COMPUTED_VALUE"""),"FEDERICO MARTINEZ VEGA")</f>
        <v>FEDERICO MARTINEZ VEGA</v>
      </c>
      <c r="J774" s="16">
        <f ca="1">IFERROR(__xludf.DUMMYFUNCTION("""COMPUTED_VALUE"""),45994)</f>
        <v>45994</v>
      </c>
      <c r="K774" s="6" t="str">
        <f ca="1">IFERROR(__xludf.DUMMYFUNCTION("""COMPUTED_VALUE"""),"Prueba")</f>
        <v>Prueba</v>
      </c>
      <c r="L774" s="16">
        <f ca="1">IFERROR(__xludf.DUMMYFUNCTION("""COMPUTED_VALUE"""),46099)</f>
        <v>46099</v>
      </c>
      <c r="M774" s="23" t="str">
        <f ca="1">IFERROR(__xludf.DUMMYFUNCTION("""COMPUTED_VALUE"""),"NO")</f>
        <v>NO</v>
      </c>
      <c r="N774" s="15">
        <f ca="1">IFERROR(__xludf.DUMMYFUNCTION("""COMPUTED_VALUE"""),2)</f>
        <v>2</v>
      </c>
      <c r="O774" s="23" t="str">
        <f ca="1">IFERROR(__xludf.DUMMYFUNCTION("""COMPUTED_VALUE"""),"ADVANCED")</f>
        <v>ADVANCED</v>
      </c>
      <c r="P774" s="21">
        <f ca="1">IFERROR(__xludf.DUMMYFUNCTION("""COMPUTED_VALUE"""),3909.09)</f>
        <v>3909.09</v>
      </c>
      <c r="Q774" s="6" t="str">
        <f ca="1">IFERROR(__xludf.DUMMYFUNCTION("""COMPUTED_VALUE"""),"Alberto Moreno")</f>
        <v>Alberto Moreno</v>
      </c>
      <c r="R774" s="6" t="str">
        <f ca="1">IFERROR(__xludf.DUMMYFUNCTION("""COMPUTED_VALUE"""),"Mónica Granda Rosales")</f>
        <v>Mónica Granda Rosales</v>
      </c>
      <c r="S774" s="20" t="str">
        <f ca="1">IFERROR(__xludf.DUMMYFUNCTION("""COMPUTED_VALUE"""),"03 ORL")</f>
        <v>03 ORL</v>
      </c>
      <c r="T774" s="6" t="str">
        <f ca="1">IFERROR(__xludf.DUMMYFUNCTION("""COMPUTED_VALUE"""),"06 ORL")</f>
        <v>06 ORL</v>
      </c>
      <c r="U774" s="21"/>
      <c r="W774" s="20"/>
      <c r="X774" s="21"/>
    </row>
    <row r="775" spans="2:24" ht="16">
      <c r="B775" s="26" t="str">
        <f t="shared" ca="1" si="3"/>
        <v/>
      </c>
      <c r="C775" s="23"/>
      <c r="D775" s="6" t="str">
        <f ca="1">IFERROR(__xludf.DUMMYFUNCTION("""COMPUTED_VALUE"""),"ASOCIADOS")</f>
        <v>ASOCIADOS</v>
      </c>
      <c r="E775" s="6">
        <f ca="1">IFERROR(__xludf.DUMMYFUNCTION("""COMPUTED_VALUE"""),2026)</f>
        <v>2026</v>
      </c>
      <c r="F775" s="15">
        <f ca="1">IFERROR(__xludf.DUMMYFUNCTION("""COMPUTED_VALUE"""),3)</f>
        <v>3</v>
      </c>
      <c r="G775" s="6" t="str">
        <f ca="1">IFERROR(__xludf.DUMMYFUNCTION("""COMPUTED_VALUE"""),"Ponferrada")</f>
        <v>Ponferrada</v>
      </c>
      <c r="H775" s="6" t="str">
        <f ca="1">IFERROR(__xludf.DUMMYFUNCTION("""COMPUTED_VALUE"""),"C202622511164101754")</f>
        <v>C202622511164101754</v>
      </c>
      <c r="I775" s="6" t="str">
        <f ca="1">IFERROR(__xludf.DUMMYFUNCTION("""COMPUTED_VALUE"""),"FERMIN RAMON MOREDA")</f>
        <v>FERMIN RAMON MOREDA</v>
      </c>
      <c r="J775" s="16">
        <f ca="1">IFERROR(__xludf.DUMMYFUNCTION("""COMPUTED_VALUE"""),46078)</f>
        <v>46078</v>
      </c>
      <c r="K775" s="6" t="str">
        <f ca="1">IFERROR(__xludf.DUMMYFUNCTION("""COMPUTED_VALUE"""),"Prueba")</f>
        <v>Prueba</v>
      </c>
      <c r="L775" s="16">
        <f ca="1">IFERROR(__xludf.DUMMYFUNCTION("""COMPUTED_VALUE"""),46087)</f>
        <v>46087</v>
      </c>
      <c r="M775" s="23" t="str">
        <f ca="1">IFERROR(__xludf.DUMMYFUNCTION("""COMPUTED_VALUE"""),"NO")</f>
        <v>NO</v>
      </c>
      <c r="N775" s="15">
        <f ca="1">IFERROR(__xludf.DUMMYFUNCTION("""COMPUTED_VALUE"""),2)</f>
        <v>2</v>
      </c>
      <c r="O775" s="23" t="str">
        <f ca="1">IFERROR(__xludf.DUMMYFUNCTION("""COMPUTED_VALUE"""),"QUIET")</f>
        <v>QUIET</v>
      </c>
      <c r="P775" s="21">
        <f ca="1">IFERROR(__xludf.DUMMYFUNCTION("""COMPUTED_VALUE"""),3545.45)</f>
        <v>3545.45</v>
      </c>
      <c r="Q775" s="6" t="str">
        <f ca="1">IFERROR(__xludf.DUMMYFUNCTION("""COMPUTED_VALUE"""),"Alberto Moreno")</f>
        <v>Alberto Moreno</v>
      </c>
      <c r="R775" s="6" t="str">
        <f ca="1">IFERROR(__xludf.DUMMYFUNCTION("""COMPUTED_VALUE"""),"No recuerda ORL")</f>
        <v>No recuerda ORL</v>
      </c>
      <c r="S775" s="20" t="str">
        <f ca="1">IFERROR(__xludf.DUMMYFUNCTION("""COMPUTED_VALUE"""),"03 ORL")</f>
        <v>03 ORL</v>
      </c>
      <c r="T775" s="6" t="str">
        <f ca="1">IFERROR(__xludf.DUMMYFUNCTION("""COMPUTED_VALUE"""),"22 AUDIOMETRIA CLINICA")</f>
        <v>22 AUDIOMETRIA CLINICA</v>
      </c>
      <c r="U775" s="21"/>
      <c r="W775" s="20"/>
      <c r="X775" s="21"/>
    </row>
    <row r="776" spans="2:24" ht="16">
      <c r="B776" s="26" t="str">
        <f t="shared" ca="1" si="3"/>
        <v>PSC</v>
      </c>
      <c r="C776" s="23" t="str">
        <f ca="1">IFERROR(__xludf.DUMMYFUNCTION("""COMPUTED_VALUE"""),"PSC47")</f>
        <v>PSC47</v>
      </c>
      <c r="D776" s="6" t="str">
        <f ca="1">IFERROR(__xludf.DUMMYFUNCTION("""COMPUTED_VALUE"""),"ASOCIADOS")</f>
        <v>ASOCIADOS</v>
      </c>
      <c r="E776" s="6">
        <f ca="1">IFERROR(__xludf.DUMMYFUNCTION("""COMPUTED_VALUE"""),2026)</f>
        <v>2026</v>
      </c>
      <c r="F776" s="15">
        <f ca="1">IFERROR(__xludf.DUMMYFUNCTION("""COMPUTED_VALUE"""),2)</f>
        <v>2</v>
      </c>
      <c r="G776" s="6" t="str">
        <f ca="1">IFERROR(__xludf.DUMMYFUNCTION("""COMPUTED_VALUE"""),"Ponferrada")</f>
        <v>Ponferrada</v>
      </c>
      <c r="H776" s="6" t="str">
        <f ca="1">IFERROR(__xludf.DUMMYFUNCTION("""COMPUTED_VALUE"""),"C202622310102861556")</f>
        <v>C202622310102861556</v>
      </c>
      <c r="I776" s="6" t="str">
        <f ca="1">IFERROR(__xludf.DUMMYFUNCTION("""COMPUTED_VALUE"""),"JOSE LUIS DIÑEIRO DIÑEIRO")</f>
        <v>JOSE LUIS DIÑEIRO DIÑEIRO</v>
      </c>
      <c r="J776" s="16">
        <f ca="1">IFERROR(__xludf.DUMMYFUNCTION("""COMPUTED_VALUE"""),46076)</f>
        <v>46076</v>
      </c>
      <c r="K776" s="6" t="str">
        <f ca="1">IFERROR(__xludf.DUMMYFUNCTION("""COMPUTED_VALUE"""),"Presupuesto")</f>
        <v>Presupuesto</v>
      </c>
      <c r="L776" s="16">
        <f ca="1">IFERROR(__xludf.DUMMYFUNCTION("""COMPUTED_VALUE"""),46079)</f>
        <v>46079</v>
      </c>
      <c r="M776" s="17" t="str">
        <f ca="1">IFERROR(__xludf.DUMMYFUNCTION("""COMPUTED_VALUE"""),"NO")</f>
        <v>NO</v>
      </c>
      <c r="N776" s="15">
        <f ca="1">IFERROR(__xludf.DUMMYFUNCTION("""COMPUTED_VALUE"""),1)</f>
        <v>1</v>
      </c>
      <c r="O776" s="23" t="str">
        <f ca="1">IFERROR(__xludf.DUMMYFUNCTION("""COMPUTED_VALUE"""),"CONFORT")</f>
        <v>CONFORT</v>
      </c>
      <c r="P776" s="21">
        <f ca="1">IFERROR(__xludf.DUMMYFUNCTION("""COMPUTED_VALUE"""),2000)</f>
        <v>2000</v>
      </c>
      <c r="Q776" s="6" t="str">
        <f ca="1">IFERROR(__xludf.DUMMYFUNCTION("""COMPUTED_VALUE"""),"Alberto Moreno")</f>
        <v>Alberto Moreno</v>
      </c>
      <c r="R776" s="6" t="str">
        <f ca="1">IFERROR(__xludf.DUMMYFUNCTION("""COMPUTED_VALUE"""),"Mónica Granda Rosales")</f>
        <v>Mónica Granda Rosales</v>
      </c>
      <c r="S776" s="20" t="str">
        <f ca="1">IFERROR(__xludf.DUMMYFUNCTION("""COMPUTED_VALUE"""),"03 ORL")</f>
        <v>03 ORL</v>
      </c>
      <c r="T776" s="6" t="str">
        <f ca="1">IFERROR(__xludf.DUMMYFUNCTION("""COMPUTED_VALUE"""),"22 AUDIOMETRIA CLINICA")</f>
        <v>22 AUDIOMETRIA CLINICA</v>
      </c>
      <c r="U776" s="21"/>
      <c r="W776" s="20"/>
      <c r="X776" s="21"/>
    </row>
    <row r="777" spans="2:24" ht="16">
      <c r="B777" s="26" t="str">
        <f t="shared" ca="1" si="3"/>
        <v>PSC</v>
      </c>
      <c r="C777" s="23" t="str">
        <f ca="1">IFERROR(__xludf.DUMMYFUNCTION("""COMPUTED_VALUE"""),"PSC47")</f>
        <v>PSC47</v>
      </c>
      <c r="D777" s="6" t="str">
        <f ca="1">IFERROR(__xludf.DUMMYFUNCTION("""COMPUTED_VALUE"""),"ASOCIADOS")</f>
        <v>ASOCIADOS</v>
      </c>
      <c r="E777" s="6">
        <f ca="1">IFERROR(__xludf.DUMMYFUNCTION("""COMPUTED_VALUE"""),2026)</f>
        <v>2026</v>
      </c>
      <c r="F777" s="15">
        <f ca="1">IFERROR(__xludf.DUMMYFUNCTION("""COMPUTED_VALUE"""),1)</f>
        <v>1</v>
      </c>
      <c r="G777" s="6" t="str">
        <f ca="1">IFERROR(__xludf.DUMMYFUNCTION("""COMPUTED_VALUE"""),"Ponferrada")</f>
        <v>Ponferrada</v>
      </c>
      <c r="H777" s="6" t="str">
        <f ca="1">IFERROR(__xludf.DUMMYFUNCTION("""COMPUTED_VALUE"""),"PON-958")</f>
        <v>PON-958</v>
      </c>
      <c r="I777" s="6" t="str">
        <f ca="1">IFERROR(__xludf.DUMMYFUNCTION("""COMPUTED_VALUE"""),"MARIA LUISA LAINEZ DIEGUEZ")</f>
        <v>MARIA LUISA LAINEZ DIEGUEZ</v>
      </c>
      <c r="J777" s="16">
        <f ca="1">IFERROR(__xludf.DUMMYFUNCTION("""COMPUTED_VALUE"""),45994)</f>
        <v>45994</v>
      </c>
      <c r="K777" s="6" t="str">
        <f ca="1">IFERROR(__xludf.DUMMYFUNCTION("""COMPUTED_VALUE"""),"Presupuesto")</f>
        <v>Presupuesto</v>
      </c>
      <c r="L777" s="16">
        <f ca="1">IFERROR(__xludf.DUMMYFUNCTION("""COMPUTED_VALUE"""),46044)</f>
        <v>46044</v>
      </c>
      <c r="M777" s="23" t="str">
        <f ca="1">IFERROR(__xludf.DUMMYFUNCTION("""COMPUTED_VALUE"""),"NO")</f>
        <v>NO</v>
      </c>
      <c r="N777" s="15">
        <f ca="1">IFERROR(__xludf.DUMMYFUNCTION("""COMPUTED_VALUE"""),2)</f>
        <v>2</v>
      </c>
      <c r="O777" s="23" t="str">
        <f ca="1">IFERROR(__xludf.DUMMYFUNCTION("""COMPUTED_VALUE"""),"CONFORT")</f>
        <v>CONFORT</v>
      </c>
      <c r="P777" s="21">
        <f ca="1">IFERROR(__xludf.DUMMYFUNCTION("""COMPUTED_VALUE"""),3545.45)</f>
        <v>3545.45</v>
      </c>
      <c r="Q777" s="6" t="str">
        <f ca="1">IFERROR(__xludf.DUMMYFUNCTION("""COMPUTED_VALUE"""),"Alberto Moreno")</f>
        <v>Alberto Moreno</v>
      </c>
      <c r="R777" s="6" t="str">
        <f ca="1">IFERROR(__xludf.DUMMYFUNCTION("""COMPUTED_VALUE"""),"Mónica Granda Rosales")</f>
        <v>Mónica Granda Rosales</v>
      </c>
      <c r="S777" s="20" t="str">
        <f ca="1">IFERROR(__xludf.DUMMYFUNCTION("""COMPUTED_VALUE"""),"03 ORL")</f>
        <v>03 ORL</v>
      </c>
      <c r="T777" s="6" t="str">
        <f ca="1">IFERROR(__xludf.DUMMYFUNCTION("""COMPUTED_VALUE"""),"06 ORL")</f>
        <v>06 ORL</v>
      </c>
      <c r="U777" s="21"/>
      <c r="W777" s="20"/>
      <c r="X777" s="21"/>
    </row>
    <row r="778" spans="2:24" ht="16">
      <c r="B778" s="26" t="str">
        <f t="shared" ca="1" si="3"/>
        <v/>
      </c>
      <c r="C778" s="23"/>
      <c r="D778" s="6" t="str">
        <f ca="1">IFERROR(__xludf.DUMMYFUNCTION("""COMPUTED_VALUE"""),"ASOCIADOS")</f>
        <v>ASOCIADOS</v>
      </c>
      <c r="E778" s="6">
        <f ca="1">IFERROR(__xludf.DUMMYFUNCTION("""COMPUTED_VALUE"""),2026)</f>
        <v>2026</v>
      </c>
      <c r="F778" s="15">
        <f ca="1">IFERROR(__xludf.DUMMYFUNCTION("""COMPUTED_VALUE"""),2)</f>
        <v>2</v>
      </c>
      <c r="G778" s="6" t="str">
        <f ca="1">IFERROR(__xludf.DUMMYFUNCTION("""COMPUTED_VALUE"""),"Ponferrada")</f>
        <v>Ponferrada</v>
      </c>
      <c r="H778" s="6" t="str">
        <f ca="1">IFERROR(__xludf.DUMMYFUNCTION("""COMPUTED_VALUE"""),"C202611991151369797")</f>
        <v>C202611991151369797</v>
      </c>
      <c r="I778" s="6" t="str">
        <f ca="1">IFERROR(__xludf.DUMMYFUNCTION("""COMPUTED_VALUE"""),"MARIA TERESA  VERDEAL SILVA")</f>
        <v>MARIA TERESA  VERDEAL SILVA</v>
      </c>
      <c r="J778" s="16">
        <f ca="1">IFERROR(__xludf.DUMMYFUNCTION("""COMPUTED_VALUE"""),46041)</f>
        <v>46041</v>
      </c>
      <c r="K778" s="6" t="str">
        <f ca="1">IFERROR(__xludf.DUMMYFUNCTION("""COMPUTED_VALUE"""),"Prueba")</f>
        <v>Prueba</v>
      </c>
      <c r="L778" s="16">
        <f ca="1">IFERROR(__xludf.DUMMYFUNCTION("""COMPUTED_VALUE"""),46066)</f>
        <v>46066</v>
      </c>
      <c r="M778" s="23" t="str">
        <f ca="1">IFERROR(__xludf.DUMMYFUNCTION("""COMPUTED_VALUE"""),"NO")</f>
        <v>NO</v>
      </c>
      <c r="N778" s="15">
        <f ca="1">IFERROR(__xludf.DUMMYFUNCTION("""COMPUTED_VALUE"""),2)</f>
        <v>2</v>
      </c>
      <c r="O778" s="23" t="str">
        <f ca="1">IFERROR(__xludf.DUMMYFUNCTION("""COMPUTED_VALUE"""),"CONFORT")</f>
        <v>CONFORT</v>
      </c>
      <c r="P778" s="21">
        <f ca="1">IFERROR(__xludf.DUMMYFUNCTION("""COMPUTED_VALUE"""),3818.18)</f>
        <v>3818.18</v>
      </c>
      <c r="Q778" s="6" t="str">
        <f ca="1">IFERROR(__xludf.DUMMYFUNCTION("""COMPUTED_VALUE"""),"Alberto Moreno")</f>
        <v>Alberto Moreno</v>
      </c>
      <c r="R778" s="6" t="str">
        <f ca="1">IFERROR(__xludf.DUMMYFUNCTION("""COMPUTED_VALUE"""),"No recuerda ORL")</f>
        <v>No recuerda ORL</v>
      </c>
      <c r="S778" s="20" t="str">
        <f ca="1">IFERROR(__xludf.DUMMYFUNCTION("""COMPUTED_VALUE"""),"03 ORL")</f>
        <v>03 ORL</v>
      </c>
      <c r="T778" s="6" t="str">
        <f ca="1">IFERROR(__xludf.DUMMYFUNCTION("""COMPUTED_VALUE"""),"06 ORL")</f>
        <v>06 ORL</v>
      </c>
      <c r="U778" s="21"/>
      <c r="W778" s="20"/>
      <c r="X778" s="21"/>
    </row>
    <row r="779" spans="2:24" ht="16">
      <c r="B779" s="26" t="str">
        <f t="shared" ca="1" si="3"/>
        <v/>
      </c>
      <c r="C779" s="23"/>
      <c r="D779" s="6" t="str">
        <f ca="1">IFERROR(__xludf.DUMMYFUNCTION("""COMPUTED_VALUE"""),"ASOCIADOS")</f>
        <v>ASOCIADOS</v>
      </c>
      <c r="E779" s="6">
        <f ca="1">IFERROR(__xludf.DUMMYFUNCTION("""COMPUTED_VALUE"""),2026)</f>
        <v>2026</v>
      </c>
      <c r="F779" s="15">
        <f ca="1">IFERROR(__xludf.DUMMYFUNCTION("""COMPUTED_VALUE"""),1)</f>
        <v>1</v>
      </c>
      <c r="G779" s="6" t="str">
        <f ca="1">IFERROR(__xludf.DUMMYFUNCTION("""COMPUTED_VALUE"""),"Ponferrada")</f>
        <v>Ponferrada</v>
      </c>
      <c r="H779" s="6" t="str">
        <f ca="1">IFERROR(__xludf.DUMMYFUNCTION("""COMPUTED_VALUE"""),"PON-1017")</f>
        <v>PON-1017</v>
      </c>
      <c r="I779" s="6" t="str">
        <f ca="1">IFERROR(__xludf.DUMMYFUNCTION("""COMPUTED_VALUE"""),"MATILDA OLAHOVA OLAHOVA")</f>
        <v>MATILDA OLAHOVA OLAHOVA</v>
      </c>
      <c r="J779" s="16">
        <f ca="1">IFERROR(__xludf.DUMMYFUNCTION("""COMPUTED_VALUE"""),45994)</f>
        <v>45994</v>
      </c>
      <c r="K779" s="6" t="str">
        <f ca="1">IFERROR(__xludf.DUMMYFUNCTION("""COMPUTED_VALUE"""),"Devuelve")</f>
        <v>Devuelve</v>
      </c>
      <c r="L779" s="16">
        <f ca="1">IFERROR(__xludf.DUMMYFUNCTION("""COMPUTED_VALUE"""),46044)</f>
        <v>46044</v>
      </c>
      <c r="M779" s="23" t="str">
        <f ca="1">IFERROR(__xludf.DUMMYFUNCTION("""COMPUTED_VALUE"""),"NO")</f>
        <v>NO</v>
      </c>
      <c r="N779" s="15">
        <f ca="1">IFERROR(__xludf.DUMMYFUNCTION("""COMPUTED_VALUE"""),1)</f>
        <v>1</v>
      </c>
      <c r="O779" s="23" t="str">
        <f ca="1">IFERROR(__xludf.DUMMYFUNCTION("""COMPUTED_VALUE"""),"QUIET")</f>
        <v>QUIET</v>
      </c>
      <c r="P779" s="21">
        <f ca="1">IFERROR(__xludf.DUMMYFUNCTION("""COMPUTED_VALUE"""),1727.27)</f>
        <v>1727.27</v>
      </c>
      <c r="Q779" s="6" t="str">
        <f ca="1">IFERROR(__xludf.DUMMYFUNCTION("""COMPUTED_VALUE"""),"Alberto Moreno")</f>
        <v>Alberto Moreno</v>
      </c>
      <c r="R779" s="6" t="str">
        <f ca="1">IFERROR(__xludf.DUMMYFUNCTION("""COMPUTED_VALUE"""),"No recuerda ORL")</f>
        <v>No recuerda ORL</v>
      </c>
      <c r="S779" s="20" t="str">
        <f ca="1">IFERROR(__xludf.DUMMYFUNCTION("""COMPUTED_VALUE"""),"03 ORL")</f>
        <v>03 ORL</v>
      </c>
      <c r="T779" s="6" t="str">
        <f ca="1">IFERROR(__xludf.DUMMYFUNCTION("""COMPUTED_VALUE"""),"06 ORL")</f>
        <v>06 ORL</v>
      </c>
      <c r="U779" s="21"/>
      <c r="W779" s="20"/>
      <c r="X779" s="21"/>
    </row>
    <row r="780" spans="2:24" ht="16">
      <c r="B780" s="26" t="str">
        <f t="shared" ca="1" si="3"/>
        <v/>
      </c>
      <c r="C780" s="23"/>
      <c r="D780" s="6" t="str">
        <f ca="1">IFERROR(__xludf.DUMMYFUNCTION("""COMPUTED_VALUE"""),"ASOCIADOS")</f>
        <v>ASOCIADOS</v>
      </c>
      <c r="E780" s="6">
        <f ca="1">IFERROR(__xludf.DUMMYFUNCTION("""COMPUTED_VALUE"""),2026)</f>
        <v>2026</v>
      </c>
      <c r="F780" s="15">
        <f ca="1">IFERROR(__xludf.DUMMYFUNCTION("""COMPUTED_VALUE"""),3)</f>
        <v>3</v>
      </c>
      <c r="G780" s="6" t="str">
        <f ca="1">IFERROR(__xludf.DUMMYFUNCTION("""COMPUTED_VALUE"""),"Ponferrada")</f>
        <v>Ponferrada</v>
      </c>
      <c r="H780" s="6" t="str">
        <f ca="1">IFERROR(__xludf.DUMMYFUNCTION("""COMPUTED_VALUE"""),"C202632174258283182")</f>
        <v>C202632174258283182</v>
      </c>
      <c r="I780" s="6" t="str">
        <f ca="1">IFERROR(__xludf.DUMMYFUNCTION("""COMPUTED_VALUE"""),"OLIVIA AZCORRA PRADA")</f>
        <v>OLIVIA AZCORRA PRADA</v>
      </c>
      <c r="J780" s="16">
        <f ca="1">IFERROR(__xludf.DUMMYFUNCTION("""COMPUTED_VALUE"""),46083)</f>
        <v>46083</v>
      </c>
      <c r="K780" s="6" t="str">
        <f ca="1">IFERROR(__xludf.DUMMYFUNCTION("""COMPUTED_VALUE"""),"Prueba")</f>
        <v>Prueba</v>
      </c>
      <c r="L780" s="16">
        <f ca="1">IFERROR(__xludf.DUMMYFUNCTION("""COMPUTED_VALUE"""),46094)</f>
        <v>46094</v>
      </c>
      <c r="M780" s="23" t="str">
        <f ca="1">IFERROR(__xludf.DUMMYFUNCTION("""COMPUTED_VALUE"""),"NO")</f>
        <v>NO</v>
      </c>
      <c r="N780" s="15">
        <f ca="1">IFERROR(__xludf.DUMMYFUNCTION("""COMPUTED_VALUE"""),1)</f>
        <v>1</v>
      </c>
      <c r="O780" s="23" t="str">
        <f ca="1">IFERROR(__xludf.DUMMYFUNCTION("""COMPUTED_VALUE"""),"CONFORT")</f>
        <v>CONFORT</v>
      </c>
      <c r="P780" s="21">
        <f ca="1">IFERROR(__xludf.DUMMYFUNCTION("""COMPUTED_VALUE"""),2090.91)</f>
        <v>2090.91</v>
      </c>
      <c r="Q780" s="6" t="str">
        <f ca="1">IFERROR(__xludf.DUMMYFUNCTION("""COMPUTED_VALUE"""),"Alberto Moreno")</f>
        <v>Alberto Moreno</v>
      </c>
      <c r="R780" s="6" t="str">
        <f ca="1">IFERROR(__xludf.DUMMYFUNCTION("""COMPUTED_VALUE"""),"No recuerda ORL")</f>
        <v>No recuerda ORL</v>
      </c>
      <c r="S780" s="20" t="str">
        <f ca="1">IFERROR(__xludf.DUMMYFUNCTION("""COMPUTED_VALUE"""),"03 ORL")</f>
        <v>03 ORL</v>
      </c>
      <c r="T780" s="6" t="str">
        <f ca="1">IFERROR(__xludf.DUMMYFUNCTION("""COMPUTED_VALUE"""),"22 AUDIOMETRIA CLINICA")</f>
        <v>22 AUDIOMETRIA CLINICA</v>
      </c>
      <c r="U780" s="21"/>
      <c r="W780" s="20"/>
      <c r="X780" s="21"/>
    </row>
    <row r="781" spans="2:24" ht="16">
      <c r="B781" s="26" t="str">
        <f t="shared" ca="1" si="3"/>
        <v/>
      </c>
      <c r="C781" s="23"/>
      <c r="D781" s="6" t="str">
        <f ca="1">IFERROR(__xludf.DUMMYFUNCTION("""COMPUTED_VALUE"""),"ASOCIADOS")</f>
        <v>ASOCIADOS</v>
      </c>
      <c r="E781" s="6">
        <f ca="1">IFERROR(__xludf.DUMMYFUNCTION("""COMPUTED_VALUE"""),2026)</f>
        <v>2026</v>
      </c>
      <c r="F781" s="15">
        <f ca="1">IFERROR(__xludf.DUMMYFUNCTION("""COMPUTED_VALUE"""),2)</f>
        <v>2</v>
      </c>
      <c r="G781" s="6" t="str">
        <f ca="1">IFERROR(__xludf.DUMMYFUNCTION("""COMPUTED_VALUE"""),"Ponferrada")</f>
        <v>Ponferrada</v>
      </c>
      <c r="H781" s="6" t="str">
        <f ca="1">IFERROR(__xludf.DUMMYFUNCTION("""COMPUTED_VALUE"""),"C202612218453748696")</f>
        <v>C202612218453748696</v>
      </c>
      <c r="I781" s="6" t="str">
        <f ca="1">IFERROR(__xludf.DUMMYFUNCTION("""COMPUTED_VALUE"""),"PURIFICACION  FERNANDEZ SANTIN")</f>
        <v>PURIFICACION  FERNANDEZ SANTIN</v>
      </c>
      <c r="J781" s="16">
        <f ca="1">IFERROR(__xludf.DUMMYFUNCTION("""COMPUTED_VALUE"""),46044)</f>
        <v>46044</v>
      </c>
      <c r="K781" s="6" t="str">
        <f ca="1">IFERROR(__xludf.DUMMYFUNCTION("""COMPUTED_VALUE"""),"Prueba")</f>
        <v>Prueba</v>
      </c>
      <c r="L781" s="16">
        <f ca="1">IFERROR(__xludf.DUMMYFUNCTION("""COMPUTED_VALUE"""),46063)</f>
        <v>46063</v>
      </c>
      <c r="M781" s="23" t="str">
        <f ca="1">IFERROR(__xludf.DUMMYFUNCTION("""COMPUTED_VALUE"""),"NO")</f>
        <v>NO</v>
      </c>
      <c r="N781" s="15">
        <f ca="1">IFERROR(__xludf.DUMMYFUNCTION("""COMPUTED_VALUE"""),2)</f>
        <v>2</v>
      </c>
      <c r="O781" s="23" t="str">
        <f ca="1">IFERROR(__xludf.DUMMYFUNCTION("""COMPUTED_VALUE"""),"QUIET")</f>
        <v>QUIET</v>
      </c>
      <c r="P781" s="21">
        <f ca="1">IFERROR(__xludf.DUMMYFUNCTION("""COMPUTED_VALUE"""),3545.45)</f>
        <v>3545.45</v>
      </c>
      <c r="Q781" s="6" t="str">
        <f ca="1">IFERROR(__xludf.DUMMYFUNCTION("""COMPUTED_VALUE"""),"Alberto Moreno")</f>
        <v>Alberto Moreno</v>
      </c>
      <c r="R781" s="6" t="str">
        <f ca="1">IFERROR(__xludf.DUMMYFUNCTION("""COMPUTED_VALUE"""),"No recuerda ORL")</f>
        <v>No recuerda ORL</v>
      </c>
      <c r="S781" s="20" t="str">
        <f ca="1">IFERROR(__xludf.DUMMYFUNCTION("""COMPUTED_VALUE"""),"03 ORL")</f>
        <v>03 ORL</v>
      </c>
      <c r="T781" s="6" t="str">
        <f ca="1">IFERROR(__xludf.DUMMYFUNCTION("""COMPUTED_VALUE"""),"06 ORL")</f>
        <v>06 ORL</v>
      </c>
      <c r="U781" s="21"/>
      <c r="W781" s="20"/>
      <c r="X781" s="21"/>
    </row>
    <row r="782" spans="2:24" ht="16">
      <c r="B782" s="26" t="str">
        <f t="shared" ca="1" si="3"/>
        <v/>
      </c>
      <c r="C782" s="23"/>
      <c r="D782" s="6" t="str">
        <f ca="1">IFERROR(__xludf.DUMMYFUNCTION("""COMPUTED_VALUE"""),"ASOCIADOS")</f>
        <v>ASOCIADOS</v>
      </c>
      <c r="E782" s="6">
        <f ca="1">IFERROR(__xludf.DUMMYFUNCTION("""COMPUTED_VALUE"""),2026)</f>
        <v>2026</v>
      </c>
      <c r="F782" s="15">
        <f ca="1">IFERROR(__xludf.DUMMYFUNCTION("""COMPUTED_VALUE"""),2)</f>
        <v>2</v>
      </c>
      <c r="G782" s="6" t="str">
        <f ca="1">IFERROR(__xludf.DUMMYFUNCTION("""COMPUTED_VALUE"""),"Ponferrada")</f>
        <v>Ponferrada</v>
      </c>
      <c r="H782" s="6" t="str">
        <f ca="1">IFERROR(__xludf.DUMMYFUNCTION("""COMPUTED_VALUE"""),"C202612010384708968")</f>
        <v>C202612010384708968</v>
      </c>
      <c r="I782" s="6" t="str">
        <f ca="1">IFERROR(__xludf.DUMMYFUNCTION("""COMPUTED_VALUE"""),"RAUL ALVAREZ CANEDO")</f>
        <v>RAUL ALVAREZ CANEDO</v>
      </c>
      <c r="J782" s="16">
        <f ca="1">IFERROR(__xludf.DUMMYFUNCTION("""COMPUTED_VALUE"""),46042)</f>
        <v>46042</v>
      </c>
      <c r="K782" s="6" t="str">
        <f ca="1">IFERROR(__xludf.DUMMYFUNCTION("""COMPUTED_VALUE"""),"Devuelve")</f>
        <v>Devuelve</v>
      </c>
      <c r="L782" s="16">
        <f ca="1">IFERROR(__xludf.DUMMYFUNCTION("""COMPUTED_VALUE"""),46055)</f>
        <v>46055</v>
      </c>
      <c r="M782" s="23" t="str">
        <f ca="1">IFERROR(__xludf.DUMMYFUNCTION("""COMPUTED_VALUE"""),"NO")</f>
        <v>NO</v>
      </c>
      <c r="N782" s="15">
        <f ca="1">IFERROR(__xludf.DUMMYFUNCTION("""COMPUTED_VALUE"""),2)</f>
        <v>2</v>
      </c>
      <c r="O782" s="23" t="str">
        <f ca="1">IFERROR(__xludf.DUMMYFUNCTION("""COMPUTED_VALUE"""),"CONFORT")</f>
        <v>CONFORT</v>
      </c>
      <c r="P782" s="21">
        <f ca="1">IFERROR(__xludf.DUMMYFUNCTION("""COMPUTED_VALUE"""),3909.09)</f>
        <v>3909.09</v>
      </c>
      <c r="Q782" s="6" t="str">
        <f ca="1">IFERROR(__xludf.DUMMYFUNCTION("""COMPUTED_VALUE"""),"Alberto Moreno")</f>
        <v>Alberto Moreno</v>
      </c>
      <c r="R782" s="6" t="str">
        <f ca="1">IFERROR(__xludf.DUMMYFUNCTION("""COMPUTED_VALUE"""),"No recuerda ORL")</f>
        <v>No recuerda ORL</v>
      </c>
      <c r="S782" s="20" t="str">
        <f ca="1">IFERROR(__xludf.DUMMYFUNCTION("""COMPUTED_VALUE"""),"03 ORL")</f>
        <v>03 ORL</v>
      </c>
      <c r="T782" s="6" t="str">
        <f ca="1">IFERROR(__xludf.DUMMYFUNCTION("""COMPUTED_VALUE"""),"22 AUDIOMETRIA CLINICA")</f>
        <v>22 AUDIOMETRIA CLINICA</v>
      </c>
      <c r="U782" s="21"/>
      <c r="W782" s="20"/>
      <c r="X782" s="21"/>
    </row>
    <row r="783" spans="2:24" ht="16">
      <c r="B783" s="26" t="str">
        <f t="shared" ca="1" si="3"/>
        <v/>
      </c>
      <c r="C783" s="23"/>
      <c r="D783" s="6" t="str">
        <f ca="1">IFERROR(__xludf.DUMMYFUNCTION("""COMPUTED_VALUE"""),"ASOCIADOS")</f>
        <v>ASOCIADOS</v>
      </c>
      <c r="E783" s="6">
        <f ca="1">IFERROR(__xludf.DUMMYFUNCTION("""COMPUTED_VALUE"""),2026)</f>
        <v>2026</v>
      </c>
      <c r="F783" s="15">
        <f ca="1">IFERROR(__xludf.DUMMYFUNCTION("""COMPUTED_VALUE"""),3)</f>
        <v>3</v>
      </c>
      <c r="G783" s="6" t="str">
        <f ca="1">IFERROR(__xludf.DUMMYFUNCTION("""COMPUTED_VALUE"""),"Ponferrada")</f>
        <v>Ponferrada</v>
      </c>
      <c r="H783" s="6" t="str">
        <f ca="1">IFERROR(__xludf.DUMMYFUNCTION("""COMPUTED_VALUE"""),"C202631010355152400")</f>
        <v>C202631010355152400</v>
      </c>
      <c r="I783" s="6" t="str">
        <f ca="1">IFERROR(__xludf.DUMMYFUNCTION("""COMPUTED_VALUE"""),"SALVADOR SOUSA GONZALEZ")</f>
        <v>SALVADOR SOUSA GONZALEZ</v>
      </c>
      <c r="J783" s="16">
        <f ca="1">IFERROR(__xludf.DUMMYFUNCTION("""COMPUTED_VALUE"""),46091)</f>
        <v>46091</v>
      </c>
      <c r="K783" s="6" t="str">
        <f ca="1">IFERROR(__xludf.DUMMYFUNCTION("""COMPUTED_VALUE"""),"Pedido")</f>
        <v>Pedido</v>
      </c>
      <c r="L783" s="16">
        <f ca="1">IFERROR(__xludf.DUMMYFUNCTION("""COMPUTED_VALUE"""),46111)</f>
        <v>46111</v>
      </c>
      <c r="M783" s="23" t="str">
        <f ca="1">IFERROR(__xludf.DUMMYFUNCTION("""COMPUTED_VALUE"""),"NO")</f>
        <v>NO</v>
      </c>
      <c r="N783" s="15">
        <f ca="1">IFERROR(__xludf.DUMMYFUNCTION("""COMPUTED_VALUE"""),2)</f>
        <v>2</v>
      </c>
      <c r="O783" s="23" t="str">
        <f ca="1">IFERROR(__xludf.DUMMYFUNCTION("""COMPUTED_VALUE"""),"QUIET")</f>
        <v>QUIET</v>
      </c>
      <c r="P783" s="21">
        <f ca="1">IFERROR(__xludf.DUMMYFUNCTION("""COMPUTED_VALUE"""),3545.45)</f>
        <v>3545.45</v>
      </c>
      <c r="Q783" s="6" t="str">
        <f ca="1">IFERROR(__xludf.DUMMYFUNCTION("""COMPUTED_VALUE"""),"Alberto Moreno")</f>
        <v>Alberto Moreno</v>
      </c>
      <c r="R783" s="6" t="str">
        <f ca="1">IFERROR(__xludf.DUMMYFUNCTION("""COMPUTED_VALUE"""),"No recuerda ORL")</f>
        <v>No recuerda ORL</v>
      </c>
      <c r="S783" s="20" t="str">
        <f ca="1">IFERROR(__xludf.DUMMYFUNCTION("""COMPUTED_VALUE"""),"03 ORL")</f>
        <v>03 ORL</v>
      </c>
      <c r="T783" s="6" t="str">
        <f ca="1">IFERROR(__xludf.DUMMYFUNCTION("""COMPUTED_VALUE"""),"22 AUDIOMETRIA CLINICA")</f>
        <v>22 AUDIOMETRIA CLINICA</v>
      </c>
      <c r="U783" s="21"/>
      <c r="W783" s="20"/>
      <c r="X783" s="21"/>
    </row>
    <row r="784" spans="2:24" ht="16">
      <c r="B784" s="26" t="str">
        <f t="shared" ca="1" si="3"/>
        <v>PSC</v>
      </c>
      <c r="C784" s="23" t="str">
        <f ca="1">IFERROR(__xludf.DUMMYFUNCTION("""COMPUTED_VALUE"""),"PSC47")</f>
        <v>PSC47</v>
      </c>
      <c r="D784" s="6" t="str">
        <f ca="1">IFERROR(__xludf.DUMMYFUNCTION("""COMPUTED_VALUE"""),"ASOCIADOS")</f>
        <v>ASOCIADOS</v>
      </c>
      <c r="E784" s="6">
        <f ca="1">IFERROR(__xludf.DUMMYFUNCTION("""COMPUTED_VALUE"""),2026)</f>
        <v>2026</v>
      </c>
      <c r="F784" s="15">
        <f ca="1">IFERROR(__xludf.DUMMYFUNCTION("""COMPUTED_VALUE"""),3)</f>
        <v>3</v>
      </c>
      <c r="G784" s="6" t="str">
        <f ca="1">IFERROR(__xludf.DUMMYFUNCTION("""COMPUTED_VALUE"""),"Ponferrada")</f>
        <v>Ponferrada</v>
      </c>
      <c r="H784" s="6" t="str">
        <f ca="1">IFERROR(__xludf.DUMMYFUNCTION("""COMPUTED_VALUE"""),"PON-1027")</f>
        <v>PON-1027</v>
      </c>
      <c r="I784" s="6" t="str">
        <f ca="1">IFERROR(__xludf.DUMMYFUNCTION("""COMPUTED_VALUE"""),"SANDRA OVIEDO FERNANDEZ")</f>
        <v>SANDRA OVIEDO FERNANDEZ</v>
      </c>
      <c r="J784" s="16">
        <f ca="1">IFERROR(__xludf.DUMMYFUNCTION("""COMPUTED_VALUE"""),45994)</f>
        <v>45994</v>
      </c>
      <c r="K784" s="6" t="str">
        <f ca="1">IFERROR(__xludf.DUMMYFUNCTION("""COMPUTED_VALUE"""),"Prueba")</f>
        <v>Prueba</v>
      </c>
      <c r="L784" s="16">
        <f ca="1">IFERROR(__xludf.DUMMYFUNCTION("""COMPUTED_VALUE"""),46085)</f>
        <v>46085</v>
      </c>
      <c r="M784" s="23" t="str">
        <f ca="1">IFERROR(__xludf.DUMMYFUNCTION("""COMPUTED_VALUE"""),"NO")</f>
        <v>NO</v>
      </c>
      <c r="N784" s="15">
        <f ca="1">IFERROR(__xludf.DUMMYFUNCTION("""COMPUTED_VALUE"""),2)</f>
        <v>2</v>
      </c>
      <c r="O784" s="23" t="str">
        <f ca="1">IFERROR(__xludf.DUMMYFUNCTION("""COMPUTED_VALUE"""),"CONFORT")</f>
        <v>CONFORT</v>
      </c>
      <c r="P784" s="21">
        <f ca="1">IFERROR(__xludf.DUMMYFUNCTION("""COMPUTED_VALUE"""),3636.36)</f>
        <v>3636.36</v>
      </c>
      <c r="Q784" s="6" t="str">
        <f ca="1">IFERROR(__xludf.DUMMYFUNCTION("""COMPUTED_VALUE"""),"Alberto Moreno")</f>
        <v>Alberto Moreno</v>
      </c>
      <c r="R784" s="6" t="str">
        <f ca="1">IFERROR(__xludf.DUMMYFUNCTION("""COMPUTED_VALUE"""),"Mónica Granda Rosales")</f>
        <v>Mónica Granda Rosales</v>
      </c>
      <c r="S784" s="20" t="str">
        <f ca="1">IFERROR(__xludf.DUMMYFUNCTION("""COMPUTED_VALUE"""),"03 ORL")</f>
        <v>03 ORL</v>
      </c>
      <c r="T784" s="6" t="str">
        <f ca="1">IFERROR(__xludf.DUMMYFUNCTION("""COMPUTED_VALUE"""),"06 ORL")</f>
        <v>06 ORL</v>
      </c>
      <c r="U784" s="21"/>
      <c r="W784" s="20"/>
      <c r="X784" s="21"/>
    </row>
    <row r="785" spans="2:24" ht="16">
      <c r="B785" s="26" t="str">
        <f t="shared" ca="1" si="3"/>
        <v>PSC</v>
      </c>
      <c r="C785" s="23" t="str">
        <f ca="1">IFERROR(__xludf.DUMMYFUNCTION("""COMPUTED_VALUE"""),"PSC47")</f>
        <v>PSC47</v>
      </c>
      <c r="D785" s="6" t="str">
        <f ca="1">IFERROR(__xludf.DUMMYFUNCTION("""COMPUTED_VALUE"""),"ASOCIADOS")</f>
        <v>ASOCIADOS</v>
      </c>
      <c r="E785" s="6">
        <f ca="1">IFERROR(__xludf.DUMMYFUNCTION("""COMPUTED_VALUE"""),2026)</f>
        <v>2026</v>
      </c>
      <c r="F785" s="15">
        <f ca="1">IFERROR(__xludf.DUMMYFUNCTION("""COMPUTED_VALUE"""),3)</f>
        <v>3</v>
      </c>
      <c r="G785" s="6" t="str">
        <f ca="1">IFERROR(__xludf.DUMMYFUNCTION("""COMPUTED_VALUE"""),"Ponferrada")</f>
        <v>Ponferrada</v>
      </c>
      <c r="H785" s="6" t="str">
        <f ca="1">IFERROR(__xludf.DUMMYFUNCTION("""COMPUTED_VALUE"""),"PON-933")</f>
        <v>PON-933</v>
      </c>
      <c r="I785" s="6" t="str">
        <f ca="1">IFERROR(__xludf.DUMMYFUNCTION("""COMPUTED_VALUE"""),"SILVANA HERNANDEZ DE PABLO")</f>
        <v>SILVANA HERNANDEZ DE PABLO</v>
      </c>
      <c r="J785" s="16">
        <f ca="1">IFERROR(__xludf.DUMMYFUNCTION("""COMPUTED_VALUE"""),45994)</f>
        <v>45994</v>
      </c>
      <c r="K785" s="6" t="str">
        <f ca="1">IFERROR(__xludf.DUMMYFUNCTION("""COMPUTED_VALUE"""),"Prueba")</f>
        <v>Prueba</v>
      </c>
      <c r="L785" s="16">
        <f ca="1">IFERROR(__xludf.DUMMYFUNCTION("""COMPUTED_VALUE"""),46106)</f>
        <v>46106</v>
      </c>
      <c r="M785" s="23" t="str">
        <f ca="1">IFERROR(__xludf.DUMMYFUNCTION("""COMPUTED_VALUE"""),"NO")</f>
        <v>NO</v>
      </c>
      <c r="N785" s="15">
        <f ca="1">IFERROR(__xludf.DUMMYFUNCTION("""COMPUTED_VALUE"""),2)</f>
        <v>2</v>
      </c>
      <c r="O785" s="23" t="str">
        <f ca="1">IFERROR(__xludf.DUMMYFUNCTION("""COMPUTED_VALUE"""),"CONFORT")</f>
        <v>CONFORT</v>
      </c>
      <c r="P785" s="21">
        <f ca="1">IFERROR(__xludf.DUMMYFUNCTION("""COMPUTED_VALUE"""),0)</f>
        <v>0</v>
      </c>
      <c r="Q785" s="6" t="str">
        <f ca="1">IFERROR(__xludf.DUMMYFUNCTION("""COMPUTED_VALUE"""),"Alberto Moreno")</f>
        <v>Alberto Moreno</v>
      </c>
      <c r="R785" s="6" t="str">
        <f ca="1">IFERROR(__xludf.DUMMYFUNCTION("""COMPUTED_VALUE"""),"Mónica Granda Rosales")</f>
        <v>Mónica Granda Rosales</v>
      </c>
      <c r="S785" s="20" t="str">
        <f ca="1">IFERROR(__xludf.DUMMYFUNCTION("""COMPUTED_VALUE"""),"03 ORL")</f>
        <v>03 ORL</v>
      </c>
      <c r="T785" s="6" t="str">
        <f ca="1">IFERROR(__xludf.DUMMYFUNCTION("""COMPUTED_VALUE"""),"06 ORL")</f>
        <v>06 ORL</v>
      </c>
      <c r="U785" s="21"/>
      <c r="W785" s="20"/>
      <c r="X785" s="21"/>
    </row>
    <row r="786" spans="2:24" ht="16">
      <c r="B786" s="26" t="str">
        <f t="shared" ca="1" si="3"/>
        <v/>
      </c>
      <c r="C786" s="23"/>
      <c r="D786" s="6" t="str">
        <f ca="1">IFERROR(__xludf.DUMMYFUNCTION("""COMPUTED_VALUE"""),"ASOCIADOS")</f>
        <v>ASOCIADOS</v>
      </c>
      <c r="E786" s="6">
        <f ca="1">IFERROR(__xludf.DUMMYFUNCTION("""COMPUTED_VALUE"""),2026)</f>
        <v>2026</v>
      </c>
      <c r="F786" s="15">
        <f ca="1">IFERROR(__xludf.DUMMYFUNCTION("""COMPUTED_VALUE"""),3)</f>
        <v>3</v>
      </c>
      <c r="G786" s="6" t="str">
        <f ca="1">IFERROR(__xludf.DUMMYFUNCTION("""COMPUTED_VALUE"""),"Ponferrada")</f>
        <v>Ponferrada</v>
      </c>
      <c r="H786" s="6" t="str">
        <f ca="1">IFERROR(__xludf.DUMMYFUNCTION("""COMPUTED_VALUE"""),"C202612210223999532")</f>
        <v>C202612210223999532</v>
      </c>
      <c r="I786" s="6" t="str">
        <f ca="1">IFERROR(__xludf.DUMMYFUNCTION("""COMPUTED_VALUE"""),"SONIA VASALLO MOREDA")</f>
        <v>SONIA VASALLO MOREDA</v>
      </c>
      <c r="J786" s="16">
        <f ca="1">IFERROR(__xludf.DUMMYFUNCTION("""COMPUTED_VALUE"""),46044)</f>
        <v>46044</v>
      </c>
      <c r="K786" s="6" t="str">
        <f ca="1">IFERROR(__xludf.DUMMYFUNCTION("""COMPUTED_VALUE"""),"Prueba")</f>
        <v>Prueba</v>
      </c>
      <c r="L786" s="16">
        <f ca="1">IFERROR(__xludf.DUMMYFUNCTION("""COMPUTED_VALUE"""),46084)</f>
        <v>46084</v>
      </c>
      <c r="M786" s="23" t="str">
        <f ca="1">IFERROR(__xludf.DUMMYFUNCTION("""COMPUTED_VALUE"""),"NO")</f>
        <v>NO</v>
      </c>
      <c r="N786" s="15">
        <f ca="1">IFERROR(__xludf.DUMMYFUNCTION("""COMPUTED_VALUE"""),2)</f>
        <v>2</v>
      </c>
      <c r="O786" s="23" t="str">
        <f ca="1">IFERROR(__xludf.DUMMYFUNCTION("""COMPUTED_VALUE"""),"QUIET")</f>
        <v>QUIET</v>
      </c>
      <c r="P786" s="21">
        <f ca="1">IFERROR(__xludf.DUMMYFUNCTION("""COMPUTED_VALUE"""),2727.27)</f>
        <v>2727.27</v>
      </c>
      <c r="Q786" s="6" t="str">
        <f ca="1">IFERROR(__xludf.DUMMYFUNCTION("""COMPUTED_VALUE"""),"Alberto Moreno")</f>
        <v>Alberto Moreno</v>
      </c>
      <c r="R786" s="6" t="str">
        <f ca="1">IFERROR(__xludf.DUMMYFUNCTION("""COMPUTED_VALUE"""),"No recuerda ORL")</f>
        <v>No recuerda ORL</v>
      </c>
      <c r="S786" s="20" t="str">
        <f ca="1">IFERROR(__xludf.DUMMYFUNCTION("""COMPUTED_VALUE"""),"03 ORL")</f>
        <v>03 ORL</v>
      </c>
      <c r="T786" s="6" t="str">
        <f ca="1">IFERROR(__xludf.DUMMYFUNCTION("""COMPUTED_VALUE"""),"06 ORL")</f>
        <v>06 ORL</v>
      </c>
      <c r="U786" s="21"/>
      <c r="W786" s="20"/>
      <c r="X786" s="21"/>
    </row>
    <row r="787" spans="2:24" ht="16">
      <c r="B787" s="26" t="str">
        <f t="shared" ca="1" si="3"/>
        <v>PSC</v>
      </c>
      <c r="C787" s="23" t="str">
        <f ca="1">IFERROR(__xludf.DUMMYFUNCTION("""COMPUTED_VALUE"""),"PSC37")</f>
        <v>PSC37</v>
      </c>
      <c r="D787" s="6" t="str">
        <f ca="1">IFERROR(__xludf.DUMMYFUNCTION("""COMPUTED_VALUE"""),"ASOCIADOS")</f>
        <v>ASOCIADOS</v>
      </c>
      <c r="E787" s="6">
        <f ca="1">IFERROR(__xludf.DUMMYFUNCTION("""COMPUTED_VALUE"""),2026)</f>
        <v>2026</v>
      </c>
      <c r="F787" s="15">
        <f ca="1">IFERROR(__xludf.DUMMYFUNCTION("""COMPUTED_VALUE"""),1)</f>
        <v>1</v>
      </c>
      <c r="G787" s="6" t="str">
        <f ca="1">IFERROR(__xludf.DUMMYFUNCTION("""COMPUTED_VALUE"""),"Ponferrada")</f>
        <v>Ponferrada</v>
      </c>
      <c r="H787" s="6" t="str">
        <f ca="1">IFERROR(__xludf.DUMMYFUNCTION("""COMPUTED_VALUE"""),"PON-15")</f>
        <v>PON-15</v>
      </c>
      <c r="I787" s="6" t="str">
        <f ca="1">IFERROR(__xludf.DUMMYFUNCTION("""COMPUTED_VALUE"""),"YOLANDA JESUS APAZA MARCOS")</f>
        <v>YOLANDA JESUS APAZA MARCOS</v>
      </c>
      <c r="J787" s="16">
        <f ca="1">IFERROR(__xludf.DUMMYFUNCTION("""COMPUTED_VALUE"""),45994)</f>
        <v>45994</v>
      </c>
      <c r="K787" s="6" t="str">
        <f ca="1">IFERROR(__xludf.DUMMYFUNCTION("""COMPUTED_VALUE"""),"Prueba")</f>
        <v>Prueba</v>
      </c>
      <c r="L787" s="16">
        <f ca="1">IFERROR(__xludf.DUMMYFUNCTION("""COMPUTED_VALUE"""),46051)</f>
        <v>46051</v>
      </c>
      <c r="M787" s="23" t="str">
        <f ca="1">IFERROR(__xludf.DUMMYFUNCTION("""COMPUTED_VALUE"""),"NO")</f>
        <v>NO</v>
      </c>
      <c r="N787" s="15">
        <f ca="1">IFERROR(__xludf.DUMMYFUNCTION("""COMPUTED_VALUE"""),2)</f>
        <v>2</v>
      </c>
      <c r="O787" s="23" t="str">
        <f ca="1">IFERROR(__xludf.DUMMYFUNCTION("""COMPUTED_VALUE"""),"CONFORT")</f>
        <v>CONFORT</v>
      </c>
      <c r="P787" s="21">
        <f ca="1">IFERROR(__xludf.DUMMYFUNCTION("""COMPUTED_VALUE"""),3545.45)</f>
        <v>3545.45</v>
      </c>
      <c r="Q787" s="6" t="str">
        <f ca="1">IFERROR(__xludf.DUMMYFUNCTION("""COMPUTED_VALUE"""),"Alberto Moreno")</f>
        <v>Alberto Moreno</v>
      </c>
      <c r="R787" s="6" t="str">
        <f ca="1">IFERROR(__xludf.DUMMYFUNCTION("""COMPUTED_VALUE"""),"Diana Lysbeth Lourido Piedrahita")</f>
        <v>Diana Lysbeth Lourido Piedrahita</v>
      </c>
      <c r="S787" s="20" t="str">
        <f ca="1">IFERROR(__xludf.DUMMYFUNCTION("""COMPUTED_VALUE"""),"03 ORL")</f>
        <v>03 ORL</v>
      </c>
      <c r="T787" s="6" t="str">
        <f ca="1">IFERROR(__xludf.DUMMYFUNCTION("""COMPUTED_VALUE"""),"06 ORL")</f>
        <v>06 ORL</v>
      </c>
      <c r="U787" s="21"/>
      <c r="W787" s="20"/>
      <c r="X787" s="21"/>
    </row>
    <row r="788" spans="2:24" ht="16">
      <c r="B788" s="26" t="str">
        <f t="shared" ca="1" si="3"/>
        <v>PSC</v>
      </c>
      <c r="C788" s="23" t="str">
        <f ca="1">IFERROR(__xludf.DUMMYFUNCTION("""COMPUTED_VALUE"""),"PSC22")</f>
        <v>PSC22</v>
      </c>
      <c r="D788" s="6" t="str">
        <f ca="1">IFERROR(__xludf.DUMMYFUNCTION("""COMPUTED_VALUE"""),"ASOCIADOS")</f>
        <v>ASOCIADOS</v>
      </c>
      <c r="E788" s="6">
        <f ca="1">IFERROR(__xludf.DUMMYFUNCTION("""COMPUTED_VALUE"""),2026)</f>
        <v>2026</v>
      </c>
      <c r="F788" s="15">
        <f ca="1">IFERROR(__xludf.DUMMYFUNCTION("""COMPUTED_VALUE"""),3)</f>
        <v>3</v>
      </c>
      <c r="G788" s="6" t="str">
        <f ca="1">IFERROR(__xludf.DUMMYFUNCTION("""COMPUTED_VALUE"""),"Salamanca")</f>
        <v>Salamanca</v>
      </c>
      <c r="H788" s="6" t="str">
        <f ca="1">IFERROR(__xludf.DUMMYFUNCTION("""COMPUTED_VALUE"""),"C202622011554876570")</f>
        <v>C202622011554876570</v>
      </c>
      <c r="I788" s="6" t="str">
        <f ca="1">IFERROR(__xludf.DUMMYFUNCTION("""COMPUTED_VALUE"""),"DANIEL DEL ARCO GONZALEZ")</f>
        <v>DANIEL DEL ARCO GONZALEZ</v>
      </c>
      <c r="J788" s="16">
        <f ca="1">IFERROR(__xludf.DUMMYFUNCTION("""COMPUTED_VALUE"""),46073)</f>
        <v>46073</v>
      </c>
      <c r="K788" s="6" t="str">
        <f ca="1">IFERROR(__xludf.DUMMYFUNCTION("""COMPUTED_VALUE"""),"Prueba")</f>
        <v>Prueba</v>
      </c>
      <c r="L788" s="16">
        <f ca="1">IFERROR(__xludf.DUMMYFUNCTION("""COMPUTED_VALUE"""),46083)</f>
        <v>46083</v>
      </c>
      <c r="M788" s="23" t="str">
        <f ca="1">IFERROR(__xludf.DUMMYFUNCTION("""COMPUTED_VALUE"""),"NO")</f>
        <v>NO</v>
      </c>
      <c r="N788" s="15">
        <f ca="1">IFERROR(__xludf.DUMMYFUNCTION("""COMPUTED_VALUE"""),2)</f>
        <v>2</v>
      </c>
      <c r="O788" s="23" t="str">
        <f ca="1">IFERROR(__xludf.DUMMYFUNCTION("""COMPUTED_VALUE"""),"CONFORT")</f>
        <v>CONFORT</v>
      </c>
      <c r="P788" s="21">
        <f ca="1">IFERROR(__xludf.DUMMYFUNCTION("""COMPUTED_VALUE"""),3730)</f>
        <v>3730</v>
      </c>
      <c r="Q788" s="6" t="str">
        <f ca="1">IFERROR(__xludf.DUMMYFUNCTION("""COMPUTED_VALUE"""),"Alberto Moreno")</f>
        <v>Alberto Moreno</v>
      </c>
      <c r="R788" s="6" t="str">
        <f ca="1">IFERROR(__xludf.DUMMYFUNCTION("""COMPUTED_VALUE"""),"Luis Miguel Rincón Esteban")</f>
        <v>Luis Miguel Rincón Esteban</v>
      </c>
      <c r="S788" s="20" t="str">
        <f ca="1">IFERROR(__xludf.DUMMYFUNCTION("""COMPUTED_VALUE"""),"03 ORL")</f>
        <v>03 ORL</v>
      </c>
      <c r="T788" s="6" t="str">
        <f ca="1">IFERROR(__xludf.DUMMYFUNCTION("""COMPUTED_VALUE"""),"06 ORL")</f>
        <v>06 ORL</v>
      </c>
      <c r="U788" s="21"/>
      <c r="W788" s="20"/>
      <c r="X788" s="21"/>
    </row>
    <row r="789" spans="2:24" ht="16">
      <c r="B789" s="26" t="str">
        <f t="shared" ca="1" si="3"/>
        <v>PSC</v>
      </c>
      <c r="C789" s="23" t="str">
        <f ca="1">IFERROR(__xludf.DUMMYFUNCTION("""COMPUTED_VALUE"""),"PSC02")</f>
        <v>PSC02</v>
      </c>
      <c r="D789" s="6" t="str">
        <f ca="1">IFERROR(__xludf.DUMMYFUNCTION("""COMPUTED_VALUE"""),"ASOCIADOS")</f>
        <v>ASOCIADOS</v>
      </c>
      <c r="E789" s="6">
        <f ca="1">IFERROR(__xludf.DUMMYFUNCTION("""COMPUTED_VALUE"""),2026)</f>
        <v>2026</v>
      </c>
      <c r="F789" s="15">
        <f ca="1">IFERROR(__xludf.DUMMYFUNCTION("""COMPUTED_VALUE"""),3)</f>
        <v>3</v>
      </c>
      <c r="G789" s="6" t="str">
        <f ca="1">IFERROR(__xludf.DUMMYFUNCTION("""COMPUTED_VALUE"""),"Salamanca")</f>
        <v>Salamanca</v>
      </c>
      <c r="H789" s="6" t="str">
        <f ca="1">IFERROR(__xludf.DUMMYFUNCTION("""COMPUTED_VALUE"""),"C202622412131567576")</f>
        <v>C202622412131567576</v>
      </c>
      <c r="I789" s="6" t="str">
        <f ca="1">IFERROR(__xludf.DUMMYFUNCTION("""COMPUTED_VALUE"""),"JOSEFA BERNAL CABEZAS")</f>
        <v>JOSEFA BERNAL CABEZAS</v>
      </c>
      <c r="J789" s="16">
        <f ca="1">IFERROR(__xludf.DUMMYFUNCTION("""COMPUTED_VALUE"""),46077)</f>
        <v>46077</v>
      </c>
      <c r="K789" s="6" t="str">
        <f ca="1">IFERROR(__xludf.DUMMYFUNCTION("""COMPUTED_VALUE"""),"Prueba")</f>
        <v>Prueba</v>
      </c>
      <c r="L789" s="16">
        <f ca="1">IFERROR(__xludf.DUMMYFUNCTION("""COMPUTED_VALUE"""),46090)</f>
        <v>46090</v>
      </c>
      <c r="M789" s="23" t="str">
        <f ca="1">IFERROR(__xludf.DUMMYFUNCTION("""COMPUTED_VALUE"""),"NO")</f>
        <v>NO</v>
      </c>
      <c r="N789" s="15">
        <f ca="1">IFERROR(__xludf.DUMMYFUNCTION("""COMPUTED_VALUE"""),2)</f>
        <v>2</v>
      </c>
      <c r="O789" s="23" t="str">
        <f ca="1">IFERROR(__xludf.DUMMYFUNCTION("""COMPUTED_VALUE"""),"CONFORT")</f>
        <v>CONFORT</v>
      </c>
      <c r="P789" s="21">
        <f ca="1">IFERROR(__xludf.DUMMYFUNCTION("""COMPUTED_VALUE"""),3730)</f>
        <v>3730</v>
      </c>
      <c r="Q789" s="6" t="str">
        <f ca="1">IFERROR(__xludf.DUMMYFUNCTION("""COMPUTED_VALUE"""),"Alberto Moreno")</f>
        <v>Alberto Moreno</v>
      </c>
      <c r="R789" s="6" t="str">
        <f ca="1">IFERROR(__xludf.DUMMYFUNCTION("""COMPUTED_VALUE"""),"Ángel Muñoz Herrera")</f>
        <v>Ángel Muñoz Herrera</v>
      </c>
      <c r="S789" s="20" t="str">
        <f ca="1">IFERROR(__xludf.DUMMYFUNCTION("""COMPUTED_VALUE"""),"03 ORL")</f>
        <v>03 ORL</v>
      </c>
      <c r="T789" s="6" t="str">
        <f ca="1">IFERROR(__xludf.DUMMYFUNCTION("""COMPUTED_VALUE"""),"06 ORL")</f>
        <v>06 ORL</v>
      </c>
      <c r="U789" s="21"/>
      <c r="W789" s="20"/>
      <c r="X789" s="21"/>
    </row>
    <row r="790" spans="2:24" ht="16">
      <c r="B790" s="26" t="str">
        <f t="shared" ca="1" si="3"/>
        <v>PSC</v>
      </c>
      <c r="C790" s="23" t="str">
        <f ca="1">IFERROR(__xludf.DUMMYFUNCTION("""COMPUTED_VALUE"""),"PSC02")</f>
        <v>PSC02</v>
      </c>
      <c r="D790" s="6" t="str">
        <f ca="1">IFERROR(__xludf.DUMMYFUNCTION("""COMPUTED_VALUE"""),"ASOCIADOS")</f>
        <v>ASOCIADOS</v>
      </c>
      <c r="E790" s="6">
        <f ca="1">IFERROR(__xludf.DUMMYFUNCTION("""COMPUTED_VALUE"""),2026)</f>
        <v>2026</v>
      </c>
      <c r="F790" s="15">
        <f ca="1">IFERROR(__xludf.DUMMYFUNCTION("""COMPUTED_VALUE"""),3)</f>
        <v>3</v>
      </c>
      <c r="G790" s="6" t="str">
        <f ca="1">IFERROR(__xludf.DUMMYFUNCTION("""COMPUTED_VALUE"""),"Salamanca")</f>
        <v>Salamanca</v>
      </c>
      <c r="H790" s="6" t="str">
        <f ca="1">IFERROR(__xludf.DUMMYFUNCTION("""COMPUTED_VALUE"""),"C202632511123955340")</f>
        <v>C202632511123955340</v>
      </c>
      <c r="I790" s="6" t="str">
        <f ca="1">IFERROR(__xludf.DUMMYFUNCTION("""COMPUTED_VALUE"""),"JOSE MANUEL FABIAN CAPARROS")</f>
        <v>JOSE MANUEL FABIAN CAPARROS</v>
      </c>
      <c r="J790" s="16">
        <f ca="1">IFERROR(__xludf.DUMMYFUNCTION("""COMPUTED_VALUE"""),46106)</f>
        <v>46106</v>
      </c>
      <c r="K790" s="6" t="str">
        <f ca="1">IFERROR(__xludf.DUMMYFUNCTION("""COMPUTED_VALUE"""),"Prueba")</f>
        <v>Prueba</v>
      </c>
      <c r="L790" s="16">
        <f ca="1">IFERROR(__xludf.DUMMYFUNCTION("""COMPUTED_VALUE"""),46112)</f>
        <v>46112</v>
      </c>
      <c r="M790" s="23" t="str">
        <f ca="1">IFERROR(__xludf.DUMMYFUNCTION("""COMPUTED_VALUE"""),"NO")</f>
        <v>NO</v>
      </c>
      <c r="N790" s="15">
        <f ca="1">IFERROR(__xludf.DUMMYFUNCTION("""COMPUTED_VALUE"""),1)</f>
        <v>1</v>
      </c>
      <c r="O790" s="23" t="str">
        <f ca="1">IFERROR(__xludf.DUMMYFUNCTION("""COMPUTED_VALUE"""),"CONFORT")</f>
        <v>CONFORT</v>
      </c>
      <c r="P790" s="21">
        <f ca="1">IFERROR(__xludf.DUMMYFUNCTION("""COMPUTED_VALUE"""),3020)</f>
        <v>3020</v>
      </c>
      <c r="Q790" s="6" t="str">
        <f ca="1">IFERROR(__xludf.DUMMYFUNCTION("""COMPUTED_VALUE"""),"Alberto Moreno")</f>
        <v>Alberto Moreno</v>
      </c>
      <c r="R790" s="6" t="str">
        <f ca="1">IFERROR(__xludf.DUMMYFUNCTION("""COMPUTED_VALUE"""),"Ángel Muñoz Herrera")</f>
        <v>Ángel Muñoz Herrera</v>
      </c>
      <c r="S790" s="20" t="str">
        <f ca="1">IFERROR(__xludf.DUMMYFUNCTION("""COMPUTED_VALUE"""),"03 ORL")</f>
        <v>03 ORL</v>
      </c>
      <c r="T790" s="6" t="str">
        <f ca="1">IFERROR(__xludf.DUMMYFUNCTION("""COMPUTED_VALUE"""),"06 ORL")</f>
        <v>06 ORL</v>
      </c>
      <c r="U790" s="21"/>
      <c r="W790" s="20"/>
      <c r="X790" s="21"/>
    </row>
    <row r="791" spans="2:24" ht="16">
      <c r="B791" s="26" t="str">
        <f t="shared" ca="1" si="3"/>
        <v>PSC</v>
      </c>
      <c r="C791" s="23" t="str">
        <f ca="1">IFERROR(__xludf.DUMMYFUNCTION("""COMPUTED_VALUE"""),"PSC16")</f>
        <v>PSC16</v>
      </c>
      <c r="D791" s="6" t="str">
        <f ca="1">IFERROR(__xludf.DUMMYFUNCTION("""COMPUTED_VALUE"""),"ASOCIADOS")</f>
        <v>ASOCIADOS</v>
      </c>
      <c r="E791" s="6">
        <f ca="1">IFERROR(__xludf.DUMMYFUNCTION("""COMPUTED_VALUE"""),2026)</f>
        <v>2026</v>
      </c>
      <c r="F791" s="15">
        <f ca="1">IFERROR(__xludf.DUMMYFUNCTION("""COMPUTED_VALUE"""),2)</f>
        <v>2</v>
      </c>
      <c r="G791" s="6" t="str">
        <f ca="1">IFERROR(__xludf.DUMMYFUNCTION("""COMPUTED_VALUE"""),"Salamanca")</f>
        <v>Salamanca</v>
      </c>
      <c r="H791" s="6" t="str">
        <f ca="1">IFERROR(__xludf.DUMMYFUNCTION("""COMPUTED_VALUE"""),"C202621617193508468")</f>
        <v>C202621617193508468</v>
      </c>
      <c r="I791" s="6" t="str">
        <f ca="1">IFERROR(__xludf.DUMMYFUNCTION("""COMPUTED_VALUE"""),"JUAN JOSE MARTIN GONZALO")</f>
        <v>JUAN JOSE MARTIN GONZALO</v>
      </c>
      <c r="J791" s="16">
        <f ca="1">IFERROR(__xludf.DUMMYFUNCTION("""COMPUTED_VALUE"""),46069)</f>
        <v>46069</v>
      </c>
      <c r="K791" s="6" t="str">
        <f ca="1">IFERROR(__xludf.DUMMYFUNCTION("""COMPUTED_VALUE"""),"Prueba")</f>
        <v>Prueba</v>
      </c>
      <c r="L791" s="16">
        <f ca="1">IFERROR(__xludf.DUMMYFUNCTION("""COMPUTED_VALUE"""),46080)</f>
        <v>46080</v>
      </c>
      <c r="M791" s="23" t="str">
        <f ca="1">IFERROR(__xludf.DUMMYFUNCTION("""COMPUTED_VALUE"""),"NO")</f>
        <v>NO</v>
      </c>
      <c r="N791" s="15">
        <f ca="1">IFERROR(__xludf.DUMMYFUNCTION("""COMPUTED_VALUE"""),1)</f>
        <v>1</v>
      </c>
      <c r="O791" s="23" t="str">
        <f ca="1">IFERROR(__xludf.DUMMYFUNCTION("""COMPUTED_VALUE"""),"QUIET")</f>
        <v>QUIET</v>
      </c>
      <c r="P791" s="21">
        <f ca="1">IFERROR(__xludf.DUMMYFUNCTION("""COMPUTED_VALUE"""),1784.55)</f>
        <v>1784.55</v>
      </c>
      <c r="Q791" s="6" t="str">
        <f ca="1">IFERROR(__xludf.DUMMYFUNCTION("""COMPUTED_VALUE"""),"Alberto Moreno")</f>
        <v>Alberto Moreno</v>
      </c>
      <c r="R791" s="6" t="str">
        <f ca="1">IFERROR(__xludf.DUMMYFUNCTION("""COMPUTED_VALUE"""),"Jose Antonio Sancipriano Hernández")</f>
        <v>Jose Antonio Sancipriano Hernández</v>
      </c>
      <c r="S791" s="20" t="str">
        <f ca="1">IFERROR(__xludf.DUMMYFUNCTION("""COMPUTED_VALUE"""),"03 ORL")</f>
        <v>03 ORL</v>
      </c>
      <c r="T791" s="6" t="str">
        <f ca="1">IFERROR(__xludf.DUMMYFUNCTION("""COMPUTED_VALUE"""),"06 ORL")</f>
        <v>06 ORL</v>
      </c>
      <c r="U791" s="21"/>
      <c r="W791" s="20"/>
      <c r="X791" s="21"/>
    </row>
    <row r="792" spans="2:24" ht="16">
      <c r="B792" s="26" t="str">
        <f t="shared" ref="B792:B1046" ca="1" si="4">IF($H792="","",LEFT(C792,3))</f>
        <v>MBM</v>
      </c>
      <c r="C792" s="23" t="str">
        <f ca="1">IFERROR(__xludf.DUMMYFUNCTION("""COMPUTED_VALUE"""),"MBM03")</f>
        <v>MBM03</v>
      </c>
      <c r="D792" s="6" t="str">
        <f ca="1">IFERROR(__xludf.DUMMYFUNCTION("""COMPUTED_VALUE"""),"ASOCIADOS")</f>
        <v>ASOCIADOS</v>
      </c>
      <c r="E792" s="6">
        <f ca="1">IFERROR(__xludf.DUMMYFUNCTION("""COMPUTED_VALUE"""),2026)</f>
        <v>2026</v>
      </c>
      <c r="F792" s="15">
        <f ca="1">IFERROR(__xludf.DUMMYFUNCTION("""COMPUTED_VALUE"""),2)</f>
        <v>2</v>
      </c>
      <c r="G792" s="6" t="str">
        <f ca="1">IFERROR(__xludf.DUMMYFUNCTION("""COMPUTED_VALUE"""),"Salamanca")</f>
        <v>Salamanca</v>
      </c>
      <c r="H792" s="6" t="str">
        <f ca="1">IFERROR(__xludf.DUMMYFUNCTION("""COMPUTED_VALUE"""),"C202621616125523042")</f>
        <v>C202621616125523042</v>
      </c>
      <c r="I792" s="6" t="str">
        <f ca="1">IFERROR(__xludf.DUMMYFUNCTION("""COMPUTED_VALUE"""),"MARIA DEL MAR BLAZQUEZ TAVERA")</f>
        <v>MARIA DEL MAR BLAZQUEZ TAVERA</v>
      </c>
      <c r="J792" s="16">
        <f ca="1">IFERROR(__xludf.DUMMYFUNCTION("""COMPUTED_VALUE"""),46069)</f>
        <v>46069</v>
      </c>
      <c r="K792" s="6" t="str">
        <f ca="1">IFERROR(__xludf.DUMMYFUNCTION("""COMPUTED_VALUE"""),"Devuelve")</f>
        <v>Devuelve</v>
      </c>
      <c r="L792" s="16">
        <f ca="1">IFERROR(__xludf.DUMMYFUNCTION("""COMPUTED_VALUE"""),46072)</f>
        <v>46072</v>
      </c>
      <c r="M792" s="23" t="str">
        <f ca="1">IFERROR(__xludf.DUMMYFUNCTION("""COMPUTED_VALUE"""),"NO")</f>
        <v>NO</v>
      </c>
      <c r="N792" s="15">
        <f ca="1">IFERROR(__xludf.DUMMYFUNCTION("""COMPUTED_VALUE"""),1)</f>
        <v>1</v>
      </c>
      <c r="O792" s="23" t="str">
        <f ca="1">IFERROR(__xludf.DUMMYFUNCTION("""COMPUTED_VALUE"""),"CONFORT")</f>
        <v>CONFORT</v>
      </c>
      <c r="P792" s="21">
        <f ca="1">IFERROR(__xludf.DUMMYFUNCTION("""COMPUTED_VALUE"""),2328)</f>
        <v>2328</v>
      </c>
      <c r="Q792" s="6" t="str">
        <f ca="1">IFERROR(__xludf.DUMMYFUNCTION("""COMPUTED_VALUE"""),"Maika Blázquez")</f>
        <v>Maika Blázquez</v>
      </c>
      <c r="R792" s="6" t="str">
        <f ca="1">IFERROR(__xludf.DUMMYFUNCTION("""COMPUTED_VALUE"""),"Alejandro Harguindey Antoli-Candela")</f>
        <v>Alejandro Harguindey Antoli-Candela</v>
      </c>
      <c r="S792" s="20" t="str">
        <f ca="1">IFERROR(__xludf.DUMMYFUNCTION("""COMPUTED_VALUE"""),"03 ORL")</f>
        <v>03 ORL</v>
      </c>
      <c r="T792" s="6" t="str">
        <f ca="1">IFERROR(__xludf.DUMMYFUNCTION("""COMPUTED_VALUE"""),"06 ORL")</f>
        <v>06 ORL</v>
      </c>
      <c r="U792" s="21"/>
      <c r="W792" s="20"/>
      <c r="X792" s="21"/>
    </row>
    <row r="793" spans="2:24" ht="16">
      <c r="B793" s="26" t="str">
        <f t="shared" ca="1" si="4"/>
        <v>PSC</v>
      </c>
      <c r="C793" s="23" t="str">
        <f ca="1">IFERROR(__xludf.DUMMYFUNCTION("""COMPUTED_VALUE"""),"PSC22")</f>
        <v>PSC22</v>
      </c>
      <c r="D793" s="6" t="str">
        <f ca="1">IFERROR(__xludf.DUMMYFUNCTION("""COMPUTED_VALUE"""),"ASOCIADOS")</f>
        <v>ASOCIADOS</v>
      </c>
      <c r="E793" s="6">
        <f ca="1">IFERROR(__xludf.DUMMYFUNCTION("""COMPUTED_VALUE"""),2026)</f>
        <v>2026</v>
      </c>
      <c r="F793" s="15">
        <f ca="1">IFERROR(__xludf.DUMMYFUNCTION("""COMPUTED_VALUE"""),3)</f>
        <v>3</v>
      </c>
      <c r="G793" s="6" t="str">
        <f ca="1">IFERROR(__xludf.DUMMYFUNCTION("""COMPUTED_VALUE"""),"Salamanca")</f>
        <v>Salamanca</v>
      </c>
      <c r="H793" s="6" t="str">
        <f ca="1">IFERROR(__xludf.DUMMYFUNCTION("""COMPUTED_VALUE"""),"C202622712106452775")</f>
        <v>C202622712106452775</v>
      </c>
      <c r="I793" s="6" t="str">
        <f ca="1">IFERROR(__xludf.DUMMYFUNCTION("""COMPUTED_VALUE"""),"MARIA JESUS MARTIN NIETO")</f>
        <v>MARIA JESUS MARTIN NIETO</v>
      </c>
      <c r="J793" s="16">
        <f ca="1">IFERROR(__xludf.DUMMYFUNCTION("""COMPUTED_VALUE"""),46080)</f>
        <v>46080</v>
      </c>
      <c r="K793" s="6" t="str">
        <f ca="1">IFERROR(__xludf.DUMMYFUNCTION("""COMPUTED_VALUE"""),"Prueba")</f>
        <v>Prueba</v>
      </c>
      <c r="L793" s="16">
        <f ca="1">IFERROR(__xludf.DUMMYFUNCTION("""COMPUTED_VALUE"""),46099)</f>
        <v>46099</v>
      </c>
      <c r="M793" s="23" t="str">
        <f ca="1">IFERROR(__xludf.DUMMYFUNCTION("""COMPUTED_VALUE"""),"NO")</f>
        <v>NO</v>
      </c>
      <c r="N793" s="15">
        <f ca="1">IFERROR(__xludf.DUMMYFUNCTION("""COMPUTED_VALUE"""),2)</f>
        <v>2</v>
      </c>
      <c r="O793" s="23" t="str">
        <f ca="1">IFERROR(__xludf.DUMMYFUNCTION("""COMPUTED_VALUE"""),"CONFORT")</f>
        <v>CONFORT</v>
      </c>
      <c r="P793" s="21">
        <f ca="1">IFERROR(__xludf.DUMMYFUNCTION("""COMPUTED_VALUE"""),3730)</f>
        <v>3730</v>
      </c>
      <c r="Q793" s="6" t="str">
        <f ca="1">IFERROR(__xludf.DUMMYFUNCTION("""COMPUTED_VALUE"""),"Alberto Moreno")</f>
        <v>Alberto Moreno</v>
      </c>
      <c r="R793" s="6" t="str">
        <f ca="1">IFERROR(__xludf.DUMMYFUNCTION("""COMPUTED_VALUE"""),"Luis Miguel Rincón Esteban")</f>
        <v>Luis Miguel Rincón Esteban</v>
      </c>
      <c r="S793" s="20" t="str">
        <f ca="1">IFERROR(__xludf.DUMMYFUNCTION("""COMPUTED_VALUE"""),"03 ORL")</f>
        <v>03 ORL</v>
      </c>
      <c r="T793" s="6" t="str">
        <f ca="1">IFERROR(__xludf.DUMMYFUNCTION("""COMPUTED_VALUE"""),"06 ORL")</f>
        <v>06 ORL</v>
      </c>
      <c r="U793" s="21"/>
      <c r="W793" s="20"/>
      <c r="X793" s="21"/>
    </row>
    <row r="794" spans="2:24" ht="16">
      <c r="B794" s="26" t="str">
        <f t="shared" ca="1" si="4"/>
        <v/>
      </c>
      <c r="C794" s="23"/>
      <c r="D794" s="6" t="str">
        <f ca="1">IFERROR(__xludf.DUMMYFUNCTION("""COMPUTED_VALUE"""),"ASOCIADOS")</f>
        <v>ASOCIADOS</v>
      </c>
      <c r="E794" s="6">
        <f ca="1">IFERROR(__xludf.DUMMYFUNCTION("""COMPUTED_VALUE"""),2026)</f>
        <v>2026</v>
      </c>
      <c r="F794" s="15">
        <f ca="1">IFERROR(__xludf.DUMMYFUNCTION("""COMPUTED_VALUE"""),3)</f>
        <v>3</v>
      </c>
      <c r="G794" s="6" t="str">
        <f ca="1">IFERROR(__xludf.DUMMYFUNCTION("""COMPUTED_VALUE"""),"Salamanca")</f>
        <v>Salamanca</v>
      </c>
      <c r="H794" s="6" t="str">
        <f ca="1">IFERROR(__xludf.DUMMYFUNCTION("""COMPUTED_VALUE"""),"C202631210363390470")</f>
        <v>C202631210363390470</v>
      </c>
      <c r="I794" s="6" t="str">
        <f ca="1">IFERROR(__xludf.DUMMYFUNCTION("""COMPUTED_VALUE"""),"MARIA LUISA DE LOS DOLORES BLAZQUEZ POLO")</f>
        <v>MARIA LUISA DE LOS DOLORES BLAZQUEZ POLO</v>
      </c>
      <c r="J794" s="16">
        <f ca="1">IFERROR(__xludf.DUMMYFUNCTION("""COMPUTED_VALUE"""),46093)</f>
        <v>46093</v>
      </c>
      <c r="K794" s="6" t="str">
        <f ca="1">IFERROR(__xludf.DUMMYFUNCTION("""COMPUTED_VALUE"""),"Prueba")</f>
        <v>Prueba</v>
      </c>
      <c r="L794" s="16">
        <f ca="1">IFERROR(__xludf.DUMMYFUNCTION("""COMPUTED_VALUE"""),46099)</f>
        <v>46099</v>
      </c>
      <c r="M794" s="23" t="str">
        <f ca="1">IFERROR(__xludf.DUMMYFUNCTION("""COMPUTED_VALUE"""),"NO")</f>
        <v>NO</v>
      </c>
      <c r="N794" s="15">
        <f ca="1">IFERROR(__xludf.DUMMYFUNCTION("""COMPUTED_VALUE"""),2)</f>
        <v>2</v>
      </c>
      <c r="O794" s="23" t="str">
        <f ca="1">IFERROR(__xludf.DUMMYFUNCTION("""COMPUTED_VALUE"""),"CONFORT")</f>
        <v>CONFORT</v>
      </c>
      <c r="P794" s="21">
        <f ca="1">IFERROR(__xludf.DUMMYFUNCTION("""COMPUTED_VALUE"""),3730)</f>
        <v>3730</v>
      </c>
      <c r="Q794" s="6" t="str">
        <f ca="1">IFERROR(__xludf.DUMMYFUNCTION("""COMPUTED_VALUE"""),"Alberto Moreno")</f>
        <v>Alberto Moreno</v>
      </c>
      <c r="R794" s="6" t="str">
        <f ca="1">IFERROR(__xludf.DUMMYFUNCTION("""COMPUTED_VALUE"""),"No recuerda ORL")</f>
        <v>No recuerda ORL</v>
      </c>
      <c r="S794" s="20" t="str">
        <f ca="1">IFERROR(__xludf.DUMMYFUNCTION("""COMPUTED_VALUE"""),"03 ORL")</f>
        <v>03 ORL</v>
      </c>
      <c r="T794" s="6" t="str">
        <f ca="1">IFERROR(__xludf.DUMMYFUNCTION("""COMPUTED_VALUE"""),"06 ORL")</f>
        <v>06 ORL</v>
      </c>
      <c r="U794" s="21"/>
      <c r="W794" s="20"/>
      <c r="X794" s="21"/>
    </row>
    <row r="795" spans="2:24" ht="16">
      <c r="B795" s="26" t="str">
        <f t="shared" ca="1" si="4"/>
        <v>PSC</v>
      </c>
      <c r="C795" s="23" t="str">
        <f ca="1">IFERROR(__xludf.DUMMYFUNCTION("""COMPUTED_VALUE"""),"PSC45")</f>
        <v>PSC45</v>
      </c>
      <c r="D795" s="6" t="str">
        <f ca="1">IFERROR(__xludf.DUMMYFUNCTION("""COMPUTED_VALUE"""),"ASOCIADOS")</f>
        <v>ASOCIADOS</v>
      </c>
      <c r="E795" s="6">
        <f ca="1">IFERROR(__xludf.DUMMYFUNCTION("""COMPUTED_VALUE"""),2026)</f>
        <v>2026</v>
      </c>
      <c r="F795" s="15">
        <f ca="1">IFERROR(__xludf.DUMMYFUNCTION("""COMPUTED_VALUE"""),3)</f>
        <v>3</v>
      </c>
      <c r="G795" s="6" t="str">
        <f ca="1">IFERROR(__xludf.DUMMYFUNCTION("""COMPUTED_VALUE"""),"Salamanca")</f>
        <v>Salamanca</v>
      </c>
      <c r="H795" s="6" t="str">
        <f ca="1">IFERROR(__xludf.DUMMYFUNCTION("""COMPUTED_VALUE"""),"C202631216282745621")</f>
        <v>C202631216282745621</v>
      </c>
      <c r="I795" s="6" t="str">
        <f ca="1">IFERROR(__xludf.DUMMYFUNCTION("""COMPUTED_VALUE"""),"MAXIMA ISABEL ROMERO CHAMORRO")</f>
        <v>MAXIMA ISABEL ROMERO CHAMORRO</v>
      </c>
      <c r="J795" s="16">
        <f ca="1">IFERROR(__xludf.DUMMYFUNCTION("""COMPUTED_VALUE"""),46093)</f>
        <v>46093</v>
      </c>
      <c r="K795" s="6" t="str">
        <f ca="1">IFERROR(__xludf.DUMMYFUNCTION("""COMPUTED_VALUE"""),"Prueba")</f>
        <v>Prueba</v>
      </c>
      <c r="L795" s="16">
        <f ca="1">IFERROR(__xludf.DUMMYFUNCTION("""COMPUTED_VALUE"""),46104)</f>
        <v>46104</v>
      </c>
      <c r="M795" s="23" t="str">
        <f ca="1">IFERROR(__xludf.DUMMYFUNCTION("""COMPUTED_VALUE"""),"NO")</f>
        <v>NO</v>
      </c>
      <c r="N795" s="15">
        <f ca="1">IFERROR(__xludf.DUMMYFUNCTION("""COMPUTED_VALUE"""),2)</f>
        <v>2</v>
      </c>
      <c r="O795" s="23" t="str">
        <f ca="1">IFERROR(__xludf.DUMMYFUNCTION("""COMPUTED_VALUE"""),"CONFORT")</f>
        <v>CONFORT</v>
      </c>
      <c r="P795" s="21">
        <f ca="1">IFERROR(__xludf.DUMMYFUNCTION("""COMPUTED_VALUE"""),3730)</f>
        <v>3730</v>
      </c>
      <c r="Q795" s="6" t="str">
        <f ca="1">IFERROR(__xludf.DUMMYFUNCTION("""COMPUTED_VALUE"""),"Alberto Moreno")</f>
        <v>Alberto Moreno</v>
      </c>
      <c r="R795" s="6" t="str">
        <f ca="1">IFERROR(__xludf.DUMMYFUNCTION("""COMPUTED_VALUE"""),"Marta Calvo Pérez")</f>
        <v>Marta Calvo Pérez</v>
      </c>
      <c r="S795" s="20" t="str">
        <f ca="1">IFERROR(__xludf.DUMMYFUNCTION("""COMPUTED_VALUE"""),"03 ORL")</f>
        <v>03 ORL</v>
      </c>
      <c r="T795" s="6" t="str">
        <f ca="1">IFERROR(__xludf.DUMMYFUNCTION("""COMPUTED_VALUE"""),"06 ORL")</f>
        <v>06 ORL</v>
      </c>
      <c r="U795" s="21"/>
      <c r="W795" s="20"/>
      <c r="X795" s="21"/>
    </row>
    <row r="796" spans="2:24" ht="16">
      <c r="B796" s="26" t="str">
        <f t="shared" ca="1" si="4"/>
        <v/>
      </c>
      <c r="C796" s="23"/>
      <c r="D796" s="6" t="str">
        <f ca="1">IFERROR(__xludf.DUMMYFUNCTION("""COMPUTED_VALUE"""),"ASOCIADOS")</f>
        <v>ASOCIADOS</v>
      </c>
      <c r="E796" s="6">
        <f ca="1">IFERROR(__xludf.DUMMYFUNCTION("""COMPUTED_VALUE"""),2026)</f>
        <v>2026</v>
      </c>
      <c r="F796" s="15">
        <f ca="1">IFERROR(__xludf.DUMMYFUNCTION("""COMPUTED_VALUE"""),3)</f>
        <v>3</v>
      </c>
      <c r="G796" s="6" t="str">
        <f ca="1">IFERROR(__xludf.DUMMYFUNCTION("""COMPUTED_VALUE"""),"Salamanca")</f>
        <v>Salamanca</v>
      </c>
      <c r="H796" s="6" t="str">
        <f ca="1">IFERROR(__xludf.DUMMYFUNCTION("""COMPUTED_VALUE"""),"C2026329354159683")</f>
        <v>C2026329354159683</v>
      </c>
      <c r="I796" s="6" t="str">
        <f ca="1">IFERROR(__xludf.DUMMYFUNCTION("""COMPUTED_VALUE"""),"VICENTE  REVESADO MATEOS")</f>
        <v>VICENTE  REVESADO MATEOS</v>
      </c>
      <c r="J796" s="16">
        <f ca="1">IFERROR(__xludf.DUMMYFUNCTION("""COMPUTED_VALUE"""),46083)</f>
        <v>46083</v>
      </c>
      <c r="K796" s="6" t="str">
        <f ca="1">IFERROR(__xludf.DUMMYFUNCTION("""COMPUTED_VALUE"""),"Prueba")</f>
        <v>Prueba</v>
      </c>
      <c r="L796" s="16">
        <f ca="1">IFERROR(__xludf.DUMMYFUNCTION("""COMPUTED_VALUE"""),46092)</f>
        <v>46092</v>
      </c>
      <c r="M796" s="23" t="str">
        <f ca="1">IFERROR(__xludf.DUMMYFUNCTION("""COMPUTED_VALUE"""),"NO")</f>
        <v>NO</v>
      </c>
      <c r="N796" s="15">
        <f ca="1">IFERROR(__xludf.DUMMYFUNCTION("""COMPUTED_VALUE"""),2)</f>
        <v>2</v>
      </c>
      <c r="O796" s="23" t="str">
        <f ca="1">IFERROR(__xludf.DUMMYFUNCTION("""COMPUTED_VALUE"""),"CONFORT")</f>
        <v>CONFORT</v>
      </c>
      <c r="P796" s="21">
        <f ca="1">IFERROR(__xludf.DUMMYFUNCTION("""COMPUTED_VALUE"""),3730)</f>
        <v>3730</v>
      </c>
      <c r="Q796" s="6" t="str">
        <f ca="1">IFERROR(__xludf.DUMMYFUNCTION("""COMPUTED_VALUE"""),"Alberto Moreno")</f>
        <v>Alberto Moreno</v>
      </c>
      <c r="R796" s="6" t="str">
        <f ca="1">IFERROR(__xludf.DUMMYFUNCTION("""COMPUTED_VALUE"""),"No recuerda ORL")</f>
        <v>No recuerda ORL</v>
      </c>
      <c r="S796" s="20" t="str">
        <f ca="1">IFERROR(__xludf.DUMMYFUNCTION("""COMPUTED_VALUE"""),"03 ORL")</f>
        <v>03 ORL</v>
      </c>
      <c r="T796" s="6" t="str">
        <f ca="1">IFERROR(__xludf.DUMMYFUNCTION("""COMPUTED_VALUE"""),"06 ORL")</f>
        <v>06 ORL</v>
      </c>
      <c r="U796" s="21"/>
      <c r="W796" s="20"/>
      <c r="X796" s="21"/>
    </row>
    <row r="797" spans="2:24" ht="16">
      <c r="B797" s="26" t="str">
        <f t="shared" ca="1" si="4"/>
        <v>ISL</v>
      </c>
      <c r="C797" s="23" t="str">
        <f ca="1">IFERROR(__xludf.DUMMYFUNCTION("""COMPUTED_VALUE"""),"ISL149")</f>
        <v>ISL149</v>
      </c>
      <c r="D797" s="6" t="str">
        <f ca="1">IFERROR(__xludf.DUMMYFUNCTION("""COMPUTED_VALUE"""),"PROPIOS")</f>
        <v>PROPIOS</v>
      </c>
      <c r="E797" s="6">
        <f ca="1">IFERROR(__xludf.DUMMYFUNCTION("""COMPUTED_VALUE"""),2026)</f>
        <v>2026</v>
      </c>
      <c r="F797" s="15">
        <f ca="1">IFERROR(__xludf.DUMMYFUNCTION("""COMPUTED_VALUE"""),2)</f>
        <v>2</v>
      </c>
      <c r="G797" s="6" t="str">
        <f ca="1">IFERROR(__xludf.DUMMYFUNCTION("""COMPUTED_VALUE"""),"San Javier")</f>
        <v>San Javier</v>
      </c>
      <c r="H797" s="6" t="str">
        <f ca="1">IFERROR(__xludf.DUMMYFUNCTION("""COMPUTED_VALUE"""),"C202624174226578219")</f>
        <v>C202624174226578219</v>
      </c>
      <c r="I797" s="6" t="str">
        <f ca="1">IFERROR(__xludf.DUMMYFUNCTION("""COMPUTED_VALUE"""),"ANGEL DEL VALLE RAIMUNDEZ")</f>
        <v>ANGEL DEL VALLE RAIMUNDEZ</v>
      </c>
      <c r="J797" s="16">
        <f ca="1">IFERROR(__xludf.DUMMYFUNCTION("""COMPUTED_VALUE"""),46057)</f>
        <v>46057</v>
      </c>
      <c r="K797" s="6" t="str">
        <f ca="1">IFERROR(__xludf.DUMMYFUNCTION("""COMPUTED_VALUE"""),"Presupuesto")</f>
        <v>Presupuesto</v>
      </c>
      <c r="L797" s="16">
        <f ca="1">IFERROR(__xludf.DUMMYFUNCTION("""COMPUTED_VALUE"""),46062)</f>
        <v>46062</v>
      </c>
      <c r="M797" s="23" t="str">
        <f ca="1">IFERROR(__xludf.DUMMYFUNCTION("""COMPUTED_VALUE"""),"NO")</f>
        <v>NO</v>
      </c>
      <c r="N797" s="15">
        <f ca="1">IFERROR(__xludf.DUMMYFUNCTION("""COMPUTED_VALUE"""),2)</f>
        <v>2</v>
      </c>
      <c r="O797" s="23" t="str">
        <f ca="1">IFERROR(__xludf.DUMMYFUNCTION("""COMPUTED_VALUE"""),"CONFORT")</f>
        <v>CONFORT</v>
      </c>
      <c r="P797" s="21">
        <f ca="1">IFERROR(__xludf.DUMMYFUNCTION("""COMPUTED_VALUE"""),3631.82)</f>
        <v>3631.82</v>
      </c>
      <c r="Q797" s="6" t="str">
        <f ca="1">IFERROR(__xludf.DUMMYFUNCTION("""COMPUTED_VALUE"""),"Iván Sánchez")</f>
        <v>Iván Sánchez</v>
      </c>
      <c r="R797" s="6" t="str">
        <f ca="1">IFERROR(__xludf.DUMMYFUNCTION("""COMPUTED_VALUE"""),"Ángel Onofre Pérez Coll")</f>
        <v>Ángel Onofre Pérez Coll</v>
      </c>
      <c r="S797" s="20" t="str">
        <f ca="1">IFERROR(__xludf.DUMMYFUNCTION("""COMPUTED_VALUE"""),"03 ORL")</f>
        <v>03 ORL</v>
      </c>
      <c r="T797" s="6" t="str">
        <f ca="1">IFERROR(__xludf.DUMMYFUNCTION("""COMPUTED_VALUE"""),"06 ORL")</f>
        <v>06 ORL</v>
      </c>
      <c r="U797" s="21"/>
      <c r="W797" s="20"/>
      <c r="X797" s="21"/>
    </row>
    <row r="798" spans="2:24" ht="16">
      <c r="B798" s="26" t="str">
        <f t="shared" ca="1" si="4"/>
        <v/>
      </c>
      <c r="C798" s="23"/>
      <c r="D798" s="6" t="str">
        <f ca="1">IFERROR(__xludf.DUMMYFUNCTION("""COMPUTED_VALUE"""),"PROPIOS")</f>
        <v>PROPIOS</v>
      </c>
      <c r="E798" s="6">
        <f ca="1">IFERROR(__xludf.DUMMYFUNCTION("""COMPUTED_VALUE"""),2026)</f>
        <v>2026</v>
      </c>
      <c r="F798" s="15">
        <f ca="1">IFERROR(__xludf.DUMMYFUNCTION("""COMPUTED_VALUE"""),3)</f>
        <v>3</v>
      </c>
      <c r="G798" s="6" t="str">
        <f ca="1">IFERROR(__xludf.DUMMYFUNCTION("""COMPUTED_VALUE"""),"San Javier")</f>
        <v>San Javier</v>
      </c>
      <c r="H798" s="6" t="str">
        <f ca="1">IFERROR(__xludf.DUMMYFUNCTION("""COMPUTED_VALUE"""),"C202622414471147598")</f>
        <v>C202622414471147598</v>
      </c>
      <c r="I798" s="6" t="str">
        <f ca="1">IFERROR(__xludf.DUMMYFUNCTION("""COMPUTED_VALUE"""),"ANTONIO SANCHEZ GUIRAO")</f>
        <v>ANTONIO SANCHEZ GUIRAO</v>
      </c>
      <c r="J798" s="16">
        <f ca="1">IFERROR(__xludf.DUMMYFUNCTION("""COMPUTED_VALUE"""),46077)</f>
        <v>46077</v>
      </c>
      <c r="K798" s="6" t="str">
        <f ca="1">IFERROR(__xludf.DUMMYFUNCTION("""COMPUTED_VALUE"""),"Prueba")</f>
        <v>Prueba</v>
      </c>
      <c r="L798" s="16">
        <f ca="1">IFERROR(__xludf.DUMMYFUNCTION("""COMPUTED_VALUE"""),46092)</f>
        <v>46092</v>
      </c>
      <c r="M798" s="17" t="str">
        <f ca="1">IFERROR(__xludf.DUMMYFUNCTION("""COMPUTED_VALUE"""),"NO")</f>
        <v>NO</v>
      </c>
      <c r="N798" s="15">
        <f ca="1">IFERROR(__xludf.DUMMYFUNCTION("""COMPUTED_VALUE"""),2)</f>
        <v>2</v>
      </c>
      <c r="O798" s="23" t="str">
        <f ca="1">IFERROR(__xludf.DUMMYFUNCTION("""COMPUTED_VALUE"""),"TRIAL")</f>
        <v>TRIAL</v>
      </c>
      <c r="P798" s="21">
        <f ca="1">IFERROR(__xludf.DUMMYFUNCTION("""COMPUTED_VALUE"""),4136.36)</f>
        <v>4136.3599999999997</v>
      </c>
      <c r="Q798" s="6" t="str">
        <f ca="1">IFERROR(__xludf.DUMMYFUNCTION("""COMPUTED_VALUE"""),"Iván Sánchez")</f>
        <v>Iván Sánchez</v>
      </c>
      <c r="R798" s="6" t="str">
        <f ca="1">IFERROR(__xludf.DUMMYFUNCTION("""COMPUTED_VALUE"""),"No recuerda ORL")</f>
        <v>No recuerda ORL</v>
      </c>
      <c r="S798" s="20" t="str">
        <f ca="1">IFERROR(__xludf.DUMMYFUNCTION("""COMPUTED_VALUE"""),"03 ORL")</f>
        <v>03 ORL</v>
      </c>
      <c r="T798" s="6" t="str">
        <f ca="1">IFERROR(__xludf.DUMMYFUNCTION("""COMPUTED_VALUE"""),"06 ORL")</f>
        <v>06 ORL</v>
      </c>
      <c r="U798" s="21"/>
      <c r="W798" s="20"/>
      <c r="X798" s="21"/>
    </row>
    <row r="799" spans="2:24" ht="16">
      <c r="B799" s="26" t="str">
        <f t="shared" ca="1" si="4"/>
        <v>ISL</v>
      </c>
      <c r="C799" s="23" t="str">
        <f ca="1">IFERROR(__xludf.DUMMYFUNCTION("""COMPUTED_VALUE"""),"ISL01")</f>
        <v>ISL01</v>
      </c>
      <c r="D799" s="6" t="str">
        <f ca="1">IFERROR(__xludf.DUMMYFUNCTION("""COMPUTED_VALUE"""),"PROPIOS")</f>
        <v>PROPIOS</v>
      </c>
      <c r="E799" s="6">
        <f ca="1">IFERROR(__xludf.DUMMYFUNCTION("""COMPUTED_VALUE"""),2026)</f>
        <v>2026</v>
      </c>
      <c r="F799" s="15">
        <f ca="1">IFERROR(__xludf.DUMMYFUNCTION("""COMPUTED_VALUE"""),1)</f>
        <v>1</v>
      </c>
      <c r="G799" s="6" t="str">
        <f ca="1">IFERROR(__xludf.DUMMYFUNCTION("""COMPUTED_VALUE"""),"San Javier")</f>
        <v>San Javier</v>
      </c>
      <c r="H799" s="6" t="str">
        <f ca="1">IFERROR(__xludf.DUMMYFUNCTION("""COMPUTED_VALUE"""),"C202612010175804158")</f>
        <v>C202612010175804158</v>
      </c>
      <c r="I799" s="6" t="str">
        <f ca="1">IFERROR(__xludf.DUMMYFUNCTION("""COMPUTED_VALUE"""),"DOMINGO JOSE GARCIA GOMEZ")</f>
        <v>DOMINGO JOSE GARCIA GOMEZ</v>
      </c>
      <c r="J799" s="16">
        <f ca="1">IFERROR(__xludf.DUMMYFUNCTION("""COMPUTED_VALUE"""),46042)</f>
        <v>46042</v>
      </c>
      <c r="K799" s="6" t="str">
        <f ca="1">IFERROR(__xludf.DUMMYFUNCTION("""COMPUTED_VALUE"""),"Presupuesto")</f>
        <v>Presupuesto</v>
      </c>
      <c r="L799" s="16">
        <f ca="1">IFERROR(__xludf.DUMMYFUNCTION("""COMPUTED_VALUE"""),46042)</f>
        <v>46042</v>
      </c>
      <c r="M799" s="23" t="str">
        <f ca="1">IFERROR(__xludf.DUMMYFUNCTION("""COMPUTED_VALUE"""),"NO")</f>
        <v>NO</v>
      </c>
      <c r="N799" s="15">
        <f ca="1">IFERROR(__xludf.DUMMYFUNCTION("""COMPUTED_VALUE"""),2)</f>
        <v>2</v>
      </c>
      <c r="O799" s="23" t="str">
        <f ca="1">IFERROR(__xludf.DUMMYFUNCTION("""COMPUTED_VALUE"""),"QUIET")</f>
        <v>QUIET</v>
      </c>
      <c r="P799" s="21">
        <f ca="1">IFERROR(__xludf.DUMMYFUNCTION("""COMPUTED_VALUE"""),2718.18)</f>
        <v>2718.18</v>
      </c>
      <c r="Q799" s="6" t="str">
        <f ca="1">IFERROR(__xludf.DUMMYFUNCTION("""COMPUTED_VALUE"""),"Iván Sánchez")</f>
        <v>Iván Sánchez</v>
      </c>
      <c r="R799" s="6" t="str">
        <f ca="1">IFERROR(__xludf.DUMMYFUNCTION("""COMPUTED_VALUE"""),"Alberto Raposo Jiménez")</f>
        <v>Alberto Raposo Jiménez</v>
      </c>
      <c r="S799" s="20" t="str">
        <f ca="1">IFERROR(__xludf.DUMMYFUNCTION("""COMPUTED_VALUE"""),"03 ORL")</f>
        <v>03 ORL</v>
      </c>
      <c r="T799" s="6" t="str">
        <f ca="1">IFERROR(__xludf.DUMMYFUNCTION("""COMPUTED_VALUE"""),"06 ORL")</f>
        <v>06 ORL</v>
      </c>
      <c r="U799" s="21"/>
      <c r="W799" s="20"/>
      <c r="X799" s="21"/>
    </row>
    <row r="800" spans="2:24" ht="16">
      <c r="B800" s="26" t="str">
        <f t="shared" ca="1" si="4"/>
        <v>ISL</v>
      </c>
      <c r="C800" s="23" t="str">
        <f ca="1">IFERROR(__xludf.DUMMYFUNCTION("""COMPUTED_VALUE"""),"ISL06")</f>
        <v>ISL06</v>
      </c>
      <c r="D800" s="6" t="str">
        <f ca="1">IFERROR(__xludf.DUMMYFUNCTION("""COMPUTED_VALUE"""),"PROPIOS")</f>
        <v>PROPIOS</v>
      </c>
      <c r="E800" s="6">
        <f ca="1">IFERROR(__xludf.DUMMYFUNCTION("""COMPUTED_VALUE"""),2026)</f>
        <v>2026</v>
      </c>
      <c r="F800" s="15">
        <f ca="1">IFERROR(__xludf.DUMMYFUNCTION("""COMPUTED_VALUE"""),3)</f>
        <v>3</v>
      </c>
      <c r="G800" s="6" t="str">
        <f ca="1">IFERROR(__xludf.DUMMYFUNCTION("""COMPUTED_VALUE"""),"San Javier")</f>
        <v>San Javier</v>
      </c>
      <c r="H800" s="6" t="str">
        <f ca="1">IFERROR(__xludf.DUMMYFUNCTION("""COMPUTED_VALUE"""),"C202631119273290318")</f>
        <v>C202631119273290318</v>
      </c>
      <c r="I800" s="6" t="str">
        <f ca="1">IFERROR(__xludf.DUMMYFUNCTION("""COMPUTED_VALUE"""),"IULIIA LESNYCHOK")</f>
        <v>IULIIA LESNYCHOK</v>
      </c>
      <c r="J800" s="16">
        <f ca="1">IFERROR(__xludf.DUMMYFUNCTION("""COMPUTED_VALUE"""),46092)</f>
        <v>46092</v>
      </c>
      <c r="K800" s="6" t="str">
        <f ca="1">IFERROR(__xludf.DUMMYFUNCTION("""COMPUTED_VALUE"""),"Prueba")</f>
        <v>Prueba</v>
      </c>
      <c r="L800" s="16">
        <f ca="1">IFERROR(__xludf.DUMMYFUNCTION("""COMPUTED_VALUE"""),46098)</f>
        <v>46098</v>
      </c>
      <c r="M800" s="23" t="str">
        <f ca="1">IFERROR(__xludf.DUMMYFUNCTION("""COMPUTED_VALUE"""),"NO")</f>
        <v>NO</v>
      </c>
      <c r="N800" s="15">
        <f ca="1">IFERROR(__xludf.DUMMYFUNCTION("""COMPUTED_VALUE"""),1)</f>
        <v>1</v>
      </c>
      <c r="O800" s="23" t="str">
        <f ca="1">IFERROR(__xludf.DUMMYFUNCTION("""COMPUTED_VALUE"""),"QUIET")</f>
        <v>QUIET</v>
      </c>
      <c r="P800" s="21">
        <f ca="1">IFERROR(__xludf.DUMMYFUNCTION("""COMPUTED_VALUE"""),1631.82)</f>
        <v>1631.82</v>
      </c>
      <c r="Q800" s="6" t="str">
        <f ca="1">IFERROR(__xludf.DUMMYFUNCTION("""COMPUTED_VALUE"""),"Iván Sánchez")</f>
        <v>Iván Sánchez</v>
      </c>
      <c r="R800" s="6" t="str">
        <f ca="1">IFERROR(__xludf.DUMMYFUNCTION("""COMPUTED_VALUE"""),"Andrés Barrios Recio")</f>
        <v>Andrés Barrios Recio</v>
      </c>
      <c r="S800" s="20" t="str">
        <f ca="1">IFERROR(__xludf.DUMMYFUNCTION("""COMPUTED_VALUE"""),"03 ORL")</f>
        <v>03 ORL</v>
      </c>
      <c r="T800" s="6" t="str">
        <f ca="1">IFERROR(__xludf.DUMMYFUNCTION("""COMPUTED_VALUE"""),"06 ORL")</f>
        <v>06 ORL</v>
      </c>
      <c r="U800" s="21"/>
      <c r="W800" s="20"/>
      <c r="X800" s="21"/>
    </row>
    <row r="801" spans="2:24" ht="16">
      <c r="B801" s="26" t="str">
        <f t="shared" ca="1" si="4"/>
        <v>ISL</v>
      </c>
      <c r="C801" s="23" t="str">
        <f ca="1">IFERROR(__xludf.DUMMYFUNCTION("""COMPUTED_VALUE"""),"ISL10")</f>
        <v>ISL10</v>
      </c>
      <c r="D801" s="6" t="str">
        <f ca="1">IFERROR(__xludf.DUMMYFUNCTION("""COMPUTED_VALUE"""),"PROPIOS")</f>
        <v>PROPIOS</v>
      </c>
      <c r="E801" s="6">
        <f ca="1">IFERROR(__xludf.DUMMYFUNCTION("""COMPUTED_VALUE"""),2026)</f>
        <v>2026</v>
      </c>
      <c r="F801" s="15">
        <f ca="1">IFERROR(__xludf.DUMMYFUNCTION("""COMPUTED_VALUE"""),1)</f>
        <v>1</v>
      </c>
      <c r="G801" s="6" t="str">
        <f ca="1">IFERROR(__xludf.DUMMYFUNCTION("""COMPUTED_VALUE"""),"San Javier")</f>
        <v>San Javier</v>
      </c>
      <c r="H801" s="6" t="str">
        <f ca="1">IFERROR(__xludf.DUMMYFUNCTION("""COMPUTED_VALUE"""),"C202619102150510252")</f>
        <v>C202619102150510252</v>
      </c>
      <c r="I801" s="6" t="str">
        <f ca="1">IFERROR(__xludf.DUMMYFUNCTION("""COMPUTED_VALUE"""),"JUAN LAZARO GARCIA")</f>
        <v>JUAN LAZARO GARCIA</v>
      </c>
      <c r="J801" s="16">
        <f ca="1">IFERROR(__xludf.DUMMYFUNCTION("""COMPUTED_VALUE"""),46031)</f>
        <v>46031</v>
      </c>
      <c r="K801" s="6" t="str">
        <f ca="1">IFERROR(__xludf.DUMMYFUNCTION("""COMPUTED_VALUE"""),"Presupuesto")</f>
        <v>Presupuesto</v>
      </c>
      <c r="L801" s="16">
        <f ca="1">IFERROR(__xludf.DUMMYFUNCTION("""COMPUTED_VALUE"""),46035)</f>
        <v>46035</v>
      </c>
      <c r="M801" s="23" t="str">
        <f ca="1">IFERROR(__xludf.DUMMYFUNCTION("""COMPUTED_VALUE"""),"NO")</f>
        <v>NO</v>
      </c>
      <c r="N801" s="15">
        <f ca="1">IFERROR(__xludf.DUMMYFUNCTION("""COMPUTED_VALUE"""),2)</f>
        <v>2</v>
      </c>
      <c r="O801" s="23" t="str">
        <f ca="1">IFERROR(__xludf.DUMMYFUNCTION("""COMPUTED_VALUE"""),"QUIET")</f>
        <v>QUIET</v>
      </c>
      <c r="P801" s="21">
        <f ca="1">IFERROR(__xludf.DUMMYFUNCTION("""COMPUTED_VALUE"""),2718.18)</f>
        <v>2718.18</v>
      </c>
      <c r="Q801" s="6" t="str">
        <f ca="1">IFERROR(__xludf.DUMMYFUNCTION("""COMPUTED_VALUE"""),"Iván Sánchez")</f>
        <v>Iván Sánchez</v>
      </c>
      <c r="R801" s="6" t="str">
        <f ca="1">IFERROR(__xludf.DUMMYFUNCTION("""COMPUTED_VALUE"""),"Antonio Galindo Fernández")</f>
        <v>Antonio Galindo Fernández</v>
      </c>
      <c r="S801" s="20" t="str">
        <f ca="1">IFERROR(__xludf.DUMMYFUNCTION("""COMPUTED_VALUE"""),"03 ORL")</f>
        <v>03 ORL</v>
      </c>
      <c r="T801" s="6" t="str">
        <f ca="1">IFERROR(__xludf.DUMMYFUNCTION("""COMPUTED_VALUE"""),"06 ORL")</f>
        <v>06 ORL</v>
      </c>
      <c r="U801" s="21"/>
      <c r="W801" s="20"/>
      <c r="X801" s="21"/>
    </row>
    <row r="802" spans="2:24" ht="16">
      <c r="B802" s="26" t="str">
        <f t="shared" ca="1" si="4"/>
        <v/>
      </c>
      <c r="C802" s="23"/>
      <c r="D802" s="6" t="str">
        <f ca="1">IFERROR(__xludf.DUMMYFUNCTION("""COMPUTED_VALUE"""),"PROPIOS")</f>
        <v>PROPIOS</v>
      </c>
      <c r="E802" s="6">
        <f ca="1">IFERROR(__xludf.DUMMYFUNCTION("""COMPUTED_VALUE"""),2026)</f>
        <v>2026</v>
      </c>
      <c r="F802" s="15">
        <f ca="1">IFERROR(__xludf.DUMMYFUNCTION("""COMPUTED_VALUE"""),3)</f>
        <v>3</v>
      </c>
      <c r="G802" s="6" t="str">
        <f ca="1">IFERROR(__xludf.DUMMYFUNCTION("""COMPUTED_VALUE"""),"San Javier")</f>
        <v>San Javier</v>
      </c>
      <c r="H802" s="6" t="str">
        <f ca="1">IFERROR(__xludf.DUMMYFUNCTION("""COMPUTED_VALUE"""),"C202632419538734374")</f>
        <v>C202632419538734374</v>
      </c>
      <c r="I802" s="6" t="str">
        <f ca="1">IFERROR(__xludf.DUMMYFUNCTION("""COMPUTED_VALUE"""),"LAURA MARTINEZ DE GEA")</f>
        <v>LAURA MARTINEZ DE GEA</v>
      </c>
      <c r="J802" s="16">
        <f ca="1">IFERROR(__xludf.DUMMYFUNCTION("""COMPUTED_VALUE"""),46105)</f>
        <v>46105</v>
      </c>
      <c r="K802" s="6" t="str">
        <f ca="1">IFERROR(__xludf.DUMMYFUNCTION("""COMPUTED_VALUE"""),"Presupuesto")</f>
        <v>Presupuesto</v>
      </c>
      <c r="L802" s="16">
        <f ca="1">IFERROR(__xludf.DUMMYFUNCTION("""COMPUTED_VALUE"""),46112)</f>
        <v>46112</v>
      </c>
      <c r="M802" s="23" t="str">
        <f ca="1">IFERROR(__xludf.DUMMYFUNCTION("""COMPUTED_VALUE"""),"NO")</f>
        <v>NO</v>
      </c>
      <c r="N802" s="15">
        <f ca="1">IFERROR(__xludf.DUMMYFUNCTION("""COMPUTED_VALUE"""),1)</f>
        <v>1</v>
      </c>
      <c r="O802" s="23" t="str">
        <f ca="1">IFERROR(__xludf.DUMMYFUNCTION("""COMPUTED_VALUE"""),"CONFORT")</f>
        <v>CONFORT</v>
      </c>
      <c r="P802" s="21">
        <f ca="1">IFERROR(__xludf.DUMMYFUNCTION("""COMPUTED_VALUE"""),2899.09)</f>
        <v>2899.09</v>
      </c>
      <c r="Q802" s="6" t="str">
        <f ca="1">IFERROR(__xludf.DUMMYFUNCTION("""COMPUTED_VALUE"""),"Iván Sánchez")</f>
        <v>Iván Sánchez</v>
      </c>
      <c r="R802" s="6" t="str">
        <f ca="1">IFERROR(__xludf.DUMMYFUNCTION("""COMPUTED_VALUE"""),"No recuerda ORL")</f>
        <v>No recuerda ORL</v>
      </c>
      <c r="S802" s="20" t="str">
        <f ca="1">IFERROR(__xludf.DUMMYFUNCTION("""COMPUTED_VALUE"""),"03 ORL")</f>
        <v>03 ORL</v>
      </c>
      <c r="T802" s="6" t="str">
        <f ca="1">IFERROR(__xludf.DUMMYFUNCTION("""COMPUTED_VALUE"""),"06 ORL")</f>
        <v>06 ORL</v>
      </c>
      <c r="U802" s="21"/>
      <c r="W802" s="20"/>
      <c r="X802" s="21"/>
    </row>
    <row r="803" spans="2:24" ht="16">
      <c r="B803" s="26" t="str">
        <f t="shared" ca="1" si="4"/>
        <v/>
      </c>
      <c r="C803" s="23"/>
      <c r="D803" s="6" t="str">
        <f ca="1">IFERROR(__xludf.DUMMYFUNCTION("""COMPUTED_VALUE"""),"PROPIOS")</f>
        <v>PROPIOS</v>
      </c>
      <c r="E803" s="6">
        <f ca="1">IFERROR(__xludf.DUMMYFUNCTION("""COMPUTED_VALUE"""),2026)</f>
        <v>2026</v>
      </c>
      <c r="F803" s="15">
        <f ca="1">IFERROR(__xludf.DUMMYFUNCTION("""COMPUTED_VALUE"""),4)</f>
        <v>4</v>
      </c>
      <c r="G803" s="6" t="str">
        <f ca="1">IFERROR(__xludf.DUMMYFUNCTION("""COMPUTED_VALUE"""),"San Javier")</f>
        <v>San Javier</v>
      </c>
      <c r="H803" s="6" t="str">
        <f ca="1">IFERROR(__xludf.DUMMYFUNCTION("""COMPUTED_VALUE"""),"C202632710142102813")</f>
        <v>C202632710142102813</v>
      </c>
      <c r="I803" s="6" t="str">
        <f ca="1">IFERROR(__xludf.DUMMYFUNCTION("""COMPUTED_VALUE"""),"MAGDALENA GARCIA ALONSO")</f>
        <v>MAGDALENA GARCIA ALONSO</v>
      </c>
      <c r="J803" s="16">
        <f ca="1">IFERROR(__xludf.DUMMYFUNCTION("""COMPUTED_VALUE"""),46108)</f>
        <v>46108</v>
      </c>
      <c r="K803" s="6" t="str">
        <f ca="1">IFERROR(__xludf.DUMMYFUNCTION("""COMPUTED_VALUE"""),"Presupuesto")</f>
        <v>Presupuesto</v>
      </c>
      <c r="L803" s="16">
        <f ca="1">IFERROR(__xludf.DUMMYFUNCTION("""COMPUTED_VALUE"""),46113)</f>
        <v>46113</v>
      </c>
      <c r="M803" s="23" t="str">
        <f ca="1">IFERROR(__xludf.DUMMYFUNCTION("""COMPUTED_VALUE"""),"NO")</f>
        <v>NO</v>
      </c>
      <c r="N803" s="15">
        <f ca="1">IFERROR(__xludf.DUMMYFUNCTION("""COMPUTED_VALUE"""),2)</f>
        <v>2</v>
      </c>
      <c r="O803" s="23" t="str">
        <f ca="1">IFERROR(__xludf.DUMMYFUNCTION("""COMPUTED_VALUE"""),"PRO")</f>
        <v>PRO</v>
      </c>
      <c r="P803" s="21">
        <f ca="1">IFERROR(__xludf.DUMMYFUNCTION("""COMPUTED_VALUE"""),4536.36)</f>
        <v>4536.3599999999997</v>
      </c>
      <c r="Q803" s="6" t="str">
        <f ca="1">IFERROR(__xludf.DUMMYFUNCTION("""COMPUTED_VALUE"""),"Iván Sánchez")</f>
        <v>Iván Sánchez</v>
      </c>
      <c r="R803" s="6" t="str">
        <f ca="1">IFERROR(__xludf.DUMMYFUNCTION("""COMPUTED_VALUE"""),"No recuerda ORL")</f>
        <v>No recuerda ORL</v>
      </c>
      <c r="S803" s="20" t="str">
        <f ca="1">IFERROR(__xludf.DUMMYFUNCTION("""COMPUTED_VALUE"""),"03 ORL")</f>
        <v>03 ORL</v>
      </c>
      <c r="T803" s="6" t="str">
        <f ca="1">IFERROR(__xludf.DUMMYFUNCTION("""COMPUTED_VALUE"""),"06 ORL")</f>
        <v>06 ORL</v>
      </c>
      <c r="U803" s="21"/>
      <c r="W803" s="20"/>
      <c r="X803" s="21"/>
    </row>
    <row r="804" spans="2:24" ht="16">
      <c r="B804" s="26" t="str">
        <f t="shared" ca="1" si="4"/>
        <v>ISL</v>
      </c>
      <c r="C804" s="23" t="str">
        <f ca="1">IFERROR(__xludf.DUMMYFUNCTION("""COMPUTED_VALUE"""),"ISL10")</f>
        <v>ISL10</v>
      </c>
      <c r="D804" s="6" t="str">
        <f ca="1">IFERROR(__xludf.DUMMYFUNCTION("""COMPUTED_VALUE"""),"PROPIOS")</f>
        <v>PROPIOS</v>
      </c>
      <c r="E804" s="6">
        <f ca="1">IFERROR(__xludf.DUMMYFUNCTION("""COMPUTED_VALUE"""),2026)</f>
        <v>2026</v>
      </c>
      <c r="F804" s="15">
        <f ca="1">IFERROR(__xludf.DUMMYFUNCTION("""COMPUTED_VALUE"""),3)</f>
        <v>3</v>
      </c>
      <c r="G804" s="6" t="str">
        <f ca="1">IFERROR(__xludf.DUMMYFUNCTION("""COMPUTED_VALUE"""),"San Javier")</f>
        <v>San Javier</v>
      </c>
      <c r="H804" s="6" t="str">
        <f ca="1">IFERROR(__xludf.DUMMYFUNCTION("""COMPUTED_VALUE"""),"C202631811473034793")</f>
        <v>C202631811473034793</v>
      </c>
      <c r="I804" s="6" t="str">
        <f ca="1">IFERROR(__xludf.DUMMYFUNCTION("""COMPUTED_VALUE"""),"MARIA ISABEL BELMONTE LOPEZ")</f>
        <v>MARIA ISABEL BELMONTE LOPEZ</v>
      </c>
      <c r="J804" s="16">
        <f ca="1">IFERROR(__xludf.DUMMYFUNCTION("""COMPUTED_VALUE"""),46099)</f>
        <v>46099</v>
      </c>
      <c r="K804" s="6" t="str">
        <f ca="1">IFERROR(__xludf.DUMMYFUNCTION("""COMPUTED_VALUE"""),"Prueba")</f>
        <v>Prueba</v>
      </c>
      <c r="L804" s="16">
        <f ca="1">IFERROR(__xludf.DUMMYFUNCTION("""COMPUTED_VALUE"""),46111)</f>
        <v>46111</v>
      </c>
      <c r="M804" s="23" t="str">
        <f ca="1">IFERROR(__xludf.DUMMYFUNCTION("""COMPUTED_VALUE"""),"NO")</f>
        <v>NO</v>
      </c>
      <c r="N804" s="15">
        <f ca="1">IFERROR(__xludf.DUMMYFUNCTION("""COMPUTED_VALUE"""),2)</f>
        <v>2</v>
      </c>
      <c r="O804" s="23" t="str">
        <f ca="1">IFERROR(__xludf.DUMMYFUNCTION("""COMPUTED_VALUE"""),"TRIAL")</f>
        <v>TRIAL</v>
      </c>
      <c r="P804" s="21">
        <f ca="1">IFERROR(__xludf.DUMMYFUNCTION("""COMPUTED_VALUE"""),3631.82)</f>
        <v>3631.82</v>
      </c>
      <c r="Q804" s="6" t="str">
        <f ca="1">IFERROR(__xludf.DUMMYFUNCTION("""COMPUTED_VALUE"""),"Iván Sánchez")</f>
        <v>Iván Sánchez</v>
      </c>
      <c r="R804" s="6" t="str">
        <f ca="1">IFERROR(__xludf.DUMMYFUNCTION("""COMPUTED_VALUE"""),"Antonio Galindo Fernández")</f>
        <v>Antonio Galindo Fernández</v>
      </c>
      <c r="S804" s="20" t="str">
        <f ca="1">IFERROR(__xludf.DUMMYFUNCTION("""COMPUTED_VALUE"""),"03 ORL")</f>
        <v>03 ORL</v>
      </c>
      <c r="T804" s="6" t="str">
        <f ca="1">IFERROR(__xludf.DUMMYFUNCTION("""COMPUTED_VALUE"""),"06 ORL")</f>
        <v>06 ORL</v>
      </c>
      <c r="U804" s="21"/>
      <c r="W804" s="20"/>
      <c r="X804" s="21"/>
    </row>
    <row r="805" spans="2:24" ht="16">
      <c r="B805" s="26" t="str">
        <f t="shared" ca="1" si="4"/>
        <v>ISL</v>
      </c>
      <c r="C805" s="23" t="str">
        <f ca="1">IFERROR(__xludf.DUMMYFUNCTION("""COMPUTED_VALUE"""),"ISL122")</f>
        <v>ISL122</v>
      </c>
      <c r="D805" s="6" t="str">
        <f ca="1">IFERROR(__xludf.DUMMYFUNCTION("""COMPUTED_VALUE"""),"PROPIOS")</f>
        <v>PROPIOS</v>
      </c>
      <c r="E805" s="6">
        <f ca="1">IFERROR(__xludf.DUMMYFUNCTION("""COMPUTED_VALUE"""),2026)</f>
        <v>2026</v>
      </c>
      <c r="F805" s="15">
        <f ca="1">IFERROR(__xludf.DUMMYFUNCTION("""COMPUTED_VALUE"""),3)</f>
        <v>3</v>
      </c>
      <c r="G805" s="6" t="str">
        <f ca="1">IFERROR(__xludf.DUMMYFUNCTION("""COMPUTED_VALUE"""),"San Javier")</f>
        <v>San Javier</v>
      </c>
      <c r="H805" s="6" t="str">
        <f ca="1">IFERROR(__xludf.DUMMYFUNCTION("""COMPUTED_VALUE"""),"C202631211219161293")</f>
        <v>C202631211219161293</v>
      </c>
      <c r="I805" s="6" t="str">
        <f ca="1">IFERROR(__xludf.DUMMYFUNCTION("""COMPUTED_VALUE"""),"SEBASTIAN FRANCISCO MARTINEZ GUILLEN")</f>
        <v>SEBASTIAN FRANCISCO MARTINEZ GUILLEN</v>
      </c>
      <c r="J805" s="16">
        <f ca="1">IFERROR(__xludf.DUMMYFUNCTION("""COMPUTED_VALUE"""),46093)</f>
        <v>46093</v>
      </c>
      <c r="K805" s="6" t="str">
        <f ca="1">IFERROR(__xludf.DUMMYFUNCTION("""COMPUTED_VALUE"""),"Prueba")</f>
        <v>Prueba</v>
      </c>
      <c r="L805" s="16">
        <f ca="1">IFERROR(__xludf.DUMMYFUNCTION("""COMPUTED_VALUE"""),46111)</f>
        <v>46111</v>
      </c>
      <c r="M805" s="23" t="str">
        <f ca="1">IFERROR(__xludf.DUMMYFUNCTION("""COMPUTED_VALUE"""),"NO")</f>
        <v>NO</v>
      </c>
      <c r="N805" s="15">
        <f ca="1">IFERROR(__xludf.DUMMYFUNCTION("""COMPUTED_VALUE"""),1)</f>
        <v>1</v>
      </c>
      <c r="O805" s="23" t="str">
        <f ca="1">IFERROR(__xludf.DUMMYFUNCTION("""COMPUTED_VALUE"""),"QUIET")</f>
        <v>QUIET</v>
      </c>
      <c r="P805" s="21">
        <f ca="1">IFERROR(__xludf.DUMMYFUNCTION("""COMPUTED_VALUE"""),1631.82)</f>
        <v>1631.82</v>
      </c>
      <c r="Q805" s="6" t="str">
        <f ca="1">IFERROR(__xludf.DUMMYFUNCTION("""COMPUTED_VALUE"""),"Iván Sánchez")</f>
        <v>Iván Sánchez</v>
      </c>
      <c r="R805" s="6" t="str">
        <f ca="1">IFERROR(__xludf.DUMMYFUNCTION("""COMPUTED_VALUE"""),"María Agustina Sevilla García")</f>
        <v>María Agustina Sevilla García</v>
      </c>
      <c r="S805" s="20" t="str">
        <f ca="1">IFERROR(__xludf.DUMMYFUNCTION("""COMPUTED_VALUE"""),"03 ORL")</f>
        <v>03 ORL</v>
      </c>
      <c r="T805" s="6" t="str">
        <f ca="1">IFERROR(__xludf.DUMMYFUNCTION("""COMPUTED_VALUE"""),"06 ORL")</f>
        <v>06 ORL</v>
      </c>
      <c r="U805" s="21"/>
      <c r="W805" s="20"/>
      <c r="X805" s="21"/>
    </row>
    <row r="806" spans="2:24" ht="16">
      <c r="B806" s="26" t="str">
        <f t="shared" ca="1" si="4"/>
        <v>ISL</v>
      </c>
      <c r="C806" s="23" t="str">
        <f ca="1">IFERROR(__xludf.DUMMYFUNCTION("""COMPUTED_VALUE"""),"ISL24")</f>
        <v>ISL24</v>
      </c>
      <c r="D806" s="6" t="str">
        <f ca="1">IFERROR(__xludf.DUMMYFUNCTION("""COMPUTED_VALUE"""),"PROPIOS")</f>
        <v>PROPIOS</v>
      </c>
      <c r="E806" s="6">
        <f ca="1">IFERROR(__xludf.DUMMYFUNCTION("""COMPUTED_VALUE"""),2026)</f>
        <v>2026</v>
      </c>
      <c r="F806" s="15">
        <f ca="1">IFERROR(__xludf.DUMMYFUNCTION("""COMPUTED_VALUE"""),3)</f>
        <v>3</v>
      </c>
      <c r="G806" s="6" t="str">
        <f ca="1">IFERROR(__xludf.DUMMYFUNCTION("""COMPUTED_VALUE"""),"San Javier")</f>
        <v>San Javier</v>
      </c>
      <c r="H806" s="6" t="str">
        <f ca="1">IFERROR(__xludf.DUMMYFUNCTION("""COMPUTED_VALUE"""),"C202633183320857874")</f>
        <v>C202633183320857874</v>
      </c>
      <c r="I806" s="6" t="str">
        <f ca="1">IFERROR(__xludf.DUMMYFUNCTION("""COMPUTED_VALUE"""),"TERESA FRUTOS PINTADO")</f>
        <v>TERESA FRUTOS PINTADO</v>
      </c>
      <c r="J806" s="16">
        <f ca="1">IFERROR(__xludf.DUMMYFUNCTION("""COMPUTED_VALUE"""),46084)</f>
        <v>46084</v>
      </c>
      <c r="K806" s="6" t="str">
        <f ca="1">IFERROR(__xludf.DUMMYFUNCTION("""COMPUTED_VALUE"""),"Prueba")</f>
        <v>Prueba</v>
      </c>
      <c r="L806" s="16">
        <f ca="1">IFERROR(__xludf.DUMMYFUNCTION("""COMPUTED_VALUE"""),46108)</f>
        <v>46108</v>
      </c>
      <c r="M806" s="23" t="str">
        <f ca="1">IFERROR(__xludf.DUMMYFUNCTION("""COMPUTED_VALUE"""),"NO")</f>
        <v>NO</v>
      </c>
      <c r="N806" s="15">
        <f ca="1">IFERROR(__xludf.DUMMYFUNCTION("""COMPUTED_VALUE"""),2)</f>
        <v>2</v>
      </c>
      <c r="O806" s="23" t="str">
        <f ca="1">IFERROR(__xludf.DUMMYFUNCTION("""COMPUTED_VALUE"""),"CONFORT")</f>
        <v>CONFORT</v>
      </c>
      <c r="P806" s="21">
        <f ca="1">IFERROR(__xludf.DUMMYFUNCTION("""COMPUTED_VALUE"""),3631.82)</f>
        <v>3631.82</v>
      </c>
      <c r="Q806" s="6" t="str">
        <f ca="1">IFERROR(__xludf.DUMMYFUNCTION("""COMPUTED_VALUE"""),"Iván Sánchez")</f>
        <v>Iván Sánchez</v>
      </c>
      <c r="R806" s="6" t="str">
        <f ca="1">IFERROR(__xludf.DUMMYFUNCTION("""COMPUTED_VALUE"""),"Enrique López Meseguer")</f>
        <v>Enrique López Meseguer</v>
      </c>
      <c r="S806" s="20" t="str">
        <f ca="1">IFERROR(__xludf.DUMMYFUNCTION("""COMPUTED_VALUE"""),"03 ORL")</f>
        <v>03 ORL</v>
      </c>
      <c r="T806" s="6" t="str">
        <f ca="1">IFERROR(__xludf.DUMMYFUNCTION("""COMPUTED_VALUE"""),"06 ORL")</f>
        <v>06 ORL</v>
      </c>
      <c r="U806" s="21"/>
      <c r="W806" s="20"/>
      <c r="X806" s="21"/>
    </row>
    <row r="807" spans="2:24" ht="16">
      <c r="B807" s="26" t="str">
        <f t="shared" ca="1" si="4"/>
        <v>#N/</v>
      </c>
      <c r="C807" s="23" t="str">
        <f ca="1">IFERROR(__xludf.DUMMYFUNCTION("""COMPUTED_VALUE"""),"#N/A")</f>
        <v>#N/A</v>
      </c>
      <c r="D807" s="6" t="str">
        <f ca="1">IFERROR(__xludf.DUMMYFUNCTION("""COMPUTED_VALUE"""),"PROPIOS")</f>
        <v>PROPIOS</v>
      </c>
      <c r="E807" s="6">
        <f ca="1">IFERROR(__xludf.DUMMYFUNCTION("""COMPUTED_VALUE"""),2026)</f>
        <v>2026</v>
      </c>
      <c r="F807" s="15">
        <f ca="1">IFERROR(__xludf.DUMMYFUNCTION("""COMPUTED_VALUE"""),2)</f>
        <v>2</v>
      </c>
      <c r="G807" s="6" t="str">
        <f ca="1">IFERROR(__xludf.DUMMYFUNCTION("""COMPUTED_VALUE"""),"San Javier")</f>
        <v>San Javier</v>
      </c>
      <c r="H807" s="6" t="str">
        <f ca="1">IFERROR(__xludf.DUMMYFUNCTION("""COMPUTED_VALUE"""),"MSJ-273")</f>
        <v>MSJ-273</v>
      </c>
      <c r="I807" s="6" t="str">
        <f ca="1">IFERROR(__xludf.DUMMYFUNCTION("""COMPUTED_VALUE"""),"VASIL POSESOR")</f>
        <v>VASIL POSESOR</v>
      </c>
      <c r="J807" s="16">
        <f ca="1">IFERROR(__xludf.DUMMYFUNCTION("""COMPUTED_VALUE"""),45275)</f>
        <v>45275</v>
      </c>
      <c r="K807" s="6" t="str">
        <f ca="1">IFERROR(__xludf.DUMMYFUNCTION("""COMPUTED_VALUE"""),"Presupuesto")</f>
        <v>Presupuesto</v>
      </c>
      <c r="L807" s="16">
        <f ca="1">IFERROR(__xludf.DUMMYFUNCTION("""COMPUTED_VALUE"""),46070)</f>
        <v>46070</v>
      </c>
      <c r="M807" s="23" t="str">
        <f ca="1">IFERROR(__xludf.DUMMYFUNCTION("""COMPUTED_VALUE"""),"NO")</f>
        <v>NO</v>
      </c>
      <c r="N807" s="15">
        <f ca="1">IFERROR(__xludf.DUMMYFUNCTION("""COMPUTED_VALUE"""),2)</f>
        <v>2</v>
      </c>
      <c r="O807" s="23" t="str">
        <f ca="1">IFERROR(__xludf.DUMMYFUNCTION("""COMPUTED_VALUE"""),"QUIET")</f>
        <v>QUIET</v>
      </c>
      <c r="P807" s="21">
        <f ca="1">IFERROR(__xludf.DUMMYFUNCTION("""COMPUTED_VALUE"""),2718.18)</f>
        <v>2718.18</v>
      </c>
      <c r="Q807" s="6" t="str">
        <f ca="1">IFERROR(__xludf.DUMMYFUNCTION("""COMPUTED_VALUE"""),"Iván Sánchez")</f>
        <v>Iván Sánchez</v>
      </c>
      <c r="R807" s="6" t="str">
        <f ca="1">IFERROR(__xludf.DUMMYFUNCTION("""COMPUTED_VALUE"""),"Ana Giribet Fernandez-Pacheco")</f>
        <v>Ana Giribet Fernandez-Pacheco</v>
      </c>
      <c r="S807" s="20" t="str">
        <f ca="1">IFERROR(__xludf.DUMMYFUNCTION("""COMPUTED_VALUE"""),"03 ORL")</f>
        <v>03 ORL</v>
      </c>
      <c r="T807" s="6" t="str">
        <f ca="1">IFERROR(__xludf.DUMMYFUNCTION("""COMPUTED_VALUE"""),"06 ORL")</f>
        <v>06 ORL</v>
      </c>
      <c r="U807" s="21"/>
      <c r="W807" s="20"/>
      <c r="X807" s="21"/>
    </row>
    <row r="808" spans="2:24" ht="16">
      <c r="B808" s="26" t="str">
        <f t="shared" ca="1" si="4"/>
        <v>RPG</v>
      </c>
      <c r="C808" s="23" t="str">
        <f ca="1">IFERROR(__xludf.DUMMYFUNCTION("""COMPUTED_VALUE"""),"RPG14")</f>
        <v>RPG14</v>
      </c>
      <c r="D808" s="6" t="str">
        <f ca="1">IFERROR(__xludf.DUMMYFUNCTION("""COMPUTED_VALUE"""),"PARTICIPADOS")</f>
        <v>PARTICIPADOS</v>
      </c>
      <c r="E808" s="6">
        <f ca="1">IFERROR(__xludf.DUMMYFUNCTION("""COMPUTED_VALUE"""),2026)</f>
        <v>2026</v>
      </c>
      <c r="F808" s="15">
        <f ca="1">IFERROR(__xludf.DUMMYFUNCTION("""COMPUTED_VALUE"""),3)</f>
        <v>3</v>
      </c>
      <c r="G808" s="6" t="str">
        <f ca="1">IFERROR(__xludf.DUMMYFUNCTION("""COMPUTED_VALUE"""),"Santiago de Compostela")</f>
        <v>Santiago de Compostela</v>
      </c>
      <c r="H808" s="6" t="str">
        <f ca="1">IFERROR(__xludf.DUMMYFUNCTION("""COMPUTED_VALUE"""),"C202632716273025096")</f>
        <v>C202632716273025096</v>
      </c>
      <c r="I808" s="6" t="str">
        <f ca="1">IFERROR(__xludf.DUMMYFUNCTION("""COMPUTED_VALUE"""),"MARIA DEL CARMEN GONZALEZ COUCEIRO")</f>
        <v>MARIA DEL CARMEN GONZALEZ COUCEIRO</v>
      </c>
      <c r="J808" s="16">
        <f ca="1">IFERROR(__xludf.DUMMYFUNCTION("""COMPUTED_VALUE"""),46108)</f>
        <v>46108</v>
      </c>
      <c r="K808" s="6" t="str">
        <f ca="1">IFERROR(__xludf.DUMMYFUNCTION("""COMPUTED_VALUE"""),"Devuelve")</f>
        <v>Devuelve</v>
      </c>
      <c r="L808" s="16">
        <f ca="1">IFERROR(__xludf.DUMMYFUNCTION("""COMPUTED_VALUE"""),46112)</f>
        <v>46112</v>
      </c>
      <c r="M808" s="23" t="str">
        <f ca="1">IFERROR(__xludf.DUMMYFUNCTION("""COMPUTED_VALUE"""),"NO")</f>
        <v>NO</v>
      </c>
      <c r="N808" s="15">
        <f ca="1">IFERROR(__xludf.DUMMYFUNCTION("""COMPUTED_VALUE"""),2)</f>
        <v>2</v>
      </c>
      <c r="O808" s="23" t="str">
        <f ca="1">IFERROR(__xludf.DUMMYFUNCTION("""COMPUTED_VALUE"""),"QUIET")</f>
        <v>QUIET</v>
      </c>
      <c r="P808" s="21">
        <f ca="1">IFERROR(__xludf.DUMMYFUNCTION("""COMPUTED_VALUE"""),2918.18)</f>
        <v>2918.18</v>
      </c>
      <c r="Q808" s="6" t="str">
        <f ca="1">IFERROR(__xludf.DUMMYFUNCTION("""COMPUTED_VALUE"""),"Kiko Ortega")</f>
        <v>Kiko Ortega</v>
      </c>
      <c r="R808" s="6" t="str">
        <f ca="1">IFERROR(__xludf.DUMMYFUNCTION("""COMPUTED_VALUE"""),"Gabriel Martínez Capoccini")</f>
        <v>Gabriel Martínez Capoccini</v>
      </c>
      <c r="S808" s="20" t="str">
        <f ca="1">IFERROR(__xludf.DUMMYFUNCTION("""COMPUTED_VALUE"""),"03 ORL")</f>
        <v>03 ORL</v>
      </c>
      <c r="T808" s="6" t="str">
        <f ca="1">IFERROR(__xludf.DUMMYFUNCTION("""COMPUTED_VALUE"""),"06 ORL")</f>
        <v>06 ORL</v>
      </c>
      <c r="U808" s="21"/>
      <c r="W808" s="20"/>
      <c r="X808" s="21"/>
    </row>
    <row r="809" spans="2:24" ht="16">
      <c r="B809" s="26" t="str">
        <f t="shared" ca="1" si="4"/>
        <v>RPG</v>
      </c>
      <c r="C809" s="23" t="str">
        <f ca="1">IFERROR(__xludf.DUMMYFUNCTION("""COMPUTED_VALUE"""),"RPG32")</f>
        <v>RPG32</v>
      </c>
      <c r="D809" s="6" t="str">
        <f ca="1">IFERROR(__xludf.DUMMYFUNCTION("""COMPUTED_VALUE"""),"PARTICIPADOS")</f>
        <v>PARTICIPADOS</v>
      </c>
      <c r="E809" s="6">
        <f ca="1">IFERROR(__xludf.DUMMYFUNCTION("""COMPUTED_VALUE"""),2026)</f>
        <v>2026</v>
      </c>
      <c r="F809" s="15">
        <f ca="1">IFERROR(__xludf.DUMMYFUNCTION("""COMPUTED_VALUE"""),2)</f>
        <v>2</v>
      </c>
      <c r="G809" s="6" t="str">
        <f ca="1">IFERROR(__xludf.DUMMYFUNCTION("""COMPUTED_VALUE"""),"Santiago de Compostela")</f>
        <v>Santiago de Compostela</v>
      </c>
      <c r="H809" s="6" t="str">
        <f ca="1">IFERROR(__xludf.DUMMYFUNCTION("""COMPUTED_VALUE"""),"C202622411389950624")</f>
        <v>C202622411389950624</v>
      </c>
      <c r="I809" s="6" t="str">
        <f ca="1">IFERROR(__xludf.DUMMYFUNCTION("""COMPUTED_VALUE"""),"RAUL DEL RIO CAMBEIRO")</f>
        <v>RAUL DEL RIO CAMBEIRO</v>
      </c>
      <c r="J809" s="16">
        <f ca="1">IFERROR(__xludf.DUMMYFUNCTION("""COMPUTED_VALUE"""),46077)</f>
        <v>46077</v>
      </c>
      <c r="K809" s="6" t="str">
        <f ca="1">IFERROR(__xludf.DUMMYFUNCTION("""COMPUTED_VALUE"""),"Presupuesto")</f>
        <v>Presupuesto</v>
      </c>
      <c r="L809" s="16">
        <f ca="1">IFERROR(__xludf.DUMMYFUNCTION("""COMPUTED_VALUE"""),46078)</f>
        <v>46078</v>
      </c>
      <c r="M809" s="23" t="str">
        <f ca="1">IFERROR(__xludf.DUMMYFUNCTION("""COMPUTED_VALUE"""),"NO")</f>
        <v>NO</v>
      </c>
      <c r="N809" s="15">
        <f ca="1">IFERROR(__xludf.DUMMYFUNCTION("""COMPUTED_VALUE"""),2)</f>
        <v>2</v>
      </c>
      <c r="O809" s="23" t="str">
        <f ca="1">IFERROR(__xludf.DUMMYFUNCTION("""COMPUTED_VALUE"""),"QUIET")</f>
        <v>QUIET</v>
      </c>
      <c r="P809" s="21">
        <f ca="1">IFERROR(__xludf.DUMMYFUNCTION("""COMPUTED_VALUE"""),2918.18)</f>
        <v>2918.18</v>
      </c>
      <c r="Q809" s="6" t="str">
        <f ca="1">IFERROR(__xludf.DUMMYFUNCTION("""COMPUTED_VALUE"""),"Kiko Ortega")</f>
        <v>Kiko Ortega</v>
      </c>
      <c r="R809" s="6" t="str">
        <f ca="1">IFERROR(__xludf.DUMMYFUNCTION("""COMPUTED_VALUE"""),"Sergio Codina Alonso")</f>
        <v>Sergio Codina Alonso</v>
      </c>
      <c r="S809" s="20" t="str">
        <f ca="1">IFERROR(__xludf.DUMMYFUNCTION("""COMPUTED_VALUE"""),"03 ORL")</f>
        <v>03 ORL</v>
      </c>
      <c r="T809" s="6" t="str">
        <f ca="1">IFERROR(__xludf.DUMMYFUNCTION("""COMPUTED_VALUE"""),"06 ORL")</f>
        <v>06 ORL</v>
      </c>
      <c r="U809" s="21"/>
      <c r="W809" s="20"/>
      <c r="X809" s="21"/>
    </row>
    <row r="810" spans="2:24" ht="16">
      <c r="B810" s="26" t="str">
        <f t="shared" ca="1" si="4"/>
        <v>RPG</v>
      </c>
      <c r="C810" s="23" t="str">
        <f ca="1">IFERROR(__xludf.DUMMYFUNCTION("""COMPUTED_VALUE"""),"RPG06")</f>
        <v>RPG06</v>
      </c>
      <c r="D810" s="6" t="str">
        <f ca="1">IFERROR(__xludf.DUMMYFUNCTION("""COMPUTED_VALUE"""),"PARTICIPADOS")</f>
        <v>PARTICIPADOS</v>
      </c>
      <c r="E810" s="6">
        <f ca="1">IFERROR(__xludf.DUMMYFUNCTION("""COMPUTED_VALUE"""),2026)</f>
        <v>2026</v>
      </c>
      <c r="F810" s="15">
        <f ca="1">IFERROR(__xludf.DUMMYFUNCTION("""COMPUTED_VALUE"""),3)</f>
        <v>3</v>
      </c>
      <c r="G810" s="6" t="str">
        <f ca="1">IFERROR(__xludf.DUMMYFUNCTION("""COMPUTED_VALUE"""),"Santiago de Compostela")</f>
        <v>Santiago de Compostela</v>
      </c>
      <c r="H810" s="6" t="str">
        <f ca="1">IFERROR(__xludf.DUMMYFUNCTION("""COMPUTED_VALUE"""),"CST-11")</f>
        <v>CST-11</v>
      </c>
      <c r="I810" s="6" t="str">
        <f ca="1">IFERROR(__xludf.DUMMYFUNCTION("""COMPUTED_VALUE"""),"ROGELIO FIGUEREDO JIMENEZ")</f>
        <v>ROGELIO FIGUEREDO JIMENEZ</v>
      </c>
      <c r="J810" s="16">
        <f ca="1">IFERROR(__xludf.DUMMYFUNCTION("""COMPUTED_VALUE"""),45106)</f>
        <v>45106</v>
      </c>
      <c r="K810" s="6" t="str">
        <f ca="1">IFERROR(__xludf.DUMMYFUNCTION("""COMPUTED_VALUE"""),"Presupuesto")</f>
        <v>Presupuesto</v>
      </c>
      <c r="L810" s="16">
        <f ca="1">IFERROR(__xludf.DUMMYFUNCTION("""COMPUTED_VALUE"""),46104)</f>
        <v>46104</v>
      </c>
      <c r="M810" s="23" t="str">
        <f ca="1">IFERROR(__xludf.DUMMYFUNCTION("""COMPUTED_VALUE"""),"NO")</f>
        <v>NO</v>
      </c>
      <c r="N810" s="15">
        <f ca="1">IFERROR(__xludf.DUMMYFUNCTION("""COMPUTED_VALUE"""),2)</f>
        <v>2</v>
      </c>
      <c r="O810" s="23" t="str">
        <f ca="1">IFERROR(__xludf.DUMMYFUNCTION("""COMPUTED_VALUE"""),"QUIET")</f>
        <v>QUIET</v>
      </c>
      <c r="P810" s="21">
        <f ca="1">IFERROR(__xludf.DUMMYFUNCTION("""COMPUTED_VALUE"""),2413.64)</f>
        <v>2413.64</v>
      </c>
      <c r="Q810" s="6" t="str">
        <f ca="1">IFERROR(__xludf.DUMMYFUNCTION("""COMPUTED_VALUE"""),"Kiko Ortega")</f>
        <v>Kiko Ortega</v>
      </c>
      <c r="R810" s="6" t="str">
        <f ca="1">IFERROR(__xludf.DUMMYFUNCTION("""COMPUTED_VALUE"""),"Borja Boronat Catalá")</f>
        <v>Borja Boronat Catalá</v>
      </c>
      <c r="S810" s="20" t="str">
        <f ca="1">IFERROR(__xludf.DUMMYFUNCTION("""COMPUTED_VALUE"""),"03 ORL")</f>
        <v>03 ORL</v>
      </c>
      <c r="T810" s="6" t="str">
        <f ca="1">IFERROR(__xludf.DUMMYFUNCTION("""COMPUTED_VALUE"""),"06 ORL")</f>
        <v>06 ORL</v>
      </c>
      <c r="U810" s="21"/>
      <c r="W810" s="20"/>
      <c r="X810" s="21"/>
    </row>
    <row r="811" spans="2:24" ht="16">
      <c r="B811" s="26" t="str">
        <f t="shared" ca="1" si="4"/>
        <v>LAA</v>
      </c>
      <c r="C811" s="23" t="str">
        <f ca="1">IFERROR(__xludf.DUMMYFUNCTION("""COMPUTED_VALUE"""),"LAA51")</f>
        <v>LAA51</v>
      </c>
      <c r="D811" s="6" t="str">
        <f ca="1">IFERROR(__xludf.DUMMYFUNCTION("""COMPUTED_VALUE"""),"ASOCIADOS")</f>
        <v>ASOCIADOS</v>
      </c>
      <c r="E811" s="6">
        <f ca="1">IFERROR(__xludf.DUMMYFUNCTION("""COMPUTED_VALUE"""),2026)</f>
        <v>2026</v>
      </c>
      <c r="F811" s="15">
        <f ca="1">IFERROR(__xludf.DUMMYFUNCTION("""COMPUTED_VALUE"""),3)</f>
        <v>3</v>
      </c>
      <c r="G811" s="6" t="str">
        <f ca="1">IFERROR(__xludf.DUMMYFUNCTION("""COMPUTED_VALUE"""),"Sevilla- Ciencias")</f>
        <v>Sevilla- Ciencias</v>
      </c>
      <c r="H811" s="6" t="str">
        <f ca="1">IFERROR(__xludf.DUMMYFUNCTION("""COMPUTED_VALUE"""),"C202631311575984288")</f>
        <v>C202631311575984288</v>
      </c>
      <c r="I811" s="6" t="str">
        <f ca="1">IFERROR(__xludf.DUMMYFUNCTION("""COMPUTED_VALUE"""),"ANA PINO MESA")</f>
        <v>ANA PINO MESA</v>
      </c>
      <c r="J811" s="16">
        <f ca="1">IFERROR(__xludf.DUMMYFUNCTION("""COMPUTED_VALUE"""),46094)</f>
        <v>46094</v>
      </c>
      <c r="K811" s="6" t="str">
        <f ca="1">IFERROR(__xludf.DUMMYFUNCTION("""COMPUTED_VALUE"""),"Prueba")</f>
        <v>Prueba</v>
      </c>
      <c r="L811" s="16">
        <f ca="1">IFERROR(__xludf.DUMMYFUNCTION("""COMPUTED_VALUE"""),46100)</f>
        <v>46100</v>
      </c>
      <c r="M811" s="23" t="str">
        <f ca="1">IFERROR(__xludf.DUMMYFUNCTION("""COMPUTED_VALUE"""),"NO")</f>
        <v>NO</v>
      </c>
      <c r="N811" s="15">
        <f ca="1">IFERROR(__xludf.DUMMYFUNCTION("""COMPUTED_VALUE"""),2)</f>
        <v>2</v>
      </c>
      <c r="O811" s="23" t="str">
        <f ca="1">IFERROR(__xludf.DUMMYFUNCTION("""COMPUTED_VALUE"""),"QUIET")</f>
        <v>QUIET</v>
      </c>
      <c r="P811" s="21">
        <f ca="1">IFERROR(__xludf.DUMMYFUNCTION("""COMPUTED_VALUE"""),2718.18)</f>
        <v>2718.18</v>
      </c>
      <c r="Q811" s="6" t="str">
        <f ca="1">IFERROR(__xludf.DUMMYFUNCTION("""COMPUTED_VALUE"""),"Luis Alberto Rodríguez")</f>
        <v>Luis Alberto Rodríguez</v>
      </c>
      <c r="R811" s="6" t="str">
        <f ca="1">IFERROR(__xludf.DUMMYFUNCTION("""COMPUTED_VALUE"""),"Lucia Prieto Sánchez de la Puerta")</f>
        <v>Lucia Prieto Sánchez de la Puerta</v>
      </c>
      <c r="S811" s="20" t="str">
        <f ca="1">IFERROR(__xludf.DUMMYFUNCTION("""COMPUTED_VALUE"""),"03 ORL")</f>
        <v>03 ORL</v>
      </c>
      <c r="T811" s="6" t="str">
        <f ca="1">IFERROR(__xludf.DUMMYFUNCTION("""COMPUTED_VALUE"""),"06 ORL")</f>
        <v>06 ORL</v>
      </c>
      <c r="U811" s="21"/>
      <c r="W811" s="20"/>
      <c r="X811" s="21"/>
    </row>
    <row r="812" spans="2:24" ht="16">
      <c r="B812" s="26" t="str">
        <f t="shared" ca="1" si="4"/>
        <v/>
      </c>
      <c r="C812" s="23"/>
      <c r="D812" s="6" t="str">
        <f ca="1">IFERROR(__xludf.DUMMYFUNCTION("""COMPUTED_VALUE"""),"ASOCIADOS")</f>
        <v>ASOCIADOS</v>
      </c>
      <c r="E812" s="6">
        <f ca="1">IFERROR(__xludf.DUMMYFUNCTION("""COMPUTED_VALUE"""),2026)</f>
        <v>2026</v>
      </c>
      <c r="F812" s="15">
        <f ca="1">IFERROR(__xludf.DUMMYFUNCTION("""COMPUTED_VALUE"""),1)</f>
        <v>1</v>
      </c>
      <c r="G812" s="6" t="str">
        <f ca="1">IFERROR(__xludf.DUMMYFUNCTION("""COMPUTED_VALUE"""),"Sevilla- Ciencias")</f>
        <v>Sevilla- Ciencias</v>
      </c>
      <c r="H812" s="6" t="str">
        <f ca="1">IFERROR(__xludf.DUMMYFUNCTION("""COMPUTED_VALUE"""),"C202512510153825258")</f>
        <v>C202512510153825258</v>
      </c>
      <c r="I812" s="6" t="str">
        <f ca="1">IFERROR(__xludf.DUMMYFUNCTION("""COMPUTED_VALUE"""),"BELKIS  CONTRERAS DE LOS SANTOS")</f>
        <v>BELKIS  CONTRERAS DE LOS SANTOS</v>
      </c>
      <c r="J812" s="16">
        <f ca="1">IFERROR(__xludf.DUMMYFUNCTION("""COMPUTED_VALUE"""),46044)</f>
        <v>46044</v>
      </c>
      <c r="K812" s="6" t="str">
        <f ca="1">IFERROR(__xludf.DUMMYFUNCTION("""COMPUTED_VALUE"""),"Presupuesto")</f>
        <v>Presupuesto</v>
      </c>
      <c r="L812" s="16">
        <f ca="1">IFERROR(__xludf.DUMMYFUNCTION("""COMPUTED_VALUE"""),46044)</f>
        <v>46044</v>
      </c>
      <c r="M812" s="23" t="str">
        <f ca="1">IFERROR(__xludf.DUMMYFUNCTION("""COMPUTED_VALUE"""),"NO")</f>
        <v>NO</v>
      </c>
      <c r="N812" s="15">
        <f ca="1">IFERROR(__xludf.DUMMYFUNCTION("""COMPUTED_VALUE"""),2)</f>
        <v>2</v>
      </c>
      <c r="O812" s="23" t="str">
        <f ca="1">IFERROR(__xludf.DUMMYFUNCTION("""COMPUTED_VALUE"""),"QUIET")</f>
        <v>QUIET</v>
      </c>
      <c r="P812" s="21">
        <f ca="1">IFERROR(__xludf.DUMMYFUNCTION("""COMPUTED_VALUE"""),2718.18)</f>
        <v>2718.18</v>
      </c>
      <c r="Q812" s="6" t="str">
        <f ca="1">IFERROR(__xludf.DUMMYFUNCTION("""COMPUTED_VALUE"""),"Luis Alberto Rodríguez")</f>
        <v>Luis Alberto Rodríguez</v>
      </c>
      <c r="R812" s="6" t="str">
        <f ca="1">IFERROR(__xludf.DUMMYFUNCTION("""COMPUTED_VALUE"""),"No recuerda ORL")</f>
        <v>No recuerda ORL</v>
      </c>
      <c r="S812" s="20" t="str">
        <f ca="1">IFERROR(__xludf.DUMMYFUNCTION("""COMPUTED_VALUE"""),"03 ORL")</f>
        <v>03 ORL</v>
      </c>
      <c r="T812" s="6" t="str">
        <f ca="1">IFERROR(__xludf.DUMMYFUNCTION("""COMPUTED_VALUE"""),"06 ORL")</f>
        <v>06 ORL</v>
      </c>
      <c r="U812" s="21"/>
      <c r="W812" s="20"/>
      <c r="X812" s="21"/>
    </row>
    <row r="813" spans="2:24" ht="16">
      <c r="B813" s="26" t="str">
        <f t="shared" ca="1" si="4"/>
        <v>LAA</v>
      </c>
      <c r="C813" s="23" t="str">
        <f ca="1">IFERROR(__xludf.DUMMYFUNCTION("""COMPUTED_VALUE"""),"LAA24")</f>
        <v>LAA24</v>
      </c>
      <c r="D813" s="6" t="str">
        <f ca="1">IFERROR(__xludf.DUMMYFUNCTION("""COMPUTED_VALUE"""),"ASOCIADOS")</f>
        <v>ASOCIADOS</v>
      </c>
      <c r="E813" s="6">
        <f ca="1">IFERROR(__xludf.DUMMYFUNCTION("""COMPUTED_VALUE"""),2026)</f>
        <v>2026</v>
      </c>
      <c r="F813" s="15">
        <f ca="1">IFERROR(__xludf.DUMMYFUNCTION("""COMPUTED_VALUE"""),3)</f>
        <v>3</v>
      </c>
      <c r="G813" s="6" t="str">
        <f ca="1">IFERROR(__xludf.DUMMYFUNCTION("""COMPUTED_VALUE"""),"Sevilla- Ciencias")</f>
        <v>Sevilla- Ciencias</v>
      </c>
      <c r="H813" s="6" t="str">
        <f ca="1">IFERROR(__xludf.DUMMYFUNCTION("""COMPUTED_VALUE"""),"C20263985046187697")</f>
        <v>C20263985046187697</v>
      </c>
      <c r="I813" s="6" t="str">
        <f ca="1">IFERROR(__xludf.DUMMYFUNCTION("""COMPUTED_VALUE"""),"CARMELO MARQUEZ FLORES")</f>
        <v>CARMELO MARQUEZ FLORES</v>
      </c>
      <c r="J813" s="16">
        <f ca="1">IFERROR(__xludf.DUMMYFUNCTION("""COMPUTED_VALUE"""),46090)</f>
        <v>46090</v>
      </c>
      <c r="K813" s="6" t="str">
        <f ca="1">IFERROR(__xludf.DUMMYFUNCTION("""COMPUTED_VALUE"""),"Prueba")</f>
        <v>Prueba</v>
      </c>
      <c r="L813" s="16">
        <f ca="1">IFERROR(__xludf.DUMMYFUNCTION("""COMPUTED_VALUE"""),46099)</f>
        <v>46099</v>
      </c>
      <c r="M813" s="23" t="str">
        <f ca="1">IFERROR(__xludf.DUMMYFUNCTION("""COMPUTED_VALUE"""),"NO")</f>
        <v>NO</v>
      </c>
      <c r="N813" s="15">
        <f ca="1">IFERROR(__xludf.DUMMYFUNCTION("""COMPUTED_VALUE"""),1)</f>
        <v>1</v>
      </c>
      <c r="O813" s="23" t="str">
        <f ca="1">IFERROR(__xludf.DUMMYFUNCTION("""COMPUTED_VALUE"""),"ADVANCED")</f>
        <v>ADVANCED</v>
      </c>
      <c r="P813" s="21">
        <f ca="1">IFERROR(__xludf.DUMMYFUNCTION("""COMPUTED_VALUE"""),2481.82)</f>
        <v>2481.8200000000002</v>
      </c>
      <c r="Q813" s="6" t="str">
        <f ca="1">IFERROR(__xludf.DUMMYFUNCTION("""COMPUTED_VALUE"""),"Luis Alberto Rodríguez")</f>
        <v>Luis Alberto Rodríguez</v>
      </c>
      <c r="R813" s="6" t="str">
        <f ca="1">IFERROR(__xludf.DUMMYFUNCTION("""COMPUTED_VALUE"""),"Jesús Crovato Rojas")</f>
        <v>Jesús Crovato Rojas</v>
      </c>
      <c r="S813" s="20" t="str">
        <f ca="1">IFERROR(__xludf.DUMMYFUNCTION("""COMPUTED_VALUE"""),"03 ORL")</f>
        <v>03 ORL</v>
      </c>
      <c r="T813" s="6" t="str">
        <f ca="1">IFERROR(__xludf.DUMMYFUNCTION("""COMPUTED_VALUE"""),"06 ORL")</f>
        <v>06 ORL</v>
      </c>
      <c r="U813" s="21"/>
      <c r="W813" s="20"/>
      <c r="X813" s="21"/>
    </row>
    <row r="814" spans="2:24" ht="16">
      <c r="B814" s="26" t="str">
        <f t="shared" ca="1" si="4"/>
        <v/>
      </c>
      <c r="C814" s="23"/>
      <c r="D814" s="6" t="str">
        <f ca="1">IFERROR(__xludf.DUMMYFUNCTION("""COMPUTED_VALUE"""),"ASOCIADOS")</f>
        <v>ASOCIADOS</v>
      </c>
      <c r="E814" s="6">
        <f ca="1">IFERROR(__xludf.DUMMYFUNCTION("""COMPUTED_VALUE"""),2026)</f>
        <v>2026</v>
      </c>
      <c r="F814" s="15">
        <f ca="1">IFERROR(__xludf.DUMMYFUNCTION("""COMPUTED_VALUE"""),2)</f>
        <v>2</v>
      </c>
      <c r="G814" s="6" t="str">
        <f ca="1">IFERROR(__xludf.DUMMYFUNCTION("""COMPUTED_VALUE"""),"Sevilla- Ciencias")</f>
        <v>Sevilla- Ciencias</v>
      </c>
      <c r="H814" s="6" t="str">
        <f ca="1">IFERROR(__xludf.DUMMYFUNCTION("""COMPUTED_VALUE"""),"C202612294832478593")</f>
        <v>C202612294832478593</v>
      </c>
      <c r="I814" s="6" t="str">
        <f ca="1">IFERROR(__xludf.DUMMYFUNCTION("""COMPUTED_VALUE"""),"FRANCISCO  FORTE GIL")</f>
        <v>FRANCISCO  FORTE GIL</v>
      </c>
      <c r="J814" s="16">
        <f ca="1">IFERROR(__xludf.DUMMYFUNCTION("""COMPUTED_VALUE"""),46044)</f>
        <v>46044</v>
      </c>
      <c r="K814" s="6" t="str">
        <f ca="1">IFERROR(__xludf.DUMMYFUNCTION("""COMPUTED_VALUE"""),"Devuelve")</f>
        <v>Devuelve</v>
      </c>
      <c r="L814" s="16">
        <f ca="1">IFERROR(__xludf.DUMMYFUNCTION("""COMPUTED_VALUE"""),46064)</f>
        <v>46064</v>
      </c>
      <c r="M814" s="23" t="str">
        <f ca="1">IFERROR(__xludf.DUMMYFUNCTION("""COMPUTED_VALUE"""),"NO")</f>
        <v>NO</v>
      </c>
      <c r="N814" s="15">
        <f ca="1">IFERROR(__xludf.DUMMYFUNCTION("""COMPUTED_VALUE"""),2)</f>
        <v>2</v>
      </c>
      <c r="O814" s="23" t="str">
        <f ca="1">IFERROR(__xludf.DUMMYFUNCTION("""COMPUTED_VALUE"""),"QUIET")</f>
        <v>QUIET</v>
      </c>
      <c r="P814" s="21">
        <f ca="1">IFERROR(__xludf.DUMMYFUNCTION("""COMPUTED_VALUE"""),2718.18)</f>
        <v>2718.18</v>
      </c>
      <c r="Q814" s="6" t="str">
        <f ca="1">IFERROR(__xludf.DUMMYFUNCTION("""COMPUTED_VALUE"""),"Luis Alberto Rodríguez")</f>
        <v>Luis Alberto Rodríguez</v>
      </c>
      <c r="R814" s="6" t="str">
        <f ca="1">IFERROR(__xludf.DUMMYFUNCTION("""COMPUTED_VALUE"""),"No recuerda ORL")</f>
        <v>No recuerda ORL</v>
      </c>
      <c r="S814" s="20" t="str">
        <f ca="1">IFERROR(__xludf.DUMMYFUNCTION("""COMPUTED_VALUE"""),"03 ORL")</f>
        <v>03 ORL</v>
      </c>
      <c r="T814" s="6" t="str">
        <f ca="1">IFERROR(__xludf.DUMMYFUNCTION("""COMPUTED_VALUE"""),"06 ORL")</f>
        <v>06 ORL</v>
      </c>
      <c r="U814" s="21"/>
      <c r="W814" s="20"/>
      <c r="X814" s="21"/>
    </row>
    <row r="815" spans="2:24" ht="16">
      <c r="B815" s="26" t="str">
        <f t="shared" ca="1" si="4"/>
        <v>LAA</v>
      </c>
      <c r="C815" s="23" t="str">
        <f ca="1">IFERROR(__xludf.DUMMYFUNCTION("""COMPUTED_VALUE"""),"LAA43")</f>
        <v>LAA43</v>
      </c>
      <c r="D815" s="6" t="str">
        <f ca="1">IFERROR(__xludf.DUMMYFUNCTION("""COMPUTED_VALUE"""),"ASOCIADOS")</f>
        <v>ASOCIADOS</v>
      </c>
      <c r="E815" s="6">
        <f ca="1">IFERROR(__xludf.DUMMYFUNCTION("""COMPUTED_VALUE"""),2026)</f>
        <v>2026</v>
      </c>
      <c r="F815" s="15">
        <f ca="1">IFERROR(__xludf.DUMMYFUNCTION("""COMPUTED_VALUE"""),2)</f>
        <v>2</v>
      </c>
      <c r="G815" s="6" t="str">
        <f ca="1">IFERROR(__xludf.DUMMYFUNCTION("""COMPUTED_VALUE"""),"Sevilla- Ciencias")</f>
        <v>Sevilla- Ciencias</v>
      </c>
      <c r="H815" s="6" t="str">
        <f ca="1">IFERROR(__xludf.DUMMYFUNCTION("""COMPUTED_VALUE"""),"C202625163141339203")</f>
        <v>C202625163141339203</v>
      </c>
      <c r="I815" s="6" t="str">
        <f ca="1">IFERROR(__xludf.DUMMYFUNCTION("""COMPUTED_VALUE"""),"JOSEFA  PEREZ MARTIN")</f>
        <v>JOSEFA  PEREZ MARTIN</v>
      </c>
      <c r="J815" s="16">
        <f ca="1">IFERROR(__xludf.DUMMYFUNCTION("""COMPUTED_VALUE"""),46058)</f>
        <v>46058</v>
      </c>
      <c r="K815" s="6" t="str">
        <f ca="1">IFERROR(__xludf.DUMMYFUNCTION("""COMPUTED_VALUE"""),"Devuelve")</f>
        <v>Devuelve</v>
      </c>
      <c r="L815" s="16">
        <f ca="1">IFERROR(__xludf.DUMMYFUNCTION("""COMPUTED_VALUE"""),46064)</f>
        <v>46064</v>
      </c>
      <c r="M815" s="23" t="str">
        <f ca="1">IFERROR(__xludf.DUMMYFUNCTION("""COMPUTED_VALUE"""),"NO")</f>
        <v>NO</v>
      </c>
      <c r="N815" s="15">
        <f ca="1">IFERROR(__xludf.DUMMYFUNCTION("""COMPUTED_VALUE"""),2)</f>
        <v>2</v>
      </c>
      <c r="O815" s="23" t="str">
        <f ca="1">IFERROR(__xludf.DUMMYFUNCTION("""COMPUTED_VALUE"""),"QUIET")</f>
        <v>QUIET</v>
      </c>
      <c r="P815" s="21">
        <f ca="1">IFERROR(__xludf.DUMMYFUNCTION("""COMPUTED_VALUE"""),2718.18)</f>
        <v>2718.18</v>
      </c>
      <c r="Q815" s="6" t="str">
        <f ca="1">IFERROR(__xludf.DUMMYFUNCTION("""COMPUTED_VALUE"""),"Luis Alberto Rodríguez")</f>
        <v>Luis Alberto Rodríguez</v>
      </c>
      <c r="R815" s="6" t="str">
        <f ca="1">IFERROR(__xludf.DUMMYFUNCTION("""COMPUTED_VALUE"""),"Ulises Bidón Gómez")</f>
        <v>Ulises Bidón Gómez</v>
      </c>
      <c r="S815" s="20" t="str">
        <f ca="1">IFERROR(__xludf.DUMMYFUNCTION("""COMPUTED_VALUE"""),"03 ORL")</f>
        <v>03 ORL</v>
      </c>
      <c r="T815" s="6" t="str">
        <f ca="1">IFERROR(__xludf.DUMMYFUNCTION("""COMPUTED_VALUE"""),"06 ORL")</f>
        <v>06 ORL</v>
      </c>
      <c r="U815" s="21"/>
      <c r="W815" s="20"/>
      <c r="X815" s="21"/>
    </row>
    <row r="816" spans="2:24" ht="16">
      <c r="B816" s="26" t="str">
        <f t="shared" ca="1" si="4"/>
        <v>LAA</v>
      </c>
      <c r="C816" s="23" t="str">
        <f ca="1">IFERROR(__xludf.DUMMYFUNCTION("""COMPUTED_VALUE"""),"LAA47")</f>
        <v>LAA47</v>
      </c>
      <c r="D816" s="6" t="str">
        <f ca="1">IFERROR(__xludf.DUMMYFUNCTION("""COMPUTED_VALUE"""),"ASOCIADOS")</f>
        <v>ASOCIADOS</v>
      </c>
      <c r="E816" s="6">
        <f ca="1">IFERROR(__xludf.DUMMYFUNCTION("""COMPUTED_VALUE"""),2026)</f>
        <v>2026</v>
      </c>
      <c r="F816" s="15">
        <f ca="1">IFERROR(__xludf.DUMMYFUNCTION("""COMPUTED_VALUE"""),3)</f>
        <v>3</v>
      </c>
      <c r="G816" s="6" t="str">
        <f ca="1">IFERROR(__xludf.DUMMYFUNCTION("""COMPUTED_VALUE"""),"Sevilla- Ciencias")</f>
        <v>Sevilla- Ciencias</v>
      </c>
      <c r="H816" s="6" t="str">
        <f ca="1">IFERROR(__xludf.DUMMYFUNCTION("""COMPUTED_VALUE"""),"C202639172625101640")</f>
        <v>C202639172625101640</v>
      </c>
      <c r="I816" s="6" t="str">
        <f ca="1">IFERROR(__xludf.DUMMYFUNCTION("""COMPUTED_VALUE"""),"JOSE PIÑA RUBIO")</f>
        <v>JOSE PIÑA RUBIO</v>
      </c>
      <c r="J816" s="16">
        <f ca="1">IFERROR(__xludf.DUMMYFUNCTION("""COMPUTED_VALUE"""),46090)</f>
        <v>46090</v>
      </c>
      <c r="K816" s="6" t="str">
        <f ca="1">IFERROR(__xludf.DUMMYFUNCTION("""COMPUTED_VALUE"""),"Prueba")</f>
        <v>Prueba</v>
      </c>
      <c r="L816" s="16">
        <f ca="1">IFERROR(__xludf.DUMMYFUNCTION("""COMPUTED_VALUE"""),46098)</f>
        <v>46098</v>
      </c>
      <c r="M816" s="23" t="str">
        <f ca="1">IFERROR(__xludf.DUMMYFUNCTION("""COMPUTED_VALUE"""),"NO")</f>
        <v>NO</v>
      </c>
      <c r="N816" s="15">
        <f ca="1">IFERROR(__xludf.DUMMYFUNCTION("""COMPUTED_VALUE"""),2)</f>
        <v>2</v>
      </c>
      <c r="O816" s="23" t="str">
        <f ca="1">IFERROR(__xludf.DUMMYFUNCTION("""COMPUTED_VALUE"""),"QUIET")</f>
        <v>QUIET</v>
      </c>
      <c r="P816" s="21">
        <f ca="1">IFERROR(__xludf.DUMMYFUNCTION("""COMPUTED_VALUE"""),2718.18)</f>
        <v>2718.18</v>
      </c>
      <c r="Q816" s="6" t="str">
        <f ca="1">IFERROR(__xludf.DUMMYFUNCTION("""COMPUTED_VALUE"""),"Luis Alberto Rodríguez")</f>
        <v>Luis Alberto Rodríguez</v>
      </c>
      <c r="R816" s="6" t="str">
        <f ca="1">IFERROR(__xludf.DUMMYFUNCTION("""COMPUTED_VALUE"""),"Estefanía Berrocal Postigo")</f>
        <v>Estefanía Berrocal Postigo</v>
      </c>
      <c r="S816" s="20" t="str">
        <f ca="1">IFERROR(__xludf.DUMMYFUNCTION("""COMPUTED_VALUE"""),"03 ORL")</f>
        <v>03 ORL</v>
      </c>
      <c r="T816" s="6" t="str">
        <f ca="1">IFERROR(__xludf.DUMMYFUNCTION("""COMPUTED_VALUE"""),"06 ORL")</f>
        <v>06 ORL</v>
      </c>
      <c r="U816" s="21"/>
      <c r="W816" s="20"/>
      <c r="X816" s="21"/>
    </row>
    <row r="817" spans="2:24" ht="16">
      <c r="B817" s="26" t="str">
        <f t="shared" ca="1" si="4"/>
        <v>LAA</v>
      </c>
      <c r="C817" s="23" t="str">
        <f ca="1">IFERROR(__xludf.DUMMYFUNCTION("""COMPUTED_VALUE"""),"LAA86")</f>
        <v>LAA86</v>
      </c>
      <c r="D817" s="6" t="str">
        <f ca="1">IFERROR(__xludf.DUMMYFUNCTION("""COMPUTED_VALUE"""),"ASOCIADOS")</f>
        <v>ASOCIADOS</v>
      </c>
      <c r="E817" s="6">
        <f ca="1">IFERROR(__xludf.DUMMYFUNCTION("""COMPUTED_VALUE"""),2026)</f>
        <v>2026</v>
      </c>
      <c r="F817" s="15">
        <f ca="1">IFERROR(__xludf.DUMMYFUNCTION("""COMPUTED_VALUE"""),3)</f>
        <v>3</v>
      </c>
      <c r="G817" s="6" t="str">
        <f ca="1">IFERROR(__xludf.DUMMYFUNCTION("""COMPUTED_VALUE"""),"Sevilla- Ciencias")</f>
        <v>Sevilla- Ciencias</v>
      </c>
      <c r="H817" s="6" t="str">
        <f ca="1">IFERROR(__xludf.DUMMYFUNCTION("""COMPUTED_VALUE"""),"C2026221849556447")</f>
        <v>C2026221849556447</v>
      </c>
      <c r="I817" s="6" t="str">
        <f ca="1">IFERROR(__xludf.DUMMYFUNCTION("""COMPUTED_VALUE"""),"MARIA DEL CARMEN  QUIROS CACHERO")</f>
        <v>MARIA DEL CARMEN  QUIROS CACHERO</v>
      </c>
      <c r="J817" s="16">
        <f ca="1">IFERROR(__xludf.DUMMYFUNCTION("""COMPUTED_VALUE"""),46055)</f>
        <v>46055</v>
      </c>
      <c r="K817" s="6" t="str">
        <f ca="1">IFERROR(__xludf.DUMMYFUNCTION("""COMPUTED_VALUE"""),"Prueba")</f>
        <v>Prueba</v>
      </c>
      <c r="L817" s="16">
        <f ca="1">IFERROR(__xludf.DUMMYFUNCTION("""COMPUTED_VALUE"""),46091)</f>
        <v>46091</v>
      </c>
      <c r="M817" s="23" t="str">
        <f ca="1">IFERROR(__xludf.DUMMYFUNCTION("""COMPUTED_VALUE"""),"NO")</f>
        <v>NO</v>
      </c>
      <c r="N817" s="15">
        <f ca="1">IFERROR(__xludf.DUMMYFUNCTION("""COMPUTED_VALUE"""),2)</f>
        <v>2</v>
      </c>
      <c r="O817" s="23" t="str">
        <f ca="1">IFERROR(__xludf.DUMMYFUNCTION("""COMPUTED_VALUE"""),"CONFORT")</f>
        <v>CONFORT</v>
      </c>
      <c r="P817" s="21">
        <f ca="1">IFERROR(__xludf.DUMMYFUNCTION("""COMPUTED_VALUE"""),3631.82)</f>
        <v>3631.82</v>
      </c>
      <c r="Q817" s="6" t="str">
        <f ca="1">IFERROR(__xludf.DUMMYFUNCTION("""COMPUTED_VALUE"""),"Luis Alberto Rodríguez")</f>
        <v>Luis Alberto Rodríguez</v>
      </c>
      <c r="R817" s="6" t="str">
        <f ca="1">IFERROR(__xludf.DUMMYFUNCTION("""COMPUTED_VALUE"""),"María Del Pilar Gómez Tapiador")</f>
        <v>María Del Pilar Gómez Tapiador</v>
      </c>
      <c r="S817" s="20" t="str">
        <f ca="1">IFERROR(__xludf.DUMMYFUNCTION("""COMPUTED_VALUE"""),"03 ORL")</f>
        <v>03 ORL</v>
      </c>
      <c r="T817" s="6" t="str">
        <f ca="1">IFERROR(__xludf.DUMMYFUNCTION("""COMPUTED_VALUE"""),"06 ORL")</f>
        <v>06 ORL</v>
      </c>
      <c r="U817" s="21"/>
      <c r="W817" s="20"/>
      <c r="X817" s="21"/>
    </row>
    <row r="818" spans="2:24" ht="16">
      <c r="B818" s="26" t="str">
        <f t="shared" ca="1" si="4"/>
        <v>LAA</v>
      </c>
      <c r="C818" s="23" t="str">
        <f ca="1">IFERROR(__xludf.DUMMYFUNCTION("""COMPUTED_VALUE"""),"LAA13")</f>
        <v>LAA13</v>
      </c>
      <c r="D818" s="6" t="str">
        <f ca="1">IFERROR(__xludf.DUMMYFUNCTION("""COMPUTED_VALUE"""),"ASOCIADOS")</f>
        <v>ASOCIADOS</v>
      </c>
      <c r="E818" s="6">
        <f ca="1">IFERROR(__xludf.DUMMYFUNCTION("""COMPUTED_VALUE"""),2026)</f>
        <v>2026</v>
      </c>
      <c r="F818" s="15">
        <f ca="1">IFERROR(__xludf.DUMMYFUNCTION("""COMPUTED_VALUE"""),3)</f>
        <v>3</v>
      </c>
      <c r="G818" s="6" t="str">
        <f ca="1">IFERROR(__xludf.DUMMYFUNCTION("""COMPUTED_VALUE"""),"Sevilla- Ciencias")</f>
        <v>Sevilla- Ciencias</v>
      </c>
      <c r="H818" s="6" t="str">
        <f ca="1">IFERROR(__xludf.DUMMYFUNCTION("""COMPUTED_VALUE"""),"C202632311104733597")</f>
        <v>C202632311104733597</v>
      </c>
      <c r="I818" s="6" t="str">
        <f ca="1">IFERROR(__xludf.DUMMYFUNCTION("""COMPUTED_VALUE"""),"MARTA CARNEIRO COPADO")</f>
        <v>MARTA CARNEIRO COPADO</v>
      </c>
      <c r="J818" s="16">
        <f ca="1">IFERROR(__xludf.DUMMYFUNCTION("""COMPUTED_VALUE"""),46104)</f>
        <v>46104</v>
      </c>
      <c r="K818" s="6" t="str">
        <f ca="1">IFERROR(__xludf.DUMMYFUNCTION("""COMPUTED_VALUE"""),"Presupuesto")</f>
        <v>Presupuesto</v>
      </c>
      <c r="L818" s="16">
        <f ca="1">IFERROR(__xludf.DUMMYFUNCTION("""COMPUTED_VALUE"""),46106)</f>
        <v>46106</v>
      </c>
      <c r="M818" s="23" t="str">
        <f ca="1">IFERROR(__xludf.DUMMYFUNCTION("""COMPUTED_VALUE"""),"NO")</f>
        <v>NO</v>
      </c>
      <c r="N818" s="15">
        <f ca="1">IFERROR(__xludf.DUMMYFUNCTION("""COMPUTED_VALUE"""),1)</f>
        <v>1</v>
      </c>
      <c r="O818" s="23" t="str">
        <f ca="1">IFERROR(__xludf.DUMMYFUNCTION("""COMPUTED_VALUE"""),"CONFORT")</f>
        <v>CONFORT</v>
      </c>
      <c r="P818" s="21">
        <f ca="1">IFERROR(__xludf.DUMMYFUNCTION("""COMPUTED_VALUE"""),2180.91)</f>
        <v>2180.91</v>
      </c>
      <c r="Q818" s="6" t="str">
        <f ca="1">IFERROR(__xludf.DUMMYFUNCTION("""COMPUTED_VALUE"""),"Luis Alberto Rodríguez")</f>
        <v>Luis Alberto Rodríguez</v>
      </c>
      <c r="R818" s="6" t="str">
        <f ca="1">IFERROR(__xludf.DUMMYFUNCTION("""COMPUTED_VALUE"""),"Francisco Javier Aguilar Vera")</f>
        <v>Francisco Javier Aguilar Vera</v>
      </c>
      <c r="S818" s="20" t="str">
        <f ca="1">IFERROR(__xludf.DUMMYFUNCTION("""COMPUTED_VALUE"""),"03 ORL")</f>
        <v>03 ORL</v>
      </c>
      <c r="T818" s="6" t="str">
        <f ca="1">IFERROR(__xludf.DUMMYFUNCTION("""COMPUTED_VALUE"""),"06 ORL")</f>
        <v>06 ORL</v>
      </c>
      <c r="U818" s="21"/>
      <c r="W818" s="20"/>
      <c r="X818" s="21"/>
    </row>
    <row r="819" spans="2:24" ht="16">
      <c r="B819" s="26" t="str">
        <f t="shared" ca="1" si="4"/>
        <v>#N/</v>
      </c>
      <c r="C819" s="23" t="str">
        <f ca="1">IFERROR(__xludf.DUMMYFUNCTION("""COMPUTED_VALUE"""),"#N/A")</f>
        <v>#N/A</v>
      </c>
      <c r="D819" s="6" t="str">
        <f ca="1">IFERROR(__xludf.DUMMYFUNCTION("""COMPUTED_VALUE"""),"ASOCIADOS")</f>
        <v>ASOCIADOS</v>
      </c>
      <c r="E819" s="6">
        <f ca="1">IFERROR(__xludf.DUMMYFUNCTION("""COMPUTED_VALUE"""),2026)</f>
        <v>2026</v>
      </c>
      <c r="F819" s="15">
        <f ca="1">IFERROR(__xludf.DUMMYFUNCTION("""COMPUTED_VALUE"""),3)</f>
        <v>3</v>
      </c>
      <c r="G819" s="6" t="str">
        <f ca="1">IFERROR(__xludf.DUMMYFUNCTION("""COMPUTED_VALUE"""),"Sevilla- Ciencias")</f>
        <v>Sevilla- Ciencias</v>
      </c>
      <c r="H819" s="6" t="str">
        <f ca="1">IFERROR(__xludf.DUMMYFUNCTION("""COMPUTED_VALUE"""),"C202612117425843080")</f>
        <v>C202612117425843080</v>
      </c>
      <c r="I819" s="6" t="str">
        <f ca="1">IFERROR(__xludf.DUMMYFUNCTION("""COMPUTED_VALUE"""),"SONIA MARQUEZ PINTO")</f>
        <v>SONIA MARQUEZ PINTO</v>
      </c>
      <c r="J819" s="16">
        <f ca="1">IFERROR(__xludf.DUMMYFUNCTION("""COMPUTED_VALUE"""),46043)</f>
        <v>46043</v>
      </c>
      <c r="K819" s="6" t="str">
        <f ca="1">IFERROR(__xludf.DUMMYFUNCTION("""COMPUTED_VALUE"""),"Prueba")</f>
        <v>Prueba</v>
      </c>
      <c r="L819" s="16">
        <f ca="1">IFERROR(__xludf.DUMMYFUNCTION("""COMPUTED_VALUE"""),46106)</f>
        <v>46106</v>
      </c>
      <c r="M819" s="23" t="str">
        <f ca="1">IFERROR(__xludf.DUMMYFUNCTION("""COMPUTED_VALUE"""),"NO")</f>
        <v>NO</v>
      </c>
      <c r="N819" s="15">
        <f ca="1">IFERROR(__xludf.DUMMYFUNCTION("""COMPUTED_VALUE"""),2)</f>
        <v>2</v>
      </c>
      <c r="O819" s="23" t="str">
        <f ca="1">IFERROR(__xludf.DUMMYFUNCTION("""COMPUTED_VALUE"""),"QUIET")</f>
        <v>QUIET</v>
      </c>
      <c r="P819" s="21">
        <f ca="1">IFERROR(__xludf.DUMMYFUNCTION("""COMPUTED_VALUE"""),2718.18)</f>
        <v>2718.18</v>
      </c>
      <c r="Q819" s="6" t="str">
        <f ca="1">IFERROR(__xludf.DUMMYFUNCTION("""COMPUTED_VALUE"""),"Luis Alberto Rodríguez")</f>
        <v>Luis Alberto Rodríguez</v>
      </c>
      <c r="R819" s="6" t="str">
        <f ca="1">IFERROR(__xludf.DUMMYFUNCTION("""COMPUTED_VALUE"""),"Manuel Silva Grosso")</f>
        <v>Manuel Silva Grosso</v>
      </c>
      <c r="S819" s="20" t="str">
        <f ca="1">IFERROR(__xludf.DUMMYFUNCTION("""COMPUTED_VALUE"""),"03 ORL")</f>
        <v>03 ORL</v>
      </c>
      <c r="T819" s="6" t="str">
        <f ca="1">IFERROR(__xludf.DUMMYFUNCTION("""COMPUTED_VALUE"""),"06 ORL")</f>
        <v>06 ORL</v>
      </c>
      <c r="U819" s="21"/>
      <c r="W819" s="20"/>
      <c r="X819" s="21"/>
    </row>
    <row r="820" spans="2:24" ht="16">
      <c r="B820" s="26" t="str">
        <f t="shared" ca="1" si="4"/>
        <v>LAA</v>
      </c>
      <c r="C820" s="23" t="str">
        <f ca="1">IFERROR(__xludf.DUMMYFUNCTION("""COMPUTED_VALUE"""),"LAA62")</f>
        <v>LAA62</v>
      </c>
      <c r="D820" s="6" t="str">
        <f ca="1">IFERROR(__xludf.DUMMYFUNCTION("""COMPUTED_VALUE"""),"PROPIOS")</f>
        <v>PROPIOS</v>
      </c>
      <c r="E820" s="6">
        <f ca="1">IFERROR(__xludf.DUMMYFUNCTION("""COMPUTED_VALUE"""),2026)</f>
        <v>2026</v>
      </c>
      <c r="F820" s="15">
        <f ca="1">IFERROR(__xludf.DUMMYFUNCTION("""COMPUTED_VALUE"""),3)</f>
        <v>3</v>
      </c>
      <c r="G820" s="6" t="str">
        <f ca="1">IFERROR(__xludf.DUMMYFUNCTION("""COMPUTED_VALUE"""),"Sevilla- Montoto")</f>
        <v>Sevilla- Montoto</v>
      </c>
      <c r="H820" s="6" t="str">
        <f ca="1">IFERROR(__xludf.DUMMYFUNCTION("""COMPUTED_VALUE"""),"C20263109217184984")</f>
        <v>C20263109217184984</v>
      </c>
      <c r="I820" s="6" t="str">
        <f ca="1">IFERROR(__xludf.DUMMYFUNCTION("""COMPUTED_VALUE"""),"AGUSTINA CARMONA CALVO")</f>
        <v>AGUSTINA CARMONA CALVO</v>
      </c>
      <c r="J820" s="16">
        <f ca="1">IFERROR(__xludf.DUMMYFUNCTION("""COMPUTED_VALUE"""),46091)</f>
        <v>46091</v>
      </c>
      <c r="K820" s="6" t="str">
        <f ca="1">IFERROR(__xludf.DUMMYFUNCTION("""COMPUTED_VALUE"""),"Prueba")</f>
        <v>Prueba</v>
      </c>
      <c r="L820" s="16">
        <f ca="1">IFERROR(__xludf.DUMMYFUNCTION("""COMPUTED_VALUE"""),46105)</f>
        <v>46105</v>
      </c>
      <c r="M820" s="23" t="str">
        <f ca="1">IFERROR(__xludf.DUMMYFUNCTION("""COMPUTED_VALUE"""),"NO")</f>
        <v>NO</v>
      </c>
      <c r="N820" s="15">
        <f ca="1">IFERROR(__xludf.DUMMYFUNCTION("""COMPUTED_VALUE"""),2)</f>
        <v>2</v>
      </c>
      <c r="O820" s="23" t="str">
        <f ca="1">IFERROR(__xludf.DUMMYFUNCTION("""COMPUTED_VALUE"""),"CONFORT")</f>
        <v>CONFORT</v>
      </c>
      <c r="P820" s="21">
        <f ca="1">IFERROR(__xludf.DUMMYFUNCTION("""COMPUTED_VALUE"""),3631.82)</f>
        <v>3631.82</v>
      </c>
      <c r="Q820" s="6" t="str">
        <f ca="1">IFERROR(__xludf.DUMMYFUNCTION("""COMPUTED_VALUE"""),"Luis Alberto Rodríguez")</f>
        <v>Luis Alberto Rodríguez</v>
      </c>
      <c r="R820" s="6" t="str">
        <f ca="1">IFERROR(__xludf.DUMMYFUNCTION("""COMPUTED_VALUE"""),"Jesús López Palomo")</f>
        <v>Jesús López Palomo</v>
      </c>
      <c r="S820" s="20" t="str">
        <f ca="1">IFERROR(__xludf.DUMMYFUNCTION("""COMPUTED_VALUE"""),"03 ORL")</f>
        <v>03 ORL</v>
      </c>
      <c r="T820" s="6" t="str">
        <f ca="1">IFERROR(__xludf.DUMMYFUNCTION("""COMPUTED_VALUE"""),"06 ORL")</f>
        <v>06 ORL</v>
      </c>
      <c r="U820" s="21"/>
      <c r="W820" s="20"/>
      <c r="X820" s="21"/>
    </row>
    <row r="821" spans="2:24" ht="16">
      <c r="B821" s="26" t="str">
        <f t="shared" ca="1" si="4"/>
        <v/>
      </c>
      <c r="C821" s="23"/>
      <c r="D821" s="6" t="str">
        <f ca="1">IFERROR(__xludf.DUMMYFUNCTION("""COMPUTED_VALUE"""),"PROPIOS")</f>
        <v>PROPIOS</v>
      </c>
      <c r="E821" s="6">
        <f ca="1">IFERROR(__xludf.DUMMYFUNCTION("""COMPUTED_VALUE"""),2026)</f>
        <v>2026</v>
      </c>
      <c r="F821" s="15">
        <f ca="1">IFERROR(__xludf.DUMMYFUNCTION("""COMPUTED_VALUE"""),3)</f>
        <v>3</v>
      </c>
      <c r="G821" s="6" t="str">
        <f ca="1">IFERROR(__xludf.DUMMYFUNCTION("""COMPUTED_VALUE"""),"Sevilla- Montoto")</f>
        <v>Sevilla- Montoto</v>
      </c>
      <c r="H821" s="6" t="str">
        <f ca="1">IFERROR(__xludf.DUMMYFUNCTION("""COMPUTED_VALUE"""),"C202632712242970709")</f>
        <v>C202632712242970709</v>
      </c>
      <c r="I821" s="6" t="str">
        <f ca="1">IFERROR(__xludf.DUMMYFUNCTION("""COMPUTED_VALUE"""),"ANDRES ROJANO MOLINA")</f>
        <v>ANDRES ROJANO MOLINA</v>
      </c>
      <c r="J821" s="16">
        <f ca="1">IFERROR(__xludf.DUMMYFUNCTION("""COMPUTED_VALUE"""),46108)</f>
        <v>46108</v>
      </c>
      <c r="K821" s="6" t="str">
        <f ca="1">IFERROR(__xludf.DUMMYFUNCTION("""COMPUTED_VALUE"""),"Prueba")</f>
        <v>Prueba</v>
      </c>
      <c r="L821" s="16">
        <f ca="1">IFERROR(__xludf.DUMMYFUNCTION("""COMPUTED_VALUE"""),46112)</f>
        <v>46112</v>
      </c>
      <c r="M821" s="23" t="str">
        <f ca="1">IFERROR(__xludf.DUMMYFUNCTION("""COMPUTED_VALUE"""),"NO")</f>
        <v>NO</v>
      </c>
      <c r="N821" s="15">
        <f ca="1">IFERROR(__xludf.DUMMYFUNCTION("""COMPUTED_VALUE"""),1)</f>
        <v>1</v>
      </c>
      <c r="O821" s="23" t="str">
        <f ca="1">IFERROR(__xludf.DUMMYFUNCTION("""COMPUTED_VALUE"""),"TRIAL")</f>
        <v>TRIAL</v>
      </c>
      <c r="P821" s="21">
        <f ca="1">IFERROR(__xludf.DUMMYFUNCTION("""COMPUTED_VALUE"""),2481.82)</f>
        <v>2481.8200000000002</v>
      </c>
      <c r="Q821" s="6" t="str">
        <f ca="1">IFERROR(__xludf.DUMMYFUNCTION("""COMPUTED_VALUE"""),"Luis Alberto Rodríguez")</f>
        <v>Luis Alberto Rodríguez</v>
      </c>
      <c r="R821" s="6" t="str">
        <f ca="1">IFERROR(__xludf.DUMMYFUNCTION("""COMPUTED_VALUE"""),"No recuerda ORL")</f>
        <v>No recuerda ORL</v>
      </c>
      <c r="S821" s="20" t="str">
        <f ca="1">IFERROR(__xludf.DUMMYFUNCTION("""COMPUTED_VALUE"""),"03 ORL")</f>
        <v>03 ORL</v>
      </c>
      <c r="T821" s="6" t="str">
        <f ca="1">IFERROR(__xludf.DUMMYFUNCTION("""COMPUTED_VALUE"""),"06 ORL")</f>
        <v>06 ORL</v>
      </c>
      <c r="U821" s="21"/>
      <c r="W821" s="20"/>
      <c r="X821" s="21"/>
    </row>
    <row r="822" spans="2:24" ht="16">
      <c r="B822" s="26" t="str">
        <f t="shared" ca="1" si="4"/>
        <v>LAA</v>
      </c>
      <c r="C822" s="23" t="str">
        <f ca="1">IFERROR(__xludf.DUMMYFUNCTION("""COMPUTED_VALUE"""),"LAA47")</f>
        <v>LAA47</v>
      </c>
      <c r="D822" s="6" t="str">
        <f ca="1">IFERROR(__xludf.DUMMYFUNCTION("""COMPUTED_VALUE"""),"PROPIOS")</f>
        <v>PROPIOS</v>
      </c>
      <c r="E822" s="6">
        <f ca="1">IFERROR(__xludf.DUMMYFUNCTION("""COMPUTED_VALUE"""),2026)</f>
        <v>2026</v>
      </c>
      <c r="F822" s="15">
        <f ca="1">IFERROR(__xludf.DUMMYFUNCTION("""COMPUTED_VALUE"""),3)</f>
        <v>3</v>
      </c>
      <c r="G822" s="6" t="str">
        <f ca="1">IFERROR(__xludf.DUMMYFUNCTION("""COMPUTED_VALUE"""),"Sevilla- Montoto")</f>
        <v>Sevilla- Montoto</v>
      </c>
      <c r="H822" s="6" t="str">
        <f ca="1">IFERROR(__xludf.DUMMYFUNCTION("""COMPUTED_VALUE"""),"C202511261759871050")</f>
        <v>C202511261759871050</v>
      </c>
      <c r="I822" s="6" t="str">
        <f ca="1">IFERROR(__xludf.DUMMYFUNCTION("""COMPUTED_VALUE"""),"ANTONIO MOLINA VALIENTE")</f>
        <v>ANTONIO MOLINA VALIENTE</v>
      </c>
      <c r="J822" s="16">
        <f ca="1">IFERROR(__xludf.DUMMYFUNCTION("""COMPUTED_VALUE"""),45987)</f>
        <v>45987</v>
      </c>
      <c r="K822" s="6" t="str">
        <f ca="1">IFERROR(__xludf.DUMMYFUNCTION("""COMPUTED_VALUE"""),"Pedido")</f>
        <v>Pedido</v>
      </c>
      <c r="L822" s="16">
        <f ca="1">IFERROR(__xludf.DUMMYFUNCTION("""COMPUTED_VALUE"""),46099)</f>
        <v>46099</v>
      </c>
      <c r="M822" s="23" t="str">
        <f ca="1">IFERROR(__xludf.DUMMYFUNCTION("""COMPUTED_VALUE"""),"SI")</f>
        <v>SI</v>
      </c>
      <c r="N822" s="15">
        <f ca="1">IFERROR(__xludf.DUMMYFUNCTION("""COMPUTED_VALUE"""),1)</f>
        <v>1</v>
      </c>
      <c r="O822" s="23" t="str">
        <f ca="1">IFERROR(__xludf.DUMMYFUNCTION("""COMPUTED_VALUE"""),"QUIET")</f>
        <v>QUIET</v>
      </c>
      <c r="P822" s="21">
        <f ca="1">IFERROR(__xludf.DUMMYFUNCTION("""COMPUTED_VALUE"""),1305.45)</f>
        <v>1305.45</v>
      </c>
      <c r="Q822" s="6" t="str">
        <f ca="1">IFERROR(__xludf.DUMMYFUNCTION("""COMPUTED_VALUE"""),"Luis Alberto Rodríguez")</f>
        <v>Luis Alberto Rodríguez</v>
      </c>
      <c r="R822" s="6" t="str">
        <f ca="1">IFERROR(__xludf.DUMMYFUNCTION("""COMPUTED_VALUE"""),"Estefanía Berrocal Postigo")</f>
        <v>Estefanía Berrocal Postigo</v>
      </c>
      <c r="S822" s="20" t="str">
        <f ca="1">IFERROR(__xludf.DUMMYFUNCTION("""COMPUTED_VALUE"""),"04 TIENDA")</f>
        <v>04 TIENDA</v>
      </c>
      <c r="T822" s="6" t="str">
        <f ca="1">IFERROR(__xludf.DUMMYFUNCTION("""COMPUTED_VALUE"""),"07 BOCA/BOCA")</f>
        <v>07 BOCA/BOCA</v>
      </c>
      <c r="U822" s="21"/>
      <c r="W822" s="20"/>
      <c r="X822" s="21"/>
    </row>
    <row r="823" spans="2:24" ht="16">
      <c r="B823" s="26" t="str">
        <f t="shared" ca="1" si="4"/>
        <v>LAA</v>
      </c>
      <c r="C823" s="23" t="str">
        <f ca="1">IFERROR(__xludf.DUMMYFUNCTION("""COMPUTED_VALUE"""),"LAA29")</f>
        <v>LAA29</v>
      </c>
      <c r="D823" s="6" t="str">
        <f ca="1">IFERROR(__xludf.DUMMYFUNCTION("""COMPUTED_VALUE"""),"PROPIOS")</f>
        <v>PROPIOS</v>
      </c>
      <c r="E823" s="6">
        <f ca="1">IFERROR(__xludf.DUMMYFUNCTION("""COMPUTED_VALUE"""),2026)</f>
        <v>2026</v>
      </c>
      <c r="F823" s="15">
        <f ca="1">IFERROR(__xludf.DUMMYFUNCTION("""COMPUTED_VALUE"""),3)</f>
        <v>3</v>
      </c>
      <c r="G823" s="6" t="str">
        <f ca="1">IFERROR(__xludf.DUMMYFUNCTION("""COMPUTED_VALUE"""),"Sevilla- Montoto")</f>
        <v>Sevilla- Montoto</v>
      </c>
      <c r="H823" s="6" t="str">
        <f ca="1">IFERROR(__xludf.DUMMYFUNCTION("""COMPUTED_VALUE"""),"C202622316572141724")</f>
        <v>C202622316572141724</v>
      </c>
      <c r="I823" s="6" t="str">
        <f ca="1">IFERROR(__xludf.DUMMYFUNCTION("""COMPUTED_VALUE"""),"ANTONIO PORTILLO FRANCO")</f>
        <v>ANTONIO PORTILLO FRANCO</v>
      </c>
      <c r="J823" s="16">
        <f ca="1">IFERROR(__xludf.DUMMYFUNCTION("""COMPUTED_VALUE"""),46076)</f>
        <v>46076</v>
      </c>
      <c r="K823" s="6" t="str">
        <f ca="1">IFERROR(__xludf.DUMMYFUNCTION("""COMPUTED_VALUE"""),"Devuelve")</f>
        <v>Devuelve</v>
      </c>
      <c r="L823" s="16">
        <f ca="1">IFERROR(__xludf.DUMMYFUNCTION("""COMPUTED_VALUE"""),46093)</f>
        <v>46093</v>
      </c>
      <c r="M823" s="23" t="str">
        <f ca="1">IFERROR(__xludf.DUMMYFUNCTION("""COMPUTED_VALUE"""),"NO")</f>
        <v>NO</v>
      </c>
      <c r="N823" s="15">
        <f ca="1">IFERROR(__xludf.DUMMYFUNCTION("""COMPUTED_VALUE"""),2)</f>
        <v>2</v>
      </c>
      <c r="O823" s="23" t="str">
        <f ca="1">IFERROR(__xludf.DUMMYFUNCTION("""COMPUTED_VALUE"""),"TRIAL")</f>
        <v>TRIAL</v>
      </c>
      <c r="P823" s="21">
        <f ca="1">IFERROR(__xludf.DUMMYFUNCTION("""COMPUTED_VALUE"""),3631.81)</f>
        <v>3631.81</v>
      </c>
      <c r="Q823" s="6" t="str">
        <f ca="1">IFERROR(__xludf.DUMMYFUNCTION("""COMPUTED_VALUE"""),"Luis Alberto Rodríguez")</f>
        <v>Luis Alberto Rodríguez</v>
      </c>
      <c r="R823" s="6" t="str">
        <f ca="1">IFERROR(__xludf.DUMMYFUNCTION("""COMPUTED_VALUE"""),"Juan Miguel jiménez Morales")</f>
        <v>Juan Miguel jiménez Morales</v>
      </c>
      <c r="S823" s="20" t="str">
        <f ca="1">IFERROR(__xludf.DUMMYFUNCTION("""COMPUTED_VALUE"""),"03 ORL")</f>
        <v>03 ORL</v>
      </c>
      <c r="T823" s="6" t="str">
        <f ca="1">IFERROR(__xludf.DUMMYFUNCTION("""COMPUTED_VALUE"""),"06 ORL")</f>
        <v>06 ORL</v>
      </c>
      <c r="U823" s="21"/>
      <c r="W823" s="20"/>
      <c r="X823" s="21"/>
    </row>
    <row r="824" spans="2:24" ht="16">
      <c r="B824" s="26" t="str">
        <f t="shared" ca="1" si="4"/>
        <v>LAA</v>
      </c>
      <c r="C824" s="23" t="str">
        <f ca="1">IFERROR(__xludf.DUMMYFUNCTION("""COMPUTED_VALUE"""),"LAA08")</f>
        <v>LAA08</v>
      </c>
      <c r="D824" s="6" t="str">
        <f ca="1">IFERROR(__xludf.DUMMYFUNCTION("""COMPUTED_VALUE"""),"PROPIOS")</f>
        <v>PROPIOS</v>
      </c>
      <c r="E824" s="6">
        <f ca="1">IFERROR(__xludf.DUMMYFUNCTION("""COMPUTED_VALUE"""),2026)</f>
        <v>2026</v>
      </c>
      <c r="F824" s="15">
        <f ca="1">IFERROR(__xludf.DUMMYFUNCTION("""COMPUTED_VALUE"""),3)</f>
        <v>3</v>
      </c>
      <c r="G824" s="6" t="str">
        <f ca="1">IFERROR(__xludf.DUMMYFUNCTION("""COMPUTED_VALUE"""),"Sevilla- Montoto")</f>
        <v>Sevilla- Montoto</v>
      </c>
      <c r="H824" s="6" t="str">
        <f ca="1">IFERROR(__xludf.DUMMYFUNCTION("""COMPUTED_VALUE"""),"C202631010505593561")</f>
        <v>C202631010505593561</v>
      </c>
      <c r="I824" s="6" t="str">
        <f ca="1">IFERROR(__xludf.DUMMYFUNCTION("""COMPUTED_VALUE"""),"FERNANDO GARCIA MARTINEZ")</f>
        <v>FERNANDO GARCIA MARTINEZ</v>
      </c>
      <c r="J824" s="16">
        <f ca="1">IFERROR(__xludf.DUMMYFUNCTION("""COMPUTED_VALUE"""),46091)</f>
        <v>46091</v>
      </c>
      <c r="K824" s="6" t="str">
        <f ca="1">IFERROR(__xludf.DUMMYFUNCTION("""COMPUTED_VALUE"""),"Prueba")</f>
        <v>Prueba</v>
      </c>
      <c r="L824" s="16">
        <f ca="1">IFERROR(__xludf.DUMMYFUNCTION("""COMPUTED_VALUE"""),46105)</f>
        <v>46105</v>
      </c>
      <c r="M824" s="23" t="str">
        <f ca="1">IFERROR(__xludf.DUMMYFUNCTION("""COMPUTED_VALUE"""),"NO")</f>
        <v>NO</v>
      </c>
      <c r="N824" s="15">
        <f ca="1">IFERROR(__xludf.DUMMYFUNCTION("""COMPUTED_VALUE"""),2)</f>
        <v>2</v>
      </c>
      <c r="O824" s="23" t="str">
        <f ca="1">IFERROR(__xludf.DUMMYFUNCTION("""COMPUTED_VALUE"""),"CONFORT")</f>
        <v>CONFORT</v>
      </c>
      <c r="P824" s="21">
        <f ca="1">IFERROR(__xludf.DUMMYFUNCTION("""COMPUTED_VALUE"""),3631.82)</f>
        <v>3631.82</v>
      </c>
      <c r="Q824" s="6" t="str">
        <f ca="1">IFERROR(__xludf.DUMMYFUNCTION("""COMPUTED_VALUE"""),"Luis Alberto Rodríguez")</f>
        <v>Luis Alberto Rodríguez</v>
      </c>
      <c r="R824" s="6" t="str">
        <f ca="1">IFERROR(__xludf.DUMMYFUNCTION("""COMPUTED_VALUE"""),"David Castro Gutiérrez de Agüero")</f>
        <v>David Castro Gutiérrez de Agüero</v>
      </c>
      <c r="S824" s="20" t="str">
        <f ca="1">IFERROR(__xludf.DUMMYFUNCTION("""COMPUTED_VALUE"""),"03 ORL")</f>
        <v>03 ORL</v>
      </c>
      <c r="T824" s="6" t="str">
        <f ca="1">IFERROR(__xludf.DUMMYFUNCTION("""COMPUTED_VALUE"""),"06 ORL")</f>
        <v>06 ORL</v>
      </c>
      <c r="U824" s="21"/>
      <c r="W824" s="20"/>
      <c r="X824" s="21"/>
    </row>
    <row r="825" spans="2:24" ht="16">
      <c r="B825" s="26" t="str">
        <f t="shared" ca="1" si="4"/>
        <v>#N/</v>
      </c>
      <c r="C825" s="23" t="str">
        <f ca="1">IFERROR(__xludf.DUMMYFUNCTION("""COMPUTED_VALUE"""),"#N/A")</f>
        <v>#N/A</v>
      </c>
      <c r="D825" s="6" t="str">
        <f ca="1">IFERROR(__xludf.DUMMYFUNCTION("""COMPUTED_VALUE"""),"PROPIOS")</f>
        <v>PROPIOS</v>
      </c>
      <c r="E825" s="6">
        <f ca="1">IFERROR(__xludf.DUMMYFUNCTION("""COMPUTED_VALUE"""),2026)</f>
        <v>2026</v>
      </c>
      <c r="F825" s="15">
        <f ca="1">IFERROR(__xludf.DUMMYFUNCTION("""COMPUTED_VALUE"""),3)</f>
        <v>3</v>
      </c>
      <c r="G825" s="6" t="str">
        <f ca="1">IFERROR(__xludf.DUMMYFUNCTION("""COMPUTED_VALUE"""),"Sevilla- Montoto")</f>
        <v>Sevilla- Montoto</v>
      </c>
      <c r="H825" s="6" t="str">
        <f ca="1">IFERROR(__xludf.DUMMYFUNCTION("""COMPUTED_VALUE"""),"C202622612343624663")</f>
        <v>C202622612343624663</v>
      </c>
      <c r="I825" s="6" t="str">
        <f ca="1">IFERROR(__xludf.DUMMYFUNCTION("""COMPUTED_VALUE"""),"FLORA FERNANDEZ RIVAS")</f>
        <v>FLORA FERNANDEZ RIVAS</v>
      </c>
      <c r="J825" s="16">
        <f ca="1">IFERROR(__xludf.DUMMYFUNCTION("""COMPUTED_VALUE"""),46079)</f>
        <v>46079</v>
      </c>
      <c r="K825" s="6" t="str">
        <f ca="1">IFERROR(__xludf.DUMMYFUNCTION("""COMPUTED_VALUE"""),"Prueba")</f>
        <v>Prueba</v>
      </c>
      <c r="L825" s="16">
        <f ca="1">IFERROR(__xludf.DUMMYFUNCTION("""COMPUTED_VALUE"""),46106)</f>
        <v>46106</v>
      </c>
      <c r="M825" s="23" t="str">
        <f ca="1">IFERROR(__xludf.DUMMYFUNCTION("""COMPUTED_VALUE"""),"NO")</f>
        <v>NO</v>
      </c>
      <c r="N825" s="15">
        <f ca="1">IFERROR(__xludf.DUMMYFUNCTION("""COMPUTED_VALUE"""),2)</f>
        <v>2</v>
      </c>
      <c r="O825" s="23" t="str">
        <f ca="1">IFERROR(__xludf.DUMMYFUNCTION("""COMPUTED_VALUE"""),"CONFORT")</f>
        <v>CONFORT</v>
      </c>
      <c r="P825" s="21">
        <f ca="1">IFERROR(__xludf.DUMMYFUNCTION("""COMPUTED_VALUE"""),3450)</f>
        <v>3450</v>
      </c>
      <c r="Q825" s="6" t="str">
        <f ca="1">IFERROR(__xludf.DUMMYFUNCTION("""COMPUTED_VALUE"""),"Luis Alberto Rodríguez")</f>
        <v>Luis Alberto Rodríguez</v>
      </c>
      <c r="R825" s="6" t="str">
        <f ca="1">IFERROR(__xludf.DUMMYFUNCTION("""COMPUTED_VALUE"""),"Alfonso María Pérez Sánchez
")</f>
        <v xml:space="preserve">Alfonso María Pérez Sánchez
</v>
      </c>
      <c r="S825" s="20" t="str">
        <f ca="1">IFERROR(__xludf.DUMMYFUNCTION("""COMPUTED_VALUE"""),"03 ORL")</f>
        <v>03 ORL</v>
      </c>
      <c r="T825" s="6" t="str">
        <f ca="1">IFERROR(__xludf.DUMMYFUNCTION("""COMPUTED_VALUE"""),"06 ORL")</f>
        <v>06 ORL</v>
      </c>
      <c r="U825" s="21"/>
      <c r="W825" s="20"/>
      <c r="X825" s="21"/>
    </row>
    <row r="826" spans="2:24" ht="16">
      <c r="B826" s="26" t="str">
        <f t="shared" ca="1" si="4"/>
        <v>LAA</v>
      </c>
      <c r="C826" s="23" t="str">
        <f ca="1">IFERROR(__xludf.DUMMYFUNCTION("""COMPUTED_VALUE"""),"LAA40")</f>
        <v>LAA40</v>
      </c>
      <c r="D826" s="6" t="str">
        <f ca="1">IFERROR(__xludf.DUMMYFUNCTION("""COMPUTED_VALUE"""),"PROPIOS")</f>
        <v>PROPIOS</v>
      </c>
      <c r="E826" s="6">
        <f ca="1">IFERROR(__xludf.DUMMYFUNCTION("""COMPUTED_VALUE"""),2026)</f>
        <v>2026</v>
      </c>
      <c r="F826" s="15">
        <f ca="1">IFERROR(__xludf.DUMMYFUNCTION("""COMPUTED_VALUE"""),3)</f>
        <v>3</v>
      </c>
      <c r="G826" s="6" t="str">
        <f ca="1">IFERROR(__xludf.DUMMYFUNCTION("""COMPUTED_VALUE"""),"Sevilla- Montoto")</f>
        <v>Sevilla- Montoto</v>
      </c>
      <c r="H826" s="6" t="str">
        <f ca="1">IFERROR(__xludf.DUMMYFUNCTION("""COMPUTED_VALUE"""),"C202639165449340273")</f>
        <v>C202639165449340273</v>
      </c>
      <c r="I826" s="6" t="str">
        <f ca="1">IFERROR(__xludf.DUMMYFUNCTION("""COMPUTED_VALUE"""),"FRANCISCO CHACON BENITEZ")</f>
        <v>FRANCISCO CHACON BENITEZ</v>
      </c>
      <c r="J826" s="16">
        <f ca="1">IFERROR(__xludf.DUMMYFUNCTION("""COMPUTED_VALUE"""),46090)</f>
        <v>46090</v>
      </c>
      <c r="K826" s="6" t="str">
        <f ca="1">IFERROR(__xludf.DUMMYFUNCTION("""COMPUTED_VALUE"""),"Prueba")</f>
        <v>Prueba</v>
      </c>
      <c r="L826" s="16">
        <f ca="1">IFERROR(__xludf.DUMMYFUNCTION("""COMPUTED_VALUE"""),46098)</f>
        <v>46098</v>
      </c>
      <c r="M826" s="23" t="str">
        <f ca="1">IFERROR(__xludf.DUMMYFUNCTION("""COMPUTED_VALUE"""),"NO")</f>
        <v>NO</v>
      </c>
      <c r="N826" s="15">
        <f ca="1">IFERROR(__xludf.DUMMYFUNCTION("""COMPUTED_VALUE"""),2)</f>
        <v>2</v>
      </c>
      <c r="O826" s="23" t="str">
        <f ca="1">IFERROR(__xludf.DUMMYFUNCTION("""COMPUTED_VALUE"""),"QUIET")</f>
        <v>QUIET</v>
      </c>
      <c r="P826" s="21">
        <f ca="1">IFERROR(__xludf.DUMMYFUNCTION("""COMPUTED_VALUE"""),2591.04)</f>
        <v>2591.04</v>
      </c>
      <c r="Q826" s="6" t="str">
        <f ca="1">IFERROR(__xludf.DUMMYFUNCTION("""COMPUTED_VALUE"""),"Luis Alberto Rodríguez")</f>
        <v>Luis Alberto Rodríguez</v>
      </c>
      <c r="R826" s="6" t="str">
        <f ca="1">IFERROR(__xludf.DUMMYFUNCTION("""COMPUTED_VALUE"""),"Rafael Ruiz Fito")</f>
        <v>Rafael Ruiz Fito</v>
      </c>
      <c r="S826" s="20" t="str">
        <f ca="1">IFERROR(__xludf.DUMMYFUNCTION("""COMPUTED_VALUE"""),"03 ORL")</f>
        <v>03 ORL</v>
      </c>
      <c r="T826" s="6" t="str">
        <f ca="1">IFERROR(__xludf.DUMMYFUNCTION("""COMPUTED_VALUE"""),"06 ORL")</f>
        <v>06 ORL</v>
      </c>
      <c r="U826" s="21"/>
      <c r="W826" s="20"/>
      <c r="X826" s="21"/>
    </row>
    <row r="827" spans="2:24" ht="16">
      <c r="B827" s="26" t="str">
        <f t="shared" ca="1" si="4"/>
        <v>LAA</v>
      </c>
      <c r="C827" s="23" t="str">
        <f ca="1">IFERROR(__xludf.DUMMYFUNCTION("""COMPUTED_VALUE"""),"LAA13")</f>
        <v>LAA13</v>
      </c>
      <c r="D827" s="6" t="str">
        <f ca="1">IFERROR(__xludf.DUMMYFUNCTION("""COMPUTED_VALUE"""),"PROPIOS")</f>
        <v>PROPIOS</v>
      </c>
      <c r="E827" s="6">
        <f ca="1">IFERROR(__xludf.DUMMYFUNCTION("""COMPUTED_VALUE"""),2026)</f>
        <v>2026</v>
      </c>
      <c r="F827" s="15">
        <f ca="1">IFERROR(__xludf.DUMMYFUNCTION("""COMPUTED_VALUE"""),3)</f>
        <v>3</v>
      </c>
      <c r="G827" s="6" t="str">
        <f ca="1">IFERROR(__xludf.DUMMYFUNCTION("""COMPUTED_VALUE"""),"Sevilla- Montoto")</f>
        <v>Sevilla- Montoto</v>
      </c>
      <c r="H827" s="6" t="str">
        <f ca="1">IFERROR(__xludf.DUMMYFUNCTION("""COMPUTED_VALUE"""),"C202634124431378698")</f>
        <v>C202634124431378698</v>
      </c>
      <c r="I827" s="6" t="str">
        <f ca="1">IFERROR(__xludf.DUMMYFUNCTION("""COMPUTED_VALUE"""),"FRANCISCO MORETE RODRIGUEZ")</f>
        <v>FRANCISCO MORETE RODRIGUEZ</v>
      </c>
      <c r="J827" s="16">
        <f ca="1">IFERROR(__xludf.DUMMYFUNCTION("""COMPUTED_VALUE"""),46085)</f>
        <v>46085</v>
      </c>
      <c r="K827" s="6" t="str">
        <f ca="1">IFERROR(__xludf.DUMMYFUNCTION("""COMPUTED_VALUE"""),"Prueba")</f>
        <v>Prueba</v>
      </c>
      <c r="L827" s="16">
        <f ca="1">IFERROR(__xludf.DUMMYFUNCTION("""COMPUTED_VALUE"""),46097)</f>
        <v>46097</v>
      </c>
      <c r="M827" s="23" t="str">
        <f ca="1">IFERROR(__xludf.DUMMYFUNCTION("""COMPUTED_VALUE"""),"NO")</f>
        <v>NO</v>
      </c>
      <c r="N827" s="15">
        <f ca="1">IFERROR(__xludf.DUMMYFUNCTION("""COMPUTED_VALUE"""),2)</f>
        <v>2</v>
      </c>
      <c r="O827" s="23" t="str">
        <f ca="1">IFERROR(__xludf.DUMMYFUNCTION("""COMPUTED_VALUE"""),"ADVANCED")</f>
        <v>ADVANCED</v>
      </c>
      <c r="P827" s="21">
        <f ca="1">IFERROR(__xludf.DUMMYFUNCTION("""COMPUTED_VALUE"""),4136.36)</f>
        <v>4136.3599999999997</v>
      </c>
      <c r="Q827" s="6" t="str">
        <f ca="1">IFERROR(__xludf.DUMMYFUNCTION("""COMPUTED_VALUE"""),"Luis Alberto Rodríguez")</f>
        <v>Luis Alberto Rodríguez</v>
      </c>
      <c r="R827" s="6" t="str">
        <f ca="1">IFERROR(__xludf.DUMMYFUNCTION("""COMPUTED_VALUE"""),"Francisco Javier Aguilar Vera")</f>
        <v>Francisco Javier Aguilar Vera</v>
      </c>
      <c r="S827" s="20" t="str">
        <f ca="1">IFERROR(__xludf.DUMMYFUNCTION("""COMPUTED_VALUE"""),"03 ORL")</f>
        <v>03 ORL</v>
      </c>
      <c r="T827" s="6" t="str">
        <f ca="1">IFERROR(__xludf.DUMMYFUNCTION("""COMPUTED_VALUE"""),"06 ORL")</f>
        <v>06 ORL</v>
      </c>
      <c r="U827" s="21"/>
      <c r="W827" s="20"/>
      <c r="X827" s="21"/>
    </row>
    <row r="828" spans="2:24" ht="16">
      <c r="B828" s="26" t="str">
        <f t="shared" ca="1" si="4"/>
        <v>LAA</v>
      </c>
      <c r="C828" s="23" t="str">
        <f ca="1">IFERROR(__xludf.DUMMYFUNCTION("""COMPUTED_VALUE"""),"LAA43")</f>
        <v>LAA43</v>
      </c>
      <c r="D828" s="6" t="str">
        <f ca="1">IFERROR(__xludf.DUMMYFUNCTION("""COMPUTED_VALUE"""),"PROPIOS")</f>
        <v>PROPIOS</v>
      </c>
      <c r="E828" s="6">
        <f ca="1">IFERROR(__xludf.DUMMYFUNCTION("""COMPUTED_VALUE"""),2026)</f>
        <v>2026</v>
      </c>
      <c r="F828" s="15">
        <f ca="1">IFERROR(__xludf.DUMMYFUNCTION("""COMPUTED_VALUE"""),2)</f>
        <v>2</v>
      </c>
      <c r="G828" s="6" t="str">
        <f ca="1">IFERROR(__xludf.DUMMYFUNCTION("""COMPUTED_VALUE"""),"Sevilla- Montoto")</f>
        <v>Sevilla- Montoto</v>
      </c>
      <c r="H828" s="6" t="str">
        <f ca="1">IFERROR(__xludf.DUMMYFUNCTION("""COMPUTED_VALUE"""),"C202622310210084834")</f>
        <v>C202622310210084834</v>
      </c>
      <c r="I828" s="6" t="str">
        <f ca="1">IFERROR(__xludf.DUMMYFUNCTION("""COMPUTED_VALUE"""),"JOSE ANTONIO GARCIA LOPEZ")</f>
        <v>JOSE ANTONIO GARCIA LOPEZ</v>
      </c>
      <c r="J828" s="16">
        <f ca="1">IFERROR(__xludf.DUMMYFUNCTION("""COMPUTED_VALUE"""),46076)</f>
        <v>46076</v>
      </c>
      <c r="K828" s="6" t="str">
        <f ca="1">IFERROR(__xludf.DUMMYFUNCTION("""COMPUTED_VALUE"""),"Devuelve")</f>
        <v>Devuelve</v>
      </c>
      <c r="L828" s="16">
        <f ca="1">IFERROR(__xludf.DUMMYFUNCTION("""COMPUTED_VALUE"""),46080)</f>
        <v>46080</v>
      </c>
      <c r="M828" s="23" t="str">
        <f ca="1">IFERROR(__xludf.DUMMYFUNCTION("""COMPUTED_VALUE"""),"NO")</f>
        <v>NO</v>
      </c>
      <c r="N828" s="15">
        <f ca="1">IFERROR(__xludf.DUMMYFUNCTION("""COMPUTED_VALUE"""),2)</f>
        <v>2</v>
      </c>
      <c r="O828" s="23" t="str">
        <f ca="1">IFERROR(__xludf.DUMMYFUNCTION("""COMPUTED_VALUE"""),"TRIAL")</f>
        <v>TRIAL</v>
      </c>
      <c r="P828" s="21">
        <f ca="1">IFERROR(__xludf.DUMMYFUNCTION("""COMPUTED_VALUE"""),3631.82)</f>
        <v>3631.82</v>
      </c>
      <c r="Q828" s="6" t="str">
        <f ca="1">IFERROR(__xludf.DUMMYFUNCTION("""COMPUTED_VALUE"""),"Luis Alberto Rodríguez")</f>
        <v>Luis Alberto Rodríguez</v>
      </c>
      <c r="R828" s="6" t="str">
        <f ca="1">IFERROR(__xludf.DUMMYFUNCTION("""COMPUTED_VALUE"""),"Ulises Bidón Gómez")</f>
        <v>Ulises Bidón Gómez</v>
      </c>
      <c r="S828" s="20" t="str">
        <f ca="1">IFERROR(__xludf.DUMMYFUNCTION("""COMPUTED_VALUE"""),"03 ORL")</f>
        <v>03 ORL</v>
      </c>
      <c r="T828" s="6" t="str">
        <f ca="1">IFERROR(__xludf.DUMMYFUNCTION("""COMPUTED_VALUE"""),"06 ORL")</f>
        <v>06 ORL</v>
      </c>
      <c r="U828" s="21"/>
      <c r="W828" s="20"/>
      <c r="X828" s="21"/>
    </row>
    <row r="829" spans="2:24" ht="16">
      <c r="B829" s="26" t="str">
        <f t="shared" ca="1" si="4"/>
        <v/>
      </c>
      <c r="C829" s="23"/>
      <c r="D829" s="6" t="str">
        <f ca="1">IFERROR(__xludf.DUMMYFUNCTION("""COMPUTED_VALUE"""),"PROPIOS")</f>
        <v>PROPIOS</v>
      </c>
      <c r="E829" s="6">
        <f ca="1">IFERROR(__xludf.DUMMYFUNCTION("""COMPUTED_VALUE"""),2026)</f>
        <v>2026</v>
      </c>
      <c r="F829" s="15">
        <f ca="1">IFERROR(__xludf.DUMMYFUNCTION("""COMPUTED_VALUE"""),4)</f>
        <v>4</v>
      </c>
      <c r="G829" s="6" t="str">
        <f ca="1">IFERROR(__xludf.DUMMYFUNCTION("""COMPUTED_VALUE"""),"Sevilla- Montoto")</f>
        <v>Sevilla- Montoto</v>
      </c>
      <c r="H829" s="6" t="str">
        <f ca="1">IFERROR(__xludf.DUMMYFUNCTION("""COMPUTED_VALUE"""),"C202633110122460652")</f>
        <v>C202633110122460652</v>
      </c>
      <c r="I829" s="6" t="str">
        <f ca="1">IFERROR(__xludf.DUMMYFUNCTION("""COMPUTED_VALUE"""),"JULIANA PERERA GATA")</f>
        <v>JULIANA PERERA GATA</v>
      </c>
      <c r="J829" s="16">
        <f ca="1">IFERROR(__xludf.DUMMYFUNCTION("""COMPUTED_VALUE"""),46112)</f>
        <v>46112</v>
      </c>
      <c r="K829" s="6" t="str">
        <f ca="1">IFERROR(__xludf.DUMMYFUNCTION("""COMPUTED_VALUE"""),"Pedido")</f>
        <v>Pedido</v>
      </c>
      <c r="L829" s="16">
        <f ca="1">IFERROR(__xludf.DUMMYFUNCTION("""COMPUTED_VALUE"""),46113)</f>
        <v>46113</v>
      </c>
      <c r="M829" s="23" t="str">
        <f ca="1">IFERROR(__xludf.DUMMYFUNCTION("""COMPUTED_VALUE"""),"NO")</f>
        <v>NO</v>
      </c>
      <c r="N829" s="15">
        <f ca="1">IFERROR(__xludf.DUMMYFUNCTION("""COMPUTED_VALUE"""),2)</f>
        <v>2</v>
      </c>
      <c r="O829" s="23" t="str">
        <f ca="1">IFERROR(__xludf.DUMMYFUNCTION("""COMPUTED_VALUE"""),"CONFORT")</f>
        <v>CONFORT</v>
      </c>
      <c r="P829" s="21">
        <f ca="1">IFERROR(__xludf.DUMMYFUNCTION("""COMPUTED_VALUE"""),3631.82)</f>
        <v>3631.82</v>
      </c>
      <c r="Q829" s="6" t="str">
        <f ca="1">IFERROR(__xludf.DUMMYFUNCTION("""COMPUTED_VALUE"""),"Luis Alberto Rodríguez")</f>
        <v>Luis Alberto Rodríguez</v>
      </c>
      <c r="R829" s="6" t="str">
        <f ca="1">IFERROR(__xludf.DUMMYFUNCTION("""COMPUTED_VALUE"""),"No recuerda ORL")</f>
        <v>No recuerda ORL</v>
      </c>
      <c r="S829" s="20" t="str">
        <f ca="1">IFERROR(__xludf.DUMMYFUNCTION("""COMPUTED_VALUE"""),"03 ORL")</f>
        <v>03 ORL</v>
      </c>
      <c r="T829" s="6" t="str">
        <f ca="1">IFERROR(__xludf.DUMMYFUNCTION("""COMPUTED_VALUE"""),"06 ORL")</f>
        <v>06 ORL</v>
      </c>
      <c r="U829" s="21"/>
      <c r="W829" s="20"/>
      <c r="X829" s="21"/>
    </row>
    <row r="830" spans="2:24" ht="16">
      <c r="B830" s="26" t="str">
        <f t="shared" ca="1" si="4"/>
        <v/>
      </c>
      <c r="C830" s="23"/>
      <c r="D830" s="6" t="str">
        <f ca="1">IFERROR(__xludf.DUMMYFUNCTION("""COMPUTED_VALUE"""),"PROPIOS")</f>
        <v>PROPIOS</v>
      </c>
      <c r="E830" s="6">
        <f ca="1">IFERROR(__xludf.DUMMYFUNCTION("""COMPUTED_VALUE"""),2026)</f>
        <v>2026</v>
      </c>
      <c r="F830" s="15">
        <f ca="1">IFERROR(__xludf.DUMMYFUNCTION("""COMPUTED_VALUE"""),4)</f>
        <v>4</v>
      </c>
      <c r="G830" s="6" t="str">
        <f ca="1">IFERROR(__xludf.DUMMYFUNCTION("""COMPUTED_VALUE"""),"Sevilla- Montoto")</f>
        <v>Sevilla- Montoto</v>
      </c>
      <c r="H830" s="6" t="str">
        <f ca="1">IFERROR(__xludf.DUMMYFUNCTION("""COMPUTED_VALUE"""),"C202632618284293288")</f>
        <v>C202632618284293288</v>
      </c>
      <c r="I830" s="6" t="str">
        <f ca="1">IFERROR(__xludf.DUMMYFUNCTION("""COMPUTED_VALUE"""),"MAGDALENA ARJONA CANO")</f>
        <v>MAGDALENA ARJONA CANO</v>
      </c>
      <c r="J830" s="16">
        <f ca="1">IFERROR(__xludf.DUMMYFUNCTION("""COMPUTED_VALUE"""),46107)</f>
        <v>46107</v>
      </c>
      <c r="K830" s="6" t="str">
        <f ca="1">IFERROR(__xludf.DUMMYFUNCTION("""COMPUTED_VALUE"""),"Pedido")</f>
        <v>Pedido</v>
      </c>
      <c r="L830" s="16">
        <f ca="1">IFERROR(__xludf.DUMMYFUNCTION("""COMPUTED_VALUE"""),46113)</f>
        <v>46113</v>
      </c>
      <c r="M830" s="23" t="str">
        <f ca="1">IFERROR(__xludf.DUMMYFUNCTION("""COMPUTED_VALUE"""),"NO")</f>
        <v>NO</v>
      </c>
      <c r="N830" s="15">
        <f ca="1">IFERROR(__xludf.DUMMYFUNCTION("""COMPUTED_VALUE"""),1)</f>
        <v>1</v>
      </c>
      <c r="O830" s="23" t="str">
        <f ca="1">IFERROR(__xludf.DUMMYFUNCTION("""COMPUTED_VALUE"""),"CONFORT")</f>
        <v>CONFORT</v>
      </c>
      <c r="P830" s="21">
        <f ca="1">IFERROR(__xludf.DUMMYFUNCTION("""COMPUTED_VALUE"""),2899.09)</f>
        <v>2899.09</v>
      </c>
      <c r="Q830" s="6" t="str">
        <f ca="1">IFERROR(__xludf.DUMMYFUNCTION("""COMPUTED_VALUE"""),"Luis Alberto Rodríguez")</f>
        <v>Luis Alberto Rodríguez</v>
      </c>
      <c r="R830" s="6" t="str">
        <f ca="1">IFERROR(__xludf.DUMMYFUNCTION("""COMPUTED_VALUE"""),"No recuerda ORL")</f>
        <v>No recuerda ORL</v>
      </c>
      <c r="S830" s="20" t="str">
        <f ca="1">IFERROR(__xludf.DUMMYFUNCTION("""COMPUTED_VALUE"""),"03 ORL")</f>
        <v>03 ORL</v>
      </c>
      <c r="T830" s="6" t="str">
        <f ca="1">IFERROR(__xludf.DUMMYFUNCTION("""COMPUTED_VALUE"""),"06 ORL")</f>
        <v>06 ORL</v>
      </c>
      <c r="U830" s="21"/>
      <c r="W830" s="20"/>
      <c r="X830" s="21"/>
    </row>
    <row r="831" spans="2:24" ht="16">
      <c r="B831" s="26" t="str">
        <f t="shared" ca="1" si="4"/>
        <v>MBM</v>
      </c>
      <c r="C831" s="23" t="str">
        <f ca="1">IFERROR(__xludf.DUMMYFUNCTION("""COMPUTED_VALUE"""),"MBM150")</f>
        <v>MBM150</v>
      </c>
      <c r="D831" s="6" t="str">
        <f ca="1">IFERROR(__xludf.DUMMYFUNCTION("""COMPUTED_VALUE"""),"PROPIOS")</f>
        <v>PROPIOS</v>
      </c>
      <c r="E831" s="6">
        <f ca="1">IFERROR(__xludf.DUMMYFUNCTION("""COMPUTED_VALUE"""),2026)</f>
        <v>2026</v>
      </c>
      <c r="F831" s="15">
        <f ca="1">IFERROR(__xludf.DUMMYFUNCTION("""COMPUTED_VALUE"""),1)</f>
        <v>1</v>
      </c>
      <c r="G831" s="6" t="str">
        <f ca="1">IFERROR(__xludf.DUMMYFUNCTION("""COMPUTED_VALUE"""),"Sevilla- Montoto")</f>
        <v>Sevilla- Montoto</v>
      </c>
      <c r="H831" s="6" t="str">
        <f ca="1">IFERROR(__xludf.DUMMYFUNCTION("""COMPUTED_VALUE"""),"C202612211261416865")</f>
        <v>C202612211261416865</v>
      </c>
      <c r="I831" s="6" t="str">
        <f ca="1">IFERROR(__xludf.DUMMYFUNCTION("""COMPUTED_VALUE"""),"MANUEL JIMENEZ CABRERIZO")</f>
        <v>MANUEL JIMENEZ CABRERIZO</v>
      </c>
      <c r="J831" s="16">
        <f ca="1">IFERROR(__xludf.DUMMYFUNCTION("""COMPUTED_VALUE"""),46044)</f>
        <v>46044</v>
      </c>
      <c r="K831" s="6" t="str">
        <f ca="1">IFERROR(__xludf.DUMMYFUNCTION("""COMPUTED_VALUE"""),"Devuelve")</f>
        <v>Devuelve</v>
      </c>
      <c r="L831" s="16">
        <f ca="1">IFERROR(__xludf.DUMMYFUNCTION("""COMPUTED_VALUE"""),46052)</f>
        <v>46052</v>
      </c>
      <c r="M831" s="23" t="str">
        <f ca="1">IFERROR(__xludf.DUMMYFUNCTION("""COMPUTED_VALUE"""),"NO")</f>
        <v>NO</v>
      </c>
      <c r="N831" s="15">
        <f ca="1">IFERROR(__xludf.DUMMYFUNCTION("""COMPUTED_VALUE"""),2)</f>
        <v>2</v>
      </c>
      <c r="O831" s="23" t="str">
        <f ca="1">IFERROR(__xludf.DUMMYFUNCTION("""COMPUTED_VALUE"""),"QUIET")</f>
        <v>QUIET</v>
      </c>
      <c r="P831" s="21">
        <f ca="1">IFERROR(__xludf.DUMMYFUNCTION("""COMPUTED_VALUE"""),2718.18)</f>
        <v>2718.18</v>
      </c>
      <c r="Q831" s="6" t="str">
        <f ca="1">IFERROR(__xludf.DUMMYFUNCTION("""COMPUTED_VALUE"""),"Luis Alberto Rodríguez")</f>
        <v>Luis Alberto Rodríguez</v>
      </c>
      <c r="R831" s="6" t="str">
        <f ca="1">IFERROR(__xludf.DUMMYFUNCTION("""COMPUTED_VALUE"""),"María González Menéndez")</f>
        <v>María González Menéndez</v>
      </c>
      <c r="S831" s="20" t="str">
        <f ca="1">IFERROR(__xludf.DUMMYFUNCTION("""COMPUTED_VALUE"""),"03 ORL")</f>
        <v>03 ORL</v>
      </c>
      <c r="T831" s="6" t="str">
        <f ca="1">IFERROR(__xludf.DUMMYFUNCTION("""COMPUTED_VALUE"""),"06 ORL")</f>
        <v>06 ORL</v>
      </c>
      <c r="U831" s="21"/>
      <c r="W831" s="20"/>
      <c r="X831" s="21"/>
    </row>
    <row r="832" spans="2:24" ht="16">
      <c r="B832" s="26" t="str">
        <f t="shared" ca="1" si="4"/>
        <v>LAA</v>
      </c>
      <c r="C832" s="23" t="str">
        <f ca="1">IFERROR(__xludf.DUMMYFUNCTION("""COMPUTED_VALUE"""),"LAA02")</f>
        <v>LAA02</v>
      </c>
      <c r="D832" s="6" t="str">
        <f ca="1">IFERROR(__xludf.DUMMYFUNCTION("""COMPUTED_VALUE"""),"PROPIOS")</f>
        <v>PROPIOS</v>
      </c>
      <c r="E832" s="6">
        <f ca="1">IFERROR(__xludf.DUMMYFUNCTION("""COMPUTED_VALUE"""),2026)</f>
        <v>2026</v>
      </c>
      <c r="F832" s="15">
        <f ca="1">IFERROR(__xludf.DUMMYFUNCTION("""COMPUTED_VALUE"""),3)</f>
        <v>3</v>
      </c>
      <c r="G832" s="6" t="str">
        <f ca="1">IFERROR(__xludf.DUMMYFUNCTION("""COMPUTED_VALUE"""),"Sevilla- Montoto")</f>
        <v>Sevilla- Montoto</v>
      </c>
      <c r="H832" s="6" t="str">
        <f ca="1">IFERROR(__xludf.DUMMYFUNCTION("""COMPUTED_VALUE"""),"C202617113119363215")</f>
        <v>C202617113119363215</v>
      </c>
      <c r="I832" s="6" t="str">
        <f ca="1">IFERROR(__xludf.DUMMYFUNCTION("""COMPUTED_VALUE"""),"MARIA ANTONIA VILLEGAS MARQUEZ")</f>
        <v>MARIA ANTONIA VILLEGAS MARQUEZ</v>
      </c>
      <c r="J832" s="16">
        <f ca="1">IFERROR(__xludf.DUMMYFUNCTION("""COMPUTED_VALUE"""),46029)</f>
        <v>46029</v>
      </c>
      <c r="K832" s="6" t="str">
        <f ca="1">IFERROR(__xludf.DUMMYFUNCTION("""COMPUTED_VALUE"""),"Prueba")</f>
        <v>Prueba</v>
      </c>
      <c r="L832" s="16">
        <f ca="1">IFERROR(__xludf.DUMMYFUNCTION("""COMPUTED_VALUE"""),46098)</f>
        <v>46098</v>
      </c>
      <c r="M832" s="23" t="str">
        <f ca="1">IFERROR(__xludf.DUMMYFUNCTION("""COMPUTED_VALUE"""),"NO")</f>
        <v>NO</v>
      </c>
      <c r="N832" s="15">
        <f ca="1">IFERROR(__xludf.DUMMYFUNCTION("""COMPUTED_VALUE"""),2)</f>
        <v>2</v>
      </c>
      <c r="O832" s="23" t="str">
        <f ca="1">IFERROR(__xludf.DUMMYFUNCTION("""COMPUTED_VALUE"""),"TRIAL")</f>
        <v>TRIAL</v>
      </c>
      <c r="P832" s="21">
        <f ca="1">IFERROR(__xludf.DUMMYFUNCTION("""COMPUTED_VALUE"""),3631.82)</f>
        <v>3631.82</v>
      </c>
      <c r="Q832" s="6" t="str">
        <f ca="1">IFERROR(__xludf.DUMMYFUNCTION("""COMPUTED_VALUE"""),"Luis Alberto Rodríguez")</f>
        <v>Luis Alberto Rodríguez</v>
      </c>
      <c r="R832" s="6" t="str">
        <f ca="1">IFERROR(__xludf.DUMMYFUNCTION("""COMPUTED_VALUE"""),"Antonio Gandúl Merchán")</f>
        <v>Antonio Gandúl Merchán</v>
      </c>
      <c r="S832" s="20" t="str">
        <f ca="1">IFERROR(__xludf.DUMMYFUNCTION("""COMPUTED_VALUE"""),"03 ORL")</f>
        <v>03 ORL</v>
      </c>
      <c r="T832" s="6" t="str">
        <f ca="1">IFERROR(__xludf.DUMMYFUNCTION("""COMPUTED_VALUE"""),"06 ORL")</f>
        <v>06 ORL</v>
      </c>
      <c r="U832" s="21"/>
      <c r="W832" s="20"/>
      <c r="X832" s="21"/>
    </row>
    <row r="833" spans="2:24" ht="16">
      <c r="B833" s="26" t="str">
        <f t="shared" ca="1" si="4"/>
        <v>LAA</v>
      </c>
      <c r="C833" s="23" t="str">
        <f ca="1">IFERROR(__xludf.DUMMYFUNCTION("""COMPUTED_VALUE"""),"LAA13")</f>
        <v>LAA13</v>
      </c>
      <c r="D833" s="6" t="str">
        <f ca="1">IFERROR(__xludf.DUMMYFUNCTION("""COMPUTED_VALUE"""),"PROPIOS")</f>
        <v>PROPIOS</v>
      </c>
      <c r="E833" s="6">
        <f ca="1">IFERROR(__xludf.DUMMYFUNCTION("""COMPUTED_VALUE"""),2026)</f>
        <v>2026</v>
      </c>
      <c r="F833" s="15">
        <f ca="1">IFERROR(__xludf.DUMMYFUNCTION("""COMPUTED_VALUE"""),3)</f>
        <v>3</v>
      </c>
      <c r="G833" s="6" t="str">
        <f ca="1">IFERROR(__xludf.DUMMYFUNCTION("""COMPUTED_VALUE"""),"Sevilla- Montoto")</f>
        <v>Sevilla- Montoto</v>
      </c>
      <c r="H833" s="6" t="str">
        <f ca="1">IFERROR(__xludf.DUMMYFUNCTION("""COMPUTED_VALUE"""),"C20263511836027287")</f>
        <v>C20263511836027287</v>
      </c>
      <c r="I833" s="6" t="str">
        <f ca="1">IFERROR(__xludf.DUMMYFUNCTION("""COMPUTED_VALUE"""),"MARIA ISABEL CREMADES SANZ-PASTOR")</f>
        <v>MARIA ISABEL CREMADES SANZ-PASTOR</v>
      </c>
      <c r="J833" s="16">
        <f ca="1">IFERROR(__xludf.DUMMYFUNCTION("""COMPUTED_VALUE"""),46086)</f>
        <v>46086</v>
      </c>
      <c r="K833" s="6" t="str">
        <f ca="1">IFERROR(__xludf.DUMMYFUNCTION("""COMPUTED_VALUE"""),"Presupuesto")</f>
        <v>Presupuesto</v>
      </c>
      <c r="L833" s="16">
        <f ca="1">IFERROR(__xludf.DUMMYFUNCTION("""COMPUTED_VALUE"""),46086)</f>
        <v>46086</v>
      </c>
      <c r="M833" s="23" t="str">
        <f ca="1">IFERROR(__xludf.DUMMYFUNCTION("""COMPUTED_VALUE"""),"NO")</f>
        <v>NO</v>
      </c>
      <c r="N833" s="15">
        <f ca="1">IFERROR(__xludf.DUMMYFUNCTION("""COMPUTED_VALUE"""),1)</f>
        <v>1</v>
      </c>
      <c r="O833" s="23" t="str">
        <f ca="1">IFERROR(__xludf.DUMMYFUNCTION("""COMPUTED_VALUE"""),"CONFORT")</f>
        <v>CONFORT</v>
      </c>
      <c r="P833" s="21">
        <f ca="1">IFERROR(__xludf.DUMMYFUNCTION("""COMPUTED_VALUE"""),2180.91)</f>
        <v>2180.91</v>
      </c>
      <c r="Q833" s="6" t="str">
        <f ca="1">IFERROR(__xludf.DUMMYFUNCTION("""COMPUTED_VALUE"""),"Luis Alberto Rodríguez")</f>
        <v>Luis Alberto Rodríguez</v>
      </c>
      <c r="R833" s="6" t="str">
        <f ca="1">IFERROR(__xludf.DUMMYFUNCTION("""COMPUTED_VALUE"""),"Francisco Javier Aguilar Vera")</f>
        <v>Francisco Javier Aguilar Vera</v>
      </c>
      <c r="S833" s="20" t="str">
        <f ca="1">IFERROR(__xludf.DUMMYFUNCTION("""COMPUTED_VALUE"""),"03 ORL")</f>
        <v>03 ORL</v>
      </c>
      <c r="T833" s="6" t="str">
        <f ca="1">IFERROR(__xludf.DUMMYFUNCTION("""COMPUTED_VALUE"""),"06 ORL")</f>
        <v>06 ORL</v>
      </c>
      <c r="U833" s="21"/>
      <c r="W833" s="20"/>
      <c r="X833" s="21"/>
    </row>
    <row r="834" spans="2:24" ht="16">
      <c r="B834" s="26" t="str">
        <f t="shared" ca="1" si="4"/>
        <v>LAA</v>
      </c>
      <c r="C834" s="23" t="str">
        <f ca="1">IFERROR(__xludf.DUMMYFUNCTION("""COMPUTED_VALUE"""),"LAA43")</f>
        <v>LAA43</v>
      </c>
      <c r="D834" s="6" t="str">
        <f ca="1">IFERROR(__xludf.DUMMYFUNCTION("""COMPUTED_VALUE"""),"PROPIOS")</f>
        <v>PROPIOS</v>
      </c>
      <c r="E834" s="6">
        <f ca="1">IFERROR(__xludf.DUMMYFUNCTION("""COMPUTED_VALUE"""),2026)</f>
        <v>2026</v>
      </c>
      <c r="F834" s="15">
        <f ca="1">IFERROR(__xludf.DUMMYFUNCTION("""COMPUTED_VALUE"""),3)</f>
        <v>3</v>
      </c>
      <c r="G834" s="6" t="str">
        <f ca="1">IFERROR(__xludf.DUMMYFUNCTION("""COMPUTED_VALUE"""),"Sevilla- Montoto")</f>
        <v>Sevilla- Montoto</v>
      </c>
      <c r="H834" s="6" t="str">
        <f ca="1">IFERROR(__xludf.DUMMYFUNCTION("""COMPUTED_VALUE"""),"C20263179024356536")</f>
        <v>C20263179024356536</v>
      </c>
      <c r="I834" s="6" t="str">
        <f ca="1">IFERROR(__xludf.DUMMYFUNCTION("""COMPUTED_VALUE"""),"MERCEDES CERRADA CABEZA")</f>
        <v>MERCEDES CERRADA CABEZA</v>
      </c>
      <c r="J834" s="16">
        <f ca="1">IFERROR(__xludf.DUMMYFUNCTION("""COMPUTED_VALUE"""),46098)</f>
        <v>46098</v>
      </c>
      <c r="K834" s="6" t="str">
        <f ca="1">IFERROR(__xludf.DUMMYFUNCTION("""COMPUTED_VALUE"""),"Prueba")</f>
        <v>Prueba</v>
      </c>
      <c r="L834" s="16">
        <f ca="1">IFERROR(__xludf.DUMMYFUNCTION("""COMPUTED_VALUE"""),46105)</f>
        <v>46105</v>
      </c>
      <c r="M834" s="23" t="str">
        <f ca="1">IFERROR(__xludf.DUMMYFUNCTION("""COMPUTED_VALUE"""),"NO")</f>
        <v>NO</v>
      </c>
      <c r="N834" s="15">
        <f ca="1">IFERROR(__xludf.DUMMYFUNCTION("""COMPUTED_VALUE"""),2)</f>
        <v>2</v>
      </c>
      <c r="O834" s="23" t="str">
        <f ca="1">IFERROR(__xludf.DUMMYFUNCTION("""COMPUTED_VALUE"""),"TRIAL")</f>
        <v>TRIAL</v>
      </c>
      <c r="P834" s="21">
        <f ca="1">IFERROR(__xludf.DUMMYFUNCTION("""COMPUTED_VALUE"""),3631.82)</f>
        <v>3631.82</v>
      </c>
      <c r="Q834" s="6" t="str">
        <f ca="1">IFERROR(__xludf.DUMMYFUNCTION("""COMPUTED_VALUE"""),"Luis Alberto Rodríguez")</f>
        <v>Luis Alberto Rodríguez</v>
      </c>
      <c r="R834" s="6" t="str">
        <f ca="1">IFERROR(__xludf.DUMMYFUNCTION("""COMPUTED_VALUE"""),"Ulises Bidón Gómez")</f>
        <v>Ulises Bidón Gómez</v>
      </c>
      <c r="S834" s="20" t="str">
        <f ca="1">IFERROR(__xludf.DUMMYFUNCTION("""COMPUTED_VALUE"""),"03 ORL")</f>
        <v>03 ORL</v>
      </c>
      <c r="T834" s="6" t="str">
        <f ca="1">IFERROR(__xludf.DUMMYFUNCTION("""COMPUTED_VALUE"""),"06 ORL")</f>
        <v>06 ORL</v>
      </c>
      <c r="U834" s="21"/>
      <c r="W834" s="20"/>
      <c r="X834" s="21"/>
    </row>
    <row r="835" spans="2:24" ht="16">
      <c r="B835" s="26" t="str">
        <f t="shared" ca="1" si="4"/>
        <v>LAA</v>
      </c>
      <c r="C835" s="23" t="str">
        <f ca="1">IFERROR(__xludf.DUMMYFUNCTION("""COMPUTED_VALUE"""),"LAA13")</f>
        <v>LAA13</v>
      </c>
      <c r="D835" s="6" t="str">
        <f ca="1">IFERROR(__xludf.DUMMYFUNCTION("""COMPUTED_VALUE"""),"PROPIOS")</f>
        <v>PROPIOS</v>
      </c>
      <c r="E835" s="6">
        <f ca="1">IFERROR(__xludf.DUMMYFUNCTION("""COMPUTED_VALUE"""),2026)</f>
        <v>2026</v>
      </c>
      <c r="F835" s="15">
        <f ca="1">IFERROR(__xludf.DUMMYFUNCTION("""COMPUTED_VALUE"""),2)</f>
        <v>2</v>
      </c>
      <c r="G835" s="6" t="str">
        <f ca="1">IFERROR(__xludf.DUMMYFUNCTION("""COMPUTED_VALUE"""),"Sevilla- Montoto")</f>
        <v>Sevilla- Montoto</v>
      </c>
      <c r="H835" s="6" t="str">
        <f ca="1">IFERROR(__xludf.DUMMYFUNCTION("""COMPUTED_VALUE"""),"C202621116294128302")</f>
        <v>C202621116294128302</v>
      </c>
      <c r="I835" s="6" t="str">
        <f ca="1">IFERROR(__xludf.DUMMYFUNCTION("""COMPUTED_VALUE"""),"OSCAR GIL DELGADO")</f>
        <v>OSCAR GIL DELGADO</v>
      </c>
      <c r="J835" s="16">
        <f ca="1">IFERROR(__xludf.DUMMYFUNCTION("""COMPUTED_VALUE"""),46064)</f>
        <v>46064</v>
      </c>
      <c r="K835" s="6" t="str">
        <f ca="1">IFERROR(__xludf.DUMMYFUNCTION("""COMPUTED_VALUE"""),"Presupuesto")</f>
        <v>Presupuesto</v>
      </c>
      <c r="L835" s="16">
        <f ca="1">IFERROR(__xludf.DUMMYFUNCTION("""COMPUTED_VALUE"""),46071)</f>
        <v>46071</v>
      </c>
      <c r="M835" s="23" t="str">
        <f ca="1">IFERROR(__xludf.DUMMYFUNCTION("""COMPUTED_VALUE"""),"NO")</f>
        <v>NO</v>
      </c>
      <c r="N835" s="15">
        <f ca="1">IFERROR(__xludf.DUMMYFUNCTION("""COMPUTED_VALUE"""),2)</f>
        <v>2</v>
      </c>
      <c r="O835" s="23" t="str">
        <f ca="1">IFERROR(__xludf.DUMMYFUNCTION("""COMPUTED_VALUE"""),"QUIET")</f>
        <v>QUIET</v>
      </c>
      <c r="P835" s="21">
        <f ca="1">IFERROR(__xludf.DUMMYFUNCTION("""COMPUTED_VALUE"""),2718.18)</f>
        <v>2718.18</v>
      </c>
      <c r="Q835" s="6" t="str">
        <f ca="1">IFERROR(__xludf.DUMMYFUNCTION("""COMPUTED_VALUE"""),"Luis Alberto Rodríguez")</f>
        <v>Luis Alberto Rodríguez</v>
      </c>
      <c r="R835" s="6" t="str">
        <f ca="1">IFERROR(__xludf.DUMMYFUNCTION("""COMPUTED_VALUE"""),"Francisco Javier Aguilar Vera")</f>
        <v>Francisco Javier Aguilar Vera</v>
      </c>
      <c r="S835" s="20" t="str">
        <f ca="1">IFERROR(__xludf.DUMMYFUNCTION("""COMPUTED_VALUE"""),"03 ORL")</f>
        <v>03 ORL</v>
      </c>
      <c r="T835" s="6" t="str">
        <f ca="1">IFERROR(__xludf.DUMMYFUNCTION("""COMPUTED_VALUE"""),"06 ORL")</f>
        <v>06 ORL</v>
      </c>
      <c r="U835" s="21"/>
      <c r="W835" s="20"/>
      <c r="X835" s="21"/>
    </row>
    <row r="836" spans="2:24" ht="16">
      <c r="B836" s="26" t="str">
        <f t="shared" ca="1" si="4"/>
        <v>LAA</v>
      </c>
      <c r="C836" s="23" t="str">
        <f ca="1">IFERROR(__xludf.DUMMYFUNCTION("""COMPUTED_VALUE"""),"LAA43")</f>
        <v>LAA43</v>
      </c>
      <c r="D836" s="6" t="str">
        <f ca="1">IFERROR(__xludf.DUMMYFUNCTION("""COMPUTED_VALUE"""),"PROPIOS")</f>
        <v>PROPIOS</v>
      </c>
      <c r="E836" s="6">
        <f ca="1">IFERROR(__xludf.DUMMYFUNCTION("""COMPUTED_VALUE"""),2026)</f>
        <v>2026</v>
      </c>
      <c r="F836" s="15">
        <f ca="1">IFERROR(__xludf.DUMMYFUNCTION("""COMPUTED_VALUE"""),3)</f>
        <v>3</v>
      </c>
      <c r="G836" s="6" t="str">
        <f ca="1">IFERROR(__xludf.DUMMYFUNCTION("""COMPUTED_VALUE"""),"Sevilla- Montoto")</f>
        <v>Sevilla- Montoto</v>
      </c>
      <c r="H836" s="6" t="str">
        <f ca="1">IFERROR(__xludf.DUMMYFUNCTION("""COMPUTED_VALUE"""),"C20263592910464712")</f>
        <v>C20263592910464712</v>
      </c>
      <c r="I836" s="6" t="str">
        <f ca="1">IFERROR(__xludf.DUMMYFUNCTION("""COMPUTED_VALUE"""),"TERESA BELTRAN INFANTE")</f>
        <v>TERESA BELTRAN INFANTE</v>
      </c>
      <c r="J836" s="16">
        <f ca="1">IFERROR(__xludf.DUMMYFUNCTION("""COMPUTED_VALUE"""),46086)</f>
        <v>46086</v>
      </c>
      <c r="K836" s="6" t="str">
        <f ca="1">IFERROR(__xludf.DUMMYFUNCTION("""COMPUTED_VALUE"""),"Prueba")</f>
        <v>Prueba</v>
      </c>
      <c r="L836" s="16">
        <f ca="1">IFERROR(__xludf.DUMMYFUNCTION("""COMPUTED_VALUE"""),46104)</f>
        <v>46104</v>
      </c>
      <c r="M836" s="23" t="str">
        <f ca="1">IFERROR(__xludf.DUMMYFUNCTION("""COMPUTED_VALUE"""),"NO")</f>
        <v>NO</v>
      </c>
      <c r="N836" s="15">
        <f ca="1">IFERROR(__xludf.DUMMYFUNCTION("""COMPUTED_VALUE"""),2)</f>
        <v>2</v>
      </c>
      <c r="O836" s="23" t="str">
        <f ca="1">IFERROR(__xludf.DUMMYFUNCTION("""COMPUTED_VALUE"""),"QUIET")</f>
        <v>QUIET</v>
      </c>
      <c r="P836" s="21">
        <f ca="1">IFERROR(__xludf.DUMMYFUNCTION("""COMPUTED_VALUE"""),2718.18)</f>
        <v>2718.18</v>
      </c>
      <c r="Q836" s="6" t="str">
        <f ca="1">IFERROR(__xludf.DUMMYFUNCTION("""COMPUTED_VALUE"""),"Luis Alberto Rodríguez")</f>
        <v>Luis Alberto Rodríguez</v>
      </c>
      <c r="R836" s="6" t="str">
        <f ca="1">IFERROR(__xludf.DUMMYFUNCTION("""COMPUTED_VALUE"""),"Ulises Bidón Gómez")</f>
        <v>Ulises Bidón Gómez</v>
      </c>
      <c r="S836" s="20" t="str">
        <f ca="1">IFERROR(__xludf.DUMMYFUNCTION("""COMPUTED_VALUE"""),"03 ORL")</f>
        <v>03 ORL</v>
      </c>
      <c r="T836" s="6" t="str">
        <f ca="1">IFERROR(__xludf.DUMMYFUNCTION("""COMPUTED_VALUE"""),"06 ORL")</f>
        <v>06 ORL</v>
      </c>
      <c r="U836" s="21"/>
      <c r="W836" s="20"/>
      <c r="X836" s="21"/>
    </row>
    <row r="837" spans="2:24" ht="16">
      <c r="B837" s="26" t="str">
        <f t="shared" ca="1" si="4"/>
        <v>LRM</v>
      </c>
      <c r="C837" s="23" t="str">
        <f ca="1">IFERROR(__xludf.DUMMYFUNCTION("""COMPUTED_VALUE"""),"LRM220")</f>
        <v>LRM220</v>
      </c>
      <c r="D837" s="6" t="str">
        <f ca="1">IFERROR(__xludf.DUMMYFUNCTION("""COMPUTED_VALUE"""),"PARTICIPADOS")</f>
        <v>PARTICIPADOS</v>
      </c>
      <c r="E837" s="6">
        <f ca="1">IFERROR(__xludf.DUMMYFUNCTION("""COMPUTED_VALUE"""),2026)</f>
        <v>2026</v>
      </c>
      <c r="F837" s="15">
        <f ca="1">IFERROR(__xludf.DUMMYFUNCTION("""COMPUTED_VALUE"""),3)</f>
        <v>3</v>
      </c>
      <c r="G837" s="6" t="str">
        <f ca="1">IFERROR(__xludf.DUMMYFUNCTION("""COMPUTED_VALUE"""),"Talavera")</f>
        <v>Talavera</v>
      </c>
      <c r="H837" s="6" t="str">
        <f ca="1">IFERROR(__xludf.DUMMYFUNCTION("""COMPUTED_VALUE"""),"C202622315523680735")</f>
        <v>C202622315523680735</v>
      </c>
      <c r="I837" s="6" t="str">
        <f ca="1">IFERROR(__xludf.DUMMYFUNCTION("""COMPUTED_VALUE"""),"ANTONIO MURILLO RODRIGUEZ")</f>
        <v>ANTONIO MURILLO RODRIGUEZ</v>
      </c>
      <c r="J837" s="16">
        <f ca="1">IFERROR(__xludf.DUMMYFUNCTION("""COMPUTED_VALUE"""),46076)</f>
        <v>46076</v>
      </c>
      <c r="K837" s="6" t="str">
        <f ca="1">IFERROR(__xludf.DUMMYFUNCTION("""COMPUTED_VALUE"""),"Prueba")</f>
        <v>Prueba</v>
      </c>
      <c r="L837" s="16">
        <f ca="1">IFERROR(__xludf.DUMMYFUNCTION("""COMPUTED_VALUE"""),46086)</f>
        <v>46086</v>
      </c>
      <c r="M837" s="23" t="str">
        <f ca="1">IFERROR(__xludf.DUMMYFUNCTION("""COMPUTED_VALUE"""),"NO")</f>
        <v>NO</v>
      </c>
      <c r="N837" s="15">
        <f ca="1">IFERROR(__xludf.DUMMYFUNCTION("""COMPUTED_VALUE"""),2)</f>
        <v>2</v>
      </c>
      <c r="O837" s="23" t="str">
        <f ca="1">IFERROR(__xludf.DUMMYFUNCTION("""COMPUTED_VALUE"""),"QUIET")</f>
        <v>QUIET</v>
      </c>
      <c r="P837" s="21">
        <f ca="1">IFERROR(__xludf.DUMMYFUNCTION("""COMPUTED_VALUE"""),2918.19)</f>
        <v>2918.19</v>
      </c>
      <c r="Q837" s="6" t="str">
        <f ca="1">IFERROR(__xludf.DUMMYFUNCTION("""COMPUTED_VALUE"""),"Lisandro Russian")</f>
        <v>Lisandro Russian</v>
      </c>
      <c r="R837" s="6" t="str">
        <f ca="1">IFERROR(__xludf.DUMMYFUNCTION("""COMPUTED_VALUE"""),"Natalia Gisseth Pulido Fonseca")</f>
        <v>Natalia Gisseth Pulido Fonseca</v>
      </c>
      <c r="S837" s="20" t="str">
        <f ca="1">IFERROR(__xludf.DUMMYFUNCTION("""COMPUTED_VALUE"""),"03 ORL")</f>
        <v>03 ORL</v>
      </c>
      <c r="T837" s="6" t="str">
        <f ca="1">IFERROR(__xludf.DUMMYFUNCTION("""COMPUTED_VALUE"""),"06 ORL")</f>
        <v>06 ORL</v>
      </c>
      <c r="U837" s="21"/>
      <c r="W837" s="20"/>
      <c r="X837" s="21"/>
    </row>
    <row r="838" spans="2:24" ht="16">
      <c r="B838" s="26" t="str">
        <f t="shared" ca="1" si="4"/>
        <v>LRM</v>
      </c>
      <c r="C838" s="23" t="str">
        <f ca="1">IFERROR(__xludf.DUMMYFUNCTION("""COMPUTED_VALUE"""),"LRM20")</f>
        <v>LRM20</v>
      </c>
      <c r="D838" s="6" t="str">
        <f ca="1">IFERROR(__xludf.DUMMYFUNCTION("""COMPUTED_VALUE"""),"PARTICIPADOS")</f>
        <v>PARTICIPADOS</v>
      </c>
      <c r="E838" s="6">
        <f ca="1">IFERROR(__xludf.DUMMYFUNCTION("""COMPUTED_VALUE"""),2026)</f>
        <v>2026</v>
      </c>
      <c r="F838" s="15">
        <f ca="1">IFERROR(__xludf.DUMMYFUNCTION("""COMPUTED_VALUE"""),3)</f>
        <v>3</v>
      </c>
      <c r="G838" s="6" t="str">
        <f ca="1">IFERROR(__xludf.DUMMYFUNCTION("""COMPUTED_VALUE"""),"Talavera")</f>
        <v>Talavera</v>
      </c>
      <c r="H838" s="6" t="str">
        <f ca="1">IFERROR(__xludf.DUMMYFUNCTION("""COMPUTED_VALUE"""),"C202625184726832800")</f>
        <v>C202625184726832800</v>
      </c>
      <c r="I838" s="6" t="str">
        <f ca="1">IFERROR(__xludf.DUMMYFUNCTION("""COMPUTED_VALUE"""),"CARLOS GONZÁLEZ FERNÁNDEZ")</f>
        <v>CARLOS GONZÁLEZ FERNÁNDEZ</v>
      </c>
      <c r="J838" s="16">
        <f ca="1">IFERROR(__xludf.DUMMYFUNCTION("""COMPUTED_VALUE"""),46058)</f>
        <v>46058</v>
      </c>
      <c r="K838" s="6" t="str">
        <f ca="1">IFERROR(__xludf.DUMMYFUNCTION("""COMPUTED_VALUE"""),"Prueba")</f>
        <v>Prueba</v>
      </c>
      <c r="L838" s="16">
        <f ca="1">IFERROR(__xludf.DUMMYFUNCTION("""COMPUTED_VALUE"""),46092)</f>
        <v>46092</v>
      </c>
      <c r="M838" s="23" t="str">
        <f ca="1">IFERROR(__xludf.DUMMYFUNCTION("""COMPUTED_VALUE"""),"NO")</f>
        <v>NO</v>
      </c>
      <c r="N838" s="15">
        <f ca="1">IFERROR(__xludf.DUMMYFUNCTION("""COMPUTED_VALUE"""),2)</f>
        <v>2</v>
      </c>
      <c r="O838" s="23" t="str">
        <f ca="1">IFERROR(__xludf.DUMMYFUNCTION("""COMPUTED_VALUE"""),"QUIET")</f>
        <v>QUIET</v>
      </c>
      <c r="P838" s="21">
        <f ca="1">IFERROR(__xludf.DUMMYFUNCTION("""COMPUTED_VALUE"""),3302.98)</f>
        <v>3302.98</v>
      </c>
      <c r="Q838" s="6" t="str">
        <f ca="1">IFERROR(__xludf.DUMMYFUNCTION("""COMPUTED_VALUE"""),"Lisandro Russian")</f>
        <v>Lisandro Russian</v>
      </c>
      <c r="R838" s="6" t="str">
        <f ca="1">IFERROR(__xludf.DUMMYFUNCTION("""COMPUTED_VALUE"""),"Carlos Félix Asensio Nieto")</f>
        <v>Carlos Félix Asensio Nieto</v>
      </c>
      <c r="S838" s="20" t="str">
        <f ca="1">IFERROR(__xludf.DUMMYFUNCTION("""COMPUTED_VALUE"""),"03 ORL")</f>
        <v>03 ORL</v>
      </c>
      <c r="T838" s="6" t="str">
        <f ca="1">IFERROR(__xludf.DUMMYFUNCTION("""COMPUTED_VALUE"""),"06 ORL")</f>
        <v>06 ORL</v>
      </c>
      <c r="U838" s="21"/>
      <c r="W838" s="20"/>
      <c r="X838" s="21"/>
    </row>
    <row r="839" spans="2:24" ht="16">
      <c r="B839" s="26" t="str">
        <f t="shared" ca="1" si="4"/>
        <v>LRM</v>
      </c>
      <c r="C839" s="23" t="str">
        <f ca="1">IFERROR(__xludf.DUMMYFUNCTION("""COMPUTED_VALUE"""),"LRM20")</f>
        <v>LRM20</v>
      </c>
      <c r="D839" s="6" t="str">
        <f ca="1">IFERROR(__xludf.DUMMYFUNCTION("""COMPUTED_VALUE"""),"PARTICIPADOS")</f>
        <v>PARTICIPADOS</v>
      </c>
      <c r="E839" s="6">
        <f ca="1">IFERROR(__xludf.DUMMYFUNCTION("""COMPUTED_VALUE"""),2026)</f>
        <v>2026</v>
      </c>
      <c r="F839" s="15">
        <f ca="1">IFERROR(__xludf.DUMMYFUNCTION("""COMPUTED_VALUE"""),3)</f>
        <v>3</v>
      </c>
      <c r="G839" s="6" t="str">
        <f ca="1">IFERROR(__xludf.DUMMYFUNCTION("""COMPUTED_VALUE"""),"Talavera")</f>
        <v>Talavera</v>
      </c>
      <c r="H839" s="6" t="str">
        <f ca="1">IFERROR(__xludf.DUMMYFUNCTION("""COMPUTED_VALUE"""),"C2025919152854375")</f>
        <v>C2025919152854375</v>
      </c>
      <c r="I839" s="6" t="str">
        <f ca="1">IFERROR(__xludf.DUMMYFUNCTION("""COMPUTED_VALUE"""),"CRISTINA  DIAZ PORTELA")</f>
        <v>CRISTINA  DIAZ PORTELA</v>
      </c>
      <c r="J839" s="16">
        <f ca="1">IFERROR(__xludf.DUMMYFUNCTION("""COMPUTED_VALUE"""),46063)</f>
        <v>46063</v>
      </c>
      <c r="K839" s="6" t="str">
        <f ca="1">IFERROR(__xludf.DUMMYFUNCTION("""COMPUTED_VALUE"""),"Prueba")</f>
        <v>Prueba</v>
      </c>
      <c r="L839" s="16">
        <f ca="1">IFERROR(__xludf.DUMMYFUNCTION("""COMPUTED_VALUE"""),46112)</f>
        <v>46112</v>
      </c>
      <c r="M839" s="23" t="str">
        <f ca="1">IFERROR(__xludf.DUMMYFUNCTION("""COMPUTED_VALUE"""),"SI")</f>
        <v>SI</v>
      </c>
      <c r="N839" s="15">
        <f ca="1">IFERROR(__xludf.DUMMYFUNCTION("""COMPUTED_VALUE"""),1)</f>
        <v>1</v>
      </c>
      <c r="O839" s="23" t="str">
        <f ca="1">IFERROR(__xludf.DUMMYFUNCTION("""COMPUTED_VALUE"""),"PRO")</f>
        <v>PRO</v>
      </c>
      <c r="P839" s="21">
        <f ca="1">IFERROR(__xludf.DUMMYFUNCTION("""COMPUTED_VALUE"""),1904.55)</f>
        <v>1904.55</v>
      </c>
      <c r="Q839" s="6" t="str">
        <f ca="1">IFERROR(__xludf.DUMMYFUNCTION("""COMPUTED_VALUE"""),"Lisandro Russian")</f>
        <v>Lisandro Russian</v>
      </c>
      <c r="R839" s="6" t="str">
        <f ca="1">IFERROR(__xludf.DUMMYFUNCTION("""COMPUTED_VALUE"""),"Carlos Félix Asensio Nieto")</f>
        <v>Carlos Félix Asensio Nieto</v>
      </c>
      <c r="S839" s="20" t="str">
        <f ca="1">IFERROR(__xludf.DUMMYFUNCTION("""COMPUTED_VALUE"""),"03 ORL")</f>
        <v>03 ORL</v>
      </c>
      <c r="T839" s="6" t="str">
        <f ca="1">IFERROR(__xludf.DUMMYFUNCTION("""COMPUTED_VALUE"""),"06 ORL")</f>
        <v>06 ORL</v>
      </c>
      <c r="U839" s="21"/>
      <c r="W839" s="20"/>
      <c r="X839" s="21"/>
    </row>
    <row r="840" spans="2:24" ht="16">
      <c r="B840" s="26" t="str">
        <f t="shared" ca="1" si="4"/>
        <v>LRM</v>
      </c>
      <c r="C840" s="23" t="str">
        <f ca="1">IFERROR(__xludf.DUMMYFUNCTION("""COMPUTED_VALUE"""),"LRM20")</f>
        <v>LRM20</v>
      </c>
      <c r="D840" s="6" t="str">
        <f ca="1">IFERROR(__xludf.DUMMYFUNCTION("""COMPUTED_VALUE"""),"PARTICIPADOS")</f>
        <v>PARTICIPADOS</v>
      </c>
      <c r="E840" s="6">
        <f ca="1">IFERROR(__xludf.DUMMYFUNCTION("""COMPUTED_VALUE"""),2026)</f>
        <v>2026</v>
      </c>
      <c r="F840" s="15">
        <f ca="1">IFERROR(__xludf.DUMMYFUNCTION("""COMPUTED_VALUE"""),4)</f>
        <v>4</v>
      </c>
      <c r="G840" s="6" t="str">
        <f ca="1">IFERROR(__xludf.DUMMYFUNCTION("""COMPUTED_VALUE"""),"Talavera")</f>
        <v>Talavera</v>
      </c>
      <c r="H840" s="6" t="str">
        <f ca="1">IFERROR(__xludf.DUMMYFUNCTION("""COMPUTED_VALUE"""),"C202632417381361652")</f>
        <v>C202632417381361652</v>
      </c>
      <c r="I840" s="6" t="str">
        <f ca="1">IFERROR(__xludf.DUMMYFUNCTION("""COMPUTED_VALUE"""),"ELENA MARTÍN DEL MAZO")</f>
        <v>ELENA MARTÍN DEL MAZO</v>
      </c>
      <c r="J840" s="16">
        <f ca="1">IFERROR(__xludf.DUMMYFUNCTION("""COMPUTED_VALUE"""),46105)</f>
        <v>46105</v>
      </c>
      <c r="K840" s="6" t="str">
        <f ca="1">IFERROR(__xludf.DUMMYFUNCTION("""COMPUTED_VALUE"""),"Prueba")</f>
        <v>Prueba</v>
      </c>
      <c r="L840" s="16">
        <f ca="1">IFERROR(__xludf.DUMMYFUNCTION("""COMPUTED_VALUE"""),46113)</f>
        <v>46113</v>
      </c>
      <c r="M840" s="23" t="str">
        <f ca="1">IFERROR(__xludf.DUMMYFUNCTION("""COMPUTED_VALUE"""),"NO")</f>
        <v>NO</v>
      </c>
      <c r="N840" s="15">
        <f ca="1">IFERROR(__xludf.DUMMYFUNCTION("""COMPUTED_VALUE"""),2)</f>
        <v>2</v>
      </c>
      <c r="O840" s="23" t="str">
        <f ca="1">IFERROR(__xludf.DUMMYFUNCTION("""COMPUTED_VALUE"""),"QUIET")</f>
        <v>QUIET</v>
      </c>
      <c r="P840" s="21">
        <f ca="1">IFERROR(__xludf.DUMMYFUNCTION("""COMPUTED_VALUE"""),2918.18)</f>
        <v>2918.18</v>
      </c>
      <c r="Q840" s="6" t="str">
        <f ca="1">IFERROR(__xludf.DUMMYFUNCTION("""COMPUTED_VALUE"""),"Lisandro Russian")</f>
        <v>Lisandro Russian</v>
      </c>
      <c r="R840" s="6" t="str">
        <f ca="1">IFERROR(__xludf.DUMMYFUNCTION("""COMPUTED_VALUE"""),"Carlos Félix Asensio Nieto")</f>
        <v>Carlos Félix Asensio Nieto</v>
      </c>
      <c r="S840" s="20" t="str">
        <f ca="1">IFERROR(__xludf.DUMMYFUNCTION("""COMPUTED_VALUE"""),"03 ORL")</f>
        <v>03 ORL</v>
      </c>
      <c r="T840" s="6" t="str">
        <f ca="1">IFERROR(__xludf.DUMMYFUNCTION("""COMPUTED_VALUE"""),"06 ORL")</f>
        <v>06 ORL</v>
      </c>
      <c r="U840" s="21"/>
      <c r="W840" s="20"/>
      <c r="X840" s="21"/>
    </row>
    <row r="841" spans="2:24" ht="16">
      <c r="B841" s="26" t="str">
        <f t="shared" ca="1" si="4"/>
        <v>LRM</v>
      </c>
      <c r="C841" s="23" t="str">
        <f ca="1">IFERROR(__xludf.DUMMYFUNCTION("""COMPUTED_VALUE"""),"LRM125")</f>
        <v>LRM125</v>
      </c>
      <c r="D841" s="6" t="str">
        <f ca="1">IFERROR(__xludf.DUMMYFUNCTION("""COMPUTED_VALUE"""),"PARTICIPADOS")</f>
        <v>PARTICIPADOS</v>
      </c>
      <c r="E841" s="6">
        <f ca="1">IFERROR(__xludf.DUMMYFUNCTION("""COMPUTED_VALUE"""),2026)</f>
        <v>2026</v>
      </c>
      <c r="F841" s="15">
        <f ca="1">IFERROR(__xludf.DUMMYFUNCTION("""COMPUTED_VALUE"""),3)</f>
        <v>3</v>
      </c>
      <c r="G841" s="6" t="str">
        <f ca="1">IFERROR(__xludf.DUMMYFUNCTION("""COMPUTED_VALUE"""),"Talavera")</f>
        <v>Talavera</v>
      </c>
      <c r="H841" s="6" t="str">
        <f ca="1">IFERROR(__xludf.DUMMYFUNCTION("""COMPUTED_VALUE"""),"TAL-129")</f>
        <v>TAL-129</v>
      </c>
      <c r="I841" s="6" t="str">
        <f ca="1">IFERROR(__xludf.DUMMYFUNCTION("""COMPUTED_VALUE"""),"JAVIER GARCIA CUESTA")</f>
        <v>JAVIER GARCIA CUESTA</v>
      </c>
      <c r="J841" s="16">
        <f ca="1">IFERROR(__xludf.DUMMYFUNCTION("""COMPUTED_VALUE"""),45418)</f>
        <v>45418</v>
      </c>
      <c r="K841" s="6" t="str">
        <f ca="1">IFERROR(__xludf.DUMMYFUNCTION("""COMPUTED_VALUE"""),"Prueba")</f>
        <v>Prueba</v>
      </c>
      <c r="L841" s="16">
        <f ca="1">IFERROR(__xludf.DUMMYFUNCTION("""COMPUTED_VALUE"""),46111)</f>
        <v>46111</v>
      </c>
      <c r="M841" s="23" t="str">
        <f ca="1">IFERROR(__xludf.DUMMYFUNCTION("""COMPUTED_VALUE"""),"NO")</f>
        <v>NO</v>
      </c>
      <c r="N841" s="15">
        <f ca="1">IFERROR(__xludf.DUMMYFUNCTION("""COMPUTED_VALUE"""),1)</f>
        <v>1</v>
      </c>
      <c r="O841" s="23" t="str">
        <f ca="1">IFERROR(__xludf.DUMMYFUNCTION("""COMPUTED_VALUE"""),"TRIAL")</f>
        <v>TRIAL</v>
      </c>
      <c r="P841" s="21">
        <f ca="1">IFERROR(__xludf.DUMMYFUNCTION("""COMPUTED_VALUE"""),4990.91)</f>
        <v>4990.91</v>
      </c>
      <c r="Q841" s="6" t="str">
        <f ca="1">IFERROR(__xludf.DUMMYFUNCTION("""COMPUTED_VALUE"""),"Lisandro Russian")</f>
        <v>Lisandro Russian</v>
      </c>
      <c r="R841" s="6" t="str">
        <f ca="1">IFERROR(__xludf.DUMMYFUNCTION("""COMPUTED_VALUE"""),"Ainhoa Moreno Bravo")</f>
        <v>Ainhoa Moreno Bravo</v>
      </c>
      <c r="S841" s="20" t="str">
        <f ca="1">IFERROR(__xludf.DUMMYFUNCTION("""COMPUTED_VALUE"""),"03 ORL")</f>
        <v>03 ORL</v>
      </c>
      <c r="T841" s="6" t="str">
        <f ca="1">IFERROR(__xludf.DUMMYFUNCTION("""COMPUTED_VALUE"""),"06 ORL")</f>
        <v>06 ORL</v>
      </c>
      <c r="U841" s="21"/>
      <c r="W841" s="20"/>
      <c r="X841" s="21"/>
    </row>
    <row r="842" spans="2:24" ht="16">
      <c r="B842" s="26" t="str">
        <f t="shared" ca="1" si="4"/>
        <v>LRM</v>
      </c>
      <c r="C842" s="23" t="str">
        <f ca="1">IFERROR(__xludf.DUMMYFUNCTION("""COMPUTED_VALUE"""),"LRM20")</f>
        <v>LRM20</v>
      </c>
      <c r="D842" s="6" t="str">
        <f ca="1">IFERROR(__xludf.DUMMYFUNCTION("""COMPUTED_VALUE"""),"PARTICIPADOS")</f>
        <v>PARTICIPADOS</v>
      </c>
      <c r="E842" s="6">
        <f ca="1">IFERROR(__xludf.DUMMYFUNCTION("""COMPUTED_VALUE"""),2026)</f>
        <v>2026</v>
      </c>
      <c r="F842" s="15">
        <f ca="1">IFERROR(__xludf.DUMMYFUNCTION("""COMPUTED_VALUE"""),3)</f>
        <v>3</v>
      </c>
      <c r="G842" s="6" t="str">
        <f ca="1">IFERROR(__xludf.DUMMYFUNCTION("""COMPUTED_VALUE"""),"Talavera")</f>
        <v>Talavera</v>
      </c>
      <c r="H842" s="6" t="str">
        <f ca="1">IFERROR(__xludf.DUMMYFUNCTION("""COMPUTED_VALUE"""),"C20263318331486467")</f>
        <v>C20263318331486467</v>
      </c>
      <c r="I842" s="6" t="str">
        <f ca="1">IFERROR(__xludf.DUMMYFUNCTION("""COMPUTED_VALUE"""),"JOSE LUIS FERNÁNDEZ SÁNCHEZ")</f>
        <v>JOSE LUIS FERNÁNDEZ SÁNCHEZ</v>
      </c>
      <c r="J842" s="16">
        <f ca="1">IFERROR(__xludf.DUMMYFUNCTION("""COMPUTED_VALUE"""),46084)</f>
        <v>46084</v>
      </c>
      <c r="K842" s="6" t="str">
        <f ca="1">IFERROR(__xludf.DUMMYFUNCTION("""COMPUTED_VALUE"""),"Prueba")</f>
        <v>Prueba</v>
      </c>
      <c r="L842" s="16">
        <f ca="1">IFERROR(__xludf.DUMMYFUNCTION("""COMPUTED_VALUE"""),46101)</f>
        <v>46101</v>
      </c>
      <c r="M842" s="23" t="str">
        <f ca="1">IFERROR(__xludf.DUMMYFUNCTION("""COMPUTED_VALUE"""),"NO")</f>
        <v>NO</v>
      </c>
      <c r="N842" s="15">
        <f ca="1">IFERROR(__xludf.DUMMYFUNCTION("""COMPUTED_VALUE"""),2)</f>
        <v>2</v>
      </c>
      <c r="O842" s="23" t="str">
        <f ca="1">IFERROR(__xludf.DUMMYFUNCTION("""COMPUTED_VALUE"""),"QUIET")</f>
        <v>QUIET</v>
      </c>
      <c r="P842" s="21">
        <f ca="1">IFERROR(__xludf.DUMMYFUNCTION("""COMPUTED_VALUE"""),2918.18)</f>
        <v>2918.18</v>
      </c>
      <c r="Q842" s="6" t="str">
        <f ca="1">IFERROR(__xludf.DUMMYFUNCTION("""COMPUTED_VALUE"""),"Lisandro Russian")</f>
        <v>Lisandro Russian</v>
      </c>
      <c r="R842" s="6" t="str">
        <f ca="1">IFERROR(__xludf.DUMMYFUNCTION("""COMPUTED_VALUE"""),"Carlos Félix Asensio Nieto")</f>
        <v>Carlos Félix Asensio Nieto</v>
      </c>
      <c r="S842" s="20" t="str">
        <f ca="1">IFERROR(__xludf.DUMMYFUNCTION("""COMPUTED_VALUE"""),"03 ORL")</f>
        <v>03 ORL</v>
      </c>
      <c r="T842" s="6" t="str">
        <f ca="1">IFERROR(__xludf.DUMMYFUNCTION("""COMPUTED_VALUE"""),"06 ORL")</f>
        <v>06 ORL</v>
      </c>
      <c r="U842" s="21"/>
      <c r="W842" s="20"/>
      <c r="X842" s="21"/>
    </row>
    <row r="843" spans="2:24" ht="16">
      <c r="B843" s="26" t="str">
        <f t="shared" ca="1" si="4"/>
        <v/>
      </c>
      <c r="C843" s="23"/>
      <c r="D843" s="6" t="str">
        <f ca="1">IFERROR(__xludf.DUMMYFUNCTION("""COMPUTED_VALUE"""),"PARTICIPADOS")</f>
        <v>PARTICIPADOS</v>
      </c>
      <c r="E843" s="6">
        <f ca="1">IFERROR(__xludf.DUMMYFUNCTION("""COMPUTED_VALUE"""),2026)</f>
        <v>2026</v>
      </c>
      <c r="F843" s="15">
        <f ca="1">IFERROR(__xludf.DUMMYFUNCTION("""COMPUTED_VALUE"""),3)</f>
        <v>3</v>
      </c>
      <c r="G843" s="6" t="str">
        <f ca="1">IFERROR(__xludf.DUMMYFUNCTION("""COMPUTED_VALUE"""),"Talavera")</f>
        <v>Talavera</v>
      </c>
      <c r="H843" s="6" t="str">
        <f ca="1">IFERROR(__xludf.DUMMYFUNCTION("""COMPUTED_VALUE"""),"C202631012563784126")</f>
        <v>C202631012563784126</v>
      </c>
      <c r="I843" s="6" t="str">
        <f ca="1">IFERROR(__xludf.DUMMYFUNCTION("""COMPUTED_VALUE"""),"MARGARITA CALVO ARRÓZPIDE")</f>
        <v>MARGARITA CALVO ARRÓZPIDE</v>
      </c>
      <c r="J843" s="16">
        <f ca="1">IFERROR(__xludf.DUMMYFUNCTION("""COMPUTED_VALUE"""),46091)</f>
        <v>46091</v>
      </c>
      <c r="K843" s="6" t="str">
        <f ca="1">IFERROR(__xludf.DUMMYFUNCTION("""COMPUTED_VALUE"""),"Pedido")</f>
        <v>Pedido</v>
      </c>
      <c r="L843" s="16">
        <f ca="1">IFERROR(__xludf.DUMMYFUNCTION("""COMPUTED_VALUE"""),46099)</f>
        <v>46099</v>
      </c>
      <c r="M843" s="23" t="str">
        <f ca="1">IFERROR(__xludf.DUMMYFUNCTION("""COMPUTED_VALUE"""),"NO")</f>
        <v>NO</v>
      </c>
      <c r="N843" s="15">
        <f ca="1">IFERROR(__xludf.DUMMYFUNCTION("""COMPUTED_VALUE"""),2)</f>
        <v>2</v>
      </c>
      <c r="O843" s="23" t="str">
        <f ca="1">IFERROR(__xludf.DUMMYFUNCTION("""COMPUTED_VALUE"""),"QUIET")</f>
        <v>QUIET</v>
      </c>
      <c r="P843" s="21">
        <f ca="1">IFERROR(__xludf.DUMMYFUNCTION("""COMPUTED_VALUE"""),2918.18)</f>
        <v>2918.18</v>
      </c>
      <c r="Q843" s="6" t="str">
        <f ca="1">IFERROR(__xludf.DUMMYFUNCTION("""COMPUTED_VALUE"""),"Alberto Moreno")</f>
        <v>Alberto Moreno</v>
      </c>
      <c r="R843" s="6" t="str">
        <f ca="1">IFERROR(__xludf.DUMMYFUNCTION("""COMPUTED_VALUE"""),"No recuerda ORL")</f>
        <v>No recuerda ORL</v>
      </c>
      <c r="S843" s="20" t="str">
        <f ca="1">IFERROR(__xludf.DUMMYFUNCTION("""COMPUTED_VALUE"""),"03 ORL")</f>
        <v>03 ORL</v>
      </c>
      <c r="T843" s="6" t="str">
        <f ca="1">IFERROR(__xludf.DUMMYFUNCTION("""COMPUTED_VALUE"""),"06 ORL")</f>
        <v>06 ORL</v>
      </c>
      <c r="U843" s="21"/>
      <c r="W843" s="20"/>
      <c r="X843" s="21"/>
    </row>
    <row r="844" spans="2:24" ht="16">
      <c r="B844" s="26" t="str">
        <f t="shared" ca="1" si="4"/>
        <v>LRM</v>
      </c>
      <c r="C844" s="23" t="str">
        <f ca="1">IFERROR(__xludf.DUMMYFUNCTION("""COMPUTED_VALUE"""),"LRM220")</f>
        <v>LRM220</v>
      </c>
      <c r="D844" s="6" t="str">
        <f ca="1">IFERROR(__xludf.DUMMYFUNCTION("""COMPUTED_VALUE"""),"PARTICIPADOS")</f>
        <v>PARTICIPADOS</v>
      </c>
      <c r="E844" s="6">
        <f ca="1">IFERROR(__xludf.DUMMYFUNCTION("""COMPUTED_VALUE"""),2026)</f>
        <v>2026</v>
      </c>
      <c r="F844" s="15">
        <f ca="1">IFERROR(__xludf.DUMMYFUNCTION("""COMPUTED_VALUE"""),2)</f>
        <v>2</v>
      </c>
      <c r="G844" s="6" t="str">
        <f ca="1">IFERROR(__xludf.DUMMYFUNCTION("""COMPUTED_VALUE"""),"Talavera")</f>
        <v>Talavera</v>
      </c>
      <c r="H844" s="6" t="str">
        <f ca="1">IFERROR(__xludf.DUMMYFUNCTION("""COMPUTED_VALUE"""),"C202612711434072798")</f>
        <v>C202612711434072798</v>
      </c>
      <c r="I844" s="6" t="str">
        <f ca="1">IFERROR(__xludf.DUMMYFUNCTION("""COMPUTED_VALUE"""),"RICARDO JIMÉNEZ ESTÉBAN")</f>
        <v>RICARDO JIMÉNEZ ESTÉBAN</v>
      </c>
      <c r="J844" s="16">
        <f ca="1">IFERROR(__xludf.DUMMYFUNCTION("""COMPUTED_VALUE"""),46049)</f>
        <v>46049</v>
      </c>
      <c r="K844" s="6" t="str">
        <f ca="1">IFERROR(__xludf.DUMMYFUNCTION("""COMPUTED_VALUE"""),"Prueba")</f>
        <v>Prueba</v>
      </c>
      <c r="L844" s="16">
        <f ca="1">IFERROR(__xludf.DUMMYFUNCTION("""COMPUTED_VALUE"""),46057)</f>
        <v>46057</v>
      </c>
      <c r="M844" s="23" t="str">
        <f ca="1">IFERROR(__xludf.DUMMYFUNCTION("""COMPUTED_VALUE"""),"NO")</f>
        <v>NO</v>
      </c>
      <c r="N844" s="15">
        <f ca="1">IFERROR(__xludf.DUMMYFUNCTION("""COMPUTED_VALUE"""),2)</f>
        <v>2</v>
      </c>
      <c r="O844" s="23" t="str">
        <f ca="1">IFERROR(__xludf.DUMMYFUNCTION("""COMPUTED_VALUE"""),"QUIET")</f>
        <v>QUIET</v>
      </c>
      <c r="P844" s="21">
        <f ca="1">IFERROR(__xludf.DUMMYFUNCTION("""COMPUTED_VALUE"""),2718.18)</f>
        <v>2718.18</v>
      </c>
      <c r="Q844" s="6" t="str">
        <f ca="1">IFERROR(__xludf.DUMMYFUNCTION("""COMPUTED_VALUE"""),"Lisandro Russian")</f>
        <v>Lisandro Russian</v>
      </c>
      <c r="R844" s="6" t="str">
        <f ca="1">IFERROR(__xludf.DUMMYFUNCTION("""COMPUTED_VALUE"""),"Natalia Gisseth Pulido Fonseca")</f>
        <v>Natalia Gisseth Pulido Fonseca</v>
      </c>
      <c r="S844" s="20" t="str">
        <f ca="1">IFERROR(__xludf.DUMMYFUNCTION("""COMPUTED_VALUE"""),"03 ORL")</f>
        <v>03 ORL</v>
      </c>
      <c r="T844" s="6" t="str">
        <f ca="1">IFERROR(__xludf.DUMMYFUNCTION("""COMPUTED_VALUE"""),"06 ORL")</f>
        <v>06 ORL</v>
      </c>
      <c r="U844" s="21"/>
      <c r="W844" s="20"/>
      <c r="X844" s="21"/>
    </row>
    <row r="845" spans="2:24" ht="16">
      <c r="B845" s="26" t="str">
        <f t="shared" ca="1" si="4"/>
        <v>LRM</v>
      </c>
      <c r="C845" s="23" t="str">
        <f ca="1">IFERROR(__xludf.DUMMYFUNCTION("""COMPUTED_VALUE"""),"LRM220")</f>
        <v>LRM220</v>
      </c>
      <c r="D845" s="6" t="str">
        <f ca="1">IFERROR(__xludf.DUMMYFUNCTION("""COMPUTED_VALUE"""),"PARTICIPADOS")</f>
        <v>PARTICIPADOS</v>
      </c>
      <c r="E845" s="6">
        <f ca="1">IFERROR(__xludf.DUMMYFUNCTION("""COMPUTED_VALUE"""),2026)</f>
        <v>2026</v>
      </c>
      <c r="F845" s="15">
        <f ca="1">IFERROR(__xludf.DUMMYFUNCTION("""COMPUTED_VALUE"""),3)</f>
        <v>3</v>
      </c>
      <c r="G845" s="6" t="str">
        <f ca="1">IFERROR(__xludf.DUMMYFUNCTION("""COMPUTED_VALUE"""),"Talavera")</f>
        <v>Talavera</v>
      </c>
      <c r="H845" s="6" t="str">
        <f ca="1">IFERROR(__xludf.DUMMYFUNCTION("""COMPUTED_VALUE"""),"C202631611271364733")</f>
        <v>C202631611271364733</v>
      </c>
      <c r="I845" s="6" t="str">
        <f ca="1">IFERROR(__xludf.DUMMYFUNCTION("""COMPUTED_VALUE"""),"ROSA MARÍA RAMÍREZ CARRICHES")</f>
        <v>ROSA MARÍA RAMÍREZ CARRICHES</v>
      </c>
      <c r="J845" s="16">
        <f ca="1">IFERROR(__xludf.DUMMYFUNCTION("""COMPUTED_VALUE"""),46097)</f>
        <v>46097</v>
      </c>
      <c r="K845" s="6" t="str">
        <f ca="1">IFERROR(__xludf.DUMMYFUNCTION("""COMPUTED_VALUE"""),"Prueba")</f>
        <v>Prueba</v>
      </c>
      <c r="L845" s="16">
        <f ca="1">IFERROR(__xludf.DUMMYFUNCTION("""COMPUTED_VALUE"""),46106)</f>
        <v>46106</v>
      </c>
      <c r="M845" s="23" t="str">
        <f ca="1">IFERROR(__xludf.DUMMYFUNCTION("""COMPUTED_VALUE"""),"NO")</f>
        <v>NO</v>
      </c>
      <c r="N845" s="15">
        <f ca="1">IFERROR(__xludf.DUMMYFUNCTION("""COMPUTED_VALUE"""),2)</f>
        <v>2</v>
      </c>
      <c r="O845" s="23" t="str">
        <f ca="1">IFERROR(__xludf.DUMMYFUNCTION("""COMPUTED_VALUE"""),"QUIET")</f>
        <v>QUIET</v>
      </c>
      <c r="P845" s="21">
        <f ca="1">IFERROR(__xludf.DUMMYFUNCTION("""COMPUTED_VALUE"""),2918.18)</f>
        <v>2918.18</v>
      </c>
      <c r="Q845" s="6" t="str">
        <f ca="1">IFERROR(__xludf.DUMMYFUNCTION("""COMPUTED_VALUE"""),"Lisandro Russian")</f>
        <v>Lisandro Russian</v>
      </c>
      <c r="R845" s="6" t="str">
        <f ca="1">IFERROR(__xludf.DUMMYFUNCTION("""COMPUTED_VALUE"""),"Natalia Gisseth Pulido Fonseca")</f>
        <v>Natalia Gisseth Pulido Fonseca</v>
      </c>
      <c r="S845" s="20" t="str">
        <f ca="1">IFERROR(__xludf.DUMMYFUNCTION("""COMPUTED_VALUE"""),"03 ORL")</f>
        <v>03 ORL</v>
      </c>
      <c r="T845" s="6" t="str">
        <f ca="1">IFERROR(__xludf.DUMMYFUNCTION("""COMPUTED_VALUE"""),"06 ORL")</f>
        <v>06 ORL</v>
      </c>
      <c r="U845" s="21"/>
      <c r="W845" s="20"/>
      <c r="X845" s="21"/>
    </row>
    <row r="846" spans="2:24" ht="16">
      <c r="B846" s="26" t="str">
        <f t="shared" ca="1" si="4"/>
        <v>LRM</v>
      </c>
      <c r="C846" s="23" t="str">
        <f ca="1">IFERROR(__xludf.DUMMYFUNCTION("""COMPUTED_VALUE"""),"LRM20")</f>
        <v>LRM20</v>
      </c>
      <c r="D846" s="6" t="str">
        <f ca="1">IFERROR(__xludf.DUMMYFUNCTION("""COMPUTED_VALUE"""),"PARTICIPADOS")</f>
        <v>PARTICIPADOS</v>
      </c>
      <c r="E846" s="6">
        <f ca="1">IFERROR(__xludf.DUMMYFUNCTION("""COMPUTED_VALUE"""),2026)</f>
        <v>2026</v>
      </c>
      <c r="F846" s="15">
        <f ca="1">IFERROR(__xludf.DUMMYFUNCTION("""COMPUTED_VALUE"""),3)</f>
        <v>3</v>
      </c>
      <c r="G846" s="6" t="str">
        <f ca="1">IFERROR(__xludf.DUMMYFUNCTION("""COMPUTED_VALUE"""),"Talavera")</f>
        <v>Talavera</v>
      </c>
      <c r="H846" s="6" t="str">
        <f ca="1">IFERROR(__xludf.DUMMYFUNCTION("""COMPUTED_VALUE"""),"C202633103114439536")</f>
        <v>C202633103114439536</v>
      </c>
      <c r="I846" s="6" t="str">
        <f ca="1">IFERROR(__xludf.DUMMYFUNCTION("""COMPUTED_VALUE"""),"ROSARIO MARTÍN CORREAS")</f>
        <v>ROSARIO MARTÍN CORREAS</v>
      </c>
      <c r="J846" s="16">
        <f ca="1">IFERROR(__xludf.DUMMYFUNCTION("""COMPUTED_VALUE"""),46084)</f>
        <v>46084</v>
      </c>
      <c r="K846" s="6" t="str">
        <f ca="1">IFERROR(__xludf.DUMMYFUNCTION("""COMPUTED_VALUE"""),"Prueba")</f>
        <v>Prueba</v>
      </c>
      <c r="L846" s="16">
        <f ca="1">IFERROR(__xludf.DUMMYFUNCTION("""COMPUTED_VALUE"""),46093)</f>
        <v>46093</v>
      </c>
      <c r="M846" s="23" t="str">
        <f ca="1">IFERROR(__xludf.DUMMYFUNCTION("""COMPUTED_VALUE"""),"NO")</f>
        <v>NO</v>
      </c>
      <c r="N846" s="15">
        <f ca="1">IFERROR(__xludf.DUMMYFUNCTION("""COMPUTED_VALUE"""),2)</f>
        <v>2</v>
      </c>
      <c r="O846" s="23" t="str">
        <f ca="1">IFERROR(__xludf.DUMMYFUNCTION("""COMPUTED_VALUE"""),"QUIET")</f>
        <v>QUIET</v>
      </c>
      <c r="P846" s="21">
        <f ca="1">IFERROR(__xludf.DUMMYFUNCTION("""COMPUTED_VALUE"""),2918.18)</f>
        <v>2918.18</v>
      </c>
      <c r="Q846" s="6" t="str">
        <f ca="1">IFERROR(__xludf.DUMMYFUNCTION("""COMPUTED_VALUE"""),"Lisandro Russian")</f>
        <v>Lisandro Russian</v>
      </c>
      <c r="R846" s="6" t="str">
        <f ca="1">IFERROR(__xludf.DUMMYFUNCTION("""COMPUTED_VALUE"""),"Carlos Félix Asensio Nieto")</f>
        <v>Carlos Félix Asensio Nieto</v>
      </c>
      <c r="S846" s="20" t="str">
        <f ca="1">IFERROR(__xludf.DUMMYFUNCTION("""COMPUTED_VALUE"""),"03 ORL")</f>
        <v>03 ORL</v>
      </c>
      <c r="T846" s="6" t="str">
        <f ca="1">IFERROR(__xludf.DUMMYFUNCTION("""COMPUTED_VALUE"""),"06 ORL")</f>
        <v>06 ORL</v>
      </c>
      <c r="U846" s="21"/>
      <c r="W846" s="20"/>
      <c r="X846" s="21"/>
    </row>
    <row r="847" spans="2:24" ht="16">
      <c r="B847" s="26" t="str">
        <f t="shared" ca="1" si="4"/>
        <v>LRM</v>
      </c>
      <c r="C847" s="23" t="str">
        <f ca="1">IFERROR(__xludf.DUMMYFUNCTION("""COMPUTED_VALUE"""),"LRM257")</f>
        <v>LRM257</v>
      </c>
      <c r="D847" s="6" t="str">
        <f ca="1">IFERROR(__xludf.DUMMYFUNCTION("""COMPUTED_VALUE"""),"PARTICIPADOS")</f>
        <v>PARTICIPADOS</v>
      </c>
      <c r="E847" s="6">
        <f ca="1">IFERROR(__xludf.DUMMYFUNCTION("""COMPUTED_VALUE"""),2026)</f>
        <v>2026</v>
      </c>
      <c r="F847" s="15">
        <f ca="1">IFERROR(__xludf.DUMMYFUNCTION("""COMPUTED_VALUE"""),2)</f>
        <v>2</v>
      </c>
      <c r="G847" s="6" t="str">
        <f ca="1">IFERROR(__xludf.DUMMYFUNCTION("""COMPUTED_VALUE"""),"Talavera")</f>
        <v>Talavera</v>
      </c>
      <c r="H847" s="6" t="str">
        <f ca="1">IFERROR(__xludf.DUMMYFUNCTION("""COMPUTED_VALUE"""),"TAL-3")</f>
        <v>TAL-3</v>
      </c>
      <c r="I847" s="6" t="str">
        <f ca="1">IFERROR(__xludf.DUMMYFUNCTION("""COMPUTED_VALUE"""),"TAMARA IGLESIAS MONTES")</f>
        <v>TAMARA IGLESIAS MONTES</v>
      </c>
      <c r="J847" s="16">
        <f ca="1">IFERROR(__xludf.DUMMYFUNCTION("""COMPUTED_VALUE"""),45014)</f>
        <v>45014</v>
      </c>
      <c r="K847" s="6" t="str">
        <f ca="1">IFERROR(__xludf.DUMMYFUNCTION("""COMPUTED_VALUE"""),"Presupuesto")</f>
        <v>Presupuesto</v>
      </c>
      <c r="L847" s="16">
        <f ca="1">IFERROR(__xludf.DUMMYFUNCTION("""COMPUTED_VALUE"""),46058)</f>
        <v>46058</v>
      </c>
      <c r="M847" s="23" t="str">
        <f ca="1">IFERROR(__xludf.DUMMYFUNCTION("""COMPUTED_VALUE"""),"NO")</f>
        <v>NO</v>
      </c>
      <c r="N847" s="15">
        <f ca="1">IFERROR(__xludf.DUMMYFUNCTION("""COMPUTED_VALUE"""),2)</f>
        <v>2</v>
      </c>
      <c r="O847" s="23" t="str">
        <f ca="1">IFERROR(__xludf.DUMMYFUNCTION("""COMPUTED_VALUE"""),"QUIET")</f>
        <v>QUIET</v>
      </c>
      <c r="P847" s="21">
        <f ca="1">IFERROR(__xludf.DUMMYFUNCTION("""COMPUTED_VALUE"""),2718.18)</f>
        <v>2718.18</v>
      </c>
      <c r="Q847" s="6" t="str">
        <f ca="1">IFERROR(__xludf.DUMMYFUNCTION("""COMPUTED_VALUE"""),"Lisandro Russian")</f>
        <v>Lisandro Russian</v>
      </c>
      <c r="R847" s="6" t="str">
        <f ca="1">IFERROR(__xludf.DUMMYFUNCTION("""COMPUTED_VALUE"""),"María Del Rocío Lobato Pérez")</f>
        <v>María Del Rocío Lobato Pérez</v>
      </c>
      <c r="S847" s="20" t="str">
        <f ca="1">IFERROR(__xludf.DUMMYFUNCTION("""COMPUTED_VALUE"""),"01 MARKETING ON LINE")</f>
        <v>01 MARKETING ON LINE</v>
      </c>
      <c r="T847" s="6" t="str">
        <f ca="1">IFERROR(__xludf.DUMMYFUNCTION("""COMPUTED_VALUE"""),"04 AUDIFONO,ES")</f>
        <v>04 AUDIFONO,ES</v>
      </c>
      <c r="U847" s="21"/>
      <c r="W847" s="20"/>
      <c r="X847" s="21"/>
    </row>
    <row r="848" spans="2:24" ht="16">
      <c r="B848" s="26" t="str">
        <f t="shared" ca="1" si="4"/>
        <v>MBM</v>
      </c>
      <c r="C848" s="23" t="str">
        <f ca="1">IFERROR(__xludf.DUMMYFUNCTION("""COMPUTED_VALUE"""),"MBM149")</f>
        <v>MBM149</v>
      </c>
      <c r="D848" s="6" t="str">
        <f ca="1">IFERROR(__xludf.DUMMYFUNCTION("""COMPUTED_VALUE"""),"PROPIOS")</f>
        <v>PROPIOS</v>
      </c>
      <c r="E848" s="6">
        <f ca="1">IFERROR(__xludf.DUMMYFUNCTION("""COMPUTED_VALUE"""),2026)</f>
        <v>2026</v>
      </c>
      <c r="F848" s="15">
        <f ca="1">IFERROR(__xludf.DUMMYFUNCTION("""COMPUTED_VALUE"""),3)</f>
        <v>3</v>
      </c>
      <c r="G848" s="6" t="str">
        <f ca="1">IFERROR(__xludf.DUMMYFUNCTION("""COMPUTED_VALUE"""),"Toledo")</f>
        <v>Toledo</v>
      </c>
      <c r="H848" s="6" t="str">
        <f ca="1">IFERROR(__xludf.DUMMYFUNCTION("""COMPUTED_VALUE"""),"C20241028175125299")</f>
        <v>C20241028175125299</v>
      </c>
      <c r="I848" s="6" t="str">
        <f ca="1">IFERROR(__xludf.DUMMYFUNCTION("""COMPUTED_VALUE"""),"ASCENSION MARTIN RAMIREZ")</f>
        <v>ASCENSION MARTIN RAMIREZ</v>
      </c>
      <c r="J848" s="16">
        <f ca="1">IFERROR(__xludf.DUMMYFUNCTION("""COMPUTED_VALUE"""),45593)</f>
        <v>45593</v>
      </c>
      <c r="K848" s="6" t="str">
        <f ca="1">IFERROR(__xludf.DUMMYFUNCTION("""COMPUTED_VALUE"""),"Devuelve")</f>
        <v>Devuelve</v>
      </c>
      <c r="L848" s="16">
        <f ca="1">IFERROR(__xludf.DUMMYFUNCTION("""COMPUTED_VALUE"""),46091)</f>
        <v>46091</v>
      </c>
      <c r="M848" s="23" t="str">
        <f ca="1">IFERROR(__xludf.DUMMYFUNCTION("""COMPUTED_VALUE"""),"NO")</f>
        <v>NO</v>
      </c>
      <c r="N848" s="15">
        <f ca="1">IFERROR(__xludf.DUMMYFUNCTION("""COMPUTED_VALUE"""),1)</f>
        <v>1</v>
      </c>
      <c r="O848" s="23" t="str">
        <f ca="1">IFERROR(__xludf.DUMMYFUNCTION("""COMPUTED_VALUE"""),"QUIET")</f>
        <v>QUIET</v>
      </c>
      <c r="P848" s="21">
        <f ca="1">IFERROR(__xludf.DUMMYFUNCTION("""COMPUTED_VALUE"""),1631.82)</f>
        <v>1631.82</v>
      </c>
      <c r="Q848" s="6" t="str">
        <f ca="1">IFERROR(__xludf.DUMMYFUNCTION("""COMPUTED_VALUE"""),"Maika Blázquez")</f>
        <v>Maika Blázquez</v>
      </c>
      <c r="R848" s="6" t="str">
        <f ca="1">IFERROR(__xludf.DUMMYFUNCTION("""COMPUTED_VALUE"""),"María Garrote Garrote")</f>
        <v>María Garrote Garrote</v>
      </c>
      <c r="S848" s="20" t="str">
        <f ca="1">IFERROR(__xludf.DUMMYFUNCTION("""COMPUTED_VALUE"""),"03 ORL")</f>
        <v>03 ORL</v>
      </c>
      <c r="T848" s="6" t="str">
        <f ca="1">IFERROR(__xludf.DUMMYFUNCTION("""COMPUTED_VALUE"""),"06 ORL")</f>
        <v>06 ORL</v>
      </c>
      <c r="U848" s="21"/>
      <c r="W848" s="20"/>
      <c r="X848" s="21"/>
    </row>
    <row r="849" spans="2:24" ht="16">
      <c r="B849" s="26" t="str">
        <f t="shared" ca="1" si="4"/>
        <v>LRM</v>
      </c>
      <c r="C849" s="23" t="str">
        <f ca="1">IFERROR(__xludf.DUMMYFUNCTION("""COMPUTED_VALUE"""),"LRM268")</f>
        <v>LRM268</v>
      </c>
      <c r="D849" s="6" t="str">
        <f ca="1">IFERROR(__xludf.DUMMYFUNCTION("""COMPUTED_VALUE"""),"PROPIOS")</f>
        <v>PROPIOS</v>
      </c>
      <c r="E849" s="6">
        <f ca="1">IFERROR(__xludf.DUMMYFUNCTION("""COMPUTED_VALUE"""),2026)</f>
        <v>2026</v>
      </c>
      <c r="F849" s="15">
        <f ca="1">IFERROR(__xludf.DUMMYFUNCTION("""COMPUTED_VALUE"""),3)</f>
        <v>3</v>
      </c>
      <c r="G849" s="6" t="str">
        <f ca="1">IFERROR(__xludf.DUMMYFUNCTION("""COMPUTED_VALUE"""),"Toledo")</f>
        <v>Toledo</v>
      </c>
      <c r="H849" s="6" t="str">
        <f ca="1">IFERROR(__xludf.DUMMYFUNCTION("""COMPUTED_VALUE"""),"C202632412305616297")</f>
        <v>C202632412305616297</v>
      </c>
      <c r="I849" s="6" t="str">
        <f ca="1">IFERROR(__xludf.DUMMYFUNCTION("""COMPUTED_VALUE"""),"Juan Eusebio Solana Ortiz")</f>
        <v>Juan Eusebio Solana Ortiz</v>
      </c>
      <c r="J849" s="16">
        <f ca="1">IFERROR(__xludf.DUMMYFUNCTION("""COMPUTED_VALUE"""),46105)</f>
        <v>46105</v>
      </c>
      <c r="K849" s="6" t="str">
        <f ca="1">IFERROR(__xludf.DUMMYFUNCTION("""COMPUTED_VALUE"""),"Pedido")</f>
        <v>Pedido</v>
      </c>
      <c r="L849" s="16">
        <f ca="1">IFERROR(__xludf.DUMMYFUNCTION("""COMPUTED_VALUE"""),46107)</f>
        <v>46107</v>
      </c>
      <c r="M849" s="23" t="str">
        <f ca="1">IFERROR(__xludf.DUMMYFUNCTION("""COMPUTED_VALUE"""),"NO")</f>
        <v>NO</v>
      </c>
      <c r="N849" s="15">
        <f ca="1">IFERROR(__xludf.DUMMYFUNCTION("""COMPUTED_VALUE"""),2)</f>
        <v>2</v>
      </c>
      <c r="O849" s="23" t="str">
        <f ca="1">IFERROR(__xludf.DUMMYFUNCTION("""COMPUTED_VALUE"""),"QUIET")</f>
        <v>QUIET</v>
      </c>
      <c r="P849" s="21">
        <f ca="1">IFERROR(__xludf.DUMMYFUNCTION("""COMPUTED_VALUE"""),2718.18)</f>
        <v>2718.18</v>
      </c>
      <c r="Q849" s="6" t="str">
        <f ca="1">IFERROR(__xludf.DUMMYFUNCTION("""COMPUTED_VALUE"""),"Maika Blázquez")</f>
        <v>Maika Blázquez</v>
      </c>
      <c r="R849" s="6" t="str">
        <f ca="1">IFERROR(__xludf.DUMMYFUNCTION("""COMPUTED_VALUE"""),"Mónica Rueda Vega")</f>
        <v>Mónica Rueda Vega</v>
      </c>
      <c r="S849" s="20" t="str">
        <f ca="1">IFERROR(__xludf.DUMMYFUNCTION("""COMPUTED_VALUE"""),"03 ORL")</f>
        <v>03 ORL</v>
      </c>
      <c r="T849" s="6" t="str">
        <f ca="1">IFERROR(__xludf.DUMMYFUNCTION("""COMPUTED_VALUE"""),"06 ORL")</f>
        <v>06 ORL</v>
      </c>
      <c r="U849" s="21"/>
      <c r="W849" s="20"/>
      <c r="X849" s="21"/>
    </row>
    <row r="850" spans="2:24" ht="16">
      <c r="B850" s="26" t="str">
        <f t="shared" ca="1" si="4"/>
        <v>LRM</v>
      </c>
      <c r="C850" s="23" t="str">
        <f ca="1">IFERROR(__xludf.DUMMYFUNCTION("""COMPUTED_VALUE"""),"LRM161")</f>
        <v>LRM161</v>
      </c>
      <c r="D850" s="6" t="str">
        <f ca="1">IFERROR(__xludf.DUMMYFUNCTION("""COMPUTED_VALUE"""),"PROPIOS")</f>
        <v>PROPIOS</v>
      </c>
      <c r="E850" s="6">
        <f ca="1">IFERROR(__xludf.DUMMYFUNCTION("""COMPUTED_VALUE"""),2026)</f>
        <v>2026</v>
      </c>
      <c r="F850" s="15">
        <f ca="1">IFERROR(__xludf.DUMMYFUNCTION("""COMPUTED_VALUE"""),3)</f>
        <v>3</v>
      </c>
      <c r="G850" s="6" t="str">
        <f ca="1">IFERROR(__xludf.DUMMYFUNCTION("""COMPUTED_VALUE"""),"Toledo")</f>
        <v>Toledo</v>
      </c>
      <c r="H850" s="6" t="str">
        <f ca="1">IFERROR(__xludf.DUMMYFUNCTION("""COMPUTED_VALUE"""),"C20262118538154830")</f>
        <v>C20262118538154830</v>
      </c>
      <c r="I850" s="6" t="str">
        <f ca="1">IFERROR(__xludf.DUMMYFUNCTION("""COMPUTED_VALUE"""),"JUAN TOMAS VIDAL")</f>
        <v>JUAN TOMAS VIDAL</v>
      </c>
      <c r="J850" s="16">
        <f ca="1">IFERROR(__xludf.DUMMYFUNCTION("""COMPUTED_VALUE"""),46064)</f>
        <v>46064</v>
      </c>
      <c r="K850" s="6" t="str">
        <f ca="1">IFERROR(__xludf.DUMMYFUNCTION("""COMPUTED_VALUE"""),"Prueba")</f>
        <v>Prueba</v>
      </c>
      <c r="L850" s="16">
        <f ca="1">IFERROR(__xludf.DUMMYFUNCTION("""COMPUTED_VALUE"""),46085)</f>
        <v>46085</v>
      </c>
      <c r="M850" s="23" t="str">
        <f ca="1">IFERROR(__xludf.DUMMYFUNCTION("""COMPUTED_VALUE"""),"NO")</f>
        <v>NO</v>
      </c>
      <c r="N850" s="15">
        <f ca="1">IFERROR(__xludf.DUMMYFUNCTION("""COMPUTED_VALUE"""),2)</f>
        <v>2</v>
      </c>
      <c r="O850" s="23" t="str">
        <f ca="1">IFERROR(__xludf.DUMMYFUNCTION("""COMPUTED_VALUE"""),"PRO")</f>
        <v>PRO</v>
      </c>
      <c r="P850" s="21">
        <f ca="1">IFERROR(__xludf.DUMMYFUNCTION("""COMPUTED_VALUE"""),4536.36)</f>
        <v>4536.3599999999997</v>
      </c>
      <c r="Q850" s="6" t="str">
        <f ca="1">IFERROR(__xludf.DUMMYFUNCTION("""COMPUTED_VALUE"""),"Maika Blázquez")</f>
        <v>Maika Blázquez</v>
      </c>
      <c r="R850" s="6" t="str">
        <f ca="1">IFERROR(__xludf.DUMMYFUNCTION("""COMPUTED_VALUE"""),"Glendis Reyes de la cruz")</f>
        <v>Glendis Reyes de la cruz</v>
      </c>
      <c r="S850" s="20" t="str">
        <f ca="1">IFERROR(__xludf.DUMMYFUNCTION("""COMPUTED_VALUE"""),"03 ORL")</f>
        <v>03 ORL</v>
      </c>
      <c r="T850" s="6" t="str">
        <f ca="1">IFERROR(__xludf.DUMMYFUNCTION("""COMPUTED_VALUE"""),"06 ORL")</f>
        <v>06 ORL</v>
      </c>
      <c r="U850" s="21"/>
      <c r="W850" s="20"/>
      <c r="X850" s="21"/>
    </row>
    <row r="851" spans="2:24" ht="16">
      <c r="B851" s="26" t="str">
        <f t="shared" ca="1" si="4"/>
        <v>MBM</v>
      </c>
      <c r="C851" s="23" t="str">
        <f ca="1">IFERROR(__xludf.DUMMYFUNCTION("""COMPUTED_VALUE"""),"MBM149")</f>
        <v>MBM149</v>
      </c>
      <c r="D851" s="6" t="str">
        <f ca="1">IFERROR(__xludf.DUMMYFUNCTION("""COMPUTED_VALUE"""),"PROPIOS")</f>
        <v>PROPIOS</v>
      </c>
      <c r="E851" s="6">
        <f ca="1">IFERROR(__xludf.DUMMYFUNCTION("""COMPUTED_VALUE"""),2026)</f>
        <v>2026</v>
      </c>
      <c r="F851" s="15">
        <f ca="1">IFERROR(__xludf.DUMMYFUNCTION("""COMPUTED_VALUE"""),3)</f>
        <v>3</v>
      </c>
      <c r="G851" s="6" t="str">
        <f ca="1">IFERROR(__xludf.DUMMYFUNCTION("""COMPUTED_VALUE"""),"Toledo")</f>
        <v>Toledo</v>
      </c>
      <c r="H851" s="6" t="str">
        <f ca="1">IFERROR(__xludf.DUMMYFUNCTION("""COMPUTED_VALUE"""),"C202511269485787430")</f>
        <v>C202511269485787430</v>
      </c>
      <c r="I851" s="6" t="str">
        <f ca="1">IFERROR(__xludf.DUMMYFUNCTION("""COMPUTED_VALUE"""),"Primitivo Garcia Ruiz")</f>
        <v>Primitivo Garcia Ruiz</v>
      </c>
      <c r="J851" s="16">
        <f ca="1">IFERROR(__xludf.DUMMYFUNCTION("""COMPUTED_VALUE"""),45987)</f>
        <v>45987</v>
      </c>
      <c r="K851" s="6" t="str">
        <f ca="1">IFERROR(__xludf.DUMMYFUNCTION("""COMPUTED_VALUE"""),"Devuelve")</f>
        <v>Devuelve</v>
      </c>
      <c r="L851" s="16">
        <f ca="1">IFERROR(__xludf.DUMMYFUNCTION("""COMPUTED_VALUE"""),46097)</f>
        <v>46097</v>
      </c>
      <c r="M851" s="23" t="str">
        <f ca="1">IFERROR(__xludf.DUMMYFUNCTION("""COMPUTED_VALUE"""),"NO")</f>
        <v>NO</v>
      </c>
      <c r="N851" s="15">
        <f ca="1">IFERROR(__xludf.DUMMYFUNCTION("""COMPUTED_VALUE"""),2)</f>
        <v>2</v>
      </c>
      <c r="O851" s="23" t="str">
        <f ca="1">IFERROR(__xludf.DUMMYFUNCTION("""COMPUTED_VALUE"""),"ADVANCED")</f>
        <v>ADVANCED</v>
      </c>
      <c r="P851" s="21">
        <f ca="1">IFERROR(__xludf.DUMMYFUNCTION("""COMPUTED_VALUE"""),4000)</f>
        <v>4000</v>
      </c>
      <c r="Q851" s="6" t="str">
        <f ca="1">IFERROR(__xludf.DUMMYFUNCTION("""COMPUTED_VALUE"""),"Maika Blázquez")</f>
        <v>Maika Blázquez</v>
      </c>
      <c r="R851" s="6" t="str">
        <f ca="1">IFERROR(__xludf.DUMMYFUNCTION("""COMPUTED_VALUE"""),"María Garrote Garrote")</f>
        <v>María Garrote Garrote</v>
      </c>
      <c r="S851" s="20" t="str">
        <f ca="1">IFERROR(__xludf.DUMMYFUNCTION("""COMPUTED_VALUE"""),"03 ORL")</f>
        <v>03 ORL</v>
      </c>
      <c r="T851" s="6" t="str">
        <f ca="1">IFERROR(__xludf.DUMMYFUNCTION("""COMPUTED_VALUE"""),"06 ORL")</f>
        <v>06 ORL</v>
      </c>
      <c r="U851" s="21"/>
      <c r="W851" s="20"/>
      <c r="X851" s="21"/>
    </row>
    <row r="852" spans="2:24" ht="16">
      <c r="B852" s="26" t="str">
        <f t="shared" ca="1" si="4"/>
        <v>MBM</v>
      </c>
      <c r="C852" s="23" t="str">
        <f ca="1">IFERROR(__xludf.DUMMYFUNCTION("""COMPUTED_VALUE"""),"MBM186")</f>
        <v>MBM186</v>
      </c>
      <c r="D852" s="6" t="str">
        <f ca="1">IFERROR(__xludf.DUMMYFUNCTION("""COMPUTED_VALUE"""),"PROPIOS")</f>
        <v>PROPIOS</v>
      </c>
      <c r="E852" s="6">
        <f ca="1">IFERROR(__xludf.DUMMYFUNCTION("""COMPUTED_VALUE"""),2026)</f>
        <v>2026</v>
      </c>
      <c r="F852" s="15">
        <f ca="1">IFERROR(__xludf.DUMMYFUNCTION("""COMPUTED_VALUE"""),3)</f>
        <v>3</v>
      </c>
      <c r="G852" s="6" t="str">
        <f ca="1">IFERROR(__xludf.DUMMYFUNCTION("""COMPUTED_VALUE"""),"Torrejón de Ardoz")</f>
        <v>Torrejón de Ardoz</v>
      </c>
      <c r="H852" s="6" t="str">
        <f ca="1">IFERROR(__xludf.DUMMYFUNCTION("""COMPUTED_VALUE"""),"C202631712612926007")</f>
        <v>C202631712612926007</v>
      </c>
      <c r="I852" s="6" t="str">
        <f ca="1">IFERROR(__xludf.DUMMYFUNCTION("""COMPUTED_VALUE"""),"ANTONIO RODRIGUEZ GONZALEZ")</f>
        <v>ANTONIO RODRIGUEZ GONZALEZ</v>
      </c>
      <c r="J852" s="16">
        <f ca="1">IFERROR(__xludf.DUMMYFUNCTION("""COMPUTED_VALUE"""),46098)</f>
        <v>46098</v>
      </c>
      <c r="K852" s="6" t="str">
        <f ca="1">IFERROR(__xludf.DUMMYFUNCTION("""COMPUTED_VALUE"""),"Prueba")</f>
        <v>Prueba</v>
      </c>
      <c r="L852" s="16">
        <f ca="1">IFERROR(__xludf.DUMMYFUNCTION("""COMPUTED_VALUE"""),46100)</f>
        <v>46100</v>
      </c>
      <c r="M852" s="23" t="str">
        <f ca="1">IFERROR(__xludf.DUMMYFUNCTION("""COMPUTED_VALUE"""),"NO")</f>
        <v>NO</v>
      </c>
      <c r="N852" s="15">
        <f ca="1">IFERROR(__xludf.DUMMYFUNCTION("""COMPUTED_VALUE"""),2)</f>
        <v>2</v>
      </c>
      <c r="O852" s="23" t="str">
        <f ca="1">IFERROR(__xludf.DUMMYFUNCTION("""COMPUTED_VALUE"""),"TRIAL")</f>
        <v>TRIAL</v>
      </c>
      <c r="P852" s="21">
        <f ca="1">IFERROR(__xludf.DUMMYFUNCTION("""COMPUTED_VALUE"""),4136.36)</f>
        <v>4136.3599999999997</v>
      </c>
      <c r="Q852" s="6" t="str">
        <f ca="1">IFERROR(__xludf.DUMMYFUNCTION("""COMPUTED_VALUE"""),"Maika Blázquez")</f>
        <v>Maika Blázquez</v>
      </c>
      <c r="R852" s="6" t="str">
        <f ca="1">IFERROR(__xludf.DUMMYFUNCTION("""COMPUTED_VALUE"""),"Marta Abad Pascual")</f>
        <v>Marta Abad Pascual</v>
      </c>
      <c r="S852" s="20" t="str">
        <f ca="1">IFERROR(__xludf.DUMMYFUNCTION("""COMPUTED_VALUE"""),"03 ORL")</f>
        <v>03 ORL</v>
      </c>
      <c r="T852" s="6" t="str">
        <f ca="1">IFERROR(__xludf.DUMMYFUNCTION("""COMPUTED_VALUE"""),"06 ORL")</f>
        <v>06 ORL</v>
      </c>
      <c r="U852" s="21"/>
      <c r="W852" s="20"/>
      <c r="X852" s="21"/>
    </row>
    <row r="853" spans="2:24" ht="16">
      <c r="B853" s="26" t="str">
        <f t="shared" ca="1" si="4"/>
        <v>MBM</v>
      </c>
      <c r="C853" s="23" t="str">
        <f ca="1">IFERROR(__xludf.DUMMYFUNCTION("""COMPUTED_VALUE"""),"MBM03")</f>
        <v>MBM03</v>
      </c>
      <c r="D853" s="6" t="str">
        <f ca="1">IFERROR(__xludf.DUMMYFUNCTION("""COMPUTED_VALUE"""),"PROPIOS")</f>
        <v>PROPIOS</v>
      </c>
      <c r="E853" s="6">
        <f ca="1">IFERROR(__xludf.DUMMYFUNCTION("""COMPUTED_VALUE"""),2026)</f>
        <v>2026</v>
      </c>
      <c r="F853" s="15">
        <f ca="1">IFERROR(__xludf.DUMMYFUNCTION("""COMPUTED_VALUE"""),3)</f>
        <v>3</v>
      </c>
      <c r="G853" s="6" t="str">
        <f ca="1">IFERROR(__xludf.DUMMYFUNCTION("""COMPUTED_VALUE"""),"Torrejón de Ardoz")</f>
        <v>Torrejón de Ardoz</v>
      </c>
      <c r="H853" s="6" t="str">
        <f ca="1">IFERROR(__xludf.DUMMYFUNCTION("""COMPUTED_VALUE"""),"C202621118242318508")</f>
        <v>C202621118242318508</v>
      </c>
      <c r="I853" s="6" t="str">
        <f ca="1">IFERROR(__xludf.DUMMYFUNCTION("""COMPUTED_VALUE"""),"ISABEL MARIA GOMEZ LOPEZ")</f>
        <v>ISABEL MARIA GOMEZ LOPEZ</v>
      </c>
      <c r="J853" s="16">
        <f ca="1">IFERROR(__xludf.DUMMYFUNCTION("""COMPUTED_VALUE"""),46064)</f>
        <v>46064</v>
      </c>
      <c r="K853" s="6" t="str">
        <f ca="1">IFERROR(__xludf.DUMMYFUNCTION("""COMPUTED_VALUE"""),"Devuelve")</f>
        <v>Devuelve</v>
      </c>
      <c r="L853" s="16">
        <f ca="1">IFERROR(__xludf.DUMMYFUNCTION("""COMPUTED_VALUE"""),46091)</f>
        <v>46091</v>
      </c>
      <c r="M853" s="23" t="str">
        <f ca="1">IFERROR(__xludf.DUMMYFUNCTION("""COMPUTED_VALUE"""),"NO")</f>
        <v>NO</v>
      </c>
      <c r="N853" s="15">
        <f ca="1">IFERROR(__xludf.DUMMYFUNCTION("""COMPUTED_VALUE"""),1)</f>
        <v>1</v>
      </c>
      <c r="O853" s="23" t="str">
        <f ca="1">IFERROR(__xludf.DUMMYFUNCTION("""COMPUTED_VALUE"""),"ADVANCED")</f>
        <v>ADVANCED</v>
      </c>
      <c r="P853" s="21">
        <f ca="1">IFERROR(__xludf.DUMMYFUNCTION("""COMPUTED_VALUE"""),3200)</f>
        <v>3200</v>
      </c>
      <c r="Q853" s="6" t="str">
        <f ca="1">IFERROR(__xludf.DUMMYFUNCTION("""COMPUTED_VALUE"""),"Maika Blázquez")</f>
        <v>Maika Blázquez</v>
      </c>
      <c r="R853" s="6" t="str">
        <f ca="1">IFERROR(__xludf.DUMMYFUNCTION("""COMPUTED_VALUE"""),"Alejandro Harguindey Antoli-Candela")</f>
        <v>Alejandro Harguindey Antoli-Candela</v>
      </c>
      <c r="S853" s="20" t="str">
        <f ca="1">IFERROR(__xludf.DUMMYFUNCTION("""COMPUTED_VALUE"""),"03 ORL")</f>
        <v>03 ORL</v>
      </c>
      <c r="T853" s="6" t="str">
        <f ca="1">IFERROR(__xludf.DUMMYFUNCTION("""COMPUTED_VALUE"""),"06 ORL")</f>
        <v>06 ORL</v>
      </c>
      <c r="U853" s="21"/>
      <c r="W853" s="20"/>
      <c r="X853" s="21"/>
    </row>
    <row r="854" spans="2:24" ht="16">
      <c r="B854" s="26" t="str">
        <f t="shared" ca="1" si="4"/>
        <v>RFV</v>
      </c>
      <c r="C854" s="23" t="str">
        <f ca="1">IFERROR(__xludf.DUMMYFUNCTION("""COMPUTED_VALUE"""),"RFV39")</f>
        <v>RFV39</v>
      </c>
      <c r="D854" s="6" t="str">
        <f ca="1">IFERROR(__xludf.DUMMYFUNCTION("""COMPUTED_VALUE"""),"PROPIOS")</f>
        <v>PROPIOS</v>
      </c>
      <c r="E854" s="6">
        <f ca="1">IFERROR(__xludf.DUMMYFUNCTION("""COMPUTED_VALUE"""),2026)</f>
        <v>2026</v>
      </c>
      <c r="F854" s="15">
        <f ca="1">IFERROR(__xludf.DUMMYFUNCTION("""COMPUTED_VALUE"""),3)</f>
        <v>3</v>
      </c>
      <c r="G854" s="6" t="str">
        <f ca="1">IFERROR(__xludf.DUMMYFUNCTION("""COMPUTED_VALUE"""),"Valencia- Cádiz")</f>
        <v>Valencia- Cádiz</v>
      </c>
      <c r="H854" s="6" t="str">
        <f ca="1">IFERROR(__xludf.DUMMYFUNCTION("""COMPUTED_VALUE"""),"C2026341879163545")</f>
        <v>C2026341879163545</v>
      </c>
      <c r="I854" s="6" t="str">
        <f ca="1">IFERROR(__xludf.DUMMYFUNCTION("""COMPUTED_VALUE"""),"ASCENSION VICEN ROCA")</f>
        <v>ASCENSION VICEN ROCA</v>
      </c>
      <c r="J854" s="16">
        <f ca="1">IFERROR(__xludf.DUMMYFUNCTION("""COMPUTED_VALUE"""),46085)</f>
        <v>46085</v>
      </c>
      <c r="K854" s="6" t="str">
        <f ca="1">IFERROR(__xludf.DUMMYFUNCTION("""COMPUTED_VALUE"""),"Pedido")</f>
        <v>Pedido</v>
      </c>
      <c r="L854" s="16">
        <f ca="1">IFERROR(__xludf.DUMMYFUNCTION("""COMPUTED_VALUE"""),46112)</f>
        <v>46112</v>
      </c>
      <c r="M854" s="23" t="str">
        <f ca="1">IFERROR(__xludf.DUMMYFUNCTION("""COMPUTED_VALUE"""),"NO")</f>
        <v>NO</v>
      </c>
      <c r="N854" s="15">
        <f ca="1">IFERROR(__xludf.DUMMYFUNCTION("""COMPUTED_VALUE"""),2)</f>
        <v>2</v>
      </c>
      <c r="O854" s="23" t="str">
        <f ca="1">IFERROR(__xludf.DUMMYFUNCTION("""COMPUTED_VALUE"""),"QUIET")</f>
        <v>QUIET</v>
      </c>
      <c r="P854" s="21">
        <f ca="1">IFERROR(__xludf.DUMMYFUNCTION("""COMPUTED_VALUE"""),2718.19)</f>
        <v>2718.19</v>
      </c>
      <c r="Q854" s="6" t="str">
        <f ca="1">IFERROR(__xludf.DUMMYFUNCTION("""COMPUTED_VALUE"""),"Ramon Ferrando")</f>
        <v>Ramon Ferrando</v>
      </c>
      <c r="R854" s="6" t="str">
        <f ca="1">IFERROR(__xludf.DUMMYFUNCTION("""COMPUTED_VALUE"""),"Carlos de Paula Vernetta")</f>
        <v>Carlos de Paula Vernetta</v>
      </c>
      <c r="S854" s="20" t="str">
        <f ca="1">IFERROR(__xludf.DUMMYFUNCTION("""COMPUTED_VALUE"""),"03 ORL")</f>
        <v>03 ORL</v>
      </c>
      <c r="T854" s="6" t="str">
        <f ca="1">IFERROR(__xludf.DUMMYFUNCTION("""COMPUTED_VALUE"""),"06 ORL")</f>
        <v>06 ORL</v>
      </c>
      <c r="U854" s="21"/>
      <c r="W854" s="20"/>
      <c r="X854" s="21"/>
    </row>
    <row r="855" spans="2:24" ht="16">
      <c r="B855" s="26" t="str">
        <f t="shared" ca="1" si="4"/>
        <v>RFV</v>
      </c>
      <c r="C855" s="23" t="str">
        <f ca="1">IFERROR(__xludf.DUMMYFUNCTION("""COMPUTED_VALUE"""),"RFV21")</f>
        <v>RFV21</v>
      </c>
      <c r="D855" s="6" t="str">
        <f ca="1">IFERROR(__xludf.DUMMYFUNCTION("""COMPUTED_VALUE"""),"PROPIOS")</f>
        <v>PROPIOS</v>
      </c>
      <c r="E855" s="6">
        <f ca="1">IFERROR(__xludf.DUMMYFUNCTION("""COMPUTED_VALUE"""),2026)</f>
        <v>2026</v>
      </c>
      <c r="F855" s="15">
        <f ca="1">IFERROR(__xludf.DUMMYFUNCTION("""COMPUTED_VALUE"""),2)</f>
        <v>2</v>
      </c>
      <c r="G855" s="6" t="str">
        <f ca="1">IFERROR(__xludf.DUMMYFUNCTION("""COMPUTED_VALUE"""),"Valencia- Cádiz")</f>
        <v>Valencia- Cádiz</v>
      </c>
      <c r="H855" s="6" t="str">
        <f ca="1">IFERROR(__xludf.DUMMYFUNCTION("""COMPUTED_VALUE"""),"C202621817531614208")</f>
        <v>C202621817531614208</v>
      </c>
      <c r="I855" s="6" t="str">
        <f ca="1">IFERROR(__xludf.DUMMYFUNCTION("""COMPUTED_VALUE"""),"BENJAMIN MARTINEZ NAVARRO")</f>
        <v>BENJAMIN MARTINEZ NAVARRO</v>
      </c>
      <c r="J855" s="16">
        <f ca="1">IFERROR(__xludf.DUMMYFUNCTION("""COMPUTED_VALUE"""),46071)</f>
        <v>46071</v>
      </c>
      <c r="K855" s="6" t="str">
        <f ca="1">IFERROR(__xludf.DUMMYFUNCTION("""COMPUTED_VALUE"""),"Presupuesto")</f>
        <v>Presupuesto</v>
      </c>
      <c r="L855" s="16">
        <f ca="1">IFERROR(__xludf.DUMMYFUNCTION("""COMPUTED_VALUE"""),46078)</f>
        <v>46078</v>
      </c>
      <c r="M855" s="23" t="str">
        <f ca="1">IFERROR(__xludf.DUMMYFUNCTION("""COMPUTED_VALUE"""),"NO")</f>
        <v>NO</v>
      </c>
      <c r="N855" s="15">
        <f ca="1">IFERROR(__xludf.DUMMYFUNCTION("""COMPUTED_VALUE"""),2)</f>
        <v>2</v>
      </c>
      <c r="O855" s="23" t="str">
        <f ca="1">IFERROR(__xludf.DUMMYFUNCTION("""COMPUTED_VALUE"""),"QUIET")</f>
        <v>QUIET</v>
      </c>
      <c r="P855" s="21">
        <f ca="1">IFERROR(__xludf.DUMMYFUNCTION("""COMPUTED_VALUE"""),2718.18)</f>
        <v>2718.18</v>
      </c>
      <c r="Q855" s="6" t="str">
        <f ca="1">IFERROR(__xludf.DUMMYFUNCTION("""COMPUTED_VALUE"""),"Ramon Ferrando")</f>
        <v>Ramon Ferrando</v>
      </c>
      <c r="R855" s="6" t="str">
        <f ca="1">IFERROR(__xludf.DUMMYFUNCTION("""COMPUTED_VALUE"""),"Manuel Mateos Fernández")</f>
        <v>Manuel Mateos Fernández</v>
      </c>
      <c r="S855" s="20" t="str">
        <f ca="1">IFERROR(__xludf.DUMMYFUNCTION("""COMPUTED_VALUE"""),"03 ORL")</f>
        <v>03 ORL</v>
      </c>
      <c r="T855" s="6" t="str">
        <f ca="1">IFERROR(__xludf.DUMMYFUNCTION("""COMPUTED_VALUE"""),"06 ORL")</f>
        <v>06 ORL</v>
      </c>
      <c r="U855" s="21"/>
      <c r="W855" s="20"/>
      <c r="X855" s="21"/>
    </row>
    <row r="856" spans="2:24" ht="16">
      <c r="B856" s="26" t="str">
        <f t="shared" ca="1" si="4"/>
        <v/>
      </c>
      <c r="C856" s="23"/>
      <c r="D856" s="6" t="str">
        <f ca="1">IFERROR(__xludf.DUMMYFUNCTION("""COMPUTED_VALUE"""),"PROPIOS")</f>
        <v>PROPIOS</v>
      </c>
      <c r="E856" s="6">
        <f ca="1">IFERROR(__xludf.DUMMYFUNCTION("""COMPUTED_VALUE"""),2026)</f>
        <v>2026</v>
      </c>
      <c r="F856" s="15">
        <f ca="1">IFERROR(__xludf.DUMMYFUNCTION("""COMPUTED_VALUE"""),3)</f>
        <v>3</v>
      </c>
      <c r="G856" s="6" t="str">
        <f ca="1">IFERROR(__xludf.DUMMYFUNCTION("""COMPUTED_VALUE"""),"Valencia- Cádiz")</f>
        <v>Valencia- Cádiz</v>
      </c>
      <c r="H856" s="6" t="str">
        <f ca="1">IFERROR(__xludf.DUMMYFUNCTION("""COMPUTED_VALUE"""),"C2026399147185429")</f>
        <v>C2026399147185429</v>
      </c>
      <c r="I856" s="6" t="str">
        <f ca="1">IFERROR(__xludf.DUMMYFUNCTION("""COMPUTED_VALUE"""),"BERTINA NAVARRETE JIMENEZ")</f>
        <v>BERTINA NAVARRETE JIMENEZ</v>
      </c>
      <c r="J856" s="16">
        <f ca="1">IFERROR(__xludf.DUMMYFUNCTION("""COMPUTED_VALUE"""),46090)</f>
        <v>46090</v>
      </c>
      <c r="K856" s="6" t="str">
        <f ca="1">IFERROR(__xludf.DUMMYFUNCTION("""COMPUTED_VALUE"""),"Prueba")</f>
        <v>Prueba</v>
      </c>
      <c r="L856" s="16">
        <f ca="1">IFERROR(__xludf.DUMMYFUNCTION("""COMPUTED_VALUE"""),46101)</f>
        <v>46101</v>
      </c>
      <c r="M856" s="23" t="str">
        <f ca="1">IFERROR(__xludf.DUMMYFUNCTION("""COMPUTED_VALUE"""),"NO")</f>
        <v>NO</v>
      </c>
      <c r="N856" s="15">
        <f ca="1">IFERROR(__xludf.DUMMYFUNCTION("""COMPUTED_VALUE"""),1)</f>
        <v>1</v>
      </c>
      <c r="O856" s="23" t="str">
        <f ca="1">IFERROR(__xludf.DUMMYFUNCTION("""COMPUTED_VALUE"""),"TRIAL")</f>
        <v>TRIAL</v>
      </c>
      <c r="P856" s="21">
        <f ca="1">IFERROR(__xludf.DUMMYFUNCTION("""COMPUTED_VALUE"""),2180.91)</f>
        <v>2180.91</v>
      </c>
      <c r="Q856" s="6" t="str">
        <f ca="1">IFERROR(__xludf.DUMMYFUNCTION("""COMPUTED_VALUE"""),"Ramon Ferrando")</f>
        <v>Ramon Ferrando</v>
      </c>
      <c r="R856" s="6" t="str">
        <f ca="1">IFERROR(__xludf.DUMMYFUNCTION("""COMPUTED_VALUE"""),"No recuerda ORL")</f>
        <v>No recuerda ORL</v>
      </c>
      <c r="S856" s="20" t="str">
        <f ca="1">IFERROR(__xludf.DUMMYFUNCTION("""COMPUTED_VALUE"""),"03 ORL")</f>
        <v>03 ORL</v>
      </c>
      <c r="T856" s="6" t="str">
        <f ca="1">IFERROR(__xludf.DUMMYFUNCTION("""COMPUTED_VALUE"""),"06 ORL")</f>
        <v>06 ORL</v>
      </c>
      <c r="U856" s="21"/>
      <c r="W856" s="20"/>
      <c r="X856" s="21"/>
    </row>
    <row r="857" spans="2:24" ht="16">
      <c r="B857" s="26" t="str">
        <f t="shared" ca="1" si="4"/>
        <v>RFV</v>
      </c>
      <c r="C857" s="23" t="str">
        <f ca="1">IFERROR(__xludf.DUMMYFUNCTION("""COMPUTED_VALUE"""),"RFV15")</f>
        <v>RFV15</v>
      </c>
      <c r="D857" s="6" t="str">
        <f ca="1">IFERROR(__xludf.DUMMYFUNCTION("""COMPUTED_VALUE"""),"PROPIOS")</f>
        <v>PROPIOS</v>
      </c>
      <c r="E857" s="6">
        <f ca="1">IFERROR(__xludf.DUMMYFUNCTION("""COMPUTED_VALUE"""),2026)</f>
        <v>2026</v>
      </c>
      <c r="F857" s="15">
        <f ca="1">IFERROR(__xludf.DUMMYFUNCTION("""COMPUTED_VALUE"""),3)</f>
        <v>3</v>
      </c>
      <c r="G857" s="6" t="str">
        <f ca="1">IFERROR(__xludf.DUMMYFUNCTION("""COMPUTED_VALUE"""),"Valencia- Cádiz")</f>
        <v>Valencia- Cádiz</v>
      </c>
      <c r="H857" s="6" t="str">
        <f ca="1">IFERROR(__xludf.DUMMYFUNCTION("""COMPUTED_VALUE"""),"C2026391067984644")</f>
        <v>C2026391067984644</v>
      </c>
      <c r="I857" s="6" t="str">
        <f ca="1">IFERROR(__xludf.DUMMYFUNCTION("""COMPUTED_VALUE"""),"CONCEPCION GARCIA TEVAR")</f>
        <v>CONCEPCION GARCIA TEVAR</v>
      </c>
      <c r="J857" s="16">
        <f ca="1">IFERROR(__xludf.DUMMYFUNCTION("""COMPUTED_VALUE"""),46090)</f>
        <v>46090</v>
      </c>
      <c r="K857" s="6" t="str">
        <f ca="1">IFERROR(__xludf.DUMMYFUNCTION("""COMPUTED_VALUE"""),"Pedido")</f>
        <v>Pedido</v>
      </c>
      <c r="L857" s="16">
        <f ca="1">IFERROR(__xludf.DUMMYFUNCTION("""COMPUTED_VALUE"""),46094)</f>
        <v>46094</v>
      </c>
      <c r="M857" s="23" t="str">
        <f ca="1">IFERROR(__xludf.DUMMYFUNCTION("""COMPUTED_VALUE"""),"NO")</f>
        <v>NO</v>
      </c>
      <c r="N857" s="15">
        <f ca="1">IFERROR(__xludf.DUMMYFUNCTION("""COMPUTED_VALUE"""),2)</f>
        <v>2</v>
      </c>
      <c r="O857" s="23" t="str">
        <f ca="1">IFERROR(__xludf.DUMMYFUNCTION("""COMPUTED_VALUE"""),"QUIET")</f>
        <v>QUIET</v>
      </c>
      <c r="P857" s="21">
        <f ca="1">IFERROR(__xludf.DUMMYFUNCTION("""COMPUTED_VALUE"""),2718.18)</f>
        <v>2718.18</v>
      </c>
      <c r="Q857" s="6" t="str">
        <f ca="1">IFERROR(__xludf.DUMMYFUNCTION("""COMPUTED_VALUE"""),"Ramon Ferrando")</f>
        <v>Ramon Ferrando</v>
      </c>
      <c r="R857" s="6" t="str">
        <f ca="1">IFERROR(__xludf.DUMMYFUNCTION("""COMPUTED_VALUE"""),"Jean Franco Intraprendente Martini")</f>
        <v>Jean Franco Intraprendente Martini</v>
      </c>
      <c r="S857" s="20" t="str">
        <f ca="1">IFERROR(__xludf.DUMMYFUNCTION("""COMPUTED_VALUE"""),"03 ORL")</f>
        <v>03 ORL</v>
      </c>
      <c r="T857" s="6" t="str">
        <f ca="1">IFERROR(__xludf.DUMMYFUNCTION("""COMPUTED_VALUE"""),"06 ORL")</f>
        <v>06 ORL</v>
      </c>
      <c r="U857" s="21"/>
      <c r="W857" s="20"/>
      <c r="X857" s="21"/>
    </row>
    <row r="858" spans="2:24" ht="16">
      <c r="B858" s="26" t="str">
        <f t="shared" ca="1" si="4"/>
        <v>RFV</v>
      </c>
      <c r="C858" s="23" t="str">
        <f ca="1">IFERROR(__xludf.DUMMYFUNCTION("""COMPUTED_VALUE"""),"RFV12")</f>
        <v>RFV12</v>
      </c>
      <c r="D858" s="6" t="str">
        <f ca="1">IFERROR(__xludf.DUMMYFUNCTION("""COMPUTED_VALUE"""),"PROPIOS")</f>
        <v>PROPIOS</v>
      </c>
      <c r="E858" s="6">
        <f ca="1">IFERROR(__xludf.DUMMYFUNCTION("""COMPUTED_VALUE"""),2026)</f>
        <v>2026</v>
      </c>
      <c r="F858" s="15">
        <f ca="1">IFERROR(__xludf.DUMMYFUNCTION("""COMPUTED_VALUE"""),1)</f>
        <v>1</v>
      </c>
      <c r="G858" s="6" t="str">
        <f ca="1">IFERROR(__xludf.DUMMYFUNCTION("""COMPUTED_VALUE"""),"Valencia- Cádiz")</f>
        <v>Valencia- Cádiz</v>
      </c>
      <c r="H858" s="6" t="str">
        <f ca="1">IFERROR(__xludf.DUMMYFUNCTION("""COMPUTED_VALUE"""),"VLC-551")</f>
        <v>VLC-551</v>
      </c>
      <c r="I858" s="6" t="str">
        <f ca="1">IFERROR(__xludf.DUMMYFUNCTION("""COMPUTED_VALUE"""),"ELENA PABLO GABARDA")</f>
        <v>ELENA PABLO GABARDA</v>
      </c>
      <c r="J858" s="16">
        <f ca="1">IFERROR(__xludf.DUMMYFUNCTION("""COMPUTED_VALUE"""),44462)</f>
        <v>44462</v>
      </c>
      <c r="K858" s="6" t="str">
        <f ca="1">IFERROR(__xludf.DUMMYFUNCTION("""COMPUTED_VALUE"""),"Devuelve")</f>
        <v>Devuelve</v>
      </c>
      <c r="L858" s="16">
        <f ca="1">IFERROR(__xludf.DUMMYFUNCTION("""COMPUTED_VALUE"""),46052)</f>
        <v>46052</v>
      </c>
      <c r="M858" s="23" t="str">
        <f ca="1">IFERROR(__xludf.DUMMYFUNCTION("""COMPUTED_VALUE"""),"NO")</f>
        <v>NO</v>
      </c>
      <c r="N858" s="15">
        <f ca="1">IFERROR(__xludf.DUMMYFUNCTION("""COMPUTED_VALUE"""),2)</f>
        <v>2</v>
      </c>
      <c r="O858" s="23" t="str">
        <f ca="1">IFERROR(__xludf.DUMMYFUNCTION("""COMPUTED_VALUE"""),"TRIAL")</f>
        <v>TRIAL</v>
      </c>
      <c r="P858" s="21">
        <f ca="1">IFERROR(__xludf.DUMMYFUNCTION("""COMPUTED_VALUE"""),3631.82)</f>
        <v>3631.82</v>
      </c>
      <c r="Q858" s="6" t="str">
        <f ca="1">IFERROR(__xludf.DUMMYFUNCTION("""COMPUTED_VALUE"""),"Ramon Ferrando")</f>
        <v>Ramon Ferrando</v>
      </c>
      <c r="R858" s="6" t="str">
        <f ca="1">IFERROR(__xludf.DUMMYFUNCTION("""COMPUTED_VALUE"""),"Felipe Ferrer Baixaulí")</f>
        <v>Felipe Ferrer Baixaulí</v>
      </c>
      <c r="S858" s="20" t="str">
        <f ca="1">IFERROR(__xludf.DUMMYFUNCTION("""COMPUTED_VALUE"""),"03 ORL")</f>
        <v>03 ORL</v>
      </c>
      <c r="T858" s="6" t="str">
        <f ca="1">IFERROR(__xludf.DUMMYFUNCTION("""COMPUTED_VALUE"""),"06 ORL")</f>
        <v>06 ORL</v>
      </c>
      <c r="U858" s="21"/>
      <c r="W858" s="20"/>
      <c r="X858" s="21"/>
    </row>
    <row r="859" spans="2:24" ht="16">
      <c r="B859" s="26" t="str">
        <f t="shared" ca="1" si="4"/>
        <v>#N/</v>
      </c>
      <c r="C859" s="23" t="str">
        <f ca="1">IFERROR(__xludf.DUMMYFUNCTION("""COMPUTED_VALUE"""),"#N/A")</f>
        <v>#N/A</v>
      </c>
      <c r="D859" s="6" t="str">
        <f ca="1">IFERROR(__xludf.DUMMYFUNCTION("""COMPUTED_VALUE"""),"PROPIOS")</f>
        <v>PROPIOS</v>
      </c>
      <c r="E859" s="6">
        <f ca="1">IFERROR(__xludf.DUMMYFUNCTION("""COMPUTED_VALUE"""),2026)</f>
        <v>2026</v>
      </c>
      <c r="F859" s="15">
        <f ca="1">IFERROR(__xludf.DUMMYFUNCTION("""COMPUTED_VALUE"""),3)</f>
        <v>3</v>
      </c>
      <c r="G859" s="6" t="str">
        <f ca="1">IFERROR(__xludf.DUMMYFUNCTION("""COMPUTED_VALUE"""),"Valencia- Cádiz")</f>
        <v>Valencia- Cádiz</v>
      </c>
      <c r="H859" s="6" t="str">
        <f ca="1">IFERROR(__xludf.DUMMYFUNCTION("""COMPUTED_VALUE"""),"C2026317955002362")</f>
        <v>C2026317955002362</v>
      </c>
      <c r="I859" s="6" t="str">
        <f ca="1">IFERROR(__xludf.DUMMYFUNCTION("""COMPUTED_VALUE"""),"ENRIQUE QUILIS IBAÑEZ")</f>
        <v>ENRIQUE QUILIS IBAÑEZ</v>
      </c>
      <c r="J859" s="16">
        <f ca="1">IFERROR(__xludf.DUMMYFUNCTION("""COMPUTED_VALUE"""),46098)</f>
        <v>46098</v>
      </c>
      <c r="K859" s="6" t="str">
        <f ca="1">IFERROR(__xludf.DUMMYFUNCTION("""COMPUTED_VALUE"""),"Pedido")</f>
        <v>Pedido</v>
      </c>
      <c r="L859" s="16">
        <f ca="1">IFERROR(__xludf.DUMMYFUNCTION("""COMPUTED_VALUE"""),46111)</f>
        <v>46111</v>
      </c>
      <c r="M859" s="23" t="str">
        <f ca="1">IFERROR(__xludf.DUMMYFUNCTION("""COMPUTED_VALUE"""),"NO")</f>
        <v>NO</v>
      </c>
      <c r="N859" s="15">
        <f ca="1">IFERROR(__xludf.DUMMYFUNCTION("""COMPUTED_VALUE"""),2)</f>
        <v>2</v>
      </c>
      <c r="O859" s="23" t="str">
        <f ca="1">IFERROR(__xludf.DUMMYFUNCTION("""COMPUTED_VALUE"""),"QUIET")</f>
        <v>QUIET</v>
      </c>
      <c r="P859" s="21">
        <f ca="1">IFERROR(__xludf.DUMMYFUNCTION("""COMPUTED_VALUE"""),2718.18)</f>
        <v>2718.18</v>
      </c>
      <c r="Q859" s="6" t="str">
        <f ca="1">IFERROR(__xludf.DUMMYFUNCTION("""COMPUTED_VALUE"""),"Ramon Ferrando")</f>
        <v>Ramon Ferrando</v>
      </c>
      <c r="R859" s="6" t="str">
        <f ca="1">IFERROR(__xludf.DUMMYFUNCTION("""COMPUTED_VALUE"""),"Felipe José Domínguez Celis")</f>
        <v>Felipe José Domínguez Celis</v>
      </c>
      <c r="S859" s="20" t="str">
        <f ca="1">IFERROR(__xludf.DUMMYFUNCTION("""COMPUTED_VALUE"""),"03 ORL")</f>
        <v>03 ORL</v>
      </c>
      <c r="T859" s="6" t="str">
        <f ca="1">IFERROR(__xludf.DUMMYFUNCTION("""COMPUTED_VALUE"""),"06 ORL")</f>
        <v>06 ORL</v>
      </c>
      <c r="U859" s="21"/>
      <c r="W859" s="20"/>
      <c r="X859" s="21"/>
    </row>
    <row r="860" spans="2:24" ht="16">
      <c r="B860" s="26" t="str">
        <f t="shared" ca="1" si="4"/>
        <v>RFV</v>
      </c>
      <c r="C860" s="23" t="str">
        <f ca="1">IFERROR(__xludf.DUMMYFUNCTION("""COMPUTED_VALUE"""),"RFV22")</f>
        <v>RFV22</v>
      </c>
      <c r="D860" s="6" t="str">
        <f ca="1">IFERROR(__xludf.DUMMYFUNCTION("""COMPUTED_VALUE"""),"PROPIOS")</f>
        <v>PROPIOS</v>
      </c>
      <c r="E860" s="6">
        <f ca="1">IFERROR(__xludf.DUMMYFUNCTION("""COMPUTED_VALUE"""),2026)</f>
        <v>2026</v>
      </c>
      <c r="F860" s="15">
        <f ca="1">IFERROR(__xludf.DUMMYFUNCTION("""COMPUTED_VALUE"""),3)</f>
        <v>3</v>
      </c>
      <c r="G860" s="6" t="str">
        <f ca="1">IFERROR(__xludf.DUMMYFUNCTION("""COMPUTED_VALUE"""),"Valencia- Cádiz")</f>
        <v>Valencia- Cádiz</v>
      </c>
      <c r="H860" s="6" t="str">
        <f ca="1">IFERROR(__xludf.DUMMYFUNCTION("""COMPUTED_VALUE"""),"C202611518104105840")</f>
        <v>C202611518104105840</v>
      </c>
      <c r="I860" s="6" t="str">
        <f ca="1">IFERROR(__xludf.DUMMYFUNCTION("""COMPUTED_VALUE"""),"FRANCISCA PEREZ LABAÑA")</f>
        <v>FRANCISCA PEREZ LABAÑA</v>
      </c>
      <c r="J860" s="16">
        <f ca="1">IFERROR(__xludf.DUMMYFUNCTION("""COMPUTED_VALUE"""),46037)</f>
        <v>46037</v>
      </c>
      <c r="K860" s="6" t="str">
        <f ca="1">IFERROR(__xludf.DUMMYFUNCTION("""COMPUTED_VALUE"""),"Pedido")</f>
        <v>Pedido</v>
      </c>
      <c r="L860" s="16">
        <f ca="1">IFERROR(__xludf.DUMMYFUNCTION("""COMPUTED_VALUE"""),46111)</f>
        <v>46111</v>
      </c>
      <c r="M860" s="23" t="str">
        <f ca="1">IFERROR(__xludf.DUMMYFUNCTION("""COMPUTED_VALUE"""),"NO")</f>
        <v>NO</v>
      </c>
      <c r="N860" s="15">
        <f ca="1">IFERROR(__xludf.DUMMYFUNCTION("""COMPUTED_VALUE"""),1)</f>
        <v>1</v>
      </c>
      <c r="O860" s="23" t="str">
        <f ca="1">IFERROR(__xludf.DUMMYFUNCTION("""COMPUTED_VALUE"""),"CONFORT")</f>
        <v>CONFORT</v>
      </c>
      <c r="P860" s="21">
        <f ca="1">IFERROR(__xludf.DUMMYFUNCTION("""COMPUTED_VALUE"""),2071.86)</f>
        <v>2071.86</v>
      </c>
      <c r="Q860" s="6" t="str">
        <f ca="1">IFERROR(__xludf.DUMMYFUNCTION("""COMPUTED_VALUE"""),"Ramon Ferrando")</f>
        <v>Ramon Ferrando</v>
      </c>
      <c r="R860" s="6" t="str">
        <f ca="1">IFERROR(__xludf.DUMMYFUNCTION("""COMPUTED_VALUE"""),"Martín Eduardo Marcano Acuña")</f>
        <v>Martín Eduardo Marcano Acuña</v>
      </c>
      <c r="S860" s="20" t="str">
        <f ca="1">IFERROR(__xludf.DUMMYFUNCTION("""COMPUTED_VALUE"""),"03 ORL")</f>
        <v>03 ORL</v>
      </c>
      <c r="T860" s="6" t="str">
        <f ca="1">IFERROR(__xludf.DUMMYFUNCTION("""COMPUTED_VALUE"""),"06 ORL")</f>
        <v>06 ORL</v>
      </c>
      <c r="U860" s="21"/>
      <c r="W860" s="20"/>
      <c r="X860" s="21"/>
    </row>
    <row r="861" spans="2:24" ht="16">
      <c r="B861" s="26" t="str">
        <f t="shared" ca="1" si="4"/>
        <v>RFV</v>
      </c>
      <c r="C861" s="23" t="str">
        <f ca="1">IFERROR(__xludf.DUMMYFUNCTION("""COMPUTED_VALUE"""),"RFV22")</f>
        <v>RFV22</v>
      </c>
      <c r="D861" s="6" t="str">
        <f ca="1">IFERROR(__xludf.DUMMYFUNCTION("""COMPUTED_VALUE"""),"PROPIOS")</f>
        <v>PROPIOS</v>
      </c>
      <c r="E861" s="6">
        <f ca="1">IFERROR(__xludf.DUMMYFUNCTION("""COMPUTED_VALUE"""),2026)</f>
        <v>2026</v>
      </c>
      <c r="F861" s="15">
        <f ca="1">IFERROR(__xludf.DUMMYFUNCTION("""COMPUTED_VALUE"""),2)</f>
        <v>2</v>
      </c>
      <c r="G861" s="6" t="str">
        <f ca="1">IFERROR(__xludf.DUMMYFUNCTION("""COMPUTED_VALUE"""),"Valencia- Cádiz")</f>
        <v>Valencia- Cádiz</v>
      </c>
      <c r="H861" s="6" t="str">
        <f ca="1">IFERROR(__xludf.DUMMYFUNCTION("""COMPUTED_VALUE"""),"C202512171755174167")</f>
        <v>C202512171755174167</v>
      </c>
      <c r="I861" s="6" t="str">
        <f ca="1">IFERROR(__xludf.DUMMYFUNCTION("""COMPUTED_VALUE"""),"Herminio  Sanchez Andrés")</f>
        <v>Herminio  Sanchez Andrés</v>
      </c>
      <c r="J861" s="16">
        <f ca="1">IFERROR(__xludf.DUMMYFUNCTION("""COMPUTED_VALUE"""),46008)</f>
        <v>46008</v>
      </c>
      <c r="K861" s="6" t="str">
        <f ca="1">IFERROR(__xludf.DUMMYFUNCTION("""COMPUTED_VALUE"""),"Devuelve")</f>
        <v>Devuelve</v>
      </c>
      <c r="L861" s="16">
        <f ca="1">IFERROR(__xludf.DUMMYFUNCTION("""COMPUTED_VALUE"""),46062)</f>
        <v>46062</v>
      </c>
      <c r="M861" s="23" t="str">
        <f ca="1">IFERROR(__xludf.DUMMYFUNCTION("""COMPUTED_VALUE"""),"NO")</f>
        <v>NO</v>
      </c>
      <c r="N861" s="15">
        <f ca="1">IFERROR(__xludf.DUMMYFUNCTION("""COMPUTED_VALUE"""),2)</f>
        <v>2</v>
      </c>
      <c r="O861" s="23" t="str">
        <f ca="1">IFERROR(__xludf.DUMMYFUNCTION("""COMPUTED_VALUE"""),"QUIET")</f>
        <v>QUIET</v>
      </c>
      <c r="P861" s="21">
        <f ca="1">IFERROR(__xludf.DUMMYFUNCTION("""COMPUTED_VALUE"""),2718.18)</f>
        <v>2718.18</v>
      </c>
      <c r="Q861" s="6" t="str">
        <f ca="1">IFERROR(__xludf.DUMMYFUNCTION("""COMPUTED_VALUE"""),"Ramon Ferrando")</f>
        <v>Ramon Ferrando</v>
      </c>
      <c r="R861" s="6" t="str">
        <f ca="1">IFERROR(__xludf.DUMMYFUNCTION("""COMPUTED_VALUE"""),"Martín Eduardo Marcano Acuña")</f>
        <v>Martín Eduardo Marcano Acuña</v>
      </c>
      <c r="S861" s="20" t="str">
        <f ca="1">IFERROR(__xludf.DUMMYFUNCTION("""COMPUTED_VALUE"""),"03 ORL")</f>
        <v>03 ORL</v>
      </c>
      <c r="T861" s="6" t="str">
        <f ca="1">IFERROR(__xludf.DUMMYFUNCTION("""COMPUTED_VALUE"""),"06 ORL")</f>
        <v>06 ORL</v>
      </c>
      <c r="U861" s="21"/>
      <c r="W861" s="20"/>
      <c r="X861" s="21"/>
    </row>
    <row r="862" spans="2:24" ht="16">
      <c r="B862" s="26" t="str">
        <f t="shared" ca="1" si="4"/>
        <v>MBM</v>
      </c>
      <c r="C862" s="23" t="str">
        <f ca="1">IFERROR(__xludf.DUMMYFUNCTION("""COMPUTED_VALUE"""),"MBM219")</f>
        <v>MBM219</v>
      </c>
      <c r="D862" s="6" t="str">
        <f ca="1">IFERROR(__xludf.DUMMYFUNCTION("""COMPUTED_VALUE"""),"PROPIOS")</f>
        <v>PROPIOS</v>
      </c>
      <c r="E862" s="6">
        <f ca="1">IFERROR(__xludf.DUMMYFUNCTION("""COMPUTED_VALUE"""),2026)</f>
        <v>2026</v>
      </c>
      <c r="F862" s="15">
        <f ca="1">IFERROR(__xludf.DUMMYFUNCTION("""COMPUTED_VALUE"""),1)</f>
        <v>1</v>
      </c>
      <c r="G862" s="6" t="str">
        <f ca="1">IFERROR(__xludf.DUMMYFUNCTION("""COMPUTED_VALUE"""),"Valencia- Cádiz")</f>
        <v>Valencia- Cádiz</v>
      </c>
      <c r="H862" s="6" t="str">
        <f ca="1">IFERROR(__xludf.DUMMYFUNCTION("""COMPUTED_VALUE"""),"C20261231467474280")</f>
        <v>C20261231467474280</v>
      </c>
      <c r="I862" s="6" t="str">
        <f ca="1">IFERROR(__xludf.DUMMYFUNCTION("""COMPUTED_VALUE"""),"JAVIER FERNANDEZ FERRUS")</f>
        <v>JAVIER FERNANDEZ FERRUS</v>
      </c>
      <c r="J862" s="16">
        <f ca="1">IFERROR(__xludf.DUMMYFUNCTION("""COMPUTED_VALUE"""),46045)</f>
        <v>46045</v>
      </c>
      <c r="K862" s="6" t="str">
        <f ca="1">IFERROR(__xludf.DUMMYFUNCTION("""COMPUTED_VALUE"""),"Presupuesto")</f>
        <v>Presupuesto</v>
      </c>
      <c r="L862" s="16">
        <f ca="1">IFERROR(__xludf.DUMMYFUNCTION("""COMPUTED_VALUE"""),46052)</f>
        <v>46052</v>
      </c>
      <c r="M862" s="23" t="str">
        <f ca="1">IFERROR(__xludf.DUMMYFUNCTION("""COMPUTED_VALUE"""),"NO")</f>
        <v>NO</v>
      </c>
      <c r="N862" s="15">
        <f ca="1">IFERROR(__xludf.DUMMYFUNCTION("""COMPUTED_VALUE"""),2)</f>
        <v>2</v>
      </c>
      <c r="O862" s="23" t="str">
        <f ca="1">IFERROR(__xludf.DUMMYFUNCTION("""COMPUTED_VALUE"""),"TRIAL")</f>
        <v>TRIAL</v>
      </c>
      <c r="P862" s="21">
        <f ca="1">IFERROR(__xludf.DUMMYFUNCTION("""COMPUTED_VALUE"""),4136.36)</f>
        <v>4136.3599999999997</v>
      </c>
      <c r="Q862" s="6" t="str">
        <f ca="1">IFERROR(__xludf.DUMMYFUNCTION("""COMPUTED_VALUE"""),"Ramon Ferrando")</f>
        <v>Ramon Ferrando</v>
      </c>
      <c r="R862" s="6" t="str">
        <f ca="1">IFERROR(__xludf.DUMMYFUNCTION("""COMPUTED_VALUE"""),"Paula Morales Chacchi")</f>
        <v>Paula Morales Chacchi</v>
      </c>
      <c r="S862" s="20" t="str">
        <f ca="1">IFERROR(__xludf.DUMMYFUNCTION("""COMPUTED_VALUE"""),"03 ORL")</f>
        <v>03 ORL</v>
      </c>
      <c r="T862" s="6" t="str">
        <f ca="1">IFERROR(__xludf.DUMMYFUNCTION("""COMPUTED_VALUE"""),"06 ORL")</f>
        <v>06 ORL</v>
      </c>
      <c r="U862" s="21"/>
      <c r="W862" s="20"/>
      <c r="X862" s="21"/>
    </row>
    <row r="863" spans="2:24" ht="16">
      <c r="B863" s="26" t="str">
        <f t="shared" ca="1" si="4"/>
        <v/>
      </c>
      <c r="C863" s="23"/>
      <c r="D863" s="6" t="str">
        <f ca="1">IFERROR(__xludf.DUMMYFUNCTION("""COMPUTED_VALUE"""),"PROPIOS")</f>
        <v>PROPIOS</v>
      </c>
      <c r="E863" s="6">
        <f ca="1">IFERROR(__xludf.DUMMYFUNCTION("""COMPUTED_VALUE"""),2026)</f>
        <v>2026</v>
      </c>
      <c r="F863" s="15">
        <f ca="1">IFERROR(__xludf.DUMMYFUNCTION("""COMPUTED_VALUE"""),2)</f>
        <v>2</v>
      </c>
      <c r="G863" s="6" t="str">
        <f ca="1">IFERROR(__xludf.DUMMYFUNCTION("""COMPUTED_VALUE"""),"Valencia- Cádiz")</f>
        <v>Valencia- Cádiz</v>
      </c>
      <c r="H863" s="6" t="str">
        <f ca="1">IFERROR(__xludf.DUMMYFUNCTION("""COMPUTED_VALUE"""),"C202512121255416339")</f>
        <v>C202512121255416339</v>
      </c>
      <c r="I863" s="6" t="str">
        <f ca="1">IFERROR(__xludf.DUMMYFUNCTION("""COMPUTED_VALUE"""),"LUIS CASTELL FERNANDEZ")</f>
        <v>LUIS CASTELL FERNANDEZ</v>
      </c>
      <c r="J863" s="16">
        <f ca="1">IFERROR(__xludf.DUMMYFUNCTION("""COMPUTED_VALUE"""),46003)</f>
        <v>46003</v>
      </c>
      <c r="K863" s="6" t="str">
        <f ca="1">IFERROR(__xludf.DUMMYFUNCTION("""COMPUTED_VALUE"""),"Devuelve")</f>
        <v>Devuelve</v>
      </c>
      <c r="L863" s="16">
        <f ca="1">IFERROR(__xludf.DUMMYFUNCTION("""COMPUTED_VALUE"""),46065)</f>
        <v>46065</v>
      </c>
      <c r="M863" s="23" t="str">
        <f ca="1">IFERROR(__xludf.DUMMYFUNCTION("""COMPUTED_VALUE"""),"NO")</f>
        <v>NO</v>
      </c>
      <c r="N863" s="15">
        <f ca="1">IFERROR(__xludf.DUMMYFUNCTION("""COMPUTED_VALUE"""),2)</f>
        <v>2</v>
      </c>
      <c r="O863" s="23" t="str">
        <f ca="1">IFERROR(__xludf.DUMMYFUNCTION("""COMPUTED_VALUE"""),"ADVANCED")</f>
        <v>ADVANCED</v>
      </c>
      <c r="P863" s="21">
        <f ca="1">IFERROR(__xludf.DUMMYFUNCTION("""COMPUTED_VALUE"""),4136.36)</f>
        <v>4136.3599999999997</v>
      </c>
      <c r="Q863" s="6" t="str">
        <f ca="1">IFERROR(__xludf.DUMMYFUNCTION("""COMPUTED_VALUE"""),"Ramon Ferrando")</f>
        <v>Ramon Ferrando</v>
      </c>
      <c r="R863" s="6" t="str">
        <f ca="1">IFERROR(__xludf.DUMMYFUNCTION("""COMPUTED_VALUE"""),"No recuerda ORL")</f>
        <v>No recuerda ORL</v>
      </c>
      <c r="S863" s="20" t="str">
        <f ca="1">IFERROR(__xludf.DUMMYFUNCTION("""COMPUTED_VALUE"""),"03 ORL")</f>
        <v>03 ORL</v>
      </c>
      <c r="T863" s="6" t="str">
        <f ca="1">IFERROR(__xludf.DUMMYFUNCTION("""COMPUTED_VALUE"""),"06 ORL")</f>
        <v>06 ORL</v>
      </c>
      <c r="U863" s="21"/>
      <c r="W863" s="20"/>
      <c r="X863" s="21"/>
    </row>
    <row r="864" spans="2:24" ht="16">
      <c r="B864" s="26" t="str">
        <f t="shared" ca="1" si="4"/>
        <v>RFV</v>
      </c>
      <c r="C864" s="23" t="str">
        <f ca="1">IFERROR(__xludf.DUMMYFUNCTION("""COMPUTED_VALUE"""),"RFV28")</f>
        <v>RFV28</v>
      </c>
      <c r="D864" s="6" t="str">
        <f ca="1">IFERROR(__xludf.DUMMYFUNCTION("""COMPUTED_VALUE"""),"PROPIOS")</f>
        <v>PROPIOS</v>
      </c>
      <c r="E864" s="6">
        <f ca="1">IFERROR(__xludf.DUMMYFUNCTION("""COMPUTED_VALUE"""),2026)</f>
        <v>2026</v>
      </c>
      <c r="F864" s="15">
        <f ca="1">IFERROR(__xludf.DUMMYFUNCTION("""COMPUTED_VALUE"""),2)</f>
        <v>2</v>
      </c>
      <c r="G864" s="6" t="str">
        <f ca="1">IFERROR(__xludf.DUMMYFUNCTION("""COMPUTED_VALUE"""),"Valencia- Cádiz")</f>
        <v>Valencia- Cádiz</v>
      </c>
      <c r="H864" s="6" t="str">
        <f ca="1">IFERROR(__xludf.DUMMYFUNCTION("""COMPUTED_VALUE"""),"C202612616416828504")</f>
        <v>C202612616416828504</v>
      </c>
      <c r="I864" s="6" t="str">
        <f ca="1">IFERROR(__xludf.DUMMYFUNCTION("""COMPUTED_VALUE"""),"MARIA ANGELES MONTESINOS SANTOS")</f>
        <v>MARIA ANGELES MONTESINOS SANTOS</v>
      </c>
      <c r="J864" s="16">
        <f ca="1">IFERROR(__xludf.DUMMYFUNCTION("""COMPUTED_VALUE"""),46048)</f>
        <v>46048</v>
      </c>
      <c r="K864" s="6" t="str">
        <f ca="1">IFERROR(__xludf.DUMMYFUNCTION("""COMPUTED_VALUE"""),"Prueba")</f>
        <v>Prueba</v>
      </c>
      <c r="L864" s="16">
        <f ca="1">IFERROR(__xludf.DUMMYFUNCTION("""COMPUTED_VALUE"""),46069)</f>
        <v>46069</v>
      </c>
      <c r="M864" s="23" t="str">
        <f ca="1">IFERROR(__xludf.DUMMYFUNCTION("""COMPUTED_VALUE"""),"NO")</f>
        <v>NO</v>
      </c>
      <c r="N864" s="15">
        <f ca="1">IFERROR(__xludf.DUMMYFUNCTION("""COMPUTED_VALUE"""),2)</f>
        <v>2</v>
      </c>
      <c r="O864" s="23" t="str">
        <f ca="1">IFERROR(__xludf.DUMMYFUNCTION("""COMPUTED_VALUE"""),"CONFORT")</f>
        <v>CONFORT</v>
      </c>
      <c r="P864" s="21">
        <f ca="1">IFERROR(__xludf.DUMMYFUNCTION("""COMPUTED_VALUE"""),2718.18)</f>
        <v>2718.18</v>
      </c>
      <c r="Q864" s="6" t="str">
        <f ca="1">IFERROR(__xludf.DUMMYFUNCTION("""COMPUTED_VALUE"""),"Ramon Ferrando")</f>
        <v>Ramon Ferrando</v>
      </c>
      <c r="R864" s="6" t="str">
        <f ca="1">IFERROR(__xludf.DUMMYFUNCTION("""COMPUTED_VALUE"""),"Celia López Molla")</f>
        <v>Celia López Molla</v>
      </c>
      <c r="S864" s="20" t="str">
        <f ca="1">IFERROR(__xludf.DUMMYFUNCTION("""COMPUTED_VALUE"""),"03 ORL")</f>
        <v>03 ORL</v>
      </c>
      <c r="T864" s="6" t="str">
        <f ca="1">IFERROR(__xludf.DUMMYFUNCTION("""COMPUTED_VALUE"""),"06 ORL")</f>
        <v>06 ORL</v>
      </c>
      <c r="U864" s="21"/>
      <c r="W864" s="20"/>
      <c r="X864" s="21"/>
    </row>
    <row r="865" spans="2:24" ht="16">
      <c r="B865" s="26" t="str">
        <f t="shared" ca="1" si="4"/>
        <v>RFV</v>
      </c>
      <c r="C865" s="23" t="str">
        <f ca="1">IFERROR(__xludf.DUMMYFUNCTION("""COMPUTED_VALUE"""),"RFV08")</f>
        <v>RFV08</v>
      </c>
      <c r="D865" s="6" t="str">
        <f ca="1">IFERROR(__xludf.DUMMYFUNCTION("""COMPUTED_VALUE"""),"PROPIOS")</f>
        <v>PROPIOS</v>
      </c>
      <c r="E865" s="6">
        <f ca="1">IFERROR(__xludf.DUMMYFUNCTION("""COMPUTED_VALUE"""),2026)</f>
        <v>2026</v>
      </c>
      <c r="F865" s="15">
        <f ca="1">IFERROR(__xludf.DUMMYFUNCTION("""COMPUTED_VALUE"""),3)</f>
        <v>3</v>
      </c>
      <c r="G865" s="6" t="str">
        <f ca="1">IFERROR(__xludf.DUMMYFUNCTION("""COMPUTED_VALUE"""),"Valencia- Cádiz")</f>
        <v>Valencia- Cádiz</v>
      </c>
      <c r="H865" s="6" t="str">
        <f ca="1">IFERROR(__xludf.DUMMYFUNCTION("""COMPUTED_VALUE"""),"C202621818162487866")</f>
        <v>C202621818162487866</v>
      </c>
      <c r="I865" s="6" t="str">
        <f ca="1">IFERROR(__xludf.DUMMYFUNCTION("""COMPUTED_VALUE"""),"MIGUEL EDUARDO MODUGNO PARRA")</f>
        <v>MIGUEL EDUARDO MODUGNO PARRA</v>
      </c>
      <c r="J865" s="16">
        <f ca="1">IFERROR(__xludf.DUMMYFUNCTION("""COMPUTED_VALUE"""),46071)</f>
        <v>46071</v>
      </c>
      <c r="K865" s="6" t="str">
        <f ca="1">IFERROR(__xludf.DUMMYFUNCTION("""COMPUTED_VALUE"""),"Prueba")</f>
        <v>Prueba</v>
      </c>
      <c r="L865" s="16">
        <f ca="1">IFERROR(__xludf.DUMMYFUNCTION("""COMPUTED_VALUE"""),46105)</f>
        <v>46105</v>
      </c>
      <c r="M865" s="23" t="str">
        <f ca="1">IFERROR(__xludf.DUMMYFUNCTION("""COMPUTED_VALUE"""),"NO")</f>
        <v>NO</v>
      </c>
      <c r="N865" s="15">
        <f ca="1">IFERROR(__xludf.DUMMYFUNCTION("""COMPUTED_VALUE"""),1)</f>
        <v>1</v>
      </c>
      <c r="O865" s="23" t="str">
        <f ca="1">IFERROR(__xludf.DUMMYFUNCTION("""COMPUTED_VALUE"""),"TRIAL")</f>
        <v>TRIAL</v>
      </c>
      <c r="P865" s="21">
        <f ca="1">IFERROR(__xludf.DUMMYFUNCTION("""COMPUTED_VALUE"""),2180.9)</f>
        <v>2180.9</v>
      </c>
      <c r="Q865" s="6" t="str">
        <f ca="1">IFERROR(__xludf.DUMMYFUNCTION("""COMPUTED_VALUE"""),"Ramon Ferrando")</f>
        <v>Ramon Ferrando</v>
      </c>
      <c r="R865" s="6" t="str">
        <f ca="1">IFERROR(__xludf.DUMMYFUNCTION("""COMPUTED_VALUE"""),"Abel Guzmán Calvete")</f>
        <v>Abel Guzmán Calvete</v>
      </c>
      <c r="S865" s="20" t="str">
        <f ca="1">IFERROR(__xludf.DUMMYFUNCTION("""COMPUTED_VALUE"""),"03 ORL")</f>
        <v>03 ORL</v>
      </c>
      <c r="T865" s="6" t="str">
        <f ca="1">IFERROR(__xludf.DUMMYFUNCTION("""COMPUTED_VALUE"""),"06 ORL")</f>
        <v>06 ORL</v>
      </c>
      <c r="U865" s="21"/>
      <c r="W865" s="20"/>
      <c r="X865" s="21"/>
    </row>
    <row r="866" spans="2:24" ht="16">
      <c r="B866" s="26" t="str">
        <f t="shared" ca="1" si="4"/>
        <v>RFV</v>
      </c>
      <c r="C866" s="23" t="str">
        <f ca="1">IFERROR(__xludf.DUMMYFUNCTION("""COMPUTED_VALUE"""),"RFV15")</f>
        <v>RFV15</v>
      </c>
      <c r="D866" s="6" t="str">
        <f ca="1">IFERROR(__xludf.DUMMYFUNCTION("""COMPUTED_VALUE"""),"PROPIOS")</f>
        <v>PROPIOS</v>
      </c>
      <c r="E866" s="6">
        <f ca="1">IFERROR(__xludf.DUMMYFUNCTION("""COMPUTED_VALUE"""),2026)</f>
        <v>2026</v>
      </c>
      <c r="F866" s="15">
        <f ca="1">IFERROR(__xludf.DUMMYFUNCTION("""COMPUTED_VALUE"""),2)</f>
        <v>2</v>
      </c>
      <c r="G866" s="6" t="str">
        <f ca="1">IFERROR(__xludf.DUMMYFUNCTION("""COMPUTED_VALUE"""),"Valencia- Cádiz")</f>
        <v>Valencia- Cádiz</v>
      </c>
      <c r="H866" s="6" t="str">
        <f ca="1">IFERROR(__xludf.DUMMYFUNCTION("""COMPUTED_VALUE"""),"C202621210343674988")</f>
        <v>C202621210343674988</v>
      </c>
      <c r="I866" s="6" t="str">
        <f ca="1">IFERROR(__xludf.DUMMYFUNCTION("""COMPUTED_VALUE"""),"RAIZA MUCIDA OLIVEIRA")</f>
        <v>RAIZA MUCIDA OLIVEIRA</v>
      </c>
      <c r="J866" s="16">
        <f ca="1">IFERROR(__xludf.DUMMYFUNCTION("""COMPUTED_VALUE"""),46065)</f>
        <v>46065</v>
      </c>
      <c r="K866" s="6" t="str">
        <f ca="1">IFERROR(__xludf.DUMMYFUNCTION("""COMPUTED_VALUE"""),"Devuelve")</f>
        <v>Devuelve</v>
      </c>
      <c r="L866" s="16">
        <f ca="1">IFERROR(__xludf.DUMMYFUNCTION("""COMPUTED_VALUE"""),46078)</f>
        <v>46078</v>
      </c>
      <c r="M866" s="23" t="str">
        <f ca="1">IFERROR(__xludf.DUMMYFUNCTION("""COMPUTED_VALUE"""),"NO")</f>
        <v>NO</v>
      </c>
      <c r="N866" s="15">
        <f ca="1">IFERROR(__xludf.DUMMYFUNCTION("""COMPUTED_VALUE"""),2)</f>
        <v>2</v>
      </c>
      <c r="O866" s="23" t="str">
        <f ca="1">IFERROR(__xludf.DUMMYFUNCTION("""COMPUTED_VALUE"""),"QUIET")</f>
        <v>QUIET</v>
      </c>
      <c r="P866" s="21">
        <f ca="1">IFERROR(__xludf.DUMMYFUNCTION("""COMPUTED_VALUE"""),2718.18)</f>
        <v>2718.18</v>
      </c>
      <c r="Q866" s="6" t="str">
        <f ca="1">IFERROR(__xludf.DUMMYFUNCTION("""COMPUTED_VALUE"""),"Ramon Ferrando")</f>
        <v>Ramon Ferrando</v>
      </c>
      <c r="R866" s="6" t="str">
        <f ca="1">IFERROR(__xludf.DUMMYFUNCTION("""COMPUTED_VALUE"""),"Jean Franco Intraprendente Martini")</f>
        <v>Jean Franco Intraprendente Martini</v>
      </c>
      <c r="S866" s="20" t="str">
        <f ca="1">IFERROR(__xludf.DUMMYFUNCTION("""COMPUTED_VALUE"""),"03 ORL")</f>
        <v>03 ORL</v>
      </c>
      <c r="T866" s="6" t="str">
        <f ca="1">IFERROR(__xludf.DUMMYFUNCTION("""COMPUTED_VALUE"""),"06 ORL")</f>
        <v>06 ORL</v>
      </c>
      <c r="U866" s="21"/>
      <c r="W866" s="20"/>
      <c r="X866" s="21"/>
    </row>
    <row r="867" spans="2:24" ht="16">
      <c r="B867" s="26" t="str">
        <f t="shared" ca="1" si="4"/>
        <v/>
      </c>
      <c r="C867" s="23"/>
      <c r="D867" s="6" t="str">
        <f ca="1">IFERROR(__xludf.DUMMYFUNCTION("""COMPUTED_VALUE"""),"PROPIOS")</f>
        <v>PROPIOS</v>
      </c>
      <c r="E867" s="6">
        <f ca="1">IFERROR(__xludf.DUMMYFUNCTION("""COMPUTED_VALUE"""),2026)</f>
        <v>2026</v>
      </c>
      <c r="F867" s="15">
        <f ca="1">IFERROR(__xludf.DUMMYFUNCTION("""COMPUTED_VALUE"""),3)</f>
        <v>3</v>
      </c>
      <c r="G867" s="6" t="str">
        <f ca="1">IFERROR(__xludf.DUMMYFUNCTION("""COMPUTED_VALUE"""),"Valencia- Cádiz")</f>
        <v>Valencia- Cádiz</v>
      </c>
      <c r="H867" s="6" t="str">
        <f ca="1">IFERROR(__xludf.DUMMYFUNCTION("""COMPUTED_VALUE"""),"C202631311265109689")</f>
        <v>C202631311265109689</v>
      </c>
      <c r="I867" s="6" t="str">
        <f ca="1">IFERROR(__xludf.DUMMYFUNCTION("""COMPUTED_VALUE"""),"YANI TRIFONOV KIROV")</f>
        <v>YANI TRIFONOV KIROV</v>
      </c>
      <c r="J867" s="16">
        <f ca="1">IFERROR(__xludf.DUMMYFUNCTION("""COMPUTED_VALUE"""),46094)</f>
        <v>46094</v>
      </c>
      <c r="K867" s="6" t="str">
        <f ca="1">IFERROR(__xludf.DUMMYFUNCTION("""COMPUTED_VALUE"""),"Pedido")</f>
        <v>Pedido</v>
      </c>
      <c r="L867" s="16">
        <f ca="1">IFERROR(__xludf.DUMMYFUNCTION("""COMPUTED_VALUE"""),46108)</f>
        <v>46108</v>
      </c>
      <c r="M867" s="23" t="str">
        <f ca="1">IFERROR(__xludf.DUMMYFUNCTION("""COMPUTED_VALUE"""),"NO")</f>
        <v>NO</v>
      </c>
      <c r="N867" s="15">
        <f ca="1">IFERROR(__xludf.DUMMYFUNCTION("""COMPUTED_VALUE"""),2)</f>
        <v>2</v>
      </c>
      <c r="O867" s="23" t="str">
        <f ca="1">IFERROR(__xludf.DUMMYFUNCTION("""COMPUTED_VALUE"""),"QUIET")</f>
        <v>QUIET</v>
      </c>
      <c r="P867" s="21">
        <f ca="1">IFERROR(__xludf.DUMMYFUNCTION("""COMPUTED_VALUE"""),2718.18)</f>
        <v>2718.18</v>
      </c>
      <c r="Q867" s="6" t="str">
        <f ca="1">IFERROR(__xludf.DUMMYFUNCTION("""COMPUTED_VALUE"""),"Ramon Ferrando")</f>
        <v>Ramon Ferrando</v>
      </c>
      <c r="R867" s="6" t="str">
        <f ca="1">IFERROR(__xludf.DUMMYFUNCTION("""COMPUTED_VALUE"""),"No recuerda ORL")</f>
        <v>No recuerda ORL</v>
      </c>
      <c r="S867" s="20" t="str">
        <f ca="1">IFERROR(__xludf.DUMMYFUNCTION("""COMPUTED_VALUE"""),"03 ORL")</f>
        <v>03 ORL</v>
      </c>
      <c r="T867" s="6" t="str">
        <f ca="1">IFERROR(__xludf.DUMMYFUNCTION("""COMPUTED_VALUE"""),"06 ORL")</f>
        <v>06 ORL</v>
      </c>
      <c r="U867" s="21"/>
      <c r="W867" s="20"/>
      <c r="X867" s="21"/>
    </row>
    <row r="868" spans="2:24" ht="16">
      <c r="B868" s="26" t="str">
        <f t="shared" ca="1" si="4"/>
        <v>RFV</v>
      </c>
      <c r="C868" s="23" t="str">
        <f ca="1">IFERROR(__xludf.DUMMYFUNCTION("""COMPUTED_VALUE"""),"RFV41")</f>
        <v>RFV41</v>
      </c>
      <c r="D868" s="6" t="str">
        <f ca="1">IFERROR(__xludf.DUMMYFUNCTION("""COMPUTED_VALUE"""),"PROPIOS")</f>
        <v>PROPIOS</v>
      </c>
      <c r="E868" s="6">
        <f ca="1">IFERROR(__xludf.DUMMYFUNCTION("""COMPUTED_VALUE"""),2026)</f>
        <v>2026</v>
      </c>
      <c r="F868" s="15">
        <f ca="1">IFERROR(__xludf.DUMMYFUNCTION("""COMPUTED_VALUE"""),1)</f>
        <v>1</v>
      </c>
      <c r="G868" s="6" t="str">
        <f ca="1">IFERROR(__xludf.DUMMYFUNCTION("""COMPUTED_VALUE"""),"Valencia- Parra")</f>
        <v>Valencia- Parra</v>
      </c>
      <c r="H868" s="6" t="str">
        <f ca="1">IFERROR(__xludf.DUMMYFUNCTION("""COMPUTED_VALUE"""),"C202611212203043623")</f>
        <v>C202611212203043623</v>
      </c>
      <c r="I868" s="6" t="str">
        <f ca="1">IFERROR(__xludf.DUMMYFUNCTION("""COMPUTED_VALUE"""),"ABELARDO VENDRELL ORTEGA")</f>
        <v>ABELARDO VENDRELL ORTEGA</v>
      </c>
      <c r="J868" s="16">
        <f ca="1">IFERROR(__xludf.DUMMYFUNCTION("""COMPUTED_VALUE"""),46034)</f>
        <v>46034</v>
      </c>
      <c r="K868" s="6" t="str">
        <f ca="1">IFERROR(__xludf.DUMMYFUNCTION("""COMPUTED_VALUE"""),"Presupuesto")</f>
        <v>Presupuesto</v>
      </c>
      <c r="L868" s="16">
        <f ca="1">IFERROR(__xludf.DUMMYFUNCTION("""COMPUTED_VALUE"""),46043)</f>
        <v>46043</v>
      </c>
      <c r="M868" s="23" t="str">
        <f ca="1">IFERROR(__xludf.DUMMYFUNCTION("""COMPUTED_VALUE"""),"NO")</f>
        <v>NO</v>
      </c>
      <c r="N868" s="15">
        <f ca="1">IFERROR(__xludf.DUMMYFUNCTION("""COMPUTED_VALUE"""),1)</f>
        <v>1</v>
      </c>
      <c r="O868" s="23" t="str">
        <f ca="1">IFERROR(__xludf.DUMMYFUNCTION("""COMPUTED_VALUE"""),"TRIAL")</f>
        <v>TRIAL</v>
      </c>
      <c r="P868" s="21">
        <f ca="1">IFERROR(__xludf.DUMMYFUNCTION("""COMPUTED_VALUE"""),1631.82)</f>
        <v>1631.82</v>
      </c>
      <c r="Q868" s="6" t="str">
        <f ca="1">IFERROR(__xludf.DUMMYFUNCTION("""COMPUTED_VALUE"""),"Ramon Ferrando")</f>
        <v>Ramon Ferrando</v>
      </c>
      <c r="R868" s="6" t="str">
        <f ca="1">IFERROR(__xludf.DUMMYFUNCTION("""COMPUTED_VALUE"""),"María Begoña Capella Soriano")</f>
        <v>María Begoña Capella Soriano</v>
      </c>
      <c r="S868" s="20" t="str">
        <f ca="1">IFERROR(__xludf.DUMMYFUNCTION("""COMPUTED_VALUE"""),"03 ORL")</f>
        <v>03 ORL</v>
      </c>
      <c r="T868" s="6" t="str">
        <f ca="1">IFERROR(__xludf.DUMMYFUNCTION("""COMPUTED_VALUE"""),"06 ORL")</f>
        <v>06 ORL</v>
      </c>
      <c r="U868" s="21"/>
      <c r="W868" s="20"/>
      <c r="X868" s="21"/>
    </row>
    <row r="869" spans="2:24" ht="16">
      <c r="B869" s="26" t="str">
        <f t="shared" ca="1" si="4"/>
        <v>RFV</v>
      </c>
      <c r="C869" s="23" t="str">
        <f ca="1">IFERROR(__xludf.DUMMYFUNCTION("""COMPUTED_VALUE"""),"RFV21")</f>
        <v>RFV21</v>
      </c>
      <c r="D869" s="6" t="str">
        <f ca="1">IFERROR(__xludf.DUMMYFUNCTION("""COMPUTED_VALUE"""),"PROPIOS")</f>
        <v>PROPIOS</v>
      </c>
      <c r="E869" s="6">
        <f ca="1">IFERROR(__xludf.DUMMYFUNCTION("""COMPUTED_VALUE"""),2026)</f>
        <v>2026</v>
      </c>
      <c r="F869" s="15">
        <f ca="1">IFERROR(__xludf.DUMMYFUNCTION("""COMPUTED_VALUE"""),3)</f>
        <v>3</v>
      </c>
      <c r="G869" s="6" t="str">
        <f ca="1">IFERROR(__xludf.DUMMYFUNCTION("""COMPUTED_VALUE"""),"Valencia- Parra")</f>
        <v>Valencia- Parra</v>
      </c>
      <c r="H869" s="6" t="str">
        <f ca="1">IFERROR(__xludf.DUMMYFUNCTION("""COMPUTED_VALUE"""),"C202634105857508816")</f>
        <v>C202634105857508816</v>
      </c>
      <c r="I869" s="6" t="str">
        <f ca="1">IFERROR(__xludf.DUMMYFUNCTION("""COMPUTED_VALUE"""),"ALEX BOIX DEL OLMO")</f>
        <v>ALEX BOIX DEL OLMO</v>
      </c>
      <c r="J869" s="16">
        <f ca="1">IFERROR(__xludf.DUMMYFUNCTION("""COMPUTED_VALUE"""),46085)</f>
        <v>46085</v>
      </c>
      <c r="K869" s="6" t="str">
        <f ca="1">IFERROR(__xludf.DUMMYFUNCTION("""COMPUTED_VALUE"""),"Presupuesto")</f>
        <v>Presupuesto</v>
      </c>
      <c r="L869" s="16">
        <f ca="1">IFERROR(__xludf.DUMMYFUNCTION("""COMPUTED_VALUE"""),46092)</f>
        <v>46092</v>
      </c>
      <c r="M869" s="23" t="str">
        <f ca="1">IFERROR(__xludf.DUMMYFUNCTION("""COMPUTED_VALUE"""),"NO")</f>
        <v>NO</v>
      </c>
      <c r="N869" s="15">
        <f ca="1">IFERROR(__xludf.DUMMYFUNCTION("""COMPUTED_VALUE"""),2)</f>
        <v>2</v>
      </c>
      <c r="O869" s="23" t="str">
        <f ca="1">IFERROR(__xludf.DUMMYFUNCTION("""COMPUTED_VALUE"""),"CONFORT")</f>
        <v>CONFORT</v>
      </c>
      <c r="P869" s="21">
        <f ca="1">IFERROR(__xludf.DUMMYFUNCTION("""COMPUTED_VALUE"""),3631.82)</f>
        <v>3631.82</v>
      </c>
      <c r="Q869" s="6" t="str">
        <f ca="1">IFERROR(__xludf.DUMMYFUNCTION("""COMPUTED_VALUE"""),"Ramon Ferrando")</f>
        <v>Ramon Ferrando</v>
      </c>
      <c r="R869" s="6" t="str">
        <f ca="1">IFERROR(__xludf.DUMMYFUNCTION("""COMPUTED_VALUE"""),"Manuel Mateos Fernández")</f>
        <v>Manuel Mateos Fernández</v>
      </c>
      <c r="S869" s="20" t="str">
        <f ca="1">IFERROR(__xludf.DUMMYFUNCTION("""COMPUTED_VALUE"""),"03 ORL")</f>
        <v>03 ORL</v>
      </c>
      <c r="T869" s="6" t="str">
        <f ca="1">IFERROR(__xludf.DUMMYFUNCTION("""COMPUTED_VALUE"""),"06 ORL")</f>
        <v>06 ORL</v>
      </c>
      <c r="U869" s="21"/>
      <c r="W869" s="20"/>
      <c r="X869" s="21"/>
    </row>
    <row r="870" spans="2:24" ht="16">
      <c r="B870" s="26" t="str">
        <f t="shared" ca="1" si="4"/>
        <v>RFV</v>
      </c>
      <c r="C870" s="23" t="str">
        <f ca="1">IFERROR(__xludf.DUMMYFUNCTION("""COMPUTED_VALUE"""),"RFV21")</f>
        <v>RFV21</v>
      </c>
      <c r="D870" s="6" t="str">
        <f ca="1">IFERROR(__xludf.DUMMYFUNCTION("""COMPUTED_VALUE"""),"PROPIOS")</f>
        <v>PROPIOS</v>
      </c>
      <c r="E870" s="6">
        <f ca="1">IFERROR(__xludf.DUMMYFUNCTION("""COMPUTED_VALUE"""),2026)</f>
        <v>2026</v>
      </c>
      <c r="F870" s="15">
        <f ca="1">IFERROR(__xludf.DUMMYFUNCTION("""COMPUTED_VALUE"""),3)</f>
        <v>3</v>
      </c>
      <c r="G870" s="6" t="str">
        <f ca="1">IFERROR(__xludf.DUMMYFUNCTION("""COMPUTED_VALUE"""),"Valencia- Parra")</f>
        <v>Valencia- Parra</v>
      </c>
      <c r="H870" s="6" t="str">
        <f ca="1">IFERROR(__xludf.DUMMYFUNCTION("""COMPUTED_VALUE"""),"C202631018173455263")</f>
        <v>C202631018173455263</v>
      </c>
      <c r="I870" s="6" t="str">
        <f ca="1">IFERROR(__xludf.DUMMYFUNCTION("""COMPUTED_VALUE"""),"ANTONIA CALDERÓN RODRIGUEZ")</f>
        <v>ANTONIA CALDERÓN RODRIGUEZ</v>
      </c>
      <c r="J870" s="16">
        <f ca="1">IFERROR(__xludf.DUMMYFUNCTION("""COMPUTED_VALUE"""),46091)</f>
        <v>46091</v>
      </c>
      <c r="K870" s="6" t="str">
        <f ca="1">IFERROR(__xludf.DUMMYFUNCTION("""COMPUTED_VALUE"""),"Pedido")</f>
        <v>Pedido</v>
      </c>
      <c r="L870" s="16">
        <f ca="1">IFERROR(__xludf.DUMMYFUNCTION("""COMPUTED_VALUE"""),46104)</f>
        <v>46104</v>
      </c>
      <c r="M870" s="23" t="str">
        <f ca="1">IFERROR(__xludf.DUMMYFUNCTION("""COMPUTED_VALUE"""),"NO")</f>
        <v>NO</v>
      </c>
      <c r="N870" s="15">
        <f ca="1">IFERROR(__xludf.DUMMYFUNCTION("""COMPUTED_VALUE"""),2)</f>
        <v>2</v>
      </c>
      <c r="O870" s="23" t="str">
        <f ca="1">IFERROR(__xludf.DUMMYFUNCTION("""COMPUTED_VALUE"""),"ADVANCED")</f>
        <v>ADVANCED</v>
      </c>
      <c r="P870" s="21">
        <f ca="1">IFERROR(__xludf.DUMMYFUNCTION("""COMPUTED_VALUE"""),4136.36)</f>
        <v>4136.3599999999997</v>
      </c>
      <c r="Q870" s="6" t="str">
        <f ca="1">IFERROR(__xludf.DUMMYFUNCTION("""COMPUTED_VALUE"""),"Ramon Ferrando")</f>
        <v>Ramon Ferrando</v>
      </c>
      <c r="R870" s="6" t="str">
        <f ca="1">IFERROR(__xludf.DUMMYFUNCTION("""COMPUTED_VALUE"""),"Manuel Mateos Fernández")</f>
        <v>Manuel Mateos Fernández</v>
      </c>
      <c r="S870" s="20" t="str">
        <f ca="1">IFERROR(__xludf.DUMMYFUNCTION("""COMPUTED_VALUE"""),"03 ORL")</f>
        <v>03 ORL</v>
      </c>
      <c r="T870" s="6" t="str">
        <f ca="1">IFERROR(__xludf.DUMMYFUNCTION("""COMPUTED_VALUE"""),"06 ORL")</f>
        <v>06 ORL</v>
      </c>
      <c r="U870" s="21"/>
      <c r="W870" s="20"/>
      <c r="X870" s="21"/>
    </row>
    <row r="871" spans="2:24" ht="16">
      <c r="B871" s="26" t="str">
        <f t="shared" ca="1" si="4"/>
        <v>RFV</v>
      </c>
      <c r="C871" s="23" t="str">
        <f ca="1">IFERROR(__xludf.DUMMYFUNCTION("""COMPUTED_VALUE"""),"RFV13")</f>
        <v>RFV13</v>
      </c>
      <c r="D871" s="6" t="str">
        <f ca="1">IFERROR(__xludf.DUMMYFUNCTION("""COMPUTED_VALUE"""),"PROPIOS")</f>
        <v>PROPIOS</v>
      </c>
      <c r="E871" s="6">
        <f ca="1">IFERROR(__xludf.DUMMYFUNCTION("""COMPUTED_VALUE"""),2026)</f>
        <v>2026</v>
      </c>
      <c r="F871" s="15">
        <f ca="1">IFERROR(__xludf.DUMMYFUNCTION("""COMPUTED_VALUE"""),2)</f>
        <v>2</v>
      </c>
      <c r="G871" s="6" t="str">
        <f ca="1">IFERROR(__xludf.DUMMYFUNCTION("""COMPUTED_VALUE"""),"Valencia- Parra")</f>
        <v>Valencia- Parra</v>
      </c>
      <c r="H871" s="6" t="str">
        <f ca="1">IFERROR(__xludf.DUMMYFUNCTION("""COMPUTED_VALUE"""),"C202611916485439894")</f>
        <v>C202611916485439894</v>
      </c>
      <c r="I871" s="6" t="str">
        <f ca="1">IFERROR(__xludf.DUMMYFUNCTION("""COMPUTED_VALUE"""),"BASILIO LOPEZ OLIVARES")</f>
        <v>BASILIO LOPEZ OLIVARES</v>
      </c>
      <c r="J871" s="16">
        <f ca="1">IFERROR(__xludf.DUMMYFUNCTION("""COMPUTED_VALUE"""),46041)</f>
        <v>46041</v>
      </c>
      <c r="K871" s="6" t="str">
        <f ca="1">IFERROR(__xludf.DUMMYFUNCTION("""COMPUTED_VALUE"""),"Presupuesto")</f>
        <v>Presupuesto</v>
      </c>
      <c r="L871" s="16">
        <f ca="1">IFERROR(__xludf.DUMMYFUNCTION("""COMPUTED_VALUE"""),46057)</f>
        <v>46057</v>
      </c>
      <c r="M871" s="23" t="str">
        <f ca="1">IFERROR(__xludf.DUMMYFUNCTION("""COMPUTED_VALUE"""),"NO")</f>
        <v>NO</v>
      </c>
      <c r="N871" s="15">
        <f ca="1">IFERROR(__xludf.DUMMYFUNCTION("""COMPUTED_VALUE"""),2)</f>
        <v>2</v>
      </c>
      <c r="O871" s="23" t="str">
        <f ca="1">IFERROR(__xludf.DUMMYFUNCTION("""COMPUTED_VALUE"""),"TRIAL")</f>
        <v>TRIAL</v>
      </c>
      <c r="P871" s="21">
        <f ca="1">IFERROR(__xludf.DUMMYFUNCTION("""COMPUTED_VALUE"""),3631.82)</f>
        <v>3631.82</v>
      </c>
      <c r="Q871" s="6" t="str">
        <f ca="1">IFERROR(__xludf.DUMMYFUNCTION("""COMPUTED_VALUE"""),"Ramon Ferrando")</f>
        <v>Ramon Ferrando</v>
      </c>
      <c r="R871" s="6" t="str">
        <f ca="1">IFERROR(__xludf.DUMMYFUNCTION("""COMPUTED_VALUE"""),"Ignacio Llopez Carratalá")</f>
        <v>Ignacio Llopez Carratalá</v>
      </c>
      <c r="S871" s="20" t="str">
        <f ca="1">IFERROR(__xludf.DUMMYFUNCTION("""COMPUTED_VALUE"""),"03 ORL")</f>
        <v>03 ORL</v>
      </c>
      <c r="T871" s="6" t="str">
        <f ca="1">IFERROR(__xludf.DUMMYFUNCTION("""COMPUTED_VALUE"""),"06 ORL")</f>
        <v>06 ORL</v>
      </c>
      <c r="U871" s="21"/>
      <c r="W871" s="20"/>
      <c r="X871" s="21"/>
    </row>
    <row r="872" spans="2:24" ht="16">
      <c r="B872" s="26" t="str">
        <f t="shared" ca="1" si="4"/>
        <v>RFV</v>
      </c>
      <c r="C872" s="23" t="str">
        <f ca="1">IFERROR(__xludf.DUMMYFUNCTION("""COMPUTED_VALUE"""),"RFV15")</f>
        <v>RFV15</v>
      </c>
      <c r="D872" s="6" t="str">
        <f ca="1">IFERROR(__xludf.DUMMYFUNCTION("""COMPUTED_VALUE"""),"PROPIOS")</f>
        <v>PROPIOS</v>
      </c>
      <c r="E872" s="6">
        <f ca="1">IFERROR(__xludf.DUMMYFUNCTION("""COMPUTED_VALUE"""),2026)</f>
        <v>2026</v>
      </c>
      <c r="F872" s="15">
        <f ca="1">IFERROR(__xludf.DUMMYFUNCTION("""COMPUTED_VALUE"""),3)</f>
        <v>3</v>
      </c>
      <c r="G872" s="6" t="str">
        <f ca="1">IFERROR(__xludf.DUMMYFUNCTION("""COMPUTED_VALUE"""),"Valencia- Parra")</f>
        <v>Valencia- Parra</v>
      </c>
      <c r="H872" s="6" t="str">
        <f ca="1">IFERROR(__xludf.DUMMYFUNCTION("""COMPUTED_VALUE"""),"C202632102035125822")</f>
        <v>C202632102035125822</v>
      </c>
      <c r="I872" s="6" t="str">
        <f ca="1">IFERROR(__xludf.DUMMYFUNCTION("""COMPUTED_VALUE"""),"JULIA MARGAIX TAMARIT")</f>
        <v>JULIA MARGAIX TAMARIT</v>
      </c>
      <c r="J872" s="16">
        <f ca="1">IFERROR(__xludf.DUMMYFUNCTION("""COMPUTED_VALUE"""),46083)</f>
        <v>46083</v>
      </c>
      <c r="K872" s="6" t="str">
        <f ca="1">IFERROR(__xludf.DUMMYFUNCTION("""COMPUTED_VALUE"""),"Prueba")</f>
        <v>Prueba</v>
      </c>
      <c r="L872" s="16">
        <f ca="1">IFERROR(__xludf.DUMMYFUNCTION("""COMPUTED_VALUE"""),46108)</f>
        <v>46108</v>
      </c>
      <c r="M872" s="23" t="str">
        <f ca="1">IFERROR(__xludf.DUMMYFUNCTION("""COMPUTED_VALUE"""),"NO")</f>
        <v>NO</v>
      </c>
      <c r="N872" s="15">
        <f ca="1">IFERROR(__xludf.DUMMYFUNCTION("""COMPUTED_VALUE"""),2)</f>
        <v>2</v>
      </c>
      <c r="O872" s="23" t="str">
        <f ca="1">IFERROR(__xludf.DUMMYFUNCTION("""COMPUTED_VALUE"""),"CONFORT")</f>
        <v>CONFORT</v>
      </c>
      <c r="P872" s="21">
        <f ca="1">IFERROR(__xludf.DUMMYFUNCTION("""COMPUTED_VALUE"""),3631.82)</f>
        <v>3631.82</v>
      </c>
      <c r="Q872" s="6" t="str">
        <f ca="1">IFERROR(__xludf.DUMMYFUNCTION("""COMPUTED_VALUE"""),"Ramon Ferrando")</f>
        <v>Ramon Ferrando</v>
      </c>
      <c r="R872" s="6" t="str">
        <f ca="1">IFERROR(__xludf.DUMMYFUNCTION("""COMPUTED_VALUE"""),"Jean Franco Intraprendente Martini")</f>
        <v>Jean Franco Intraprendente Martini</v>
      </c>
      <c r="S872" s="20" t="str">
        <f ca="1">IFERROR(__xludf.DUMMYFUNCTION("""COMPUTED_VALUE"""),"03 ORL")</f>
        <v>03 ORL</v>
      </c>
      <c r="T872" s="6" t="str">
        <f ca="1">IFERROR(__xludf.DUMMYFUNCTION("""COMPUTED_VALUE"""),"06 ORL")</f>
        <v>06 ORL</v>
      </c>
      <c r="U872" s="21"/>
      <c r="W872" s="20"/>
      <c r="X872" s="21"/>
    </row>
    <row r="873" spans="2:24" ht="16">
      <c r="B873" s="26" t="str">
        <f t="shared" ca="1" si="4"/>
        <v/>
      </c>
      <c r="C873" s="23"/>
      <c r="D873" s="6" t="str">
        <f ca="1">IFERROR(__xludf.DUMMYFUNCTION("""COMPUTED_VALUE"""),"PROPIOS")</f>
        <v>PROPIOS</v>
      </c>
      <c r="E873" s="6">
        <f ca="1">IFERROR(__xludf.DUMMYFUNCTION("""COMPUTED_VALUE"""),2026)</f>
        <v>2026</v>
      </c>
      <c r="F873" s="15">
        <f ca="1">IFERROR(__xludf.DUMMYFUNCTION("""COMPUTED_VALUE"""),2)</f>
        <v>2</v>
      </c>
      <c r="G873" s="6" t="str">
        <f ca="1">IFERROR(__xludf.DUMMYFUNCTION("""COMPUTED_VALUE"""),"Valencia- Parra")</f>
        <v>Valencia- Parra</v>
      </c>
      <c r="H873" s="6" t="str">
        <f ca="1">IFERROR(__xludf.DUMMYFUNCTION("""COMPUTED_VALUE"""),"C202629143130819398")</f>
        <v>C202629143130819398</v>
      </c>
      <c r="I873" s="6" t="str">
        <f ca="1">IFERROR(__xludf.DUMMYFUNCTION("""COMPUTED_VALUE"""),"MARIA DEL VALLE TORRES BAUSTISTA")</f>
        <v>MARIA DEL VALLE TORRES BAUSTISTA</v>
      </c>
      <c r="J873" s="16">
        <f ca="1">IFERROR(__xludf.DUMMYFUNCTION("""COMPUTED_VALUE"""),46062)</f>
        <v>46062</v>
      </c>
      <c r="K873" s="6" t="str">
        <f ca="1">IFERROR(__xludf.DUMMYFUNCTION("""COMPUTED_VALUE"""),"Prueba")</f>
        <v>Prueba</v>
      </c>
      <c r="L873" s="16">
        <f ca="1">IFERROR(__xludf.DUMMYFUNCTION("""COMPUTED_VALUE"""),46071)</f>
        <v>46071</v>
      </c>
      <c r="M873" s="23" t="str">
        <f ca="1">IFERROR(__xludf.DUMMYFUNCTION("""COMPUTED_VALUE"""),"NO")</f>
        <v>NO</v>
      </c>
      <c r="N873" s="15">
        <f ca="1">IFERROR(__xludf.DUMMYFUNCTION("""COMPUTED_VALUE"""),2)</f>
        <v>2</v>
      </c>
      <c r="O873" s="23" t="str">
        <f ca="1">IFERROR(__xludf.DUMMYFUNCTION("""COMPUTED_VALUE"""),"TRIAL")</f>
        <v>TRIAL</v>
      </c>
      <c r="P873" s="21">
        <f ca="1">IFERROR(__xludf.DUMMYFUNCTION("""COMPUTED_VALUE"""),3631.82)</f>
        <v>3631.82</v>
      </c>
      <c r="Q873" s="6" t="str">
        <f ca="1">IFERROR(__xludf.DUMMYFUNCTION("""COMPUTED_VALUE"""),"Ramon Ferrando")</f>
        <v>Ramon Ferrando</v>
      </c>
      <c r="R873" s="6" t="str">
        <f ca="1">IFERROR(__xludf.DUMMYFUNCTION("""COMPUTED_VALUE"""),"No recuerda ORL")</f>
        <v>No recuerda ORL</v>
      </c>
      <c r="S873" s="20" t="str">
        <f ca="1">IFERROR(__xludf.DUMMYFUNCTION("""COMPUTED_VALUE"""),"03 ORL")</f>
        <v>03 ORL</v>
      </c>
      <c r="T873" s="6" t="str">
        <f ca="1">IFERROR(__xludf.DUMMYFUNCTION("""COMPUTED_VALUE"""),"06 ORL")</f>
        <v>06 ORL</v>
      </c>
      <c r="U873" s="21"/>
      <c r="W873" s="20"/>
      <c r="X873" s="21"/>
    </row>
    <row r="874" spans="2:24" ht="16">
      <c r="B874" s="26" t="str">
        <f t="shared" ca="1" si="4"/>
        <v>RFV</v>
      </c>
      <c r="C874" s="23" t="str">
        <f ca="1">IFERROR(__xludf.DUMMYFUNCTION("""COMPUTED_VALUE"""),"RFV22")</f>
        <v>RFV22</v>
      </c>
      <c r="D874" s="6" t="str">
        <f ca="1">IFERROR(__xludf.DUMMYFUNCTION("""COMPUTED_VALUE"""),"PROPIOS")</f>
        <v>PROPIOS</v>
      </c>
      <c r="E874" s="6">
        <f ca="1">IFERROR(__xludf.DUMMYFUNCTION("""COMPUTED_VALUE"""),2026)</f>
        <v>2026</v>
      </c>
      <c r="F874" s="15">
        <f ca="1">IFERROR(__xludf.DUMMYFUNCTION("""COMPUTED_VALUE"""),4)</f>
        <v>4</v>
      </c>
      <c r="G874" s="6" t="str">
        <f ca="1">IFERROR(__xludf.DUMMYFUNCTION("""COMPUTED_VALUE"""),"Valencia- Parra")</f>
        <v>Valencia- Parra</v>
      </c>
      <c r="H874" s="6" t="str">
        <f ca="1">IFERROR(__xludf.DUMMYFUNCTION("""COMPUTED_VALUE"""),"C20262279207264232")</f>
        <v>C20262279207264232</v>
      </c>
      <c r="I874" s="6" t="str">
        <f ca="1">IFERROR(__xludf.DUMMYFUNCTION("""COMPUTED_VALUE"""),"ROSA FERNANDEZ BLANCO")</f>
        <v>ROSA FERNANDEZ BLANCO</v>
      </c>
      <c r="J874" s="16">
        <f ca="1">IFERROR(__xludf.DUMMYFUNCTION("""COMPUTED_VALUE"""),46080)</f>
        <v>46080</v>
      </c>
      <c r="K874" s="6" t="str">
        <f ca="1">IFERROR(__xludf.DUMMYFUNCTION("""COMPUTED_VALUE"""),"Prueba")</f>
        <v>Prueba</v>
      </c>
      <c r="L874" s="16">
        <f ca="1">IFERROR(__xludf.DUMMYFUNCTION("""COMPUTED_VALUE"""),46113)</f>
        <v>46113</v>
      </c>
      <c r="M874" s="23" t="str">
        <f ca="1">IFERROR(__xludf.DUMMYFUNCTION("""COMPUTED_VALUE"""),"NO")</f>
        <v>NO</v>
      </c>
      <c r="N874" s="15">
        <f ca="1">IFERROR(__xludf.DUMMYFUNCTION("""COMPUTED_VALUE"""),1)</f>
        <v>1</v>
      </c>
      <c r="O874" s="23" t="str">
        <f ca="1">IFERROR(__xludf.DUMMYFUNCTION("""COMPUTED_VALUE"""),"TRIAL")</f>
        <v>TRIAL</v>
      </c>
      <c r="P874" s="21">
        <f ca="1">IFERROR(__xludf.DUMMYFUNCTION("""COMPUTED_VALUE"""),1631.82)</f>
        <v>1631.82</v>
      </c>
      <c r="Q874" s="6" t="str">
        <f ca="1">IFERROR(__xludf.DUMMYFUNCTION("""COMPUTED_VALUE"""),"Ramon Ferrando")</f>
        <v>Ramon Ferrando</v>
      </c>
      <c r="R874" s="6" t="str">
        <f ca="1">IFERROR(__xludf.DUMMYFUNCTION("""COMPUTED_VALUE"""),"Martín Eduardo Marcano Acuña")</f>
        <v>Martín Eduardo Marcano Acuña</v>
      </c>
      <c r="S874" s="20" t="str">
        <f ca="1">IFERROR(__xludf.DUMMYFUNCTION("""COMPUTED_VALUE"""),"03 ORL")</f>
        <v>03 ORL</v>
      </c>
      <c r="T874" s="6" t="str">
        <f ca="1">IFERROR(__xludf.DUMMYFUNCTION("""COMPUTED_VALUE"""),"06 ORL")</f>
        <v>06 ORL</v>
      </c>
      <c r="U874" s="21"/>
      <c r="W874" s="20"/>
      <c r="X874" s="21"/>
    </row>
    <row r="875" spans="2:24" ht="16">
      <c r="B875" s="26" t="str">
        <f t="shared" ca="1" si="4"/>
        <v>ISL</v>
      </c>
      <c r="C875" s="23" t="str">
        <f ca="1">IFERROR(__xludf.DUMMYFUNCTION("""COMPUTED_VALUE"""),"ISL119")</f>
        <v>ISL119</v>
      </c>
      <c r="D875" s="6" t="str">
        <f ca="1">IFERROR(__xludf.DUMMYFUNCTION("""COMPUTED_VALUE"""),"PROPIOS")</f>
        <v>PROPIOS</v>
      </c>
      <c r="E875" s="6">
        <f ca="1">IFERROR(__xludf.DUMMYFUNCTION("""COMPUTED_VALUE"""),2026)</f>
        <v>2026</v>
      </c>
      <c r="F875" s="15">
        <f ca="1">IFERROR(__xludf.DUMMYFUNCTION("""COMPUTED_VALUE"""),3)</f>
        <v>3</v>
      </c>
      <c r="G875" s="6" t="str">
        <f ca="1">IFERROR(__xludf.DUMMYFUNCTION("""COMPUTED_VALUE"""),"Valencia- Parra")</f>
        <v>Valencia- Parra</v>
      </c>
      <c r="H875" s="6" t="str">
        <f ca="1">IFERROR(__xludf.DUMMYFUNCTION("""COMPUTED_VALUE"""),"C202621616484989719")</f>
        <v>C202621616484989719</v>
      </c>
      <c r="I875" s="6" t="str">
        <f ca="1">IFERROR(__xludf.DUMMYFUNCTION("""COMPUTED_VALUE"""),"SALVADOR DONIS CORTINA")</f>
        <v>SALVADOR DONIS CORTINA</v>
      </c>
      <c r="J875" s="16">
        <f ca="1">IFERROR(__xludf.DUMMYFUNCTION("""COMPUTED_VALUE"""),46069)</f>
        <v>46069</v>
      </c>
      <c r="K875" s="6" t="str">
        <f ca="1">IFERROR(__xludf.DUMMYFUNCTION("""COMPUTED_VALUE"""),"Prueba")</f>
        <v>Prueba</v>
      </c>
      <c r="L875" s="16">
        <f ca="1">IFERROR(__xludf.DUMMYFUNCTION("""COMPUTED_VALUE"""),46083)</f>
        <v>46083</v>
      </c>
      <c r="M875" s="23" t="str">
        <f ca="1">IFERROR(__xludf.DUMMYFUNCTION("""COMPUTED_VALUE"""),"NO")</f>
        <v>NO</v>
      </c>
      <c r="N875" s="15">
        <f ca="1">IFERROR(__xludf.DUMMYFUNCTION("""COMPUTED_VALUE"""),2)</f>
        <v>2</v>
      </c>
      <c r="O875" s="23" t="str">
        <f ca="1">IFERROR(__xludf.DUMMYFUNCTION("""COMPUTED_VALUE"""),"TRIAL")</f>
        <v>TRIAL</v>
      </c>
      <c r="P875" s="21">
        <f ca="1">IFERROR(__xludf.DUMMYFUNCTION("""COMPUTED_VALUE"""),3631.82)</f>
        <v>3631.82</v>
      </c>
      <c r="Q875" s="6" t="str">
        <f ca="1">IFERROR(__xludf.DUMMYFUNCTION("""COMPUTED_VALUE"""),"Ramon Ferrando")</f>
        <v>Ramon Ferrando</v>
      </c>
      <c r="R875" s="6" t="str">
        <f ca="1">IFERROR(__xludf.DUMMYFUNCTION("""COMPUTED_VALUE"""),"María José Lesmas Navarro")</f>
        <v>María José Lesmas Navarro</v>
      </c>
      <c r="S875" s="20" t="str">
        <f ca="1">IFERROR(__xludf.DUMMYFUNCTION("""COMPUTED_VALUE"""),"03 ORL")</f>
        <v>03 ORL</v>
      </c>
      <c r="T875" s="6" t="str">
        <f ca="1">IFERROR(__xludf.DUMMYFUNCTION("""COMPUTED_VALUE"""),"06 ORL")</f>
        <v>06 ORL</v>
      </c>
      <c r="U875" s="21"/>
      <c r="W875" s="20"/>
      <c r="X875" s="21"/>
    </row>
    <row r="876" spans="2:24" ht="16">
      <c r="B876" s="26" t="str">
        <f t="shared" ca="1" si="4"/>
        <v>PSC</v>
      </c>
      <c r="C876" s="23" t="str">
        <f ca="1">IFERROR(__xludf.DUMMYFUNCTION("""COMPUTED_VALUE"""),"PSC06")</f>
        <v>PSC06</v>
      </c>
      <c r="D876" s="6" t="str">
        <f ca="1">IFERROR(__xludf.DUMMYFUNCTION("""COMPUTED_VALUE"""),"ASOCIADOS")</f>
        <v>ASOCIADOS</v>
      </c>
      <c r="E876" s="6">
        <f ca="1">IFERROR(__xludf.DUMMYFUNCTION("""COMPUTED_VALUE"""),2026)</f>
        <v>2026</v>
      </c>
      <c r="F876" s="15">
        <f ca="1">IFERROR(__xludf.DUMMYFUNCTION("""COMPUTED_VALUE"""),1)</f>
        <v>1</v>
      </c>
      <c r="G876" s="6" t="str">
        <f ca="1">IFERROR(__xludf.DUMMYFUNCTION("""COMPUTED_VALUE"""),"Valladolid")</f>
        <v>Valladolid</v>
      </c>
      <c r="H876" s="6" t="str">
        <f ca="1">IFERROR(__xludf.DUMMYFUNCTION("""COMPUTED_VALUE"""),"C202512151056120313")</f>
        <v>C202512151056120313</v>
      </c>
      <c r="I876" s="6" t="str">
        <f ca="1">IFERROR(__xludf.DUMMYFUNCTION("""COMPUTED_VALUE"""),"AZUCENA  RAMOS MONSALVO")</f>
        <v>AZUCENA  RAMOS MONSALVO</v>
      </c>
      <c r="J876" s="16">
        <f ca="1">IFERROR(__xludf.DUMMYFUNCTION("""COMPUTED_VALUE"""),46006)</f>
        <v>46006</v>
      </c>
      <c r="K876" s="6" t="str">
        <f ca="1">IFERROR(__xludf.DUMMYFUNCTION("""COMPUTED_VALUE"""),"Devuelve")</f>
        <v>Devuelve</v>
      </c>
      <c r="L876" s="16">
        <f ca="1">IFERROR(__xludf.DUMMYFUNCTION("""COMPUTED_VALUE"""),46038)</f>
        <v>46038</v>
      </c>
      <c r="M876" s="23" t="str">
        <f ca="1">IFERROR(__xludf.DUMMYFUNCTION("""COMPUTED_VALUE"""),"NO")</f>
        <v>NO</v>
      </c>
      <c r="N876" s="15">
        <f ca="1">IFERROR(__xludf.DUMMYFUNCTION("""COMPUTED_VALUE"""),1)</f>
        <v>1</v>
      </c>
      <c r="O876" s="23" t="str">
        <f ca="1">IFERROR(__xludf.DUMMYFUNCTION("""COMPUTED_VALUE"""),"ADVANCED")</f>
        <v>ADVANCED</v>
      </c>
      <c r="P876" s="21">
        <f ca="1">IFERROR(__xludf.DUMMYFUNCTION("""COMPUTED_VALUE"""),2080)</f>
        <v>2080</v>
      </c>
      <c r="Q876" s="6" t="str">
        <f ca="1">IFERROR(__xludf.DUMMYFUNCTION("""COMPUTED_VALUE"""),"Alberto Moreno")</f>
        <v>Alberto Moreno</v>
      </c>
      <c r="R876" s="6" t="str">
        <f ca="1">IFERROR(__xludf.DUMMYFUNCTION("""COMPUTED_VALUE"""),"Carlos Miguel Salvador Martínez")</f>
        <v>Carlos Miguel Salvador Martínez</v>
      </c>
      <c r="S876" s="20" t="str">
        <f ca="1">IFERROR(__xludf.DUMMYFUNCTION("""COMPUTED_VALUE"""),"03 ORL")</f>
        <v>03 ORL</v>
      </c>
      <c r="T876" s="6" t="str">
        <f ca="1">IFERROR(__xludf.DUMMYFUNCTION("""COMPUTED_VALUE"""),"06 ORL")</f>
        <v>06 ORL</v>
      </c>
      <c r="U876" s="21"/>
      <c r="W876" s="20"/>
      <c r="X876" s="21"/>
    </row>
    <row r="877" spans="2:24" ht="16">
      <c r="B877" s="26" t="str">
        <f t="shared" ca="1" si="4"/>
        <v>PSC</v>
      </c>
      <c r="C877" s="23" t="str">
        <f ca="1">IFERROR(__xludf.DUMMYFUNCTION("""COMPUTED_VALUE"""),"PSC23")</f>
        <v>PSC23</v>
      </c>
      <c r="D877" s="6" t="str">
        <f ca="1">IFERROR(__xludf.DUMMYFUNCTION("""COMPUTED_VALUE"""),"ASOCIADOS")</f>
        <v>ASOCIADOS</v>
      </c>
      <c r="E877" s="6">
        <f ca="1">IFERROR(__xludf.DUMMYFUNCTION("""COMPUTED_VALUE"""),2026)</f>
        <v>2026</v>
      </c>
      <c r="F877" s="15">
        <f ca="1">IFERROR(__xludf.DUMMYFUNCTION("""COMPUTED_VALUE"""),3)</f>
        <v>3</v>
      </c>
      <c r="G877" s="6" t="str">
        <f ca="1">IFERROR(__xludf.DUMMYFUNCTION("""COMPUTED_VALUE"""),"Valladolid")</f>
        <v>Valladolid</v>
      </c>
      <c r="H877" s="6" t="str">
        <f ca="1">IFERROR(__xludf.DUMMYFUNCTION("""COMPUTED_VALUE"""),"C202631794531467181")</f>
        <v>C202631794531467181</v>
      </c>
      <c r="I877" s="6" t="str">
        <f ca="1">IFERROR(__xludf.DUMMYFUNCTION("""COMPUTED_VALUE"""),"LUIS MARÍA GOMEZ SANZ")</f>
        <v>LUIS MARÍA GOMEZ SANZ</v>
      </c>
      <c r="J877" s="16">
        <f ca="1">IFERROR(__xludf.DUMMYFUNCTION("""COMPUTED_VALUE"""),46098)</f>
        <v>46098</v>
      </c>
      <c r="K877" s="6" t="str">
        <f ca="1">IFERROR(__xludf.DUMMYFUNCTION("""COMPUTED_VALUE"""),"Pedido")</f>
        <v>Pedido</v>
      </c>
      <c r="L877" s="16">
        <f ca="1">IFERROR(__xludf.DUMMYFUNCTION("""COMPUTED_VALUE"""),46108)</f>
        <v>46108</v>
      </c>
      <c r="M877" s="23" t="str">
        <f ca="1">IFERROR(__xludf.DUMMYFUNCTION("""COMPUTED_VALUE"""),"NO")</f>
        <v>NO</v>
      </c>
      <c r="N877" s="15">
        <f ca="1">IFERROR(__xludf.DUMMYFUNCTION("""COMPUTED_VALUE"""),1)</f>
        <v>1</v>
      </c>
      <c r="O877" s="23" t="str">
        <f ca="1">IFERROR(__xludf.DUMMYFUNCTION("""COMPUTED_VALUE"""),"PRO")</f>
        <v>PRO</v>
      </c>
      <c r="P877" s="21">
        <f ca="1">IFERROR(__xludf.DUMMYFUNCTION("""COMPUTED_VALUE"""),2295.45)</f>
        <v>2295.4499999999998</v>
      </c>
      <c r="Q877" s="6" t="str">
        <f ca="1">IFERROR(__xludf.DUMMYFUNCTION("""COMPUTED_VALUE"""),"Alberto Moreno")</f>
        <v>Alberto Moreno</v>
      </c>
      <c r="R877" s="6" t="str">
        <f ca="1">IFERROR(__xludf.DUMMYFUNCTION("""COMPUTED_VALUE"""),"Manuel Acuña García")</f>
        <v>Manuel Acuña García</v>
      </c>
      <c r="S877" s="20" t="str">
        <f ca="1">IFERROR(__xludf.DUMMYFUNCTION("""COMPUTED_VALUE"""),"03 ORL")</f>
        <v>03 ORL</v>
      </c>
      <c r="T877" s="6" t="str">
        <f ca="1">IFERROR(__xludf.DUMMYFUNCTION("""COMPUTED_VALUE"""),"06 ORL")</f>
        <v>06 ORL</v>
      </c>
      <c r="U877" s="21"/>
      <c r="W877" s="20"/>
      <c r="X877" s="21"/>
    </row>
    <row r="878" spans="2:24" ht="16">
      <c r="B878" s="26" t="str">
        <f t="shared" ca="1" si="4"/>
        <v>PSC</v>
      </c>
      <c r="C878" s="23" t="str">
        <f ca="1">IFERROR(__xludf.DUMMYFUNCTION("""COMPUTED_VALUE"""),"PSC06")</f>
        <v>PSC06</v>
      </c>
      <c r="D878" s="6" t="str">
        <f ca="1">IFERROR(__xludf.DUMMYFUNCTION("""COMPUTED_VALUE"""),"ASOCIADOS")</f>
        <v>ASOCIADOS</v>
      </c>
      <c r="E878" s="6">
        <f ca="1">IFERROR(__xludf.DUMMYFUNCTION("""COMPUTED_VALUE"""),2026)</f>
        <v>2026</v>
      </c>
      <c r="F878" s="15">
        <f ca="1">IFERROR(__xludf.DUMMYFUNCTION("""COMPUTED_VALUE"""),3)</f>
        <v>3</v>
      </c>
      <c r="G878" s="6" t="str">
        <f ca="1">IFERROR(__xludf.DUMMYFUNCTION("""COMPUTED_VALUE"""),"Valladolid")</f>
        <v>Valladolid</v>
      </c>
      <c r="H878" s="6" t="str">
        <f ca="1">IFERROR(__xludf.DUMMYFUNCTION("""COMPUTED_VALUE"""),"C202621810375119873")</f>
        <v>C202621810375119873</v>
      </c>
      <c r="I878" s="6" t="str">
        <f ca="1">IFERROR(__xludf.DUMMYFUNCTION("""COMPUTED_VALUE"""),"MARÍA CONCEPCIÓN TAPIA MARTINEZ")</f>
        <v>MARÍA CONCEPCIÓN TAPIA MARTINEZ</v>
      </c>
      <c r="J878" s="16">
        <f ca="1">IFERROR(__xludf.DUMMYFUNCTION("""COMPUTED_VALUE"""),46071)</f>
        <v>46071</v>
      </c>
      <c r="K878" s="6" t="str">
        <f ca="1">IFERROR(__xludf.DUMMYFUNCTION("""COMPUTED_VALUE"""),"Prueba")</f>
        <v>Prueba</v>
      </c>
      <c r="L878" s="16">
        <f ca="1">IFERROR(__xludf.DUMMYFUNCTION("""COMPUTED_VALUE"""),46087)</f>
        <v>46087</v>
      </c>
      <c r="M878" s="23" t="str">
        <f ca="1">IFERROR(__xludf.DUMMYFUNCTION("""COMPUTED_VALUE"""),"NO")</f>
        <v>NO</v>
      </c>
      <c r="N878" s="15">
        <f ca="1">IFERROR(__xludf.DUMMYFUNCTION("""COMPUTED_VALUE"""),2)</f>
        <v>2</v>
      </c>
      <c r="O878" s="23" t="str">
        <f ca="1">IFERROR(__xludf.DUMMYFUNCTION("""COMPUTED_VALUE"""),"PRO")</f>
        <v>PRO</v>
      </c>
      <c r="P878" s="21">
        <f ca="1">IFERROR(__xludf.DUMMYFUNCTION("""COMPUTED_VALUE"""),4431.82)</f>
        <v>4431.82</v>
      </c>
      <c r="Q878" s="6" t="str">
        <f ca="1">IFERROR(__xludf.DUMMYFUNCTION("""COMPUTED_VALUE"""),"Alberto Moreno")</f>
        <v>Alberto Moreno</v>
      </c>
      <c r="R878" s="6" t="str">
        <f ca="1">IFERROR(__xludf.DUMMYFUNCTION("""COMPUTED_VALUE"""),"Carlos Miguel Salvador Martínez")</f>
        <v>Carlos Miguel Salvador Martínez</v>
      </c>
      <c r="S878" s="20" t="str">
        <f ca="1">IFERROR(__xludf.DUMMYFUNCTION("""COMPUTED_VALUE"""),"03 ORL")</f>
        <v>03 ORL</v>
      </c>
      <c r="T878" s="6" t="str">
        <f ca="1">IFERROR(__xludf.DUMMYFUNCTION("""COMPUTED_VALUE"""),"06 ORL")</f>
        <v>06 ORL</v>
      </c>
      <c r="U878" s="21"/>
      <c r="W878" s="20"/>
      <c r="X878" s="21"/>
    </row>
    <row r="879" spans="2:24" ht="16">
      <c r="B879" s="26" t="str">
        <f t="shared" ca="1" si="4"/>
        <v/>
      </c>
      <c r="C879" s="23"/>
      <c r="D879" s="6" t="str">
        <f ca="1">IFERROR(__xludf.DUMMYFUNCTION("""COMPUTED_VALUE"""),"ASOCIADOS")</f>
        <v>ASOCIADOS</v>
      </c>
      <c r="E879" s="6">
        <f ca="1">IFERROR(__xludf.DUMMYFUNCTION("""COMPUTED_VALUE"""),2026)</f>
        <v>2026</v>
      </c>
      <c r="F879" s="15">
        <f ca="1">IFERROR(__xludf.DUMMYFUNCTION("""COMPUTED_VALUE"""),3)</f>
        <v>3</v>
      </c>
      <c r="G879" s="6" t="str">
        <f ca="1">IFERROR(__xludf.DUMMYFUNCTION("""COMPUTED_VALUE"""),"Valladolid")</f>
        <v>Valladolid</v>
      </c>
      <c r="H879" s="6" t="str">
        <f ca="1">IFERROR(__xludf.DUMMYFUNCTION("""COMPUTED_VALUE"""),"VLL-19")</f>
        <v>VLL-19</v>
      </c>
      <c r="I879" s="6" t="str">
        <f ca="1">IFERROR(__xludf.DUMMYFUNCTION("""COMPUTED_VALUE"""),"MIGUEL ANGEL MORALES BERIHUETE")</f>
        <v>MIGUEL ANGEL MORALES BERIHUETE</v>
      </c>
      <c r="J879" s="16">
        <f ca="1">IFERROR(__xludf.DUMMYFUNCTION("""COMPUTED_VALUE"""),46000)</f>
        <v>46000</v>
      </c>
      <c r="K879" s="6" t="str">
        <f ca="1">IFERROR(__xludf.DUMMYFUNCTION("""COMPUTED_VALUE"""),"Prueba")</f>
        <v>Prueba</v>
      </c>
      <c r="L879" s="16">
        <f ca="1">IFERROR(__xludf.DUMMYFUNCTION("""COMPUTED_VALUE"""),46111)</f>
        <v>46111</v>
      </c>
      <c r="M879" s="23" t="str">
        <f ca="1">IFERROR(__xludf.DUMMYFUNCTION("""COMPUTED_VALUE"""),"NO")</f>
        <v>NO</v>
      </c>
      <c r="N879" s="15">
        <f ca="1">IFERROR(__xludf.DUMMYFUNCTION("""COMPUTED_VALUE"""),2)</f>
        <v>2</v>
      </c>
      <c r="O879" s="23" t="str">
        <f ca="1">IFERROR(__xludf.DUMMYFUNCTION("""COMPUTED_VALUE"""),"PRO")</f>
        <v>PRO</v>
      </c>
      <c r="P879" s="21">
        <f ca="1">IFERROR(__xludf.DUMMYFUNCTION("""COMPUTED_VALUE"""),3977.27)</f>
        <v>3977.27</v>
      </c>
      <c r="Q879" s="6" t="str">
        <f ca="1">IFERROR(__xludf.DUMMYFUNCTION("""COMPUTED_VALUE"""),"Alberto Moreno")</f>
        <v>Alberto Moreno</v>
      </c>
      <c r="R879" s="6" t="str">
        <f ca="1">IFERROR(__xludf.DUMMYFUNCTION("""COMPUTED_VALUE"""),"No recuerda ORL")</f>
        <v>No recuerda ORL</v>
      </c>
      <c r="S879" s="20" t="str">
        <f ca="1">IFERROR(__xludf.DUMMYFUNCTION("""COMPUTED_VALUE"""),"04 TIENDA")</f>
        <v>04 TIENDA</v>
      </c>
      <c r="T879" s="6" t="str">
        <f ca="1">IFERROR(__xludf.DUMMYFUNCTION("""COMPUTED_VALUE"""),"20 AUTOGENERADO")</f>
        <v>20 AUTOGENERADO</v>
      </c>
      <c r="U879" s="21"/>
      <c r="W879" s="20"/>
      <c r="X879" s="21"/>
    </row>
    <row r="880" spans="2:24" ht="16">
      <c r="B880" s="26" t="str">
        <f t="shared" ca="1" si="4"/>
        <v>PSC</v>
      </c>
      <c r="C880" s="23" t="str">
        <f ca="1">IFERROR(__xludf.DUMMYFUNCTION("""COMPUTED_VALUE"""),"PSC31")</f>
        <v>PSC31</v>
      </c>
      <c r="D880" s="6" t="str">
        <f ca="1">IFERROR(__xludf.DUMMYFUNCTION("""COMPUTED_VALUE"""),"ASOCIADOS")</f>
        <v>ASOCIADOS</v>
      </c>
      <c r="E880" s="6">
        <f ca="1">IFERROR(__xludf.DUMMYFUNCTION("""COMPUTED_VALUE"""),2026)</f>
        <v>2026</v>
      </c>
      <c r="F880" s="15">
        <f ca="1">IFERROR(__xludf.DUMMYFUNCTION("""COMPUTED_VALUE"""),1)</f>
        <v>1</v>
      </c>
      <c r="G880" s="6" t="str">
        <f ca="1">IFERROR(__xludf.DUMMYFUNCTION("""COMPUTED_VALUE"""),"Valladolid")</f>
        <v>Valladolid</v>
      </c>
      <c r="H880" s="6" t="str">
        <f ca="1">IFERROR(__xludf.DUMMYFUNCTION("""COMPUTED_VALUE"""),"VLL-473")</f>
        <v>VLL-473</v>
      </c>
      <c r="I880" s="6" t="str">
        <f ca="1">IFERROR(__xludf.DUMMYFUNCTION("""COMPUTED_VALUE"""),"TERESA MORENO ALEJOS")</f>
        <v>TERESA MORENO ALEJOS</v>
      </c>
      <c r="J880" s="16">
        <f ca="1">IFERROR(__xludf.DUMMYFUNCTION("""COMPUTED_VALUE"""),46000)</f>
        <v>46000</v>
      </c>
      <c r="K880" s="6" t="str">
        <f ca="1">IFERROR(__xludf.DUMMYFUNCTION("""COMPUTED_VALUE"""),"Prueba")</f>
        <v>Prueba</v>
      </c>
      <c r="L880" s="16">
        <f ca="1">IFERROR(__xludf.DUMMYFUNCTION("""COMPUTED_VALUE"""),46029)</f>
        <v>46029</v>
      </c>
      <c r="M880" s="23" t="str">
        <f ca="1">IFERROR(__xludf.DUMMYFUNCTION("""COMPUTED_VALUE"""),"NO")</f>
        <v>NO</v>
      </c>
      <c r="N880" s="15">
        <f ca="1">IFERROR(__xludf.DUMMYFUNCTION("""COMPUTED_VALUE"""),2)</f>
        <v>2</v>
      </c>
      <c r="O880" s="23" t="str">
        <f ca="1">IFERROR(__xludf.DUMMYFUNCTION("""COMPUTED_VALUE"""),"CONFORT")</f>
        <v>CONFORT</v>
      </c>
      <c r="P880" s="21">
        <f ca="1">IFERROR(__xludf.DUMMYFUNCTION("""COMPUTED_VALUE"""),3522.73)</f>
        <v>3522.73</v>
      </c>
      <c r="Q880" s="6" t="str">
        <f ca="1">IFERROR(__xludf.DUMMYFUNCTION("""COMPUTED_VALUE"""),"Alberto Moreno")</f>
        <v>Alberto Moreno</v>
      </c>
      <c r="R880" s="6" t="str">
        <f ca="1">IFERROR(__xludf.DUMMYFUNCTION("""COMPUTED_VALUE"""),"Ana Fernández Rodríguez")</f>
        <v>Ana Fernández Rodríguez</v>
      </c>
      <c r="S880" s="20" t="str">
        <f ca="1">IFERROR(__xludf.DUMMYFUNCTION("""COMPUTED_VALUE"""),"03 ORL")</f>
        <v>03 ORL</v>
      </c>
      <c r="T880" s="6" t="str">
        <f ca="1">IFERROR(__xludf.DUMMYFUNCTION("""COMPUTED_VALUE"""),"06 ORL")</f>
        <v>06 ORL</v>
      </c>
      <c r="U880" s="21"/>
      <c r="W880" s="20"/>
      <c r="X880" s="21"/>
    </row>
    <row r="881" spans="2:24" ht="16">
      <c r="B881" s="26" t="str">
        <f t="shared" ca="1" si="4"/>
        <v>PSC</v>
      </c>
      <c r="C881" s="23" t="str">
        <f ca="1">IFERROR(__xludf.DUMMYFUNCTION("""COMPUTED_VALUE"""),"PSC31")</f>
        <v>PSC31</v>
      </c>
      <c r="D881" s="6" t="str">
        <f ca="1">IFERROR(__xludf.DUMMYFUNCTION("""COMPUTED_VALUE"""),"ASOCIADOS")</f>
        <v>ASOCIADOS</v>
      </c>
      <c r="E881" s="6">
        <f ca="1">IFERROR(__xludf.DUMMYFUNCTION("""COMPUTED_VALUE"""),2026)</f>
        <v>2026</v>
      </c>
      <c r="F881" s="15">
        <f ca="1">IFERROR(__xludf.DUMMYFUNCTION("""COMPUTED_VALUE"""),3)</f>
        <v>3</v>
      </c>
      <c r="G881" s="6" t="str">
        <f ca="1">IFERROR(__xludf.DUMMYFUNCTION("""COMPUTED_VALUE"""),"Valladolid")</f>
        <v>Valladolid</v>
      </c>
      <c r="H881" s="6" t="str">
        <f ca="1">IFERROR(__xludf.DUMMYFUNCTION("""COMPUTED_VALUE"""),"C202631010236353157")</f>
        <v>C202631010236353157</v>
      </c>
      <c r="I881" s="6" t="str">
        <f ca="1">IFERROR(__xludf.DUMMYFUNCTION("""COMPUTED_VALUE"""),"TOMASA FERNANDEZ PAREDES")</f>
        <v>TOMASA FERNANDEZ PAREDES</v>
      </c>
      <c r="J881" s="16">
        <f ca="1">IFERROR(__xludf.DUMMYFUNCTION("""COMPUTED_VALUE"""),46091)</f>
        <v>46091</v>
      </c>
      <c r="K881" s="6" t="str">
        <f ca="1">IFERROR(__xludf.DUMMYFUNCTION("""COMPUTED_VALUE"""),"Prueba")</f>
        <v>Prueba</v>
      </c>
      <c r="L881" s="16">
        <f ca="1">IFERROR(__xludf.DUMMYFUNCTION("""COMPUTED_VALUE"""),46104)</f>
        <v>46104</v>
      </c>
      <c r="M881" s="23" t="str">
        <f ca="1">IFERROR(__xludf.DUMMYFUNCTION("""COMPUTED_VALUE"""),"NO")</f>
        <v>NO</v>
      </c>
      <c r="N881" s="15">
        <f ca="1">IFERROR(__xludf.DUMMYFUNCTION("""COMPUTED_VALUE"""),1)</f>
        <v>1</v>
      </c>
      <c r="O881" s="23" t="str">
        <f ca="1">IFERROR(__xludf.DUMMYFUNCTION("""COMPUTED_VALUE"""),"PRO")</f>
        <v>PRO</v>
      </c>
      <c r="P881" s="21">
        <f ca="1">IFERROR(__xludf.DUMMYFUNCTION("""COMPUTED_VALUE"""),3489.09)</f>
        <v>3489.09</v>
      </c>
      <c r="Q881" s="6" t="str">
        <f ca="1">IFERROR(__xludf.DUMMYFUNCTION("""COMPUTED_VALUE"""),"Alberto Moreno")</f>
        <v>Alberto Moreno</v>
      </c>
      <c r="R881" s="6" t="str">
        <f ca="1">IFERROR(__xludf.DUMMYFUNCTION("""COMPUTED_VALUE"""),"Ana Fernández Rodríguez")</f>
        <v>Ana Fernández Rodríguez</v>
      </c>
      <c r="S881" s="20" t="str">
        <f ca="1">IFERROR(__xludf.DUMMYFUNCTION("""COMPUTED_VALUE"""),"03 ORL")</f>
        <v>03 ORL</v>
      </c>
      <c r="T881" s="6" t="str">
        <f ca="1">IFERROR(__xludf.DUMMYFUNCTION("""COMPUTED_VALUE"""),"06 ORL")</f>
        <v>06 ORL</v>
      </c>
      <c r="U881" s="21"/>
      <c r="W881" s="20"/>
      <c r="X881" s="21"/>
    </row>
    <row r="882" spans="2:24" ht="16">
      <c r="B882" s="26" t="str">
        <f t="shared" ca="1" si="4"/>
        <v>LRM</v>
      </c>
      <c r="C882" s="23" t="str">
        <f ca="1">IFERROR(__xludf.DUMMYFUNCTION("""COMPUTED_VALUE"""),"LRM271")</f>
        <v>LRM271</v>
      </c>
      <c r="D882" s="6" t="str">
        <f ca="1">IFERROR(__xludf.DUMMYFUNCTION("""COMPUTED_VALUE"""),"ASOCIADOS")</f>
        <v>ASOCIADOS</v>
      </c>
      <c r="E882" s="6">
        <f ca="1">IFERROR(__xludf.DUMMYFUNCTION("""COMPUTED_VALUE"""),2026)</f>
        <v>2026</v>
      </c>
      <c r="F882" s="15">
        <f ca="1">IFERROR(__xludf.DUMMYFUNCTION("""COMPUTED_VALUE"""),3)</f>
        <v>3</v>
      </c>
      <c r="G882" s="6" t="str">
        <f ca="1">IFERROR(__xludf.DUMMYFUNCTION("""COMPUTED_VALUE"""),"Vitoria")</f>
        <v>Vitoria</v>
      </c>
      <c r="H882" s="6" t="str">
        <f ca="1">IFERROR(__xludf.DUMMYFUNCTION("""COMPUTED_VALUE"""),"C202632102348371036")</f>
        <v>C202632102348371036</v>
      </c>
      <c r="I882" s="6" t="str">
        <f ca="1">IFERROR(__xludf.DUMMYFUNCTION("""COMPUTED_VALUE"""),"DOMINGO CATEDIANO MARTINEZ")</f>
        <v>DOMINGO CATEDIANO MARTINEZ</v>
      </c>
      <c r="J882" s="16">
        <f ca="1">IFERROR(__xludf.DUMMYFUNCTION("""COMPUTED_VALUE"""),46086)</f>
        <v>46086</v>
      </c>
      <c r="K882" s="6" t="str">
        <f ca="1">IFERROR(__xludf.DUMMYFUNCTION("""COMPUTED_VALUE"""),"Presupuesto")</f>
        <v>Presupuesto</v>
      </c>
      <c r="L882" s="16">
        <f ca="1">IFERROR(__xludf.DUMMYFUNCTION("""COMPUTED_VALUE"""),46086)</f>
        <v>46086</v>
      </c>
      <c r="M882" s="23" t="str">
        <f ca="1">IFERROR(__xludf.DUMMYFUNCTION("""COMPUTED_VALUE"""),"NO")</f>
        <v>NO</v>
      </c>
      <c r="N882" s="15">
        <f ca="1">IFERROR(__xludf.DUMMYFUNCTION("""COMPUTED_VALUE"""),2)</f>
        <v>2</v>
      </c>
      <c r="O882" s="17" t="str">
        <f ca="1">IFERROR(__xludf.DUMMYFUNCTION("""COMPUTED_VALUE"""),"ADVANCED")</f>
        <v>ADVANCED</v>
      </c>
      <c r="P882" s="21">
        <f ca="1">IFERROR(__xludf.DUMMYFUNCTION("""COMPUTED_VALUE"""),4090)</f>
        <v>4090</v>
      </c>
      <c r="Q882" s="6" t="str">
        <f ca="1">IFERROR(__xludf.DUMMYFUNCTION("""COMPUTED_VALUE"""),"Álvaro Mollá")</f>
        <v>Álvaro Mollá</v>
      </c>
      <c r="R882" s="6" t="str">
        <f ca="1">IFERROR(__xludf.DUMMYFUNCTION("""COMPUTED_VALUE"""),"Andrés González Fernández")</f>
        <v>Andrés González Fernández</v>
      </c>
      <c r="S882" s="20" t="str">
        <f ca="1">IFERROR(__xludf.DUMMYFUNCTION("""COMPUTED_VALUE"""),"03 ORL")</f>
        <v>03 ORL</v>
      </c>
      <c r="T882" s="6" t="str">
        <f ca="1">IFERROR(__xludf.DUMMYFUNCTION("""COMPUTED_VALUE"""),"06 ORL")</f>
        <v>06 ORL</v>
      </c>
      <c r="U882" s="21"/>
      <c r="W882" s="20"/>
      <c r="X882" s="21"/>
    </row>
    <row r="883" spans="2:24" ht="16">
      <c r="B883" s="26" t="str">
        <f t="shared" ca="1" si="4"/>
        <v>LRM</v>
      </c>
      <c r="C883" s="23" t="str">
        <f ca="1">IFERROR(__xludf.DUMMYFUNCTION("""COMPUTED_VALUE"""),"LRM272")</f>
        <v>LRM272</v>
      </c>
      <c r="D883" s="6" t="str">
        <f ca="1">IFERROR(__xludf.DUMMYFUNCTION("""COMPUTED_VALUE"""),"ASOCIADOS")</f>
        <v>ASOCIADOS</v>
      </c>
      <c r="E883" s="6">
        <f ca="1">IFERROR(__xludf.DUMMYFUNCTION("""COMPUTED_VALUE"""),2026)</f>
        <v>2026</v>
      </c>
      <c r="F883" s="15">
        <f ca="1">IFERROR(__xludf.DUMMYFUNCTION("""COMPUTED_VALUE"""),2)</f>
        <v>2</v>
      </c>
      <c r="G883" s="6" t="str">
        <f ca="1">IFERROR(__xludf.DUMMYFUNCTION("""COMPUTED_VALUE"""),"Vitoria")</f>
        <v>Vitoria</v>
      </c>
      <c r="H883" s="6" t="str">
        <f ca="1">IFERROR(__xludf.DUMMYFUNCTION("""COMPUTED_VALUE"""),"VIT-725")</f>
        <v>VIT-725</v>
      </c>
      <c r="I883" s="6" t="str">
        <f ca="1">IFERROR(__xludf.DUMMYFUNCTION("""COMPUTED_VALUE"""),"JOSE MARIA CELAYA")</f>
        <v>JOSE MARIA CELAYA</v>
      </c>
      <c r="J883" s="16">
        <f ca="1">IFERROR(__xludf.DUMMYFUNCTION("""COMPUTED_VALUE"""),46077)</f>
        <v>46077</v>
      </c>
      <c r="K883" s="6" t="str">
        <f ca="1">IFERROR(__xludf.DUMMYFUNCTION("""COMPUTED_VALUE"""),"Presupuesto")</f>
        <v>Presupuesto</v>
      </c>
      <c r="L883" s="16">
        <f ca="1">IFERROR(__xludf.DUMMYFUNCTION("""COMPUTED_VALUE"""),46063)</f>
        <v>46063</v>
      </c>
      <c r="M883" s="23" t="str">
        <f ca="1">IFERROR(__xludf.DUMMYFUNCTION("""COMPUTED_VALUE"""),"NO")</f>
        <v>NO</v>
      </c>
      <c r="N883" s="15">
        <f ca="1">IFERROR(__xludf.DUMMYFUNCTION("""COMPUTED_VALUE"""),0)</f>
        <v>0</v>
      </c>
      <c r="O883" s="23"/>
      <c r="P883" s="21"/>
      <c r="Q883" s="6" t="str">
        <f ca="1">IFERROR(__xludf.DUMMYFUNCTION("""COMPUTED_VALUE"""),"Maika Blázquez")</f>
        <v>Maika Blázquez</v>
      </c>
      <c r="R883" s="6" t="str">
        <f ca="1">IFERROR(__xludf.DUMMYFUNCTION("""COMPUTED_VALUE"""),"Juan Riestra Ayora")</f>
        <v>Juan Riestra Ayora</v>
      </c>
      <c r="S883" s="20" t="str">
        <f ca="1">IFERROR(__xludf.DUMMYFUNCTION("""COMPUTED_VALUE"""),"03 ORL")</f>
        <v>03 ORL</v>
      </c>
      <c r="T883" s="6" t="str">
        <f ca="1">IFERROR(__xludf.DUMMYFUNCTION("""COMPUTED_VALUE"""),"06 ORL")</f>
        <v>06 ORL</v>
      </c>
      <c r="U883" s="21"/>
      <c r="W883" s="20"/>
      <c r="X883" s="21"/>
    </row>
    <row r="884" spans="2:24" ht="16">
      <c r="B884" s="26" t="str">
        <f t="shared" ca="1" si="4"/>
        <v>LRM</v>
      </c>
      <c r="C884" s="23" t="str">
        <f ca="1">IFERROR(__xludf.DUMMYFUNCTION("""COMPUTED_VALUE"""),"LRM271")</f>
        <v>LRM271</v>
      </c>
      <c r="D884" s="6" t="str">
        <f ca="1">IFERROR(__xludf.DUMMYFUNCTION("""COMPUTED_VALUE"""),"ASOCIADOS")</f>
        <v>ASOCIADOS</v>
      </c>
      <c r="E884" s="6">
        <f ca="1">IFERROR(__xludf.DUMMYFUNCTION("""COMPUTED_VALUE"""),2026)</f>
        <v>2026</v>
      </c>
      <c r="F884" s="15">
        <f ca="1">IFERROR(__xludf.DUMMYFUNCTION("""COMPUTED_VALUE"""),3)</f>
        <v>3</v>
      </c>
      <c r="G884" s="6" t="str">
        <f ca="1">IFERROR(__xludf.DUMMYFUNCTION("""COMPUTED_VALUE"""),"Vitoria")</f>
        <v>Vitoria</v>
      </c>
      <c r="H884" s="6" t="str">
        <f ca="1">IFERROR(__xludf.DUMMYFUNCTION("""COMPUTED_VALUE"""),"VIT-740")</f>
        <v>VIT-740</v>
      </c>
      <c r="I884" s="6" t="str">
        <f ca="1">IFERROR(__xludf.DUMMYFUNCTION("""COMPUTED_VALUE"""),"JUAN CALVO GUTIEREZ")</f>
        <v>JUAN CALVO GUTIEREZ</v>
      </c>
      <c r="J884" s="16">
        <f ca="1">IFERROR(__xludf.DUMMYFUNCTION("""COMPUTED_VALUE"""),46077)</f>
        <v>46077</v>
      </c>
      <c r="K884" s="6" t="str">
        <f ca="1">IFERROR(__xludf.DUMMYFUNCTION("""COMPUTED_VALUE"""),"Pedido")</f>
        <v>Pedido</v>
      </c>
      <c r="L884" s="16">
        <f ca="1">IFERROR(__xludf.DUMMYFUNCTION("""COMPUTED_VALUE"""),46111)</f>
        <v>46111</v>
      </c>
      <c r="M884" s="23" t="str">
        <f ca="1">IFERROR(__xludf.DUMMYFUNCTION("""COMPUTED_VALUE"""),"NO")</f>
        <v>NO</v>
      </c>
      <c r="N884" s="15">
        <f ca="1">IFERROR(__xludf.DUMMYFUNCTION("""COMPUTED_VALUE"""),2)</f>
        <v>2</v>
      </c>
      <c r="O884" s="23" t="str">
        <f ca="1">IFERROR(__xludf.DUMMYFUNCTION("""COMPUTED_VALUE"""),"PRO")</f>
        <v>PRO</v>
      </c>
      <c r="P884" s="21">
        <f ca="1">IFERROR(__xludf.DUMMYFUNCTION("""COMPUTED_VALUE"""),4572.73)</f>
        <v>4572.7299999999996</v>
      </c>
      <c r="Q884" s="6" t="str">
        <f ca="1">IFERROR(__xludf.DUMMYFUNCTION("""COMPUTED_VALUE"""),"Lisandro Russian")</f>
        <v>Lisandro Russian</v>
      </c>
      <c r="R884" s="6" t="str">
        <f ca="1">IFERROR(__xludf.DUMMYFUNCTION("""COMPUTED_VALUE"""),"Andrés González Fernández")</f>
        <v>Andrés González Fernández</v>
      </c>
      <c r="S884" s="20" t="str">
        <f ca="1">IFERROR(__xludf.DUMMYFUNCTION("""COMPUTED_VALUE"""),"03 ORL")</f>
        <v>03 ORL</v>
      </c>
      <c r="T884" s="6" t="str">
        <f ca="1">IFERROR(__xludf.DUMMYFUNCTION("""COMPUTED_VALUE"""),"06 ORL")</f>
        <v>06 ORL</v>
      </c>
      <c r="U884" s="21"/>
      <c r="W884" s="20"/>
      <c r="X884" s="21"/>
    </row>
    <row r="885" spans="2:24" ht="16">
      <c r="B885" s="26" t="str">
        <f t="shared" ca="1" si="4"/>
        <v>LRM</v>
      </c>
      <c r="C885" s="23" t="str">
        <f ca="1">IFERROR(__xludf.DUMMYFUNCTION("""COMPUTED_VALUE"""),"LRM271")</f>
        <v>LRM271</v>
      </c>
      <c r="D885" s="6" t="str">
        <f ca="1">IFERROR(__xludf.DUMMYFUNCTION("""COMPUTED_VALUE"""),"ASOCIADOS")</f>
        <v>ASOCIADOS</v>
      </c>
      <c r="E885" s="6">
        <f ca="1">IFERROR(__xludf.DUMMYFUNCTION("""COMPUTED_VALUE"""),2026)</f>
        <v>2026</v>
      </c>
      <c r="F885" s="15">
        <f ca="1">IFERROR(__xludf.DUMMYFUNCTION("""COMPUTED_VALUE"""),3)</f>
        <v>3</v>
      </c>
      <c r="G885" s="6" t="str">
        <f ca="1">IFERROR(__xludf.DUMMYFUNCTION("""COMPUTED_VALUE"""),"Vitoria")</f>
        <v>Vitoria</v>
      </c>
      <c r="H885" s="6" t="str">
        <f ca="1">IFERROR(__xludf.DUMMYFUNCTION("""COMPUTED_VALUE"""),"VIT-728")</f>
        <v>VIT-728</v>
      </c>
      <c r="I885" s="6" t="str">
        <f ca="1">IFERROR(__xludf.DUMMYFUNCTION("""COMPUTED_VALUE"""),"MILAGROS RUIZ SAN MILLAN")</f>
        <v>MILAGROS RUIZ SAN MILLAN</v>
      </c>
      <c r="J885" s="16">
        <f ca="1">IFERROR(__xludf.DUMMYFUNCTION("""COMPUTED_VALUE"""),46086)</f>
        <v>46086</v>
      </c>
      <c r="K885" s="6" t="str">
        <f ca="1">IFERROR(__xludf.DUMMYFUNCTION("""COMPUTED_VALUE"""),"Presupuesto")</f>
        <v>Presupuesto</v>
      </c>
      <c r="L885" s="16">
        <f ca="1">IFERROR(__xludf.DUMMYFUNCTION("""COMPUTED_VALUE"""),46086)</f>
        <v>46086</v>
      </c>
      <c r="M885" s="23" t="str">
        <f ca="1">IFERROR(__xludf.DUMMYFUNCTION("""COMPUTED_VALUE"""),"NO")</f>
        <v>NO</v>
      </c>
      <c r="N885" s="15">
        <f ca="1">IFERROR(__xludf.DUMMYFUNCTION("""COMPUTED_VALUE"""),2)</f>
        <v>2</v>
      </c>
      <c r="O885" s="17" t="str">
        <f ca="1">IFERROR(__xludf.DUMMYFUNCTION("""COMPUTED_VALUE"""),"QUIET")</f>
        <v>QUIET</v>
      </c>
      <c r="P885" s="21">
        <f ca="1">IFERROR(__xludf.DUMMYFUNCTION("""COMPUTED_VALUE"""),4090)</f>
        <v>4090</v>
      </c>
      <c r="Q885" s="6" t="str">
        <f ca="1">IFERROR(__xludf.DUMMYFUNCTION("""COMPUTED_VALUE"""),"Álvaro Mollá")</f>
        <v>Álvaro Mollá</v>
      </c>
      <c r="R885" s="6" t="str">
        <f ca="1">IFERROR(__xludf.DUMMYFUNCTION("""COMPUTED_VALUE"""),"Andrés González Fernández")</f>
        <v>Andrés González Fernández</v>
      </c>
      <c r="S885" s="20" t="str">
        <f ca="1">IFERROR(__xludf.DUMMYFUNCTION("""COMPUTED_VALUE"""),"03 ORL")</f>
        <v>03 ORL</v>
      </c>
      <c r="T885" s="6" t="str">
        <f ca="1">IFERROR(__xludf.DUMMYFUNCTION("""COMPUTED_VALUE"""),"06 ORL")</f>
        <v>06 ORL</v>
      </c>
      <c r="U885" s="21"/>
      <c r="W885" s="20"/>
      <c r="X885" s="21"/>
    </row>
    <row r="886" spans="2:24" ht="16">
      <c r="B886" s="26" t="str">
        <f t="shared" ca="1" si="4"/>
        <v/>
      </c>
      <c r="C886" s="23"/>
      <c r="D886" s="6" t="str">
        <f ca="1">IFERROR(__xludf.DUMMYFUNCTION("""COMPUTED_VALUE"""),"ASOCIADOS")</f>
        <v>ASOCIADOS</v>
      </c>
      <c r="E886" s="6">
        <f ca="1">IFERROR(__xludf.DUMMYFUNCTION("""COMPUTED_VALUE"""),2026)</f>
        <v>2026</v>
      </c>
      <c r="F886" s="15">
        <f ca="1">IFERROR(__xludf.DUMMYFUNCTION("""COMPUTED_VALUE"""),2)</f>
        <v>2</v>
      </c>
      <c r="G886" s="6" t="str">
        <f ca="1">IFERROR(__xludf.DUMMYFUNCTION("""COMPUTED_VALUE"""),"Vitoria")</f>
        <v>Vitoria</v>
      </c>
      <c r="H886" s="6" t="str">
        <f ca="1">IFERROR(__xludf.DUMMYFUNCTION("""COMPUTED_VALUE"""),"VIT-733")</f>
        <v>VIT-733</v>
      </c>
      <c r="I886" s="6" t="str">
        <f ca="1">IFERROR(__xludf.DUMMYFUNCTION("""COMPUTED_VALUE"""),"RAMON BERDUGO MUÑOZ")</f>
        <v>RAMON BERDUGO MUÑOZ</v>
      </c>
      <c r="J886" s="16">
        <f ca="1">IFERROR(__xludf.DUMMYFUNCTION("""COMPUTED_VALUE"""),46077)</f>
        <v>46077</v>
      </c>
      <c r="K886" s="6" t="str">
        <f ca="1">IFERROR(__xludf.DUMMYFUNCTION("""COMPUTED_VALUE"""),"Presupuesto")</f>
        <v>Presupuesto</v>
      </c>
      <c r="L886" s="16">
        <f ca="1">IFERROR(__xludf.DUMMYFUNCTION("""COMPUTED_VALUE"""),46058)</f>
        <v>46058</v>
      </c>
      <c r="M886" s="23" t="str">
        <f ca="1">IFERROR(__xludf.DUMMYFUNCTION("""COMPUTED_VALUE"""),"NO")</f>
        <v>NO</v>
      </c>
      <c r="N886" s="15">
        <f ca="1">IFERROR(__xludf.DUMMYFUNCTION("""COMPUTED_VALUE"""),0)</f>
        <v>0</v>
      </c>
      <c r="O886" s="17"/>
      <c r="P886" s="21"/>
      <c r="Q886" s="6" t="str">
        <f ca="1">IFERROR(__xludf.DUMMYFUNCTION("""COMPUTED_VALUE"""),"Lisandro Russian")</f>
        <v>Lisandro Russian</v>
      </c>
      <c r="R886" s="6" t="str">
        <f ca="1">IFERROR(__xludf.DUMMYFUNCTION("""COMPUTED_VALUE"""),"No recuerda ORL")</f>
        <v>No recuerda ORL</v>
      </c>
      <c r="S886" s="20" t="str">
        <f ca="1">IFERROR(__xludf.DUMMYFUNCTION("""COMPUTED_VALUE"""),"03 ORL")</f>
        <v>03 ORL</v>
      </c>
      <c r="T886" s="6" t="str">
        <f ca="1">IFERROR(__xludf.DUMMYFUNCTION("""COMPUTED_VALUE"""),"06 ORL")</f>
        <v>06 ORL</v>
      </c>
      <c r="U886" s="21"/>
      <c r="W886" s="20"/>
      <c r="X886" s="21"/>
    </row>
    <row r="887" spans="2:24" ht="16">
      <c r="B887" s="26" t="str">
        <f t="shared" ca="1" si="4"/>
        <v>LRM</v>
      </c>
      <c r="C887" s="23" t="str">
        <f ca="1">IFERROR(__xludf.DUMMYFUNCTION("""COMPUTED_VALUE"""),"LRM56")</f>
        <v>LRM56</v>
      </c>
      <c r="D887" s="6" t="str">
        <f ca="1">IFERROR(__xludf.DUMMYFUNCTION("""COMPUTED_VALUE"""),"ASOCIADOS")</f>
        <v>ASOCIADOS</v>
      </c>
      <c r="E887" s="6">
        <f ca="1">IFERROR(__xludf.DUMMYFUNCTION("""COMPUTED_VALUE"""),2026)</f>
        <v>2026</v>
      </c>
      <c r="F887" s="15">
        <f ca="1">IFERROR(__xludf.DUMMYFUNCTION("""COMPUTED_VALUE"""),3)</f>
        <v>3</v>
      </c>
      <c r="G887" s="6" t="str">
        <f ca="1">IFERROR(__xludf.DUMMYFUNCTION("""COMPUTED_VALUE"""),"Zaragoza- León XIII")</f>
        <v>Zaragoza- León XIII</v>
      </c>
      <c r="H887" s="6" t="str">
        <f ca="1">IFERROR(__xludf.DUMMYFUNCTION("""COMPUTED_VALUE"""),"C202621010241789557")</f>
        <v>C202621010241789557</v>
      </c>
      <c r="I887" s="6" t="str">
        <f ca="1">IFERROR(__xludf.DUMMYFUNCTION("""COMPUTED_VALUE"""),"ANA NERIN SESE")</f>
        <v>ANA NERIN SESE</v>
      </c>
      <c r="J887" s="16">
        <f ca="1">IFERROR(__xludf.DUMMYFUNCTION("""COMPUTED_VALUE"""),46063)</f>
        <v>46063</v>
      </c>
      <c r="K887" s="6" t="str">
        <f ca="1">IFERROR(__xludf.DUMMYFUNCTION("""COMPUTED_VALUE"""),"Prueba")</f>
        <v>Prueba</v>
      </c>
      <c r="L887" s="16">
        <f ca="1">IFERROR(__xludf.DUMMYFUNCTION("""COMPUTED_VALUE"""),46091)</f>
        <v>46091</v>
      </c>
      <c r="M887" s="23" t="str">
        <f ca="1">IFERROR(__xludf.DUMMYFUNCTION("""COMPUTED_VALUE"""),"NO")</f>
        <v>NO</v>
      </c>
      <c r="N887" s="15">
        <f ca="1">IFERROR(__xludf.DUMMYFUNCTION("""COMPUTED_VALUE"""),1)</f>
        <v>1</v>
      </c>
      <c r="O887" s="17" t="str">
        <f ca="1">IFERROR(__xludf.DUMMYFUNCTION("""COMPUTED_VALUE"""),"CONFORT")</f>
        <v>CONFORT</v>
      </c>
      <c r="P887" s="21">
        <f ca="1">IFERROR(__xludf.DUMMYFUNCTION("""COMPUTED_VALUE"""),2944.55)</f>
        <v>2944.55</v>
      </c>
      <c r="Q887" s="6" t="str">
        <f ca="1">IFERROR(__xludf.DUMMYFUNCTION("""COMPUTED_VALUE"""),"Ignacio Berdejo")</f>
        <v>Ignacio Berdejo</v>
      </c>
      <c r="R887" s="6" t="str">
        <f ca="1">IFERROR(__xludf.DUMMYFUNCTION("""COMPUTED_VALUE"""),"Jaime Leache Pueyo")</f>
        <v>Jaime Leache Pueyo</v>
      </c>
      <c r="S887" s="20" t="str">
        <f ca="1">IFERROR(__xludf.DUMMYFUNCTION("""COMPUTED_VALUE"""),"03 ORL")</f>
        <v>03 ORL</v>
      </c>
      <c r="T887" s="6" t="str">
        <f ca="1">IFERROR(__xludf.DUMMYFUNCTION("""COMPUTED_VALUE"""),"06 ORL")</f>
        <v>06 ORL</v>
      </c>
      <c r="U887" s="21"/>
      <c r="W887" s="20"/>
      <c r="X887" s="21"/>
    </row>
    <row r="888" spans="2:24" ht="16">
      <c r="B888" s="26" t="str">
        <f t="shared" ca="1" si="4"/>
        <v>LRM</v>
      </c>
      <c r="C888" s="23" t="str">
        <f ca="1">IFERROR(__xludf.DUMMYFUNCTION("""COMPUTED_VALUE"""),"LRM52")</f>
        <v>LRM52</v>
      </c>
      <c r="D888" s="6" t="str">
        <f ca="1">IFERROR(__xludf.DUMMYFUNCTION("""COMPUTED_VALUE"""),"ASOCIADOS")</f>
        <v>ASOCIADOS</v>
      </c>
      <c r="E888" s="6">
        <f ca="1">IFERROR(__xludf.DUMMYFUNCTION("""COMPUTED_VALUE"""),2026)</f>
        <v>2026</v>
      </c>
      <c r="F888" s="15">
        <f ca="1">IFERROR(__xludf.DUMMYFUNCTION("""COMPUTED_VALUE"""),3)</f>
        <v>3</v>
      </c>
      <c r="G888" s="6" t="str">
        <f ca="1">IFERROR(__xludf.DUMMYFUNCTION("""COMPUTED_VALUE"""),"Zaragoza- León XIII")</f>
        <v>Zaragoza- León XIII</v>
      </c>
      <c r="H888" s="6" t="str">
        <f ca="1">IFERROR(__xludf.DUMMYFUNCTION("""COMPUTED_VALUE"""),"C202622311553217598")</f>
        <v>C202622311553217598</v>
      </c>
      <c r="I888" s="6" t="str">
        <f ca="1">IFERROR(__xludf.DUMMYFUNCTION("""COMPUTED_VALUE"""),"CONCHITA FUENTES ARNAL")</f>
        <v>CONCHITA FUENTES ARNAL</v>
      </c>
      <c r="J888" s="16">
        <f ca="1">IFERROR(__xludf.DUMMYFUNCTION("""COMPUTED_VALUE"""),46076)</f>
        <v>46076</v>
      </c>
      <c r="K888" s="6" t="str">
        <f ca="1">IFERROR(__xludf.DUMMYFUNCTION("""COMPUTED_VALUE"""),"Prueba")</f>
        <v>Prueba</v>
      </c>
      <c r="L888" s="16">
        <f ca="1">IFERROR(__xludf.DUMMYFUNCTION("""COMPUTED_VALUE"""),46091)</f>
        <v>46091</v>
      </c>
      <c r="M888" s="23" t="str">
        <f ca="1">IFERROR(__xludf.DUMMYFUNCTION("""COMPUTED_VALUE"""),"NO")</f>
        <v>NO</v>
      </c>
      <c r="N888" s="15">
        <f ca="1">IFERROR(__xludf.DUMMYFUNCTION("""COMPUTED_VALUE"""),2)</f>
        <v>2</v>
      </c>
      <c r="O888" s="17" t="str">
        <f ca="1">IFERROR(__xludf.DUMMYFUNCTION("""COMPUTED_VALUE"""),"ADVANCED")</f>
        <v>ADVANCED</v>
      </c>
      <c r="P888" s="21">
        <f ca="1">IFERROR(__xludf.DUMMYFUNCTION("""COMPUTED_VALUE"""),3681.82)</f>
        <v>3681.82</v>
      </c>
      <c r="Q888" s="6" t="str">
        <f ca="1">IFERROR(__xludf.DUMMYFUNCTION("""COMPUTED_VALUE"""),"Ignacio Berdejo")</f>
        <v>Ignacio Berdejo</v>
      </c>
      <c r="R888" s="6" t="str">
        <f ca="1">IFERROR(__xludf.DUMMYFUNCTION("""COMPUTED_VALUE"""),"Héctor Vallés Varela")</f>
        <v>Héctor Vallés Varela</v>
      </c>
      <c r="S888" s="20" t="str">
        <f ca="1">IFERROR(__xludf.DUMMYFUNCTION("""COMPUTED_VALUE"""),"03 ORL")</f>
        <v>03 ORL</v>
      </c>
      <c r="T888" s="6" t="str">
        <f ca="1">IFERROR(__xludf.DUMMYFUNCTION("""COMPUTED_VALUE"""),"06 ORL")</f>
        <v>06 ORL</v>
      </c>
      <c r="U888" s="21"/>
      <c r="W888" s="20"/>
      <c r="X888" s="21"/>
    </row>
    <row r="889" spans="2:24" ht="16">
      <c r="B889" s="26" t="str">
        <f t="shared" ca="1" si="4"/>
        <v>LRM</v>
      </c>
      <c r="C889" s="23" t="str">
        <f ca="1">IFERROR(__xludf.DUMMYFUNCTION("""COMPUTED_VALUE"""),"LRM196")</f>
        <v>LRM196</v>
      </c>
      <c r="D889" s="6" t="str">
        <f ca="1">IFERROR(__xludf.DUMMYFUNCTION("""COMPUTED_VALUE"""),"ASOCIADOS")</f>
        <v>ASOCIADOS</v>
      </c>
      <c r="E889" s="6">
        <f ca="1">IFERROR(__xludf.DUMMYFUNCTION("""COMPUTED_VALUE"""),2026)</f>
        <v>2026</v>
      </c>
      <c r="F889" s="15">
        <f ca="1">IFERROR(__xludf.DUMMYFUNCTION("""COMPUTED_VALUE"""),2)</f>
        <v>2</v>
      </c>
      <c r="G889" s="6" t="str">
        <f ca="1">IFERROR(__xludf.DUMMYFUNCTION("""COMPUTED_VALUE"""),"Zaragoza- León XIII")</f>
        <v>Zaragoza- León XIII</v>
      </c>
      <c r="H889" s="6" t="str">
        <f ca="1">IFERROR(__xludf.DUMMYFUNCTION("""COMPUTED_VALUE"""),"C202611518362811865")</f>
        <v>C202611518362811865</v>
      </c>
      <c r="I889" s="6" t="str">
        <f ca="1">IFERROR(__xludf.DUMMYFUNCTION("""COMPUTED_VALUE"""),"GLORIA MENDIETA ZABALA")</f>
        <v>GLORIA MENDIETA ZABALA</v>
      </c>
      <c r="J889" s="16">
        <f ca="1">IFERROR(__xludf.DUMMYFUNCTION("""COMPUTED_VALUE"""),46037)</f>
        <v>46037</v>
      </c>
      <c r="K889" s="6" t="str">
        <f ca="1">IFERROR(__xludf.DUMMYFUNCTION("""COMPUTED_VALUE"""),"Devuelve")</f>
        <v>Devuelve</v>
      </c>
      <c r="L889" s="16">
        <f ca="1">IFERROR(__xludf.DUMMYFUNCTION("""COMPUTED_VALUE"""),46062)</f>
        <v>46062</v>
      </c>
      <c r="M889" s="23" t="str">
        <f ca="1">IFERROR(__xludf.DUMMYFUNCTION("""COMPUTED_VALUE"""),"NO")</f>
        <v>NO</v>
      </c>
      <c r="N889" s="15">
        <f ca="1">IFERROR(__xludf.DUMMYFUNCTION("""COMPUTED_VALUE"""),2)</f>
        <v>2</v>
      </c>
      <c r="O889" s="17" t="str">
        <f ca="1">IFERROR(__xludf.DUMMYFUNCTION("""COMPUTED_VALUE"""),"CONFORT")</f>
        <v>CONFORT</v>
      </c>
      <c r="P889" s="21">
        <f ca="1">IFERROR(__xludf.DUMMYFUNCTION("""COMPUTED_VALUE"""),3818.18)</f>
        <v>3818.18</v>
      </c>
      <c r="Q889" s="6" t="str">
        <f ca="1">IFERROR(__xludf.DUMMYFUNCTION("""COMPUTED_VALUE"""),"Ignacio Berdejo")</f>
        <v>Ignacio Berdejo</v>
      </c>
      <c r="R889" s="6" t="str">
        <f ca="1">IFERROR(__xludf.DUMMYFUNCTION("""COMPUTED_VALUE"""),"María José Naya Gálvez")</f>
        <v>María José Naya Gálvez</v>
      </c>
      <c r="S889" s="20" t="str">
        <f ca="1">IFERROR(__xludf.DUMMYFUNCTION("""COMPUTED_VALUE"""),"03 ORL")</f>
        <v>03 ORL</v>
      </c>
      <c r="T889" s="6" t="str">
        <f ca="1">IFERROR(__xludf.DUMMYFUNCTION("""COMPUTED_VALUE"""),"06 ORL")</f>
        <v>06 ORL</v>
      </c>
      <c r="U889" s="21"/>
      <c r="W889" s="20"/>
      <c r="X889" s="21"/>
    </row>
    <row r="890" spans="2:24" ht="16">
      <c r="B890" s="26" t="str">
        <f t="shared" ca="1" si="4"/>
        <v>#N/</v>
      </c>
      <c r="C890" s="23" t="str">
        <f ca="1">IFERROR(__xludf.DUMMYFUNCTION("""COMPUTED_VALUE"""),"#N/A")</f>
        <v>#N/A</v>
      </c>
      <c r="D890" s="6" t="str">
        <f ca="1">IFERROR(__xludf.DUMMYFUNCTION("""COMPUTED_VALUE"""),"ASOCIADOS")</f>
        <v>ASOCIADOS</v>
      </c>
      <c r="E890" s="6">
        <f ca="1">IFERROR(__xludf.DUMMYFUNCTION("""COMPUTED_VALUE"""),2026)</f>
        <v>2026</v>
      </c>
      <c r="F890" s="15">
        <f ca="1">IFERROR(__xludf.DUMMYFUNCTION("""COMPUTED_VALUE"""),3)</f>
        <v>3</v>
      </c>
      <c r="G890" s="6" t="str">
        <f ca="1">IFERROR(__xludf.DUMMYFUNCTION("""COMPUTED_VALUE"""),"Zaragoza- León XIII")</f>
        <v>Zaragoza- León XIII</v>
      </c>
      <c r="H890" s="6" t="str">
        <f ca="1">IFERROR(__xludf.DUMMYFUNCTION("""COMPUTED_VALUE"""),"C202622717342926852")</f>
        <v>C202622717342926852</v>
      </c>
      <c r="I890" s="6" t="str">
        <f ca="1">IFERROR(__xludf.DUMMYFUNCTION("""COMPUTED_VALUE"""),"JULIO EZQUERRA SAINZ-AJA")</f>
        <v>JULIO EZQUERRA SAINZ-AJA</v>
      </c>
      <c r="J890" s="16">
        <f ca="1">IFERROR(__xludf.DUMMYFUNCTION("""COMPUTED_VALUE"""),46080)</f>
        <v>46080</v>
      </c>
      <c r="K890" s="6" t="str">
        <f ca="1">IFERROR(__xludf.DUMMYFUNCTION("""COMPUTED_VALUE"""),"Prueba")</f>
        <v>Prueba</v>
      </c>
      <c r="L890" s="16">
        <f ca="1">IFERROR(__xludf.DUMMYFUNCTION("""COMPUTED_VALUE"""),46105)</f>
        <v>46105</v>
      </c>
      <c r="M890" s="23" t="str">
        <f ca="1">IFERROR(__xludf.DUMMYFUNCTION("""COMPUTED_VALUE"""),"NO")</f>
        <v>NO</v>
      </c>
      <c r="N890" s="15">
        <f ca="1">IFERROR(__xludf.DUMMYFUNCTION("""COMPUTED_VALUE"""),1)</f>
        <v>1</v>
      </c>
      <c r="O890" s="17" t="str">
        <f ca="1">IFERROR(__xludf.DUMMYFUNCTION("""COMPUTED_VALUE"""),"CONFORT")</f>
        <v>CONFORT</v>
      </c>
      <c r="P890" s="21">
        <f ca="1">IFERROR(__xludf.DUMMYFUNCTION("""COMPUTED_VALUE"""),2981.82)</f>
        <v>2981.82</v>
      </c>
      <c r="Q890" s="6" t="str">
        <f ca="1">IFERROR(__xludf.DUMMYFUNCTION("""COMPUTED_VALUE"""),"Ignacio Berdejo")</f>
        <v>Ignacio Berdejo</v>
      </c>
      <c r="R890" s="6" t="str">
        <f ca="1">IFERROR(__xludf.DUMMYFUNCTION("""COMPUTED_VALUE"""),"José Manuel García-Solans Esteras")</f>
        <v>José Manuel García-Solans Esteras</v>
      </c>
      <c r="S890" s="20" t="str">
        <f ca="1">IFERROR(__xludf.DUMMYFUNCTION("""COMPUTED_VALUE"""),"03 ORL")</f>
        <v>03 ORL</v>
      </c>
      <c r="T890" s="6" t="str">
        <f ca="1">IFERROR(__xludf.DUMMYFUNCTION("""COMPUTED_VALUE"""),"06 ORL")</f>
        <v>06 ORL</v>
      </c>
      <c r="U890" s="21"/>
      <c r="W890" s="20"/>
      <c r="X890" s="21"/>
    </row>
    <row r="891" spans="2:24" ht="16">
      <c r="B891" s="26" t="str">
        <f t="shared" ca="1" si="4"/>
        <v>LRM</v>
      </c>
      <c r="C891" s="23" t="str">
        <f ca="1">IFERROR(__xludf.DUMMYFUNCTION("""COMPUTED_VALUE"""),"LRM78")</f>
        <v>LRM78</v>
      </c>
      <c r="D891" s="6" t="str">
        <f ca="1">IFERROR(__xludf.DUMMYFUNCTION("""COMPUTED_VALUE"""),"ASOCIADOS")</f>
        <v>ASOCIADOS</v>
      </c>
      <c r="E891" s="6">
        <f ca="1">IFERROR(__xludf.DUMMYFUNCTION("""COMPUTED_VALUE"""),2026)</f>
        <v>2026</v>
      </c>
      <c r="F891" s="15">
        <f ca="1">IFERROR(__xludf.DUMMYFUNCTION("""COMPUTED_VALUE"""),2)</f>
        <v>2</v>
      </c>
      <c r="G891" s="6" t="str">
        <f ca="1">IFERROR(__xludf.DUMMYFUNCTION("""COMPUTED_VALUE"""),"Zaragoza- León XIII")</f>
        <v>Zaragoza- León XIII</v>
      </c>
      <c r="H891" s="6" t="str">
        <f ca="1">IFERROR(__xludf.DUMMYFUNCTION("""COMPUTED_VALUE"""),"C202623162033347890")</f>
        <v>C202623162033347890</v>
      </c>
      <c r="I891" s="6" t="str">
        <f ca="1">IFERROR(__xludf.DUMMYFUNCTION("""COMPUTED_VALUE"""),"MARGA GALVEZ LATORRE")</f>
        <v>MARGA GALVEZ LATORRE</v>
      </c>
      <c r="J891" s="16">
        <f ca="1">IFERROR(__xludf.DUMMYFUNCTION("""COMPUTED_VALUE"""),46056)</f>
        <v>46056</v>
      </c>
      <c r="K891" s="6" t="str">
        <f ca="1">IFERROR(__xludf.DUMMYFUNCTION("""COMPUTED_VALUE"""),"Devuelve")</f>
        <v>Devuelve</v>
      </c>
      <c r="L891" s="16">
        <f ca="1">IFERROR(__xludf.DUMMYFUNCTION("""COMPUTED_VALUE"""),46069)</f>
        <v>46069</v>
      </c>
      <c r="M891" s="23" t="str">
        <f ca="1">IFERROR(__xludf.DUMMYFUNCTION("""COMPUTED_VALUE"""),"NO")</f>
        <v>NO</v>
      </c>
      <c r="N891" s="15">
        <f ca="1">IFERROR(__xludf.DUMMYFUNCTION("""COMPUTED_VALUE"""),2)</f>
        <v>2</v>
      </c>
      <c r="O891" s="17" t="str">
        <f ca="1">IFERROR(__xludf.DUMMYFUNCTION("""COMPUTED_VALUE"""),"CONFORT")</f>
        <v>CONFORT</v>
      </c>
      <c r="P891" s="21">
        <f ca="1">IFERROR(__xludf.DUMMYFUNCTION("""COMPUTED_VALUE"""),3890.91)</f>
        <v>3890.91</v>
      </c>
      <c r="Q891" s="6" t="str">
        <f ca="1">IFERROR(__xludf.DUMMYFUNCTION("""COMPUTED_VALUE"""),"Ignacio Berdejo")</f>
        <v>Ignacio Berdejo</v>
      </c>
      <c r="R891" s="6" t="str">
        <f ca="1">IFERROR(__xludf.DUMMYFUNCTION("""COMPUTED_VALUE"""),"José Manuel García Solans-Esteras")</f>
        <v>José Manuel García Solans-Esteras</v>
      </c>
      <c r="S891" s="20" t="str">
        <f ca="1">IFERROR(__xludf.DUMMYFUNCTION("""COMPUTED_VALUE"""),"01 MARKETING ON LINE")</f>
        <v>01 MARKETING ON LINE</v>
      </c>
      <c r="T891" s="6" t="str">
        <f ca="1">IFERROR(__xludf.DUMMYFUNCTION("""COMPUTED_VALUE"""),"04 AUDIFONO,ES")</f>
        <v>04 AUDIFONO,ES</v>
      </c>
      <c r="U891" s="21"/>
      <c r="W891" s="20"/>
      <c r="X891" s="21"/>
    </row>
    <row r="892" spans="2:24" ht="16">
      <c r="B892" s="26" t="str">
        <f t="shared" ca="1" si="4"/>
        <v>LRM</v>
      </c>
      <c r="C892" s="23" t="str">
        <f ca="1">IFERROR(__xludf.DUMMYFUNCTION("""COMPUTED_VALUE"""),"LRM90")</f>
        <v>LRM90</v>
      </c>
      <c r="D892" s="6" t="str">
        <f ca="1">IFERROR(__xludf.DUMMYFUNCTION("""COMPUTED_VALUE"""),"ASOCIADOS")</f>
        <v>ASOCIADOS</v>
      </c>
      <c r="E892" s="6">
        <f ca="1">IFERROR(__xludf.DUMMYFUNCTION("""COMPUTED_VALUE"""),2026)</f>
        <v>2026</v>
      </c>
      <c r="F892" s="15">
        <f ca="1">IFERROR(__xludf.DUMMYFUNCTION("""COMPUTED_VALUE"""),2)</f>
        <v>2</v>
      </c>
      <c r="G892" s="6" t="str">
        <f ca="1">IFERROR(__xludf.DUMMYFUNCTION("""COMPUTED_VALUE"""),"Zaragoza- León XIII")</f>
        <v>Zaragoza- León XIII</v>
      </c>
      <c r="H892" s="6" t="str">
        <f ca="1">IFERROR(__xludf.DUMMYFUNCTION("""COMPUTED_VALUE"""),"ZRG-645")</f>
        <v>ZRG-645</v>
      </c>
      <c r="I892" s="6" t="str">
        <f ca="1">IFERROR(__xludf.DUMMYFUNCTION("""COMPUTED_VALUE"""),"MARIA DE LOS ANGELES ALADREN GIL")</f>
        <v>MARIA DE LOS ANGELES ALADREN GIL</v>
      </c>
      <c r="J892" s="16">
        <f ca="1">IFERROR(__xludf.DUMMYFUNCTION("""COMPUTED_VALUE"""),45804)</f>
        <v>45804</v>
      </c>
      <c r="K892" s="6" t="str">
        <f ca="1">IFERROR(__xludf.DUMMYFUNCTION("""COMPUTED_VALUE"""),"Devuelve")</f>
        <v>Devuelve</v>
      </c>
      <c r="L892" s="16">
        <f ca="1">IFERROR(__xludf.DUMMYFUNCTION("""COMPUTED_VALUE"""),46066)</f>
        <v>46066</v>
      </c>
      <c r="M892" s="23" t="str">
        <f ca="1">IFERROR(__xludf.DUMMYFUNCTION("""COMPUTED_VALUE"""),"NO")</f>
        <v>NO</v>
      </c>
      <c r="N892" s="15">
        <f ca="1">IFERROR(__xludf.DUMMYFUNCTION("""COMPUTED_VALUE"""),1)</f>
        <v>1</v>
      </c>
      <c r="O892" s="17" t="str">
        <f ca="1">IFERROR(__xludf.DUMMYFUNCTION("""COMPUTED_VALUE"""),"PRO")</f>
        <v>PRO</v>
      </c>
      <c r="P892" s="21">
        <f ca="1">IFERROR(__xludf.DUMMYFUNCTION("""COMPUTED_VALUE"""),1983.64)</f>
        <v>1983.64</v>
      </c>
      <c r="Q892" s="6" t="str">
        <f ca="1">IFERROR(__xludf.DUMMYFUNCTION("""COMPUTED_VALUE"""),"Ignacio Berdejo")</f>
        <v>Ignacio Berdejo</v>
      </c>
      <c r="R892" s="6" t="str">
        <f ca="1">IFERROR(__xludf.DUMMYFUNCTION("""COMPUTED_VALUE"""),"Julio Knaster Del Olmo")</f>
        <v>Julio Knaster Del Olmo</v>
      </c>
      <c r="S892" s="20" t="str">
        <f ca="1">IFERROR(__xludf.DUMMYFUNCTION("""COMPUTED_VALUE"""),"03 ORL")</f>
        <v>03 ORL</v>
      </c>
      <c r="T892" s="6" t="str">
        <f ca="1">IFERROR(__xludf.DUMMYFUNCTION("""COMPUTED_VALUE"""),"06 ORL")</f>
        <v>06 ORL</v>
      </c>
      <c r="U892" s="21"/>
      <c r="W892" s="20"/>
      <c r="X892" s="21"/>
    </row>
    <row r="893" spans="2:24" ht="16">
      <c r="B893" s="26" t="str">
        <f t="shared" ca="1" si="4"/>
        <v>LRM</v>
      </c>
      <c r="C893" s="23" t="str">
        <f ca="1">IFERROR(__xludf.DUMMYFUNCTION("""COMPUTED_VALUE"""),"LRM56")</f>
        <v>LRM56</v>
      </c>
      <c r="D893" s="6" t="str">
        <f ca="1">IFERROR(__xludf.DUMMYFUNCTION("""COMPUTED_VALUE"""),"ASOCIADOS")</f>
        <v>ASOCIADOS</v>
      </c>
      <c r="E893" s="6">
        <f ca="1">IFERROR(__xludf.DUMMYFUNCTION("""COMPUTED_VALUE"""),2026)</f>
        <v>2026</v>
      </c>
      <c r="F893" s="15">
        <f ca="1">IFERROR(__xludf.DUMMYFUNCTION("""COMPUTED_VALUE"""),2)</f>
        <v>2</v>
      </c>
      <c r="G893" s="6" t="str">
        <f ca="1">IFERROR(__xludf.DUMMYFUNCTION("""COMPUTED_VALUE"""),"Zaragoza- Santander")</f>
        <v>Zaragoza- Santander</v>
      </c>
      <c r="H893" s="6" t="str">
        <f ca="1">IFERROR(__xludf.DUMMYFUNCTION("""COMPUTED_VALUE"""),"C202621616478150088")</f>
        <v>C202621616478150088</v>
      </c>
      <c r="I893" s="6" t="str">
        <f ca="1">IFERROR(__xludf.DUMMYFUNCTION("""COMPUTED_VALUE"""),"AGUSTINA MARIA JOSE  RANERA FRAUCA")</f>
        <v>AGUSTINA MARIA JOSE  RANERA FRAUCA</v>
      </c>
      <c r="J893" s="16">
        <f ca="1">IFERROR(__xludf.DUMMYFUNCTION("""COMPUTED_VALUE"""),46069)</f>
        <v>46069</v>
      </c>
      <c r="K893" s="6" t="str">
        <f ca="1">IFERROR(__xludf.DUMMYFUNCTION("""COMPUTED_VALUE"""),"Presupuesto")</f>
        <v>Presupuesto</v>
      </c>
      <c r="L893" s="16">
        <f ca="1">IFERROR(__xludf.DUMMYFUNCTION("""COMPUTED_VALUE"""),46073)</f>
        <v>46073</v>
      </c>
      <c r="M893" s="23" t="str">
        <f ca="1">IFERROR(__xludf.DUMMYFUNCTION("""COMPUTED_VALUE"""),"NO")</f>
        <v>NO</v>
      </c>
      <c r="N893" s="15">
        <f ca="1">IFERROR(__xludf.DUMMYFUNCTION("""COMPUTED_VALUE"""),0)</f>
        <v>0</v>
      </c>
      <c r="O893" s="17"/>
      <c r="P893" s="21"/>
      <c r="Q893" s="6" t="str">
        <f ca="1">IFERROR(__xludf.DUMMYFUNCTION("""COMPUTED_VALUE"""),"Ignacio Berdejo")</f>
        <v>Ignacio Berdejo</v>
      </c>
      <c r="R893" s="6" t="str">
        <f ca="1">IFERROR(__xludf.DUMMYFUNCTION("""COMPUTED_VALUE"""),"Jaime Leache Pueyo")</f>
        <v>Jaime Leache Pueyo</v>
      </c>
      <c r="S893" s="20" t="str">
        <f ca="1">IFERROR(__xludf.DUMMYFUNCTION("""COMPUTED_VALUE"""),"03 ORL")</f>
        <v>03 ORL</v>
      </c>
      <c r="T893" s="6" t="str">
        <f ca="1">IFERROR(__xludf.DUMMYFUNCTION("""COMPUTED_VALUE"""),"06 ORL")</f>
        <v>06 ORL</v>
      </c>
      <c r="U893" s="21"/>
      <c r="W893" s="20"/>
      <c r="X893" s="21"/>
    </row>
    <row r="894" spans="2:24" ht="16">
      <c r="B894" s="26" t="str">
        <f t="shared" ca="1" si="4"/>
        <v>ISL</v>
      </c>
      <c r="C894" s="23" t="str">
        <f ca="1">IFERROR(__xludf.DUMMYFUNCTION("""COMPUTED_VALUE"""),"ISL71")</f>
        <v>ISL71</v>
      </c>
      <c r="D894" s="6" t="str">
        <f ca="1">IFERROR(__xludf.DUMMYFUNCTION("""COMPUTED_VALUE"""),"PROPIOS")</f>
        <v>PROPIOS</v>
      </c>
      <c r="E894" s="6">
        <f ca="1">IFERROR(__xludf.DUMMYFUNCTION("""COMPUTED_VALUE"""),2026)</f>
        <v>2026</v>
      </c>
      <c r="F894" s="15">
        <f ca="1">IFERROR(__xludf.DUMMYFUNCTION("""COMPUTED_VALUE"""),2)</f>
        <v>2</v>
      </c>
      <c r="G894" s="6" t="str">
        <f ca="1">IFERROR(__xludf.DUMMYFUNCTION("""COMPUTED_VALUE"""),"Albacete")</f>
        <v>Albacete</v>
      </c>
      <c r="H894" s="6" t="str">
        <f ca="1">IFERROR(__xludf.DUMMYFUNCTION("""COMPUTED_VALUE"""),"C202621610939942291")</f>
        <v>C202621610939942291</v>
      </c>
      <c r="I894" s="6" t="str">
        <f ca="1">IFERROR(__xludf.DUMMYFUNCTION("""COMPUTED_VALUE"""),"DAVID URREA MARTINEZ")</f>
        <v>DAVID URREA MARTINEZ</v>
      </c>
      <c r="J894" s="16">
        <f ca="1">IFERROR(__xludf.DUMMYFUNCTION("""COMPUTED_VALUE"""),46069)</f>
        <v>46069</v>
      </c>
      <c r="K894" s="6" t="str">
        <f ca="1">IFERROR(__xludf.DUMMYFUNCTION("""COMPUTED_VALUE"""),"Leve")</f>
        <v>Leve</v>
      </c>
      <c r="L894" s="16">
        <f ca="1">IFERROR(__xludf.DUMMYFUNCTION("""COMPUTED_VALUE"""),46069)</f>
        <v>46069</v>
      </c>
      <c r="M894" s="23" t="str">
        <f ca="1">IFERROR(__xludf.DUMMYFUNCTION("""COMPUTED_VALUE"""),"NO")</f>
        <v>NO</v>
      </c>
      <c r="N894" s="15">
        <f ca="1">IFERROR(__xludf.DUMMYFUNCTION("""COMPUTED_VALUE"""),0)</f>
        <v>0</v>
      </c>
      <c r="O894" s="17"/>
      <c r="P894" s="21"/>
      <c r="Q894" s="6" t="str">
        <f ca="1">IFERROR(__xludf.DUMMYFUNCTION("""COMPUTED_VALUE"""),"Iván Sánchez")</f>
        <v>Iván Sánchez</v>
      </c>
      <c r="R894" s="6" t="str">
        <f ca="1">IFERROR(__xludf.DUMMYFUNCTION("""COMPUTED_VALUE"""),"Máximo Rafael García Rodríguez")</f>
        <v>Máximo Rafael García Rodríguez</v>
      </c>
      <c r="S894" s="20" t="str">
        <f ca="1">IFERROR(__xludf.DUMMYFUNCTION("""COMPUTED_VALUE"""),"03 ORL")</f>
        <v>03 ORL</v>
      </c>
      <c r="T894" s="6" t="str">
        <f ca="1">IFERROR(__xludf.DUMMYFUNCTION("""COMPUTED_VALUE"""),"06 ORL")</f>
        <v>06 ORL</v>
      </c>
      <c r="U894" s="21"/>
      <c r="W894" s="20"/>
      <c r="X894" s="21"/>
    </row>
    <row r="895" spans="2:24" ht="16">
      <c r="B895" s="26" t="str">
        <f t="shared" ca="1" si="4"/>
        <v>ISL</v>
      </c>
      <c r="C895" s="23" t="str">
        <f ca="1">IFERROR(__xludf.DUMMYFUNCTION("""COMPUTED_VALUE"""),"ISL71")</f>
        <v>ISL71</v>
      </c>
      <c r="D895" s="6" t="str">
        <f ca="1">IFERROR(__xludf.DUMMYFUNCTION("""COMPUTED_VALUE"""),"PROPIOS")</f>
        <v>PROPIOS</v>
      </c>
      <c r="E895" s="6">
        <f ca="1">IFERROR(__xludf.DUMMYFUNCTION("""COMPUTED_VALUE"""),2026)</f>
        <v>2026</v>
      </c>
      <c r="F895" s="15">
        <f ca="1">IFERROR(__xludf.DUMMYFUNCTION("""COMPUTED_VALUE"""),3)</f>
        <v>3</v>
      </c>
      <c r="G895" s="6" t="str">
        <f ca="1">IFERROR(__xludf.DUMMYFUNCTION("""COMPUTED_VALUE"""),"Albacete")</f>
        <v>Albacete</v>
      </c>
      <c r="H895" s="6" t="str">
        <f ca="1">IFERROR(__xludf.DUMMYFUNCTION("""COMPUTED_VALUE"""),"C2026359311675922")</f>
        <v>C2026359311675922</v>
      </c>
      <c r="I895" s="6" t="str">
        <f ca="1">IFERROR(__xludf.DUMMYFUNCTION("""COMPUTED_VALUE"""),"VICTORIA TOBARRA JIMENEZ")</f>
        <v>VICTORIA TOBARRA JIMENEZ</v>
      </c>
      <c r="J895" s="16">
        <f ca="1">IFERROR(__xludf.DUMMYFUNCTION("""COMPUTED_VALUE"""),46086)</f>
        <v>46086</v>
      </c>
      <c r="K895" s="6" t="str">
        <f ca="1">IFERROR(__xludf.DUMMYFUNCTION("""COMPUTED_VALUE"""),"Leve")</f>
        <v>Leve</v>
      </c>
      <c r="L895" s="16">
        <f ca="1">IFERROR(__xludf.DUMMYFUNCTION("""COMPUTED_VALUE"""),46086)</f>
        <v>46086</v>
      </c>
      <c r="M895" s="23" t="str">
        <f ca="1">IFERROR(__xludf.DUMMYFUNCTION("""COMPUTED_VALUE"""),"NO")</f>
        <v>NO</v>
      </c>
      <c r="N895" s="15">
        <f ca="1">IFERROR(__xludf.DUMMYFUNCTION("""COMPUTED_VALUE"""),0)</f>
        <v>0</v>
      </c>
      <c r="O895" s="17"/>
      <c r="P895" s="21"/>
      <c r="Q895" s="6" t="str">
        <f ca="1">IFERROR(__xludf.DUMMYFUNCTION("""COMPUTED_VALUE"""),"Iván Sánchez")</f>
        <v>Iván Sánchez</v>
      </c>
      <c r="R895" s="6" t="str">
        <f ca="1">IFERROR(__xludf.DUMMYFUNCTION("""COMPUTED_VALUE"""),"Máximo Rafael García Rodríguez")</f>
        <v>Máximo Rafael García Rodríguez</v>
      </c>
      <c r="S895" s="20" t="str">
        <f ca="1">IFERROR(__xludf.DUMMYFUNCTION("""COMPUTED_VALUE"""),"03 ORL")</f>
        <v>03 ORL</v>
      </c>
      <c r="T895" s="6" t="str">
        <f ca="1">IFERROR(__xludf.DUMMYFUNCTION("""COMPUTED_VALUE"""),"06 ORL")</f>
        <v>06 ORL</v>
      </c>
      <c r="U895" s="21"/>
      <c r="W895" s="20"/>
      <c r="X895" s="21"/>
    </row>
    <row r="896" spans="2:24" ht="16">
      <c r="B896" s="26" t="str">
        <f t="shared" ca="1" si="4"/>
        <v/>
      </c>
      <c r="C896" s="23"/>
      <c r="D896" s="6" t="str">
        <f ca="1">IFERROR(__xludf.DUMMYFUNCTION("""COMPUTED_VALUE"""),"PROPIOS")</f>
        <v>PROPIOS</v>
      </c>
      <c r="E896" s="6">
        <f ca="1">IFERROR(__xludf.DUMMYFUNCTION("""COMPUTED_VALUE"""),2026)</f>
        <v>2026</v>
      </c>
      <c r="F896" s="15">
        <f ca="1">IFERROR(__xludf.DUMMYFUNCTION("""COMPUTED_VALUE"""),2)</f>
        <v>2</v>
      </c>
      <c r="G896" s="6" t="str">
        <f ca="1">IFERROR(__xludf.DUMMYFUNCTION("""COMPUTED_VALUE"""),"El Albir (Benidorm)")</f>
        <v>El Albir (Benidorm)</v>
      </c>
      <c r="H896" s="6" t="str">
        <f ca="1">IFERROR(__xludf.DUMMYFUNCTION("""COMPUTED_VALUE"""),"C202622515160087609")</f>
        <v>C202622515160087609</v>
      </c>
      <c r="I896" s="6" t="str">
        <f ca="1">IFERROR(__xludf.DUMMYFUNCTION("""COMPUTED_VALUE"""),"LUIS  CASADIEGO SANCHEZ")</f>
        <v>LUIS  CASADIEGO SANCHEZ</v>
      </c>
      <c r="J896" s="16">
        <f ca="1">IFERROR(__xludf.DUMMYFUNCTION("""COMPUTED_VALUE"""),46078)</f>
        <v>46078</v>
      </c>
      <c r="K896" s="6" t="str">
        <f ca="1">IFERROR(__xludf.DUMMYFUNCTION("""COMPUTED_VALUE"""),"Leve")</f>
        <v>Leve</v>
      </c>
      <c r="L896" s="16">
        <f ca="1">IFERROR(__xludf.DUMMYFUNCTION("""COMPUTED_VALUE"""),46078)</f>
        <v>46078</v>
      </c>
      <c r="M896" s="23" t="str">
        <f ca="1">IFERROR(__xludf.DUMMYFUNCTION("""COMPUTED_VALUE"""),"NO")</f>
        <v>NO</v>
      </c>
      <c r="N896" s="15">
        <f ca="1">IFERROR(__xludf.DUMMYFUNCTION("""COMPUTED_VALUE"""),0)</f>
        <v>0</v>
      </c>
      <c r="O896" s="17"/>
      <c r="P896" s="21"/>
      <c r="Q896" s="6" t="str">
        <f ca="1">IFERROR(__xludf.DUMMYFUNCTION("""COMPUTED_VALUE"""),"Ramon Ferrando")</f>
        <v>Ramon Ferrando</v>
      </c>
      <c r="R896" s="6" t="str">
        <f ca="1">IFERROR(__xludf.DUMMYFUNCTION("""COMPUTED_VALUE"""),"No recuerda ORL")</f>
        <v>No recuerda ORL</v>
      </c>
      <c r="S896" s="20" t="str">
        <f ca="1">IFERROR(__xludf.DUMMYFUNCTION("""COMPUTED_VALUE"""),"03 ORL")</f>
        <v>03 ORL</v>
      </c>
      <c r="T896" s="6" t="str">
        <f ca="1">IFERROR(__xludf.DUMMYFUNCTION("""COMPUTED_VALUE"""),"06 ORL")</f>
        <v>06 ORL</v>
      </c>
      <c r="U896" s="21"/>
      <c r="W896" s="20"/>
      <c r="X896" s="21"/>
    </row>
    <row r="897" spans="2:24" ht="16">
      <c r="B897" s="26" t="str">
        <f t="shared" ca="1" si="4"/>
        <v/>
      </c>
      <c r="C897" s="23"/>
      <c r="D897" s="6" t="str">
        <f ca="1">IFERROR(__xludf.DUMMYFUNCTION("""COMPUTED_VALUE"""),"PROPIOS")</f>
        <v>PROPIOS</v>
      </c>
      <c r="E897" s="6">
        <f ca="1">IFERROR(__xludf.DUMMYFUNCTION("""COMPUTED_VALUE"""),2026)</f>
        <v>2026</v>
      </c>
      <c r="F897" s="15">
        <f ca="1">IFERROR(__xludf.DUMMYFUNCTION("""COMPUTED_VALUE"""),2)</f>
        <v>2</v>
      </c>
      <c r="G897" s="6" t="str">
        <f ca="1">IFERROR(__xludf.DUMMYFUNCTION("""COMPUTED_VALUE"""),"Logroño")</f>
        <v>Logroño</v>
      </c>
      <c r="H897" s="6" t="str">
        <f ca="1">IFERROR(__xludf.DUMMYFUNCTION("""COMPUTED_VALUE"""),"C202621916363532718")</f>
        <v>C202621916363532718</v>
      </c>
      <c r="I897" s="6" t="str">
        <f ca="1">IFERROR(__xludf.DUMMYFUNCTION("""COMPUTED_VALUE"""),"Ana Marta Arambarri hervías")</f>
        <v>Ana Marta Arambarri hervías</v>
      </c>
      <c r="J897" s="16">
        <f ca="1">IFERROR(__xludf.DUMMYFUNCTION("""COMPUTED_VALUE"""),46072)</f>
        <v>46072</v>
      </c>
      <c r="K897" s="6" t="str">
        <f ca="1">IFERROR(__xludf.DUMMYFUNCTION("""COMPUTED_VALUE"""),"Leve")</f>
        <v>Leve</v>
      </c>
      <c r="L897" s="16">
        <f ca="1">IFERROR(__xludf.DUMMYFUNCTION("""COMPUTED_VALUE"""),46072)</f>
        <v>46072</v>
      </c>
      <c r="M897" s="23" t="str">
        <f ca="1">IFERROR(__xludf.DUMMYFUNCTION("""COMPUTED_VALUE"""),"NO")</f>
        <v>NO</v>
      </c>
      <c r="N897" s="15">
        <f ca="1">IFERROR(__xludf.DUMMYFUNCTION("""COMPUTED_VALUE"""),0)</f>
        <v>0</v>
      </c>
      <c r="O897" s="17"/>
      <c r="P897" s="21"/>
      <c r="Q897" s="6" t="str">
        <f ca="1">IFERROR(__xludf.DUMMYFUNCTION("""COMPUTED_VALUE"""),"Lisandro Russian")</f>
        <v>Lisandro Russian</v>
      </c>
      <c r="R897" s="6" t="str">
        <f ca="1">IFERROR(__xludf.DUMMYFUNCTION("""COMPUTED_VALUE"""),"No recuerda ORL")</f>
        <v>No recuerda ORL</v>
      </c>
      <c r="S897" s="20" t="str">
        <f ca="1">IFERROR(__xludf.DUMMYFUNCTION("""COMPUTED_VALUE"""),"03 ORL")</f>
        <v>03 ORL</v>
      </c>
      <c r="T897" s="6" t="str">
        <f ca="1">IFERROR(__xludf.DUMMYFUNCTION("""COMPUTED_VALUE"""),"06 ORL")</f>
        <v>06 ORL</v>
      </c>
      <c r="U897" s="21"/>
      <c r="W897" s="20"/>
      <c r="X897" s="21"/>
    </row>
    <row r="898" spans="2:24" ht="16">
      <c r="B898" s="26" t="str">
        <f t="shared" ca="1" si="4"/>
        <v>LRM</v>
      </c>
      <c r="C898" s="23" t="str">
        <f ca="1">IFERROR(__xludf.DUMMYFUNCTION("""COMPUTED_VALUE"""),"LRM239")</f>
        <v>LRM239</v>
      </c>
      <c r="D898" s="6" t="str">
        <f ca="1">IFERROR(__xludf.DUMMYFUNCTION("""COMPUTED_VALUE"""),"PROPIOS")</f>
        <v>PROPIOS</v>
      </c>
      <c r="E898" s="6">
        <f ca="1">IFERROR(__xludf.DUMMYFUNCTION("""COMPUTED_VALUE"""),2026)</f>
        <v>2026</v>
      </c>
      <c r="F898" s="15">
        <f ca="1">IFERROR(__xludf.DUMMYFUNCTION("""COMPUTED_VALUE"""),1)</f>
        <v>1</v>
      </c>
      <c r="G898" s="6" t="str">
        <f ca="1">IFERROR(__xludf.DUMMYFUNCTION("""COMPUTED_VALUE"""),"Madrid- Juan Bravo")</f>
        <v>Madrid- Juan Bravo</v>
      </c>
      <c r="H898" s="6" t="str">
        <f ca="1">IFERROR(__xludf.DUMMYFUNCTION("""COMPUTED_VALUE"""),"C202612812563499408")</f>
        <v>C202612812563499408</v>
      </c>
      <c r="I898" s="6" t="str">
        <f ca="1">IFERROR(__xludf.DUMMYFUNCTION("""COMPUTED_VALUE"""),"JULIAN   CEREZO MORENO")</f>
        <v>JULIAN   CEREZO MORENO</v>
      </c>
      <c r="J898" s="16">
        <f ca="1">IFERROR(__xludf.DUMMYFUNCTION("""COMPUTED_VALUE"""),46050)</f>
        <v>46050</v>
      </c>
      <c r="K898" s="6" t="str">
        <f ca="1">IFERROR(__xludf.DUMMYFUNCTION("""COMPUTED_VALUE"""),"Leve")</f>
        <v>Leve</v>
      </c>
      <c r="L898" s="16">
        <f ca="1">IFERROR(__xludf.DUMMYFUNCTION("""COMPUTED_VALUE"""),46050)</f>
        <v>46050</v>
      </c>
      <c r="M898" s="23" t="str">
        <f ca="1">IFERROR(__xludf.DUMMYFUNCTION("""COMPUTED_VALUE"""),"NO")</f>
        <v>NO</v>
      </c>
      <c r="N898" s="15">
        <f ca="1">IFERROR(__xludf.DUMMYFUNCTION("""COMPUTED_VALUE"""),0)</f>
        <v>0</v>
      </c>
      <c r="O898" s="17"/>
      <c r="P898" s="21"/>
      <c r="Q898" s="6" t="str">
        <f ca="1">IFERROR(__xludf.DUMMYFUNCTION("""COMPUTED_VALUE"""),"Maika Blázquez")</f>
        <v>Maika Blázquez</v>
      </c>
      <c r="R898" s="6" t="str">
        <f ca="1">IFERROR(__xludf.DUMMYFUNCTION("""COMPUTED_VALUE"""),"Carlos Barajas del Rosal")</f>
        <v>Carlos Barajas del Rosal</v>
      </c>
      <c r="S898" s="20" t="str">
        <f ca="1">IFERROR(__xludf.DUMMYFUNCTION("""COMPUTED_VALUE"""),"03 ORL")</f>
        <v>03 ORL</v>
      </c>
      <c r="T898" s="6" t="str">
        <f ca="1">IFERROR(__xludf.DUMMYFUNCTION("""COMPUTED_VALUE"""),"06 ORL")</f>
        <v>06 ORL</v>
      </c>
      <c r="U898" s="21"/>
      <c r="W898" s="20"/>
      <c r="X898" s="21"/>
    </row>
    <row r="899" spans="2:24" ht="16">
      <c r="B899" s="26" t="str">
        <f t="shared" ca="1" si="4"/>
        <v>ISL</v>
      </c>
      <c r="C899" s="23" t="str">
        <f ca="1">IFERROR(__xludf.DUMMYFUNCTION("""COMPUTED_VALUE"""),"ISL122")</f>
        <v>ISL122</v>
      </c>
      <c r="D899" s="6" t="str">
        <f ca="1">IFERROR(__xludf.DUMMYFUNCTION("""COMPUTED_VALUE"""),"PROPIOS")</f>
        <v>PROPIOS</v>
      </c>
      <c r="E899" s="6">
        <f ca="1">IFERROR(__xludf.DUMMYFUNCTION("""COMPUTED_VALUE"""),2026)</f>
        <v>2026</v>
      </c>
      <c r="F899" s="15">
        <f ca="1">IFERROR(__xludf.DUMMYFUNCTION("""COMPUTED_VALUE"""),3)</f>
        <v>3</v>
      </c>
      <c r="G899" s="6" t="str">
        <f ca="1">IFERROR(__xludf.DUMMYFUNCTION("""COMPUTED_VALUE"""),"Murcia")</f>
        <v>Murcia</v>
      </c>
      <c r="H899" s="6" t="str">
        <f ca="1">IFERROR(__xludf.DUMMYFUNCTION("""COMPUTED_VALUE"""),"C202631311506007583")</f>
        <v>C202631311506007583</v>
      </c>
      <c r="I899" s="6" t="str">
        <f ca="1">IFERROR(__xludf.DUMMYFUNCTION("""COMPUTED_VALUE"""),"ALEJANDRO SANTA MARIA FERNANDEZ-LUNA")</f>
        <v>ALEJANDRO SANTA MARIA FERNANDEZ-LUNA</v>
      </c>
      <c r="J899" s="16">
        <f ca="1">IFERROR(__xludf.DUMMYFUNCTION("""COMPUTED_VALUE"""),46094)</f>
        <v>46094</v>
      </c>
      <c r="K899" s="6" t="str">
        <f ca="1">IFERROR(__xludf.DUMMYFUNCTION("""COMPUTED_VALUE"""),"Leve")</f>
        <v>Leve</v>
      </c>
      <c r="L899" s="16">
        <f ca="1">IFERROR(__xludf.DUMMYFUNCTION("""COMPUTED_VALUE"""),46094)</f>
        <v>46094</v>
      </c>
      <c r="M899" s="23" t="str">
        <f ca="1">IFERROR(__xludf.DUMMYFUNCTION("""COMPUTED_VALUE"""),"NO")</f>
        <v>NO</v>
      </c>
      <c r="N899" s="15">
        <f ca="1">IFERROR(__xludf.DUMMYFUNCTION("""COMPUTED_VALUE"""),0)</f>
        <v>0</v>
      </c>
      <c r="O899" s="23"/>
      <c r="P899" s="21"/>
      <c r="Q899" s="6" t="str">
        <f ca="1">IFERROR(__xludf.DUMMYFUNCTION("""COMPUTED_VALUE"""),"Iván Sánchez")</f>
        <v>Iván Sánchez</v>
      </c>
      <c r="R899" s="6" t="str">
        <f ca="1">IFERROR(__xludf.DUMMYFUNCTION("""COMPUTED_VALUE"""),"María Agustina Sevilla García")</f>
        <v>María Agustina Sevilla García</v>
      </c>
      <c r="S899" s="20" t="str">
        <f ca="1">IFERROR(__xludf.DUMMYFUNCTION("""COMPUTED_VALUE"""),"03 ORL")</f>
        <v>03 ORL</v>
      </c>
      <c r="T899" s="6" t="str">
        <f ca="1">IFERROR(__xludf.DUMMYFUNCTION("""COMPUTED_VALUE"""),"06 ORL")</f>
        <v>06 ORL</v>
      </c>
      <c r="U899" s="21"/>
      <c r="W899" s="20"/>
      <c r="X899" s="21"/>
    </row>
    <row r="900" spans="2:24" ht="16">
      <c r="B900" s="26" t="str">
        <f t="shared" ca="1" si="4"/>
        <v>ISL</v>
      </c>
      <c r="C900" s="23" t="str">
        <f ca="1">IFERROR(__xludf.DUMMYFUNCTION("""COMPUTED_VALUE"""),"ISL123")</f>
        <v>ISL123</v>
      </c>
      <c r="D900" s="6" t="str">
        <f ca="1">IFERROR(__xludf.DUMMYFUNCTION("""COMPUTED_VALUE"""),"PROPIOS")</f>
        <v>PROPIOS</v>
      </c>
      <c r="E900" s="6">
        <f ca="1">IFERROR(__xludf.DUMMYFUNCTION("""COMPUTED_VALUE"""),2026)</f>
        <v>2026</v>
      </c>
      <c r="F900" s="15">
        <f ca="1">IFERROR(__xludf.DUMMYFUNCTION("""COMPUTED_VALUE"""),3)</f>
        <v>3</v>
      </c>
      <c r="G900" s="6" t="str">
        <f ca="1">IFERROR(__xludf.DUMMYFUNCTION("""COMPUTED_VALUE"""),"Murcia")</f>
        <v>Murcia</v>
      </c>
      <c r="H900" s="6" t="str">
        <f ca="1">IFERROR(__xludf.DUMMYFUNCTION("""COMPUTED_VALUE"""),"C20263911821215672")</f>
        <v>C20263911821215672</v>
      </c>
      <c r="I900" s="6" t="str">
        <f ca="1">IFERROR(__xludf.DUMMYFUNCTION("""COMPUTED_VALUE"""),"CLAUDIO ENRIQUE MAYER")</f>
        <v>CLAUDIO ENRIQUE MAYER</v>
      </c>
      <c r="J900" s="16">
        <f ca="1">IFERROR(__xludf.DUMMYFUNCTION("""COMPUTED_VALUE"""),46090)</f>
        <v>46090</v>
      </c>
      <c r="K900" s="6" t="str">
        <f ca="1">IFERROR(__xludf.DUMMYFUNCTION("""COMPUTED_VALUE"""),"Leve")</f>
        <v>Leve</v>
      </c>
      <c r="L900" s="16">
        <f ca="1">IFERROR(__xludf.DUMMYFUNCTION("""COMPUTED_VALUE"""),46090)</f>
        <v>46090</v>
      </c>
      <c r="M900" s="23" t="str">
        <f ca="1">IFERROR(__xludf.DUMMYFUNCTION("""COMPUTED_VALUE"""),"NO")</f>
        <v>NO</v>
      </c>
      <c r="N900" s="15">
        <f ca="1">IFERROR(__xludf.DUMMYFUNCTION("""COMPUTED_VALUE"""),0)</f>
        <v>0</v>
      </c>
      <c r="O900" s="23"/>
      <c r="P900" s="21"/>
      <c r="Q900" s="6" t="str">
        <f ca="1">IFERROR(__xludf.DUMMYFUNCTION("""COMPUTED_VALUE"""),"Iván Sánchez")</f>
        <v>Iván Sánchez</v>
      </c>
      <c r="R900" s="6" t="str">
        <f ca="1">IFERROR(__xludf.DUMMYFUNCTION("""COMPUTED_VALUE"""),"María Teresa Almela Rojo")</f>
        <v>María Teresa Almela Rojo</v>
      </c>
      <c r="S900" s="20" t="str">
        <f ca="1">IFERROR(__xludf.DUMMYFUNCTION("""COMPUTED_VALUE"""),"03 ORL")</f>
        <v>03 ORL</v>
      </c>
      <c r="T900" s="6" t="str">
        <f ca="1">IFERROR(__xludf.DUMMYFUNCTION("""COMPUTED_VALUE"""),"06 ORL")</f>
        <v>06 ORL</v>
      </c>
      <c r="U900" s="21"/>
      <c r="W900" s="20"/>
      <c r="X900" s="21"/>
    </row>
    <row r="901" spans="2:24" ht="16">
      <c r="B901" s="26" t="str">
        <f t="shared" ca="1" si="4"/>
        <v>ISL</v>
      </c>
      <c r="C901" s="23" t="str">
        <f ca="1">IFERROR(__xludf.DUMMYFUNCTION("""COMPUTED_VALUE"""),"ISL58")</f>
        <v>ISL58</v>
      </c>
      <c r="D901" s="6" t="str">
        <f ca="1">IFERROR(__xludf.DUMMYFUNCTION("""COMPUTED_VALUE"""),"PROPIOS")</f>
        <v>PROPIOS</v>
      </c>
      <c r="E901" s="6">
        <f ca="1">IFERROR(__xludf.DUMMYFUNCTION("""COMPUTED_VALUE"""),2026)</f>
        <v>2026</v>
      </c>
      <c r="F901" s="15">
        <f ca="1">IFERROR(__xludf.DUMMYFUNCTION("""COMPUTED_VALUE"""),1)</f>
        <v>1</v>
      </c>
      <c r="G901" s="6" t="str">
        <f ca="1">IFERROR(__xludf.DUMMYFUNCTION("""COMPUTED_VALUE"""),"Orihuela")</f>
        <v>Orihuela</v>
      </c>
      <c r="H901" s="6" t="str">
        <f ca="1">IFERROR(__xludf.DUMMYFUNCTION("""COMPUTED_VALUE"""),"C202612910485471241")</f>
        <v>C202612910485471241</v>
      </c>
      <c r="I901" s="6" t="str">
        <f ca="1">IFERROR(__xludf.DUMMYFUNCTION("""COMPUTED_VALUE"""),"VYTAUTAS VASILIAUSKAS")</f>
        <v>VYTAUTAS VASILIAUSKAS</v>
      </c>
      <c r="J901" s="16">
        <f ca="1">IFERROR(__xludf.DUMMYFUNCTION("""COMPUTED_VALUE"""),46051)</f>
        <v>46051</v>
      </c>
      <c r="K901" s="6" t="str">
        <f ca="1">IFERROR(__xludf.DUMMYFUNCTION("""COMPUTED_VALUE"""),"Leve")</f>
        <v>Leve</v>
      </c>
      <c r="L901" s="16">
        <f ca="1">IFERROR(__xludf.DUMMYFUNCTION("""COMPUTED_VALUE"""),46051)</f>
        <v>46051</v>
      </c>
      <c r="M901" s="23" t="str">
        <f ca="1">IFERROR(__xludf.DUMMYFUNCTION("""COMPUTED_VALUE"""),"NO")</f>
        <v>NO</v>
      </c>
      <c r="N901" s="15">
        <f ca="1">IFERROR(__xludf.DUMMYFUNCTION("""COMPUTED_VALUE"""),0)</f>
        <v>0</v>
      </c>
      <c r="O901" s="23"/>
      <c r="P901" s="21"/>
      <c r="Q901" s="6" t="str">
        <f ca="1">IFERROR(__xludf.DUMMYFUNCTION("""COMPUTED_VALUE"""),"Iván Sánchez")</f>
        <v>Iván Sánchez</v>
      </c>
      <c r="R901" s="6" t="str">
        <f ca="1">IFERROR(__xludf.DUMMYFUNCTION("""COMPUTED_VALUE"""),"Juan Javier Álvarez López")</f>
        <v>Juan Javier Álvarez López</v>
      </c>
      <c r="S901" s="20" t="str">
        <f ca="1">IFERROR(__xludf.DUMMYFUNCTION("""COMPUTED_VALUE"""),"03 ORL")</f>
        <v>03 ORL</v>
      </c>
      <c r="T901" s="6" t="str">
        <f ca="1">IFERROR(__xludf.DUMMYFUNCTION("""COMPUTED_VALUE"""),"06 ORL")</f>
        <v>06 ORL</v>
      </c>
      <c r="U901" s="21"/>
      <c r="W901" s="20"/>
      <c r="X901" s="21"/>
    </row>
    <row r="902" spans="2:24" ht="16">
      <c r="B902" s="26" t="str">
        <f t="shared" ca="1" si="4"/>
        <v>MBM</v>
      </c>
      <c r="C902" s="23" t="str">
        <f ca="1">IFERROR(__xludf.DUMMYFUNCTION("""COMPUTED_VALUE"""),"MBM186")</f>
        <v>MBM186</v>
      </c>
      <c r="D902" s="6" t="str">
        <f ca="1">IFERROR(__xludf.DUMMYFUNCTION("""COMPUTED_VALUE"""),"PROPIOS")</f>
        <v>PROPIOS</v>
      </c>
      <c r="E902" s="6">
        <f ca="1">IFERROR(__xludf.DUMMYFUNCTION("""COMPUTED_VALUE"""),2026)</f>
        <v>2026</v>
      </c>
      <c r="F902" s="15">
        <f ca="1">IFERROR(__xludf.DUMMYFUNCTION("""COMPUTED_VALUE"""),2)</f>
        <v>2</v>
      </c>
      <c r="G902" s="6" t="str">
        <f ca="1">IFERROR(__xludf.DUMMYFUNCTION("""COMPUTED_VALUE"""),"Torrejón de Ardoz")</f>
        <v>Torrejón de Ardoz</v>
      </c>
      <c r="H902" s="6" t="str">
        <f ca="1">IFERROR(__xludf.DUMMYFUNCTION("""COMPUTED_VALUE"""),"C202622394115675771")</f>
        <v>C202622394115675771</v>
      </c>
      <c r="I902" s="6" t="str">
        <f ca="1">IFERROR(__xludf.DUMMYFUNCTION("""COMPUTED_VALUE"""),"ALBERTO  SANTONJA RUBIO")</f>
        <v>ALBERTO  SANTONJA RUBIO</v>
      </c>
      <c r="J902" s="16">
        <f ca="1">IFERROR(__xludf.DUMMYFUNCTION("""COMPUTED_VALUE"""),46076)</f>
        <v>46076</v>
      </c>
      <c r="K902" s="6" t="str">
        <f ca="1">IFERROR(__xludf.DUMMYFUNCTION("""COMPUTED_VALUE"""),"Leve")</f>
        <v>Leve</v>
      </c>
      <c r="L902" s="16">
        <f ca="1">IFERROR(__xludf.DUMMYFUNCTION("""COMPUTED_VALUE"""),46076)</f>
        <v>46076</v>
      </c>
      <c r="M902" s="23" t="str">
        <f ca="1">IFERROR(__xludf.DUMMYFUNCTION("""COMPUTED_VALUE"""),"NO")</f>
        <v>NO</v>
      </c>
      <c r="N902" s="15">
        <f ca="1">IFERROR(__xludf.DUMMYFUNCTION("""COMPUTED_VALUE"""),0)</f>
        <v>0</v>
      </c>
      <c r="O902" s="23"/>
      <c r="P902" s="21"/>
      <c r="Q902" s="6" t="str">
        <f ca="1">IFERROR(__xludf.DUMMYFUNCTION("""COMPUTED_VALUE"""),"Maika Blázquez")</f>
        <v>Maika Blázquez</v>
      </c>
      <c r="R902" s="6" t="str">
        <f ca="1">IFERROR(__xludf.DUMMYFUNCTION("""COMPUTED_VALUE"""),"Marta Abad Pascual")</f>
        <v>Marta Abad Pascual</v>
      </c>
      <c r="S902" s="20" t="str">
        <f ca="1">IFERROR(__xludf.DUMMYFUNCTION("""COMPUTED_VALUE"""),"03 ORL")</f>
        <v>03 ORL</v>
      </c>
      <c r="T902" s="6" t="str">
        <f ca="1">IFERROR(__xludf.DUMMYFUNCTION("""COMPUTED_VALUE"""),"06 ORL")</f>
        <v>06 ORL</v>
      </c>
      <c r="U902" s="21"/>
      <c r="W902" s="20"/>
      <c r="X902" s="21"/>
    </row>
    <row r="903" spans="2:24" ht="16">
      <c r="B903" s="26" t="str">
        <f t="shared" ca="1" si="4"/>
        <v>MBM</v>
      </c>
      <c r="C903" s="23" t="str">
        <f ca="1">IFERROR(__xludf.DUMMYFUNCTION("""COMPUTED_VALUE"""),"MBM186")</f>
        <v>MBM186</v>
      </c>
      <c r="D903" s="6" t="str">
        <f ca="1">IFERROR(__xludf.DUMMYFUNCTION("""COMPUTED_VALUE"""),"PROPIOS")</f>
        <v>PROPIOS</v>
      </c>
      <c r="E903" s="6">
        <f ca="1">IFERROR(__xludf.DUMMYFUNCTION("""COMPUTED_VALUE"""),2026)</f>
        <v>2026</v>
      </c>
      <c r="F903" s="15">
        <f ca="1">IFERROR(__xludf.DUMMYFUNCTION("""COMPUTED_VALUE"""),1)</f>
        <v>1</v>
      </c>
      <c r="G903" s="6" t="str">
        <f ca="1">IFERROR(__xludf.DUMMYFUNCTION("""COMPUTED_VALUE"""),"Torrejón de Ardoz")</f>
        <v>Torrejón de Ardoz</v>
      </c>
      <c r="H903" s="6" t="str">
        <f ca="1">IFERROR(__xludf.DUMMYFUNCTION("""COMPUTED_VALUE"""),"C202611910485555732")</f>
        <v>C202611910485555732</v>
      </c>
      <c r="I903" s="6" t="str">
        <f ca="1">IFERROR(__xludf.DUMMYFUNCTION("""COMPUTED_VALUE"""),"MANUEL ANDRADES MEDINA")</f>
        <v>MANUEL ANDRADES MEDINA</v>
      </c>
      <c r="J903" s="16">
        <f ca="1">IFERROR(__xludf.DUMMYFUNCTION("""COMPUTED_VALUE"""),46041)</f>
        <v>46041</v>
      </c>
      <c r="K903" s="6" t="str">
        <f ca="1">IFERROR(__xludf.DUMMYFUNCTION("""COMPUTED_VALUE"""),"Leve")</f>
        <v>Leve</v>
      </c>
      <c r="L903" s="16">
        <f ca="1">IFERROR(__xludf.DUMMYFUNCTION("""COMPUTED_VALUE"""),46041)</f>
        <v>46041</v>
      </c>
      <c r="M903" s="23" t="str">
        <f ca="1">IFERROR(__xludf.DUMMYFUNCTION("""COMPUTED_VALUE"""),"NO")</f>
        <v>NO</v>
      </c>
      <c r="N903" s="15">
        <f ca="1">IFERROR(__xludf.DUMMYFUNCTION("""COMPUTED_VALUE"""),0)</f>
        <v>0</v>
      </c>
      <c r="O903" s="23"/>
      <c r="P903" s="21"/>
      <c r="Q903" s="6" t="str">
        <f ca="1">IFERROR(__xludf.DUMMYFUNCTION("""COMPUTED_VALUE"""),"Maika Blázquez")</f>
        <v>Maika Blázquez</v>
      </c>
      <c r="R903" s="6" t="str">
        <f ca="1">IFERROR(__xludf.DUMMYFUNCTION("""COMPUTED_VALUE"""),"Marta Abad Pascual")</f>
        <v>Marta Abad Pascual</v>
      </c>
      <c r="S903" s="20" t="str">
        <f ca="1">IFERROR(__xludf.DUMMYFUNCTION("""COMPUTED_VALUE"""),"03 ORL")</f>
        <v>03 ORL</v>
      </c>
      <c r="T903" s="6" t="str">
        <f ca="1">IFERROR(__xludf.DUMMYFUNCTION("""COMPUTED_VALUE"""),"06 ORL")</f>
        <v>06 ORL</v>
      </c>
      <c r="U903" s="21"/>
      <c r="W903" s="20"/>
      <c r="X903" s="21"/>
    </row>
    <row r="904" spans="2:24" ht="16">
      <c r="B904" s="26" t="str">
        <f t="shared" ca="1" si="4"/>
        <v>RFV</v>
      </c>
      <c r="C904" s="23" t="str">
        <f ca="1">IFERROR(__xludf.DUMMYFUNCTION("""COMPUTED_VALUE"""),"RFV19")</f>
        <v>RFV19</v>
      </c>
      <c r="D904" s="6" t="str">
        <f ca="1">IFERROR(__xludf.DUMMYFUNCTION("""COMPUTED_VALUE"""),"PROPIOS")</f>
        <v>PROPIOS</v>
      </c>
      <c r="E904" s="6">
        <f ca="1">IFERROR(__xludf.DUMMYFUNCTION("""COMPUTED_VALUE"""),2026)</f>
        <v>2026</v>
      </c>
      <c r="F904" s="15">
        <f ca="1">IFERROR(__xludf.DUMMYFUNCTION("""COMPUTED_VALUE"""),2)</f>
        <v>2</v>
      </c>
      <c r="G904" s="6" t="str">
        <f ca="1">IFERROR(__xludf.DUMMYFUNCTION("""COMPUTED_VALUE"""),"Valencia- Cádiz")</f>
        <v>Valencia- Cádiz</v>
      </c>
      <c r="H904" s="6" t="str">
        <f ca="1">IFERROR(__xludf.DUMMYFUNCTION("""COMPUTED_VALUE"""),"C20262614197979615")</f>
        <v>C20262614197979615</v>
      </c>
      <c r="I904" s="6" t="str">
        <f ca="1">IFERROR(__xludf.DUMMYFUNCTION("""COMPUTED_VALUE"""),"JOSE LUIS MARTINEZ NAVARRETE")</f>
        <v>JOSE LUIS MARTINEZ NAVARRETE</v>
      </c>
      <c r="J904" s="16">
        <f ca="1">IFERROR(__xludf.DUMMYFUNCTION("""COMPUTED_VALUE"""),46059)</f>
        <v>46059</v>
      </c>
      <c r="K904" s="6" t="str">
        <f ca="1">IFERROR(__xludf.DUMMYFUNCTION("""COMPUTED_VALUE"""),"Leve")</f>
        <v>Leve</v>
      </c>
      <c r="L904" s="16">
        <f ca="1">IFERROR(__xludf.DUMMYFUNCTION("""COMPUTED_VALUE"""),46059)</f>
        <v>46059</v>
      </c>
      <c r="M904" s="23" t="str">
        <f ca="1">IFERROR(__xludf.DUMMYFUNCTION("""COMPUTED_VALUE"""),"NO")</f>
        <v>NO</v>
      </c>
      <c r="N904" s="15">
        <f ca="1">IFERROR(__xludf.DUMMYFUNCTION("""COMPUTED_VALUE"""),0)</f>
        <v>0</v>
      </c>
      <c r="O904" s="23"/>
      <c r="P904" s="21"/>
      <c r="Q904" s="6" t="str">
        <f ca="1">IFERROR(__xludf.DUMMYFUNCTION("""COMPUTED_VALUE"""),"Ramon Ferrando")</f>
        <v>Ramon Ferrando</v>
      </c>
      <c r="R904" s="6" t="str">
        <f ca="1">IFERROR(__xludf.DUMMYFUNCTION("""COMPUTED_VALUE"""),"Luis Martínez Bernabeu")</f>
        <v>Luis Martínez Bernabeu</v>
      </c>
      <c r="S904" s="20" t="str">
        <f ca="1">IFERROR(__xludf.DUMMYFUNCTION("""COMPUTED_VALUE"""),"03 ORL")</f>
        <v>03 ORL</v>
      </c>
      <c r="T904" s="6" t="str">
        <f ca="1">IFERROR(__xludf.DUMMYFUNCTION("""COMPUTED_VALUE"""),"06 ORL")</f>
        <v>06 ORL</v>
      </c>
      <c r="U904" s="21"/>
      <c r="W904" s="20"/>
      <c r="X904" s="21"/>
    </row>
    <row r="905" spans="2:24" ht="16">
      <c r="B905" s="26" t="str">
        <f t="shared" ca="1" si="4"/>
        <v>LAA</v>
      </c>
      <c r="C905" s="23" t="str">
        <f ca="1">IFERROR(__xludf.DUMMYFUNCTION("""COMPUTED_VALUE"""),"LAA16")</f>
        <v>LAA16</v>
      </c>
      <c r="D905" s="6" t="str">
        <f ca="1">IFERROR(__xludf.DUMMYFUNCTION("""COMPUTED_VALUE"""),"PROPIOS")</f>
        <v>PROPIOS</v>
      </c>
      <c r="E905" s="6">
        <f ca="1">IFERROR(__xludf.DUMMYFUNCTION("""COMPUTED_VALUE"""),2026)</f>
        <v>2026</v>
      </c>
      <c r="F905" s="15">
        <f ca="1">IFERROR(__xludf.DUMMYFUNCTION("""COMPUTED_VALUE"""),3)</f>
        <v>3</v>
      </c>
      <c r="G905" s="6" t="str">
        <f ca="1">IFERROR(__xludf.DUMMYFUNCTION("""COMPUTED_VALUE"""),"Sevilla- Montoto")</f>
        <v>Sevilla- Montoto</v>
      </c>
      <c r="H905" s="6" t="str">
        <f ca="1">IFERROR(__xludf.DUMMYFUNCTION("""COMPUTED_VALUE"""),"C202631910395406201")</f>
        <v>C202631910395406201</v>
      </c>
      <c r="I905" s="6" t="str">
        <f ca="1">IFERROR(__xludf.DUMMYFUNCTION("""COMPUTED_VALUE"""),"MARIA MORILLO ALES")</f>
        <v>MARIA MORILLO ALES</v>
      </c>
      <c r="J905" s="16">
        <f ca="1">IFERROR(__xludf.DUMMYFUNCTION("""COMPUTED_VALUE"""),46100)</f>
        <v>46100</v>
      </c>
      <c r="K905" s="6" t="str">
        <f ca="1">IFERROR(__xludf.DUMMYFUNCTION("""COMPUTED_VALUE"""),"Leve")</f>
        <v>Leve</v>
      </c>
      <c r="L905" s="16">
        <f ca="1">IFERROR(__xludf.DUMMYFUNCTION("""COMPUTED_VALUE"""),46100)</f>
        <v>46100</v>
      </c>
      <c r="M905" s="23" t="str">
        <f ca="1">IFERROR(__xludf.DUMMYFUNCTION("""COMPUTED_VALUE"""),"NO")</f>
        <v>NO</v>
      </c>
      <c r="N905" s="15">
        <f ca="1">IFERROR(__xludf.DUMMYFUNCTION("""COMPUTED_VALUE"""),0)</f>
        <v>0</v>
      </c>
      <c r="O905" s="23"/>
      <c r="P905" s="21"/>
      <c r="Q905" s="6" t="str">
        <f ca="1">IFERROR(__xludf.DUMMYFUNCTION("""COMPUTED_VALUE"""),"Luis Alberto Rodríguez")</f>
        <v>Luis Alberto Rodríguez</v>
      </c>
      <c r="R905" s="6" t="str">
        <f ca="1">IFERROR(__xludf.DUMMYFUNCTION("""COMPUTED_VALUE"""),"Francisco López Navas")</f>
        <v>Francisco López Navas</v>
      </c>
      <c r="S905" s="20" t="str">
        <f ca="1">IFERROR(__xludf.DUMMYFUNCTION("""COMPUTED_VALUE"""),"03 ORL")</f>
        <v>03 ORL</v>
      </c>
      <c r="T905" s="6" t="str">
        <f ca="1">IFERROR(__xludf.DUMMYFUNCTION("""COMPUTED_VALUE"""),"06 ORL")</f>
        <v>06 ORL</v>
      </c>
      <c r="U905" s="21"/>
      <c r="W905" s="20"/>
      <c r="X905" s="21"/>
    </row>
    <row r="906" spans="2:24" ht="16">
      <c r="B906" s="26" t="str">
        <f t="shared" si="4"/>
        <v/>
      </c>
      <c r="C906" s="23"/>
      <c r="D906" s="6"/>
      <c r="E906" s="6"/>
      <c r="F906" s="15"/>
      <c r="G906" s="6"/>
      <c r="H906" s="6"/>
      <c r="I906" s="6"/>
      <c r="J906" s="16"/>
      <c r="K906" s="6"/>
      <c r="L906" s="16"/>
      <c r="M906" s="23"/>
      <c r="N906" s="15"/>
      <c r="O906" s="23"/>
      <c r="P906" s="21"/>
      <c r="Q906" s="6"/>
      <c r="R906" s="6"/>
      <c r="S906" s="20"/>
      <c r="T906" s="6"/>
      <c r="U906" s="21"/>
      <c r="W906" s="20"/>
      <c r="X906" s="21"/>
    </row>
    <row r="907" spans="2:24" ht="16">
      <c r="B907" s="26" t="str">
        <f t="shared" si="4"/>
        <v/>
      </c>
      <c r="C907" s="23"/>
      <c r="D907" s="6"/>
      <c r="E907" s="6"/>
      <c r="F907" s="15"/>
      <c r="G907" s="6"/>
      <c r="H907" s="6"/>
      <c r="I907" s="6"/>
      <c r="J907" s="16"/>
      <c r="K907" s="6"/>
      <c r="L907" s="16"/>
      <c r="M907" s="23"/>
      <c r="N907" s="15"/>
      <c r="O907" s="23"/>
      <c r="P907" s="21"/>
      <c r="Q907" s="6"/>
      <c r="R907" s="6"/>
      <c r="S907" s="20"/>
      <c r="T907" s="6"/>
      <c r="U907" s="21"/>
      <c r="W907" s="20"/>
      <c r="X907" s="21"/>
    </row>
    <row r="908" spans="2:24" ht="16">
      <c r="B908" s="26" t="str">
        <f t="shared" si="4"/>
        <v/>
      </c>
      <c r="C908" s="23"/>
      <c r="D908" s="6"/>
      <c r="E908" s="6"/>
      <c r="F908" s="15"/>
      <c r="G908" s="6"/>
      <c r="H908" s="6"/>
      <c r="I908" s="6"/>
      <c r="J908" s="16"/>
      <c r="K908" s="6"/>
      <c r="L908" s="16"/>
      <c r="M908" s="23"/>
      <c r="N908" s="15"/>
      <c r="O908" s="23"/>
      <c r="P908" s="21"/>
      <c r="Q908" s="6"/>
      <c r="R908" s="6"/>
      <c r="S908" s="20"/>
      <c r="T908" s="6"/>
      <c r="U908" s="21"/>
      <c r="W908" s="20"/>
      <c r="X908" s="21"/>
    </row>
    <row r="909" spans="2:24" ht="16">
      <c r="B909" s="26" t="str">
        <f t="shared" si="4"/>
        <v/>
      </c>
      <c r="C909" s="23"/>
      <c r="D909" s="6"/>
      <c r="E909" s="6"/>
      <c r="F909" s="15"/>
      <c r="G909" s="6"/>
      <c r="H909" s="6"/>
      <c r="I909" s="6"/>
      <c r="J909" s="16"/>
      <c r="K909" s="6"/>
      <c r="L909" s="16"/>
      <c r="M909" s="23"/>
      <c r="N909" s="15"/>
      <c r="O909" s="23"/>
      <c r="P909" s="21"/>
      <c r="Q909" s="6"/>
      <c r="R909" s="6"/>
      <c r="S909" s="20"/>
      <c r="T909" s="6"/>
      <c r="U909" s="21"/>
      <c r="W909" s="20"/>
      <c r="X909" s="21"/>
    </row>
    <row r="910" spans="2:24" ht="16">
      <c r="B910" s="26" t="str">
        <f t="shared" si="4"/>
        <v/>
      </c>
      <c r="C910" s="23"/>
      <c r="D910" s="6"/>
      <c r="E910" s="6"/>
      <c r="F910" s="15"/>
      <c r="G910" s="6"/>
      <c r="H910" s="6"/>
      <c r="I910" s="6"/>
      <c r="J910" s="16"/>
      <c r="K910" s="6"/>
      <c r="L910" s="16"/>
      <c r="M910" s="23"/>
      <c r="N910" s="15"/>
      <c r="O910" s="23"/>
      <c r="P910" s="21"/>
      <c r="Q910" s="6"/>
      <c r="R910" s="6"/>
      <c r="S910" s="20"/>
      <c r="T910" s="6"/>
      <c r="U910" s="21"/>
      <c r="W910" s="20"/>
      <c r="X910" s="21"/>
    </row>
    <row r="911" spans="2:24" ht="16">
      <c r="B911" s="26" t="str">
        <f t="shared" si="4"/>
        <v/>
      </c>
      <c r="C911" s="23"/>
      <c r="D911" s="6"/>
      <c r="E911" s="6"/>
      <c r="F911" s="15"/>
      <c r="G911" s="6"/>
      <c r="H911" s="6"/>
      <c r="I911" s="6"/>
      <c r="J911" s="16"/>
      <c r="K911" s="6"/>
      <c r="L911" s="16"/>
      <c r="M911" s="23"/>
      <c r="N911" s="15"/>
      <c r="O911" s="23"/>
      <c r="P911" s="21"/>
      <c r="Q911" s="6"/>
      <c r="R911" s="6"/>
      <c r="S911" s="20"/>
      <c r="T911" s="6"/>
      <c r="U911" s="21"/>
      <c r="W911" s="20"/>
      <c r="X911" s="21"/>
    </row>
    <row r="912" spans="2:24" ht="16">
      <c r="B912" s="26" t="str">
        <f t="shared" si="4"/>
        <v/>
      </c>
      <c r="C912" s="23"/>
      <c r="D912" s="6"/>
      <c r="E912" s="6"/>
      <c r="F912" s="15"/>
      <c r="G912" s="6"/>
      <c r="H912" s="6"/>
      <c r="I912" s="6"/>
      <c r="J912" s="16"/>
      <c r="K912" s="6"/>
      <c r="L912" s="16"/>
      <c r="M912" s="23"/>
      <c r="N912" s="15"/>
      <c r="O912" s="23"/>
      <c r="P912" s="21"/>
      <c r="Q912" s="6"/>
      <c r="R912" s="6"/>
      <c r="S912" s="20"/>
      <c r="T912" s="6"/>
      <c r="U912" s="21"/>
      <c r="W912" s="20"/>
      <c r="X912" s="21"/>
    </row>
    <row r="913" spans="2:24" ht="16">
      <c r="B913" s="26" t="str">
        <f t="shared" si="4"/>
        <v/>
      </c>
      <c r="C913" s="23"/>
      <c r="D913" s="6"/>
      <c r="E913" s="6"/>
      <c r="F913" s="15"/>
      <c r="G913" s="6"/>
      <c r="H913" s="6"/>
      <c r="I913" s="6"/>
      <c r="J913" s="16"/>
      <c r="K913" s="6"/>
      <c r="L913" s="16"/>
      <c r="M913" s="23"/>
      <c r="N913" s="15"/>
      <c r="O913" s="23"/>
      <c r="P913" s="21"/>
      <c r="Q913" s="6"/>
      <c r="R913" s="6"/>
      <c r="S913" s="20"/>
      <c r="T913" s="6"/>
      <c r="U913" s="21"/>
      <c r="W913" s="20"/>
      <c r="X913" s="21"/>
    </row>
    <row r="914" spans="2:24" ht="16">
      <c r="B914" s="26" t="str">
        <f t="shared" si="4"/>
        <v/>
      </c>
      <c r="C914" s="23"/>
      <c r="D914" s="6"/>
      <c r="E914" s="6"/>
      <c r="F914" s="15"/>
      <c r="G914" s="6"/>
      <c r="H914" s="6"/>
      <c r="I914" s="6"/>
      <c r="J914" s="16"/>
      <c r="K914" s="6"/>
      <c r="L914" s="16"/>
      <c r="M914" s="23"/>
      <c r="N914" s="15"/>
      <c r="O914" s="23"/>
      <c r="P914" s="21"/>
      <c r="Q914" s="6"/>
      <c r="R914" s="6"/>
      <c r="S914" s="20"/>
      <c r="T914" s="6"/>
      <c r="U914" s="21"/>
      <c r="W914" s="20"/>
      <c r="X914" s="21"/>
    </row>
    <row r="915" spans="2:24" ht="16">
      <c r="B915" s="26" t="str">
        <f t="shared" si="4"/>
        <v/>
      </c>
      <c r="C915" s="23"/>
      <c r="D915" s="6"/>
      <c r="E915" s="6"/>
      <c r="F915" s="15"/>
      <c r="G915" s="6"/>
      <c r="H915" s="6"/>
      <c r="I915" s="6"/>
      <c r="J915" s="16"/>
      <c r="K915" s="6"/>
      <c r="L915" s="16"/>
      <c r="M915" s="23"/>
      <c r="N915" s="15"/>
      <c r="O915" s="23"/>
      <c r="P915" s="21"/>
      <c r="Q915" s="6"/>
      <c r="R915" s="6"/>
      <c r="S915" s="20"/>
      <c r="T915" s="6"/>
      <c r="U915" s="21"/>
      <c r="W915" s="20"/>
      <c r="X915" s="21"/>
    </row>
    <row r="916" spans="2:24" ht="16">
      <c r="B916" s="26" t="str">
        <f t="shared" si="4"/>
        <v/>
      </c>
      <c r="C916" s="23"/>
      <c r="D916" s="6"/>
      <c r="E916" s="6"/>
      <c r="F916" s="15"/>
      <c r="G916" s="6"/>
      <c r="H916" s="6"/>
      <c r="I916" s="6"/>
      <c r="J916" s="16"/>
      <c r="K916" s="6"/>
      <c r="L916" s="16"/>
      <c r="M916" s="23"/>
      <c r="N916" s="15"/>
      <c r="O916" s="23"/>
      <c r="P916" s="21"/>
      <c r="Q916" s="6"/>
      <c r="R916" s="6"/>
      <c r="S916" s="20"/>
      <c r="T916" s="6"/>
      <c r="U916" s="21"/>
      <c r="W916" s="20"/>
      <c r="X916" s="21"/>
    </row>
    <row r="917" spans="2:24" ht="16">
      <c r="B917" s="26" t="str">
        <f t="shared" si="4"/>
        <v/>
      </c>
      <c r="C917" s="23"/>
      <c r="D917" s="6"/>
      <c r="E917" s="6"/>
      <c r="F917" s="15"/>
      <c r="G917" s="6"/>
      <c r="H917" s="6"/>
      <c r="I917" s="6"/>
      <c r="J917" s="16"/>
      <c r="K917" s="6"/>
      <c r="L917" s="16"/>
      <c r="M917" s="23"/>
      <c r="N917" s="15"/>
      <c r="O917" s="23"/>
      <c r="P917" s="21"/>
      <c r="Q917" s="6"/>
      <c r="R917" s="6"/>
      <c r="S917" s="20"/>
      <c r="T917" s="6"/>
      <c r="U917" s="21"/>
      <c r="W917" s="20"/>
      <c r="X917" s="21"/>
    </row>
    <row r="918" spans="2:24" ht="16">
      <c r="B918" s="26" t="str">
        <f t="shared" si="4"/>
        <v/>
      </c>
      <c r="C918" s="23"/>
      <c r="D918" s="6"/>
      <c r="E918" s="6"/>
      <c r="F918" s="15"/>
      <c r="G918" s="6"/>
      <c r="H918" s="6"/>
      <c r="I918" s="6"/>
      <c r="J918" s="16"/>
      <c r="K918" s="6"/>
      <c r="L918" s="16"/>
      <c r="M918" s="23"/>
      <c r="N918" s="15"/>
      <c r="O918" s="23"/>
      <c r="P918" s="21"/>
      <c r="Q918" s="6"/>
      <c r="R918" s="6"/>
      <c r="S918" s="20"/>
      <c r="T918" s="6"/>
      <c r="U918" s="21"/>
      <c r="W918" s="20"/>
      <c r="X918" s="21"/>
    </row>
    <row r="919" spans="2:24" ht="16">
      <c r="B919" s="26" t="str">
        <f t="shared" si="4"/>
        <v/>
      </c>
      <c r="C919" s="23"/>
      <c r="D919" s="6"/>
      <c r="E919" s="6"/>
      <c r="F919" s="15"/>
      <c r="G919" s="6"/>
      <c r="H919" s="6"/>
      <c r="I919" s="6"/>
      <c r="J919" s="16"/>
      <c r="K919" s="6"/>
      <c r="L919" s="16"/>
      <c r="M919" s="23"/>
      <c r="N919" s="15"/>
      <c r="O919" s="23"/>
      <c r="P919" s="21"/>
      <c r="Q919" s="6"/>
      <c r="R919" s="6"/>
      <c r="S919" s="20"/>
      <c r="T919" s="6"/>
      <c r="U919" s="21"/>
      <c r="W919" s="20"/>
      <c r="X919" s="21"/>
    </row>
    <row r="920" spans="2:24" ht="16">
      <c r="B920" s="26" t="str">
        <f t="shared" si="4"/>
        <v/>
      </c>
      <c r="C920" s="23"/>
      <c r="D920" s="6"/>
      <c r="E920" s="6"/>
      <c r="F920" s="15"/>
      <c r="G920" s="6"/>
      <c r="H920" s="6"/>
      <c r="I920" s="6"/>
      <c r="J920" s="16"/>
      <c r="K920" s="6"/>
      <c r="L920" s="16"/>
      <c r="M920" s="23"/>
      <c r="N920" s="15"/>
      <c r="O920" s="23"/>
      <c r="P920" s="21"/>
      <c r="Q920" s="6"/>
      <c r="R920" s="6"/>
      <c r="S920" s="20"/>
      <c r="T920" s="6"/>
      <c r="U920" s="21"/>
      <c r="W920" s="20"/>
      <c r="X920" s="21"/>
    </row>
    <row r="921" spans="2:24" ht="16">
      <c r="B921" s="26" t="str">
        <f t="shared" si="4"/>
        <v/>
      </c>
      <c r="C921" s="23"/>
      <c r="D921" s="6"/>
      <c r="E921" s="6"/>
      <c r="F921" s="15"/>
      <c r="G921" s="6"/>
      <c r="H921" s="6"/>
      <c r="I921" s="6"/>
      <c r="J921" s="16"/>
      <c r="K921" s="6"/>
      <c r="L921" s="16"/>
      <c r="M921" s="23"/>
      <c r="N921" s="15"/>
      <c r="O921" s="23"/>
      <c r="P921" s="21"/>
      <c r="Q921" s="6"/>
      <c r="R921" s="6"/>
      <c r="S921" s="20"/>
      <c r="T921" s="6"/>
      <c r="U921" s="21"/>
      <c r="W921" s="20"/>
      <c r="X921" s="21"/>
    </row>
    <row r="922" spans="2:24" ht="16">
      <c r="B922" s="26" t="str">
        <f t="shared" si="4"/>
        <v/>
      </c>
      <c r="C922" s="23"/>
      <c r="D922" s="6"/>
      <c r="E922" s="6"/>
      <c r="F922" s="15"/>
      <c r="G922" s="6"/>
      <c r="H922" s="6"/>
      <c r="I922" s="6"/>
      <c r="J922" s="16"/>
      <c r="K922" s="6"/>
      <c r="L922" s="16"/>
      <c r="M922" s="23"/>
      <c r="N922" s="15"/>
      <c r="O922" s="23"/>
      <c r="P922" s="21"/>
      <c r="Q922" s="6"/>
      <c r="R922" s="6"/>
      <c r="S922" s="20"/>
      <c r="T922" s="6"/>
      <c r="U922" s="21"/>
      <c r="W922" s="20"/>
      <c r="X922" s="21"/>
    </row>
    <row r="923" spans="2:24" ht="16">
      <c r="B923" s="26" t="str">
        <f t="shared" si="4"/>
        <v/>
      </c>
      <c r="C923" s="23"/>
      <c r="D923" s="6"/>
      <c r="E923" s="6"/>
      <c r="F923" s="15"/>
      <c r="G923" s="6"/>
      <c r="H923" s="6"/>
      <c r="I923" s="6"/>
      <c r="J923" s="16"/>
      <c r="K923" s="6"/>
      <c r="L923" s="16"/>
      <c r="M923" s="23"/>
      <c r="N923" s="15"/>
      <c r="O923" s="23"/>
      <c r="P923" s="21"/>
      <c r="Q923" s="6"/>
      <c r="R923" s="6"/>
      <c r="S923" s="20"/>
      <c r="T923" s="6"/>
      <c r="U923" s="21"/>
      <c r="W923" s="20"/>
      <c r="X923" s="21"/>
    </row>
    <row r="924" spans="2:24" ht="16">
      <c r="B924" s="26" t="str">
        <f t="shared" si="4"/>
        <v/>
      </c>
      <c r="C924" s="23"/>
      <c r="D924" s="6"/>
      <c r="E924" s="6"/>
      <c r="F924" s="15"/>
      <c r="G924" s="6"/>
      <c r="H924" s="6"/>
      <c r="I924" s="6"/>
      <c r="J924" s="16"/>
      <c r="K924" s="6"/>
      <c r="L924" s="16"/>
      <c r="M924" s="23"/>
      <c r="N924" s="15"/>
      <c r="O924" s="23"/>
      <c r="P924" s="21"/>
      <c r="Q924" s="6"/>
      <c r="R924" s="6"/>
      <c r="S924" s="20"/>
      <c r="T924" s="6"/>
      <c r="U924" s="21"/>
      <c r="W924" s="20"/>
      <c r="X924" s="21"/>
    </row>
    <row r="925" spans="2:24" ht="16">
      <c r="B925" s="26" t="str">
        <f t="shared" si="4"/>
        <v/>
      </c>
      <c r="C925" s="23"/>
      <c r="D925" s="6"/>
      <c r="E925" s="6"/>
      <c r="F925" s="15"/>
      <c r="G925" s="6"/>
      <c r="H925" s="6"/>
      <c r="I925" s="6"/>
      <c r="J925" s="16"/>
      <c r="K925" s="6"/>
      <c r="L925" s="16"/>
      <c r="M925" s="23"/>
      <c r="N925" s="15"/>
      <c r="O925" s="23"/>
      <c r="P925" s="21"/>
      <c r="Q925" s="6"/>
      <c r="R925" s="6"/>
      <c r="S925" s="20"/>
      <c r="T925" s="6"/>
      <c r="U925" s="21"/>
      <c r="W925" s="20"/>
      <c r="X925" s="21"/>
    </row>
    <row r="926" spans="2:24" ht="16">
      <c r="B926" s="26" t="str">
        <f t="shared" si="4"/>
        <v/>
      </c>
      <c r="C926" s="23"/>
      <c r="D926" s="6"/>
      <c r="E926" s="6"/>
      <c r="F926" s="15"/>
      <c r="G926" s="6"/>
      <c r="H926" s="6"/>
      <c r="I926" s="6"/>
      <c r="J926" s="16"/>
      <c r="K926" s="6"/>
      <c r="L926" s="16"/>
      <c r="M926" s="23"/>
      <c r="N926" s="15"/>
      <c r="O926" s="23"/>
      <c r="P926" s="21"/>
      <c r="Q926" s="6"/>
      <c r="R926" s="6"/>
      <c r="S926" s="20"/>
      <c r="T926" s="6"/>
      <c r="U926" s="21"/>
      <c r="W926" s="20"/>
      <c r="X926" s="21"/>
    </row>
    <row r="927" spans="2:24" ht="16">
      <c r="B927" s="26" t="str">
        <f t="shared" si="4"/>
        <v/>
      </c>
      <c r="C927" s="23"/>
      <c r="D927" s="6"/>
      <c r="E927" s="6"/>
      <c r="F927" s="15"/>
      <c r="G927" s="6"/>
      <c r="H927" s="6"/>
      <c r="I927" s="6"/>
      <c r="J927" s="16"/>
      <c r="K927" s="6"/>
      <c r="L927" s="16"/>
      <c r="M927" s="23"/>
      <c r="N927" s="15"/>
      <c r="O927" s="23"/>
      <c r="P927" s="21"/>
      <c r="Q927" s="6"/>
      <c r="R927" s="6"/>
      <c r="S927" s="20"/>
      <c r="T927" s="6"/>
      <c r="U927" s="21"/>
      <c r="W927" s="20"/>
      <c r="X927" s="21"/>
    </row>
    <row r="928" spans="2:24" ht="16">
      <c r="B928" s="26" t="str">
        <f t="shared" si="4"/>
        <v/>
      </c>
      <c r="C928" s="23"/>
      <c r="D928" s="6"/>
      <c r="E928" s="6"/>
      <c r="F928" s="15"/>
      <c r="G928" s="6"/>
      <c r="H928" s="6"/>
      <c r="I928" s="6"/>
      <c r="J928" s="16"/>
      <c r="K928" s="6"/>
      <c r="L928" s="16"/>
      <c r="M928" s="23"/>
      <c r="N928" s="15"/>
      <c r="O928" s="23"/>
      <c r="P928" s="21"/>
      <c r="Q928" s="6"/>
      <c r="R928" s="6"/>
      <c r="S928" s="20"/>
      <c r="T928" s="6"/>
      <c r="U928" s="21"/>
      <c r="W928" s="20"/>
      <c r="X928" s="21"/>
    </row>
    <row r="929" spans="2:24" ht="16">
      <c r="B929" s="26" t="str">
        <f t="shared" si="4"/>
        <v/>
      </c>
      <c r="C929" s="23"/>
      <c r="D929" s="6"/>
      <c r="E929" s="6"/>
      <c r="F929" s="15"/>
      <c r="G929" s="6"/>
      <c r="H929" s="6"/>
      <c r="I929" s="6"/>
      <c r="J929" s="16"/>
      <c r="K929" s="6"/>
      <c r="L929" s="16"/>
      <c r="M929" s="23"/>
      <c r="N929" s="15"/>
      <c r="O929" s="23"/>
      <c r="P929" s="21"/>
      <c r="Q929" s="6"/>
      <c r="R929" s="6"/>
      <c r="S929" s="20"/>
      <c r="T929" s="6"/>
      <c r="U929" s="21"/>
      <c r="W929" s="20"/>
      <c r="X929" s="21"/>
    </row>
    <row r="930" spans="2:24" ht="16">
      <c r="B930" s="26" t="str">
        <f t="shared" si="4"/>
        <v/>
      </c>
      <c r="C930" s="23"/>
      <c r="D930" s="6"/>
      <c r="E930" s="6"/>
      <c r="F930" s="15"/>
      <c r="G930" s="6"/>
      <c r="H930" s="6"/>
      <c r="I930" s="6"/>
      <c r="J930" s="16"/>
      <c r="K930" s="6"/>
      <c r="L930" s="16"/>
      <c r="M930" s="23"/>
      <c r="N930" s="15"/>
      <c r="O930" s="23"/>
      <c r="P930" s="21"/>
      <c r="Q930" s="6"/>
      <c r="R930" s="6"/>
      <c r="S930" s="20"/>
      <c r="T930" s="6"/>
      <c r="U930" s="21"/>
      <c r="W930" s="20"/>
      <c r="X930" s="21"/>
    </row>
    <row r="931" spans="2:24" ht="16">
      <c r="B931" s="26" t="str">
        <f t="shared" si="4"/>
        <v/>
      </c>
      <c r="C931" s="23"/>
      <c r="D931" s="6"/>
      <c r="E931" s="6"/>
      <c r="F931" s="15"/>
      <c r="G931" s="6"/>
      <c r="H931" s="6"/>
      <c r="I931" s="6"/>
      <c r="J931" s="16"/>
      <c r="K931" s="6"/>
      <c r="L931" s="16"/>
      <c r="M931" s="23"/>
      <c r="N931" s="15"/>
      <c r="O931" s="23"/>
      <c r="P931" s="21"/>
      <c r="Q931" s="6"/>
      <c r="R931" s="6"/>
      <c r="S931" s="20"/>
      <c r="T931" s="6"/>
      <c r="U931" s="21"/>
      <c r="W931" s="20"/>
      <c r="X931" s="21"/>
    </row>
    <row r="932" spans="2:24" ht="16">
      <c r="B932" s="26" t="str">
        <f t="shared" si="4"/>
        <v/>
      </c>
      <c r="C932" s="23"/>
      <c r="D932" s="6"/>
      <c r="E932" s="6"/>
      <c r="F932" s="15"/>
      <c r="G932" s="6"/>
      <c r="H932" s="6"/>
      <c r="I932" s="6"/>
      <c r="J932" s="16"/>
      <c r="K932" s="6"/>
      <c r="L932" s="16"/>
      <c r="M932" s="23"/>
      <c r="N932" s="15"/>
      <c r="O932" s="23"/>
      <c r="P932" s="21"/>
      <c r="Q932" s="6"/>
      <c r="R932" s="6"/>
      <c r="S932" s="20"/>
      <c r="T932" s="6"/>
      <c r="U932" s="21"/>
      <c r="W932" s="20"/>
      <c r="X932" s="21"/>
    </row>
    <row r="933" spans="2:24" ht="16">
      <c r="B933" s="26" t="str">
        <f t="shared" si="4"/>
        <v/>
      </c>
      <c r="C933" s="23"/>
      <c r="D933" s="6"/>
      <c r="E933" s="6"/>
      <c r="F933" s="15"/>
      <c r="G933" s="6"/>
      <c r="H933" s="6"/>
      <c r="I933" s="6"/>
      <c r="J933" s="16"/>
      <c r="K933" s="6"/>
      <c r="L933" s="16"/>
      <c r="M933" s="23"/>
      <c r="N933" s="15"/>
      <c r="O933" s="23"/>
      <c r="P933" s="21"/>
      <c r="Q933" s="6"/>
      <c r="R933" s="6"/>
      <c r="S933" s="20"/>
      <c r="T933" s="6"/>
      <c r="U933" s="21"/>
      <c r="W933" s="20"/>
      <c r="X933" s="21"/>
    </row>
    <row r="934" spans="2:24" ht="16">
      <c r="B934" s="26" t="str">
        <f t="shared" si="4"/>
        <v/>
      </c>
      <c r="C934" s="23"/>
      <c r="D934" s="6"/>
      <c r="E934" s="6"/>
      <c r="F934" s="15"/>
      <c r="G934" s="6"/>
      <c r="H934" s="6"/>
      <c r="I934" s="6"/>
      <c r="J934" s="16"/>
      <c r="K934" s="6"/>
      <c r="L934" s="16"/>
      <c r="M934" s="23"/>
      <c r="N934" s="15"/>
      <c r="O934" s="23"/>
      <c r="P934" s="21"/>
      <c r="Q934" s="6"/>
      <c r="R934" s="6"/>
      <c r="S934" s="20"/>
      <c r="T934" s="6"/>
      <c r="U934" s="21"/>
      <c r="W934" s="20"/>
      <c r="X934" s="21"/>
    </row>
    <row r="935" spans="2:24" ht="16">
      <c r="B935" s="26" t="str">
        <f t="shared" si="4"/>
        <v/>
      </c>
      <c r="C935" s="23"/>
      <c r="D935" s="6"/>
      <c r="E935" s="6"/>
      <c r="F935" s="15"/>
      <c r="G935" s="6"/>
      <c r="H935" s="6"/>
      <c r="I935" s="6"/>
      <c r="J935" s="16"/>
      <c r="K935" s="6"/>
      <c r="L935" s="16"/>
      <c r="M935" s="23"/>
      <c r="N935" s="15"/>
      <c r="O935" s="23"/>
      <c r="P935" s="21"/>
      <c r="Q935" s="6"/>
      <c r="R935" s="6"/>
      <c r="S935" s="20"/>
      <c r="T935" s="6"/>
      <c r="U935" s="21"/>
      <c r="W935" s="20"/>
      <c r="X935" s="21"/>
    </row>
    <row r="936" spans="2:24" ht="16">
      <c r="B936" s="26" t="str">
        <f t="shared" si="4"/>
        <v/>
      </c>
      <c r="C936" s="23"/>
      <c r="D936" s="6"/>
      <c r="E936" s="6"/>
      <c r="F936" s="15"/>
      <c r="G936" s="6"/>
      <c r="H936" s="6"/>
      <c r="I936" s="6"/>
      <c r="J936" s="16"/>
      <c r="K936" s="6"/>
      <c r="L936" s="16"/>
      <c r="M936" s="23"/>
      <c r="N936" s="15"/>
      <c r="O936" s="23"/>
      <c r="P936" s="21"/>
      <c r="Q936" s="6"/>
      <c r="R936" s="6"/>
      <c r="S936" s="20"/>
      <c r="T936" s="6"/>
      <c r="U936" s="21"/>
      <c r="W936" s="20"/>
      <c r="X936" s="21"/>
    </row>
    <row r="937" spans="2:24" ht="16">
      <c r="B937" s="26" t="str">
        <f t="shared" si="4"/>
        <v/>
      </c>
      <c r="C937" s="23"/>
      <c r="D937" s="6"/>
      <c r="E937" s="6"/>
      <c r="F937" s="15"/>
      <c r="G937" s="6"/>
      <c r="H937" s="6"/>
      <c r="I937" s="6"/>
      <c r="J937" s="16"/>
      <c r="K937" s="6"/>
      <c r="L937" s="16"/>
      <c r="M937" s="23"/>
      <c r="N937" s="15"/>
      <c r="O937" s="23"/>
      <c r="P937" s="21"/>
      <c r="Q937" s="6"/>
      <c r="R937" s="6"/>
      <c r="S937" s="20"/>
      <c r="T937" s="6"/>
      <c r="U937" s="21"/>
      <c r="W937" s="20"/>
      <c r="X937" s="21"/>
    </row>
    <row r="938" spans="2:24" ht="16">
      <c r="B938" s="26" t="str">
        <f t="shared" si="4"/>
        <v/>
      </c>
      <c r="C938" s="23"/>
      <c r="D938" s="6"/>
      <c r="E938" s="6"/>
      <c r="F938" s="15"/>
      <c r="G938" s="6"/>
      <c r="H938" s="6"/>
      <c r="I938" s="6"/>
      <c r="J938" s="16"/>
      <c r="K938" s="6"/>
      <c r="L938" s="16"/>
      <c r="M938" s="23"/>
      <c r="N938" s="15"/>
      <c r="O938" s="23"/>
      <c r="P938" s="21"/>
      <c r="Q938" s="6"/>
      <c r="R938" s="6"/>
      <c r="S938" s="20"/>
      <c r="T938" s="6"/>
      <c r="U938" s="21"/>
      <c r="W938" s="20"/>
      <c r="X938" s="21"/>
    </row>
    <row r="939" spans="2:24" ht="16">
      <c r="B939" s="26" t="str">
        <f t="shared" si="4"/>
        <v/>
      </c>
      <c r="C939" s="23"/>
      <c r="D939" s="6"/>
      <c r="E939" s="6"/>
      <c r="F939" s="15"/>
      <c r="G939" s="6"/>
      <c r="H939" s="6"/>
      <c r="I939" s="6"/>
      <c r="J939" s="16"/>
      <c r="K939" s="6"/>
      <c r="L939" s="16"/>
      <c r="M939" s="23"/>
      <c r="N939" s="15"/>
      <c r="O939" s="23"/>
      <c r="P939" s="21"/>
      <c r="Q939" s="6"/>
      <c r="R939" s="6"/>
      <c r="S939" s="20"/>
      <c r="T939" s="6"/>
      <c r="U939" s="21"/>
      <c r="W939" s="20"/>
      <c r="X939" s="21"/>
    </row>
    <row r="940" spans="2:24" ht="16">
      <c r="B940" s="26" t="str">
        <f t="shared" si="4"/>
        <v/>
      </c>
      <c r="C940" s="23"/>
      <c r="D940" s="6"/>
      <c r="E940" s="6"/>
      <c r="F940" s="15"/>
      <c r="G940" s="6"/>
      <c r="H940" s="6"/>
      <c r="I940" s="6"/>
      <c r="J940" s="16"/>
      <c r="K940" s="6"/>
      <c r="L940" s="16"/>
      <c r="M940" s="23"/>
      <c r="N940" s="15"/>
      <c r="O940" s="23"/>
      <c r="P940" s="21"/>
      <c r="Q940" s="6"/>
      <c r="R940" s="6"/>
      <c r="S940" s="20"/>
      <c r="T940" s="6"/>
      <c r="U940" s="21"/>
      <c r="W940" s="20"/>
      <c r="X940" s="21"/>
    </row>
    <row r="941" spans="2:24" ht="16">
      <c r="B941" s="26" t="str">
        <f t="shared" si="4"/>
        <v/>
      </c>
      <c r="C941" s="23"/>
      <c r="D941" s="6"/>
      <c r="E941" s="6"/>
      <c r="F941" s="15"/>
      <c r="G941" s="6"/>
      <c r="H941" s="6"/>
      <c r="I941" s="6"/>
      <c r="J941" s="16"/>
      <c r="K941" s="6"/>
      <c r="L941" s="16"/>
      <c r="M941" s="23"/>
      <c r="N941" s="15"/>
      <c r="O941" s="23"/>
      <c r="P941" s="21"/>
      <c r="Q941" s="6"/>
      <c r="R941" s="6"/>
      <c r="S941" s="20"/>
      <c r="T941" s="6"/>
      <c r="U941" s="21"/>
      <c r="W941" s="20"/>
      <c r="X941" s="21"/>
    </row>
    <row r="942" spans="2:24" ht="16">
      <c r="B942" s="26" t="str">
        <f t="shared" si="4"/>
        <v/>
      </c>
      <c r="C942" s="23"/>
      <c r="D942" s="6"/>
      <c r="E942" s="6"/>
      <c r="F942" s="15"/>
      <c r="G942" s="6"/>
      <c r="H942" s="6"/>
      <c r="I942" s="6"/>
      <c r="J942" s="16"/>
      <c r="K942" s="6"/>
      <c r="L942" s="16"/>
      <c r="M942" s="23"/>
      <c r="N942" s="15"/>
      <c r="O942" s="23"/>
      <c r="P942" s="21"/>
      <c r="Q942" s="6"/>
      <c r="R942" s="6"/>
      <c r="S942" s="20"/>
      <c r="T942" s="6"/>
      <c r="U942" s="21"/>
      <c r="W942" s="20"/>
      <c r="X942" s="21"/>
    </row>
    <row r="943" spans="2:24" ht="16">
      <c r="B943" s="26" t="str">
        <f t="shared" si="4"/>
        <v/>
      </c>
      <c r="C943" s="23"/>
      <c r="D943" s="6"/>
      <c r="E943" s="6"/>
      <c r="F943" s="15"/>
      <c r="G943" s="6"/>
      <c r="H943" s="6"/>
      <c r="I943" s="6"/>
      <c r="J943" s="16"/>
      <c r="K943" s="6"/>
      <c r="L943" s="16"/>
      <c r="M943" s="23"/>
      <c r="N943" s="15"/>
      <c r="O943" s="23"/>
      <c r="P943" s="21"/>
      <c r="Q943" s="6"/>
      <c r="R943" s="6"/>
      <c r="S943" s="20"/>
      <c r="T943" s="6"/>
      <c r="U943" s="21"/>
      <c r="W943" s="20"/>
      <c r="X943" s="21"/>
    </row>
    <row r="944" spans="2:24" ht="16">
      <c r="B944" s="26" t="str">
        <f t="shared" si="4"/>
        <v/>
      </c>
      <c r="C944" s="23"/>
      <c r="D944" s="6"/>
      <c r="E944" s="6"/>
      <c r="F944" s="15"/>
      <c r="G944" s="6"/>
      <c r="H944" s="6"/>
      <c r="I944" s="6"/>
      <c r="J944" s="16"/>
      <c r="K944" s="6"/>
      <c r="L944" s="16"/>
      <c r="M944" s="23"/>
      <c r="N944" s="15"/>
      <c r="O944" s="23"/>
      <c r="P944" s="21"/>
      <c r="Q944" s="6"/>
      <c r="R944" s="6"/>
      <c r="S944" s="20"/>
      <c r="T944" s="6"/>
      <c r="U944" s="21"/>
      <c r="W944" s="20"/>
      <c r="X944" s="21"/>
    </row>
    <row r="945" spans="2:24" ht="16">
      <c r="B945" s="26" t="str">
        <f t="shared" si="4"/>
        <v/>
      </c>
      <c r="C945" s="23"/>
      <c r="D945" s="6"/>
      <c r="E945" s="6"/>
      <c r="F945" s="15"/>
      <c r="G945" s="6"/>
      <c r="H945" s="6"/>
      <c r="I945" s="6"/>
      <c r="J945" s="16"/>
      <c r="K945" s="6"/>
      <c r="L945" s="16"/>
      <c r="M945" s="23"/>
      <c r="N945" s="15"/>
      <c r="O945" s="23"/>
      <c r="P945" s="21"/>
      <c r="Q945" s="6"/>
      <c r="R945" s="6"/>
      <c r="S945" s="20"/>
      <c r="T945" s="6"/>
      <c r="U945" s="21"/>
      <c r="W945" s="20"/>
      <c r="X945" s="21"/>
    </row>
    <row r="946" spans="2:24" ht="16">
      <c r="B946" s="26" t="str">
        <f t="shared" si="4"/>
        <v/>
      </c>
      <c r="C946" s="23"/>
      <c r="D946" s="6"/>
      <c r="E946" s="6"/>
      <c r="F946" s="15"/>
      <c r="G946" s="6"/>
      <c r="H946" s="6"/>
      <c r="I946" s="6"/>
      <c r="J946" s="16"/>
      <c r="K946" s="6"/>
      <c r="L946" s="16"/>
      <c r="M946" s="23"/>
      <c r="N946" s="15"/>
      <c r="O946" s="23"/>
      <c r="P946" s="21"/>
      <c r="Q946" s="6"/>
      <c r="R946" s="6"/>
      <c r="S946" s="20"/>
      <c r="T946" s="6"/>
      <c r="U946" s="21"/>
      <c r="W946" s="20"/>
      <c r="X946" s="21"/>
    </row>
    <row r="947" spans="2:24" ht="16">
      <c r="B947" s="26" t="str">
        <f t="shared" si="4"/>
        <v/>
      </c>
      <c r="C947" s="23"/>
      <c r="D947" s="6"/>
      <c r="E947" s="6"/>
      <c r="F947" s="15"/>
      <c r="G947" s="6"/>
      <c r="H947" s="6"/>
      <c r="I947" s="6"/>
      <c r="J947" s="16"/>
      <c r="K947" s="6"/>
      <c r="L947" s="16"/>
      <c r="M947" s="23"/>
      <c r="N947" s="15"/>
      <c r="O947" s="23"/>
      <c r="P947" s="21"/>
      <c r="Q947" s="6"/>
      <c r="R947" s="6"/>
      <c r="S947" s="20"/>
      <c r="T947" s="6"/>
      <c r="U947" s="21"/>
      <c r="W947" s="20"/>
      <c r="X947" s="21"/>
    </row>
    <row r="948" spans="2:24" ht="16">
      <c r="B948" s="26" t="str">
        <f t="shared" si="4"/>
        <v/>
      </c>
      <c r="C948" s="23"/>
      <c r="D948" s="6"/>
      <c r="E948" s="6"/>
      <c r="F948" s="15"/>
      <c r="G948" s="6"/>
      <c r="H948" s="6"/>
      <c r="I948" s="6"/>
      <c r="J948" s="16"/>
      <c r="K948" s="6"/>
      <c r="L948" s="16"/>
      <c r="M948" s="23"/>
      <c r="N948" s="15"/>
      <c r="O948" s="23"/>
      <c r="P948" s="21"/>
      <c r="Q948" s="6"/>
      <c r="R948" s="6"/>
      <c r="S948" s="20"/>
      <c r="T948" s="6"/>
      <c r="U948" s="21"/>
      <c r="W948" s="20"/>
      <c r="X948" s="21"/>
    </row>
    <row r="949" spans="2:24" ht="16">
      <c r="B949" s="26" t="str">
        <f t="shared" si="4"/>
        <v/>
      </c>
      <c r="C949" s="23"/>
      <c r="D949" s="6"/>
      <c r="E949" s="6"/>
      <c r="F949" s="15"/>
      <c r="G949" s="6"/>
      <c r="H949" s="6"/>
      <c r="I949" s="6"/>
      <c r="J949" s="16"/>
      <c r="K949" s="6"/>
      <c r="L949" s="16"/>
      <c r="M949" s="23"/>
      <c r="N949" s="15"/>
      <c r="O949" s="23"/>
      <c r="P949" s="21"/>
      <c r="Q949" s="6"/>
      <c r="R949" s="6"/>
      <c r="S949" s="20"/>
      <c r="T949" s="6"/>
      <c r="U949" s="21"/>
      <c r="W949" s="20"/>
      <c r="X949" s="21"/>
    </row>
    <row r="950" spans="2:24" ht="16">
      <c r="B950" s="26" t="str">
        <f t="shared" si="4"/>
        <v/>
      </c>
      <c r="C950" s="23"/>
      <c r="D950" s="6"/>
      <c r="E950" s="6"/>
      <c r="F950" s="15"/>
      <c r="G950" s="6"/>
      <c r="H950" s="6"/>
      <c r="I950" s="6"/>
      <c r="J950" s="16"/>
      <c r="K950" s="6"/>
      <c r="L950" s="16"/>
      <c r="M950" s="23"/>
      <c r="N950" s="15"/>
      <c r="O950" s="23"/>
      <c r="P950" s="21"/>
      <c r="Q950" s="6"/>
      <c r="R950" s="6"/>
      <c r="S950" s="20"/>
      <c r="T950" s="6"/>
      <c r="U950" s="21"/>
      <c r="W950" s="20"/>
      <c r="X950" s="21"/>
    </row>
    <row r="951" spans="2:24" ht="16">
      <c r="B951" s="26" t="str">
        <f t="shared" si="4"/>
        <v/>
      </c>
      <c r="C951" s="23"/>
      <c r="D951" s="6"/>
      <c r="E951" s="6"/>
      <c r="F951" s="15"/>
      <c r="G951" s="6"/>
      <c r="H951" s="6"/>
      <c r="I951" s="6"/>
      <c r="J951" s="16"/>
      <c r="K951" s="6"/>
      <c r="L951" s="16"/>
      <c r="M951" s="23"/>
      <c r="N951" s="15"/>
      <c r="O951" s="23"/>
      <c r="P951" s="21"/>
      <c r="Q951" s="6"/>
      <c r="R951" s="6"/>
      <c r="S951" s="20"/>
      <c r="T951" s="6"/>
      <c r="U951" s="21"/>
      <c r="W951" s="20"/>
      <c r="X951" s="21"/>
    </row>
    <row r="952" spans="2:24" ht="16">
      <c r="B952" s="26" t="str">
        <f t="shared" si="4"/>
        <v/>
      </c>
      <c r="C952" s="23"/>
      <c r="D952" s="6"/>
      <c r="E952" s="6"/>
      <c r="F952" s="15"/>
      <c r="G952" s="6"/>
      <c r="H952" s="6"/>
      <c r="I952" s="6"/>
      <c r="J952" s="16"/>
      <c r="K952" s="6"/>
      <c r="L952" s="16"/>
      <c r="M952" s="23"/>
      <c r="N952" s="15"/>
      <c r="O952" s="23"/>
      <c r="P952" s="21"/>
      <c r="Q952" s="6"/>
      <c r="R952" s="6"/>
      <c r="S952" s="20"/>
      <c r="T952" s="6"/>
      <c r="U952" s="21"/>
      <c r="W952" s="20"/>
      <c r="X952" s="21"/>
    </row>
    <row r="953" spans="2:24" ht="16">
      <c r="B953" s="26" t="str">
        <f t="shared" si="4"/>
        <v/>
      </c>
      <c r="C953" s="23"/>
      <c r="D953" s="6"/>
      <c r="E953" s="6"/>
      <c r="F953" s="15"/>
      <c r="G953" s="6"/>
      <c r="H953" s="6"/>
      <c r="I953" s="6"/>
      <c r="J953" s="16"/>
      <c r="K953" s="6"/>
      <c r="L953" s="16"/>
      <c r="M953" s="23"/>
      <c r="N953" s="15"/>
      <c r="O953" s="23"/>
      <c r="P953" s="21"/>
      <c r="Q953" s="6"/>
      <c r="R953" s="6"/>
      <c r="S953" s="20"/>
      <c r="T953" s="6"/>
      <c r="U953" s="21"/>
      <c r="W953" s="20"/>
      <c r="X953" s="21"/>
    </row>
    <row r="954" spans="2:24" ht="16">
      <c r="B954" s="26" t="str">
        <f t="shared" si="4"/>
        <v/>
      </c>
      <c r="C954" s="23"/>
      <c r="D954" s="6"/>
      <c r="E954" s="6"/>
      <c r="F954" s="15"/>
      <c r="G954" s="6"/>
      <c r="H954" s="6"/>
      <c r="I954" s="6"/>
      <c r="J954" s="16"/>
      <c r="K954" s="6"/>
      <c r="L954" s="16"/>
      <c r="M954" s="23"/>
      <c r="N954" s="15"/>
      <c r="O954" s="23"/>
      <c r="P954" s="21"/>
      <c r="Q954" s="6"/>
      <c r="R954" s="6"/>
      <c r="S954" s="20"/>
      <c r="T954" s="6"/>
      <c r="U954" s="21"/>
      <c r="W954" s="20"/>
      <c r="X954" s="21"/>
    </row>
    <row r="955" spans="2:24" ht="16">
      <c r="B955" s="26" t="str">
        <f t="shared" si="4"/>
        <v/>
      </c>
      <c r="C955" s="23"/>
      <c r="D955" s="6"/>
      <c r="E955" s="6"/>
      <c r="F955" s="15"/>
      <c r="G955" s="6"/>
      <c r="H955" s="6"/>
      <c r="I955" s="6"/>
      <c r="J955" s="16"/>
      <c r="K955" s="6"/>
      <c r="L955" s="16"/>
      <c r="M955" s="23"/>
      <c r="N955" s="15"/>
      <c r="O955" s="23"/>
      <c r="P955" s="21"/>
      <c r="Q955" s="6"/>
      <c r="R955" s="6"/>
      <c r="S955" s="20"/>
      <c r="T955" s="6"/>
      <c r="U955" s="21"/>
      <c r="W955" s="20"/>
      <c r="X955" s="21"/>
    </row>
    <row r="956" spans="2:24" ht="16">
      <c r="B956" s="26" t="str">
        <f t="shared" si="4"/>
        <v/>
      </c>
      <c r="C956" s="23"/>
      <c r="D956" s="6"/>
      <c r="E956" s="6"/>
      <c r="F956" s="15"/>
      <c r="G956" s="6"/>
      <c r="H956" s="6"/>
      <c r="I956" s="6"/>
      <c r="J956" s="16"/>
      <c r="K956" s="6"/>
      <c r="L956" s="16"/>
      <c r="M956" s="23"/>
      <c r="N956" s="15"/>
      <c r="O956" s="23"/>
      <c r="P956" s="21"/>
      <c r="Q956" s="6"/>
      <c r="R956" s="6"/>
      <c r="S956" s="20"/>
      <c r="T956" s="6"/>
      <c r="U956" s="21"/>
      <c r="W956" s="20"/>
      <c r="X956" s="21"/>
    </row>
    <row r="957" spans="2:24" ht="16">
      <c r="B957" s="26" t="str">
        <f t="shared" si="4"/>
        <v/>
      </c>
      <c r="C957" s="23"/>
      <c r="D957" s="6"/>
      <c r="E957" s="6"/>
      <c r="F957" s="15"/>
      <c r="G957" s="6"/>
      <c r="H957" s="6"/>
      <c r="I957" s="6"/>
      <c r="J957" s="16"/>
      <c r="K957" s="6"/>
      <c r="L957" s="16"/>
      <c r="M957" s="23"/>
      <c r="N957" s="15"/>
      <c r="O957" s="23"/>
      <c r="P957" s="21"/>
      <c r="Q957" s="6"/>
      <c r="R957" s="6"/>
      <c r="S957" s="20"/>
      <c r="T957" s="6"/>
      <c r="U957" s="21"/>
      <c r="W957" s="20"/>
      <c r="X957" s="21"/>
    </row>
    <row r="958" spans="2:24" ht="16">
      <c r="B958" s="26" t="str">
        <f t="shared" si="4"/>
        <v/>
      </c>
      <c r="C958" s="23"/>
      <c r="D958" s="6"/>
      <c r="E958" s="6"/>
      <c r="F958" s="15"/>
      <c r="G958" s="6"/>
      <c r="H958" s="6"/>
      <c r="I958" s="6"/>
      <c r="J958" s="16"/>
      <c r="K958" s="6"/>
      <c r="L958" s="16"/>
      <c r="M958" s="23"/>
      <c r="N958" s="15"/>
      <c r="O958" s="23"/>
      <c r="P958" s="21"/>
      <c r="Q958" s="6"/>
      <c r="R958" s="6"/>
      <c r="S958" s="20"/>
      <c r="T958" s="6"/>
      <c r="U958" s="21"/>
      <c r="W958" s="20"/>
      <c r="X958" s="21"/>
    </row>
    <row r="959" spans="2:24" ht="16">
      <c r="B959" s="26" t="str">
        <f t="shared" si="4"/>
        <v/>
      </c>
      <c r="C959" s="23"/>
      <c r="D959" s="6"/>
      <c r="E959" s="6"/>
      <c r="F959" s="15"/>
      <c r="G959" s="6"/>
      <c r="H959" s="6"/>
      <c r="I959" s="6"/>
      <c r="J959" s="16"/>
      <c r="K959" s="6"/>
      <c r="L959" s="16"/>
      <c r="M959" s="23"/>
      <c r="N959" s="15"/>
      <c r="O959" s="23"/>
      <c r="P959" s="21"/>
      <c r="Q959" s="6"/>
      <c r="R959" s="6"/>
      <c r="S959" s="20"/>
      <c r="T959" s="6"/>
      <c r="U959" s="21"/>
      <c r="W959" s="20"/>
      <c r="X959" s="21"/>
    </row>
    <row r="960" spans="2:24" ht="16">
      <c r="B960" s="26" t="str">
        <f t="shared" si="4"/>
        <v/>
      </c>
      <c r="C960" s="23"/>
      <c r="D960" s="6"/>
      <c r="E960" s="6"/>
      <c r="F960" s="15"/>
      <c r="G960" s="6"/>
      <c r="H960" s="6"/>
      <c r="I960" s="6"/>
      <c r="J960" s="16"/>
      <c r="K960" s="6"/>
      <c r="L960" s="16"/>
      <c r="M960" s="23"/>
      <c r="N960" s="15"/>
      <c r="O960" s="23"/>
      <c r="P960" s="21"/>
      <c r="Q960" s="6"/>
      <c r="R960" s="6"/>
      <c r="S960" s="20"/>
      <c r="T960" s="6"/>
      <c r="U960" s="21"/>
      <c r="W960" s="20"/>
      <c r="X960" s="21"/>
    </row>
    <row r="961" spans="2:31" ht="16">
      <c r="B961" s="26" t="str">
        <f t="shared" si="4"/>
        <v/>
      </c>
      <c r="C961" s="23"/>
      <c r="D961" s="6"/>
      <c r="E961" s="6"/>
      <c r="F961" s="15"/>
      <c r="G961" s="6"/>
      <c r="H961" s="6"/>
      <c r="I961" s="6"/>
      <c r="J961" s="16"/>
      <c r="K961" s="6"/>
      <c r="L961" s="16"/>
      <c r="M961" s="23"/>
      <c r="N961" s="15"/>
      <c r="O961" s="23"/>
      <c r="P961" s="21"/>
      <c r="Q961" s="6"/>
      <c r="R961" s="6"/>
      <c r="S961" s="20"/>
      <c r="T961" s="6"/>
      <c r="U961" s="21"/>
      <c r="W961" s="20"/>
      <c r="X961" s="21"/>
    </row>
    <row r="962" spans="2:31" ht="16">
      <c r="B962" s="26" t="str">
        <f t="shared" si="4"/>
        <v/>
      </c>
      <c r="C962" s="23"/>
      <c r="D962" s="6"/>
      <c r="E962" s="6"/>
      <c r="F962" s="15"/>
      <c r="G962" s="6"/>
      <c r="H962" s="6"/>
      <c r="I962" s="6"/>
      <c r="J962" s="16"/>
      <c r="K962" s="6"/>
      <c r="L962" s="16"/>
      <c r="M962" s="23"/>
      <c r="N962" s="15"/>
      <c r="O962" s="23"/>
      <c r="P962" s="21"/>
      <c r="Q962" s="6"/>
      <c r="R962" s="6"/>
      <c r="S962" s="20"/>
      <c r="T962" s="6"/>
      <c r="U962" s="21"/>
      <c r="W962" s="20"/>
      <c r="X962" s="21"/>
    </row>
    <row r="963" spans="2:31" ht="16">
      <c r="B963" s="26" t="str">
        <f t="shared" si="4"/>
        <v/>
      </c>
      <c r="C963" s="23"/>
      <c r="D963" s="6"/>
      <c r="E963" s="6"/>
      <c r="F963" s="15"/>
      <c r="G963" s="6"/>
      <c r="H963" s="6"/>
      <c r="I963" s="6"/>
      <c r="J963" s="16"/>
      <c r="K963" s="6"/>
      <c r="L963" s="16"/>
      <c r="M963" s="23"/>
      <c r="N963" s="15"/>
      <c r="O963" s="23"/>
      <c r="P963" s="21"/>
      <c r="Q963" s="6"/>
      <c r="R963" s="6"/>
      <c r="S963" s="20"/>
      <c r="T963" s="6"/>
      <c r="U963" s="21"/>
      <c r="W963" s="20"/>
      <c r="X963" s="21"/>
    </row>
    <row r="964" spans="2:31" ht="16">
      <c r="B964" s="26" t="str">
        <f t="shared" si="4"/>
        <v/>
      </c>
      <c r="C964" s="23"/>
      <c r="D964" s="6"/>
      <c r="E964" s="6"/>
      <c r="F964" s="15"/>
      <c r="G964" s="6"/>
      <c r="H964" s="6"/>
      <c r="I964" s="6"/>
      <c r="J964" s="16"/>
      <c r="K964" s="6"/>
      <c r="L964" s="16"/>
      <c r="M964" s="23"/>
      <c r="N964" s="15"/>
      <c r="O964" s="23"/>
      <c r="P964" s="21"/>
      <c r="Q964" s="6"/>
      <c r="R964" s="6"/>
      <c r="S964" s="20"/>
      <c r="T964" s="6"/>
      <c r="U964" s="21"/>
      <c r="W964" s="20"/>
      <c r="X964" s="21"/>
    </row>
    <row r="965" spans="2:31" ht="16">
      <c r="B965" s="26" t="str">
        <f t="shared" si="4"/>
        <v/>
      </c>
      <c r="C965" s="23"/>
      <c r="D965" s="6"/>
      <c r="E965" s="6"/>
      <c r="F965" s="15"/>
      <c r="G965" s="6"/>
      <c r="H965" s="6"/>
      <c r="I965" s="6"/>
      <c r="J965" s="16"/>
      <c r="K965" s="6"/>
      <c r="L965" s="16"/>
      <c r="M965" s="23"/>
      <c r="N965" s="15"/>
      <c r="O965" s="23"/>
      <c r="P965" s="21"/>
      <c r="Q965" s="6"/>
      <c r="R965" s="6"/>
      <c r="S965" s="20"/>
      <c r="T965" s="6"/>
      <c r="U965" s="21"/>
      <c r="W965" s="20"/>
      <c r="X965" s="21"/>
    </row>
    <row r="966" spans="2:31" ht="16">
      <c r="B966" s="26" t="str">
        <f t="shared" si="4"/>
        <v/>
      </c>
      <c r="C966" s="23"/>
      <c r="D966" s="6"/>
      <c r="E966" s="6"/>
      <c r="F966" s="15"/>
      <c r="G966" s="6"/>
      <c r="H966" s="6"/>
      <c r="I966" s="6"/>
      <c r="J966" s="16"/>
      <c r="K966" s="6"/>
      <c r="L966" s="16"/>
      <c r="M966" s="23"/>
      <c r="N966" s="15"/>
      <c r="O966" s="23"/>
      <c r="P966" s="21"/>
      <c r="Q966" s="6"/>
      <c r="R966" s="6"/>
      <c r="S966" s="20"/>
      <c r="T966" s="6"/>
      <c r="U966" s="21"/>
      <c r="W966" s="20"/>
      <c r="X966" s="21"/>
    </row>
    <row r="967" spans="2:31" ht="16">
      <c r="B967" s="26" t="str">
        <f t="shared" si="4"/>
        <v/>
      </c>
      <c r="C967" s="23"/>
      <c r="D967" s="6"/>
      <c r="E967" s="6"/>
      <c r="F967" s="15"/>
      <c r="G967" s="6"/>
      <c r="H967" s="6"/>
      <c r="I967" s="6"/>
      <c r="J967" s="16"/>
      <c r="K967" s="6"/>
      <c r="L967" s="16"/>
      <c r="M967" s="23"/>
      <c r="N967" s="15"/>
      <c r="O967" s="23"/>
      <c r="P967" s="21"/>
      <c r="Q967" s="6"/>
      <c r="R967" s="6"/>
      <c r="S967" s="20"/>
      <c r="T967" s="6"/>
      <c r="U967" s="21"/>
      <c r="W967" s="20"/>
      <c r="X967" s="21"/>
    </row>
    <row r="968" spans="2:31" ht="16">
      <c r="B968" s="26" t="str">
        <f t="shared" si="4"/>
        <v/>
      </c>
      <c r="C968" s="23"/>
      <c r="D968" s="6"/>
      <c r="E968" s="6"/>
      <c r="F968" s="15"/>
      <c r="G968" s="6"/>
      <c r="H968" s="6"/>
      <c r="I968" s="6"/>
      <c r="J968" s="16"/>
      <c r="K968" s="6"/>
      <c r="L968" s="16"/>
      <c r="M968" s="23"/>
      <c r="N968" s="15"/>
      <c r="O968" s="23"/>
      <c r="P968" s="21"/>
      <c r="Q968" s="6"/>
      <c r="R968" s="6"/>
      <c r="S968" s="20"/>
      <c r="T968" s="6"/>
      <c r="U968" s="21"/>
      <c r="W968" s="20"/>
      <c r="X968" s="21"/>
    </row>
    <row r="969" spans="2:31" ht="16">
      <c r="B969" s="26" t="str">
        <f t="shared" si="4"/>
        <v/>
      </c>
      <c r="C969" s="23"/>
      <c r="D969" s="6"/>
      <c r="E969" s="6"/>
      <c r="F969" s="15"/>
      <c r="G969" s="6"/>
      <c r="H969" s="6"/>
      <c r="I969" s="6"/>
      <c r="J969" s="16"/>
      <c r="K969" s="6"/>
      <c r="L969" s="16"/>
      <c r="M969" s="23"/>
      <c r="N969" s="15"/>
      <c r="O969" s="23"/>
      <c r="P969" s="21"/>
      <c r="Q969" s="6"/>
      <c r="R969" s="6"/>
      <c r="S969" s="20"/>
      <c r="T969" s="6"/>
      <c r="U969" s="21"/>
      <c r="W969" s="20"/>
      <c r="X969" s="21"/>
    </row>
    <row r="970" spans="2:31" ht="16">
      <c r="B970" s="26" t="str">
        <f t="shared" si="4"/>
        <v/>
      </c>
      <c r="C970" s="23"/>
      <c r="D970" s="6"/>
      <c r="E970" s="6"/>
      <c r="F970" s="15"/>
      <c r="G970" s="6"/>
      <c r="H970" s="6"/>
      <c r="I970" s="6"/>
      <c r="J970" s="16"/>
      <c r="K970" s="6"/>
      <c r="L970" s="16"/>
      <c r="M970" s="23"/>
      <c r="N970" s="15"/>
      <c r="O970" s="23"/>
      <c r="P970" s="21"/>
      <c r="Q970" s="6"/>
      <c r="R970" s="6"/>
      <c r="S970" s="20"/>
      <c r="T970" s="6"/>
      <c r="U970" s="21"/>
      <c r="W970" s="20"/>
      <c r="X970" s="21"/>
    </row>
    <row r="971" spans="2:31" ht="16">
      <c r="B971" s="26" t="str">
        <f t="shared" si="4"/>
        <v/>
      </c>
      <c r="C971" s="23"/>
      <c r="D971" s="6"/>
      <c r="E971" s="6"/>
      <c r="F971" s="15"/>
      <c r="G971" s="6"/>
      <c r="H971" s="6"/>
      <c r="I971" s="6"/>
      <c r="J971" s="16"/>
      <c r="K971" s="6"/>
      <c r="L971" s="16"/>
      <c r="M971" s="23"/>
      <c r="N971" s="15"/>
      <c r="O971" s="23"/>
      <c r="P971" s="21"/>
      <c r="Q971" s="6"/>
      <c r="R971" s="6"/>
      <c r="S971" s="20"/>
      <c r="T971" s="6"/>
      <c r="U971" s="21"/>
      <c r="W971" s="20"/>
      <c r="X971" s="21"/>
      <c r="AE971" s="1"/>
    </row>
    <row r="972" spans="2:31" ht="16">
      <c r="B972" s="26" t="str">
        <f t="shared" si="4"/>
        <v/>
      </c>
      <c r="C972" s="23"/>
      <c r="D972" s="6"/>
      <c r="E972" s="6"/>
      <c r="F972" s="15"/>
      <c r="G972" s="6"/>
      <c r="H972" s="6"/>
      <c r="I972" s="6"/>
      <c r="J972" s="16"/>
      <c r="K972" s="6"/>
      <c r="L972" s="16"/>
      <c r="M972" s="23"/>
      <c r="N972" s="15"/>
      <c r="O972" s="23"/>
      <c r="P972" s="21"/>
      <c r="Q972" s="6"/>
      <c r="R972" s="6"/>
      <c r="S972" s="20"/>
      <c r="T972" s="6"/>
      <c r="U972" s="21"/>
      <c r="W972" s="20"/>
      <c r="X972" s="21"/>
    </row>
    <row r="973" spans="2:31" ht="16">
      <c r="B973" s="26" t="str">
        <f t="shared" si="4"/>
        <v/>
      </c>
      <c r="C973" s="23"/>
      <c r="D973" s="6"/>
      <c r="E973" s="6"/>
      <c r="F973" s="15"/>
      <c r="G973" s="6"/>
      <c r="H973" s="6"/>
      <c r="I973" s="6"/>
      <c r="J973" s="16"/>
      <c r="K973" s="6"/>
      <c r="L973" s="16"/>
      <c r="M973" s="23"/>
      <c r="N973" s="15"/>
      <c r="O973" s="23"/>
      <c r="P973" s="21"/>
      <c r="Q973" s="6"/>
      <c r="R973" s="6"/>
      <c r="S973" s="20"/>
      <c r="T973" s="6"/>
      <c r="U973" s="21"/>
      <c r="W973" s="20"/>
      <c r="X973" s="21"/>
    </row>
    <row r="974" spans="2:31" ht="16">
      <c r="B974" s="26" t="str">
        <f t="shared" si="4"/>
        <v/>
      </c>
      <c r="C974" s="23"/>
      <c r="D974" s="6"/>
      <c r="E974" s="6"/>
      <c r="F974" s="15"/>
      <c r="G974" s="6"/>
      <c r="H974" s="6"/>
      <c r="I974" s="6"/>
      <c r="J974" s="16"/>
      <c r="K974" s="6"/>
      <c r="L974" s="16"/>
      <c r="M974" s="23"/>
      <c r="N974" s="15"/>
      <c r="O974" s="23"/>
      <c r="P974" s="21"/>
      <c r="Q974" s="6"/>
      <c r="R974" s="6"/>
      <c r="S974" s="20"/>
      <c r="T974" s="6"/>
      <c r="U974" s="21"/>
      <c r="W974" s="20"/>
      <c r="X974" s="21"/>
    </row>
    <row r="975" spans="2:31" ht="16">
      <c r="B975" s="26" t="str">
        <f t="shared" si="4"/>
        <v/>
      </c>
      <c r="C975" s="23"/>
      <c r="D975" s="6"/>
      <c r="E975" s="6"/>
      <c r="F975" s="15"/>
      <c r="G975" s="6"/>
      <c r="H975" s="6"/>
      <c r="I975" s="6"/>
      <c r="J975" s="16"/>
      <c r="K975" s="6"/>
      <c r="L975" s="16"/>
      <c r="M975" s="23"/>
      <c r="N975" s="15"/>
      <c r="O975" s="23"/>
      <c r="P975" s="21"/>
      <c r="Q975" s="6"/>
      <c r="R975" s="6"/>
      <c r="S975" s="20"/>
      <c r="T975" s="6"/>
      <c r="U975" s="21"/>
      <c r="W975" s="20"/>
      <c r="X975" s="21"/>
    </row>
    <row r="976" spans="2:31" ht="16">
      <c r="B976" s="26" t="str">
        <f t="shared" si="4"/>
        <v/>
      </c>
      <c r="C976" s="23"/>
      <c r="D976" s="6"/>
      <c r="E976" s="6"/>
      <c r="F976" s="15"/>
      <c r="G976" s="6"/>
      <c r="H976" s="6"/>
      <c r="I976" s="6"/>
      <c r="J976" s="16"/>
      <c r="K976" s="6"/>
      <c r="L976" s="16"/>
      <c r="M976" s="23"/>
      <c r="N976" s="15"/>
      <c r="O976" s="23"/>
      <c r="P976" s="21"/>
      <c r="Q976" s="6"/>
      <c r="R976" s="6"/>
      <c r="S976" s="20"/>
      <c r="T976" s="6"/>
      <c r="U976" s="21"/>
      <c r="W976" s="20"/>
      <c r="X976" s="21"/>
    </row>
    <row r="977" spans="2:24" ht="16">
      <c r="B977" s="26" t="str">
        <f t="shared" si="4"/>
        <v/>
      </c>
      <c r="C977" s="23"/>
      <c r="D977" s="6"/>
      <c r="E977" s="6"/>
      <c r="F977" s="15"/>
      <c r="G977" s="6"/>
      <c r="H977" s="6"/>
      <c r="I977" s="6"/>
      <c r="J977" s="16"/>
      <c r="K977" s="6"/>
      <c r="L977" s="16"/>
      <c r="M977" s="23"/>
      <c r="N977" s="15"/>
      <c r="O977" s="23"/>
      <c r="P977" s="21"/>
      <c r="Q977" s="6"/>
      <c r="R977" s="6"/>
      <c r="S977" s="20"/>
      <c r="T977" s="6"/>
      <c r="U977" s="21"/>
      <c r="W977" s="20"/>
      <c r="X977" s="21"/>
    </row>
    <row r="978" spans="2:24" ht="16">
      <c r="B978" s="26" t="str">
        <f t="shared" si="4"/>
        <v/>
      </c>
      <c r="C978" s="23"/>
      <c r="D978" s="6"/>
      <c r="E978" s="6"/>
      <c r="F978" s="15"/>
      <c r="G978" s="6"/>
      <c r="H978" s="6"/>
      <c r="I978" s="6"/>
      <c r="J978" s="16"/>
      <c r="K978" s="6"/>
      <c r="L978" s="16"/>
      <c r="M978" s="17"/>
      <c r="N978" s="15"/>
      <c r="O978" s="23"/>
      <c r="P978" s="21"/>
      <c r="Q978" s="6"/>
      <c r="R978" s="6"/>
      <c r="S978" s="20"/>
      <c r="T978" s="6"/>
      <c r="U978" s="21"/>
      <c r="W978" s="20"/>
      <c r="X978" s="21"/>
    </row>
    <row r="979" spans="2:24" ht="16">
      <c r="B979" s="26" t="str">
        <f t="shared" si="4"/>
        <v/>
      </c>
      <c r="C979" s="23"/>
      <c r="D979" s="6"/>
      <c r="E979" s="6"/>
      <c r="F979" s="15"/>
      <c r="G979" s="6"/>
      <c r="H979" s="6"/>
      <c r="I979" s="6"/>
      <c r="J979" s="16"/>
      <c r="K979" s="6"/>
      <c r="L979" s="16"/>
      <c r="M979" s="23"/>
      <c r="N979" s="15"/>
      <c r="O979" s="23"/>
      <c r="P979" s="21"/>
      <c r="Q979" s="6"/>
      <c r="R979" s="6"/>
      <c r="S979" s="20"/>
      <c r="T979" s="6"/>
      <c r="U979" s="21"/>
      <c r="W979" s="20"/>
      <c r="X979" s="21"/>
    </row>
    <row r="980" spans="2:24" ht="16">
      <c r="B980" s="26" t="str">
        <f t="shared" si="4"/>
        <v/>
      </c>
      <c r="C980" s="23"/>
      <c r="D980" s="6"/>
      <c r="E980" s="6"/>
      <c r="F980" s="15"/>
      <c r="G980" s="6"/>
      <c r="H980" s="6"/>
      <c r="I980" s="6"/>
      <c r="J980" s="16"/>
      <c r="K980" s="6"/>
      <c r="L980" s="16"/>
      <c r="M980" s="23"/>
      <c r="N980" s="15"/>
      <c r="O980" s="23"/>
      <c r="P980" s="21"/>
      <c r="Q980" s="6"/>
      <c r="R980" s="6"/>
      <c r="S980" s="20"/>
      <c r="T980" s="6"/>
      <c r="W980" s="20"/>
    </row>
    <row r="981" spans="2:24" ht="16">
      <c r="B981" s="26" t="str">
        <f t="shared" si="4"/>
        <v/>
      </c>
      <c r="C981" s="23"/>
      <c r="D981" s="6"/>
      <c r="E981" s="6"/>
      <c r="F981" s="15"/>
      <c r="G981" s="6"/>
      <c r="H981" s="6"/>
      <c r="I981" s="6"/>
      <c r="J981" s="16"/>
      <c r="K981" s="6"/>
      <c r="L981" s="16"/>
      <c r="M981" s="23"/>
      <c r="N981" s="15"/>
      <c r="O981" s="23"/>
      <c r="P981" s="21"/>
      <c r="Q981" s="6"/>
      <c r="R981" s="6"/>
      <c r="S981" s="20"/>
      <c r="T981" s="6"/>
      <c r="U981" s="21"/>
      <c r="W981" s="20"/>
      <c r="X981" s="21"/>
    </row>
    <row r="982" spans="2:24" ht="16">
      <c r="B982" s="26" t="str">
        <f t="shared" si="4"/>
        <v/>
      </c>
      <c r="C982" s="23"/>
      <c r="D982" s="6"/>
      <c r="E982" s="6"/>
      <c r="F982" s="15"/>
      <c r="G982" s="6"/>
      <c r="H982" s="6"/>
      <c r="I982" s="6"/>
      <c r="J982" s="16"/>
      <c r="K982" s="6"/>
      <c r="L982" s="16"/>
      <c r="M982" s="23"/>
      <c r="N982" s="15"/>
      <c r="O982" s="23"/>
      <c r="P982" s="21"/>
      <c r="Q982" s="6"/>
      <c r="R982" s="6"/>
      <c r="S982" s="20"/>
      <c r="T982" s="6"/>
      <c r="U982" s="21"/>
      <c r="W982" s="20"/>
      <c r="X982" s="21"/>
    </row>
    <row r="983" spans="2:24" ht="16">
      <c r="B983" s="26" t="str">
        <f t="shared" si="4"/>
        <v/>
      </c>
      <c r="C983" s="23"/>
      <c r="D983" s="6"/>
      <c r="E983" s="6"/>
      <c r="F983" s="15"/>
      <c r="G983" s="6"/>
      <c r="H983" s="6"/>
      <c r="I983" s="6"/>
      <c r="J983" s="16"/>
      <c r="K983" s="6"/>
      <c r="L983" s="16"/>
      <c r="M983" s="23"/>
      <c r="N983" s="15"/>
      <c r="O983" s="23"/>
      <c r="P983" s="21"/>
      <c r="Q983" s="6"/>
      <c r="R983" s="6"/>
      <c r="S983" s="20"/>
      <c r="T983" s="6"/>
      <c r="U983" s="21"/>
      <c r="W983" s="20"/>
      <c r="X983" s="21"/>
    </row>
    <row r="984" spans="2:24" ht="16">
      <c r="B984" s="26" t="str">
        <f t="shared" si="4"/>
        <v/>
      </c>
      <c r="C984" s="23"/>
      <c r="D984" s="6"/>
      <c r="E984" s="6"/>
      <c r="F984" s="15"/>
      <c r="G984" s="6"/>
      <c r="H984" s="6"/>
      <c r="I984" s="6"/>
      <c r="J984" s="16"/>
      <c r="K984" s="6"/>
      <c r="L984" s="16"/>
      <c r="M984" s="23"/>
      <c r="N984" s="15"/>
      <c r="O984" s="23"/>
      <c r="P984" s="21"/>
      <c r="Q984" s="6"/>
      <c r="R984" s="6"/>
      <c r="S984" s="20"/>
      <c r="T984" s="6"/>
      <c r="U984" s="21"/>
      <c r="W984" s="20"/>
      <c r="X984" s="21"/>
    </row>
    <row r="985" spans="2:24" ht="16">
      <c r="B985" s="26" t="str">
        <f t="shared" si="4"/>
        <v/>
      </c>
      <c r="C985" s="23"/>
      <c r="D985" s="6"/>
      <c r="E985" s="6"/>
      <c r="F985" s="15"/>
      <c r="G985" s="6"/>
      <c r="H985" s="6"/>
      <c r="I985" s="6"/>
      <c r="J985" s="16"/>
      <c r="K985" s="6"/>
      <c r="L985" s="16"/>
      <c r="M985" s="23"/>
      <c r="N985" s="15"/>
      <c r="O985" s="23"/>
      <c r="P985" s="21"/>
      <c r="Q985" s="6"/>
      <c r="R985" s="6"/>
      <c r="S985" s="20"/>
      <c r="T985" s="6"/>
      <c r="U985" s="21"/>
      <c r="W985" s="20"/>
      <c r="X985" s="21"/>
    </row>
    <row r="986" spans="2:24" ht="16">
      <c r="B986" s="26" t="str">
        <f t="shared" si="4"/>
        <v/>
      </c>
      <c r="C986" s="23"/>
      <c r="D986" s="6"/>
      <c r="E986" s="6"/>
      <c r="F986" s="15"/>
      <c r="G986" s="6"/>
      <c r="H986" s="6"/>
      <c r="I986" s="6"/>
      <c r="J986" s="16"/>
      <c r="K986" s="6"/>
      <c r="L986" s="16"/>
      <c r="M986" s="23"/>
      <c r="N986" s="15"/>
      <c r="O986" s="23"/>
      <c r="P986" s="21"/>
      <c r="Q986" s="6"/>
      <c r="R986" s="6"/>
      <c r="S986" s="20"/>
      <c r="T986" s="6"/>
      <c r="U986" s="21"/>
      <c r="W986" s="20"/>
      <c r="X986" s="21"/>
    </row>
    <row r="987" spans="2:24" ht="16">
      <c r="B987" s="26" t="str">
        <f t="shared" si="4"/>
        <v/>
      </c>
      <c r="C987" s="23"/>
      <c r="D987" s="6"/>
      <c r="E987" s="6"/>
      <c r="F987" s="15"/>
      <c r="G987" s="6"/>
      <c r="H987" s="6"/>
      <c r="I987" s="6"/>
      <c r="J987" s="16"/>
      <c r="K987" s="6"/>
      <c r="L987" s="16"/>
      <c r="M987" s="23"/>
      <c r="N987" s="15"/>
      <c r="O987" s="23"/>
      <c r="P987" s="21"/>
      <c r="Q987" s="6"/>
      <c r="R987" s="6"/>
      <c r="S987" s="20"/>
      <c r="T987" s="6"/>
      <c r="U987" s="21"/>
      <c r="W987" s="20"/>
      <c r="X987" s="21"/>
    </row>
    <row r="988" spans="2:24" ht="16">
      <c r="B988" s="26" t="str">
        <f t="shared" si="4"/>
        <v/>
      </c>
      <c r="C988" s="23"/>
      <c r="D988" s="6"/>
      <c r="E988" s="6"/>
      <c r="F988" s="15"/>
      <c r="G988" s="6"/>
      <c r="H988" s="6"/>
      <c r="I988" s="6"/>
      <c r="J988" s="16"/>
      <c r="K988" s="6"/>
      <c r="L988" s="16"/>
      <c r="M988" s="23"/>
      <c r="N988" s="15"/>
      <c r="O988" s="23"/>
      <c r="P988" s="21"/>
      <c r="Q988" s="6"/>
      <c r="R988" s="6"/>
      <c r="S988" s="20"/>
      <c r="T988" s="6"/>
      <c r="U988" s="21"/>
      <c r="W988" s="20"/>
      <c r="X988" s="21"/>
    </row>
    <row r="989" spans="2:24" ht="16">
      <c r="B989" s="26" t="str">
        <f t="shared" si="4"/>
        <v/>
      </c>
      <c r="C989" s="23"/>
      <c r="D989" s="6"/>
      <c r="E989" s="6"/>
      <c r="F989" s="15"/>
      <c r="G989" s="6"/>
      <c r="H989" s="6"/>
      <c r="I989" s="6"/>
      <c r="J989" s="16"/>
      <c r="K989" s="6"/>
      <c r="L989" s="16"/>
      <c r="M989" s="23"/>
      <c r="N989" s="15"/>
      <c r="O989" s="23"/>
      <c r="P989" s="21"/>
      <c r="Q989" s="6"/>
      <c r="R989" s="6"/>
      <c r="S989" s="20"/>
      <c r="T989" s="6"/>
      <c r="U989" s="21"/>
      <c r="W989" s="20"/>
      <c r="X989" s="21"/>
    </row>
    <row r="990" spans="2:24" ht="16">
      <c r="B990" s="26" t="str">
        <f t="shared" si="4"/>
        <v/>
      </c>
      <c r="C990" s="23"/>
      <c r="D990" s="6"/>
      <c r="E990" s="6"/>
      <c r="F990" s="15"/>
      <c r="G990" s="6"/>
      <c r="H990" s="6"/>
      <c r="I990" s="6"/>
      <c r="J990" s="16"/>
      <c r="K990" s="6"/>
      <c r="L990" s="16"/>
      <c r="M990" s="23"/>
      <c r="N990" s="15"/>
      <c r="O990" s="23"/>
      <c r="P990" s="21"/>
      <c r="Q990" s="6"/>
      <c r="R990" s="6"/>
      <c r="S990" s="20"/>
      <c r="T990" s="6"/>
      <c r="U990" s="21"/>
      <c r="W990" s="20"/>
      <c r="X990" s="21"/>
    </row>
    <row r="991" spans="2:24" ht="16">
      <c r="B991" s="26" t="str">
        <f t="shared" si="4"/>
        <v/>
      </c>
      <c r="C991" s="23"/>
      <c r="D991" s="6"/>
      <c r="E991" s="6"/>
      <c r="F991" s="15"/>
      <c r="G991" s="6"/>
      <c r="H991" s="6"/>
      <c r="I991" s="6"/>
      <c r="J991" s="16"/>
      <c r="K991" s="6"/>
      <c r="L991" s="16"/>
      <c r="M991" s="23"/>
      <c r="N991" s="15"/>
      <c r="O991" s="23"/>
      <c r="P991" s="21"/>
      <c r="Q991" s="6"/>
      <c r="R991" s="6"/>
      <c r="S991" s="20"/>
      <c r="T991" s="6"/>
      <c r="U991" s="21"/>
      <c r="W991" s="20"/>
      <c r="X991" s="21"/>
    </row>
    <row r="992" spans="2:24" ht="16">
      <c r="B992" s="26" t="str">
        <f t="shared" si="4"/>
        <v/>
      </c>
      <c r="C992" s="23"/>
      <c r="D992" s="6"/>
      <c r="E992" s="6"/>
      <c r="F992" s="15"/>
      <c r="G992" s="6"/>
      <c r="H992" s="6"/>
      <c r="I992" s="6"/>
      <c r="J992" s="16"/>
      <c r="K992" s="6"/>
      <c r="L992" s="16"/>
      <c r="M992" s="23"/>
      <c r="N992" s="15"/>
      <c r="O992" s="23"/>
      <c r="P992" s="21"/>
      <c r="Q992" s="6"/>
      <c r="R992" s="6"/>
      <c r="S992" s="20"/>
      <c r="T992" s="6"/>
      <c r="U992" s="21"/>
      <c r="W992" s="20"/>
      <c r="X992" s="21"/>
    </row>
    <row r="993" spans="2:24" ht="16">
      <c r="B993" s="26" t="str">
        <f t="shared" si="4"/>
        <v/>
      </c>
      <c r="C993" s="23"/>
      <c r="D993" s="6"/>
      <c r="E993" s="6"/>
      <c r="F993" s="15"/>
      <c r="G993" s="6"/>
      <c r="H993" s="6"/>
      <c r="I993" s="6"/>
      <c r="J993" s="16"/>
      <c r="K993" s="6"/>
      <c r="L993" s="16"/>
      <c r="M993" s="23"/>
      <c r="N993" s="15"/>
      <c r="O993" s="23"/>
      <c r="P993" s="21"/>
      <c r="Q993" s="6"/>
      <c r="R993" s="6"/>
      <c r="S993" s="20"/>
      <c r="T993" s="6"/>
      <c r="U993" s="21"/>
      <c r="W993" s="20"/>
      <c r="X993" s="21"/>
    </row>
    <row r="994" spans="2:24" ht="16">
      <c r="B994" s="26" t="str">
        <f t="shared" si="4"/>
        <v/>
      </c>
      <c r="C994" s="23"/>
      <c r="D994" s="6"/>
      <c r="E994" s="6"/>
      <c r="F994" s="15"/>
      <c r="G994" s="6"/>
      <c r="H994" s="6"/>
      <c r="I994" s="6"/>
      <c r="J994" s="16"/>
      <c r="K994" s="6"/>
      <c r="L994" s="16"/>
      <c r="M994" s="23"/>
      <c r="N994" s="15"/>
      <c r="O994" s="23"/>
      <c r="P994" s="21"/>
      <c r="Q994" s="6"/>
      <c r="R994" s="6"/>
      <c r="S994" s="20"/>
      <c r="T994" s="6"/>
      <c r="U994" s="21"/>
      <c r="W994" s="20"/>
      <c r="X994" s="21"/>
    </row>
    <row r="995" spans="2:24" ht="16">
      <c r="B995" s="26" t="str">
        <f t="shared" si="4"/>
        <v/>
      </c>
      <c r="C995" s="23"/>
      <c r="D995" s="6"/>
      <c r="E995" s="6"/>
      <c r="F995" s="15"/>
      <c r="G995" s="6"/>
      <c r="H995" s="6"/>
      <c r="I995" s="6"/>
      <c r="J995" s="16"/>
      <c r="K995" s="6"/>
      <c r="L995" s="16"/>
      <c r="M995" s="23"/>
      <c r="N995" s="15"/>
      <c r="O995" s="23"/>
      <c r="P995" s="21"/>
      <c r="Q995" s="6"/>
      <c r="R995" s="6"/>
      <c r="S995" s="20"/>
      <c r="T995" s="6"/>
      <c r="U995" s="21"/>
      <c r="W995" s="20"/>
      <c r="X995" s="21"/>
    </row>
    <row r="996" spans="2:24" ht="16">
      <c r="B996" s="26" t="str">
        <f t="shared" si="4"/>
        <v/>
      </c>
      <c r="C996" s="23"/>
      <c r="D996" s="6"/>
      <c r="E996" s="6"/>
      <c r="F996" s="15"/>
      <c r="G996" s="6"/>
      <c r="H996" s="6"/>
      <c r="I996" s="6"/>
      <c r="J996" s="16"/>
      <c r="K996" s="6"/>
      <c r="L996" s="16"/>
      <c r="M996" s="23"/>
      <c r="N996" s="15"/>
      <c r="O996" s="23"/>
      <c r="P996" s="21"/>
      <c r="Q996" s="6"/>
      <c r="R996" s="6"/>
      <c r="S996" s="20"/>
      <c r="T996" s="6"/>
      <c r="U996" s="21"/>
      <c r="W996" s="20"/>
      <c r="X996" s="21"/>
    </row>
    <row r="997" spans="2:24" ht="16">
      <c r="B997" s="26" t="str">
        <f t="shared" si="4"/>
        <v/>
      </c>
      <c r="C997" s="23"/>
      <c r="D997" s="6"/>
      <c r="E997" s="6"/>
      <c r="F997" s="15"/>
      <c r="G997" s="6"/>
      <c r="H997" s="6"/>
      <c r="I997" s="6"/>
      <c r="J997" s="16"/>
      <c r="K997" s="6"/>
      <c r="L997" s="16"/>
      <c r="M997" s="23"/>
      <c r="N997" s="15"/>
      <c r="O997" s="23"/>
      <c r="P997" s="21"/>
      <c r="Q997" s="6"/>
      <c r="R997" s="6"/>
      <c r="S997" s="20"/>
      <c r="T997" s="6"/>
      <c r="U997" s="21"/>
      <c r="W997" s="20"/>
      <c r="X997" s="21"/>
    </row>
    <row r="998" spans="2:24" ht="16">
      <c r="B998" s="26" t="str">
        <f t="shared" si="4"/>
        <v/>
      </c>
      <c r="C998" s="23"/>
      <c r="D998" s="6"/>
      <c r="E998" s="6"/>
      <c r="F998" s="15"/>
      <c r="G998" s="6"/>
      <c r="H998" s="6"/>
      <c r="I998" s="6"/>
      <c r="J998" s="16"/>
      <c r="K998" s="6"/>
      <c r="L998" s="16"/>
      <c r="M998" s="23"/>
      <c r="N998" s="15"/>
      <c r="O998" s="23"/>
      <c r="P998" s="21"/>
      <c r="Q998" s="6"/>
      <c r="R998" s="6"/>
      <c r="S998" s="20"/>
      <c r="T998" s="6"/>
      <c r="U998" s="21"/>
      <c r="W998" s="20"/>
      <c r="X998" s="21"/>
    </row>
    <row r="999" spans="2:24" ht="16">
      <c r="B999" s="26" t="str">
        <f t="shared" si="4"/>
        <v/>
      </c>
      <c r="C999" s="23"/>
      <c r="D999" s="6"/>
      <c r="E999" s="6"/>
      <c r="F999" s="15"/>
      <c r="G999" s="6"/>
      <c r="H999" s="6"/>
      <c r="I999" s="6"/>
      <c r="J999" s="16"/>
      <c r="K999" s="6"/>
      <c r="L999" s="16"/>
      <c r="M999" s="23"/>
      <c r="N999" s="15"/>
      <c r="O999" s="23"/>
      <c r="P999" s="21"/>
      <c r="Q999" s="6"/>
      <c r="R999" s="6"/>
      <c r="S999" s="20"/>
      <c r="T999" s="6"/>
      <c r="U999" s="21"/>
      <c r="W999" s="20"/>
      <c r="X999" s="21"/>
    </row>
    <row r="1000" spans="2:24" ht="16">
      <c r="B1000" s="26" t="str">
        <f t="shared" si="4"/>
        <v/>
      </c>
      <c r="C1000" s="23"/>
      <c r="D1000" s="6"/>
      <c r="E1000" s="6"/>
      <c r="F1000" s="15"/>
      <c r="G1000" s="6"/>
      <c r="H1000" s="6"/>
      <c r="I1000" s="6"/>
      <c r="J1000" s="16"/>
      <c r="K1000" s="6"/>
      <c r="L1000" s="16"/>
      <c r="M1000" s="23"/>
      <c r="N1000" s="15"/>
      <c r="O1000" s="23"/>
      <c r="P1000" s="21"/>
      <c r="Q1000" s="6"/>
      <c r="R1000" s="6"/>
      <c r="S1000" s="20"/>
      <c r="T1000" s="6"/>
      <c r="U1000" s="21"/>
      <c r="W1000" s="20"/>
      <c r="X1000" s="21"/>
    </row>
    <row r="1001" spans="2:24" ht="16">
      <c r="B1001" s="26" t="str">
        <f t="shared" si="4"/>
        <v/>
      </c>
      <c r="C1001" s="23"/>
      <c r="D1001" s="6"/>
      <c r="E1001" s="6"/>
      <c r="F1001" s="15"/>
      <c r="G1001" s="6"/>
      <c r="H1001" s="6"/>
      <c r="I1001" s="6"/>
      <c r="J1001" s="16"/>
      <c r="K1001" s="6"/>
      <c r="L1001" s="16"/>
      <c r="M1001" s="23"/>
      <c r="N1001" s="15"/>
      <c r="O1001" s="23"/>
      <c r="P1001" s="21"/>
      <c r="Q1001" s="6"/>
      <c r="R1001" s="6"/>
      <c r="S1001" s="20"/>
      <c r="T1001" s="6"/>
      <c r="U1001" s="21"/>
      <c r="W1001" s="20"/>
      <c r="X1001" s="21"/>
    </row>
    <row r="1002" spans="2:24" ht="16">
      <c r="B1002" s="26" t="str">
        <f t="shared" si="4"/>
        <v/>
      </c>
      <c r="C1002" s="23"/>
      <c r="D1002" s="6"/>
      <c r="E1002" s="6"/>
      <c r="F1002" s="15"/>
      <c r="G1002" s="6"/>
      <c r="H1002" s="6"/>
      <c r="I1002" s="6"/>
      <c r="J1002" s="16"/>
      <c r="K1002" s="6"/>
      <c r="L1002" s="16"/>
      <c r="M1002" s="23"/>
      <c r="N1002" s="15"/>
      <c r="O1002" s="23"/>
      <c r="P1002" s="21"/>
      <c r="Q1002" s="6"/>
      <c r="R1002" s="6"/>
      <c r="S1002" s="20"/>
      <c r="T1002" s="6"/>
      <c r="U1002" s="21"/>
      <c r="W1002" s="20"/>
      <c r="X1002" s="21"/>
    </row>
    <row r="1003" spans="2:24" ht="16">
      <c r="B1003" s="26" t="str">
        <f t="shared" si="4"/>
        <v/>
      </c>
      <c r="C1003" s="23"/>
      <c r="D1003" s="6"/>
      <c r="E1003" s="6"/>
      <c r="F1003" s="15"/>
      <c r="G1003" s="6"/>
      <c r="H1003" s="6"/>
      <c r="I1003" s="6"/>
      <c r="J1003" s="16"/>
      <c r="K1003" s="6"/>
      <c r="L1003" s="16"/>
      <c r="M1003" s="23"/>
      <c r="N1003" s="15"/>
      <c r="O1003" s="23"/>
      <c r="P1003" s="21"/>
      <c r="Q1003" s="6"/>
      <c r="R1003" s="6"/>
      <c r="S1003" s="20"/>
      <c r="T1003" s="6"/>
      <c r="U1003" s="21"/>
      <c r="W1003" s="20"/>
      <c r="X1003" s="21"/>
    </row>
    <row r="1004" spans="2:24" ht="16">
      <c r="B1004" s="26" t="str">
        <f t="shared" si="4"/>
        <v/>
      </c>
      <c r="C1004" s="23"/>
      <c r="D1004" s="6"/>
      <c r="E1004" s="6"/>
      <c r="F1004" s="15"/>
      <c r="G1004" s="6"/>
      <c r="H1004" s="6"/>
      <c r="I1004" s="6"/>
      <c r="J1004" s="16"/>
      <c r="K1004" s="6"/>
      <c r="L1004" s="16"/>
      <c r="M1004" s="23"/>
      <c r="N1004" s="15"/>
      <c r="O1004" s="23"/>
      <c r="P1004" s="21"/>
      <c r="Q1004" s="6"/>
      <c r="R1004" s="6"/>
      <c r="S1004" s="20"/>
      <c r="T1004" s="6"/>
      <c r="U1004" s="21"/>
      <c r="W1004" s="20"/>
      <c r="X1004" s="21"/>
    </row>
    <row r="1005" spans="2:24" ht="16">
      <c r="B1005" s="26" t="str">
        <f t="shared" si="4"/>
        <v/>
      </c>
      <c r="C1005" s="23"/>
      <c r="D1005" s="6"/>
      <c r="E1005" s="6"/>
      <c r="F1005" s="15"/>
      <c r="G1005" s="6"/>
      <c r="H1005" s="6"/>
      <c r="I1005" s="6"/>
      <c r="J1005" s="16"/>
      <c r="K1005" s="6"/>
      <c r="L1005" s="16"/>
      <c r="M1005" s="23"/>
      <c r="N1005" s="15"/>
      <c r="O1005" s="23"/>
      <c r="P1005" s="21"/>
      <c r="Q1005" s="6"/>
      <c r="R1005" s="6"/>
      <c r="S1005" s="20"/>
      <c r="T1005" s="6"/>
      <c r="U1005" s="21"/>
      <c r="W1005" s="20"/>
      <c r="X1005" s="21"/>
    </row>
    <row r="1006" spans="2:24" ht="16">
      <c r="B1006" s="26" t="str">
        <f t="shared" si="4"/>
        <v/>
      </c>
      <c r="C1006" s="23"/>
      <c r="D1006" s="6"/>
      <c r="E1006" s="6"/>
      <c r="F1006" s="15"/>
      <c r="G1006" s="6"/>
      <c r="H1006" s="6"/>
      <c r="I1006" s="6"/>
      <c r="J1006" s="16"/>
      <c r="K1006" s="6"/>
      <c r="L1006" s="16"/>
      <c r="M1006" s="23"/>
      <c r="N1006" s="15"/>
      <c r="O1006" s="23"/>
      <c r="P1006" s="21"/>
      <c r="Q1006" s="6"/>
      <c r="R1006" s="6"/>
      <c r="S1006" s="20"/>
      <c r="T1006" s="6"/>
      <c r="U1006" s="21"/>
      <c r="W1006" s="20"/>
      <c r="X1006" s="21"/>
    </row>
    <row r="1007" spans="2:24" ht="16">
      <c r="B1007" s="26" t="str">
        <f t="shared" si="4"/>
        <v/>
      </c>
      <c r="C1007" s="23"/>
      <c r="D1007" s="6"/>
      <c r="E1007" s="6"/>
      <c r="F1007" s="15"/>
      <c r="G1007" s="6"/>
      <c r="H1007" s="6"/>
      <c r="I1007" s="6"/>
      <c r="J1007" s="16"/>
      <c r="K1007" s="6"/>
      <c r="L1007" s="16"/>
      <c r="M1007" s="23"/>
      <c r="N1007" s="15"/>
      <c r="O1007" s="23"/>
      <c r="P1007" s="21"/>
      <c r="Q1007" s="6"/>
      <c r="R1007" s="6"/>
      <c r="S1007" s="20"/>
      <c r="T1007" s="6"/>
      <c r="U1007" s="21"/>
      <c r="W1007" s="20"/>
      <c r="X1007" s="21"/>
    </row>
    <row r="1008" spans="2:24" ht="16">
      <c r="B1008" s="26" t="str">
        <f t="shared" si="4"/>
        <v/>
      </c>
      <c r="C1008" s="23"/>
      <c r="D1008" s="6"/>
      <c r="E1008" s="6"/>
      <c r="F1008" s="15"/>
      <c r="G1008" s="6"/>
      <c r="H1008" s="6"/>
      <c r="I1008" s="6"/>
      <c r="J1008" s="16"/>
      <c r="K1008" s="6"/>
      <c r="L1008" s="16"/>
      <c r="M1008" s="23"/>
      <c r="N1008" s="15"/>
      <c r="O1008" s="23"/>
      <c r="P1008" s="21"/>
      <c r="Q1008" s="6"/>
      <c r="R1008" s="6"/>
      <c r="S1008" s="20"/>
      <c r="T1008" s="6"/>
      <c r="U1008" s="21"/>
      <c r="W1008" s="20"/>
      <c r="X1008" s="21"/>
    </row>
    <row r="1009" spans="2:24" ht="16">
      <c r="B1009" s="26" t="str">
        <f t="shared" si="4"/>
        <v/>
      </c>
      <c r="C1009" s="23"/>
      <c r="D1009" s="6"/>
      <c r="E1009" s="6"/>
      <c r="F1009" s="15"/>
      <c r="G1009" s="6"/>
      <c r="H1009" s="6"/>
      <c r="I1009" s="6"/>
      <c r="J1009" s="16"/>
      <c r="K1009" s="6"/>
      <c r="L1009" s="16"/>
      <c r="M1009" s="23"/>
      <c r="N1009" s="15"/>
      <c r="O1009" s="23"/>
      <c r="P1009" s="21"/>
      <c r="Q1009" s="6"/>
      <c r="R1009" s="6"/>
      <c r="S1009" s="20"/>
      <c r="T1009" s="6"/>
      <c r="U1009" s="21"/>
      <c r="W1009" s="20"/>
      <c r="X1009" s="21"/>
    </row>
    <row r="1010" spans="2:24" ht="16">
      <c r="B1010" s="26" t="str">
        <f t="shared" si="4"/>
        <v/>
      </c>
      <c r="C1010" s="23"/>
      <c r="D1010" s="6"/>
      <c r="E1010" s="6"/>
      <c r="F1010" s="15"/>
      <c r="G1010" s="6"/>
      <c r="H1010" s="6"/>
      <c r="I1010" s="6"/>
      <c r="J1010" s="16"/>
      <c r="K1010" s="6"/>
      <c r="L1010" s="16"/>
      <c r="M1010" s="23"/>
      <c r="N1010" s="15"/>
      <c r="O1010" s="23"/>
      <c r="P1010" s="21"/>
      <c r="Q1010" s="6"/>
      <c r="R1010" s="6"/>
      <c r="S1010" s="20"/>
      <c r="T1010" s="6"/>
      <c r="U1010" s="21"/>
      <c r="W1010" s="20"/>
      <c r="X1010" s="21"/>
    </row>
    <row r="1011" spans="2:24" ht="16">
      <c r="B1011" s="26" t="str">
        <f t="shared" si="4"/>
        <v/>
      </c>
      <c r="C1011" s="23"/>
      <c r="D1011" s="6"/>
      <c r="E1011" s="6"/>
      <c r="F1011" s="15"/>
      <c r="G1011" s="6"/>
      <c r="H1011" s="6"/>
      <c r="I1011" s="6"/>
      <c r="J1011" s="16"/>
      <c r="K1011" s="6"/>
      <c r="L1011" s="16"/>
      <c r="M1011" s="23"/>
      <c r="N1011" s="15"/>
      <c r="O1011" s="23"/>
      <c r="P1011" s="21"/>
      <c r="Q1011" s="6"/>
      <c r="R1011" s="6"/>
      <c r="S1011" s="20"/>
      <c r="T1011" s="6"/>
      <c r="U1011" s="21"/>
      <c r="W1011" s="20"/>
      <c r="X1011" s="21"/>
    </row>
    <row r="1012" spans="2:24" ht="16">
      <c r="B1012" s="26" t="str">
        <f t="shared" si="4"/>
        <v/>
      </c>
      <c r="C1012" s="23"/>
      <c r="D1012" s="6"/>
      <c r="E1012" s="6"/>
      <c r="F1012" s="15"/>
      <c r="G1012" s="6"/>
      <c r="H1012" s="6"/>
      <c r="I1012" s="6"/>
      <c r="J1012" s="16"/>
      <c r="K1012" s="6"/>
      <c r="L1012" s="16"/>
      <c r="M1012" s="23"/>
      <c r="N1012" s="15"/>
      <c r="O1012" s="23"/>
      <c r="P1012" s="21"/>
      <c r="Q1012" s="6"/>
      <c r="R1012" s="6"/>
      <c r="S1012" s="20"/>
      <c r="T1012" s="6"/>
      <c r="U1012" s="21"/>
      <c r="W1012" s="20"/>
      <c r="X1012" s="21"/>
    </row>
    <row r="1013" spans="2:24" ht="16">
      <c r="B1013" s="26" t="str">
        <f t="shared" si="4"/>
        <v/>
      </c>
      <c r="C1013" s="23"/>
      <c r="D1013" s="6"/>
      <c r="E1013" s="6"/>
      <c r="F1013" s="15"/>
      <c r="G1013" s="6"/>
      <c r="H1013" s="6"/>
      <c r="I1013" s="6"/>
      <c r="J1013" s="16"/>
      <c r="K1013" s="6"/>
      <c r="L1013" s="16"/>
      <c r="M1013" s="23"/>
      <c r="N1013" s="15"/>
      <c r="O1013" s="23"/>
      <c r="P1013" s="21"/>
      <c r="Q1013" s="6"/>
      <c r="R1013" s="6"/>
      <c r="S1013" s="20"/>
      <c r="T1013" s="6"/>
      <c r="U1013" s="21"/>
      <c r="W1013" s="20"/>
      <c r="X1013" s="21"/>
    </row>
    <row r="1014" spans="2:24" ht="16">
      <c r="B1014" s="26" t="str">
        <f t="shared" si="4"/>
        <v/>
      </c>
      <c r="C1014" s="23"/>
      <c r="D1014" s="6"/>
      <c r="E1014" s="6"/>
      <c r="F1014" s="15"/>
      <c r="G1014" s="6"/>
      <c r="H1014" s="6"/>
      <c r="I1014" s="6"/>
      <c r="J1014" s="16"/>
      <c r="K1014" s="6"/>
      <c r="L1014" s="16"/>
      <c r="M1014" s="23"/>
      <c r="N1014" s="15"/>
      <c r="O1014" s="23"/>
      <c r="P1014" s="21"/>
      <c r="Q1014" s="6"/>
      <c r="R1014" s="6"/>
      <c r="S1014" s="20"/>
      <c r="T1014" s="6"/>
      <c r="U1014" s="21"/>
      <c r="W1014" s="20"/>
      <c r="X1014" s="21"/>
    </row>
    <row r="1015" spans="2:24" ht="16">
      <c r="B1015" s="26" t="str">
        <f t="shared" si="4"/>
        <v/>
      </c>
      <c r="C1015" s="23"/>
      <c r="D1015" s="6"/>
      <c r="E1015" s="6"/>
      <c r="F1015" s="15"/>
      <c r="G1015" s="6"/>
      <c r="H1015" s="6"/>
      <c r="I1015" s="6"/>
      <c r="J1015" s="16"/>
      <c r="K1015" s="6"/>
      <c r="L1015" s="16"/>
      <c r="M1015" s="23"/>
      <c r="N1015" s="15"/>
      <c r="O1015" s="23"/>
      <c r="P1015" s="21"/>
      <c r="Q1015" s="6"/>
      <c r="R1015" s="6"/>
      <c r="S1015" s="20"/>
      <c r="T1015" s="6"/>
      <c r="U1015" s="21"/>
      <c r="W1015" s="20"/>
      <c r="X1015" s="21"/>
    </row>
    <row r="1016" spans="2:24" ht="16">
      <c r="B1016" s="26" t="str">
        <f t="shared" si="4"/>
        <v/>
      </c>
      <c r="C1016" s="23"/>
      <c r="D1016" s="6"/>
      <c r="E1016" s="6"/>
      <c r="F1016" s="15"/>
      <c r="G1016" s="6"/>
      <c r="H1016" s="6"/>
      <c r="I1016" s="6"/>
      <c r="J1016" s="16"/>
      <c r="K1016" s="6"/>
      <c r="L1016" s="16"/>
      <c r="M1016" s="23"/>
      <c r="N1016" s="15"/>
      <c r="O1016" s="23"/>
      <c r="P1016" s="21"/>
      <c r="Q1016" s="6"/>
      <c r="R1016" s="6"/>
      <c r="S1016" s="20"/>
      <c r="T1016" s="6"/>
      <c r="U1016" s="21"/>
      <c r="W1016" s="20"/>
      <c r="X1016" s="21"/>
    </row>
    <row r="1017" spans="2:24" ht="16">
      <c r="B1017" s="26" t="str">
        <f t="shared" si="4"/>
        <v/>
      </c>
      <c r="C1017" s="23"/>
      <c r="D1017" s="6"/>
      <c r="E1017" s="6"/>
      <c r="F1017" s="15"/>
      <c r="G1017" s="6"/>
      <c r="H1017" s="6"/>
      <c r="I1017" s="6"/>
      <c r="J1017" s="16"/>
      <c r="K1017" s="6"/>
      <c r="L1017" s="16"/>
      <c r="M1017" s="23"/>
      <c r="N1017" s="15"/>
      <c r="O1017" s="23"/>
      <c r="P1017" s="21"/>
      <c r="Q1017" s="6"/>
      <c r="R1017" s="6"/>
      <c r="S1017" s="20"/>
      <c r="T1017" s="6"/>
      <c r="U1017" s="21"/>
      <c r="W1017" s="20"/>
      <c r="X1017" s="21"/>
    </row>
    <row r="1018" spans="2:24" ht="16.5" customHeight="1">
      <c r="B1018" s="26" t="str">
        <f t="shared" si="4"/>
        <v/>
      </c>
      <c r="C1018" s="23"/>
      <c r="D1018" s="6"/>
      <c r="E1018" s="6"/>
      <c r="F1018" s="15"/>
      <c r="G1018" s="6"/>
      <c r="H1018" s="6"/>
      <c r="I1018" s="6"/>
      <c r="J1018" s="16"/>
      <c r="K1018" s="6"/>
      <c r="L1018" s="16"/>
      <c r="M1018" s="23"/>
      <c r="N1018" s="15"/>
      <c r="O1018" s="23"/>
      <c r="P1018" s="21"/>
      <c r="Q1018" s="6"/>
      <c r="R1018" s="6"/>
      <c r="S1018" s="20"/>
      <c r="T1018" s="6"/>
      <c r="U1018" s="21"/>
      <c r="W1018" s="20"/>
      <c r="X1018" s="21"/>
    </row>
    <row r="1019" spans="2:24" ht="16">
      <c r="B1019" s="26" t="str">
        <f t="shared" si="4"/>
        <v/>
      </c>
      <c r="C1019" s="23"/>
      <c r="D1019" s="6"/>
      <c r="E1019" s="6"/>
      <c r="F1019" s="15"/>
      <c r="G1019" s="6"/>
      <c r="H1019" s="6"/>
      <c r="I1019" s="6"/>
      <c r="J1019" s="16"/>
      <c r="K1019" s="6"/>
      <c r="L1019" s="16"/>
      <c r="M1019" s="23"/>
      <c r="N1019" s="15"/>
      <c r="O1019" s="23"/>
      <c r="P1019" s="21"/>
      <c r="Q1019" s="6"/>
      <c r="R1019" s="6"/>
      <c r="S1019" s="20"/>
      <c r="T1019" s="6"/>
      <c r="U1019" s="21"/>
      <c r="W1019" s="20"/>
      <c r="X1019" s="21"/>
    </row>
    <row r="1020" spans="2:24" ht="16">
      <c r="B1020" s="26" t="str">
        <f t="shared" si="4"/>
        <v/>
      </c>
      <c r="C1020" s="23"/>
      <c r="D1020" s="6"/>
      <c r="E1020" s="6"/>
      <c r="F1020" s="15"/>
      <c r="G1020" s="6"/>
      <c r="H1020" s="6"/>
      <c r="I1020" s="6"/>
      <c r="J1020" s="16"/>
      <c r="K1020" s="6"/>
      <c r="L1020" s="16"/>
      <c r="M1020" s="23"/>
      <c r="N1020" s="15"/>
      <c r="O1020" s="23"/>
      <c r="P1020" s="21"/>
      <c r="Q1020" s="6"/>
      <c r="R1020" s="6"/>
      <c r="S1020" s="20"/>
      <c r="T1020" s="6"/>
      <c r="U1020" s="21"/>
      <c r="W1020" s="20"/>
      <c r="X1020" s="21"/>
    </row>
    <row r="1021" spans="2:24" ht="16">
      <c r="B1021" s="26" t="str">
        <f t="shared" si="4"/>
        <v/>
      </c>
      <c r="C1021" s="23"/>
      <c r="D1021" s="6"/>
      <c r="E1021" s="6"/>
      <c r="F1021" s="15"/>
      <c r="G1021" s="6"/>
      <c r="H1021" s="6"/>
      <c r="I1021" s="6"/>
      <c r="J1021" s="16"/>
      <c r="K1021" s="6"/>
      <c r="L1021" s="16"/>
      <c r="M1021" s="23"/>
      <c r="N1021" s="15"/>
      <c r="O1021" s="23"/>
      <c r="P1021" s="21"/>
      <c r="Q1021" s="6"/>
      <c r="R1021" s="6"/>
      <c r="S1021" s="20"/>
      <c r="T1021" s="6"/>
      <c r="U1021" s="21"/>
      <c r="W1021" s="20"/>
      <c r="X1021" s="21"/>
    </row>
    <row r="1022" spans="2:24" ht="16">
      <c r="B1022" s="26" t="str">
        <f t="shared" si="4"/>
        <v/>
      </c>
      <c r="C1022" s="23"/>
      <c r="D1022" s="6"/>
      <c r="E1022" s="6"/>
      <c r="F1022" s="15"/>
      <c r="G1022" s="6"/>
      <c r="H1022" s="6"/>
      <c r="I1022" s="6"/>
      <c r="J1022" s="16"/>
      <c r="K1022" s="6"/>
      <c r="L1022" s="16"/>
      <c r="M1022" s="23"/>
      <c r="N1022" s="15"/>
      <c r="O1022" s="23"/>
      <c r="P1022" s="21"/>
      <c r="Q1022" s="6"/>
      <c r="R1022" s="6"/>
      <c r="S1022" s="20"/>
      <c r="T1022" s="6"/>
      <c r="U1022" s="21"/>
      <c r="W1022" s="20"/>
      <c r="X1022" s="21"/>
    </row>
    <row r="1023" spans="2:24" ht="16">
      <c r="B1023" s="26" t="str">
        <f t="shared" si="4"/>
        <v/>
      </c>
      <c r="C1023" s="23"/>
      <c r="D1023" s="6"/>
      <c r="E1023" s="6"/>
      <c r="F1023" s="15"/>
      <c r="G1023" s="6"/>
      <c r="H1023" s="6"/>
      <c r="I1023" s="6"/>
      <c r="J1023" s="16"/>
      <c r="K1023" s="6"/>
      <c r="L1023" s="16"/>
      <c r="M1023" s="23"/>
      <c r="N1023" s="15"/>
      <c r="O1023" s="23"/>
      <c r="P1023" s="21"/>
      <c r="Q1023" s="6"/>
      <c r="R1023" s="6"/>
      <c r="S1023" s="20"/>
      <c r="T1023" s="6"/>
      <c r="U1023" s="21"/>
      <c r="W1023" s="20"/>
      <c r="X1023" s="21"/>
    </row>
    <row r="1024" spans="2:24" ht="16">
      <c r="B1024" s="26" t="str">
        <f t="shared" si="4"/>
        <v/>
      </c>
      <c r="C1024" s="23"/>
      <c r="D1024" s="6"/>
      <c r="E1024" s="6"/>
      <c r="F1024" s="15"/>
      <c r="G1024" s="6"/>
      <c r="H1024" s="6"/>
      <c r="I1024" s="6"/>
      <c r="J1024" s="16"/>
      <c r="K1024" s="6"/>
      <c r="L1024" s="16"/>
      <c r="M1024" s="23"/>
      <c r="N1024" s="15"/>
      <c r="O1024" s="23"/>
      <c r="P1024" s="21"/>
      <c r="Q1024" s="6"/>
      <c r="R1024" s="6"/>
      <c r="S1024" s="20"/>
      <c r="T1024" s="6"/>
      <c r="U1024" s="21"/>
      <c r="W1024" s="20"/>
      <c r="X1024" s="21"/>
    </row>
    <row r="1025" spans="2:24" ht="16">
      <c r="B1025" s="26" t="str">
        <f t="shared" si="4"/>
        <v/>
      </c>
      <c r="C1025" s="23"/>
      <c r="D1025" s="6"/>
      <c r="E1025" s="6"/>
      <c r="F1025" s="15"/>
      <c r="G1025" s="6"/>
      <c r="H1025" s="6"/>
      <c r="I1025" s="6"/>
      <c r="J1025" s="16"/>
      <c r="K1025" s="6"/>
      <c r="L1025" s="16"/>
      <c r="M1025" s="23"/>
      <c r="N1025" s="15"/>
      <c r="O1025" s="23"/>
      <c r="P1025" s="21"/>
      <c r="Q1025" s="6"/>
      <c r="R1025" s="6"/>
      <c r="S1025" s="20"/>
      <c r="T1025" s="6"/>
      <c r="U1025" s="21"/>
      <c r="W1025" s="20"/>
      <c r="X1025" s="21"/>
    </row>
    <row r="1026" spans="2:24" ht="16">
      <c r="B1026" s="26" t="str">
        <f t="shared" si="4"/>
        <v/>
      </c>
      <c r="C1026" s="23"/>
      <c r="D1026" s="6"/>
      <c r="E1026" s="6"/>
      <c r="F1026" s="15"/>
      <c r="G1026" s="6"/>
      <c r="H1026" s="6"/>
      <c r="I1026" s="6"/>
      <c r="J1026" s="16"/>
      <c r="K1026" s="6"/>
      <c r="L1026" s="16"/>
      <c r="M1026" s="23"/>
      <c r="N1026" s="15"/>
      <c r="O1026" s="23"/>
      <c r="P1026" s="21"/>
      <c r="Q1026" s="6"/>
      <c r="R1026" s="6"/>
      <c r="S1026" s="20"/>
      <c r="T1026" s="6"/>
      <c r="U1026" s="21"/>
      <c r="W1026" s="20"/>
      <c r="X1026" s="21"/>
    </row>
    <row r="1027" spans="2:24" ht="16">
      <c r="B1027" s="26" t="str">
        <f t="shared" si="4"/>
        <v/>
      </c>
      <c r="C1027" s="23"/>
      <c r="D1027" s="6"/>
      <c r="E1027" s="6"/>
      <c r="F1027" s="15"/>
      <c r="G1027" s="6"/>
      <c r="H1027" s="6"/>
      <c r="I1027" s="6"/>
      <c r="J1027" s="16"/>
      <c r="K1027" s="6"/>
      <c r="L1027" s="16"/>
      <c r="M1027" s="23"/>
      <c r="N1027" s="15"/>
      <c r="O1027" s="23"/>
      <c r="P1027" s="21"/>
      <c r="Q1027" s="6"/>
      <c r="R1027" s="6"/>
      <c r="S1027" s="20"/>
      <c r="T1027" s="6"/>
      <c r="U1027" s="21"/>
      <c r="W1027" s="20"/>
      <c r="X1027" s="21"/>
    </row>
    <row r="1028" spans="2:24" ht="16">
      <c r="B1028" s="26" t="str">
        <f t="shared" si="4"/>
        <v/>
      </c>
      <c r="C1028" s="23"/>
      <c r="D1028" s="6"/>
      <c r="E1028" s="6"/>
      <c r="F1028" s="15"/>
      <c r="G1028" s="6"/>
      <c r="H1028" s="6"/>
      <c r="I1028" s="6"/>
      <c r="J1028" s="16"/>
      <c r="K1028" s="6"/>
      <c r="L1028" s="16"/>
      <c r="M1028" s="23"/>
      <c r="N1028" s="15"/>
      <c r="O1028" s="23"/>
      <c r="P1028" s="21"/>
      <c r="Q1028" s="6"/>
      <c r="R1028" s="6"/>
      <c r="S1028" s="20"/>
      <c r="T1028" s="6"/>
      <c r="U1028" s="21"/>
      <c r="W1028" s="20"/>
      <c r="X1028" s="21"/>
    </row>
    <row r="1029" spans="2:24" ht="16">
      <c r="B1029" s="26" t="str">
        <f t="shared" si="4"/>
        <v/>
      </c>
      <c r="C1029" s="23"/>
      <c r="D1029" s="6"/>
      <c r="E1029" s="6"/>
      <c r="F1029" s="15"/>
      <c r="G1029" s="6"/>
      <c r="H1029" s="6"/>
      <c r="I1029" s="6"/>
      <c r="J1029" s="16"/>
      <c r="K1029" s="6"/>
      <c r="L1029" s="16"/>
      <c r="M1029" s="23"/>
      <c r="N1029" s="15"/>
      <c r="O1029" s="23"/>
      <c r="P1029" s="21"/>
      <c r="Q1029" s="6"/>
      <c r="R1029" s="6"/>
      <c r="S1029" s="20"/>
      <c r="T1029" s="6"/>
      <c r="U1029" s="21"/>
      <c r="W1029" s="20"/>
      <c r="X1029" s="21"/>
    </row>
    <row r="1030" spans="2:24" ht="16">
      <c r="B1030" s="26" t="str">
        <f t="shared" si="4"/>
        <v/>
      </c>
      <c r="C1030" s="23"/>
      <c r="D1030" s="6"/>
      <c r="E1030" s="6"/>
      <c r="F1030" s="15"/>
      <c r="G1030" s="6"/>
      <c r="H1030" s="6"/>
      <c r="I1030" s="6"/>
      <c r="J1030" s="16"/>
      <c r="K1030" s="6"/>
      <c r="L1030" s="16"/>
      <c r="M1030" s="23"/>
      <c r="N1030" s="15"/>
      <c r="O1030" s="23"/>
      <c r="P1030" s="21"/>
      <c r="Q1030" s="6"/>
      <c r="R1030" s="6"/>
      <c r="S1030" s="20"/>
      <c r="T1030" s="6"/>
      <c r="U1030" s="21"/>
      <c r="W1030" s="20"/>
      <c r="X1030" s="21"/>
    </row>
    <row r="1031" spans="2:24" ht="16">
      <c r="B1031" s="26" t="str">
        <f t="shared" si="4"/>
        <v/>
      </c>
      <c r="C1031" s="23"/>
      <c r="D1031" s="6"/>
      <c r="E1031" s="6"/>
      <c r="F1031" s="15"/>
      <c r="G1031" s="6"/>
      <c r="H1031" s="6"/>
      <c r="I1031" s="6"/>
      <c r="J1031" s="16"/>
      <c r="K1031" s="6"/>
      <c r="L1031" s="16"/>
      <c r="M1031" s="23"/>
      <c r="N1031" s="15"/>
      <c r="O1031" s="23"/>
      <c r="P1031" s="21"/>
      <c r="Q1031" s="6"/>
      <c r="R1031" s="6"/>
      <c r="S1031" s="20"/>
      <c r="T1031" s="6"/>
      <c r="U1031" s="21"/>
      <c r="W1031" s="20"/>
      <c r="X1031" s="21"/>
    </row>
    <row r="1032" spans="2:24" ht="16">
      <c r="B1032" s="26" t="str">
        <f t="shared" si="4"/>
        <v/>
      </c>
      <c r="C1032" s="23"/>
      <c r="D1032" s="6"/>
      <c r="E1032" s="6"/>
      <c r="F1032" s="15"/>
      <c r="G1032" s="6"/>
      <c r="H1032" s="6"/>
      <c r="I1032" s="6"/>
      <c r="J1032" s="16"/>
      <c r="K1032" s="6"/>
      <c r="L1032" s="16"/>
      <c r="M1032" s="23"/>
      <c r="N1032" s="15"/>
      <c r="O1032" s="23"/>
      <c r="P1032" s="21"/>
      <c r="Q1032" s="6"/>
      <c r="R1032" s="6"/>
      <c r="S1032" s="20"/>
      <c r="T1032" s="6"/>
      <c r="U1032" s="21"/>
      <c r="W1032" s="20"/>
      <c r="X1032" s="21"/>
    </row>
    <row r="1033" spans="2:24" ht="16">
      <c r="B1033" s="26" t="str">
        <f t="shared" si="4"/>
        <v/>
      </c>
      <c r="C1033" s="23"/>
      <c r="D1033" s="6"/>
      <c r="E1033" s="6"/>
      <c r="F1033" s="15"/>
      <c r="G1033" s="6"/>
      <c r="H1033" s="6"/>
      <c r="I1033" s="6"/>
      <c r="J1033" s="16"/>
      <c r="K1033" s="6"/>
      <c r="L1033" s="16"/>
      <c r="M1033" s="23"/>
      <c r="N1033" s="15"/>
      <c r="O1033" s="23"/>
      <c r="P1033" s="21"/>
      <c r="Q1033" s="6"/>
      <c r="R1033" s="6"/>
      <c r="S1033" s="20"/>
      <c r="T1033" s="6"/>
      <c r="U1033" s="21"/>
      <c r="W1033" s="20"/>
      <c r="X1033" s="21"/>
    </row>
    <row r="1034" spans="2:24" ht="16">
      <c r="B1034" s="26" t="str">
        <f t="shared" si="4"/>
        <v/>
      </c>
      <c r="C1034" s="23"/>
      <c r="D1034" s="6"/>
      <c r="E1034" s="6"/>
      <c r="F1034" s="15"/>
      <c r="G1034" s="6"/>
      <c r="H1034" s="6"/>
      <c r="I1034" s="6"/>
      <c r="J1034" s="16"/>
      <c r="K1034" s="6"/>
      <c r="L1034" s="16"/>
      <c r="M1034" s="23"/>
      <c r="N1034" s="15"/>
      <c r="O1034" s="23"/>
      <c r="P1034" s="21"/>
      <c r="Q1034" s="6"/>
      <c r="R1034" s="6"/>
      <c r="S1034" s="20"/>
      <c r="T1034" s="6"/>
      <c r="U1034" s="21"/>
      <c r="W1034" s="20"/>
      <c r="X1034" s="21"/>
    </row>
    <row r="1035" spans="2:24" ht="16">
      <c r="B1035" s="26" t="str">
        <f t="shared" si="4"/>
        <v/>
      </c>
      <c r="C1035" s="23"/>
      <c r="D1035" s="6"/>
      <c r="E1035" s="6"/>
      <c r="F1035" s="15"/>
      <c r="G1035" s="6"/>
      <c r="H1035" s="6"/>
      <c r="I1035" s="6"/>
      <c r="J1035" s="16"/>
      <c r="K1035" s="6"/>
      <c r="L1035" s="16"/>
      <c r="M1035" s="23"/>
      <c r="N1035" s="15"/>
      <c r="O1035" s="23"/>
      <c r="P1035" s="21"/>
      <c r="Q1035" s="6"/>
      <c r="R1035" s="6"/>
      <c r="S1035" s="20"/>
      <c r="T1035" s="6"/>
      <c r="U1035" s="21"/>
      <c r="W1035" s="20"/>
      <c r="X1035" s="21"/>
    </row>
    <row r="1036" spans="2:24" ht="16">
      <c r="B1036" s="26" t="str">
        <f t="shared" si="4"/>
        <v/>
      </c>
      <c r="C1036" s="23"/>
      <c r="D1036" s="6"/>
      <c r="E1036" s="6"/>
      <c r="F1036" s="15"/>
      <c r="G1036" s="6"/>
      <c r="H1036" s="6"/>
      <c r="I1036" s="6"/>
      <c r="J1036" s="16"/>
      <c r="K1036" s="6"/>
      <c r="L1036" s="16"/>
      <c r="M1036" s="23"/>
      <c r="N1036" s="15"/>
      <c r="O1036" s="23"/>
      <c r="P1036" s="21"/>
      <c r="Q1036" s="6"/>
      <c r="R1036" s="6"/>
      <c r="S1036" s="20"/>
      <c r="T1036" s="6"/>
      <c r="U1036" s="21"/>
      <c r="W1036" s="20"/>
      <c r="X1036" s="21"/>
    </row>
    <row r="1037" spans="2:24" ht="16">
      <c r="B1037" s="26" t="str">
        <f t="shared" si="4"/>
        <v/>
      </c>
      <c r="C1037" s="23"/>
      <c r="D1037" s="6"/>
      <c r="E1037" s="6"/>
      <c r="F1037" s="15"/>
      <c r="G1037" s="6"/>
      <c r="H1037" s="6"/>
      <c r="I1037" s="6"/>
      <c r="J1037" s="16"/>
      <c r="K1037" s="6"/>
      <c r="L1037" s="16"/>
      <c r="M1037" s="23"/>
      <c r="N1037" s="15"/>
      <c r="O1037" s="23"/>
      <c r="P1037" s="21"/>
      <c r="Q1037" s="6"/>
      <c r="R1037" s="6"/>
      <c r="S1037" s="20"/>
      <c r="T1037" s="6"/>
      <c r="U1037" s="21"/>
      <c r="W1037" s="20"/>
      <c r="X1037" s="21"/>
    </row>
    <row r="1038" spans="2:24" ht="16">
      <c r="B1038" s="26" t="str">
        <f t="shared" si="4"/>
        <v/>
      </c>
      <c r="C1038" s="23"/>
      <c r="D1038" s="6"/>
      <c r="E1038" s="6"/>
      <c r="F1038" s="15"/>
      <c r="G1038" s="6"/>
      <c r="H1038" s="6"/>
      <c r="I1038" s="6"/>
      <c r="J1038" s="16"/>
      <c r="K1038" s="6"/>
      <c r="L1038" s="16"/>
      <c r="M1038" s="23"/>
      <c r="N1038" s="15"/>
      <c r="O1038" s="23"/>
      <c r="P1038" s="21"/>
      <c r="Q1038" s="6"/>
      <c r="R1038" s="6"/>
      <c r="S1038" s="20"/>
      <c r="T1038" s="6"/>
      <c r="U1038" s="21"/>
      <c r="W1038" s="20"/>
      <c r="X1038" s="21"/>
    </row>
    <row r="1039" spans="2:24" ht="16">
      <c r="B1039" s="26" t="str">
        <f t="shared" si="4"/>
        <v/>
      </c>
      <c r="C1039" s="23"/>
      <c r="D1039" s="6"/>
      <c r="E1039" s="6"/>
      <c r="F1039" s="15"/>
      <c r="G1039" s="6"/>
      <c r="H1039" s="6"/>
      <c r="I1039" s="6"/>
      <c r="J1039" s="16"/>
      <c r="K1039" s="6"/>
      <c r="L1039" s="16"/>
      <c r="M1039" s="23"/>
      <c r="N1039" s="15"/>
      <c r="O1039" s="23"/>
      <c r="P1039" s="21"/>
      <c r="Q1039" s="6"/>
      <c r="R1039" s="6"/>
      <c r="S1039" s="20"/>
      <c r="T1039" s="6"/>
      <c r="U1039" s="21"/>
      <c r="W1039" s="20"/>
      <c r="X1039" s="21"/>
    </row>
    <row r="1040" spans="2:24" ht="16">
      <c r="B1040" s="26" t="str">
        <f t="shared" si="4"/>
        <v/>
      </c>
      <c r="C1040" s="23"/>
      <c r="D1040" s="6"/>
      <c r="E1040" s="6"/>
      <c r="F1040" s="15"/>
      <c r="G1040" s="6"/>
      <c r="H1040" s="6"/>
      <c r="I1040" s="6"/>
      <c r="J1040" s="16"/>
      <c r="K1040" s="6"/>
      <c r="L1040" s="16"/>
      <c r="M1040" s="17"/>
      <c r="N1040" s="15"/>
      <c r="O1040" s="23"/>
      <c r="P1040" s="21"/>
      <c r="Q1040" s="6"/>
      <c r="R1040" s="6"/>
      <c r="S1040" s="20"/>
      <c r="T1040" s="6"/>
      <c r="U1040" s="21"/>
      <c r="W1040" s="20"/>
      <c r="X1040" s="21"/>
    </row>
    <row r="1041" spans="2:24" ht="16">
      <c r="B1041" s="26" t="str">
        <f t="shared" si="4"/>
        <v/>
      </c>
      <c r="C1041" s="23"/>
      <c r="D1041" s="6"/>
      <c r="E1041" s="6"/>
      <c r="F1041" s="15"/>
      <c r="G1041" s="6"/>
      <c r="H1041" s="6"/>
      <c r="I1041" s="6"/>
      <c r="J1041" s="16"/>
      <c r="K1041" s="6"/>
      <c r="L1041" s="16"/>
      <c r="M1041" s="23"/>
      <c r="N1041" s="15"/>
      <c r="O1041" s="23"/>
      <c r="P1041" s="21"/>
      <c r="Q1041" s="6"/>
      <c r="R1041" s="6"/>
      <c r="S1041" s="20"/>
      <c r="T1041" s="6"/>
      <c r="U1041" s="21"/>
      <c r="W1041" s="20"/>
      <c r="X1041" s="21"/>
    </row>
    <row r="1042" spans="2:24" ht="16">
      <c r="B1042" s="26" t="str">
        <f t="shared" si="4"/>
        <v/>
      </c>
      <c r="C1042" s="23"/>
      <c r="D1042" s="6"/>
      <c r="E1042" s="6"/>
      <c r="F1042" s="15"/>
      <c r="G1042" s="6"/>
      <c r="H1042" s="6"/>
      <c r="I1042" s="6"/>
      <c r="J1042" s="16"/>
      <c r="K1042" s="6"/>
      <c r="L1042" s="16"/>
      <c r="M1042" s="23"/>
      <c r="N1042" s="15"/>
      <c r="O1042" s="23"/>
      <c r="P1042" s="21"/>
      <c r="Q1042" s="6"/>
      <c r="R1042" s="6"/>
      <c r="S1042" s="20"/>
      <c r="T1042" s="6"/>
      <c r="U1042" s="21"/>
      <c r="W1042" s="20"/>
      <c r="X1042" s="21"/>
    </row>
    <row r="1043" spans="2:24" ht="16">
      <c r="B1043" s="26" t="str">
        <f t="shared" si="4"/>
        <v/>
      </c>
      <c r="C1043" s="23"/>
      <c r="D1043" s="6"/>
      <c r="E1043" s="6"/>
      <c r="F1043" s="15"/>
      <c r="G1043" s="6"/>
      <c r="H1043" s="6"/>
      <c r="I1043" s="6"/>
      <c r="J1043" s="16"/>
      <c r="K1043" s="6"/>
      <c r="L1043" s="16"/>
      <c r="M1043" s="23"/>
      <c r="N1043" s="15"/>
      <c r="O1043" s="23"/>
      <c r="P1043" s="21"/>
      <c r="Q1043" s="6"/>
      <c r="R1043" s="6"/>
      <c r="S1043" s="20"/>
      <c r="T1043" s="6"/>
      <c r="U1043" s="21"/>
      <c r="W1043" s="20"/>
      <c r="X1043" s="21"/>
    </row>
    <row r="1044" spans="2:24" ht="16">
      <c r="B1044" s="26" t="str">
        <f t="shared" si="4"/>
        <v/>
      </c>
      <c r="C1044" s="23"/>
      <c r="D1044" s="6"/>
      <c r="E1044" s="6"/>
      <c r="F1044" s="15"/>
      <c r="G1044" s="6"/>
      <c r="H1044" s="6"/>
      <c r="I1044" s="6"/>
      <c r="J1044" s="16"/>
      <c r="K1044" s="6"/>
      <c r="L1044" s="16"/>
      <c r="M1044" s="23"/>
      <c r="N1044" s="15"/>
      <c r="O1044" s="23"/>
      <c r="P1044" s="21"/>
      <c r="Q1044" s="6"/>
      <c r="R1044" s="6"/>
      <c r="S1044" s="20"/>
      <c r="T1044" s="6"/>
      <c r="U1044" s="21"/>
      <c r="W1044" s="20"/>
      <c r="X1044" s="21"/>
    </row>
    <row r="1045" spans="2:24" ht="16">
      <c r="B1045" s="26" t="str">
        <f t="shared" si="4"/>
        <v/>
      </c>
      <c r="C1045" s="23"/>
      <c r="D1045" s="6"/>
      <c r="E1045" s="6"/>
      <c r="F1045" s="15"/>
      <c r="G1045" s="6"/>
      <c r="H1045" s="6"/>
      <c r="I1045" s="6"/>
      <c r="J1045" s="16"/>
      <c r="K1045" s="6"/>
      <c r="L1045" s="16"/>
      <c r="M1045" s="23"/>
      <c r="N1045" s="15"/>
      <c r="O1045" s="23"/>
      <c r="P1045" s="21"/>
      <c r="Q1045" s="6"/>
      <c r="R1045" s="6"/>
      <c r="S1045" s="20"/>
      <c r="T1045" s="6"/>
      <c r="U1045" s="21"/>
      <c r="W1045" s="20"/>
      <c r="X1045" s="21"/>
    </row>
    <row r="1046" spans="2:24" ht="16">
      <c r="B1046" s="26" t="str">
        <f t="shared" si="4"/>
        <v/>
      </c>
      <c r="C1046" s="23"/>
      <c r="D1046" s="6"/>
      <c r="E1046" s="6"/>
      <c r="F1046" s="15"/>
      <c r="G1046" s="6"/>
      <c r="H1046" s="6"/>
      <c r="I1046" s="6"/>
      <c r="J1046" s="16"/>
      <c r="K1046" s="6"/>
      <c r="L1046" s="16"/>
      <c r="M1046" s="23"/>
      <c r="N1046" s="15"/>
      <c r="O1046" s="23"/>
      <c r="P1046" s="21"/>
      <c r="Q1046" s="6"/>
      <c r="R1046" s="6"/>
      <c r="S1046" s="20"/>
      <c r="T1046" s="6"/>
      <c r="U1046" s="21"/>
      <c r="W1046" s="20"/>
      <c r="X1046" s="21"/>
    </row>
    <row r="1047" spans="2:24" ht="16">
      <c r="B1047" s="26" t="str">
        <f t="shared" ref="B1047:B1301" si="5">IF($H1047="","",LEFT(C1047,3))</f>
        <v/>
      </c>
      <c r="C1047" s="23"/>
      <c r="D1047" s="6"/>
      <c r="E1047" s="6"/>
      <c r="F1047" s="15"/>
      <c r="G1047" s="6"/>
      <c r="H1047" s="6"/>
      <c r="I1047" s="6"/>
      <c r="J1047" s="16"/>
      <c r="K1047" s="6"/>
      <c r="L1047" s="16"/>
      <c r="M1047" s="23"/>
      <c r="N1047" s="15"/>
      <c r="O1047" s="23"/>
      <c r="P1047" s="21"/>
      <c r="Q1047" s="6"/>
      <c r="R1047" s="6"/>
      <c r="S1047" s="20"/>
      <c r="T1047" s="6"/>
      <c r="U1047" s="21"/>
      <c r="W1047" s="20"/>
      <c r="X1047" s="21"/>
    </row>
    <row r="1048" spans="2:24" ht="16">
      <c r="B1048" s="26" t="str">
        <f t="shared" si="5"/>
        <v/>
      </c>
      <c r="C1048" s="23"/>
      <c r="D1048" s="6"/>
      <c r="E1048" s="6"/>
      <c r="F1048" s="15"/>
      <c r="G1048" s="6"/>
      <c r="H1048" s="6"/>
      <c r="I1048" s="6"/>
      <c r="J1048" s="16"/>
      <c r="K1048" s="6"/>
      <c r="L1048" s="16"/>
      <c r="M1048" s="23"/>
      <c r="N1048" s="15"/>
      <c r="O1048" s="23"/>
      <c r="P1048" s="21"/>
      <c r="Q1048" s="6"/>
      <c r="R1048" s="6"/>
      <c r="S1048" s="20"/>
      <c r="T1048" s="6"/>
      <c r="U1048" s="21"/>
      <c r="W1048" s="20"/>
      <c r="X1048" s="21"/>
    </row>
    <row r="1049" spans="2:24" ht="16">
      <c r="B1049" s="26" t="str">
        <f t="shared" si="5"/>
        <v/>
      </c>
      <c r="C1049" s="23"/>
      <c r="D1049" s="6"/>
      <c r="E1049" s="6"/>
      <c r="F1049" s="15"/>
      <c r="G1049" s="6"/>
      <c r="H1049" s="6"/>
      <c r="I1049" s="6"/>
      <c r="J1049" s="16"/>
      <c r="K1049" s="6"/>
      <c r="L1049" s="16"/>
      <c r="M1049" s="23"/>
      <c r="N1049" s="15"/>
      <c r="O1049" s="23"/>
      <c r="P1049" s="21"/>
      <c r="Q1049" s="6"/>
      <c r="R1049" s="6"/>
      <c r="S1049" s="20"/>
      <c r="T1049" s="6"/>
      <c r="U1049" s="21"/>
      <c r="W1049" s="20"/>
      <c r="X1049" s="21"/>
    </row>
    <row r="1050" spans="2:24" ht="16">
      <c r="B1050" s="26" t="str">
        <f t="shared" si="5"/>
        <v/>
      </c>
      <c r="C1050" s="23"/>
      <c r="D1050" s="6"/>
      <c r="E1050" s="6"/>
      <c r="F1050" s="15"/>
      <c r="G1050" s="6"/>
      <c r="H1050" s="6"/>
      <c r="I1050" s="6"/>
      <c r="J1050" s="16"/>
      <c r="K1050" s="6"/>
      <c r="L1050" s="16"/>
      <c r="M1050" s="23"/>
      <c r="N1050" s="15"/>
      <c r="O1050" s="23"/>
      <c r="P1050" s="21"/>
      <c r="Q1050" s="6"/>
      <c r="R1050" s="6"/>
      <c r="S1050" s="20"/>
      <c r="T1050" s="6"/>
      <c r="U1050" s="21"/>
      <c r="W1050" s="20"/>
      <c r="X1050" s="21"/>
    </row>
    <row r="1051" spans="2:24" ht="16">
      <c r="B1051" s="26" t="str">
        <f t="shared" si="5"/>
        <v/>
      </c>
      <c r="C1051" s="23"/>
      <c r="D1051" s="6"/>
      <c r="E1051" s="6"/>
      <c r="F1051" s="15"/>
      <c r="G1051" s="6"/>
      <c r="H1051" s="6"/>
      <c r="I1051" s="6"/>
      <c r="J1051" s="16"/>
      <c r="K1051" s="6"/>
      <c r="L1051" s="16"/>
      <c r="M1051" s="23"/>
      <c r="N1051" s="15"/>
      <c r="O1051" s="23"/>
      <c r="P1051" s="21"/>
      <c r="Q1051" s="6"/>
      <c r="R1051" s="6"/>
      <c r="S1051" s="20"/>
      <c r="T1051" s="6"/>
      <c r="U1051" s="21"/>
      <c r="W1051" s="20"/>
      <c r="X1051" s="21"/>
    </row>
    <row r="1052" spans="2:24" ht="16">
      <c r="B1052" s="26" t="str">
        <f t="shared" si="5"/>
        <v/>
      </c>
      <c r="C1052" s="23"/>
      <c r="D1052" s="6"/>
      <c r="E1052" s="6"/>
      <c r="F1052" s="15"/>
      <c r="G1052" s="6"/>
      <c r="H1052" s="6"/>
      <c r="I1052" s="6"/>
      <c r="J1052" s="16"/>
      <c r="K1052" s="6"/>
      <c r="L1052" s="16"/>
      <c r="M1052" s="23"/>
      <c r="N1052" s="15"/>
      <c r="O1052" s="23"/>
      <c r="P1052" s="21"/>
      <c r="Q1052" s="6"/>
      <c r="R1052" s="6"/>
      <c r="S1052" s="20"/>
      <c r="T1052" s="6"/>
      <c r="U1052" s="21"/>
      <c r="W1052" s="20"/>
      <c r="X1052" s="21"/>
    </row>
    <row r="1053" spans="2:24" ht="16">
      <c r="B1053" s="26" t="str">
        <f t="shared" si="5"/>
        <v/>
      </c>
      <c r="C1053" s="23"/>
      <c r="D1053" s="6"/>
      <c r="E1053" s="6"/>
      <c r="F1053" s="15"/>
      <c r="G1053" s="6"/>
      <c r="H1053" s="6"/>
      <c r="I1053" s="6"/>
      <c r="J1053" s="16"/>
      <c r="K1053" s="6"/>
      <c r="L1053" s="16"/>
      <c r="M1053" s="23"/>
      <c r="N1053" s="15"/>
      <c r="O1053" s="23"/>
      <c r="P1053" s="21"/>
      <c r="Q1053" s="6"/>
      <c r="R1053" s="6"/>
      <c r="S1053" s="20"/>
      <c r="T1053" s="6"/>
      <c r="U1053" s="21"/>
      <c r="W1053" s="20"/>
      <c r="X1053" s="21"/>
    </row>
    <row r="1054" spans="2:24" ht="16">
      <c r="B1054" s="26" t="str">
        <f t="shared" si="5"/>
        <v/>
      </c>
      <c r="C1054" s="23"/>
      <c r="D1054" s="6"/>
      <c r="E1054" s="6"/>
      <c r="F1054" s="15"/>
      <c r="G1054" s="6"/>
      <c r="H1054" s="6"/>
      <c r="I1054" s="6"/>
      <c r="J1054" s="16"/>
      <c r="K1054" s="6"/>
      <c r="L1054" s="16"/>
      <c r="M1054" s="23"/>
      <c r="N1054" s="15"/>
      <c r="O1054" s="23"/>
      <c r="P1054" s="21"/>
      <c r="Q1054" s="6"/>
      <c r="R1054" s="6"/>
      <c r="S1054" s="20"/>
      <c r="T1054" s="6"/>
      <c r="U1054" s="21"/>
      <c r="W1054" s="20"/>
      <c r="X1054" s="21"/>
    </row>
    <row r="1055" spans="2:24" ht="16">
      <c r="B1055" s="26" t="str">
        <f t="shared" si="5"/>
        <v/>
      </c>
      <c r="C1055" s="23"/>
      <c r="D1055" s="6"/>
      <c r="E1055" s="6"/>
      <c r="F1055" s="15"/>
      <c r="G1055" s="6"/>
      <c r="H1055" s="6"/>
      <c r="I1055" s="6"/>
      <c r="J1055" s="16"/>
      <c r="K1055" s="6"/>
      <c r="L1055" s="16"/>
      <c r="M1055" s="23"/>
      <c r="N1055" s="15"/>
      <c r="O1055" s="23"/>
      <c r="P1055" s="21"/>
      <c r="Q1055" s="6"/>
      <c r="R1055" s="6"/>
      <c r="S1055" s="20"/>
      <c r="T1055" s="6"/>
      <c r="U1055" s="21"/>
      <c r="W1055" s="20"/>
      <c r="X1055" s="21"/>
    </row>
    <row r="1056" spans="2:24" ht="16">
      <c r="B1056" s="26" t="str">
        <f t="shared" si="5"/>
        <v/>
      </c>
      <c r="C1056" s="23"/>
      <c r="D1056" s="6"/>
      <c r="E1056" s="6"/>
      <c r="F1056" s="15"/>
      <c r="G1056" s="6"/>
      <c r="H1056" s="6"/>
      <c r="I1056" s="6"/>
      <c r="J1056" s="16"/>
      <c r="K1056" s="6"/>
      <c r="L1056" s="16"/>
      <c r="M1056" s="23"/>
      <c r="N1056" s="15"/>
      <c r="O1056" s="23"/>
      <c r="P1056" s="21"/>
      <c r="Q1056" s="6"/>
      <c r="R1056" s="6"/>
      <c r="S1056" s="20"/>
      <c r="T1056" s="6"/>
      <c r="U1056" s="21"/>
      <c r="W1056" s="20"/>
      <c r="X1056" s="21"/>
    </row>
    <row r="1057" spans="2:24" ht="16">
      <c r="B1057" s="26" t="str">
        <f t="shared" si="5"/>
        <v/>
      </c>
      <c r="C1057" s="23"/>
      <c r="D1057" s="6"/>
      <c r="E1057" s="6"/>
      <c r="F1057" s="15"/>
      <c r="G1057" s="6"/>
      <c r="H1057" s="6"/>
      <c r="I1057" s="6"/>
      <c r="J1057" s="16"/>
      <c r="K1057" s="6"/>
      <c r="L1057" s="16"/>
      <c r="M1057" s="23"/>
      <c r="N1057" s="15"/>
      <c r="O1057" s="23"/>
      <c r="P1057" s="21"/>
      <c r="Q1057" s="6"/>
      <c r="R1057" s="6"/>
      <c r="S1057" s="20"/>
      <c r="T1057" s="6"/>
      <c r="U1057" s="21"/>
      <c r="W1057" s="20"/>
      <c r="X1057" s="21"/>
    </row>
    <row r="1058" spans="2:24" ht="16">
      <c r="B1058" s="26" t="str">
        <f t="shared" si="5"/>
        <v/>
      </c>
      <c r="C1058" s="23"/>
      <c r="D1058" s="6"/>
      <c r="E1058" s="6"/>
      <c r="F1058" s="15"/>
      <c r="G1058" s="6"/>
      <c r="H1058" s="6"/>
      <c r="I1058" s="6"/>
      <c r="J1058" s="16"/>
      <c r="K1058" s="6"/>
      <c r="L1058" s="16"/>
      <c r="M1058" s="23"/>
      <c r="N1058" s="15"/>
      <c r="O1058" s="23"/>
      <c r="P1058" s="21"/>
      <c r="Q1058" s="6"/>
      <c r="R1058" s="6"/>
      <c r="S1058" s="20"/>
      <c r="T1058" s="6"/>
      <c r="U1058" s="21"/>
      <c r="W1058" s="20"/>
      <c r="X1058" s="21"/>
    </row>
    <row r="1059" spans="2:24" ht="16">
      <c r="B1059" s="26" t="str">
        <f t="shared" si="5"/>
        <v/>
      </c>
      <c r="C1059" s="23"/>
      <c r="D1059" s="6"/>
      <c r="E1059" s="6"/>
      <c r="F1059" s="15"/>
      <c r="G1059" s="6"/>
      <c r="H1059" s="6"/>
      <c r="I1059" s="6"/>
      <c r="J1059" s="16"/>
      <c r="K1059" s="6"/>
      <c r="L1059" s="16"/>
      <c r="M1059" s="23"/>
      <c r="N1059" s="15"/>
      <c r="O1059" s="23"/>
      <c r="P1059" s="21"/>
      <c r="Q1059" s="6"/>
      <c r="R1059" s="6"/>
      <c r="S1059" s="20"/>
      <c r="T1059" s="6"/>
      <c r="U1059" s="21"/>
      <c r="W1059" s="20"/>
      <c r="X1059" s="21"/>
    </row>
    <row r="1060" spans="2:24" ht="16">
      <c r="B1060" s="26" t="str">
        <f t="shared" si="5"/>
        <v/>
      </c>
      <c r="C1060" s="23"/>
      <c r="D1060" s="6"/>
      <c r="E1060" s="6"/>
      <c r="F1060" s="15"/>
      <c r="G1060" s="6"/>
      <c r="H1060" s="6"/>
      <c r="I1060" s="6"/>
      <c r="J1060" s="16"/>
      <c r="K1060" s="6"/>
      <c r="L1060" s="16"/>
      <c r="M1060" s="23"/>
      <c r="N1060" s="15"/>
      <c r="O1060" s="23"/>
      <c r="P1060" s="21"/>
      <c r="Q1060" s="6"/>
      <c r="R1060" s="6"/>
      <c r="S1060" s="20"/>
      <c r="T1060" s="6"/>
      <c r="U1060" s="21"/>
      <c r="W1060" s="20"/>
      <c r="X1060" s="21"/>
    </row>
    <row r="1061" spans="2:24" ht="16">
      <c r="B1061" s="26" t="str">
        <f t="shared" si="5"/>
        <v/>
      </c>
      <c r="C1061" s="23"/>
      <c r="D1061" s="6"/>
      <c r="E1061" s="6"/>
      <c r="F1061" s="15"/>
      <c r="G1061" s="6"/>
      <c r="H1061" s="6"/>
      <c r="I1061" s="6"/>
      <c r="J1061" s="16"/>
      <c r="K1061" s="6"/>
      <c r="L1061" s="16"/>
      <c r="M1061" s="23"/>
      <c r="N1061" s="15"/>
      <c r="O1061" s="23"/>
      <c r="P1061" s="21"/>
      <c r="Q1061" s="6"/>
      <c r="R1061" s="6"/>
      <c r="S1061" s="20"/>
      <c r="T1061" s="6"/>
      <c r="U1061" s="21"/>
      <c r="W1061" s="20"/>
      <c r="X1061" s="21"/>
    </row>
    <row r="1062" spans="2:24" ht="16">
      <c r="B1062" s="26" t="str">
        <f t="shared" si="5"/>
        <v/>
      </c>
      <c r="C1062" s="23"/>
      <c r="D1062" s="6"/>
      <c r="E1062" s="6"/>
      <c r="F1062" s="15"/>
      <c r="G1062" s="6"/>
      <c r="H1062" s="6"/>
      <c r="I1062" s="6"/>
      <c r="J1062" s="16"/>
      <c r="K1062" s="6"/>
      <c r="L1062" s="16"/>
      <c r="M1062" s="23"/>
      <c r="N1062" s="15"/>
      <c r="O1062" s="23"/>
      <c r="P1062" s="21"/>
      <c r="Q1062" s="6"/>
      <c r="R1062" s="6"/>
      <c r="S1062" s="20"/>
      <c r="T1062" s="6"/>
      <c r="U1062" s="21"/>
      <c r="W1062" s="20"/>
      <c r="X1062" s="21"/>
    </row>
    <row r="1063" spans="2:24" ht="16">
      <c r="B1063" s="26" t="str">
        <f t="shared" si="5"/>
        <v/>
      </c>
      <c r="C1063" s="23"/>
      <c r="D1063" s="6"/>
      <c r="E1063" s="6"/>
      <c r="F1063" s="15"/>
      <c r="G1063" s="6"/>
      <c r="H1063" s="6"/>
      <c r="I1063" s="6"/>
      <c r="J1063" s="16"/>
      <c r="K1063" s="6"/>
      <c r="L1063" s="16"/>
      <c r="M1063" s="23"/>
      <c r="N1063" s="15"/>
      <c r="O1063" s="23"/>
      <c r="P1063" s="21"/>
      <c r="Q1063" s="6"/>
      <c r="R1063" s="6"/>
      <c r="S1063" s="20"/>
      <c r="T1063" s="6"/>
      <c r="U1063" s="21"/>
      <c r="W1063" s="20"/>
      <c r="X1063" s="21"/>
    </row>
    <row r="1064" spans="2:24" ht="16">
      <c r="B1064" s="26" t="str">
        <f t="shared" si="5"/>
        <v/>
      </c>
      <c r="C1064" s="23"/>
      <c r="D1064" s="6"/>
      <c r="E1064" s="6"/>
      <c r="F1064" s="15"/>
      <c r="G1064" s="6"/>
      <c r="H1064" s="6"/>
      <c r="I1064" s="6"/>
      <c r="J1064" s="16"/>
      <c r="K1064" s="6"/>
      <c r="L1064" s="16"/>
      <c r="M1064" s="23"/>
      <c r="N1064" s="15"/>
      <c r="O1064" s="23"/>
      <c r="P1064" s="21"/>
      <c r="Q1064" s="6"/>
      <c r="R1064" s="6"/>
      <c r="S1064" s="20"/>
      <c r="T1064" s="6"/>
      <c r="U1064" s="21"/>
      <c r="W1064" s="20"/>
      <c r="X1064" s="21"/>
    </row>
    <row r="1065" spans="2:24" ht="16">
      <c r="B1065" s="26" t="str">
        <f t="shared" si="5"/>
        <v/>
      </c>
      <c r="C1065" s="23"/>
      <c r="D1065" s="6"/>
      <c r="E1065" s="6"/>
      <c r="F1065" s="15"/>
      <c r="G1065" s="6"/>
      <c r="H1065" s="6"/>
      <c r="I1065" s="6"/>
      <c r="J1065" s="16"/>
      <c r="K1065" s="6"/>
      <c r="L1065" s="16"/>
      <c r="M1065" s="23"/>
      <c r="N1065" s="15"/>
      <c r="O1065" s="23"/>
      <c r="P1065" s="21"/>
      <c r="Q1065" s="6"/>
      <c r="R1065" s="6"/>
      <c r="S1065" s="20"/>
      <c r="T1065" s="6"/>
      <c r="U1065" s="21"/>
      <c r="W1065" s="20"/>
      <c r="X1065" s="21"/>
    </row>
    <row r="1066" spans="2:24" ht="16">
      <c r="B1066" s="26" t="str">
        <f t="shared" si="5"/>
        <v/>
      </c>
      <c r="C1066" s="23"/>
      <c r="D1066" s="6"/>
      <c r="E1066" s="6"/>
      <c r="F1066" s="15"/>
      <c r="G1066" s="6"/>
      <c r="H1066" s="6"/>
      <c r="I1066" s="6"/>
      <c r="J1066" s="16"/>
      <c r="K1066" s="6"/>
      <c r="L1066" s="16"/>
      <c r="M1066" s="23"/>
      <c r="N1066" s="15"/>
      <c r="O1066" s="23"/>
      <c r="P1066" s="21"/>
      <c r="Q1066" s="6"/>
      <c r="R1066" s="6"/>
      <c r="S1066" s="20"/>
      <c r="T1066" s="6"/>
      <c r="U1066" s="21"/>
      <c r="W1066" s="20"/>
      <c r="X1066" s="21"/>
    </row>
    <row r="1067" spans="2:24" ht="16">
      <c r="B1067" s="26" t="str">
        <f t="shared" si="5"/>
        <v/>
      </c>
      <c r="C1067" s="23"/>
      <c r="D1067" s="6"/>
      <c r="E1067" s="6"/>
      <c r="F1067" s="15"/>
      <c r="G1067" s="6"/>
      <c r="H1067" s="6"/>
      <c r="I1067" s="6"/>
      <c r="J1067" s="16"/>
      <c r="K1067" s="6"/>
      <c r="L1067" s="16"/>
      <c r="M1067" s="23"/>
      <c r="N1067" s="15"/>
      <c r="O1067" s="23"/>
      <c r="P1067" s="21"/>
      <c r="Q1067" s="6"/>
      <c r="R1067" s="6"/>
      <c r="S1067" s="20"/>
      <c r="T1067" s="6"/>
      <c r="U1067" s="21"/>
      <c r="W1067" s="20"/>
      <c r="X1067" s="21"/>
    </row>
    <row r="1068" spans="2:24" ht="16">
      <c r="B1068" s="26" t="str">
        <f t="shared" si="5"/>
        <v/>
      </c>
      <c r="C1068" s="23"/>
      <c r="D1068" s="6"/>
      <c r="E1068" s="6"/>
      <c r="F1068" s="15"/>
      <c r="G1068" s="6"/>
      <c r="H1068" s="6"/>
      <c r="I1068" s="6"/>
      <c r="J1068" s="16"/>
      <c r="K1068" s="6"/>
      <c r="L1068" s="16"/>
      <c r="M1068" s="23"/>
      <c r="N1068" s="15"/>
      <c r="O1068" s="23"/>
      <c r="P1068" s="21"/>
      <c r="Q1068" s="6"/>
      <c r="R1068" s="6"/>
      <c r="S1068" s="20"/>
      <c r="T1068" s="6"/>
      <c r="U1068" s="21"/>
      <c r="W1068" s="20"/>
      <c r="X1068" s="21"/>
    </row>
    <row r="1069" spans="2:24" ht="16">
      <c r="B1069" s="26" t="str">
        <f t="shared" si="5"/>
        <v/>
      </c>
      <c r="C1069" s="23"/>
      <c r="D1069" s="6"/>
      <c r="E1069" s="6"/>
      <c r="F1069" s="15"/>
      <c r="G1069" s="6"/>
      <c r="H1069" s="6"/>
      <c r="I1069" s="6"/>
      <c r="J1069" s="16"/>
      <c r="K1069" s="6"/>
      <c r="L1069" s="16"/>
      <c r="M1069" s="23"/>
      <c r="N1069" s="15"/>
      <c r="O1069" s="23"/>
      <c r="P1069" s="21"/>
      <c r="Q1069" s="6"/>
      <c r="R1069" s="6"/>
      <c r="S1069" s="20"/>
      <c r="T1069" s="6"/>
      <c r="U1069" s="21"/>
      <c r="W1069" s="20"/>
      <c r="X1069" s="21"/>
    </row>
    <row r="1070" spans="2:24" ht="16">
      <c r="B1070" s="26" t="str">
        <f t="shared" si="5"/>
        <v/>
      </c>
      <c r="C1070" s="23"/>
      <c r="D1070" s="6"/>
      <c r="E1070" s="6"/>
      <c r="F1070" s="15"/>
      <c r="G1070" s="6"/>
      <c r="H1070" s="6"/>
      <c r="I1070" s="6"/>
      <c r="J1070" s="16"/>
      <c r="K1070" s="6"/>
      <c r="L1070" s="16"/>
      <c r="M1070" s="23"/>
      <c r="N1070" s="15"/>
      <c r="O1070" s="23"/>
      <c r="P1070" s="21"/>
      <c r="Q1070" s="6"/>
      <c r="R1070" s="6"/>
      <c r="S1070" s="20"/>
      <c r="T1070" s="6"/>
      <c r="U1070" s="21"/>
      <c r="W1070" s="20"/>
      <c r="X1070" s="21"/>
    </row>
    <row r="1071" spans="2:24" ht="16">
      <c r="B1071" s="26" t="str">
        <f t="shared" si="5"/>
        <v/>
      </c>
      <c r="C1071" s="23"/>
      <c r="D1071" s="6"/>
      <c r="E1071" s="6"/>
      <c r="F1071" s="15"/>
      <c r="G1071" s="6"/>
      <c r="H1071" s="6"/>
      <c r="I1071" s="6"/>
      <c r="J1071" s="16"/>
      <c r="K1071" s="6"/>
      <c r="L1071" s="16"/>
      <c r="M1071" s="23"/>
      <c r="N1071" s="15"/>
      <c r="O1071" s="23"/>
      <c r="P1071" s="21"/>
      <c r="Q1071" s="6"/>
      <c r="R1071" s="6"/>
      <c r="S1071" s="20"/>
      <c r="T1071" s="6"/>
      <c r="U1071" s="21"/>
      <c r="W1071" s="20"/>
      <c r="X1071" s="21"/>
    </row>
    <row r="1072" spans="2:24" ht="16">
      <c r="B1072" s="26" t="str">
        <f t="shared" si="5"/>
        <v/>
      </c>
      <c r="C1072" s="23"/>
      <c r="D1072" s="6"/>
      <c r="E1072" s="6"/>
      <c r="F1072" s="15"/>
      <c r="G1072" s="6"/>
      <c r="H1072" s="6"/>
      <c r="I1072" s="6"/>
      <c r="J1072" s="16"/>
      <c r="K1072" s="6"/>
      <c r="L1072" s="16"/>
      <c r="M1072" s="23"/>
      <c r="N1072" s="15"/>
      <c r="O1072" s="23"/>
      <c r="P1072" s="21"/>
      <c r="Q1072" s="6"/>
      <c r="R1072" s="6"/>
      <c r="S1072" s="20"/>
      <c r="T1072" s="6"/>
      <c r="U1072" s="21"/>
      <c r="W1072" s="20"/>
      <c r="X1072" s="21"/>
    </row>
    <row r="1073" spans="2:31" ht="16">
      <c r="B1073" s="26" t="str">
        <f t="shared" si="5"/>
        <v/>
      </c>
      <c r="C1073" s="23"/>
      <c r="D1073" s="6"/>
      <c r="E1073" s="6"/>
      <c r="F1073" s="15"/>
      <c r="G1073" s="6"/>
      <c r="H1073" s="6"/>
      <c r="I1073" s="6"/>
      <c r="J1073" s="16"/>
      <c r="K1073" s="6"/>
      <c r="L1073" s="16"/>
      <c r="M1073" s="23"/>
      <c r="N1073" s="15"/>
      <c r="O1073" s="23"/>
      <c r="P1073" s="21"/>
      <c r="Q1073" s="6"/>
      <c r="R1073" s="6"/>
      <c r="S1073" s="20"/>
      <c r="T1073" s="6"/>
      <c r="U1073" s="21"/>
      <c r="W1073" s="20"/>
      <c r="X1073" s="21"/>
    </row>
    <row r="1074" spans="2:31" ht="16">
      <c r="B1074" s="26" t="str">
        <f t="shared" si="5"/>
        <v/>
      </c>
      <c r="C1074" s="23"/>
      <c r="D1074" s="6"/>
      <c r="E1074" s="6"/>
      <c r="F1074" s="15"/>
      <c r="G1074" s="6"/>
      <c r="H1074" s="6"/>
      <c r="I1074" s="6"/>
      <c r="J1074" s="16"/>
      <c r="K1074" s="6"/>
      <c r="L1074" s="16"/>
      <c r="M1074" s="23"/>
      <c r="N1074" s="15"/>
      <c r="O1074" s="23"/>
      <c r="P1074" s="21"/>
      <c r="Q1074" s="6"/>
      <c r="R1074" s="6"/>
      <c r="S1074" s="20"/>
      <c r="T1074" s="6"/>
      <c r="U1074" s="21"/>
      <c r="W1074" s="20"/>
      <c r="X1074" s="21"/>
    </row>
    <row r="1075" spans="2:31" ht="16">
      <c r="B1075" s="26" t="str">
        <f t="shared" si="5"/>
        <v/>
      </c>
      <c r="C1075" s="23"/>
      <c r="D1075" s="6"/>
      <c r="E1075" s="6"/>
      <c r="F1075" s="15"/>
      <c r="G1075" s="6"/>
      <c r="H1075" s="6"/>
      <c r="I1075" s="6"/>
      <c r="J1075" s="16"/>
      <c r="K1075" s="6"/>
      <c r="L1075" s="16"/>
      <c r="M1075" s="23"/>
      <c r="N1075" s="15"/>
      <c r="O1075" s="23"/>
      <c r="P1075" s="21"/>
      <c r="Q1075" s="6"/>
      <c r="R1075" s="6"/>
      <c r="S1075" s="20"/>
      <c r="T1075" s="6"/>
      <c r="U1075" s="21"/>
      <c r="W1075" s="20"/>
      <c r="X1075" s="21"/>
    </row>
    <row r="1076" spans="2:31" ht="16">
      <c r="B1076" s="26" t="str">
        <f t="shared" si="5"/>
        <v/>
      </c>
      <c r="C1076" s="23"/>
      <c r="D1076" s="6"/>
      <c r="E1076" s="6"/>
      <c r="F1076" s="15"/>
      <c r="G1076" s="6"/>
      <c r="H1076" s="6"/>
      <c r="I1076" s="6"/>
      <c r="J1076" s="16"/>
      <c r="K1076" s="6"/>
      <c r="L1076" s="16"/>
      <c r="M1076" s="23"/>
      <c r="N1076" s="15"/>
      <c r="O1076" s="23"/>
      <c r="P1076" s="21"/>
      <c r="Q1076" s="6"/>
      <c r="R1076" s="6"/>
      <c r="S1076" s="20"/>
      <c r="T1076" s="6"/>
      <c r="U1076" s="21"/>
      <c r="W1076" s="20"/>
      <c r="X1076" s="21"/>
    </row>
    <row r="1077" spans="2:31" ht="16">
      <c r="B1077" s="26" t="str">
        <f t="shared" si="5"/>
        <v/>
      </c>
      <c r="C1077" s="23"/>
      <c r="D1077" s="6"/>
      <c r="E1077" s="6"/>
      <c r="F1077" s="15"/>
      <c r="G1077" s="6"/>
      <c r="H1077" s="6"/>
      <c r="I1077" s="6"/>
      <c r="J1077" s="16"/>
      <c r="K1077" s="6"/>
      <c r="L1077" s="16"/>
      <c r="M1077" s="23"/>
      <c r="N1077" s="15"/>
      <c r="O1077" s="23"/>
      <c r="P1077" s="21"/>
      <c r="Q1077" s="6"/>
      <c r="R1077" s="6"/>
      <c r="S1077" s="20"/>
      <c r="T1077" s="6"/>
      <c r="U1077" s="21"/>
      <c r="W1077" s="20"/>
      <c r="X1077" s="21"/>
    </row>
    <row r="1078" spans="2:31" ht="16">
      <c r="B1078" s="26" t="str">
        <f t="shared" si="5"/>
        <v/>
      </c>
      <c r="C1078" s="23"/>
      <c r="D1078" s="6"/>
      <c r="E1078" s="6"/>
      <c r="F1078" s="15"/>
      <c r="G1078" s="6"/>
      <c r="H1078" s="6"/>
      <c r="I1078" s="6"/>
      <c r="J1078" s="16"/>
      <c r="K1078" s="6"/>
      <c r="L1078" s="16"/>
      <c r="M1078" s="17"/>
      <c r="N1078" s="15"/>
      <c r="O1078" s="23"/>
      <c r="P1078" s="21"/>
      <c r="Q1078" s="6"/>
      <c r="R1078" s="6"/>
      <c r="S1078" s="20"/>
      <c r="T1078" s="6"/>
      <c r="U1078" s="21"/>
      <c r="W1078" s="20"/>
      <c r="X1078" s="21"/>
    </row>
    <row r="1079" spans="2:31" ht="16">
      <c r="B1079" s="26" t="str">
        <f t="shared" si="5"/>
        <v/>
      </c>
      <c r="C1079" s="23"/>
      <c r="D1079" s="6"/>
      <c r="E1079" s="6"/>
      <c r="F1079" s="15"/>
      <c r="G1079" s="6"/>
      <c r="H1079" s="6"/>
      <c r="I1079" s="6"/>
      <c r="J1079" s="16"/>
      <c r="K1079" s="6"/>
      <c r="L1079" s="16"/>
      <c r="M1079" s="23"/>
      <c r="N1079" s="15"/>
      <c r="O1079" s="23"/>
      <c r="P1079" s="21"/>
      <c r="Q1079" s="6"/>
      <c r="R1079" s="6"/>
      <c r="S1079" s="20"/>
      <c r="T1079" s="6"/>
      <c r="U1079" s="21"/>
      <c r="W1079" s="20"/>
      <c r="X1079" s="21"/>
    </row>
    <row r="1080" spans="2:31" ht="16">
      <c r="B1080" s="26" t="str">
        <f t="shared" si="5"/>
        <v/>
      </c>
      <c r="C1080" s="23"/>
      <c r="D1080" s="6"/>
      <c r="E1080" s="6"/>
      <c r="F1080" s="15"/>
      <c r="G1080" s="6"/>
      <c r="H1080" s="6"/>
      <c r="I1080" s="6"/>
      <c r="J1080" s="16"/>
      <c r="K1080" s="6"/>
      <c r="L1080" s="16"/>
      <c r="M1080" s="23"/>
      <c r="N1080" s="15"/>
      <c r="O1080" s="23"/>
      <c r="P1080" s="21"/>
      <c r="Q1080" s="6"/>
      <c r="R1080" s="6"/>
      <c r="S1080" s="20"/>
      <c r="T1080" s="6"/>
      <c r="U1080" s="21"/>
      <c r="W1080" s="20"/>
      <c r="X1080" s="21"/>
    </row>
    <row r="1081" spans="2:31" ht="16">
      <c r="B1081" s="26" t="str">
        <f t="shared" si="5"/>
        <v/>
      </c>
      <c r="C1081" s="23"/>
      <c r="D1081" s="6"/>
      <c r="E1081" s="6"/>
      <c r="F1081" s="15"/>
      <c r="G1081" s="6"/>
      <c r="H1081" s="6"/>
      <c r="I1081" s="6"/>
      <c r="J1081" s="16"/>
      <c r="K1081" s="6"/>
      <c r="L1081" s="16"/>
      <c r="M1081" s="23"/>
      <c r="N1081" s="15"/>
      <c r="O1081" s="23"/>
      <c r="P1081" s="21"/>
      <c r="Q1081" s="6"/>
      <c r="R1081" s="6"/>
      <c r="S1081" s="20"/>
      <c r="T1081" s="6"/>
      <c r="U1081" s="21"/>
      <c r="W1081" s="20"/>
      <c r="X1081" s="21"/>
    </row>
    <row r="1082" spans="2:31" ht="16">
      <c r="B1082" s="26" t="str">
        <f t="shared" si="5"/>
        <v/>
      </c>
      <c r="C1082" s="23"/>
      <c r="D1082" s="6"/>
      <c r="E1082" s="6"/>
      <c r="F1082" s="15"/>
      <c r="G1082" s="6"/>
      <c r="H1082" s="6"/>
      <c r="I1082" s="6"/>
      <c r="J1082" s="16"/>
      <c r="K1082" s="6"/>
      <c r="L1082" s="16"/>
      <c r="M1082" s="23"/>
      <c r="N1082" s="15"/>
      <c r="O1082" s="23"/>
      <c r="P1082" s="21"/>
      <c r="Q1082" s="6"/>
      <c r="R1082" s="6"/>
      <c r="S1082" s="20"/>
      <c r="T1082" s="6"/>
      <c r="U1082" s="21"/>
      <c r="W1082" s="20"/>
      <c r="X1082" s="21"/>
      <c r="AE1082" s="1"/>
    </row>
    <row r="1083" spans="2:31" ht="16">
      <c r="B1083" s="26" t="str">
        <f t="shared" si="5"/>
        <v/>
      </c>
      <c r="C1083" s="23"/>
      <c r="D1083" s="6"/>
      <c r="E1083" s="6"/>
      <c r="F1083" s="15"/>
      <c r="G1083" s="6"/>
      <c r="H1083" s="6"/>
      <c r="I1083" s="6"/>
      <c r="J1083" s="16"/>
      <c r="K1083" s="6"/>
      <c r="L1083" s="16"/>
      <c r="M1083" s="23"/>
      <c r="N1083" s="15"/>
      <c r="O1083" s="23"/>
      <c r="P1083" s="21"/>
      <c r="Q1083" s="6"/>
      <c r="R1083" s="6"/>
      <c r="S1083" s="20"/>
      <c r="T1083" s="6"/>
      <c r="U1083" s="21"/>
      <c r="W1083" s="20"/>
      <c r="X1083" s="21"/>
    </row>
    <row r="1084" spans="2:31" ht="16">
      <c r="B1084" s="26" t="str">
        <f t="shared" si="5"/>
        <v/>
      </c>
      <c r="C1084" s="23"/>
      <c r="D1084" s="6"/>
      <c r="E1084" s="6"/>
      <c r="F1084" s="15"/>
      <c r="G1084" s="6"/>
      <c r="H1084" s="6"/>
      <c r="I1084" s="6"/>
      <c r="J1084" s="16"/>
      <c r="K1084" s="6"/>
      <c r="L1084" s="16"/>
      <c r="M1084" s="23"/>
      <c r="N1084" s="15"/>
      <c r="O1084" s="23"/>
      <c r="P1084" s="21"/>
      <c r="Q1084" s="6"/>
      <c r="R1084" s="6"/>
      <c r="S1084" s="20"/>
      <c r="T1084" s="6"/>
      <c r="U1084" s="21"/>
      <c r="W1084" s="20"/>
      <c r="X1084" s="21"/>
    </row>
    <row r="1085" spans="2:31" ht="16">
      <c r="B1085" s="26" t="str">
        <f t="shared" si="5"/>
        <v/>
      </c>
      <c r="C1085" s="23"/>
      <c r="D1085" s="6"/>
      <c r="E1085" s="6"/>
      <c r="F1085" s="15"/>
      <c r="G1085" s="6"/>
      <c r="H1085" s="6"/>
      <c r="I1085" s="6"/>
      <c r="J1085" s="16"/>
      <c r="K1085" s="6"/>
      <c r="L1085" s="16"/>
      <c r="M1085" s="23"/>
      <c r="N1085" s="15"/>
      <c r="O1085" s="23"/>
      <c r="P1085" s="21"/>
      <c r="Q1085" s="6"/>
      <c r="R1085" s="6"/>
      <c r="S1085" s="20"/>
      <c r="T1085" s="6"/>
      <c r="U1085" s="21"/>
      <c r="W1085" s="20"/>
      <c r="X1085" s="21"/>
    </row>
    <row r="1086" spans="2:31" ht="16">
      <c r="B1086" s="26" t="str">
        <f t="shared" si="5"/>
        <v/>
      </c>
      <c r="C1086" s="23"/>
      <c r="D1086" s="6"/>
      <c r="E1086" s="6"/>
      <c r="F1086" s="15"/>
      <c r="G1086" s="6"/>
      <c r="H1086" s="6"/>
      <c r="I1086" s="6"/>
      <c r="J1086" s="16"/>
      <c r="K1086" s="6"/>
      <c r="L1086" s="16"/>
      <c r="M1086" s="23"/>
      <c r="N1086" s="15"/>
      <c r="O1086" s="23"/>
      <c r="P1086" s="21"/>
      <c r="Q1086" s="6"/>
      <c r="R1086" s="6"/>
      <c r="S1086" s="20"/>
      <c r="T1086" s="6"/>
      <c r="U1086" s="21"/>
      <c r="W1086" s="20"/>
      <c r="X1086" s="21"/>
    </row>
    <row r="1087" spans="2:31" ht="16">
      <c r="B1087" s="26" t="str">
        <f t="shared" si="5"/>
        <v/>
      </c>
      <c r="C1087" s="23"/>
      <c r="D1087" s="6"/>
      <c r="E1087" s="6"/>
      <c r="F1087" s="15"/>
      <c r="G1087" s="6"/>
      <c r="H1087" s="6"/>
      <c r="I1087" s="6"/>
      <c r="J1087" s="16"/>
      <c r="K1087" s="6"/>
      <c r="L1087" s="16"/>
      <c r="M1087" s="23"/>
      <c r="N1087" s="15"/>
      <c r="O1087" s="23"/>
      <c r="P1087" s="21"/>
      <c r="Q1087" s="6"/>
      <c r="R1087" s="6"/>
      <c r="S1087" s="20"/>
      <c r="T1087" s="6"/>
      <c r="U1087" s="21"/>
      <c r="W1087" s="20"/>
      <c r="X1087" s="21"/>
    </row>
    <row r="1088" spans="2:31" ht="16">
      <c r="B1088" s="26" t="str">
        <f t="shared" si="5"/>
        <v/>
      </c>
      <c r="C1088" s="23"/>
      <c r="D1088" s="6"/>
      <c r="E1088" s="6"/>
      <c r="F1088" s="15"/>
      <c r="G1088" s="6"/>
      <c r="H1088" s="6"/>
      <c r="I1088" s="6"/>
      <c r="J1088" s="16"/>
      <c r="K1088" s="6"/>
      <c r="L1088" s="16"/>
      <c r="M1088" s="23"/>
      <c r="N1088" s="15"/>
      <c r="O1088" s="23"/>
      <c r="P1088" s="21"/>
      <c r="Q1088" s="6"/>
      <c r="R1088" s="6"/>
      <c r="S1088" s="20"/>
      <c r="T1088" s="6"/>
      <c r="U1088" s="21"/>
      <c r="W1088" s="20"/>
      <c r="X1088" s="21"/>
    </row>
    <row r="1089" spans="2:31" ht="16">
      <c r="B1089" s="26" t="str">
        <f t="shared" si="5"/>
        <v/>
      </c>
      <c r="C1089" s="23"/>
      <c r="D1089" s="6"/>
      <c r="E1089" s="6"/>
      <c r="F1089" s="15"/>
      <c r="G1089" s="6"/>
      <c r="H1089" s="6"/>
      <c r="I1089" s="6"/>
      <c r="J1089" s="16"/>
      <c r="K1089" s="6"/>
      <c r="L1089" s="16"/>
      <c r="M1089" s="23"/>
      <c r="N1089" s="15"/>
      <c r="O1089" s="23"/>
      <c r="P1089" s="21"/>
      <c r="Q1089" s="6"/>
      <c r="R1089" s="6"/>
      <c r="S1089" s="20"/>
      <c r="T1089" s="6"/>
      <c r="U1089" s="21"/>
      <c r="W1089" s="20"/>
      <c r="X1089" s="21"/>
    </row>
    <row r="1090" spans="2:31" ht="16">
      <c r="B1090" s="26" t="str">
        <f t="shared" si="5"/>
        <v/>
      </c>
      <c r="C1090" s="23"/>
      <c r="D1090" s="6"/>
      <c r="E1090" s="6"/>
      <c r="F1090" s="15"/>
      <c r="G1090" s="6"/>
      <c r="H1090" s="6"/>
      <c r="I1090" s="6"/>
      <c r="J1090" s="16"/>
      <c r="K1090" s="6"/>
      <c r="L1090" s="16"/>
      <c r="M1090" s="23"/>
      <c r="N1090" s="15"/>
      <c r="O1090" s="23"/>
      <c r="P1090" s="21"/>
      <c r="Q1090" s="6"/>
      <c r="R1090" s="6"/>
      <c r="S1090" s="20"/>
      <c r="T1090" s="6"/>
      <c r="U1090" s="21"/>
      <c r="W1090" s="20"/>
      <c r="X1090" s="21"/>
    </row>
    <row r="1091" spans="2:31" ht="16">
      <c r="B1091" s="26" t="str">
        <f t="shared" si="5"/>
        <v/>
      </c>
      <c r="C1091" s="23"/>
      <c r="D1091" s="6"/>
      <c r="E1091" s="6"/>
      <c r="F1091" s="15"/>
      <c r="G1091" s="6"/>
      <c r="H1091" s="6"/>
      <c r="I1091" s="6"/>
      <c r="J1091" s="16"/>
      <c r="K1091" s="6"/>
      <c r="L1091" s="16"/>
      <c r="M1091" s="23"/>
      <c r="N1091" s="15"/>
      <c r="O1091" s="23"/>
      <c r="P1091" s="21"/>
      <c r="Q1091" s="6"/>
      <c r="R1091" s="6"/>
      <c r="S1091" s="20"/>
      <c r="T1091" s="6"/>
      <c r="U1091" s="21"/>
      <c r="W1091" s="20"/>
      <c r="X1091" s="21"/>
    </row>
    <row r="1092" spans="2:31" ht="16">
      <c r="B1092" s="26" t="str">
        <f t="shared" si="5"/>
        <v/>
      </c>
      <c r="C1092" s="23"/>
      <c r="D1092" s="6"/>
      <c r="E1092" s="6"/>
      <c r="F1092" s="15"/>
      <c r="G1092" s="6"/>
      <c r="H1092" s="6"/>
      <c r="I1092" s="6"/>
      <c r="J1092" s="16"/>
      <c r="K1092" s="6"/>
      <c r="L1092" s="16"/>
      <c r="M1092" s="23"/>
      <c r="N1092" s="15"/>
      <c r="O1092" s="23"/>
      <c r="P1092" s="21"/>
      <c r="Q1092" s="6"/>
      <c r="R1092" s="6"/>
      <c r="S1092" s="20"/>
      <c r="T1092" s="6"/>
      <c r="U1092" s="21"/>
      <c r="W1092" s="20"/>
      <c r="X1092" s="21"/>
    </row>
    <row r="1093" spans="2:31" ht="16">
      <c r="B1093" s="26" t="str">
        <f t="shared" si="5"/>
        <v/>
      </c>
      <c r="C1093" s="23"/>
      <c r="D1093" s="6"/>
      <c r="E1093" s="6"/>
      <c r="F1093" s="15"/>
      <c r="G1093" s="6"/>
      <c r="H1093" s="6"/>
      <c r="I1093" s="6"/>
      <c r="J1093" s="16"/>
      <c r="K1093" s="6"/>
      <c r="L1093" s="16"/>
      <c r="M1093" s="23"/>
      <c r="N1093" s="15"/>
      <c r="O1093" s="23"/>
      <c r="P1093" s="21"/>
      <c r="Q1093" s="6"/>
      <c r="R1093" s="6"/>
      <c r="S1093" s="20"/>
      <c r="T1093" s="6"/>
      <c r="U1093" s="21"/>
      <c r="W1093" s="20"/>
      <c r="X1093" s="21"/>
    </row>
    <row r="1094" spans="2:31" ht="16">
      <c r="B1094" s="26" t="str">
        <f t="shared" si="5"/>
        <v/>
      </c>
      <c r="C1094" s="23"/>
      <c r="D1094" s="6"/>
      <c r="E1094" s="6"/>
      <c r="F1094" s="15"/>
      <c r="G1094" s="6"/>
      <c r="H1094" s="6"/>
      <c r="I1094" s="6"/>
      <c r="J1094" s="16"/>
      <c r="K1094" s="6"/>
      <c r="L1094" s="16"/>
      <c r="M1094" s="23"/>
      <c r="N1094" s="15"/>
      <c r="O1094" s="23"/>
      <c r="P1094" s="21"/>
      <c r="Q1094" s="6"/>
      <c r="R1094" s="6"/>
      <c r="S1094" s="20"/>
      <c r="T1094" s="6"/>
      <c r="U1094" s="21"/>
      <c r="W1094" s="20"/>
      <c r="X1094" s="21"/>
    </row>
    <row r="1095" spans="2:31" ht="16">
      <c r="B1095" s="26" t="str">
        <f t="shared" si="5"/>
        <v/>
      </c>
      <c r="C1095" s="23"/>
      <c r="D1095" s="6"/>
      <c r="E1095" s="6"/>
      <c r="F1095" s="15"/>
      <c r="G1095" s="6"/>
      <c r="H1095" s="6"/>
      <c r="I1095" s="6"/>
      <c r="J1095" s="16"/>
      <c r="K1095" s="6"/>
      <c r="L1095" s="16"/>
      <c r="M1095" s="23"/>
      <c r="N1095" s="15"/>
      <c r="O1095" s="23"/>
      <c r="P1095" s="21"/>
      <c r="Q1095" s="6"/>
      <c r="R1095" s="6"/>
      <c r="S1095" s="20"/>
      <c r="T1095" s="6"/>
      <c r="U1095" s="21"/>
      <c r="W1095" s="20"/>
      <c r="X1095" s="21"/>
      <c r="AE1095" s="1"/>
    </row>
    <row r="1096" spans="2:31" ht="16">
      <c r="B1096" s="26" t="str">
        <f t="shared" si="5"/>
        <v/>
      </c>
      <c r="C1096" s="23"/>
      <c r="D1096" s="6"/>
      <c r="E1096" s="6"/>
      <c r="F1096" s="15"/>
      <c r="G1096" s="6"/>
      <c r="H1096" s="6"/>
      <c r="I1096" s="6"/>
      <c r="J1096" s="16"/>
      <c r="K1096" s="6"/>
      <c r="L1096" s="16"/>
      <c r="M1096" s="23"/>
      <c r="N1096" s="15"/>
      <c r="O1096" s="23"/>
      <c r="P1096" s="21"/>
      <c r="Q1096" s="6"/>
      <c r="R1096" s="6"/>
      <c r="S1096" s="20"/>
      <c r="T1096" s="6"/>
      <c r="U1096" s="21"/>
      <c r="W1096" s="20"/>
      <c r="X1096" s="21"/>
    </row>
    <row r="1097" spans="2:31" ht="16">
      <c r="B1097" s="26" t="str">
        <f t="shared" si="5"/>
        <v/>
      </c>
      <c r="C1097" s="23"/>
      <c r="D1097" s="6"/>
      <c r="E1097" s="6"/>
      <c r="F1097" s="15"/>
      <c r="G1097" s="6"/>
      <c r="H1097" s="6"/>
      <c r="I1097" s="6"/>
      <c r="J1097" s="16"/>
      <c r="K1097" s="6"/>
      <c r="L1097" s="16"/>
      <c r="M1097" s="23"/>
      <c r="N1097" s="15"/>
      <c r="O1097" s="23"/>
      <c r="P1097" s="21"/>
      <c r="Q1097" s="6"/>
      <c r="R1097" s="6"/>
      <c r="S1097" s="20"/>
      <c r="T1097" s="6"/>
      <c r="U1097" s="21"/>
      <c r="W1097" s="20"/>
      <c r="X1097" s="21"/>
    </row>
    <row r="1098" spans="2:31" ht="16">
      <c r="B1098" s="26" t="str">
        <f t="shared" si="5"/>
        <v/>
      </c>
      <c r="C1098" s="23"/>
      <c r="D1098" s="6"/>
      <c r="E1098" s="6"/>
      <c r="F1098" s="15"/>
      <c r="G1098" s="6"/>
      <c r="H1098" s="6"/>
      <c r="I1098" s="6"/>
      <c r="J1098" s="16"/>
      <c r="K1098" s="6"/>
      <c r="L1098" s="16"/>
      <c r="M1098" s="23"/>
      <c r="N1098" s="15"/>
      <c r="O1098" s="23"/>
      <c r="P1098" s="21"/>
      <c r="Q1098" s="6"/>
      <c r="R1098" s="6"/>
      <c r="S1098" s="20"/>
      <c r="T1098" s="6"/>
      <c r="U1098" s="21"/>
      <c r="W1098" s="20"/>
      <c r="X1098" s="21"/>
    </row>
    <row r="1099" spans="2:31" ht="16">
      <c r="B1099" s="26" t="str">
        <f t="shared" si="5"/>
        <v/>
      </c>
      <c r="C1099" s="6"/>
      <c r="D1099" s="6"/>
      <c r="E1099" s="6"/>
      <c r="F1099" s="15"/>
      <c r="G1099" s="6"/>
      <c r="H1099" s="6"/>
      <c r="I1099" s="6"/>
      <c r="J1099" s="16"/>
      <c r="K1099" s="6"/>
      <c r="L1099" s="16"/>
      <c r="M1099" s="23"/>
      <c r="N1099" s="15"/>
      <c r="O1099" s="23"/>
      <c r="P1099" s="21"/>
      <c r="Q1099" s="6"/>
      <c r="R1099" s="6"/>
      <c r="S1099" s="20"/>
      <c r="T1099" s="6"/>
      <c r="U1099" s="21"/>
      <c r="W1099" s="20"/>
      <c r="X1099" s="21"/>
    </row>
    <row r="1100" spans="2:31" ht="16">
      <c r="B1100" s="26" t="str">
        <f t="shared" si="5"/>
        <v/>
      </c>
      <c r="C1100" s="23"/>
      <c r="D1100" s="6"/>
      <c r="E1100" s="6"/>
      <c r="F1100" s="15"/>
      <c r="G1100" s="6"/>
      <c r="H1100" s="6"/>
      <c r="I1100" s="6"/>
      <c r="J1100" s="16"/>
      <c r="K1100" s="6"/>
      <c r="L1100" s="16"/>
      <c r="M1100" s="23"/>
      <c r="N1100" s="15"/>
      <c r="O1100" s="23"/>
      <c r="P1100" s="21"/>
      <c r="Q1100" s="6"/>
      <c r="R1100" s="6"/>
      <c r="S1100" s="20"/>
      <c r="T1100" s="6"/>
      <c r="U1100" s="21"/>
      <c r="W1100" s="20"/>
      <c r="X1100" s="21"/>
    </row>
    <row r="1101" spans="2:31" ht="16">
      <c r="B1101" s="26" t="str">
        <f t="shared" si="5"/>
        <v/>
      </c>
      <c r="C1101" s="23"/>
      <c r="D1101" s="6"/>
      <c r="E1101" s="6"/>
      <c r="F1101" s="15"/>
      <c r="G1101" s="6"/>
      <c r="H1101" s="6"/>
      <c r="I1101" s="6"/>
      <c r="J1101" s="16"/>
      <c r="K1101" s="6"/>
      <c r="L1101" s="16"/>
      <c r="M1101" s="23"/>
      <c r="N1101" s="15"/>
      <c r="O1101" s="23"/>
      <c r="P1101" s="21"/>
      <c r="Q1101" s="6"/>
      <c r="R1101" s="6"/>
      <c r="S1101" s="20"/>
      <c r="T1101" s="6"/>
      <c r="U1101" s="21"/>
      <c r="W1101" s="20"/>
      <c r="X1101" s="21"/>
    </row>
    <row r="1102" spans="2:31" ht="16">
      <c r="B1102" s="26" t="str">
        <f t="shared" si="5"/>
        <v/>
      </c>
      <c r="C1102" s="23"/>
      <c r="D1102" s="6"/>
      <c r="E1102" s="6"/>
      <c r="F1102" s="15"/>
      <c r="G1102" s="6"/>
      <c r="H1102" s="6"/>
      <c r="I1102" s="6"/>
      <c r="J1102" s="16"/>
      <c r="K1102" s="6"/>
      <c r="L1102" s="16"/>
      <c r="M1102" s="23"/>
      <c r="N1102" s="15"/>
      <c r="O1102" s="23"/>
      <c r="P1102" s="21"/>
      <c r="Q1102" s="6"/>
      <c r="R1102" s="6"/>
      <c r="S1102" s="20"/>
      <c r="T1102" s="6"/>
      <c r="U1102" s="21"/>
      <c r="W1102" s="20"/>
      <c r="X1102" s="21"/>
    </row>
    <row r="1103" spans="2:31" ht="16">
      <c r="B1103" s="26" t="str">
        <f t="shared" si="5"/>
        <v/>
      </c>
      <c r="C1103" s="23"/>
      <c r="D1103" s="6"/>
      <c r="E1103" s="6"/>
      <c r="F1103" s="15"/>
      <c r="G1103" s="6"/>
      <c r="H1103" s="6"/>
      <c r="I1103" s="6"/>
      <c r="J1103" s="16"/>
      <c r="K1103" s="6"/>
      <c r="L1103" s="16"/>
      <c r="M1103" s="23"/>
      <c r="N1103" s="15"/>
      <c r="O1103" s="23"/>
      <c r="P1103" s="21"/>
      <c r="Q1103" s="6"/>
      <c r="R1103" s="6"/>
      <c r="S1103" s="20"/>
      <c r="T1103" s="6"/>
      <c r="U1103" s="21"/>
      <c r="W1103" s="20"/>
      <c r="X1103" s="21"/>
    </row>
    <row r="1104" spans="2:31" ht="16">
      <c r="B1104" s="26" t="str">
        <f t="shared" si="5"/>
        <v/>
      </c>
      <c r="C1104" s="23"/>
      <c r="D1104" s="6"/>
      <c r="E1104" s="6"/>
      <c r="F1104" s="15"/>
      <c r="G1104" s="6"/>
      <c r="H1104" s="6"/>
      <c r="I1104" s="6"/>
      <c r="J1104" s="16"/>
      <c r="K1104" s="6"/>
      <c r="L1104" s="16"/>
      <c r="M1104" s="23"/>
      <c r="N1104" s="15"/>
      <c r="O1104" s="23"/>
      <c r="P1104" s="21"/>
      <c r="Q1104" s="6"/>
      <c r="R1104" s="6"/>
      <c r="S1104" s="20"/>
      <c r="T1104" s="6"/>
      <c r="U1104" s="21"/>
      <c r="W1104" s="20"/>
      <c r="X1104" s="21"/>
    </row>
    <row r="1105" spans="2:24" ht="16">
      <c r="B1105" s="26" t="str">
        <f t="shared" si="5"/>
        <v/>
      </c>
      <c r="C1105" s="23"/>
      <c r="D1105" s="6"/>
      <c r="E1105" s="6"/>
      <c r="F1105" s="15"/>
      <c r="G1105" s="6"/>
      <c r="H1105" s="6"/>
      <c r="I1105" s="6"/>
      <c r="J1105" s="16"/>
      <c r="K1105" s="6"/>
      <c r="L1105" s="16"/>
      <c r="M1105" s="23"/>
      <c r="N1105" s="15"/>
      <c r="O1105" s="23"/>
      <c r="P1105" s="21"/>
      <c r="Q1105" s="6"/>
      <c r="R1105" s="6"/>
      <c r="S1105" s="20"/>
      <c r="T1105" s="6"/>
      <c r="U1105" s="21"/>
      <c r="W1105" s="20"/>
      <c r="X1105" s="21"/>
    </row>
    <row r="1106" spans="2:24" ht="16">
      <c r="B1106" s="26" t="str">
        <f t="shared" si="5"/>
        <v/>
      </c>
      <c r="C1106" s="23"/>
      <c r="D1106" s="6"/>
      <c r="E1106" s="6"/>
      <c r="F1106" s="15"/>
      <c r="G1106" s="6"/>
      <c r="H1106" s="6"/>
      <c r="I1106" s="6"/>
      <c r="J1106" s="16"/>
      <c r="K1106" s="6"/>
      <c r="L1106" s="16"/>
      <c r="M1106" s="23"/>
      <c r="N1106" s="15"/>
      <c r="O1106" s="23"/>
      <c r="P1106" s="21"/>
      <c r="Q1106" s="6"/>
      <c r="R1106" s="6"/>
      <c r="S1106" s="20"/>
      <c r="T1106" s="6"/>
      <c r="U1106" s="21"/>
      <c r="W1106" s="20"/>
      <c r="X1106" s="21"/>
    </row>
    <row r="1107" spans="2:24" ht="16">
      <c r="B1107" s="26" t="str">
        <f t="shared" si="5"/>
        <v/>
      </c>
      <c r="C1107" s="23"/>
      <c r="D1107" s="6"/>
      <c r="E1107" s="6"/>
      <c r="F1107" s="15"/>
      <c r="G1107" s="6"/>
      <c r="H1107" s="6"/>
      <c r="I1107" s="6"/>
      <c r="J1107" s="16"/>
      <c r="K1107" s="6"/>
      <c r="L1107" s="16"/>
      <c r="M1107" s="23"/>
      <c r="N1107" s="15"/>
      <c r="O1107" s="23"/>
      <c r="P1107" s="21"/>
      <c r="Q1107" s="6"/>
      <c r="R1107" s="6"/>
      <c r="S1107" s="20"/>
      <c r="T1107" s="6"/>
      <c r="U1107" s="21"/>
      <c r="W1107" s="20"/>
      <c r="X1107" s="21"/>
    </row>
    <row r="1108" spans="2:24" ht="16">
      <c r="B1108" s="26" t="str">
        <f t="shared" si="5"/>
        <v/>
      </c>
      <c r="C1108" s="23"/>
      <c r="D1108" s="6"/>
      <c r="E1108" s="6"/>
      <c r="F1108" s="15"/>
      <c r="G1108" s="6"/>
      <c r="H1108" s="6"/>
      <c r="I1108" s="6"/>
      <c r="J1108" s="16"/>
      <c r="K1108" s="6"/>
      <c r="L1108" s="16"/>
      <c r="M1108" s="23"/>
      <c r="N1108" s="15"/>
      <c r="O1108" s="23"/>
      <c r="P1108" s="21"/>
      <c r="Q1108" s="6"/>
      <c r="R1108" s="6"/>
      <c r="S1108" s="20"/>
      <c r="T1108" s="6"/>
      <c r="U1108" s="21"/>
      <c r="W1108" s="20"/>
      <c r="X1108" s="21"/>
    </row>
    <row r="1109" spans="2:24" ht="16">
      <c r="B1109" s="26" t="str">
        <f t="shared" si="5"/>
        <v/>
      </c>
      <c r="C1109" s="23"/>
      <c r="D1109" s="6"/>
      <c r="E1109" s="6"/>
      <c r="F1109" s="15"/>
      <c r="G1109" s="6"/>
      <c r="H1109" s="6"/>
      <c r="I1109" s="6"/>
      <c r="J1109" s="16"/>
      <c r="K1109" s="6"/>
      <c r="L1109" s="16"/>
      <c r="M1109" s="23"/>
      <c r="N1109" s="15"/>
      <c r="O1109" s="23"/>
      <c r="P1109" s="21"/>
      <c r="Q1109" s="6"/>
      <c r="R1109" s="6"/>
      <c r="S1109" s="20"/>
      <c r="T1109" s="6"/>
      <c r="U1109" s="21"/>
      <c r="W1109" s="20"/>
      <c r="X1109" s="21"/>
    </row>
    <row r="1110" spans="2:24" ht="16">
      <c r="B1110" s="26" t="str">
        <f t="shared" si="5"/>
        <v/>
      </c>
      <c r="C1110" s="23"/>
      <c r="D1110" s="6"/>
      <c r="E1110" s="6"/>
      <c r="F1110" s="15"/>
      <c r="G1110" s="6"/>
      <c r="H1110" s="6"/>
      <c r="I1110" s="6"/>
      <c r="J1110" s="16"/>
      <c r="K1110" s="6"/>
      <c r="L1110" s="16"/>
      <c r="M1110" s="23"/>
      <c r="N1110" s="15"/>
      <c r="O1110" s="23"/>
      <c r="P1110" s="21"/>
      <c r="Q1110" s="6"/>
      <c r="R1110" s="6"/>
      <c r="S1110" s="20"/>
      <c r="T1110" s="6"/>
      <c r="U1110" s="21"/>
      <c r="W1110" s="20"/>
      <c r="X1110" s="21"/>
    </row>
    <row r="1111" spans="2:24" ht="16">
      <c r="B1111" s="26" t="str">
        <f t="shared" si="5"/>
        <v/>
      </c>
      <c r="C1111" s="23"/>
      <c r="D1111" s="6"/>
      <c r="E1111" s="6"/>
      <c r="F1111" s="15"/>
      <c r="G1111" s="6"/>
      <c r="H1111" s="6"/>
      <c r="I1111" s="6"/>
      <c r="J1111" s="16"/>
      <c r="K1111" s="6"/>
      <c r="L1111" s="16"/>
      <c r="M1111" s="23"/>
      <c r="N1111" s="15"/>
      <c r="O1111" s="23"/>
      <c r="P1111" s="21"/>
      <c r="Q1111" s="6"/>
      <c r="R1111" s="6"/>
      <c r="S1111" s="20"/>
      <c r="T1111" s="6"/>
      <c r="U1111" s="21"/>
      <c r="W1111" s="20"/>
      <c r="X1111" s="21"/>
    </row>
    <row r="1112" spans="2:24" ht="16">
      <c r="B1112" s="26" t="str">
        <f t="shared" si="5"/>
        <v/>
      </c>
      <c r="C1112" s="23"/>
      <c r="D1112" s="6"/>
      <c r="E1112" s="6"/>
      <c r="F1112" s="15"/>
      <c r="G1112" s="6"/>
      <c r="H1112" s="6"/>
      <c r="I1112" s="6"/>
      <c r="J1112" s="16"/>
      <c r="K1112" s="6"/>
      <c r="L1112" s="16"/>
      <c r="M1112" s="23"/>
      <c r="N1112" s="15"/>
      <c r="O1112" s="23"/>
      <c r="P1112" s="21"/>
      <c r="Q1112" s="6"/>
      <c r="R1112" s="6"/>
      <c r="S1112" s="20"/>
      <c r="T1112" s="6"/>
      <c r="U1112" s="21"/>
      <c r="W1112" s="20"/>
      <c r="X1112" s="21"/>
    </row>
    <row r="1113" spans="2:24" ht="16">
      <c r="B1113" s="26" t="str">
        <f t="shared" si="5"/>
        <v/>
      </c>
      <c r="C1113" s="23"/>
      <c r="D1113" s="6"/>
      <c r="E1113" s="6"/>
      <c r="F1113" s="15"/>
      <c r="G1113" s="6"/>
      <c r="H1113" s="6"/>
      <c r="I1113" s="6"/>
      <c r="J1113" s="16"/>
      <c r="K1113" s="6"/>
      <c r="L1113" s="16"/>
      <c r="M1113" s="23"/>
      <c r="N1113" s="15"/>
      <c r="O1113" s="23"/>
      <c r="P1113" s="21"/>
      <c r="Q1113" s="6"/>
      <c r="R1113" s="6"/>
      <c r="S1113" s="20"/>
      <c r="T1113" s="6"/>
      <c r="U1113" s="21"/>
      <c r="W1113" s="20"/>
      <c r="X1113" s="21"/>
    </row>
    <row r="1114" spans="2:24" ht="16">
      <c r="B1114" s="26" t="str">
        <f t="shared" si="5"/>
        <v/>
      </c>
      <c r="C1114" s="23"/>
      <c r="D1114" s="6"/>
      <c r="E1114" s="6"/>
      <c r="F1114" s="15"/>
      <c r="G1114" s="6"/>
      <c r="H1114" s="6"/>
      <c r="I1114" s="6"/>
      <c r="J1114" s="16"/>
      <c r="K1114" s="6"/>
      <c r="L1114" s="16"/>
      <c r="M1114" s="23"/>
      <c r="N1114" s="15"/>
      <c r="O1114" s="23"/>
      <c r="P1114" s="21"/>
      <c r="Q1114" s="6"/>
      <c r="R1114" s="6"/>
      <c r="S1114" s="20"/>
      <c r="T1114" s="6"/>
      <c r="U1114" s="21"/>
      <c r="W1114" s="20"/>
      <c r="X1114" s="21"/>
    </row>
    <row r="1115" spans="2:24" ht="16">
      <c r="B1115" s="26" t="str">
        <f t="shared" si="5"/>
        <v/>
      </c>
      <c r="C1115" s="23"/>
      <c r="D1115" s="6"/>
      <c r="E1115" s="6"/>
      <c r="F1115" s="15"/>
      <c r="G1115" s="6"/>
      <c r="H1115" s="6"/>
      <c r="I1115" s="6"/>
      <c r="J1115" s="16"/>
      <c r="K1115" s="6"/>
      <c r="L1115" s="16"/>
      <c r="M1115" s="23"/>
      <c r="N1115" s="15"/>
      <c r="O1115" s="23"/>
      <c r="P1115" s="21"/>
      <c r="Q1115" s="6"/>
      <c r="R1115" s="6"/>
      <c r="S1115" s="20"/>
      <c r="T1115" s="6"/>
      <c r="U1115" s="21"/>
      <c r="W1115" s="20"/>
      <c r="X1115" s="21"/>
    </row>
    <row r="1116" spans="2:24" ht="16">
      <c r="B1116" s="26" t="str">
        <f t="shared" si="5"/>
        <v/>
      </c>
      <c r="C1116" s="23"/>
      <c r="D1116" s="6"/>
      <c r="E1116" s="6"/>
      <c r="F1116" s="15"/>
      <c r="G1116" s="6"/>
      <c r="H1116" s="6"/>
      <c r="I1116" s="6"/>
      <c r="J1116" s="16"/>
      <c r="K1116" s="6"/>
      <c r="L1116" s="16"/>
      <c r="M1116" s="23"/>
      <c r="N1116" s="15"/>
      <c r="O1116" s="23"/>
      <c r="P1116" s="21"/>
      <c r="Q1116" s="6"/>
      <c r="R1116" s="6"/>
      <c r="S1116" s="20"/>
      <c r="T1116" s="6"/>
      <c r="U1116" s="21"/>
      <c r="W1116" s="20"/>
      <c r="X1116" s="21"/>
    </row>
    <row r="1117" spans="2:24" ht="16">
      <c r="B1117" s="26" t="str">
        <f t="shared" si="5"/>
        <v/>
      </c>
      <c r="C1117" s="23"/>
      <c r="D1117" s="6"/>
      <c r="E1117" s="6"/>
      <c r="F1117" s="15"/>
      <c r="G1117" s="6"/>
      <c r="H1117" s="6"/>
      <c r="I1117" s="6"/>
      <c r="J1117" s="16"/>
      <c r="K1117" s="6"/>
      <c r="L1117" s="16"/>
      <c r="M1117" s="23"/>
      <c r="N1117" s="15"/>
      <c r="O1117" s="23"/>
      <c r="P1117" s="21"/>
      <c r="Q1117" s="6"/>
      <c r="R1117" s="6"/>
      <c r="S1117" s="20"/>
      <c r="T1117" s="6"/>
      <c r="U1117" s="21"/>
      <c r="W1117" s="20"/>
      <c r="X1117" s="21"/>
    </row>
    <row r="1118" spans="2:24" ht="16">
      <c r="B1118" s="26" t="str">
        <f t="shared" si="5"/>
        <v/>
      </c>
      <c r="C1118" s="23"/>
      <c r="D1118" s="6"/>
      <c r="E1118" s="6"/>
      <c r="F1118" s="15"/>
      <c r="G1118" s="6"/>
      <c r="H1118" s="6"/>
      <c r="I1118" s="6"/>
      <c r="J1118" s="16"/>
      <c r="K1118" s="6"/>
      <c r="L1118" s="16"/>
      <c r="M1118" s="23"/>
      <c r="N1118" s="15"/>
      <c r="O1118" s="23"/>
      <c r="P1118" s="21"/>
      <c r="Q1118" s="6"/>
      <c r="R1118" s="6"/>
      <c r="S1118" s="20"/>
      <c r="T1118" s="6"/>
      <c r="U1118" s="21"/>
      <c r="W1118" s="20"/>
      <c r="X1118" s="21"/>
    </row>
    <row r="1119" spans="2:24" ht="16">
      <c r="B1119" s="26" t="str">
        <f t="shared" si="5"/>
        <v/>
      </c>
      <c r="C1119" s="23"/>
      <c r="D1119" s="6"/>
      <c r="E1119" s="6"/>
      <c r="F1119" s="15"/>
      <c r="G1119" s="6"/>
      <c r="H1119" s="6"/>
      <c r="I1119" s="6"/>
      <c r="J1119" s="16"/>
      <c r="K1119" s="6"/>
      <c r="L1119" s="16"/>
      <c r="M1119" s="23"/>
      <c r="N1119" s="15"/>
      <c r="O1119" s="23"/>
      <c r="P1119" s="21"/>
      <c r="Q1119" s="6"/>
      <c r="R1119" s="6"/>
      <c r="S1119" s="20"/>
      <c r="T1119" s="6"/>
      <c r="U1119" s="21"/>
      <c r="W1119" s="20"/>
      <c r="X1119" s="21"/>
    </row>
    <row r="1120" spans="2:24" ht="16">
      <c r="B1120" s="26" t="str">
        <f t="shared" si="5"/>
        <v/>
      </c>
      <c r="C1120" s="23"/>
      <c r="D1120" s="6"/>
      <c r="E1120" s="6"/>
      <c r="F1120" s="15"/>
      <c r="G1120" s="6"/>
      <c r="H1120" s="6"/>
      <c r="I1120" s="6"/>
      <c r="J1120" s="16"/>
      <c r="K1120" s="6"/>
      <c r="L1120" s="16"/>
      <c r="M1120" s="23"/>
      <c r="N1120" s="15"/>
      <c r="O1120" s="23"/>
      <c r="P1120" s="21"/>
      <c r="Q1120" s="6"/>
      <c r="R1120" s="6"/>
      <c r="S1120" s="20"/>
      <c r="T1120" s="6"/>
      <c r="U1120" s="21"/>
      <c r="W1120" s="20"/>
      <c r="X1120" s="21"/>
    </row>
    <row r="1121" spans="2:24" ht="16">
      <c r="B1121" s="26" t="str">
        <f t="shared" si="5"/>
        <v/>
      </c>
      <c r="C1121" s="23"/>
      <c r="D1121" s="6"/>
      <c r="E1121" s="6"/>
      <c r="F1121" s="15"/>
      <c r="G1121" s="6"/>
      <c r="H1121" s="6"/>
      <c r="I1121" s="6"/>
      <c r="J1121" s="16"/>
      <c r="K1121" s="6"/>
      <c r="L1121" s="16"/>
      <c r="M1121" s="23"/>
      <c r="N1121" s="15"/>
      <c r="O1121" s="23"/>
      <c r="P1121" s="21"/>
      <c r="Q1121" s="6"/>
      <c r="R1121" s="6"/>
      <c r="S1121" s="20"/>
      <c r="T1121" s="6"/>
      <c r="U1121" s="21"/>
      <c r="W1121" s="20"/>
      <c r="X1121" s="21"/>
    </row>
    <row r="1122" spans="2:24" ht="16">
      <c r="B1122" s="26" t="str">
        <f t="shared" si="5"/>
        <v/>
      </c>
      <c r="C1122" s="23"/>
      <c r="D1122" s="6"/>
      <c r="E1122" s="6"/>
      <c r="F1122" s="15"/>
      <c r="G1122" s="6"/>
      <c r="H1122" s="6"/>
      <c r="I1122" s="6"/>
      <c r="J1122" s="16"/>
      <c r="K1122" s="6"/>
      <c r="L1122" s="16"/>
      <c r="M1122" s="23"/>
      <c r="N1122" s="15"/>
      <c r="O1122" s="23"/>
      <c r="P1122" s="21"/>
      <c r="Q1122" s="6"/>
      <c r="R1122" s="6"/>
      <c r="S1122" s="20"/>
      <c r="T1122" s="6"/>
      <c r="U1122" s="21"/>
      <c r="W1122" s="20"/>
      <c r="X1122" s="21"/>
    </row>
    <row r="1123" spans="2:24" ht="16">
      <c r="B1123" s="26" t="str">
        <f t="shared" si="5"/>
        <v/>
      </c>
      <c r="C1123" s="23"/>
      <c r="D1123" s="6"/>
      <c r="E1123" s="6"/>
      <c r="F1123" s="15"/>
      <c r="G1123" s="6"/>
      <c r="H1123" s="6"/>
      <c r="I1123" s="6"/>
      <c r="J1123" s="16"/>
      <c r="K1123" s="6"/>
      <c r="L1123" s="16"/>
      <c r="M1123" s="23"/>
      <c r="N1123" s="15"/>
      <c r="O1123" s="23"/>
      <c r="P1123" s="21"/>
      <c r="Q1123" s="6"/>
      <c r="R1123" s="6"/>
      <c r="S1123" s="20"/>
      <c r="T1123" s="6"/>
      <c r="U1123" s="21"/>
      <c r="W1123" s="20"/>
      <c r="X1123" s="21"/>
    </row>
    <row r="1124" spans="2:24" ht="16">
      <c r="B1124" s="26" t="str">
        <f t="shared" si="5"/>
        <v/>
      </c>
      <c r="C1124" s="23"/>
      <c r="D1124" s="6"/>
      <c r="E1124" s="6"/>
      <c r="F1124" s="15"/>
      <c r="G1124" s="6"/>
      <c r="H1124" s="6"/>
      <c r="I1124" s="6"/>
      <c r="J1124" s="16"/>
      <c r="K1124" s="6"/>
      <c r="L1124" s="16"/>
      <c r="M1124" s="23"/>
      <c r="N1124" s="15"/>
      <c r="O1124" s="23"/>
      <c r="P1124" s="21"/>
      <c r="Q1124" s="6"/>
      <c r="R1124" s="6"/>
      <c r="S1124" s="20"/>
      <c r="T1124" s="6"/>
      <c r="U1124" s="21"/>
      <c r="W1124" s="20"/>
      <c r="X1124" s="21"/>
    </row>
    <row r="1125" spans="2:24" ht="16">
      <c r="B1125" s="26" t="str">
        <f t="shared" si="5"/>
        <v/>
      </c>
      <c r="C1125" s="23"/>
      <c r="D1125" s="6"/>
      <c r="E1125" s="6"/>
      <c r="F1125" s="15"/>
      <c r="G1125" s="6"/>
      <c r="H1125" s="6"/>
      <c r="I1125" s="6"/>
      <c r="J1125" s="16"/>
      <c r="K1125" s="6"/>
      <c r="L1125" s="16"/>
      <c r="M1125" s="23"/>
      <c r="N1125" s="15"/>
      <c r="O1125" s="23"/>
      <c r="P1125" s="21"/>
      <c r="Q1125" s="6"/>
      <c r="R1125" s="6"/>
      <c r="S1125" s="20"/>
      <c r="T1125" s="6"/>
      <c r="U1125" s="21"/>
      <c r="W1125" s="20"/>
      <c r="X1125" s="21"/>
    </row>
    <row r="1126" spans="2:24" ht="16">
      <c r="B1126" s="26" t="str">
        <f t="shared" si="5"/>
        <v/>
      </c>
      <c r="C1126" s="23"/>
      <c r="D1126" s="6"/>
      <c r="E1126" s="6"/>
      <c r="F1126" s="15"/>
      <c r="G1126" s="6"/>
      <c r="H1126" s="6"/>
      <c r="I1126" s="6"/>
      <c r="J1126" s="16"/>
      <c r="K1126" s="6"/>
      <c r="L1126" s="16"/>
      <c r="M1126" s="23"/>
      <c r="N1126" s="15"/>
      <c r="O1126" s="23"/>
      <c r="P1126" s="21"/>
      <c r="Q1126" s="6"/>
      <c r="R1126" s="6"/>
      <c r="S1126" s="20"/>
      <c r="T1126" s="6"/>
      <c r="U1126" s="21"/>
      <c r="W1126" s="20"/>
      <c r="X1126" s="21"/>
    </row>
    <row r="1127" spans="2:24" ht="16">
      <c r="B1127" s="26" t="str">
        <f t="shared" si="5"/>
        <v/>
      </c>
      <c r="C1127" s="23"/>
      <c r="D1127" s="6"/>
      <c r="E1127" s="6"/>
      <c r="F1127" s="15"/>
      <c r="G1127" s="6"/>
      <c r="H1127" s="6"/>
      <c r="I1127" s="6"/>
      <c r="J1127" s="16"/>
      <c r="K1127" s="6"/>
      <c r="L1127" s="16"/>
      <c r="M1127" s="23"/>
      <c r="N1127" s="15"/>
      <c r="O1127" s="23"/>
      <c r="P1127" s="21"/>
      <c r="Q1127" s="6"/>
      <c r="R1127" s="6"/>
      <c r="S1127" s="20"/>
      <c r="T1127" s="6"/>
      <c r="U1127" s="21"/>
      <c r="W1127" s="20"/>
      <c r="X1127" s="21"/>
    </row>
    <row r="1128" spans="2:24" ht="16">
      <c r="B1128" s="26" t="str">
        <f t="shared" si="5"/>
        <v/>
      </c>
      <c r="C1128" s="23"/>
      <c r="D1128" s="6"/>
      <c r="E1128" s="6"/>
      <c r="F1128" s="15"/>
      <c r="G1128" s="6"/>
      <c r="H1128" s="6"/>
      <c r="I1128" s="6"/>
      <c r="J1128" s="16"/>
      <c r="K1128" s="6"/>
      <c r="L1128" s="16"/>
      <c r="M1128" s="23"/>
      <c r="N1128" s="15"/>
      <c r="O1128" s="23"/>
      <c r="P1128" s="21"/>
      <c r="Q1128" s="6"/>
      <c r="R1128" s="6"/>
      <c r="S1128" s="20"/>
      <c r="T1128" s="6"/>
      <c r="U1128" s="21"/>
      <c r="W1128" s="20"/>
      <c r="X1128" s="21"/>
    </row>
    <row r="1129" spans="2:24" ht="16">
      <c r="B1129" s="26" t="str">
        <f t="shared" si="5"/>
        <v/>
      </c>
      <c r="C1129" s="23"/>
      <c r="D1129" s="6"/>
      <c r="E1129" s="6"/>
      <c r="F1129" s="15"/>
      <c r="G1129" s="6"/>
      <c r="H1129" s="6"/>
      <c r="I1129" s="6"/>
      <c r="J1129" s="16"/>
      <c r="K1129" s="6"/>
      <c r="L1129" s="16"/>
      <c r="M1129" s="23"/>
      <c r="N1129" s="15"/>
      <c r="O1129" s="23"/>
      <c r="P1129" s="21"/>
      <c r="Q1129" s="6"/>
      <c r="R1129" s="6"/>
      <c r="S1129" s="20"/>
      <c r="T1129" s="6"/>
      <c r="U1129" s="21"/>
      <c r="W1129" s="20"/>
      <c r="X1129" s="21"/>
    </row>
    <row r="1130" spans="2:24" ht="16">
      <c r="B1130" s="26" t="str">
        <f t="shared" si="5"/>
        <v/>
      </c>
      <c r="C1130" s="23"/>
      <c r="D1130" s="6"/>
      <c r="E1130" s="6"/>
      <c r="F1130" s="15"/>
      <c r="G1130" s="6"/>
      <c r="H1130" s="6"/>
      <c r="I1130" s="6"/>
      <c r="J1130" s="16"/>
      <c r="K1130" s="6"/>
      <c r="L1130" s="16"/>
      <c r="M1130" s="23"/>
      <c r="N1130" s="15"/>
      <c r="O1130" s="23"/>
      <c r="P1130" s="21"/>
      <c r="Q1130" s="6"/>
      <c r="R1130" s="6"/>
      <c r="S1130" s="20"/>
      <c r="T1130" s="6"/>
      <c r="U1130" s="21"/>
      <c r="W1130" s="20"/>
      <c r="X1130" s="21"/>
    </row>
    <row r="1131" spans="2:24" ht="16">
      <c r="B1131" s="26" t="str">
        <f t="shared" si="5"/>
        <v/>
      </c>
      <c r="C1131" s="23"/>
      <c r="D1131" s="6"/>
      <c r="E1131" s="6"/>
      <c r="F1131" s="15"/>
      <c r="G1131" s="6"/>
      <c r="H1131" s="6"/>
      <c r="I1131" s="6"/>
      <c r="J1131" s="16"/>
      <c r="K1131" s="6"/>
      <c r="L1131" s="16"/>
      <c r="M1131" s="23"/>
      <c r="N1131" s="15"/>
      <c r="O1131" s="23"/>
      <c r="P1131" s="21"/>
      <c r="Q1131" s="6"/>
      <c r="R1131" s="6"/>
      <c r="S1131" s="20"/>
      <c r="T1131" s="6"/>
      <c r="U1131" s="21"/>
      <c r="W1131" s="20"/>
      <c r="X1131" s="21"/>
    </row>
    <row r="1132" spans="2:24" ht="16">
      <c r="B1132" s="26" t="str">
        <f t="shared" si="5"/>
        <v/>
      </c>
      <c r="C1132" s="23"/>
      <c r="D1132" s="6"/>
      <c r="E1132" s="6"/>
      <c r="F1132" s="15"/>
      <c r="G1132" s="6"/>
      <c r="H1132" s="6"/>
      <c r="I1132" s="6"/>
      <c r="J1132" s="16"/>
      <c r="K1132" s="6"/>
      <c r="L1132" s="16"/>
      <c r="M1132" s="23"/>
      <c r="N1132" s="15"/>
      <c r="O1132" s="23"/>
      <c r="P1132" s="21"/>
      <c r="Q1132" s="6"/>
      <c r="R1132" s="6"/>
      <c r="S1132" s="20"/>
      <c r="T1132" s="6"/>
      <c r="U1132" s="21"/>
      <c r="W1132" s="20"/>
      <c r="X1132" s="21"/>
    </row>
    <row r="1133" spans="2:24" ht="16">
      <c r="B1133" s="26" t="str">
        <f t="shared" si="5"/>
        <v/>
      </c>
      <c r="C1133" s="23"/>
      <c r="D1133" s="6"/>
      <c r="E1133" s="6"/>
      <c r="F1133" s="15"/>
      <c r="G1133" s="6"/>
      <c r="H1133" s="6"/>
      <c r="I1133" s="6"/>
      <c r="J1133" s="16"/>
      <c r="K1133" s="6"/>
      <c r="L1133" s="16"/>
      <c r="M1133" s="23"/>
      <c r="N1133" s="15"/>
      <c r="O1133" s="23"/>
      <c r="P1133" s="21"/>
      <c r="Q1133" s="6"/>
      <c r="R1133" s="6"/>
      <c r="S1133" s="20"/>
      <c r="T1133" s="6"/>
      <c r="U1133" s="21"/>
      <c r="W1133" s="20"/>
      <c r="X1133" s="21"/>
    </row>
    <row r="1134" spans="2:24" ht="16">
      <c r="B1134" s="26" t="str">
        <f t="shared" si="5"/>
        <v/>
      </c>
      <c r="C1134" s="23"/>
      <c r="D1134" s="6"/>
      <c r="E1134" s="6"/>
      <c r="F1134" s="15"/>
      <c r="G1134" s="6"/>
      <c r="H1134" s="6"/>
      <c r="I1134" s="6"/>
      <c r="J1134" s="16"/>
      <c r="K1134" s="6"/>
      <c r="L1134" s="16"/>
      <c r="M1134" s="23"/>
      <c r="N1134" s="15"/>
      <c r="O1134" s="23"/>
      <c r="P1134" s="21"/>
      <c r="Q1134" s="6"/>
      <c r="R1134" s="6"/>
      <c r="S1134" s="20"/>
      <c r="T1134" s="6"/>
      <c r="U1134" s="21"/>
      <c r="W1134" s="20"/>
      <c r="X1134" s="21"/>
    </row>
    <row r="1135" spans="2:24" ht="16">
      <c r="B1135" s="26" t="str">
        <f t="shared" si="5"/>
        <v/>
      </c>
      <c r="C1135" s="23"/>
      <c r="D1135" s="6"/>
      <c r="E1135" s="6"/>
      <c r="F1135" s="15"/>
      <c r="G1135" s="6"/>
      <c r="H1135" s="6"/>
      <c r="I1135" s="6"/>
      <c r="J1135" s="16"/>
      <c r="K1135" s="6"/>
      <c r="L1135" s="16"/>
      <c r="M1135" s="23"/>
      <c r="N1135" s="15"/>
      <c r="O1135" s="23"/>
      <c r="P1135" s="21"/>
      <c r="Q1135" s="6"/>
      <c r="R1135" s="6"/>
      <c r="S1135" s="20"/>
      <c r="T1135" s="6"/>
      <c r="U1135" s="21"/>
      <c r="W1135" s="20"/>
      <c r="X1135" s="21"/>
    </row>
    <row r="1136" spans="2:24" ht="16">
      <c r="B1136" s="26" t="str">
        <f t="shared" si="5"/>
        <v/>
      </c>
      <c r="C1136" s="23"/>
      <c r="D1136" s="6"/>
      <c r="E1136" s="6"/>
      <c r="F1136" s="15"/>
      <c r="G1136" s="6"/>
      <c r="H1136" s="6"/>
      <c r="I1136" s="6"/>
      <c r="J1136" s="16"/>
      <c r="K1136" s="6"/>
      <c r="L1136" s="16"/>
      <c r="M1136" s="23"/>
      <c r="N1136" s="15"/>
      <c r="O1136" s="23"/>
      <c r="P1136" s="21"/>
      <c r="Q1136" s="6"/>
      <c r="R1136" s="6"/>
      <c r="S1136" s="20"/>
      <c r="T1136" s="6"/>
      <c r="U1136" s="21"/>
      <c r="W1136" s="20"/>
      <c r="X1136" s="21"/>
    </row>
    <row r="1137" spans="2:24" ht="16">
      <c r="B1137" s="26" t="str">
        <f t="shared" si="5"/>
        <v/>
      </c>
      <c r="C1137" s="23"/>
      <c r="D1137" s="6"/>
      <c r="E1137" s="6"/>
      <c r="F1137" s="15"/>
      <c r="G1137" s="6"/>
      <c r="H1137" s="6"/>
      <c r="I1137" s="6"/>
      <c r="J1137" s="16"/>
      <c r="K1137" s="6"/>
      <c r="L1137" s="16"/>
      <c r="M1137" s="23"/>
      <c r="N1137" s="15"/>
      <c r="O1137" s="23"/>
      <c r="P1137" s="21"/>
      <c r="Q1137" s="6"/>
      <c r="R1137" s="6"/>
      <c r="S1137" s="20"/>
      <c r="T1137" s="6"/>
      <c r="U1137" s="21"/>
      <c r="W1137" s="20"/>
      <c r="X1137" s="21"/>
    </row>
    <row r="1138" spans="2:24" ht="16">
      <c r="B1138" s="26" t="str">
        <f t="shared" si="5"/>
        <v/>
      </c>
      <c r="C1138" s="23"/>
      <c r="D1138" s="6"/>
      <c r="E1138" s="6"/>
      <c r="F1138" s="15"/>
      <c r="G1138" s="6"/>
      <c r="H1138" s="6"/>
      <c r="I1138" s="6"/>
      <c r="J1138" s="16"/>
      <c r="K1138" s="6"/>
      <c r="L1138" s="16"/>
      <c r="M1138" s="23"/>
      <c r="N1138" s="15"/>
      <c r="O1138" s="23"/>
      <c r="P1138" s="21"/>
      <c r="Q1138" s="6"/>
      <c r="R1138" s="6"/>
      <c r="S1138" s="20"/>
      <c r="T1138" s="6"/>
      <c r="U1138" s="21"/>
      <c r="W1138" s="20"/>
      <c r="X1138" s="21"/>
    </row>
    <row r="1139" spans="2:24" ht="16">
      <c r="B1139" s="26" t="str">
        <f t="shared" si="5"/>
        <v/>
      </c>
      <c r="C1139" s="23"/>
      <c r="D1139" s="6"/>
      <c r="E1139" s="6"/>
      <c r="F1139" s="15"/>
      <c r="G1139" s="6"/>
      <c r="H1139" s="6"/>
      <c r="I1139" s="6"/>
      <c r="J1139" s="16"/>
      <c r="K1139" s="6"/>
      <c r="L1139" s="16"/>
      <c r="M1139" s="23"/>
      <c r="N1139" s="15"/>
      <c r="O1139" s="23"/>
      <c r="P1139" s="21"/>
      <c r="Q1139" s="6"/>
      <c r="R1139" s="6"/>
      <c r="S1139" s="20"/>
      <c r="T1139" s="6"/>
      <c r="U1139" s="21"/>
      <c r="W1139" s="20"/>
      <c r="X1139" s="21"/>
    </row>
    <row r="1140" spans="2:24" ht="16">
      <c r="B1140" s="26" t="str">
        <f t="shared" si="5"/>
        <v/>
      </c>
      <c r="C1140" s="23"/>
      <c r="D1140" s="6"/>
      <c r="E1140" s="6"/>
      <c r="F1140" s="15"/>
      <c r="G1140" s="6"/>
      <c r="H1140" s="6"/>
      <c r="I1140" s="6"/>
      <c r="J1140" s="16"/>
      <c r="K1140" s="6"/>
      <c r="L1140" s="16"/>
      <c r="M1140" s="23"/>
      <c r="N1140" s="15"/>
      <c r="O1140" s="23"/>
      <c r="P1140" s="21"/>
      <c r="Q1140" s="6"/>
      <c r="R1140" s="6"/>
      <c r="S1140" s="20"/>
      <c r="T1140" s="6"/>
      <c r="U1140" s="21"/>
      <c r="W1140" s="20"/>
      <c r="X1140" s="21"/>
    </row>
    <row r="1141" spans="2:24" ht="16">
      <c r="B1141" s="26" t="str">
        <f t="shared" si="5"/>
        <v/>
      </c>
      <c r="C1141" s="23"/>
      <c r="D1141" s="6"/>
      <c r="E1141" s="6"/>
      <c r="F1141" s="15"/>
      <c r="G1141" s="6"/>
      <c r="H1141" s="6"/>
      <c r="I1141" s="6"/>
      <c r="J1141" s="16"/>
      <c r="K1141" s="6"/>
      <c r="L1141" s="16"/>
      <c r="M1141" s="23"/>
      <c r="N1141" s="15"/>
      <c r="O1141" s="23"/>
      <c r="P1141" s="21"/>
      <c r="Q1141" s="6"/>
      <c r="R1141" s="6"/>
      <c r="S1141" s="20"/>
      <c r="T1141" s="6"/>
      <c r="U1141" s="21"/>
      <c r="W1141" s="20"/>
      <c r="X1141" s="21"/>
    </row>
    <row r="1142" spans="2:24" ht="16">
      <c r="B1142" s="26" t="str">
        <f t="shared" si="5"/>
        <v/>
      </c>
      <c r="C1142" s="23"/>
      <c r="D1142" s="6"/>
      <c r="E1142" s="6"/>
      <c r="F1142" s="15"/>
      <c r="G1142" s="6"/>
      <c r="H1142" s="6"/>
      <c r="I1142" s="6"/>
      <c r="J1142" s="16"/>
      <c r="K1142" s="6"/>
      <c r="L1142" s="16"/>
      <c r="M1142" s="23"/>
      <c r="N1142" s="15"/>
      <c r="O1142" s="23"/>
      <c r="P1142" s="21"/>
      <c r="Q1142" s="6"/>
      <c r="R1142" s="6"/>
      <c r="S1142" s="20"/>
      <c r="T1142" s="6"/>
      <c r="U1142" s="21"/>
      <c r="W1142" s="20"/>
      <c r="X1142" s="21"/>
    </row>
    <row r="1143" spans="2:24" ht="16">
      <c r="B1143" s="26" t="str">
        <f t="shared" si="5"/>
        <v/>
      </c>
      <c r="C1143" s="23"/>
      <c r="D1143" s="6"/>
      <c r="E1143" s="6"/>
      <c r="F1143" s="15"/>
      <c r="G1143" s="6"/>
      <c r="H1143" s="6"/>
      <c r="I1143" s="6"/>
      <c r="J1143" s="16"/>
      <c r="K1143" s="6"/>
      <c r="L1143" s="16"/>
      <c r="M1143" s="23"/>
      <c r="N1143" s="15"/>
      <c r="O1143" s="23"/>
      <c r="P1143" s="21"/>
      <c r="Q1143" s="6"/>
      <c r="R1143" s="6"/>
      <c r="S1143" s="20"/>
      <c r="T1143" s="6"/>
      <c r="U1143" s="21"/>
      <c r="W1143" s="20"/>
      <c r="X1143" s="21"/>
    </row>
    <row r="1144" spans="2:24" ht="16">
      <c r="B1144" s="26" t="str">
        <f t="shared" si="5"/>
        <v/>
      </c>
      <c r="C1144" s="23"/>
      <c r="D1144" s="6"/>
      <c r="E1144" s="6"/>
      <c r="F1144" s="15"/>
      <c r="G1144" s="6"/>
      <c r="H1144" s="6"/>
      <c r="I1144" s="6"/>
      <c r="J1144" s="16"/>
      <c r="K1144" s="6"/>
      <c r="L1144" s="16"/>
      <c r="M1144" s="23"/>
      <c r="N1144" s="15"/>
      <c r="O1144" s="23"/>
      <c r="P1144" s="21"/>
      <c r="Q1144" s="6"/>
      <c r="R1144" s="6"/>
      <c r="S1144" s="20"/>
      <c r="T1144" s="6"/>
      <c r="U1144" s="21"/>
      <c r="W1144" s="20"/>
      <c r="X1144" s="21"/>
    </row>
    <row r="1145" spans="2:24" ht="16">
      <c r="B1145" s="26" t="str">
        <f t="shared" si="5"/>
        <v/>
      </c>
      <c r="C1145" s="23"/>
      <c r="D1145" s="6"/>
      <c r="E1145" s="6"/>
      <c r="F1145" s="15"/>
      <c r="G1145" s="6"/>
      <c r="H1145" s="6"/>
      <c r="I1145" s="6"/>
      <c r="J1145" s="16"/>
      <c r="K1145" s="6"/>
      <c r="L1145" s="16"/>
      <c r="M1145" s="23"/>
      <c r="N1145" s="15"/>
      <c r="O1145" s="23"/>
      <c r="P1145" s="21"/>
      <c r="Q1145" s="6"/>
      <c r="R1145" s="6"/>
      <c r="S1145" s="20"/>
      <c r="T1145" s="6"/>
      <c r="U1145" s="21"/>
      <c r="W1145" s="20"/>
      <c r="X1145" s="21"/>
    </row>
    <row r="1146" spans="2:24" ht="16">
      <c r="B1146" s="26" t="str">
        <f t="shared" si="5"/>
        <v/>
      </c>
      <c r="C1146" s="23"/>
      <c r="D1146" s="6"/>
      <c r="E1146" s="6"/>
      <c r="F1146" s="15"/>
      <c r="G1146" s="6"/>
      <c r="H1146" s="6"/>
      <c r="I1146" s="6"/>
      <c r="J1146" s="16"/>
      <c r="K1146" s="6"/>
      <c r="L1146" s="16"/>
      <c r="M1146" s="23"/>
      <c r="N1146" s="15"/>
      <c r="O1146" s="23"/>
      <c r="P1146" s="21"/>
      <c r="Q1146" s="6"/>
      <c r="R1146" s="6"/>
      <c r="S1146" s="20"/>
      <c r="T1146" s="6"/>
      <c r="U1146" s="21"/>
      <c r="W1146" s="20"/>
      <c r="X1146" s="21"/>
    </row>
    <row r="1147" spans="2:24" ht="16">
      <c r="B1147" s="26" t="str">
        <f t="shared" si="5"/>
        <v/>
      </c>
      <c r="C1147" s="23"/>
      <c r="D1147" s="6"/>
      <c r="E1147" s="6"/>
      <c r="F1147" s="15"/>
      <c r="G1147" s="6"/>
      <c r="H1147" s="6"/>
      <c r="I1147" s="6"/>
      <c r="J1147" s="16"/>
      <c r="K1147" s="6"/>
      <c r="L1147" s="16"/>
      <c r="M1147" s="23"/>
      <c r="N1147" s="15"/>
      <c r="O1147" s="23"/>
      <c r="P1147" s="21"/>
      <c r="Q1147" s="6"/>
      <c r="R1147" s="6"/>
      <c r="S1147" s="20"/>
      <c r="T1147" s="6"/>
      <c r="U1147" s="21"/>
      <c r="W1147" s="20"/>
      <c r="X1147" s="21"/>
    </row>
    <row r="1148" spans="2:24" ht="16">
      <c r="B1148" s="26" t="str">
        <f t="shared" si="5"/>
        <v/>
      </c>
      <c r="C1148" s="23"/>
      <c r="D1148" s="6"/>
      <c r="E1148" s="6"/>
      <c r="F1148" s="15"/>
      <c r="G1148" s="6"/>
      <c r="H1148" s="6"/>
      <c r="I1148" s="6"/>
      <c r="J1148" s="16"/>
      <c r="K1148" s="6"/>
      <c r="L1148" s="16"/>
      <c r="M1148" s="23"/>
      <c r="N1148" s="15"/>
      <c r="O1148" s="23"/>
      <c r="P1148" s="21"/>
      <c r="Q1148" s="6"/>
      <c r="R1148" s="6"/>
      <c r="S1148" s="20"/>
      <c r="T1148" s="6"/>
      <c r="U1148" s="21"/>
      <c r="W1148" s="20"/>
      <c r="X1148" s="21"/>
    </row>
    <row r="1149" spans="2:24" ht="16">
      <c r="B1149" s="26" t="str">
        <f t="shared" si="5"/>
        <v/>
      </c>
      <c r="C1149" s="23"/>
      <c r="D1149" s="6"/>
      <c r="E1149" s="6"/>
      <c r="F1149" s="15"/>
      <c r="G1149" s="6"/>
      <c r="H1149" s="6"/>
      <c r="I1149" s="6"/>
      <c r="J1149" s="16"/>
      <c r="K1149" s="6"/>
      <c r="L1149" s="16"/>
      <c r="M1149" s="23"/>
      <c r="N1149" s="15"/>
      <c r="O1149" s="23"/>
      <c r="P1149" s="21"/>
      <c r="Q1149" s="6"/>
      <c r="R1149" s="6"/>
      <c r="S1149" s="20"/>
      <c r="T1149" s="6"/>
      <c r="U1149" s="21"/>
      <c r="W1149" s="20"/>
      <c r="X1149" s="21"/>
    </row>
    <row r="1150" spans="2:24" ht="16">
      <c r="B1150" s="26" t="str">
        <f t="shared" si="5"/>
        <v/>
      </c>
      <c r="C1150" s="23"/>
      <c r="D1150" s="6"/>
      <c r="E1150" s="6"/>
      <c r="F1150" s="15"/>
      <c r="G1150" s="6"/>
      <c r="H1150" s="6"/>
      <c r="I1150" s="6"/>
      <c r="J1150" s="16"/>
      <c r="K1150" s="6"/>
      <c r="L1150" s="16"/>
      <c r="M1150" s="23"/>
      <c r="N1150" s="15"/>
      <c r="O1150" s="23"/>
      <c r="P1150" s="21"/>
      <c r="Q1150" s="6"/>
      <c r="R1150" s="6"/>
      <c r="S1150" s="20"/>
      <c r="T1150" s="6"/>
      <c r="U1150" s="21"/>
      <c r="W1150" s="20"/>
      <c r="X1150" s="21"/>
    </row>
    <row r="1151" spans="2:24" ht="16">
      <c r="B1151" s="26" t="str">
        <f t="shared" si="5"/>
        <v/>
      </c>
      <c r="C1151" s="23"/>
      <c r="D1151" s="6"/>
      <c r="E1151" s="6"/>
      <c r="F1151" s="15"/>
      <c r="G1151" s="6"/>
      <c r="H1151" s="6"/>
      <c r="I1151" s="6"/>
      <c r="J1151" s="16"/>
      <c r="K1151" s="6"/>
      <c r="L1151" s="16"/>
      <c r="M1151" s="23"/>
      <c r="N1151" s="15"/>
      <c r="O1151" s="23"/>
      <c r="P1151" s="21"/>
      <c r="Q1151" s="6"/>
      <c r="R1151" s="6"/>
      <c r="S1151" s="20"/>
      <c r="T1151" s="6"/>
      <c r="U1151" s="21"/>
      <c r="W1151" s="20"/>
      <c r="X1151" s="21"/>
    </row>
    <row r="1152" spans="2:24" ht="16">
      <c r="B1152" s="26" t="str">
        <f t="shared" si="5"/>
        <v/>
      </c>
      <c r="C1152" s="23"/>
      <c r="D1152" s="6"/>
      <c r="E1152" s="6"/>
      <c r="F1152" s="15"/>
      <c r="G1152" s="6"/>
      <c r="H1152" s="6"/>
      <c r="I1152" s="6"/>
      <c r="J1152" s="16"/>
      <c r="K1152" s="6"/>
      <c r="L1152" s="16"/>
      <c r="M1152" s="23"/>
      <c r="N1152" s="15"/>
      <c r="O1152" s="23"/>
      <c r="P1152" s="21"/>
      <c r="Q1152" s="6"/>
      <c r="R1152" s="6"/>
      <c r="S1152" s="20"/>
      <c r="T1152" s="6"/>
      <c r="U1152" s="21"/>
      <c r="W1152" s="20"/>
      <c r="X1152" s="21"/>
    </row>
    <row r="1153" spans="2:31" ht="16">
      <c r="B1153" s="26" t="str">
        <f t="shared" si="5"/>
        <v/>
      </c>
      <c r="C1153" s="23"/>
      <c r="D1153" s="6"/>
      <c r="E1153" s="6"/>
      <c r="F1153" s="15"/>
      <c r="G1153" s="6"/>
      <c r="H1153" s="6"/>
      <c r="I1153" s="6"/>
      <c r="J1153" s="16"/>
      <c r="K1153" s="6"/>
      <c r="L1153" s="16"/>
      <c r="M1153" s="23"/>
      <c r="N1153" s="15"/>
      <c r="O1153" s="23"/>
      <c r="P1153" s="21"/>
      <c r="Q1153" s="6"/>
      <c r="R1153" s="6"/>
      <c r="S1153" s="20"/>
      <c r="T1153" s="6"/>
      <c r="U1153" s="21"/>
      <c r="W1153" s="20"/>
      <c r="X1153" s="21"/>
    </row>
    <row r="1154" spans="2:31" ht="16">
      <c r="B1154" s="26" t="str">
        <f t="shared" si="5"/>
        <v/>
      </c>
      <c r="C1154" s="23"/>
      <c r="D1154" s="6"/>
      <c r="E1154" s="6"/>
      <c r="F1154" s="15"/>
      <c r="G1154" s="6"/>
      <c r="H1154" s="6"/>
      <c r="I1154" s="6"/>
      <c r="J1154" s="16"/>
      <c r="K1154" s="6"/>
      <c r="L1154" s="16"/>
      <c r="M1154" s="23"/>
      <c r="N1154" s="15"/>
      <c r="O1154" s="23"/>
      <c r="P1154" s="21"/>
      <c r="Q1154" s="6"/>
      <c r="R1154" s="6"/>
      <c r="S1154" s="20"/>
      <c r="T1154" s="6"/>
      <c r="U1154" s="21"/>
      <c r="W1154" s="20"/>
      <c r="X1154" s="21"/>
    </row>
    <row r="1155" spans="2:31" ht="16">
      <c r="B1155" s="26" t="str">
        <f t="shared" si="5"/>
        <v/>
      </c>
      <c r="C1155" s="23"/>
      <c r="D1155" s="6"/>
      <c r="E1155" s="6"/>
      <c r="F1155" s="15"/>
      <c r="G1155" s="6"/>
      <c r="H1155" s="6"/>
      <c r="I1155" s="6"/>
      <c r="J1155" s="16"/>
      <c r="K1155" s="6"/>
      <c r="L1155" s="16"/>
      <c r="M1155" s="23"/>
      <c r="N1155" s="15"/>
      <c r="O1155" s="23"/>
      <c r="P1155" s="21"/>
      <c r="Q1155" s="6"/>
      <c r="R1155" s="6"/>
      <c r="S1155" s="20"/>
      <c r="T1155" s="6"/>
      <c r="U1155" s="21"/>
      <c r="W1155" s="20"/>
      <c r="X1155" s="21"/>
    </row>
    <row r="1156" spans="2:31" ht="16">
      <c r="B1156" s="26" t="str">
        <f t="shared" si="5"/>
        <v/>
      </c>
      <c r="C1156" s="23"/>
      <c r="D1156" s="6"/>
      <c r="E1156" s="6"/>
      <c r="F1156" s="15"/>
      <c r="G1156" s="6"/>
      <c r="H1156" s="6"/>
      <c r="I1156" s="6"/>
      <c r="J1156" s="16"/>
      <c r="K1156" s="6"/>
      <c r="L1156" s="16"/>
      <c r="M1156" s="23"/>
      <c r="N1156" s="15"/>
      <c r="O1156" s="23"/>
      <c r="P1156" s="21"/>
      <c r="Q1156" s="6"/>
      <c r="R1156" s="6"/>
      <c r="S1156" s="20"/>
      <c r="T1156" s="6"/>
      <c r="U1156" s="21"/>
      <c r="W1156" s="20"/>
      <c r="X1156" s="21"/>
    </row>
    <row r="1157" spans="2:31" ht="16">
      <c r="B1157" s="26" t="str">
        <f t="shared" si="5"/>
        <v/>
      </c>
      <c r="C1157" s="23"/>
      <c r="D1157" s="6"/>
      <c r="E1157" s="6"/>
      <c r="F1157" s="15"/>
      <c r="G1157" s="6"/>
      <c r="H1157" s="6"/>
      <c r="I1157" s="6"/>
      <c r="J1157" s="16"/>
      <c r="K1157" s="6"/>
      <c r="L1157" s="16"/>
      <c r="M1157" s="23"/>
      <c r="N1157" s="15"/>
      <c r="O1157" s="23"/>
      <c r="P1157" s="21"/>
      <c r="Q1157" s="6"/>
      <c r="R1157" s="6"/>
      <c r="S1157" s="20"/>
      <c r="T1157" s="6"/>
      <c r="U1157" s="21"/>
      <c r="W1157" s="20"/>
      <c r="X1157" s="21"/>
    </row>
    <row r="1158" spans="2:31" ht="16">
      <c r="B1158" s="26" t="str">
        <f t="shared" si="5"/>
        <v/>
      </c>
      <c r="C1158" s="23"/>
      <c r="D1158" s="6"/>
      <c r="E1158" s="6"/>
      <c r="F1158" s="15"/>
      <c r="G1158" s="6"/>
      <c r="H1158" s="6"/>
      <c r="I1158" s="6"/>
      <c r="J1158" s="16"/>
      <c r="K1158" s="6"/>
      <c r="L1158" s="16"/>
      <c r="M1158" s="23"/>
      <c r="N1158" s="15"/>
      <c r="O1158" s="23"/>
      <c r="P1158" s="21"/>
      <c r="Q1158" s="6"/>
      <c r="R1158" s="6"/>
      <c r="S1158" s="20"/>
      <c r="T1158" s="6"/>
      <c r="U1158" s="21"/>
      <c r="W1158" s="20"/>
      <c r="X1158" s="21"/>
    </row>
    <row r="1159" spans="2:31" ht="16">
      <c r="B1159" s="26" t="str">
        <f t="shared" si="5"/>
        <v/>
      </c>
      <c r="C1159" s="23"/>
      <c r="D1159" s="6"/>
      <c r="E1159" s="6"/>
      <c r="F1159" s="15"/>
      <c r="G1159" s="6"/>
      <c r="H1159" s="6"/>
      <c r="I1159" s="6"/>
      <c r="J1159" s="16"/>
      <c r="K1159" s="6"/>
      <c r="L1159" s="16"/>
      <c r="M1159" s="23"/>
      <c r="N1159" s="15"/>
      <c r="O1159" s="23"/>
      <c r="P1159" s="21"/>
      <c r="Q1159" s="6"/>
      <c r="R1159" s="6"/>
      <c r="S1159" s="20"/>
      <c r="T1159" s="6"/>
      <c r="U1159" s="21"/>
      <c r="W1159" s="20"/>
      <c r="X1159" s="21"/>
    </row>
    <row r="1160" spans="2:31" ht="16">
      <c r="B1160" s="26" t="str">
        <f t="shared" si="5"/>
        <v/>
      </c>
      <c r="C1160" s="23"/>
      <c r="D1160" s="6"/>
      <c r="E1160" s="6"/>
      <c r="F1160" s="15"/>
      <c r="G1160" s="6"/>
      <c r="H1160" s="6"/>
      <c r="I1160" s="6"/>
      <c r="J1160" s="16"/>
      <c r="K1160" s="6"/>
      <c r="L1160" s="16"/>
      <c r="M1160" s="23"/>
      <c r="N1160" s="15"/>
      <c r="O1160" s="23"/>
      <c r="P1160" s="21"/>
      <c r="Q1160" s="6"/>
      <c r="R1160" s="6"/>
      <c r="S1160" s="20"/>
      <c r="T1160" s="6"/>
      <c r="U1160" s="21"/>
      <c r="W1160" s="20"/>
      <c r="X1160" s="21"/>
      <c r="AE1160" s="1"/>
    </row>
    <row r="1161" spans="2:31" ht="16">
      <c r="B1161" s="26" t="str">
        <f t="shared" si="5"/>
        <v/>
      </c>
      <c r="C1161" s="23"/>
      <c r="D1161" s="6"/>
      <c r="E1161" s="6"/>
      <c r="F1161" s="15"/>
      <c r="G1161" s="6"/>
      <c r="H1161" s="6"/>
      <c r="I1161" s="6"/>
      <c r="J1161" s="16"/>
      <c r="K1161" s="6"/>
      <c r="L1161" s="16"/>
      <c r="M1161" s="23"/>
      <c r="N1161" s="15"/>
      <c r="O1161" s="23"/>
      <c r="P1161" s="21"/>
      <c r="Q1161" s="6"/>
      <c r="R1161" s="6"/>
      <c r="S1161" s="20"/>
      <c r="T1161" s="6"/>
      <c r="U1161" s="21"/>
      <c r="W1161" s="20"/>
      <c r="X1161" s="21"/>
      <c r="AE1161" s="1"/>
    </row>
    <row r="1162" spans="2:31" ht="16">
      <c r="B1162" s="26" t="str">
        <f t="shared" si="5"/>
        <v/>
      </c>
      <c r="C1162" s="23"/>
      <c r="D1162" s="6"/>
      <c r="E1162" s="6"/>
      <c r="F1162" s="15"/>
      <c r="G1162" s="6"/>
      <c r="H1162" s="6"/>
      <c r="I1162" s="6"/>
      <c r="J1162" s="16"/>
      <c r="K1162" s="6"/>
      <c r="L1162" s="16"/>
      <c r="M1162" s="23"/>
      <c r="N1162" s="15"/>
      <c r="O1162" s="23"/>
      <c r="P1162" s="21"/>
      <c r="Q1162" s="6"/>
      <c r="R1162" s="6"/>
      <c r="S1162" s="20"/>
      <c r="T1162" s="6"/>
      <c r="U1162" s="21"/>
      <c r="W1162" s="20"/>
      <c r="X1162" s="21"/>
    </row>
    <row r="1163" spans="2:31" ht="16">
      <c r="B1163" s="26" t="str">
        <f t="shared" si="5"/>
        <v/>
      </c>
      <c r="C1163" s="23"/>
      <c r="D1163" s="6"/>
      <c r="E1163" s="6"/>
      <c r="F1163" s="15"/>
      <c r="G1163" s="6"/>
      <c r="H1163" s="6"/>
      <c r="I1163" s="6"/>
      <c r="J1163" s="16"/>
      <c r="K1163" s="6"/>
      <c r="L1163" s="16"/>
      <c r="M1163" s="23"/>
      <c r="N1163" s="15"/>
      <c r="O1163" s="23"/>
      <c r="P1163" s="21"/>
      <c r="Q1163" s="6"/>
      <c r="R1163" s="6"/>
      <c r="S1163" s="20"/>
      <c r="T1163" s="6"/>
      <c r="U1163" s="21"/>
      <c r="W1163" s="20"/>
      <c r="X1163" s="21"/>
    </row>
    <row r="1164" spans="2:31" ht="16">
      <c r="B1164" s="26" t="str">
        <f t="shared" si="5"/>
        <v/>
      </c>
      <c r="C1164" s="23"/>
      <c r="D1164" s="6"/>
      <c r="E1164" s="6"/>
      <c r="F1164" s="15"/>
      <c r="G1164" s="6"/>
      <c r="H1164" s="6"/>
      <c r="I1164" s="6"/>
      <c r="J1164" s="16"/>
      <c r="K1164" s="6"/>
      <c r="L1164" s="16"/>
      <c r="M1164" s="23"/>
      <c r="N1164" s="15"/>
      <c r="O1164" s="23"/>
      <c r="P1164" s="21"/>
      <c r="Q1164" s="6"/>
      <c r="R1164" s="6"/>
      <c r="S1164" s="20"/>
      <c r="T1164" s="6"/>
      <c r="U1164" s="21"/>
      <c r="W1164" s="20"/>
      <c r="X1164" s="21"/>
    </row>
    <row r="1165" spans="2:31" ht="16">
      <c r="B1165" s="26" t="str">
        <f t="shared" si="5"/>
        <v/>
      </c>
      <c r="C1165" s="23"/>
      <c r="D1165" s="6"/>
      <c r="E1165" s="6"/>
      <c r="F1165" s="15"/>
      <c r="G1165" s="6"/>
      <c r="H1165" s="6"/>
      <c r="I1165" s="6"/>
      <c r="J1165" s="16"/>
      <c r="K1165" s="6"/>
      <c r="L1165" s="16"/>
      <c r="M1165" s="23"/>
      <c r="N1165" s="15"/>
      <c r="O1165" s="23"/>
      <c r="P1165" s="21"/>
      <c r="Q1165" s="6"/>
      <c r="R1165" s="6"/>
      <c r="S1165" s="20"/>
      <c r="T1165" s="6"/>
      <c r="U1165" s="21"/>
      <c r="W1165" s="20"/>
      <c r="X1165" s="21"/>
    </row>
    <row r="1166" spans="2:31" ht="16">
      <c r="B1166" s="26" t="str">
        <f t="shared" si="5"/>
        <v/>
      </c>
      <c r="C1166" s="23"/>
      <c r="D1166" s="6"/>
      <c r="E1166" s="6"/>
      <c r="F1166" s="15"/>
      <c r="G1166" s="6"/>
      <c r="H1166" s="6"/>
      <c r="I1166" s="6"/>
      <c r="J1166" s="16"/>
      <c r="K1166" s="6"/>
      <c r="L1166" s="16"/>
      <c r="M1166" s="23"/>
      <c r="N1166" s="15"/>
      <c r="O1166" s="23"/>
      <c r="P1166" s="21"/>
      <c r="Q1166" s="6"/>
      <c r="R1166" s="6"/>
      <c r="S1166" s="20"/>
      <c r="T1166" s="6"/>
      <c r="U1166" s="21"/>
      <c r="W1166" s="20"/>
      <c r="X1166" s="21"/>
    </row>
    <row r="1167" spans="2:31" ht="16">
      <c r="B1167" s="26" t="str">
        <f t="shared" si="5"/>
        <v/>
      </c>
      <c r="C1167" s="23"/>
      <c r="D1167" s="6"/>
      <c r="E1167" s="6"/>
      <c r="F1167" s="15"/>
      <c r="G1167" s="6"/>
      <c r="H1167" s="6"/>
      <c r="I1167" s="6"/>
      <c r="J1167" s="16"/>
      <c r="K1167" s="6"/>
      <c r="L1167" s="16"/>
      <c r="M1167" s="23"/>
      <c r="N1167" s="15"/>
      <c r="O1167" s="23"/>
      <c r="P1167" s="21"/>
      <c r="Q1167" s="6"/>
      <c r="R1167" s="6"/>
      <c r="S1167" s="20"/>
      <c r="T1167" s="6"/>
      <c r="U1167" s="21"/>
      <c r="W1167" s="20"/>
      <c r="X1167" s="21"/>
    </row>
    <row r="1168" spans="2:31" ht="16">
      <c r="B1168" s="26" t="str">
        <f t="shared" si="5"/>
        <v/>
      </c>
      <c r="C1168" s="23"/>
      <c r="D1168" s="6"/>
      <c r="E1168" s="6"/>
      <c r="F1168" s="15"/>
      <c r="G1168" s="6"/>
      <c r="H1168" s="6"/>
      <c r="I1168" s="6"/>
      <c r="J1168" s="16"/>
      <c r="K1168" s="6"/>
      <c r="L1168" s="16"/>
      <c r="M1168" s="23"/>
      <c r="N1168" s="15"/>
      <c r="O1168" s="23"/>
      <c r="P1168" s="21"/>
      <c r="Q1168" s="6"/>
      <c r="R1168" s="6"/>
      <c r="S1168" s="20"/>
      <c r="T1168" s="6"/>
      <c r="U1168" s="21"/>
      <c r="W1168" s="20"/>
      <c r="X1168" s="21"/>
    </row>
    <row r="1169" spans="2:24" ht="16">
      <c r="B1169" s="26" t="str">
        <f t="shared" si="5"/>
        <v/>
      </c>
      <c r="C1169" s="23"/>
      <c r="D1169" s="6"/>
      <c r="E1169" s="6"/>
      <c r="F1169" s="15"/>
      <c r="G1169" s="6"/>
      <c r="H1169" s="6"/>
      <c r="I1169" s="6"/>
      <c r="J1169" s="16"/>
      <c r="K1169" s="6"/>
      <c r="L1169" s="16"/>
      <c r="M1169" s="23"/>
      <c r="N1169" s="15"/>
      <c r="O1169" s="23"/>
      <c r="P1169" s="21"/>
      <c r="Q1169" s="6"/>
      <c r="R1169" s="6"/>
      <c r="S1169" s="20"/>
      <c r="T1169" s="6"/>
      <c r="U1169" s="21"/>
      <c r="W1169" s="20"/>
      <c r="X1169" s="21"/>
    </row>
    <row r="1170" spans="2:24" ht="16">
      <c r="B1170" s="26" t="str">
        <f t="shared" si="5"/>
        <v/>
      </c>
      <c r="C1170" s="23"/>
      <c r="D1170" s="6"/>
      <c r="E1170" s="6"/>
      <c r="F1170" s="15"/>
      <c r="G1170" s="6"/>
      <c r="H1170" s="6"/>
      <c r="I1170" s="6"/>
      <c r="J1170" s="16"/>
      <c r="K1170" s="6"/>
      <c r="L1170" s="16"/>
      <c r="M1170" s="23"/>
      <c r="N1170" s="15"/>
      <c r="O1170" s="23"/>
      <c r="P1170" s="21"/>
      <c r="Q1170" s="6"/>
      <c r="R1170" s="6"/>
      <c r="S1170" s="20"/>
      <c r="T1170" s="6"/>
      <c r="U1170" s="21"/>
      <c r="W1170" s="20"/>
      <c r="X1170" s="21"/>
    </row>
    <row r="1171" spans="2:24" ht="16">
      <c r="B1171" s="26" t="str">
        <f t="shared" si="5"/>
        <v/>
      </c>
      <c r="C1171" s="23"/>
      <c r="D1171" s="6"/>
      <c r="E1171" s="6"/>
      <c r="F1171" s="15"/>
      <c r="G1171" s="6"/>
      <c r="H1171" s="6"/>
      <c r="I1171" s="6"/>
      <c r="J1171" s="16"/>
      <c r="K1171" s="6"/>
      <c r="L1171" s="16"/>
      <c r="M1171" s="23"/>
      <c r="N1171" s="15"/>
      <c r="O1171" s="23"/>
      <c r="P1171" s="21"/>
      <c r="Q1171" s="6"/>
      <c r="R1171" s="6"/>
      <c r="S1171" s="20"/>
      <c r="T1171" s="6"/>
      <c r="U1171" s="21"/>
      <c r="W1171" s="20"/>
      <c r="X1171" s="21"/>
    </row>
    <row r="1172" spans="2:24" ht="16">
      <c r="B1172" s="26" t="str">
        <f t="shared" si="5"/>
        <v/>
      </c>
      <c r="C1172" s="23"/>
      <c r="D1172" s="6"/>
      <c r="E1172" s="6"/>
      <c r="F1172" s="15"/>
      <c r="G1172" s="6"/>
      <c r="H1172" s="6"/>
      <c r="I1172" s="6"/>
      <c r="J1172" s="16"/>
      <c r="K1172" s="6"/>
      <c r="L1172" s="16"/>
      <c r="M1172" s="23"/>
      <c r="N1172" s="15"/>
      <c r="O1172" s="23"/>
      <c r="P1172" s="21"/>
      <c r="Q1172" s="6"/>
      <c r="R1172" s="6"/>
      <c r="S1172" s="20"/>
      <c r="T1172" s="6"/>
      <c r="U1172" s="21"/>
      <c r="W1172" s="20"/>
      <c r="X1172" s="21"/>
    </row>
    <row r="1173" spans="2:24" ht="16">
      <c r="B1173" s="26" t="str">
        <f t="shared" si="5"/>
        <v/>
      </c>
      <c r="C1173" s="23"/>
      <c r="D1173" s="6"/>
      <c r="E1173" s="6"/>
      <c r="F1173" s="15"/>
      <c r="G1173" s="6"/>
      <c r="H1173" s="6"/>
      <c r="I1173" s="6"/>
      <c r="J1173" s="16"/>
      <c r="K1173" s="6"/>
      <c r="L1173" s="16"/>
      <c r="M1173" s="23"/>
      <c r="N1173" s="15"/>
      <c r="O1173" s="23"/>
      <c r="P1173" s="21"/>
      <c r="Q1173" s="6"/>
      <c r="R1173" s="6"/>
      <c r="S1173" s="20"/>
      <c r="T1173" s="6"/>
      <c r="U1173" s="21"/>
      <c r="W1173" s="20"/>
      <c r="X1173" s="21"/>
    </row>
    <row r="1174" spans="2:24" ht="16">
      <c r="B1174" s="26" t="str">
        <f t="shared" si="5"/>
        <v/>
      </c>
      <c r="C1174" s="23"/>
      <c r="D1174" s="6"/>
      <c r="E1174" s="6"/>
      <c r="F1174" s="15"/>
      <c r="G1174" s="6"/>
      <c r="H1174" s="6"/>
      <c r="I1174" s="6"/>
      <c r="J1174" s="16"/>
      <c r="K1174" s="6"/>
      <c r="L1174" s="16"/>
      <c r="M1174" s="23"/>
      <c r="N1174" s="15"/>
      <c r="O1174" s="23"/>
      <c r="P1174" s="21"/>
      <c r="Q1174" s="6"/>
      <c r="R1174" s="6"/>
      <c r="S1174" s="20"/>
      <c r="T1174" s="6"/>
      <c r="W1174" s="20"/>
    </row>
    <row r="1175" spans="2:24" ht="16">
      <c r="B1175" s="26" t="str">
        <f t="shared" si="5"/>
        <v/>
      </c>
      <c r="C1175" s="23"/>
      <c r="D1175" s="6"/>
      <c r="E1175" s="6"/>
      <c r="F1175" s="15"/>
      <c r="G1175" s="6"/>
      <c r="H1175" s="6"/>
      <c r="I1175" s="6"/>
      <c r="J1175" s="16"/>
      <c r="K1175" s="6"/>
      <c r="L1175" s="16"/>
      <c r="M1175" s="23"/>
      <c r="N1175" s="15"/>
      <c r="O1175" s="23"/>
      <c r="P1175" s="21"/>
      <c r="Q1175" s="6"/>
      <c r="R1175" s="6"/>
      <c r="S1175" s="20"/>
      <c r="T1175" s="6"/>
      <c r="U1175" s="21"/>
      <c r="W1175" s="20"/>
      <c r="X1175" s="21"/>
    </row>
    <row r="1176" spans="2:24" ht="16">
      <c r="B1176" s="26" t="str">
        <f t="shared" si="5"/>
        <v/>
      </c>
      <c r="C1176" s="23"/>
      <c r="D1176" s="6"/>
      <c r="E1176" s="6"/>
      <c r="F1176" s="15"/>
      <c r="G1176" s="6"/>
      <c r="H1176" s="6"/>
      <c r="I1176" s="6"/>
      <c r="J1176" s="16"/>
      <c r="K1176" s="6"/>
      <c r="L1176" s="16"/>
      <c r="M1176" s="23"/>
      <c r="N1176" s="15"/>
      <c r="O1176" s="23"/>
      <c r="P1176" s="21"/>
      <c r="Q1176" s="6"/>
      <c r="R1176" s="6"/>
      <c r="S1176" s="20"/>
      <c r="T1176" s="6"/>
      <c r="U1176" s="21"/>
      <c r="W1176" s="20"/>
      <c r="X1176" s="21"/>
    </row>
    <row r="1177" spans="2:24" ht="16">
      <c r="B1177" s="26" t="str">
        <f t="shared" si="5"/>
        <v/>
      </c>
      <c r="C1177" s="23"/>
      <c r="D1177" s="6"/>
      <c r="E1177" s="6"/>
      <c r="F1177" s="15"/>
      <c r="G1177" s="6"/>
      <c r="H1177" s="6"/>
      <c r="I1177" s="6"/>
      <c r="J1177" s="16"/>
      <c r="K1177" s="6"/>
      <c r="L1177" s="16"/>
      <c r="M1177" s="23"/>
      <c r="N1177" s="15"/>
      <c r="O1177" s="23"/>
      <c r="P1177" s="21"/>
      <c r="Q1177" s="6"/>
      <c r="R1177" s="6"/>
      <c r="S1177" s="20"/>
      <c r="T1177" s="6"/>
      <c r="U1177" s="21"/>
      <c r="W1177" s="20"/>
      <c r="X1177" s="21"/>
    </row>
    <row r="1178" spans="2:24" ht="16">
      <c r="B1178" s="26" t="str">
        <f t="shared" si="5"/>
        <v/>
      </c>
      <c r="C1178" s="23"/>
      <c r="D1178" s="6"/>
      <c r="E1178" s="6"/>
      <c r="F1178" s="15"/>
      <c r="G1178" s="6"/>
      <c r="H1178" s="6"/>
      <c r="I1178" s="6"/>
      <c r="J1178" s="16"/>
      <c r="K1178" s="6"/>
      <c r="L1178" s="16"/>
      <c r="M1178" s="23"/>
      <c r="N1178" s="15"/>
      <c r="O1178" s="23"/>
      <c r="P1178" s="21"/>
      <c r="Q1178" s="6"/>
      <c r="R1178" s="6"/>
      <c r="S1178" s="20"/>
      <c r="T1178" s="6"/>
      <c r="U1178" s="21"/>
      <c r="W1178" s="20"/>
      <c r="X1178" s="21"/>
    </row>
    <row r="1179" spans="2:24" ht="16">
      <c r="B1179" s="26" t="str">
        <f t="shared" si="5"/>
        <v/>
      </c>
      <c r="C1179" s="23"/>
      <c r="D1179" s="6"/>
      <c r="E1179" s="6"/>
      <c r="F1179" s="15"/>
      <c r="G1179" s="6"/>
      <c r="H1179" s="6"/>
      <c r="I1179" s="6"/>
      <c r="J1179" s="16"/>
      <c r="K1179" s="6"/>
      <c r="L1179" s="16"/>
      <c r="M1179" s="23"/>
      <c r="N1179" s="15"/>
      <c r="O1179" s="23"/>
      <c r="P1179" s="21"/>
      <c r="Q1179" s="6"/>
      <c r="R1179" s="6"/>
      <c r="S1179" s="20"/>
      <c r="T1179" s="6"/>
      <c r="U1179" s="21"/>
      <c r="W1179" s="20"/>
      <c r="X1179" s="21"/>
    </row>
    <row r="1180" spans="2:24" ht="16">
      <c r="B1180" s="26" t="str">
        <f t="shared" si="5"/>
        <v/>
      </c>
      <c r="C1180" s="23"/>
      <c r="D1180" s="6"/>
      <c r="E1180" s="6"/>
      <c r="F1180" s="15"/>
      <c r="G1180" s="6"/>
      <c r="H1180" s="6"/>
      <c r="I1180" s="6"/>
      <c r="J1180" s="16"/>
      <c r="K1180" s="6"/>
      <c r="L1180" s="16"/>
      <c r="M1180" s="23"/>
      <c r="N1180" s="15"/>
      <c r="O1180" s="23"/>
      <c r="P1180" s="21"/>
      <c r="Q1180" s="6"/>
      <c r="R1180" s="6"/>
      <c r="S1180" s="20"/>
      <c r="T1180" s="6"/>
      <c r="U1180" s="21"/>
      <c r="W1180" s="20"/>
      <c r="X1180" s="21"/>
    </row>
    <row r="1181" spans="2:24" ht="16">
      <c r="B1181" s="26" t="str">
        <f t="shared" si="5"/>
        <v/>
      </c>
      <c r="C1181" s="23"/>
      <c r="D1181" s="6"/>
      <c r="E1181" s="6"/>
      <c r="F1181" s="15"/>
      <c r="G1181" s="6"/>
      <c r="H1181" s="6"/>
      <c r="I1181" s="6"/>
      <c r="J1181" s="16"/>
      <c r="K1181" s="6"/>
      <c r="L1181" s="16"/>
      <c r="M1181" s="23"/>
      <c r="N1181" s="15"/>
      <c r="O1181" s="23"/>
      <c r="P1181" s="21"/>
      <c r="Q1181" s="6"/>
      <c r="R1181" s="6"/>
      <c r="S1181" s="20"/>
      <c r="T1181" s="6"/>
      <c r="U1181" s="21"/>
      <c r="W1181" s="20"/>
      <c r="X1181" s="21"/>
    </row>
    <row r="1182" spans="2:24" ht="16">
      <c r="B1182" s="26" t="str">
        <f t="shared" si="5"/>
        <v/>
      </c>
      <c r="C1182" s="23"/>
      <c r="D1182" s="6"/>
      <c r="E1182" s="6"/>
      <c r="F1182" s="15"/>
      <c r="G1182" s="6"/>
      <c r="H1182" s="6"/>
      <c r="I1182" s="6"/>
      <c r="J1182" s="16"/>
      <c r="K1182" s="6"/>
      <c r="L1182" s="16"/>
      <c r="M1182" s="23"/>
      <c r="N1182" s="15"/>
      <c r="O1182" s="23"/>
      <c r="P1182" s="21"/>
      <c r="Q1182" s="6"/>
      <c r="R1182" s="6"/>
      <c r="S1182" s="20"/>
      <c r="T1182" s="6"/>
      <c r="U1182" s="21"/>
      <c r="W1182" s="20"/>
      <c r="X1182" s="21"/>
    </row>
    <row r="1183" spans="2:24" ht="16">
      <c r="B1183" s="26" t="str">
        <f t="shared" si="5"/>
        <v/>
      </c>
      <c r="C1183" s="23"/>
      <c r="D1183" s="6"/>
      <c r="E1183" s="6"/>
      <c r="F1183" s="15"/>
      <c r="G1183" s="6"/>
      <c r="H1183" s="6"/>
      <c r="I1183" s="6"/>
      <c r="J1183" s="16"/>
      <c r="K1183" s="6"/>
      <c r="L1183" s="16"/>
      <c r="M1183" s="23"/>
      <c r="N1183" s="15"/>
      <c r="O1183" s="23"/>
      <c r="P1183" s="21"/>
      <c r="Q1183" s="6"/>
      <c r="R1183" s="6"/>
      <c r="S1183" s="20"/>
      <c r="T1183" s="6"/>
      <c r="U1183" s="21"/>
      <c r="W1183" s="20"/>
      <c r="X1183" s="21"/>
    </row>
    <row r="1184" spans="2:24" ht="16">
      <c r="B1184" s="26" t="str">
        <f t="shared" si="5"/>
        <v/>
      </c>
      <c r="C1184" s="23"/>
      <c r="D1184" s="6"/>
      <c r="E1184" s="6"/>
      <c r="F1184" s="15"/>
      <c r="G1184" s="6"/>
      <c r="H1184" s="6"/>
      <c r="I1184" s="6"/>
      <c r="J1184" s="16"/>
      <c r="K1184" s="6"/>
      <c r="L1184" s="16"/>
      <c r="M1184" s="23"/>
      <c r="N1184" s="15"/>
      <c r="O1184" s="23"/>
      <c r="P1184" s="21"/>
      <c r="Q1184" s="6"/>
      <c r="R1184" s="6"/>
      <c r="S1184" s="20"/>
      <c r="T1184" s="6"/>
      <c r="U1184" s="21"/>
      <c r="W1184" s="20"/>
      <c r="X1184" s="21"/>
    </row>
    <row r="1185" spans="2:24" ht="16">
      <c r="B1185" s="26" t="str">
        <f t="shared" si="5"/>
        <v/>
      </c>
      <c r="C1185" s="23"/>
      <c r="D1185" s="6"/>
      <c r="E1185" s="6"/>
      <c r="F1185" s="15"/>
      <c r="G1185" s="6"/>
      <c r="H1185" s="6"/>
      <c r="I1185" s="6"/>
      <c r="J1185" s="16"/>
      <c r="K1185" s="6"/>
      <c r="L1185" s="16"/>
      <c r="M1185" s="23"/>
      <c r="N1185" s="15"/>
      <c r="O1185" s="23"/>
      <c r="P1185" s="21"/>
      <c r="Q1185" s="6"/>
      <c r="R1185" s="6"/>
      <c r="S1185" s="20"/>
      <c r="T1185" s="6"/>
      <c r="U1185" s="21"/>
      <c r="W1185" s="20"/>
      <c r="X1185" s="21"/>
    </row>
    <row r="1186" spans="2:24" ht="16">
      <c r="B1186" s="26" t="str">
        <f t="shared" si="5"/>
        <v/>
      </c>
      <c r="C1186" s="23"/>
      <c r="D1186" s="6"/>
      <c r="E1186" s="6"/>
      <c r="F1186" s="15"/>
      <c r="G1186" s="6"/>
      <c r="H1186" s="6"/>
      <c r="I1186" s="6"/>
      <c r="J1186" s="16"/>
      <c r="K1186" s="6"/>
      <c r="L1186" s="16"/>
      <c r="M1186" s="23"/>
      <c r="N1186" s="15"/>
      <c r="O1186" s="23"/>
      <c r="P1186" s="21"/>
      <c r="Q1186" s="6"/>
      <c r="R1186" s="6"/>
      <c r="S1186" s="20"/>
      <c r="T1186" s="6"/>
      <c r="U1186" s="21"/>
      <c r="W1186" s="20"/>
      <c r="X1186" s="21"/>
    </row>
    <row r="1187" spans="2:24" ht="16">
      <c r="B1187" s="26" t="str">
        <f t="shared" si="5"/>
        <v/>
      </c>
      <c r="C1187" s="23"/>
      <c r="D1187" s="6"/>
      <c r="E1187" s="6"/>
      <c r="F1187" s="15"/>
      <c r="G1187" s="6"/>
      <c r="H1187" s="6"/>
      <c r="I1187" s="6"/>
      <c r="J1187" s="16"/>
      <c r="K1187" s="6"/>
      <c r="L1187" s="16"/>
      <c r="M1187" s="23"/>
      <c r="N1187" s="15"/>
      <c r="O1187" s="23"/>
      <c r="P1187" s="21"/>
      <c r="Q1187" s="6"/>
      <c r="R1187" s="6"/>
      <c r="S1187" s="20"/>
      <c r="T1187" s="6"/>
      <c r="U1187" s="21"/>
      <c r="W1187" s="20"/>
      <c r="X1187" s="21"/>
    </row>
    <row r="1188" spans="2:24" ht="16">
      <c r="B1188" s="26" t="str">
        <f t="shared" si="5"/>
        <v/>
      </c>
      <c r="C1188" s="23"/>
      <c r="D1188" s="6"/>
      <c r="E1188" s="6"/>
      <c r="F1188" s="15"/>
      <c r="G1188" s="6"/>
      <c r="H1188" s="6"/>
      <c r="I1188" s="6"/>
      <c r="J1188" s="16"/>
      <c r="K1188" s="6"/>
      <c r="L1188" s="16"/>
      <c r="M1188" s="23"/>
      <c r="N1188" s="15"/>
      <c r="O1188" s="23"/>
      <c r="P1188" s="21"/>
      <c r="Q1188" s="6"/>
      <c r="R1188" s="6"/>
      <c r="S1188" s="20"/>
      <c r="T1188" s="6"/>
      <c r="U1188" s="21"/>
      <c r="W1188" s="20"/>
      <c r="X1188" s="21"/>
    </row>
    <row r="1189" spans="2:24" ht="16">
      <c r="B1189" s="26" t="str">
        <f t="shared" si="5"/>
        <v/>
      </c>
      <c r="C1189" s="23"/>
      <c r="D1189" s="6"/>
      <c r="E1189" s="6"/>
      <c r="F1189" s="15"/>
      <c r="G1189" s="6"/>
      <c r="H1189" s="6"/>
      <c r="I1189" s="6"/>
      <c r="J1189" s="16"/>
      <c r="K1189" s="6"/>
      <c r="L1189" s="16"/>
      <c r="M1189" s="23"/>
      <c r="N1189" s="15"/>
      <c r="O1189" s="23"/>
      <c r="P1189" s="21"/>
      <c r="Q1189" s="6"/>
      <c r="R1189" s="6"/>
      <c r="S1189" s="20"/>
      <c r="T1189" s="6"/>
      <c r="U1189" s="21"/>
      <c r="W1189" s="20"/>
      <c r="X1189" s="21"/>
    </row>
    <row r="1190" spans="2:24" ht="16">
      <c r="B1190" s="26" t="str">
        <f t="shared" si="5"/>
        <v/>
      </c>
      <c r="C1190" s="23"/>
      <c r="D1190" s="6"/>
      <c r="E1190" s="6"/>
      <c r="F1190" s="15"/>
      <c r="G1190" s="6"/>
      <c r="H1190" s="6"/>
      <c r="I1190" s="6"/>
      <c r="J1190" s="16"/>
      <c r="K1190" s="6"/>
      <c r="L1190" s="16"/>
      <c r="M1190" s="23"/>
      <c r="N1190" s="15"/>
      <c r="O1190" s="23"/>
      <c r="P1190" s="21"/>
      <c r="Q1190" s="6"/>
      <c r="R1190" s="6"/>
      <c r="S1190" s="20"/>
      <c r="T1190" s="6"/>
      <c r="U1190" s="21"/>
      <c r="W1190" s="20"/>
      <c r="X1190" s="21"/>
    </row>
    <row r="1191" spans="2:24" ht="16">
      <c r="B1191" s="26" t="str">
        <f t="shared" si="5"/>
        <v/>
      </c>
      <c r="C1191" s="23"/>
      <c r="D1191" s="6"/>
      <c r="E1191" s="6"/>
      <c r="F1191" s="15"/>
      <c r="G1191" s="6"/>
      <c r="H1191" s="6"/>
      <c r="I1191" s="6"/>
      <c r="J1191" s="16"/>
      <c r="K1191" s="6"/>
      <c r="L1191" s="16"/>
      <c r="M1191" s="23"/>
      <c r="N1191" s="15"/>
      <c r="O1191" s="23"/>
      <c r="P1191" s="21"/>
      <c r="Q1191" s="6"/>
      <c r="R1191" s="6"/>
      <c r="S1191" s="20"/>
      <c r="T1191" s="6"/>
      <c r="U1191" s="21"/>
      <c r="W1191" s="20"/>
      <c r="X1191" s="21"/>
    </row>
    <row r="1192" spans="2:24" ht="16">
      <c r="B1192" s="26" t="str">
        <f t="shared" si="5"/>
        <v/>
      </c>
      <c r="C1192" s="6"/>
      <c r="D1192" s="6"/>
      <c r="E1192" s="6"/>
      <c r="F1192" s="15"/>
      <c r="G1192" s="6"/>
      <c r="H1192" s="6"/>
      <c r="I1192" s="6"/>
      <c r="J1192" s="16"/>
      <c r="K1192" s="6"/>
      <c r="L1192" s="16"/>
      <c r="M1192" s="23"/>
      <c r="N1192" s="15"/>
      <c r="O1192" s="23"/>
      <c r="P1192" s="21"/>
      <c r="Q1192" s="6"/>
      <c r="R1192" s="6"/>
      <c r="S1192" s="20"/>
      <c r="T1192" s="6"/>
      <c r="U1192" s="21"/>
      <c r="W1192" s="20"/>
      <c r="X1192" s="21"/>
    </row>
    <row r="1193" spans="2:24" ht="16">
      <c r="B1193" s="26" t="str">
        <f t="shared" si="5"/>
        <v/>
      </c>
      <c r="C1193" s="6"/>
      <c r="D1193" s="6"/>
      <c r="E1193" s="6"/>
      <c r="F1193" s="15"/>
      <c r="G1193" s="6"/>
      <c r="H1193" s="6"/>
      <c r="I1193" s="6"/>
      <c r="J1193" s="16"/>
      <c r="K1193" s="6"/>
      <c r="L1193" s="16"/>
      <c r="M1193" s="23"/>
      <c r="N1193" s="15"/>
      <c r="O1193" s="23"/>
      <c r="P1193" s="21"/>
      <c r="Q1193" s="6"/>
      <c r="R1193" s="6"/>
      <c r="S1193" s="20"/>
      <c r="T1193" s="6"/>
      <c r="U1193" s="21"/>
      <c r="W1193" s="20"/>
      <c r="X1193" s="21"/>
    </row>
    <row r="1194" spans="2:24" ht="16">
      <c r="B1194" s="26" t="str">
        <f t="shared" si="5"/>
        <v/>
      </c>
      <c r="C1194" s="6"/>
      <c r="D1194" s="6"/>
      <c r="E1194" s="6"/>
      <c r="F1194" s="15"/>
      <c r="G1194" s="6"/>
      <c r="H1194" s="6"/>
      <c r="I1194" s="6"/>
      <c r="J1194" s="16"/>
      <c r="K1194" s="6"/>
      <c r="L1194" s="16"/>
      <c r="M1194" s="23"/>
      <c r="N1194" s="15"/>
      <c r="O1194" s="23"/>
      <c r="P1194" s="21"/>
      <c r="Q1194" s="6"/>
      <c r="R1194" s="6"/>
      <c r="S1194" s="20"/>
      <c r="T1194" s="6"/>
      <c r="U1194" s="21"/>
      <c r="W1194" s="20"/>
      <c r="X1194" s="21"/>
    </row>
    <row r="1195" spans="2:24" ht="16">
      <c r="B1195" s="26" t="str">
        <f t="shared" si="5"/>
        <v/>
      </c>
      <c r="C1195" s="6"/>
      <c r="D1195" s="6"/>
      <c r="E1195" s="6"/>
      <c r="F1195" s="15"/>
      <c r="G1195" s="6"/>
      <c r="H1195" s="6"/>
      <c r="I1195" s="6"/>
      <c r="J1195" s="16"/>
      <c r="K1195" s="6"/>
      <c r="L1195" s="16"/>
      <c r="M1195" s="23"/>
      <c r="N1195" s="15"/>
      <c r="O1195" s="23"/>
      <c r="P1195" s="21"/>
      <c r="Q1195" s="6"/>
      <c r="R1195" s="6"/>
      <c r="S1195" s="20"/>
      <c r="T1195" s="6"/>
      <c r="U1195" s="21"/>
      <c r="W1195" s="20"/>
      <c r="X1195" s="21"/>
    </row>
    <row r="1196" spans="2:24" ht="16">
      <c r="B1196" s="26" t="str">
        <f t="shared" si="5"/>
        <v/>
      </c>
      <c r="C1196" s="6"/>
      <c r="D1196" s="6"/>
      <c r="E1196" s="6"/>
      <c r="F1196" s="15"/>
      <c r="G1196" s="6"/>
      <c r="H1196" s="6"/>
      <c r="I1196" s="6"/>
      <c r="J1196" s="16"/>
      <c r="K1196" s="6"/>
      <c r="L1196" s="16"/>
      <c r="M1196" s="23"/>
      <c r="N1196" s="15"/>
      <c r="O1196" s="23"/>
      <c r="P1196" s="21"/>
      <c r="Q1196" s="6"/>
      <c r="R1196" s="6"/>
      <c r="S1196" s="20"/>
      <c r="T1196" s="6"/>
      <c r="U1196" s="21"/>
      <c r="W1196" s="20"/>
      <c r="X1196" s="21"/>
    </row>
    <row r="1197" spans="2:24" ht="16">
      <c r="B1197" s="26" t="str">
        <f t="shared" si="5"/>
        <v/>
      </c>
      <c r="C1197" s="6"/>
      <c r="D1197" s="6"/>
      <c r="E1197" s="6"/>
      <c r="F1197" s="15"/>
      <c r="G1197" s="6"/>
      <c r="H1197" s="6"/>
      <c r="I1197" s="6"/>
      <c r="J1197" s="16"/>
      <c r="K1197" s="6"/>
      <c r="L1197" s="16"/>
      <c r="M1197" s="17"/>
      <c r="N1197" s="15"/>
      <c r="O1197" s="23"/>
      <c r="P1197" s="21"/>
      <c r="Q1197" s="6"/>
      <c r="R1197" s="6"/>
      <c r="S1197" s="20"/>
      <c r="T1197" s="6"/>
      <c r="U1197" s="21"/>
      <c r="W1197" s="20"/>
      <c r="X1197" s="21"/>
    </row>
    <row r="1198" spans="2:24" ht="16">
      <c r="B1198" s="26" t="str">
        <f t="shared" si="5"/>
        <v/>
      </c>
      <c r="C1198" s="6"/>
      <c r="D1198" s="6"/>
      <c r="E1198" s="6"/>
      <c r="F1198" s="15"/>
      <c r="G1198" s="6"/>
      <c r="H1198" s="6"/>
      <c r="I1198" s="6"/>
      <c r="J1198" s="16"/>
      <c r="K1198" s="6"/>
      <c r="L1198" s="16"/>
      <c r="M1198" s="23"/>
      <c r="N1198" s="15"/>
      <c r="O1198" s="23"/>
      <c r="P1198" s="21"/>
      <c r="Q1198" s="6"/>
      <c r="R1198" s="6"/>
      <c r="S1198" s="20"/>
      <c r="T1198" s="6"/>
      <c r="U1198" s="21"/>
      <c r="W1198" s="20"/>
      <c r="X1198" s="21"/>
    </row>
    <row r="1199" spans="2:24" ht="16">
      <c r="B1199" s="26" t="str">
        <f t="shared" si="5"/>
        <v/>
      </c>
      <c r="C1199" s="6"/>
      <c r="D1199" s="6"/>
      <c r="E1199" s="6"/>
      <c r="F1199" s="15"/>
      <c r="G1199" s="6"/>
      <c r="H1199" s="6"/>
      <c r="I1199" s="6"/>
      <c r="J1199" s="16"/>
      <c r="K1199" s="6"/>
      <c r="L1199" s="16"/>
      <c r="M1199" s="23"/>
      <c r="N1199" s="15"/>
      <c r="O1199" s="23"/>
      <c r="P1199" s="21"/>
      <c r="Q1199" s="6"/>
      <c r="R1199" s="6"/>
      <c r="S1199" s="20"/>
      <c r="T1199" s="6"/>
      <c r="U1199" s="21"/>
      <c r="W1199" s="20"/>
      <c r="X1199" s="21"/>
    </row>
    <row r="1200" spans="2:24" ht="16">
      <c r="B1200" s="26" t="str">
        <f t="shared" si="5"/>
        <v/>
      </c>
      <c r="C1200" s="6"/>
      <c r="D1200" s="6"/>
      <c r="E1200" s="6"/>
      <c r="F1200" s="15"/>
      <c r="G1200" s="6"/>
      <c r="H1200" s="6"/>
      <c r="I1200" s="6"/>
      <c r="J1200" s="16"/>
      <c r="K1200" s="6"/>
      <c r="L1200" s="16"/>
      <c r="M1200" s="23"/>
      <c r="N1200" s="15"/>
      <c r="O1200" s="23"/>
      <c r="P1200" s="21"/>
      <c r="Q1200" s="6"/>
      <c r="R1200" s="6"/>
      <c r="S1200" s="20"/>
      <c r="T1200" s="6"/>
      <c r="U1200" s="21"/>
      <c r="W1200" s="20"/>
      <c r="X1200" s="21"/>
    </row>
    <row r="1201" spans="2:24" ht="16">
      <c r="B1201" s="26" t="str">
        <f t="shared" si="5"/>
        <v/>
      </c>
      <c r="C1201" s="6"/>
      <c r="D1201" s="6"/>
      <c r="E1201" s="6"/>
      <c r="F1201" s="15"/>
      <c r="G1201" s="6"/>
      <c r="H1201" s="6"/>
      <c r="I1201" s="6"/>
      <c r="J1201" s="16"/>
      <c r="K1201" s="6"/>
      <c r="L1201" s="16"/>
      <c r="M1201" s="23"/>
      <c r="N1201" s="15"/>
      <c r="O1201" s="23"/>
      <c r="P1201" s="21"/>
      <c r="Q1201" s="6"/>
      <c r="R1201" s="6"/>
      <c r="S1201" s="20"/>
      <c r="T1201" s="6"/>
      <c r="U1201" s="21"/>
      <c r="W1201" s="20"/>
      <c r="X1201" s="21"/>
    </row>
    <row r="1202" spans="2:24" ht="16">
      <c r="B1202" s="26" t="str">
        <f t="shared" si="5"/>
        <v/>
      </c>
      <c r="C1202" s="6"/>
      <c r="D1202" s="6"/>
      <c r="E1202" s="6"/>
      <c r="F1202" s="15"/>
      <c r="G1202" s="6"/>
      <c r="H1202" s="6"/>
      <c r="I1202" s="6"/>
      <c r="J1202" s="16"/>
      <c r="K1202" s="6"/>
      <c r="L1202" s="16"/>
      <c r="M1202" s="23"/>
      <c r="N1202" s="15"/>
      <c r="O1202" s="23"/>
      <c r="P1202" s="21"/>
      <c r="Q1202" s="6"/>
      <c r="R1202" s="6"/>
      <c r="S1202" s="20"/>
      <c r="T1202" s="6"/>
      <c r="U1202" s="21"/>
      <c r="W1202" s="20"/>
      <c r="X1202" s="21"/>
    </row>
    <row r="1203" spans="2:24" ht="16">
      <c r="B1203" s="26" t="str">
        <f t="shared" si="5"/>
        <v/>
      </c>
      <c r="C1203" s="6"/>
      <c r="D1203" s="6"/>
      <c r="E1203" s="6"/>
      <c r="F1203" s="15"/>
      <c r="G1203" s="6"/>
      <c r="H1203" s="6"/>
      <c r="I1203" s="6"/>
      <c r="J1203" s="16"/>
      <c r="K1203" s="6"/>
      <c r="L1203" s="16"/>
      <c r="M1203" s="23"/>
      <c r="N1203" s="15"/>
      <c r="O1203" s="23"/>
      <c r="P1203" s="21"/>
      <c r="Q1203" s="6"/>
      <c r="R1203" s="6"/>
      <c r="S1203" s="20"/>
      <c r="T1203" s="6"/>
      <c r="U1203" s="21"/>
      <c r="W1203" s="20"/>
      <c r="X1203" s="21"/>
    </row>
    <row r="1204" spans="2:24" ht="16">
      <c r="B1204" s="26" t="str">
        <f t="shared" si="5"/>
        <v/>
      </c>
      <c r="C1204" s="6"/>
      <c r="D1204" s="6"/>
      <c r="E1204" s="6"/>
      <c r="F1204" s="15"/>
      <c r="G1204" s="6"/>
      <c r="H1204" s="6"/>
      <c r="I1204" s="6"/>
      <c r="J1204" s="16"/>
      <c r="K1204" s="6"/>
      <c r="L1204" s="16"/>
      <c r="M1204" s="23"/>
      <c r="N1204" s="15"/>
      <c r="O1204" s="23"/>
      <c r="P1204" s="21"/>
      <c r="Q1204" s="6"/>
      <c r="R1204" s="6"/>
      <c r="S1204" s="20"/>
      <c r="T1204" s="6"/>
      <c r="U1204" s="21"/>
      <c r="W1204" s="20"/>
      <c r="X1204" s="21"/>
    </row>
    <row r="1205" spans="2:24" ht="16">
      <c r="B1205" s="26" t="str">
        <f t="shared" si="5"/>
        <v/>
      </c>
      <c r="C1205" s="6"/>
      <c r="D1205" s="6"/>
      <c r="E1205" s="6"/>
      <c r="F1205" s="15"/>
      <c r="G1205" s="6"/>
      <c r="H1205" s="6"/>
      <c r="I1205" s="6"/>
      <c r="J1205" s="16"/>
      <c r="K1205" s="6"/>
      <c r="L1205" s="16"/>
      <c r="M1205" s="23"/>
      <c r="N1205" s="15"/>
      <c r="O1205" s="23"/>
      <c r="P1205" s="21"/>
      <c r="Q1205" s="6"/>
      <c r="R1205" s="6"/>
      <c r="S1205" s="20"/>
      <c r="T1205" s="6"/>
      <c r="U1205" s="21"/>
      <c r="W1205" s="20"/>
      <c r="X1205" s="21"/>
    </row>
    <row r="1206" spans="2:24" ht="16">
      <c r="B1206" s="26" t="str">
        <f t="shared" si="5"/>
        <v/>
      </c>
      <c r="C1206" s="6"/>
      <c r="D1206" s="6"/>
      <c r="E1206" s="6"/>
      <c r="F1206" s="15"/>
      <c r="G1206" s="6"/>
      <c r="H1206" s="6"/>
      <c r="I1206" s="6"/>
      <c r="J1206" s="16"/>
      <c r="K1206" s="6"/>
      <c r="L1206" s="16"/>
      <c r="M1206" s="23"/>
      <c r="N1206" s="15"/>
      <c r="O1206" s="23"/>
      <c r="P1206" s="21"/>
      <c r="Q1206" s="6"/>
      <c r="R1206" s="6"/>
      <c r="S1206" s="20"/>
      <c r="T1206" s="6"/>
      <c r="U1206" s="21"/>
      <c r="W1206" s="20"/>
      <c r="X1206" s="21"/>
    </row>
    <row r="1207" spans="2:24" ht="16">
      <c r="B1207" s="26" t="str">
        <f t="shared" si="5"/>
        <v/>
      </c>
      <c r="C1207" s="6"/>
      <c r="D1207" s="6"/>
      <c r="E1207" s="6"/>
      <c r="F1207" s="15"/>
      <c r="G1207" s="6"/>
      <c r="H1207" s="6"/>
      <c r="I1207" s="6"/>
      <c r="J1207" s="16"/>
      <c r="K1207" s="6"/>
      <c r="L1207" s="16"/>
      <c r="M1207" s="23"/>
      <c r="N1207" s="15"/>
      <c r="O1207" s="23"/>
      <c r="P1207" s="21"/>
      <c r="Q1207" s="6"/>
      <c r="R1207" s="6"/>
      <c r="S1207" s="20"/>
      <c r="T1207" s="6"/>
      <c r="U1207" s="21"/>
      <c r="W1207" s="20"/>
      <c r="X1207" s="21"/>
    </row>
    <row r="1208" spans="2:24" ht="16">
      <c r="B1208" s="26" t="str">
        <f t="shared" si="5"/>
        <v/>
      </c>
      <c r="C1208" s="6"/>
      <c r="D1208" s="6"/>
      <c r="E1208" s="6"/>
      <c r="F1208" s="15"/>
      <c r="G1208" s="6"/>
      <c r="H1208" s="6"/>
      <c r="I1208" s="6"/>
      <c r="J1208" s="16"/>
      <c r="K1208" s="6"/>
      <c r="L1208" s="16"/>
      <c r="M1208" s="23"/>
      <c r="N1208" s="15"/>
      <c r="O1208" s="23"/>
      <c r="P1208" s="21"/>
      <c r="Q1208" s="6"/>
      <c r="R1208" s="6"/>
      <c r="S1208" s="20"/>
      <c r="T1208" s="6"/>
      <c r="U1208" s="21"/>
      <c r="W1208" s="20"/>
      <c r="X1208" s="21"/>
    </row>
    <row r="1209" spans="2:24" ht="16">
      <c r="B1209" s="26" t="str">
        <f t="shared" si="5"/>
        <v/>
      </c>
      <c r="C1209" s="6"/>
      <c r="D1209" s="6"/>
      <c r="E1209" s="6"/>
      <c r="F1209" s="15"/>
      <c r="G1209" s="6"/>
      <c r="H1209" s="6"/>
      <c r="I1209" s="6"/>
      <c r="J1209" s="16"/>
      <c r="K1209" s="6"/>
      <c r="L1209" s="16"/>
      <c r="M1209" s="23"/>
      <c r="N1209" s="15"/>
      <c r="O1209" s="23"/>
      <c r="P1209" s="21"/>
      <c r="Q1209" s="6"/>
      <c r="R1209" s="6"/>
      <c r="S1209" s="20"/>
      <c r="T1209" s="6"/>
      <c r="U1209" s="21"/>
      <c r="W1209" s="20"/>
      <c r="X1209" s="21"/>
    </row>
    <row r="1210" spans="2:24" ht="16">
      <c r="B1210" s="26" t="str">
        <f t="shared" si="5"/>
        <v/>
      </c>
      <c r="C1210" s="6"/>
      <c r="D1210" s="6"/>
      <c r="E1210" s="6"/>
      <c r="F1210" s="15"/>
      <c r="G1210" s="6"/>
      <c r="H1210" s="6"/>
      <c r="I1210" s="6"/>
      <c r="J1210" s="16"/>
      <c r="K1210" s="6"/>
      <c r="L1210" s="16"/>
      <c r="M1210" s="23"/>
      <c r="N1210" s="15"/>
      <c r="O1210" s="23"/>
      <c r="P1210" s="21"/>
      <c r="Q1210" s="6"/>
      <c r="R1210" s="6"/>
      <c r="S1210" s="20"/>
      <c r="T1210" s="6"/>
      <c r="U1210" s="21"/>
      <c r="W1210" s="20"/>
      <c r="X1210" s="21"/>
    </row>
    <row r="1211" spans="2:24" ht="16">
      <c r="B1211" s="26" t="str">
        <f t="shared" si="5"/>
        <v/>
      </c>
      <c r="C1211" s="6"/>
      <c r="D1211" s="6"/>
      <c r="E1211" s="6"/>
      <c r="F1211" s="15"/>
      <c r="G1211" s="6"/>
      <c r="H1211" s="6"/>
      <c r="I1211" s="6"/>
      <c r="J1211" s="16"/>
      <c r="K1211" s="6"/>
      <c r="L1211" s="16"/>
      <c r="M1211" s="17"/>
      <c r="N1211" s="15"/>
      <c r="O1211" s="23"/>
      <c r="P1211" s="21"/>
      <c r="Q1211" s="6"/>
      <c r="R1211" s="6"/>
      <c r="S1211" s="20"/>
      <c r="T1211" s="6"/>
      <c r="U1211" s="21"/>
      <c r="W1211" s="20"/>
      <c r="X1211" s="21"/>
    </row>
    <row r="1212" spans="2:24" ht="16">
      <c r="B1212" s="26" t="str">
        <f t="shared" si="5"/>
        <v/>
      </c>
      <c r="C1212" s="6"/>
      <c r="D1212" s="6"/>
      <c r="E1212" s="6"/>
      <c r="F1212" s="15"/>
      <c r="G1212" s="6"/>
      <c r="H1212" s="6"/>
      <c r="I1212" s="6"/>
      <c r="J1212" s="16"/>
      <c r="K1212" s="6"/>
      <c r="L1212" s="16"/>
      <c r="M1212" s="23"/>
      <c r="N1212" s="15"/>
      <c r="O1212" s="23"/>
      <c r="P1212" s="21"/>
      <c r="Q1212" s="6"/>
      <c r="R1212" s="6"/>
      <c r="S1212" s="20"/>
      <c r="T1212" s="6"/>
      <c r="U1212" s="21"/>
      <c r="W1212" s="20"/>
      <c r="X1212" s="21"/>
    </row>
    <row r="1213" spans="2:24" ht="16">
      <c r="B1213" s="26" t="str">
        <f t="shared" si="5"/>
        <v/>
      </c>
      <c r="C1213" s="6"/>
      <c r="D1213" s="6"/>
      <c r="E1213" s="6"/>
      <c r="F1213" s="15"/>
      <c r="G1213" s="6"/>
      <c r="H1213" s="6"/>
      <c r="I1213" s="6"/>
      <c r="J1213" s="16"/>
      <c r="K1213" s="6"/>
      <c r="L1213" s="16"/>
      <c r="M1213" s="23"/>
      <c r="N1213" s="15"/>
      <c r="O1213" s="23"/>
      <c r="P1213" s="21"/>
      <c r="Q1213" s="6"/>
      <c r="R1213" s="6"/>
      <c r="S1213" s="20"/>
      <c r="T1213" s="6"/>
      <c r="U1213" s="21"/>
      <c r="W1213" s="20"/>
      <c r="X1213" s="21"/>
    </row>
    <row r="1214" spans="2:24" ht="16">
      <c r="B1214" s="26" t="str">
        <f t="shared" si="5"/>
        <v/>
      </c>
      <c r="C1214" s="6"/>
      <c r="D1214" s="6"/>
      <c r="E1214" s="6"/>
      <c r="F1214" s="15"/>
      <c r="G1214" s="6"/>
      <c r="H1214" s="6"/>
      <c r="I1214" s="6"/>
      <c r="J1214" s="16"/>
      <c r="K1214" s="6"/>
      <c r="L1214" s="16"/>
      <c r="M1214" s="23"/>
      <c r="N1214" s="15"/>
      <c r="O1214" s="23"/>
      <c r="P1214" s="21"/>
      <c r="Q1214" s="6"/>
      <c r="R1214" s="6"/>
      <c r="S1214" s="20"/>
      <c r="T1214" s="6"/>
      <c r="U1214" s="21"/>
      <c r="W1214" s="20"/>
      <c r="X1214" s="21"/>
    </row>
    <row r="1215" spans="2:24" ht="16">
      <c r="B1215" s="26" t="str">
        <f t="shared" si="5"/>
        <v/>
      </c>
      <c r="C1215" s="6"/>
      <c r="D1215" s="6"/>
      <c r="E1215" s="6"/>
      <c r="F1215" s="15"/>
      <c r="G1215" s="6"/>
      <c r="H1215" s="6"/>
      <c r="I1215" s="6"/>
      <c r="J1215" s="16"/>
      <c r="K1215" s="6"/>
      <c r="L1215" s="16"/>
      <c r="M1215" s="23"/>
      <c r="N1215" s="15"/>
      <c r="O1215" s="23"/>
      <c r="P1215" s="21"/>
      <c r="Q1215" s="6"/>
      <c r="R1215" s="6"/>
      <c r="S1215" s="20"/>
      <c r="T1215" s="6"/>
      <c r="U1215" s="21"/>
      <c r="W1215" s="20"/>
      <c r="X1215" s="21"/>
    </row>
    <row r="1216" spans="2:24" ht="16">
      <c r="B1216" s="26" t="str">
        <f t="shared" si="5"/>
        <v/>
      </c>
      <c r="C1216" s="6"/>
      <c r="D1216" s="6"/>
      <c r="E1216" s="6"/>
      <c r="F1216" s="15"/>
      <c r="G1216" s="6"/>
      <c r="H1216" s="6"/>
      <c r="I1216" s="6"/>
      <c r="J1216" s="16"/>
      <c r="K1216" s="6"/>
      <c r="L1216" s="16"/>
      <c r="M1216" s="23"/>
      <c r="N1216" s="15"/>
      <c r="O1216" s="23"/>
      <c r="P1216" s="21"/>
      <c r="Q1216" s="6"/>
      <c r="R1216" s="6"/>
      <c r="S1216" s="20"/>
      <c r="T1216" s="6"/>
      <c r="U1216" s="21"/>
      <c r="W1216" s="20"/>
      <c r="X1216" s="21"/>
    </row>
    <row r="1217" spans="2:24" ht="16">
      <c r="B1217" s="26" t="str">
        <f t="shared" si="5"/>
        <v/>
      </c>
      <c r="C1217" s="6"/>
      <c r="D1217" s="6"/>
      <c r="E1217" s="6"/>
      <c r="F1217" s="15"/>
      <c r="G1217" s="6"/>
      <c r="H1217" s="6"/>
      <c r="I1217" s="6"/>
      <c r="J1217" s="16"/>
      <c r="K1217" s="6"/>
      <c r="L1217" s="16"/>
      <c r="M1217" s="23"/>
      <c r="N1217" s="15"/>
      <c r="O1217" s="23"/>
      <c r="P1217" s="21"/>
      <c r="Q1217" s="6"/>
      <c r="R1217" s="6"/>
      <c r="S1217" s="20"/>
      <c r="T1217" s="6"/>
      <c r="U1217" s="21"/>
      <c r="W1217" s="20"/>
      <c r="X1217" s="21"/>
    </row>
    <row r="1218" spans="2:24" ht="16">
      <c r="B1218" s="26" t="str">
        <f t="shared" si="5"/>
        <v/>
      </c>
      <c r="C1218" s="6"/>
      <c r="D1218" s="6"/>
      <c r="E1218" s="6"/>
      <c r="F1218" s="15"/>
      <c r="G1218" s="6"/>
      <c r="H1218" s="6"/>
      <c r="I1218" s="6"/>
      <c r="J1218" s="16"/>
      <c r="K1218" s="6"/>
      <c r="L1218" s="16"/>
      <c r="M1218" s="23"/>
      <c r="N1218" s="15"/>
      <c r="O1218" s="23"/>
      <c r="P1218" s="21"/>
      <c r="Q1218" s="6"/>
      <c r="R1218" s="6"/>
      <c r="S1218" s="20"/>
      <c r="T1218" s="6"/>
      <c r="U1218" s="21"/>
      <c r="W1218" s="20"/>
      <c r="X1218" s="21"/>
    </row>
    <row r="1219" spans="2:24" ht="16">
      <c r="B1219" s="26" t="str">
        <f t="shared" si="5"/>
        <v/>
      </c>
      <c r="C1219" s="6"/>
      <c r="D1219" s="6"/>
      <c r="E1219" s="6"/>
      <c r="F1219" s="15"/>
      <c r="G1219" s="6"/>
      <c r="H1219" s="6"/>
      <c r="I1219" s="6"/>
      <c r="J1219" s="16"/>
      <c r="K1219" s="6"/>
      <c r="L1219" s="16"/>
      <c r="M1219" s="23"/>
      <c r="N1219" s="15"/>
      <c r="O1219" s="23"/>
      <c r="P1219" s="21"/>
      <c r="Q1219" s="6"/>
      <c r="R1219" s="6"/>
      <c r="S1219" s="20"/>
      <c r="T1219" s="6"/>
      <c r="U1219" s="21"/>
      <c r="W1219" s="20"/>
      <c r="X1219" s="21"/>
    </row>
    <row r="1220" spans="2:24" ht="16">
      <c r="B1220" s="26" t="str">
        <f t="shared" si="5"/>
        <v/>
      </c>
      <c r="C1220" s="6"/>
      <c r="D1220" s="6"/>
      <c r="E1220" s="6"/>
      <c r="F1220" s="15"/>
      <c r="G1220" s="6"/>
      <c r="H1220" s="6"/>
      <c r="I1220" s="6"/>
      <c r="J1220" s="16"/>
      <c r="K1220" s="6"/>
      <c r="L1220" s="16"/>
      <c r="M1220" s="23"/>
      <c r="N1220" s="15"/>
      <c r="O1220" s="23"/>
      <c r="P1220" s="21"/>
      <c r="Q1220" s="6"/>
      <c r="R1220" s="6"/>
      <c r="S1220" s="20"/>
      <c r="T1220" s="6"/>
      <c r="U1220" s="21"/>
      <c r="W1220" s="20"/>
      <c r="X1220" s="21"/>
    </row>
    <row r="1221" spans="2:24" ht="16">
      <c r="B1221" s="26" t="str">
        <f t="shared" si="5"/>
        <v/>
      </c>
      <c r="C1221" s="6"/>
      <c r="D1221" s="6"/>
      <c r="E1221" s="6"/>
      <c r="F1221" s="15"/>
      <c r="G1221" s="6"/>
      <c r="H1221" s="6"/>
      <c r="I1221" s="6"/>
      <c r="J1221" s="16"/>
      <c r="K1221" s="6"/>
      <c r="L1221" s="16"/>
      <c r="M1221" s="23"/>
      <c r="N1221" s="15"/>
      <c r="O1221" s="23"/>
      <c r="P1221" s="21"/>
      <c r="Q1221" s="6"/>
      <c r="R1221" s="6"/>
      <c r="S1221" s="20"/>
      <c r="T1221" s="6"/>
      <c r="U1221" s="21"/>
      <c r="W1221" s="20"/>
      <c r="X1221" s="21"/>
    </row>
    <row r="1222" spans="2:24" ht="16">
      <c r="B1222" s="26" t="str">
        <f t="shared" si="5"/>
        <v/>
      </c>
      <c r="C1222" s="6"/>
      <c r="D1222" s="6"/>
      <c r="E1222" s="6"/>
      <c r="F1222" s="15"/>
      <c r="G1222" s="6"/>
      <c r="H1222" s="6"/>
      <c r="I1222" s="6"/>
      <c r="J1222" s="16"/>
      <c r="K1222" s="6"/>
      <c r="L1222" s="16"/>
      <c r="M1222" s="23"/>
      <c r="N1222" s="15"/>
      <c r="O1222" s="23"/>
      <c r="P1222" s="21"/>
      <c r="Q1222" s="6"/>
      <c r="R1222" s="6"/>
      <c r="S1222" s="20"/>
      <c r="T1222" s="6"/>
      <c r="U1222" s="21"/>
      <c r="W1222" s="20"/>
      <c r="X1222" s="21"/>
    </row>
    <row r="1223" spans="2:24" ht="16">
      <c r="B1223" s="26" t="str">
        <f t="shared" si="5"/>
        <v/>
      </c>
      <c r="C1223" s="6"/>
      <c r="D1223" s="6"/>
      <c r="E1223" s="6"/>
      <c r="F1223" s="15"/>
      <c r="G1223" s="6"/>
      <c r="H1223" s="6"/>
      <c r="I1223" s="6"/>
      <c r="J1223" s="16"/>
      <c r="K1223" s="6"/>
      <c r="L1223" s="16"/>
      <c r="M1223" s="23"/>
      <c r="N1223" s="15"/>
      <c r="O1223" s="23"/>
      <c r="P1223" s="21"/>
      <c r="Q1223" s="6"/>
      <c r="R1223" s="6"/>
      <c r="S1223" s="20"/>
      <c r="T1223" s="6"/>
      <c r="U1223" s="21"/>
      <c r="W1223" s="20"/>
      <c r="X1223" s="21"/>
    </row>
    <row r="1224" spans="2:24" ht="16">
      <c r="B1224" s="26" t="str">
        <f t="shared" si="5"/>
        <v/>
      </c>
      <c r="C1224" s="6"/>
      <c r="D1224" s="6"/>
      <c r="E1224" s="6"/>
      <c r="F1224" s="15"/>
      <c r="G1224" s="6"/>
      <c r="H1224" s="6"/>
      <c r="I1224" s="6"/>
      <c r="J1224" s="16"/>
      <c r="K1224" s="6"/>
      <c r="L1224" s="16"/>
      <c r="M1224" s="23"/>
      <c r="N1224" s="15"/>
      <c r="O1224" s="23"/>
      <c r="P1224" s="21"/>
      <c r="Q1224" s="6"/>
      <c r="R1224" s="6"/>
      <c r="S1224" s="20"/>
      <c r="T1224" s="6"/>
      <c r="U1224" s="21"/>
      <c r="W1224" s="20"/>
      <c r="X1224" s="21"/>
    </row>
    <row r="1225" spans="2:24" ht="16">
      <c r="B1225" s="26" t="str">
        <f t="shared" si="5"/>
        <v/>
      </c>
      <c r="C1225" s="6"/>
      <c r="D1225" s="6"/>
      <c r="E1225" s="6"/>
      <c r="F1225" s="15"/>
      <c r="G1225" s="6"/>
      <c r="H1225" s="6"/>
      <c r="I1225" s="6"/>
      <c r="J1225" s="16"/>
      <c r="K1225" s="6"/>
      <c r="L1225" s="16"/>
      <c r="M1225" s="23"/>
      <c r="N1225" s="15"/>
      <c r="O1225" s="23"/>
      <c r="P1225" s="21"/>
      <c r="Q1225" s="6"/>
      <c r="R1225" s="6"/>
      <c r="S1225" s="20"/>
      <c r="T1225" s="6"/>
      <c r="U1225" s="21"/>
      <c r="W1225" s="20"/>
      <c r="X1225" s="21"/>
    </row>
    <row r="1226" spans="2:24" ht="16">
      <c r="B1226" s="26" t="str">
        <f t="shared" si="5"/>
        <v/>
      </c>
      <c r="C1226" s="6"/>
      <c r="D1226" s="6"/>
      <c r="E1226" s="6"/>
      <c r="F1226" s="15"/>
      <c r="G1226" s="6"/>
      <c r="H1226" s="6"/>
      <c r="I1226" s="6"/>
      <c r="J1226" s="16"/>
      <c r="K1226" s="6"/>
      <c r="L1226" s="16"/>
      <c r="M1226" s="23"/>
      <c r="N1226" s="15"/>
      <c r="O1226" s="23"/>
      <c r="P1226" s="21"/>
      <c r="Q1226" s="6"/>
      <c r="R1226" s="6"/>
      <c r="S1226" s="20"/>
      <c r="T1226" s="6"/>
      <c r="U1226" s="21"/>
      <c r="W1226" s="20"/>
      <c r="X1226" s="21"/>
    </row>
    <row r="1227" spans="2:24" ht="16">
      <c r="B1227" s="26" t="str">
        <f t="shared" si="5"/>
        <v/>
      </c>
      <c r="C1227" s="6"/>
      <c r="D1227" s="6"/>
      <c r="E1227" s="6"/>
      <c r="F1227" s="15"/>
      <c r="G1227" s="6"/>
      <c r="H1227" s="6"/>
      <c r="I1227" s="6"/>
      <c r="J1227" s="16"/>
      <c r="K1227" s="6"/>
      <c r="L1227" s="16"/>
      <c r="M1227" s="23"/>
      <c r="N1227" s="15"/>
      <c r="O1227" s="23"/>
      <c r="P1227" s="21"/>
      <c r="Q1227" s="6"/>
      <c r="R1227" s="6"/>
      <c r="S1227" s="20"/>
      <c r="T1227" s="6"/>
      <c r="U1227" s="21"/>
      <c r="W1227" s="20"/>
      <c r="X1227" s="21"/>
    </row>
    <row r="1228" spans="2:24" ht="16">
      <c r="B1228" s="26" t="str">
        <f t="shared" si="5"/>
        <v/>
      </c>
      <c r="C1228" s="6"/>
      <c r="D1228" s="6"/>
      <c r="E1228" s="6"/>
      <c r="F1228" s="15"/>
      <c r="G1228" s="6"/>
      <c r="H1228" s="6"/>
      <c r="I1228" s="6"/>
      <c r="J1228" s="16"/>
      <c r="K1228" s="6"/>
      <c r="L1228" s="16"/>
      <c r="M1228" s="23"/>
      <c r="N1228" s="15"/>
      <c r="O1228" s="23"/>
      <c r="P1228" s="21"/>
      <c r="Q1228" s="6"/>
      <c r="R1228" s="6"/>
      <c r="S1228" s="20"/>
      <c r="T1228" s="6"/>
      <c r="U1228" s="21"/>
      <c r="W1228" s="20"/>
      <c r="X1228" s="21"/>
    </row>
    <row r="1229" spans="2:24" ht="16">
      <c r="B1229" s="26" t="str">
        <f t="shared" si="5"/>
        <v/>
      </c>
      <c r="C1229" s="6"/>
      <c r="D1229" s="6"/>
      <c r="E1229" s="6"/>
      <c r="F1229" s="15"/>
      <c r="G1229" s="6"/>
      <c r="H1229" s="6"/>
      <c r="I1229" s="6"/>
      <c r="J1229" s="16"/>
      <c r="K1229" s="6"/>
      <c r="L1229" s="16"/>
      <c r="M1229" s="23"/>
      <c r="N1229" s="15"/>
      <c r="O1229" s="23"/>
      <c r="P1229" s="21"/>
      <c r="Q1229" s="6"/>
      <c r="R1229" s="6"/>
      <c r="S1229" s="20"/>
      <c r="T1229" s="6"/>
      <c r="U1229" s="21"/>
      <c r="W1229" s="20"/>
      <c r="X1229" s="21"/>
    </row>
    <row r="1230" spans="2:24" ht="16">
      <c r="B1230" s="26" t="str">
        <f t="shared" si="5"/>
        <v/>
      </c>
      <c r="C1230" s="6"/>
      <c r="D1230" s="6"/>
      <c r="E1230" s="6"/>
      <c r="F1230" s="15"/>
      <c r="G1230" s="6"/>
      <c r="H1230" s="6"/>
      <c r="I1230" s="6"/>
      <c r="J1230" s="16"/>
      <c r="K1230" s="6"/>
      <c r="L1230" s="16"/>
      <c r="M1230" s="23"/>
      <c r="N1230" s="15"/>
      <c r="O1230" s="23"/>
      <c r="P1230" s="21"/>
      <c r="Q1230" s="6"/>
      <c r="R1230" s="6"/>
      <c r="S1230" s="20"/>
      <c r="T1230" s="6"/>
      <c r="U1230" s="21"/>
      <c r="W1230" s="20"/>
      <c r="X1230" s="21"/>
    </row>
    <row r="1231" spans="2:24" ht="16">
      <c r="B1231" s="26" t="str">
        <f t="shared" si="5"/>
        <v/>
      </c>
      <c r="C1231" s="6"/>
      <c r="D1231" s="6"/>
      <c r="E1231" s="6"/>
      <c r="F1231" s="15"/>
      <c r="G1231" s="6"/>
      <c r="H1231" s="6"/>
      <c r="I1231" s="6"/>
      <c r="J1231" s="16"/>
      <c r="K1231" s="6"/>
      <c r="L1231" s="16"/>
      <c r="M1231" s="23"/>
      <c r="N1231" s="15"/>
      <c r="O1231" s="23"/>
      <c r="P1231" s="21"/>
      <c r="Q1231" s="6"/>
      <c r="R1231" s="6"/>
      <c r="S1231" s="20"/>
      <c r="T1231" s="6"/>
      <c r="U1231" s="21"/>
      <c r="W1231" s="20"/>
      <c r="X1231" s="21"/>
    </row>
    <row r="1232" spans="2:24" ht="16">
      <c r="B1232" s="26" t="str">
        <f t="shared" si="5"/>
        <v/>
      </c>
      <c r="C1232" s="6"/>
      <c r="D1232" s="6"/>
      <c r="E1232" s="6"/>
      <c r="F1232" s="15"/>
      <c r="G1232" s="6"/>
      <c r="H1232" s="6"/>
      <c r="I1232" s="6"/>
      <c r="J1232" s="16"/>
      <c r="K1232" s="6"/>
      <c r="L1232" s="16"/>
      <c r="M1232" s="23"/>
      <c r="N1232" s="15"/>
      <c r="O1232" s="23"/>
      <c r="P1232" s="21"/>
      <c r="Q1232" s="6"/>
      <c r="R1232" s="6"/>
      <c r="S1232" s="20"/>
      <c r="T1232" s="6"/>
      <c r="U1232" s="21"/>
      <c r="W1232" s="20"/>
      <c r="X1232" s="21"/>
    </row>
    <row r="1233" spans="2:24" ht="16">
      <c r="B1233" s="26" t="str">
        <f t="shared" si="5"/>
        <v/>
      </c>
      <c r="C1233" s="6"/>
      <c r="D1233" s="6"/>
      <c r="E1233" s="6"/>
      <c r="F1233" s="15"/>
      <c r="G1233" s="6"/>
      <c r="H1233" s="6"/>
      <c r="I1233" s="6"/>
      <c r="J1233" s="16"/>
      <c r="K1233" s="6"/>
      <c r="L1233" s="16"/>
      <c r="M1233" s="23"/>
      <c r="N1233" s="15"/>
      <c r="O1233" s="23"/>
      <c r="P1233" s="21"/>
      <c r="Q1233" s="6"/>
      <c r="R1233" s="6"/>
      <c r="S1233" s="20"/>
      <c r="T1233" s="6"/>
      <c r="U1233" s="21"/>
      <c r="W1233" s="20"/>
      <c r="X1233" s="21"/>
    </row>
    <row r="1234" spans="2:24" ht="16">
      <c r="B1234" s="26" t="str">
        <f t="shared" si="5"/>
        <v/>
      </c>
      <c r="C1234" s="6"/>
      <c r="D1234" s="6"/>
      <c r="E1234" s="6"/>
      <c r="F1234" s="15"/>
      <c r="G1234" s="6"/>
      <c r="H1234" s="6"/>
      <c r="I1234" s="6"/>
      <c r="J1234" s="16"/>
      <c r="K1234" s="6"/>
      <c r="L1234" s="16"/>
      <c r="M1234" s="23"/>
      <c r="N1234" s="15"/>
      <c r="O1234" s="23"/>
      <c r="P1234" s="21"/>
      <c r="Q1234" s="6"/>
      <c r="R1234" s="6"/>
      <c r="S1234" s="20"/>
      <c r="T1234" s="6"/>
      <c r="U1234" s="21"/>
      <c r="W1234" s="20"/>
      <c r="X1234" s="21"/>
    </row>
    <row r="1235" spans="2:24" ht="16">
      <c r="B1235" s="26" t="str">
        <f t="shared" si="5"/>
        <v/>
      </c>
      <c r="C1235" s="6"/>
      <c r="D1235" s="6"/>
      <c r="E1235" s="6"/>
      <c r="F1235" s="15"/>
      <c r="G1235" s="6"/>
      <c r="H1235" s="6"/>
      <c r="I1235" s="6"/>
      <c r="J1235" s="16"/>
      <c r="K1235" s="6"/>
      <c r="L1235" s="16"/>
      <c r="M1235" s="23"/>
      <c r="N1235" s="15"/>
      <c r="O1235" s="23"/>
      <c r="P1235" s="21"/>
      <c r="Q1235" s="6"/>
      <c r="R1235" s="6"/>
      <c r="S1235" s="20"/>
      <c r="T1235" s="6"/>
      <c r="U1235" s="21"/>
      <c r="W1235" s="20"/>
      <c r="X1235" s="21"/>
    </row>
    <row r="1236" spans="2:24" ht="16">
      <c r="B1236" s="26" t="str">
        <f t="shared" si="5"/>
        <v/>
      </c>
      <c r="C1236" s="23"/>
      <c r="D1236" s="6"/>
      <c r="E1236" s="6"/>
      <c r="F1236" s="15"/>
      <c r="G1236" s="6"/>
      <c r="H1236" s="6"/>
      <c r="I1236" s="6"/>
      <c r="J1236" s="16"/>
      <c r="K1236" s="6"/>
      <c r="L1236" s="16"/>
      <c r="M1236" s="23"/>
      <c r="N1236" s="15"/>
      <c r="O1236" s="23"/>
      <c r="P1236" s="21"/>
      <c r="Q1236" s="6"/>
      <c r="R1236" s="6"/>
      <c r="S1236" s="20"/>
      <c r="T1236" s="6"/>
      <c r="W1236" s="20"/>
    </row>
    <row r="1237" spans="2:24" ht="16">
      <c r="B1237" s="26" t="str">
        <f t="shared" si="5"/>
        <v/>
      </c>
      <c r="C1237" s="6"/>
      <c r="D1237" s="6"/>
      <c r="E1237" s="6"/>
      <c r="F1237" s="15"/>
      <c r="G1237" s="6"/>
      <c r="H1237" s="6"/>
      <c r="I1237" s="6"/>
      <c r="J1237" s="16"/>
      <c r="K1237" s="6"/>
      <c r="L1237" s="16"/>
      <c r="M1237" s="23"/>
      <c r="N1237" s="15"/>
      <c r="O1237" s="23"/>
      <c r="P1237" s="21"/>
      <c r="Q1237" s="6"/>
      <c r="R1237" s="6"/>
      <c r="S1237" s="20"/>
      <c r="T1237" s="6"/>
      <c r="U1237" s="21"/>
      <c r="W1237" s="20"/>
      <c r="X1237" s="21"/>
    </row>
    <row r="1238" spans="2:24" ht="16">
      <c r="B1238" s="26" t="str">
        <f t="shared" si="5"/>
        <v/>
      </c>
      <c r="C1238" s="6"/>
      <c r="D1238" s="6"/>
      <c r="E1238" s="6"/>
      <c r="F1238" s="15"/>
      <c r="G1238" s="6"/>
      <c r="H1238" s="6"/>
      <c r="I1238" s="6"/>
      <c r="J1238" s="16"/>
      <c r="K1238" s="6"/>
      <c r="L1238" s="16"/>
      <c r="M1238" s="23"/>
      <c r="N1238" s="15"/>
      <c r="O1238" s="23"/>
      <c r="P1238" s="21"/>
      <c r="Q1238" s="6"/>
      <c r="R1238" s="6"/>
      <c r="S1238" s="20"/>
      <c r="T1238" s="6"/>
      <c r="U1238" s="21"/>
      <c r="W1238" s="20"/>
      <c r="X1238" s="21"/>
    </row>
    <row r="1239" spans="2:24" ht="16">
      <c r="B1239" s="26" t="str">
        <f t="shared" si="5"/>
        <v/>
      </c>
      <c r="C1239" s="6"/>
      <c r="D1239" s="6"/>
      <c r="E1239" s="6"/>
      <c r="F1239" s="15"/>
      <c r="G1239" s="6"/>
      <c r="H1239" s="6"/>
      <c r="I1239" s="6"/>
      <c r="J1239" s="16"/>
      <c r="K1239" s="6"/>
      <c r="L1239" s="16"/>
      <c r="M1239" s="23"/>
      <c r="N1239" s="15"/>
      <c r="O1239" s="23"/>
      <c r="P1239" s="21"/>
      <c r="Q1239" s="6"/>
      <c r="R1239" s="6"/>
      <c r="S1239" s="20"/>
      <c r="T1239" s="6"/>
      <c r="U1239" s="21"/>
      <c r="W1239" s="20"/>
      <c r="X1239" s="21"/>
    </row>
    <row r="1240" spans="2:24" ht="16">
      <c r="B1240" s="26" t="str">
        <f t="shared" si="5"/>
        <v/>
      </c>
      <c r="C1240" s="6"/>
      <c r="D1240" s="6"/>
      <c r="E1240" s="6"/>
      <c r="F1240" s="15"/>
      <c r="G1240" s="6"/>
      <c r="H1240" s="6"/>
      <c r="I1240" s="6"/>
      <c r="J1240" s="16"/>
      <c r="K1240" s="6"/>
      <c r="L1240" s="16"/>
      <c r="M1240" s="23"/>
      <c r="N1240" s="15"/>
      <c r="O1240" s="23"/>
      <c r="P1240" s="21"/>
      <c r="Q1240" s="6"/>
      <c r="R1240" s="6"/>
      <c r="S1240" s="20"/>
      <c r="T1240" s="6"/>
      <c r="U1240" s="21"/>
      <c r="W1240" s="20"/>
      <c r="X1240" s="21"/>
    </row>
    <row r="1241" spans="2:24" ht="16">
      <c r="B1241" s="26" t="str">
        <f t="shared" si="5"/>
        <v/>
      </c>
      <c r="C1241" s="6"/>
      <c r="D1241" s="6"/>
      <c r="E1241" s="6"/>
      <c r="F1241" s="15"/>
      <c r="G1241" s="6"/>
      <c r="H1241" s="6"/>
      <c r="I1241" s="6"/>
      <c r="J1241" s="16"/>
      <c r="K1241" s="6"/>
      <c r="L1241" s="16"/>
      <c r="M1241" s="23"/>
      <c r="N1241" s="15"/>
      <c r="O1241" s="23"/>
      <c r="P1241" s="21"/>
      <c r="Q1241" s="6"/>
      <c r="R1241" s="6"/>
      <c r="S1241" s="20"/>
      <c r="T1241" s="6"/>
      <c r="U1241" s="21"/>
      <c r="W1241" s="20"/>
      <c r="X1241" s="21"/>
    </row>
    <row r="1242" spans="2:24" ht="16">
      <c r="B1242" s="26" t="str">
        <f t="shared" si="5"/>
        <v/>
      </c>
      <c r="C1242" s="6"/>
      <c r="D1242" s="6"/>
      <c r="E1242" s="6"/>
      <c r="F1242" s="15"/>
      <c r="G1242" s="6"/>
      <c r="H1242" s="6"/>
      <c r="I1242" s="6"/>
      <c r="J1242" s="16"/>
      <c r="K1242" s="6"/>
      <c r="L1242" s="16"/>
      <c r="M1242" s="23"/>
      <c r="N1242" s="15"/>
      <c r="O1242" s="23"/>
      <c r="P1242" s="21"/>
      <c r="Q1242" s="6"/>
      <c r="R1242" s="6"/>
      <c r="S1242" s="20"/>
      <c r="T1242" s="6"/>
      <c r="U1242" s="21"/>
      <c r="W1242" s="20"/>
      <c r="X1242" s="21"/>
    </row>
    <row r="1243" spans="2:24" ht="16">
      <c r="B1243" s="26" t="str">
        <f t="shared" si="5"/>
        <v/>
      </c>
      <c r="C1243" s="6"/>
      <c r="D1243" s="6"/>
      <c r="E1243" s="6"/>
      <c r="F1243" s="15"/>
      <c r="G1243" s="6"/>
      <c r="H1243" s="6"/>
      <c r="I1243" s="6"/>
      <c r="J1243" s="16"/>
      <c r="K1243" s="6"/>
      <c r="L1243" s="16"/>
      <c r="M1243" s="23"/>
      <c r="N1243" s="15"/>
      <c r="O1243" s="23"/>
      <c r="P1243" s="21"/>
      <c r="Q1243" s="6"/>
      <c r="R1243" s="6"/>
      <c r="S1243" s="20"/>
      <c r="T1243" s="6"/>
      <c r="U1243" s="21"/>
      <c r="W1243" s="20"/>
      <c r="X1243" s="21"/>
    </row>
    <row r="1244" spans="2:24" ht="16">
      <c r="B1244" s="26" t="str">
        <f t="shared" si="5"/>
        <v/>
      </c>
      <c r="C1244" s="6"/>
      <c r="D1244" s="6"/>
      <c r="E1244" s="6"/>
      <c r="F1244" s="15"/>
      <c r="G1244" s="6"/>
      <c r="H1244" s="6"/>
      <c r="I1244" s="6"/>
      <c r="J1244" s="16"/>
      <c r="K1244" s="6"/>
      <c r="L1244" s="16"/>
      <c r="M1244" s="23"/>
      <c r="N1244" s="15"/>
      <c r="O1244" s="23"/>
      <c r="P1244" s="21"/>
      <c r="Q1244" s="6"/>
      <c r="R1244" s="6"/>
      <c r="S1244" s="20"/>
      <c r="T1244" s="6"/>
      <c r="U1244" s="21"/>
      <c r="W1244" s="20"/>
      <c r="X1244" s="21"/>
    </row>
    <row r="1245" spans="2:24" ht="16">
      <c r="B1245" s="26" t="str">
        <f t="shared" si="5"/>
        <v/>
      </c>
      <c r="C1245" s="6"/>
      <c r="D1245" s="6"/>
      <c r="E1245" s="6"/>
      <c r="F1245" s="15"/>
      <c r="G1245" s="6"/>
      <c r="H1245" s="6"/>
      <c r="I1245" s="6"/>
      <c r="J1245" s="16"/>
      <c r="K1245" s="6"/>
      <c r="L1245" s="16"/>
      <c r="M1245" s="23"/>
      <c r="N1245" s="15"/>
      <c r="O1245" s="23"/>
      <c r="P1245" s="21"/>
      <c r="Q1245" s="6"/>
      <c r="R1245" s="6"/>
      <c r="S1245" s="20"/>
      <c r="T1245" s="6"/>
      <c r="U1245" s="21"/>
      <c r="W1245" s="20"/>
      <c r="X1245" s="21"/>
    </row>
    <row r="1246" spans="2:24" ht="16">
      <c r="B1246" s="26" t="str">
        <f t="shared" si="5"/>
        <v/>
      </c>
      <c r="C1246" s="6"/>
      <c r="D1246" s="6"/>
      <c r="E1246" s="6"/>
      <c r="F1246" s="15"/>
      <c r="G1246" s="6"/>
      <c r="H1246" s="6"/>
      <c r="I1246" s="6"/>
      <c r="J1246" s="16"/>
      <c r="K1246" s="6"/>
      <c r="L1246" s="16"/>
      <c r="M1246" s="23"/>
      <c r="N1246" s="15"/>
      <c r="O1246" s="23"/>
      <c r="P1246" s="21"/>
      <c r="Q1246" s="6"/>
      <c r="R1246" s="6"/>
      <c r="S1246" s="20"/>
      <c r="T1246" s="6"/>
      <c r="U1246" s="21"/>
      <c r="W1246" s="20"/>
      <c r="X1246" s="21"/>
    </row>
    <row r="1247" spans="2:24" ht="16">
      <c r="B1247" s="26" t="str">
        <f t="shared" si="5"/>
        <v/>
      </c>
      <c r="C1247" s="6"/>
      <c r="D1247" s="6"/>
      <c r="E1247" s="6"/>
      <c r="F1247" s="15"/>
      <c r="G1247" s="6"/>
      <c r="H1247" s="6"/>
      <c r="I1247" s="6"/>
      <c r="J1247" s="16"/>
      <c r="K1247" s="6"/>
      <c r="L1247" s="16"/>
      <c r="M1247" s="23"/>
      <c r="N1247" s="15"/>
      <c r="O1247" s="23"/>
      <c r="P1247" s="21"/>
      <c r="Q1247" s="6"/>
      <c r="R1247" s="6"/>
      <c r="S1247" s="20"/>
      <c r="T1247" s="6"/>
      <c r="U1247" s="21"/>
      <c r="W1247" s="20"/>
      <c r="X1247" s="21"/>
    </row>
    <row r="1248" spans="2:24" ht="16">
      <c r="B1248" s="26" t="str">
        <f t="shared" si="5"/>
        <v/>
      </c>
      <c r="C1248" s="6"/>
      <c r="D1248" s="6"/>
      <c r="E1248" s="6"/>
      <c r="F1248" s="15"/>
      <c r="G1248" s="6"/>
      <c r="H1248" s="6"/>
      <c r="I1248" s="6"/>
      <c r="J1248" s="16"/>
      <c r="K1248" s="6"/>
      <c r="L1248" s="16"/>
      <c r="M1248" s="23"/>
      <c r="N1248" s="15"/>
      <c r="O1248" s="23"/>
      <c r="P1248" s="21"/>
      <c r="Q1248" s="6"/>
      <c r="R1248" s="6"/>
      <c r="S1248" s="20"/>
      <c r="T1248" s="6"/>
      <c r="U1248" s="21"/>
      <c r="W1248" s="20"/>
      <c r="X1248" s="21"/>
    </row>
    <row r="1249" spans="2:24" ht="16">
      <c r="B1249" s="26" t="str">
        <f t="shared" si="5"/>
        <v/>
      </c>
      <c r="C1249" s="6"/>
      <c r="D1249" s="6"/>
      <c r="E1249" s="6"/>
      <c r="F1249" s="15"/>
      <c r="G1249" s="6"/>
      <c r="H1249" s="6"/>
      <c r="I1249" s="6"/>
      <c r="J1249" s="16"/>
      <c r="K1249" s="6"/>
      <c r="L1249" s="16"/>
      <c r="M1249" s="23"/>
      <c r="N1249" s="15"/>
      <c r="O1249" s="23"/>
      <c r="P1249" s="21"/>
      <c r="Q1249" s="6"/>
      <c r="R1249" s="6"/>
      <c r="S1249" s="20"/>
      <c r="T1249" s="6"/>
      <c r="U1249" s="21"/>
      <c r="W1249" s="20"/>
      <c r="X1249" s="21"/>
    </row>
    <row r="1250" spans="2:24" ht="16">
      <c r="B1250" s="26" t="str">
        <f t="shared" si="5"/>
        <v/>
      </c>
      <c r="C1250" s="6"/>
      <c r="D1250" s="6"/>
      <c r="E1250" s="6"/>
      <c r="F1250" s="15"/>
      <c r="G1250" s="6"/>
      <c r="H1250" s="6"/>
      <c r="I1250" s="6"/>
      <c r="J1250" s="16"/>
      <c r="K1250" s="6"/>
      <c r="L1250" s="16"/>
      <c r="M1250" s="17"/>
      <c r="N1250" s="15"/>
      <c r="O1250" s="23"/>
      <c r="P1250" s="21"/>
      <c r="Q1250" s="6"/>
      <c r="R1250" s="6"/>
      <c r="S1250" s="20"/>
      <c r="T1250" s="6"/>
      <c r="U1250" s="21"/>
      <c r="W1250" s="20"/>
      <c r="X1250" s="21"/>
    </row>
    <row r="1251" spans="2:24" ht="16">
      <c r="B1251" s="26" t="str">
        <f t="shared" si="5"/>
        <v/>
      </c>
      <c r="C1251" s="6"/>
      <c r="D1251" s="6"/>
      <c r="E1251" s="6"/>
      <c r="F1251" s="15"/>
      <c r="G1251" s="6"/>
      <c r="H1251" s="6"/>
      <c r="I1251" s="6"/>
      <c r="J1251" s="16"/>
      <c r="K1251" s="6"/>
      <c r="L1251" s="16"/>
      <c r="M1251" s="23"/>
      <c r="N1251" s="15"/>
      <c r="O1251" s="23"/>
      <c r="P1251" s="21"/>
      <c r="Q1251" s="6"/>
      <c r="R1251" s="6"/>
      <c r="S1251" s="20"/>
      <c r="T1251" s="6"/>
      <c r="U1251" s="21"/>
      <c r="W1251" s="20"/>
      <c r="X1251" s="21"/>
    </row>
    <row r="1252" spans="2:24" ht="16">
      <c r="B1252" s="26" t="str">
        <f t="shared" si="5"/>
        <v/>
      </c>
      <c r="C1252" s="6"/>
      <c r="D1252" s="6"/>
      <c r="E1252" s="6"/>
      <c r="F1252" s="15"/>
      <c r="G1252" s="6"/>
      <c r="H1252" s="6"/>
      <c r="I1252" s="6"/>
      <c r="J1252" s="16"/>
      <c r="K1252" s="6"/>
      <c r="L1252" s="16"/>
      <c r="M1252" s="23"/>
      <c r="N1252" s="15"/>
      <c r="O1252" s="23"/>
      <c r="P1252" s="21"/>
      <c r="Q1252" s="6"/>
      <c r="R1252" s="6"/>
      <c r="S1252" s="20"/>
      <c r="T1252" s="6"/>
      <c r="U1252" s="21"/>
      <c r="W1252" s="20"/>
      <c r="X1252" s="21"/>
    </row>
    <row r="1253" spans="2:24" ht="16">
      <c r="B1253" s="26" t="str">
        <f t="shared" si="5"/>
        <v/>
      </c>
      <c r="C1253" s="6"/>
      <c r="D1253" s="6"/>
      <c r="E1253" s="6"/>
      <c r="F1253" s="15"/>
      <c r="G1253" s="6"/>
      <c r="H1253" s="6"/>
      <c r="I1253" s="6"/>
      <c r="J1253" s="16"/>
      <c r="K1253" s="6"/>
      <c r="L1253" s="16"/>
      <c r="M1253" s="23"/>
      <c r="N1253" s="15"/>
      <c r="O1253" s="23"/>
      <c r="P1253" s="21"/>
      <c r="Q1253" s="6"/>
      <c r="R1253" s="6"/>
      <c r="S1253" s="20"/>
      <c r="T1253" s="6"/>
      <c r="U1253" s="21"/>
      <c r="W1253" s="20"/>
      <c r="X1253" s="21"/>
    </row>
    <row r="1254" spans="2:24" ht="16">
      <c r="B1254" s="26" t="str">
        <f t="shared" si="5"/>
        <v/>
      </c>
      <c r="C1254" s="6"/>
      <c r="D1254" s="6"/>
      <c r="E1254" s="6"/>
      <c r="F1254" s="15"/>
      <c r="G1254" s="6"/>
      <c r="H1254" s="6"/>
      <c r="I1254" s="6"/>
      <c r="J1254" s="16"/>
      <c r="K1254" s="6"/>
      <c r="L1254" s="16"/>
      <c r="M1254" s="23"/>
      <c r="N1254" s="15"/>
      <c r="O1254" s="23"/>
      <c r="P1254" s="21"/>
      <c r="Q1254" s="6"/>
      <c r="R1254" s="6"/>
      <c r="S1254" s="20"/>
      <c r="T1254" s="6"/>
      <c r="U1254" s="21"/>
      <c r="W1254" s="20"/>
      <c r="X1254" s="21"/>
    </row>
    <row r="1255" spans="2:24" ht="16">
      <c r="B1255" s="26" t="str">
        <f t="shared" si="5"/>
        <v/>
      </c>
      <c r="C1255" s="6"/>
      <c r="D1255" s="6"/>
      <c r="E1255" s="6"/>
      <c r="F1255" s="15"/>
      <c r="G1255" s="6"/>
      <c r="H1255" s="6"/>
      <c r="I1255" s="6"/>
      <c r="J1255" s="16"/>
      <c r="K1255" s="6"/>
      <c r="L1255" s="16"/>
      <c r="M1255" s="23"/>
      <c r="N1255" s="15"/>
      <c r="O1255" s="23"/>
      <c r="P1255" s="21"/>
      <c r="Q1255" s="6"/>
      <c r="R1255" s="6"/>
      <c r="S1255" s="20"/>
      <c r="T1255" s="6"/>
      <c r="U1255" s="21"/>
      <c r="W1255" s="20"/>
      <c r="X1255" s="21"/>
    </row>
    <row r="1256" spans="2:24" ht="16">
      <c r="B1256" s="26" t="str">
        <f t="shared" si="5"/>
        <v/>
      </c>
      <c r="C1256" s="6"/>
      <c r="D1256" s="6"/>
      <c r="E1256" s="6"/>
      <c r="F1256" s="15"/>
      <c r="G1256" s="6"/>
      <c r="H1256" s="6"/>
      <c r="I1256" s="6"/>
      <c r="J1256" s="16"/>
      <c r="K1256" s="6"/>
      <c r="L1256" s="16"/>
      <c r="M1256" s="23"/>
      <c r="N1256" s="15"/>
      <c r="O1256" s="23"/>
      <c r="P1256" s="21"/>
      <c r="Q1256" s="6"/>
      <c r="R1256" s="6"/>
      <c r="S1256" s="20"/>
      <c r="T1256" s="6"/>
      <c r="U1256" s="21"/>
      <c r="W1256" s="20"/>
      <c r="X1256" s="21"/>
    </row>
    <row r="1257" spans="2:24" ht="16">
      <c r="B1257" s="26" t="str">
        <f t="shared" si="5"/>
        <v/>
      </c>
      <c r="C1257" s="6"/>
      <c r="D1257" s="6"/>
      <c r="E1257" s="6"/>
      <c r="F1257" s="15"/>
      <c r="G1257" s="6"/>
      <c r="H1257" s="6"/>
      <c r="I1257" s="6"/>
      <c r="J1257" s="16"/>
      <c r="K1257" s="6"/>
      <c r="L1257" s="16"/>
      <c r="M1257" s="23"/>
      <c r="N1257" s="15"/>
      <c r="O1257" s="23"/>
      <c r="P1257" s="21"/>
      <c r="Q1257" s="6"/>
      <c r="R1257" s="6"/>
      <c r="S1257" s="20"/>
      <c r="T1257" s="6"/>
      <c r="U1257" s="21"/>
      <c r="W1257" s="20"/>
      <c r="X1257" s="21"/>
    </row>
    <row r="1258" spans="2:24" ht="16">
      <c r="B1258" s="26" t="str">
        <f t="shared" si="5"/>
        <v/>
      </c>
      <c r="C1258" s="6"/>
      <c r="D1258" s="6"/>
      <c r="E1258" s="6"/>
      <c r="F1258" s="15"/>
      <c r="G1258" s="6"/>
      <c r="H1258" s="6"/>
      <c r="I1258" s="6"/>
      <c r="J1258" s="16"/>
      <c r="K1258" s="6"/>
      <c r="L1258" s="16"/>
      <c r="M1258" s="23"/>
      <c r="N1258" s="15"/>
      <c r="O1258" s="23"/>
      <c r="P1258" s="21"/>
      <c r="Q1258" s="6"/>
      <c r="R1258" s="6"/>
      <c r="S1258" s="20"/>
      <c r="T1258" s="6"/>
      <c r="U1258" s="21"/>
      <c r="W1258" s="20"/>
      <c r="X1258" s="21"/>
    </row>
    <row r="1259" spans="2:24" ht="16">
      <c r="B1259" s="26" t="str">
        <f t="shared" si="5"/>
        <v/>
      </c>
      <c r="C1259" s="6"/>
      <c r="D1259" s="6"/>
      <c r="E1259" s="6"/>
      <c r="F1259" s="15"/>
      <c r="G1259" s="6"/>
      <c r="H1259" s="6"/>
      <c r="I1259" s="6"/>
      <c r="J1259" s="16"/>
      <c r="K1259" s="6"/>
      <c r="L1259" s="16"/>
      <c r="M1259" s="17"/>
      <c r="N1259" s="15"/>
      <c r="O1259" s="23"/>
      <c r="P1259" s="21"/>
      <c r="Q1259" s="6"/>
      <c r="R1259" s="6"/>
      <c r="S1259" s="20"/>
      <c r="T1259" s="6"/>
      <c r="U1259" s="21"/>
      <c r="W1259" s="20"/>
      <c r="X1259" s="21"/>
    </row>
    <row r="1260" spans="2:24" ht="16">
      <c r="B1260" s="26" t="str">
        <f t="shared" si="5"/>
        <v/>
      </c>
      <c r="C1260" s="6"/>
      <c r="D1260" s="6"/>
      <c r="E1260" s="6"/>
      <c r="F1260" s="15"/>
      <c r="G1260" s="6"/>
      <c r="H1260" s="6"/>
      <c r="I1260" s="6"/>
      <c r="J1260" s="16"/>
      <c r="K1260" s="6"/>
      <c r="L1260" s="16"/>
      <c r="M1260" s="17"/>
      <c r="N1260" s="15"/>
      <c r="O1260" s="23"/>
      <c r="P1260" s="21"/>
      <c r="Q1260" s="6"/>
      <c r="R1260" s="6"/>
      <c r="S1260" s="20"/>
      <c r="T1260" s="6"/>
      <c r="U1260" s="21"/>
      <c r="W1260" s="20"/>
      <c r="X1260" s="21"/>
    </row>
    <row r="1261" spans="2:24" ht="16">
      <c r="B1261" s="26" t="str">
        <f t="shared" si="5"/>
        <v/>
      </c>
      <c r="C1261" s="6"/>
      <c r="D1261" s="6"/>
      <c r="E1261" s="6"/>
      <c r="F1261" s="15"/>
      <c r="G1261" s="6"/>
      <c r="H1261" s="6"/>
      <c r="I1261" s="6"/>
      <c r="J1261" s="16"/>
      <c r="K1261" s="6"/>
      <c r="L1261" s="16"/>
      <c r="M1261" s="17"/>
      <c r="N1261" s="15"/>
      <c r="O1261" s="23"/>
      <c r="P1261" s="21"/>
      <c r="Q1261" s="6"/>
      <c r="R1261" s="6"/>
      <c r="S1261" s="20"/>
      <c r="T1261" s="6"/>
      <c r="U1261" s="21"/>
      <c r="W1261" s="20"/>
      <c r="X1261" s="21"/>
    </row>
    <row r="1262" spans="2:24" ht="16">
      <c r="B1262" s="26" t="str">
        <f t="shared" si="5"/>
        <v/>
      </c>
      <c r="C1262" s="6"/>
      <c r="D1262" s="6"/>
      <c r="E1262" s="6"/>
      <c r="F1262" s="15"/>
      <c r="G1262" s="6"/>
      <c r="H1262" s="6"/>
      <c r="I1262" s="6"/>
      <c r="J1262" s="16"/>
      <c r="K1262" s="6"/>
      <c r="L1262" s="16"/>
      <c r="M1262" s="23"/>
      <c r="N1262" s="15"/>
      <c r="O1262" s="23"/>
      <c r="P1262" s="21"/>
      <c r="Q1262" s="6"/>
      <c r="R1262" s="6"/>
      <c r="S1262" s="20"/>
      <c r="T1262" s="6"/>
      <c r="U1262" s="21"/>
      <c r="W1262" s="20"/>
      <c r="X1262" s="21"/>
    </row>
    <row r="1263" spans="2:24" ht="16">
      <c r="B1263" s="26" t="str">
        <f t="shared" si="5"/>
        <v/>
      </c>
      <c r="C1263" s="6"/>
      <c r="D1263" s="6"/>
      <c r="E1263" s="6"/>
      <c r="F1263" s="15"/>
      <c r="G1263" s="6"/>
      <c r="H1263" s="6"/>
      <c r="I1263" s="6"/>
      <c r="J1263" s="16"/>
      <c r="K1263" s="6"/>
      <c r="L1263" s="16"/>
      <c r="M1263" s="23"/>
      <c r="N1263" s="15"/>
      <c r="O1263" s="23"/>
      <c r="P1263" s="21"/>
      <c r="Q1263" s="6"/>
      <c r="R1263" s="6"/>
      <c r="S1263" s="20"/>
      <c r="T1263" s="6"/>
      <c r="U1263" s="21"/>
      <c r="W1263" s="20"/>
      <c r="X1263" s="21"/>
    </row>
    <row r="1264" spans="2:24" ht="16">
      <c r="B1264" s="26" t="str">
        <f t="shared" si="5"/>
        <v/>
      </c>
      <c r="C1264" s="6"/>
      <c r="D1264" s="6"/>
      <c r="E1264" s="6"/>
      <c r="F1264" s="15"/>
      <c r="G1264" s="6"/>
      <c r="H1264" s="6"/>
      <c r="I1264" s="6"/>
      <c r="J1264" s="16"/>
      <c r="K1264" s="6"/>
      <c r="L1264" s="16"/>
      <c r="M1264" s="23"/>
      <c r="N1264" s="15"/>
      <c r="O1264" s="23"/>
      <c r="P1264" s="21"/>
      <c r="Q1264" s="6"/>
      <c r="R1264" s="6"/>
      <c r="S1264" s="20"/>
      <c r="T1264" s="6"/>
      <c r="U1264" s="21"/>
      <c r="W1264" s="20"/>
      <c r="X1264" s="21"/>
    </row>
    <row r="1265" spans="2:24" ht="16">
      <c r="B1265" s="26" t="str">
        <f t="shared" si="5"/>
        <v/>
      </c>
      <c r="C1265" s="6"/>
      <c r="D1265" s="6"/>
      <c r="E1265" s="6"/>
      <c r="F1265" s="15"/>
      <c r="G1265" s="6"/>
      <c r="H1265" s="6"/>
      <c r="I1265" s="6"/>
      <c r="J1265" s="16"/>
      <c r="K1265" s="6"/>
      <c r="L1265" s="16"/>
      <c r="M1265" s="23"/>
      <c r="N1265" s="15"/>
      <c r="O1265" s="23"/>
      <c r="P1265" s="21"/>
      <c r="Q1265" s="6"/>
      <c r="R1265" s="6"/>
      <c r="S1265" s="20"/>
      <c r="T1265" s="6"/>
      <c r="U1265" s="21"/>
      <c r="W1265" s="20"/>
      <c r="X1265" s="21"/>
    </row>
    <row r="1266" spans="2:24" ht="16">
      <c r="B1266" s="26" t="str">
        <f t="shared" si="5"/>
        <v/>
      </c>
      <c r="C1266" s="6"/>
      <c r="D1266" s="6"/>
      <c r="E1266" s="6"/>
      <c r="F1266" s="15"/>
      <c r="G1266" s="6"/>
      <c r="H1266" s="6"/>
      <c r="I1266" s="6"/>
      <c r="J1266" s="16"/>
      <c r="K1266" s="6"/>
      <c r="L1266" s="16"/>
      <c r="M1266" s="23"/>
      <c r="N1266" s="15"/>
      <c r="O1266" s="23"/>
      <c r="P1266" s="21"/>
      <c r="Q1266" s="6"/>
      <c r="R1266" s="6"/>
      <c r="S1266" s="20"/>
      <c r="T1266" s="6"/>
      <c r="U1266" s="21"/>
      <c r="W1266" s="20"/>
      <c r="X1266" s="21"/>
    </row>
    <row r="1267" spans="2:24" ht="16">
      <c r="B1267" s="26" t="str">
        <f t="shared" si="5"/>
        <v/>
      </c>
      <c r="C1267" s="6"/>
      <c r="D1267" s="6"/>
      <c r="E1267" s="6"/>
      <c r="F1267" s="15"/>
      <c r="G1267" s="6"/>
      <c r="H1267" s="6"/>
      <c r="I1267" s="6"/>
      <c r="J1267" s="16"/>
      <c r="K1267" s="6"/>
      <c r="L1267" s="16"/>
      <c r="M1267" s="23"/>
      <c r="N1267" s="15"/>
      <c r="O1267" s="23"/>
      <c r="P1267" s="21"/>
      <c r="Q1267" s="6"/>
      <c r="R1267" s="6"/>
      <c r="S1267" s="20"/>
      <c r="T1267" s="6"/>
      <c r="U1267" s="21"/>
      <c r="W1267" s="20"/>
      <c r="X1267" s="21"/>
    </row>
    <row r="1268" spans="2:24" ht="16">
      <c r="B1268" s="26" t="str">
        <f t="shared" si="5"/>
        <v/>
      </c>
      <c r="C1268" s="6"/>
      <c r="D1268" s="6"/>
      <c r="E1268" s="6"/>
      <c r="F1268" s="15"/>
      <c r="G1268" s="6"/>
      <c r="H1268" s="6"/>
      <c r="I1268" s="6"/>
      <c r="J1268" s="16"/>
      <c r="K1268" s="6"/>
      <c r="L1268" s="16"/>
      <c r="M1268" s="23"/>
      <c r="N1268" s="15"/>
      <c r="O1268" s="23"/>
      <c r="P1268" s="21"/>
      <c r="Q1268" s="6"/>
      <c r="R1268" s="6"/>
      <c r="S1268" s="20"/>
      <c r="T1268" s="6"/>
      <c r="U1268" s="21"/>
      <c r="W1268" s="20"/>
      <c r="X1268" s="21"/>
    </row>
    <row r="1269" spans="2:24" ht="16">
      <c r="B1269" s="26" t="str">
        <f t="shared" si="5"/>
        <v/>
      </c>
      <c r="C1269" s="6"/>
      <c r="D1269" s="6"/>
      <c r="E1269" s="6"/>
      <c r="F1269" s="15"/>
      <c r="G1269" s="6"/>
      <c r="H1269" s="6"/>
      <c r="I1269" s="6"/>
      <c r="J1269" s="16"/>
      <c r="K1269" s="6"/>
      <c r="L1269" s="16"/>
      <c r="M1269" s="23"/>
      <c r="N1269" s="15"/>
      <c r="O1269" s="23"/>
      <c r="P1269" s="21"/>
      <c r="Q1269" s="6"/>
      <c r="R1269" s="6"/>
      <c r="S1269" s="20"/>
      <c r="T1269" s="6"/>
      <c r="U1269" s="21"/>
      <c r="W1269" s="20"/>
      <c r="X1269" s="21"/>
    </row>
    <row r="1270" spans="2:24" ht="16">
      <c r="B1270" s="26" t="str">
        <f t="shared" si="5"/>
        <v/>
      </c>
      <c r="C1270" s="6"/>
      <c r="D1270" s="6"/>
      <c r="E1270" s="6"/>
      <c r="F1270" s="15"/>
      <c r="G1270" s="6"/>
      <c r="H1270" s="6"/>
      <c r="I1270" s="6"/>
      <c r="J1270" s="16"/>
      <c r="K1270" s="6"/>
      <c r="L1270" s="16"/>
      <c r="M1270" s="23"/>
      <c r="N1270" s="15"/>
      <c r="O1270" s="23"/>
      <c r="P1270" s="21"/>
      <c r="Q1270" s="6"/>
      <c r="R1270" s="6"/>
      <c r="S1270" s="20"/>
      <c r="T1270" s="6"/>
      <c r="U1270" s="21"/>
      <c r="W1270" s="20"/>
      <c r="X1270" s="21"/>
    </row>
    <row r="1271" spans="2:24" ht="16">
      <c r="B1271" s="26" t="str">
        <f t="shared" si="5"/>
        <v/>
      </c>
      <c r="C1271" s="6"/>
      <c r="D1271" s="6"/>
      <c r="E1271" s="6"/>
      <c r="F1271" s="15"/>
      <c r="G1271" s="6"/>
      <c r="H1271" s="6"/>
      <c r="I1271" s="6"/>
      <c r="J1271" s="16"/>
      <c r="K1271" s="6"/>
      <c r="L1271" s="16"/>
      <c r="M1271" s="23"/>
      <c r="N1271" s="15"/>
      <c r="O1271" s="23"/>
      <c r="P1271" s="21"/>
      <c r="Q1271" s="6"/>
      <c r="R1271" s="6"/>
      <c r="S1271" s="20"/>
      <c r="T1271" s="6"/>
      <c r="U1271" s="21"/>
      <c r="W1271" s="20"/>
      <c r="X1271" s="21"/>
    </row>
    <row r="1272" spans="2:24" ht="16">
      <c r="B1272" s="26" t="str">
        <f t="shared" si="5"/>
        <v/>
      </c>
      <c r="C1272" s="6"/>
      <c r="D1272" s="6"/>
      <c r="E1272" s="6"/>
      <c r="F1272" s="15"/>
      <c r="G1272" s="6"/>
      <c r="H1272" s="6"/>
      <c r="I1272" s="6"/>
      <c r="J1272" s="16"/>
      <c r="K1272" s="6"/>
      <c r="L1272" s="16"/>
      <c r="M1272" s="23"/>
      <c r="N1272" s="15"/>
      <c r="O1272" s="23"/>
      <c r="P1272" s="21"/>
      <c r="Q1272" s="6"/>
      <c r="R1272" s="6"/>
      <c r="S1272" s="20"/>
      <c r="T1272" s="6"/>
      <c r="U1272" s="21"/>
      <c r="W1272" s="20"/>
      <c r="X1272" s="21"/>
    </row>
    <row r="1273" spans="2:24" ht="16">
      <c r="B1273" s="26" t="str">
        <f t="shared" si="5"/>
        <v/>
      </c>
      <c r="C1273" s="6"/>
      <c r="D1273" s="6"/>
      <c r="E1273" s="6"/>
      <c r="F1273" s="15"/>
      <c r="G1273" s="6"/>
      <c r="H1273" s="6"/>
      <c r="I1273" s="6"/>
      <c r="J1273" s="16"/>
      <c r="K1273" s="6"/>
      <c r="L1273" s="16"/>
      <c r="M1273" s="23"/>
      <c r="N1273" s="15"/>
      <c r="O1273" s="23"/>
      <c r="P1273" s="21"/>
      <c r="Q1273" s="6"/>
      <c r="R1273" s="6"/>
      <c r="S1273" s="20"/>
      <c r="T1273" s="6"/>
      <c r="U1273" s="21"/>
      <c r="W1273" s="20"/>
      <c r="X1273" s="21"/>
    </row>
    <row r="1274" spans="2:24" ht="16">
      <c r="B1274" s="26" t="str">
        <f t="shared" si="5"/>
        <v/>
      </c>
      <c r="C1274" s="6"/>
      <c r="D1274" s="6"/>
      <c r="E1274" s="6"/>
      <c r="F1274" s="15"/>
      <c r="G1274" s="6"/>
      <c r="H1274" s="6"/>
      <c r="I1274" s="6"/>
      <c r="J1274" s="16"/>
      <c r="K1274" s="6"/>
      <c r="L1274" s="16"/>
      <c r="M1274" s="23"/>
      <c r="N1274" s="15"/>
      <c r="O1274" s="23"/>
      <c r="P1274" s="21"/>
      <c r="Q1274" s="6"/>
      <c r="R1274" s="6"/>
      <c r="S1274" s="20"/>
      <c r="T1274" s="6"/>
      <c r="U1274" s="21"/>
      <c r="W1274" s="20"/>
      <c r="X1274" s="21"/>
    </row>
    <row r="1275" spans="2:24" ht="16">
      <c r="B1275" s="26" t="str">
        <f t="shared" si="5"/>
        <v/>
      </c>
      <c r="C1275" s="6"/>
      <c r="D1275" s="6"/>
      <c r="E1275" s="6"/>
      <c r="F1275" s="15"/>
      <c r="G1275" s="6"/>
      <c r="H1275" s="6"/>
      <c r="I1275" s="6"/>
      <c r="J1275" s="16"/>
      <c r="K1275" s="6"/>
      <c r="L1275" s="16"/>
      <c r="M1275" s="23"/>
      <c r="N1275" s="15"/>
      <c r="O1275" s="23"/>
      <c r="P1275" s="21"/>
      <c r="Q1275" s="6"/>
      <c r="R1275" s="6"/>
      <c r="S1275" s="20"/>
      <c r="T1275" s="6"/>
      <c r="U1275" s="21"/>
      <c r="W1275" s="20"/>
      <c r="X1275" s="21"/>
    </row>
    <row r="1276" spans="2:24" ht="16">
      <c r="B1276" s="26" t="str">
        <f t="shared" si="5"/>
        <v/>
      </c>
      <c r="C1276" s="23"/>
      <c r="D1276" s="6"/>
      <c r="E1276" s="6"/>
      <c r="F1276" s="15"/>
      <c r="G1276" s="6"/>
      <c r="H1276" s="6"/>
      <c r="I1276" s="6"/>
      <c r="J1276" s="16"/>
      <c r="K1276" s="6"/>
      <c r="L1276" s="16"/>
      <c r="M1276" s="23"/>
      <c r="N1276" s="15"/>
      <c r="O1276" s="23"/>
      <c r="P1276" s="21"/>
      <c r="Q1276" s="6"/>
      <c r="R1276" s="6"/>
      <c r="S1276" s="20"/>
      <c r="T1276" s="6"/>
      <c r="W1276" s="20"/>
    </row>
    <row r="1277" spans="2:24" ht="16">
      <c r="B1277" s="26" t="str">
        <f t="shared" si="5"/>
        <v/>
      </c>
      <c r="C1277" s="6"/>
      <c r="D1277" s="6"/>
      <c r="E1277" s="6"/>
      <c r="F1277" s="15"/>
      <c r="G1277" s="6"/>
      <c r="H1277" s="6"/>
      <c r="I1277" s="6"/>
      <c r="J1277" s="16"/>
      <c r="K1277" s="6"/>
      <c r="L1277" s="16"/>
      <c r="M1277" s="23"/>
      <c r="N1277" s="15"/>
      <c r="O1277" s="23"/>
      <c r="P1277" s="21"/>
      <c r="Q1277" s="6"/>
      <c r="R1277" s="6"/>
      <c r="S1277" s="20"/>
      <c r="T1277" s="6"/>
      <c r="U1277" s="21"/>
      <c r="W1277" s="20"/>
      <c r="X1277" s="21"/>
    </row>
    <row r="1278" spans="2:24" ht="16">
      <c r="B1278" s="26" t="str">
        <f t="shared" si="5"/>
        <v/>
      </c>
      <c r="C1278" s="6"/>
      <c r="D1278" s="6"/>
      <c r="E1278" s="6"/>
      <c r="F1278" s="15"/>
      <c r="G1278" s="6"/>
      <c r="H1278" s="6"/>
      <c r="I1278" s="6"/>
      <c r="J1278" s="16"/>
      <c r="K1278" s="6"/>
      <c r="L1278" s="16"/>
      <c r="M1278" s="23"/>
      <c r="N1278" s="15"/>
      <c r="O1278" s="23"/>
      <c r="P1278" s="21"/>
      <c r="Q1278" s="6"/>
      <c r="R1278" s="6"/>
      <c r="S1278" s="20"/>
      <c r="T1278" s="6"/>
      <c r="U1278" s="21"/>
      <c r="W1278" s="20"/>
      <c r="X1278" s="21"/>
    </row>
    <row r="1279" spans="2:24" ht="16">
      <c r="B1279" s="26" t="str">
        <f t="shared" si="5"/>
        <v/>
      </c>
      <c r="C1279" s="6"/>
      <c r="D1279" s="6"/>
      <c r="E1279" s="6"/>
      <c r="F1279" s="15"/>
      <c r="G1279" s="6"/>
      <c r="H1279" s="6"/>
      <c r="I1279" s="6"/>
      <c r="J1279" s="16"/>
      <c r="K1279" s="6"/>
      <c r="L1279" s="16"/>
      <c r="M1279" s="23"/>
      <c r="N1279" s="15"/>
      <c r="O1279" s="23"/>
      <c r="P1279" s="21"/>
      <c r="Q1279" s="6"/>
      <c r="R1279" s="6"/>
      <c r="S1279" s="20"/>
      <c r="T1279" s="6"/>
      <c r="U1279" s="21"/>
      <c r="W1279" s="20"/>
      <c r="X1279" s="21"/>
    </row>
    <row r="1280" spans="2:24" ht="16">
      <c r="B1280" s="26" t="str">
        <f t="shared" si="5"/>
        <v/>
      </c>
      <c r="C1280" s="6"/>
      <c r="D1280" s="6"/>
      <c r="E1280" s="6"/>
      <c r="F1280" s="15"/>
      <c r="G1280" s="6"/>
      <c r="H1280" s="6"/>
      <c r="I1280" s="6"/>
      <c r="J1280" s="16"/>
      <c r="K1280" s="6"/>
      <c r="L1280" s="16"/>
      <c r="M1280" s="23"/>
      <c r="N1280" s="15"/>
      <c r="O1280" s="23"/>
      <c r="P1280" s="21"/>
      <c r="Q1280" s="6"/>
      <c r="R1280" s="6"/>
      <c r="S1280" s="20"/>
      <c r="T1280" s="6"/>
      <c r="U1280" s="21"/>
      <c r="W1280" s="20"/>
      <c r="X1280" s="21"/>
    </row>
    <row r="1281" spans="2:24" ht="16">
      <c r="B1281" s="26" t="str">
        <f t="shared" si="5"/>
        <v/>
      </c>
      <c r="C1281" s="6"/>
      <c r="D1281" s="6"/>
      <c r="E1281" s="6"/>
      <c r="F1281" s="15"/>
      <c r="G1281" s="6"/>
      <c r="H1281" s="6"/>
      <c r="I1281" s="6"/>
      <c r="J1281" s="16"/>
      <c r="K1281" s="6"/>
      <c r="L1281" s="16"/>
      <c r="M1281" s="23"/>
      <c r="N1281" s="15"/>
      <c r="O1281" s="23"/>
      <c r="P1281" s="21"/>
      <c r="Q1281" s="6"/>
      <c r="R1281" s="6"/>
      <c r="S1281" s="20"/>
      <c r="T1281" s="6"/>
      <c r="U1281" s="21"/>
      <c r="W1281" s="20"/>
      <c r="X1281" s="21"/>
    </row>
    <row r="1282" spans="2:24" ht="16">
      <c r="B1282" s="26" t="str">
        <f t="shared" si="5"/>
        <v/>
      </c>
      <c r="C1282" s="6"/>
      <c r="D1282" s="6"/>
      <c r="E1282" s="6"/>
      <c r="F1282" s="15"/>
      <c r="G1282" s="6"/>
      <c r="H1282" s="6"/>
      <c r="I1282" s="6"/>
      <c r="J1282" s="16"/>
      <c r="K1282" s="6"/>
      <c r="L1282" s="16"/>
      <c r="M1282" s="23"/>
      <c r="N1282" s="15"/>
      <c r="O1282" s="23"/>
      <c r="P1282" s="21"/>
      <c r="Q1282" s="6"/>
      <c r="R1282" s="6"/>
      <c r="S1282" s="20"/>
      <c r="T1282" s="6"/>
      <c r="U1282" s="21"/>
      <c r="W1282" s="20"/>
      <c r="X1282" s="21"/>
    </row>
    <row r="1283" spans="2:24" ht="16">
      <c r="B1283" s="26" t="str">
        <f t="shared" si="5"/>
        <v/>
      </c>
      <c r="C1283" s="6"/>
      <c r="D1283" s="6"/>
      <c r="E1283" s="6"/>
      <c r="F1283" s="15"/>
      <c r="G1283" s="6"/>
      <c r="H1283" s="6"/>
      <c r="I1283" s="6"/>
      <c r="J1283" s="16"/>
      <c r="K1283" s="6"/>
      <c r="L1283" s="16"/>
      <c r="M1283" s="23"/>
      <c r="N1283" s="15"/>
      <c r="O1283" s="23"/>
      <c r="P1283" s="21"/>
      <c r="Q1283" s="6"/>
      <c r="R1283" s="6"/>
      <c r="S1283" s="20"/>
      <c r="T1283" s="6"/>
      <c r="U1283" s="21"/>
      <c r="W1283" s="20"/>
      <c r="X1283" s="21"/>
    </row>
    <row r="1284" spans="2:24" ht="16">
      <c r="B1284" s="26" t="str">
        <f t="shared" si="5"/>
        <v/>
      </c>
      <c r="C1284" s="6"/>
      <c r="D1284" s="6"/>
      <c r="E1284" s="6"/>
      <c r="F1284" s="15"/>
      <c r="G1284" s="6"/>
      <c r="H1284" s="6"/>
      <c r="I1284" s="6"/>
      <c r="J1284" s="16"/>
      <c r="K1284" s="6"/>
      <c r="L1284" s="16"/>
      <c r="M1284" s="23"/>
      <c r="N1284" s="15"/>
      <c r="O1284" s="23"/>
      <c r="P1284" s="21"/>
      <c r="Q1284" s="6"/>
      <c r="R1284" s="6"/>
      <c r="S1284" s="20"/>
      <c r="T1284" s="6"/>
      <c r="U1284" s="21"/>
      <c r="W1284" s="20"/>
      <c r="X1284" s="21"/>
    </row>
    <row r="1285" spans="2:24" ht="16">
      <c r="B1285" s="26" t="str">
        <f t="shared" si="5"/>
        <v/>
      </c>
      <c r="C1285" s="6"/>
      <c r="D1285" s="6"/>
      <c r="E1285" s="6"/>
      <c r="F1285" s="15"/>
      <c r="G1285" s="6"/>
      <c r="H1285" s="6"/>
      <c r="I1285" s="6"/>
      <c r="J1285" s="16"/>
      <c r="K1285" s="6"/>
      <c r="L1285" s="16"/>
      <c r="M1285" s="23"/>
      <c r="N1285" s="15"/>
      <c r="O1285" s="23"/>
      <c r="P1285" s="21"/>
      <c r="Q1285" s="6"/>
      <c r="R1285" s="6"/>
      <c r="S1285" s="20"/>
      <c r="T1285" s="6"/>
      <c r="U1285" s="21"/>
      <c r="W1285" s="20"/>
      <c r="X1285" s="21"/>
    </row>
    <row r="1286" spans="2:24" ht="16">
      <c r="B1286" s="26" t="str">
        <f t="shared" si="5"/>
        <v/>
      </c>
      <c r="C1286" s="6"/>
      <c r="D1286" s="6"/>
      <c r="E1286" s="6"/>
      <c r="F1286" s="15"/>
      <c r="G1286" s="6"/>
      <c r="H1286" s="6"/>
      <c r="I1286" s="6"/>
      <c r="J1286" s="16"/>
      <c r="K1286" s="6"/>
      <c r="L1286" s="16"/>
      <c r="M1286" s="23"/>
      <c r="N1286" s="15"/>
      <c r="O1286" s="23"/>
      <c r="P1286" s="21"/>
      <c r="Q1286" s="6"/>
      <c r="R1286" s="6"/>
      <c r="S1286" s="20"/>
      <c r="T1286" s="6"/>
      <c r="U1286" s="21"/>
      <c r="W1286" s="20"/>
      <c r="X1286" s="21"/>
    </row>
    <row r="1287" spans="2:24" ht="16">
      <c r="B1287" s="26" t="str">
        <f t="shared" si="5"/>
        <v/>
      </c>
      <c r="C1287" s="6"/>
      <c r="D1287" s="6"/>
      <c r="E1287" s="6"/>
      <c r="F1287" s="15"/>
      <c r="G1287" s="6"/>
      <c r="H1287" s="6"/>
      <c r="I1287" s="6"/>
      <c r="J1287" s="16"/>
      <c r="K1287" s="6"/>
      <c r="L1287" s="16"/>
      <c r="M1287" s="23"/>
      <c r="N1287" s="15"/>
      <c r="O1287" s="23"/>
      <c r="P1287" s="21"/>
      <c r="Q1287" s="6"/>
      <c r="R1287" s="6"/>
      <c r="S1287" s="20"/>
      <c r="T1287" s="6"/>
      <c r="U1287" s="21"/>
      <c r="W1287" s="20"/>
      <c r="X1287" s="21"/>
    </row>
    <row r="1288" spans="2:24" ht="16">
      <c r="B1288" s="26" t="str">
        <f t="shared" si="5"/>
        <v/>
      </c>
      <c r="C1288" s="6"/>
      <c r="D1288" s="6"/>
      <c r="E1288" s="6"/>
      <c r="F1288" s="15"/>
      <c r="G1288" s="6"/>
      <c r="H1288" s="6"/>
      <c r="I1288" s="6"/>
      <c r="J1288" s="16"/>
      <c r="K1288" s="6"/>
      <c r="L1288" s="16"/>
      <c r="M1288" s="23"/>
      <c r="N1288" s="15"/>
      <c r="O1288" s="23"/>
      <c r="P1288" s="21"/>
      <c r="Q1288" s="6"/>
      <c r="R1288" s="6"/>
      <c r="S1288" s="20"/>
      <c r="T1288" s="6"/>
      <c r="U1288" s="21"/>
      <c r="W1288" s="20"/>
      <c r="X1288" s="21"/>
    </row>
    <row r="1289" spans="2:24" ht="16">
      <c r="B1289" s="26" t="str">
        <f t="shared" si="5"/>
        <v/>
      </c>
      <c r="C1289" s="6"/>
      <c r="D1289" s="6"/>
      <c r="E1289" s="6"/>
      <c r="F1289" s="15"/>
      <c r="G1289" s="6"/>
      <c r="H1289" s="6"/>
      <c r="I1289" s="6"/>
      <c r="J1289" s="16"/>
      <c r="K1289" s="6"/>
      <c r="L1289" s="16"/>
      <c r="M1289" s="23"/>
      <c r="N1289" s="15"/>
      <c r="O1289" s="23"/>
      <c r="P1289" s="21"/>
      <c r="Q1289" s="6"/>
      <c r="R1289" s="6"/>
      <c r="S1289" s="20"/>
      <c r="T1289" s="6"/>
      <c r="U1289" s="21"/>
      <c r="W1289" s="20"/>
      <c r="X1289" s="21"/>
    </row>
    <row r="1290" spans="2:24" ht="16">
      <c r="B1290" s="26" t="str">
        <f t="shared" si="5"/>
        <v/>
      </c>
      <c r="C1290" s="6"/>
      <c r="D1290" s="6"/>
      <c r="E1290" s="6"/>
      <c r="F1290" s="15"/>
      <c r="G1290" s="6"/>
      <c r="H1290" s="6"/>
      <c r="I1290" s="6"/>
      <c r="J1290" s="16"/>
      <c r="K1290" s="6"/>
      <c r="L1290" s="16"/>
      <c r="M1290" s="23"/>
      <c r="N1290" s="15"/>
      <c r="O1290" s="23"/>
      <c r="P1290" s="21"/>
      <c r="Q1290" s="6"/>
      <c r="R1290" s="6"/>
      <c r="S1290" s="20"/>
      <c r="T1290" s="6"/>
      <c r="U1290" s="21"/>
      <c r="W1290" s="20"/>
      <c r="X1290" s="21"/>
    </row>
    <row r="1291" spans="2:24" ht="16">
      <c r="B1291" s="26" t="str">
        <f t="shared" si="5"/>
        <v/>
      </c>
      <c r="C1291" s="6"/>
      <c r="D1291" s="6"/>
      <c r="E1291" s="6"/>
      <c r="F1291" s="15"/>
      <c r="G1291" s="6"/>
      <c r="H1291" s="6"/>
      <c r="I1291" s="6"/>
      <c r="J1291" s="16"/>
      <c r="K1291" s="6"/>
      <c r="L1291" s="16"/>
      <c r="M1291" s="23"/>
      <c r="N1291" s="15"/>
      <c r="O1291" s="23"/>
      <c r="P1291" s="21"/>
      <c r="Q1291" s="6"/>
      <c r="R1291" s="6"/>
      <c r="S1291" s="20"/>
      <c r="T1291" s="6"/>
      <c r="U1291" s="21"/>
      <c r="W1291" s="20"/>
      <c r="X1291" s="21"/>
    </row>
    <row r="1292" spans="2:24" ht="16">
      <c r="B1292" s="26" t="str">
        <f t="shared" si="5"/>
        <v/>
      </c>
      <c r="C1292" s="6"/>
      <c r="D1292" s="6"/>
      <c r="E1292" s="6"/>
      <c r="F1292" s="15"/>
      <c r="G1292" s="6"/>
      <c r="H1292" s="6"/>
      <c r="I1292" s="6"/>
      <c r="J1292" s="16"/>
      <c r="K1292" s="6"/>
      <c r="L1292" s="16"/>
      <c r="M1292" s="17"/>
      <c r="N1292" s="15"/>
      <c r="O1292" s="23"/>
      <c r="P1292" s="21"/>
      <c r="Q1292" s="6"/>
      <c r="R1292" s="6"/>
      <c r="S1292" s="20"/>
      <c r="T1292" s="6"/>
      <c r="U1292" s="21"/>
      <c r="W1292" s="20"/>
      <c r="X1292" s="21"/>
    </row>
    <row r="1293" spans="2:24" ht="16">
      <c r="B1293" s="26" t="str">
        <f t="shared" si="5"/>
        <v/>
      </c>
      <c r="C1293" s="6"/>
      <c r="D1293" s="6"/>
      <c r="E1293" s="6"/>
      <c r="F1293" s="15"/>
      <c r="G1293" s="6"/>
      <c r="H1293" s="6"/>
      <c r="I1293" s="6"/>
      <c r="J1293" s="16"/>
      <c r="K1293" s="6"/>
      <c r="L1293" s="16"/>
      <c r="M1293" s="23"/>
      <c r="N1293" s="15"/>
      <c r="O1293" s="23"/>
      <c r="P1293" s="21"/>
      <c r="Q1293" s="6"/>
      <c r="R1293" s="6"/>
      <c r="S1293" s="20"/>
      <c r="T1293" s="6"/>
      <c r="U1293" s="21"/>
      <c r="W1293" s="20"/>
      <c r="X1293" s="21"/>
    </row>
    <row r="1294" spans="2:24" ht="16">
      <c r="B1294" s="26" t="str">
        <f t="shared" si="5"/>
        <v/>
      </c>
      <c r="C1294" s="6"/>
      <c r="D1294" s="6"/>
      <c r="E1294" s="6"/>
      <c r="F1294" s="15"/>
      <c r="G1294" s="6"/>
      <c r="H1294" s="6"/>
      <c r="I1294" s="6"/>
      <c r="J1294" s="16"/>
      <c r="K1294" s="6"/>
      <c r="L1294" s="16"/>
      <c r="M1294" s="23"/>
      <c r="N1294" s="15"/>
      <c r="O1294" s="23"/>
      <c r="P1294" s="21"/>
      <c r="Q1294" s="6"/>
      <c r="R1294" s="6"/>
      <c r="S1294" s="20"/>
      <c r="T1294" s="6"/>
      <c r="U1294" s="21"/>
      <c r="W1294" s="20"/>
      <c r="X1294" s="21"/>
    </row>
    <row r="1295" spans="2:24" ht="16">
      <c r="B1295" s="26" t="str">
        <f t="shared" si="5"/>
        <v/>
      </c>
      <c r="C1295" s="6"/>
      <c r="D1295" s="6"/>
      <c r="E1295" s="6"/>
      <c r="F1295" s="15"/>
      <c r="G1295" s="6"/>
      <c r="H1295" s="6"/>
      <c r="I1295" s="6"/>
      <c r="J1295" s="16"/>
      <c r="K1295" s="6"/>
      <c r="L1295" s="16"/>
      <c r="M1295" s="23"/>
      <c r="N1295" s="15"/>
      <c r="O1295" s="23"/>
      <c r="P1295" s="21"/>
      <c r="Q1295" s="6"/>
      <c r="R1295" s="6"/>
      <c r="S1295" s="20"/>
      <c r="T1295" s="6"/>
      <c r="U1295" s="21"/>
      <c r="W1295" s="20"/>
      <c r="X1295" s="21"/>
    </row>
    <row r="1296" spans="2:24" ht="16">
      <c r="B1296" s="26" t="str">
        <f t="shared" si="5"/>
        <v/>
      </c>
      <c r="C1296" s="6"/>
      <c r="D1296" s="6"/>
      <c r="E1296" s="6"/>
      <c r="F1296" s="15"/>
      <c r="G1296" s="6"/>
      <c r="H1296" s="6"/>
      <c r="I1296" s="6"/>
      <c r="J1296" s="16"/>
      <c r="K1296" s="6"/>
      <c r="L1296" s="16"/>
      <c r="M1296" s="23"/>
      <c r="N1296" s="15"/>
      <c r="O1296" s="23"/>
      <c r="P1296" s="21"/>
      <c r="Q1296" s="6"/>
      <c r="R1296" s="6"/>
      <c r="S1296" s="20"/>
      <c r="T1296" s="6"/>
      <c r="U1296" s="21"/>
      <c r="W1296" s="20"/>
      <c r="X1296" s="21"/>
    </row>
    <row r="1297" spans="2:24" ht="16">
      <c r="B1297" s="26" t="str">
        <f t="shared" si="5"/>
        <v/>
      </c>
      <c r="C1297" s="6"/>
      <c r="D1297" s="6"/>
      <c r="E1297" s="6"/>
      <c r="F1297" s="15"/>
      <c r="G1297" s="6"/>
      <c r="H1297" s="6"/>
      <c r="I1297" s="6"/>
      <c r="J1297" s="16"/>
      <c r="K1297" s="6"/>
      <c r="L1297" s="16"/>
      <c r="M1297" s="23"/>
      <c r="N1297" s="15"/>
      <c r="O1297" s="23"/>
      <c r="P1297" s="21"/>
      <c r="Q1297" s="6"/>
      <c r="R1297" s="6"/>
      <c r="S1297" s="20"/>
      <c r="T1297" s="6"/>
      <c r="U1297" s="21"/>
      <c r="W1297" s="20"/>
      <c r="X1297" s="21"/>
    </row>
    <row r="1298" spans="2:24" ht="16">
      <c r="B1298" s="26" t="str">
        <f t="shared" si="5"/>
        <v/>
      </c>
      <c r="C1298" s="6"/>
      <c r="D1298" s="6"/>
      <c r="E1298" s="6"/>
      <c r="F1298" s="15"/>
      <c r="G1298" s="6"/>
      <c r="H1298" s="6"/>
      <c r="I1298" s="6"/>
      <c r="J1298" s="16"/>
      <c r="K1298" s="6"/>
      <c r="L1298" s="16"/>
      <c r="M1298" s="23"/>
      <c r="N1298" s="15"/>
      <c r="O1298" s="23"/>
      <c r="P1298" s="21"/>
      <c r="Q1298" s="6"/>
      <c r="R1298" s="6"/>
      <c r="S1298" s="20"/>
      <c r="T1298" s="6"/>
      <c r="U1298" s="21"/>
      <c r="W1298" s="20"/>
      <c r="X1298" s="21"/>
    </row>
    <row r="1299" spans="2:24" ht="16">
      <c r="B1299" s="26" t="str">
        <f t="shared" si="5"/>
        <v/>
      </c>
      <c r="C1299" s="6"/>
      <c r="D1299" s="6"/>
      <c r="E1299" s="6"/>
      <c r="F1299" s="15"/>
      <c r="G1299" s="6"/>
      <c r="H1299" s="6"/>
      <c r="I1299" s="6"/>
      <c r="J1299" s="16"/>
      <c r="K1299" s="6"/>
      <c r="L1299" s="16"/>
      <c r="M1299" s="17"/>
      <c r="N1299" s="15"/>
      <c r="O1299" s="23"/>
      <c r="P1299" s="21"/>
      <c r="Q1299" s="6"/>
      <c r="R1299" s="6"/>
      <c r="S1299" s="20"/>
      <c r="T1299" s="6"/>
      <c r="U1299" s="21"/>
      <c r="W1299" s="20"/>
      <c r="X1299" s="21"/>
    </row>
    <row r="1300" spans="2:24" ht="16">
      <c r="B1300" s="26" t="str">
        <f t="shared" si="5"/>
        <v/>
      </c>
      <c r="C1300" s="6"/>
      <c r="D1300" s="6"/>
      <c r="E1300" s="6"/>
      <c r="F1300" s="15"/>
      <c r="G1300" s="6"/>
      <c r="H1300" s="6"/>
      <c r="I1300" s="6"/>
      <c r="J1300" s="16"/>
      <c r="K1300" s="6"/>
      <c r="L1300" s="16"/>
      <c r="M1300" s="23"/>
      <c r="N1300" s="15"/>
      <c r="O1300" s="23"/>
      <c r="P1300" s="21"/>
      <c r="Q1300" s="6"/>
      <c r="R1300" s="6"/>
      <c r="S1300" s="20"/>
      <c r="T1300" s="6"/>
      <c r="U1300" s="21"/>
      <c r="W1300" s="20"/>
      <c r="X1300" s="21"/>
    </row>
    <row r="1301" spans="2:24" ht="16">
      <c r="B1301" s="26" t="str">
        <f t="shared" si="5"/>
        <v/>
      </c>
      <c r="C1301" s="6"/>
      <c r="D1301" s="6"/>
      <c r="E1301" s="6"/>
      <c r="F1301" s="15"/>
      <c r="G1301" s="6"/>
      <c r="H1301" s="6"/>
      <c r="I1301" s="6"/>
      <c r="J1301" s="16"/>
      <c r="K1301" s="6"/>
      <c r="L1301" s="16"/>
      <c r="M1301" s="23"/>
      <c r="N1301" s="15"/>
      <c r="O1301" s="23"/>
      <c r="P1301" s="21"/>
      <c r="Q1301" s="6"/>
      <c r="R1301" s="6"/>
      <c r="S1301" s="20"/>
      <c r="T1301" s="6"/>
      <c r="U1301" s="21"/>
      <c r="W1301" s="20"/>
      <c r="X1301" s="21"/>
    </row>
    <row r="1302" spans="2:24" ht="16">
      <c r="B1302" s="26" t="str">
        <f t="shared" ref="B1302:B1556" si="6">IF($H1302="","",LEFT(C1302,3))</f>
        <v/>
      </c>
      <c r="C1302" s="6"/>
      <c r="D1302" s="6"/>
      <c r="E1302" s="6"/>
      <c r="F1302" s="15"/>
      <c r="G1302" s="6"/>
      <c r="H1302" s="6"/>
      <c r="I1302" s="6"/>
      <c r="J1302" s="16"/>
      <c r="K1302" s="6"/>
      <c r="L1302" s="16"/>
      <c r="M1302" s="23"/>
      <c r="N1302" s="15"/>
      <c r="O1302" s="23"/>
      <c r="P1302" s="21"/>
      <c r="Q1302" s="6"/>
      <c r="R1302" s="6"/>
      <c r="S1302" s="20"/>
      <c r="T1302" s="6"/>
      <c r="U1302" s="21"/>
      <c r="W1302" s="20"/>
      <c r="X1302" s="21"/>
    </row>
    <row r="1303" spans="2:24" ht="16">
      <c r="B1303" s="26" t="str">
        <f t="shared" si="6"/>
        <v/>
      </c>
      <c r="C1303" s="6"/>
      <c r="D1303" s="6"/>
      <c r="E1303" s="6"/>
      <c r="F1303" s="15"/>
      <c r="G1303" s="6"/>
      <c r="H1303" s="6"/>
      <c r="I1303" s="6"/>
      <c r="J1303" s="16"/>
      <c r="K1303" s="6"/>
      <c r="L1303" s="16"/>
      <c r="M1303" s="23"/>
      <c r="N1303" s="15"/>
      <c r="O1303" s="23"/>
      <c r="P1303" s="21"/>
      <c r="Q1303" s="6"/>
      <c r="R1303" s="6"/>
      <c r="S1303" s="20"/>
      <c r="T1303" s="6"/>
      <c r="U1303" s="21"/>
      <c r="W1303" s="20"/>
      <c r="X1303" s="21"/>
    </row>
    <row r="1304" spans="2:24" ht="16">
      <c r="B1304" s="26" t="str">
        <f t="shared" si="6"/>
        <v/>
      </c>
      <c r="C1304" s="6"/>
      <c r="D1304" s="6"/>
      <c r="E1304" s="6"/>
      <c r="F1304" s="15"/>
      <c r="G1304" s="6"/>
      <c r="H1304" s="6"/>
      <c r="I1304" s="6"/>
      <c r="J1304" s="16"/>
      <c r="K1304" s="6"/>
      <c r="L1304" s="16"/>
      <c r="M1304" s="23"/>
      <c r="N1304" s="15"/>
      <c r="O1304" s="23"/>
      <c r="P1304" s="21"/>
      <c r="Q1304" s="6"/>
      <c r="R1304" s="6"/>
      <c r="S1304" s="20"/>
      <c r="T1304" s="6"/>
      <c r="U1304" s="21"/>
      <c r="W1304" s="20"/>
      <c r="X1304" s="21"/>
    </row>
    <row r="1305" spans="2:24" ht="16">
      <c r="B1305" s="26" t="str">
        <f t="shared" si="6"/>
        <v/>
      </c>
      <c r="C1305" s="6"/>
      <c r="D1305" s="6"/>
      <c r="E1305" s="6"/>
      <c r="F1305" s="15"/>
      <c r="G1305" s="6"/>
      <c r="H1305" s="6"/>
      <c r="I1305" s="6"/>
      <c r="J1305" s="16"/>
      <c r="K1305" s="6"/>
      <c r="L1305" s="16"/>
      <c r="M1305" s="17"/>
      <c r="N1305" s="15"/>
      <c r="O1305" s="23"/>
      <c r="P1305" s="21"/>
      <c r="Q1305" s="6"/>
      <c r="R1305" s="6"/>
      <c r="S1305" s="20"/>
      <c r="T1305" s="6"/>
      <c r="U1305" s="21"/>
      <c r="W1305" s="20"/>
      <c r="X1305" s="21"/>
    </row>
    <row r="1306" spans="2:24" ht="16">
      <c r="B1306" s="26" t="str">
        <f t="shared" si="6"/>
        <v/>
      </c>
      <c r="C1306" s="6"/>
      <c r="D1306" s="6"/>
      <c r="E1306" s="6"/>
      <c r="F1306" s="15"/>
      <c r="G1306" s="6"/>
      <c r="H1306" s="6"/>
      <c r="I1306" s="6"/>
      <c r="J1306" s="16"/>
      <c r="K1306" s="6"/>
      <c r="L1306" s="16"/>
      <c r="M1306" s="23"/>
      <c r="N1306" s="15"/>
      <c r="O1306" s="23"/>
      <c r="P1306" s="21"/>
      <c r="Q1306" s="6"/>
      <c r="R1306" s="6"/>
      <c r="S1306" s="20"/>
      <c r="T1306" s="6"/>
      <c r="U1306" s="21"/>
      <c r="W1306" s="20"/>
      <c r="X1306" s="21"/>
    </row>
    <row r="1307" spans="2:24" ht="16">
      <c r="B1307" s="26" t="str">
        <f t="shared" si="6"/>
        <v/>
      </c>
      <c r="C1307" s="6"/>
      <c r="D1307" s="6"/>
      <c r="E1307" s="6"/>
      <c r="F1307" s="15"/>
      <c r="G1307" s="6"/>
      <c r="H1307" s="6"/>
      <c r="I1307" s="6"/>
      <c r="J1307" s="16"/>
      <c r="K1307" s="6"/>
      <c r="L1307" s="16"/>
      <c r="M1307" s="23"/>
      <c r="N1307" s="15"/>
      <c r="O1307" s="23"/>
      <c r="P1307" s="21"/>
      <c r="Q1307" s="6"/>
      <c r="R1307" s="6"/>
      <c r="S1307" s="20"/>
      <c r="T1307" s="6"/>
      <c r="U1307" s="21"/>
      <c r="W1307" s="20"/>
      <c r="X1307" s="21"/>
    </row>
    <row r="1308" spans="2:24" ht="16">
      <c r="B1308" s="26" t="str">
        <f t="shared" si="6"/>
        <v/>
      </c>
      <c r="C1308" s="6"/>
      <c r="D1308" s="6"/>
      <c r="E1308" s="6"/>
      <c r="F1308" s="15"/>
      <c r="G1308" s="6"/>
      <c r="H1308" s="6"/>
      <c r="I1308" s="6"/>
      <c r="J1308" s="16"/>
      <c r="K1308" s="6"/>
      <c r="L1308" s="16"/>
      <c r="M1308" s="17"/>
      <c r="N1308" s="15"/>
      <c r="O1308" s="23"/>
      <c r="P1308" s="21"/>
      <c r="Q1308" s="6"/>
      <c r="R1308" s="6"/>
      <c r="S1308" s="20"/>
      <c r="T1308" s="6"/>
      <c r="U1308" s="21"/>
      <c r="W1308" s="20"/>
      <c r="X1308" s="21"/>
    </row>
    <row r="1309" spans="2:24" ht="16">
      <c r="B1309" s="26" t="str">
        <f t="shared" si="6"/>
        <v/>
      </c>
      <c r="C1309" s="6"/>
      <c r="D1309" s="6"/>
      <c r="E1309" s="6"/>
      <c r="F1309" s="15"/>
      <c r="G1309" s="6"/>
      <c r="H1309" s="6"/>
      <c r="I1309" s="6"/>
      <c r="J1309" s="16"/>
      <c r="K1309" s="6"/>
      <c r="L1309" s="16"/>
      <c r="M1309" s="23"/>
      <c r="N1309" s="15"/>
      <c r="O1309" s="23"/>
      <c r="P1309" s="21"/>
      <c r="Q1309" s="6"/>
      <c r="R1309" s="6"/>
      <c r="S1309" s="20"/>
      <c r="T1309" s="6"/>
      <c r="U1309" s="21"/>
      <c r="W1309" s="20"/>
      <c r="X1309" s="21"/>
    </row>
    <row r="1310" spans="2:24" ht="16">
      <c r="B1310" s="26" t="str">
        <f t="shared" si="6"/>
        <v/>
      </c>
      <c r="C1310" s="6"/>
      <c r="D1310" s="6"/>
      <c r="E1310" s="6"/>
      <c r="F1310" s="15"/>
      <c r="G1310" s="6"/>
      <c r="H1310" s="6"/>
      <c r="I1310" s="6"/>
      <c r="J1310" s="16"/>
      <c r="K1310" s="6"/>
      <c r="L1310" s="16"/>
      <c r="M1310" s="17"/>
      <c r="N1310" s="15"/>
      <c r="O1310" s="23"/>
      <c r="P1310" s="21"/>
      <c r="Q1310" s="6"/>
      <c r="R1310" s="6"/>
      <c r="S1310" s="20"/>
      <c r="T1310" s="6"/>
      <c r="U1310" s="21"/>
      <c r="W1310" s="20"/>
      <c r="X1310" s="21"/>
    </row>
    <row r="1311" spans="2:24" ht="16">
      <c r="B1311" s="26" t="str">
        <f t="shared" si="6"/>
        <v/>
      </c>
      <c r="C1311" s="6"/>
      <c r="D1311" s="6"/>
      <c r="E1311" s="6"/>
      <c r="F1311" s="15"/>
      <c r="G1311" s="6"/>
      <c r="H1311" s="6"/>
      <c r="I1311" s="6"/>
      <c r="J1311" s="16"/>
      <c r="K1311" s="6"/>
      <c r="L1311" s="16"/>
      <c r="M1311" s="17"/>
      <c r="N1311" s="15"/>
      <c r="O1311" s="23"/>
      <c r="P1311" s="21"/>
      <c r="Q1311" s="6"/>
      <c r="R1311" s="6"/>
      <c r="S1311" s="20"/>
      <c r="T1311" s="6"/>
      <c r="U1311" s="21"/>
      <c r="W1311" s="20"/>
      <c r="X1311" s="21"/>
    </row>
    <row r="1312" spans="2:24" ht="16">
      <c r="B1312" s="26" t="str">
        <f t="shared" si="6"/>
        <v/>
      </c>
      <c r="C1312" s="6"/>
      <c r="D1312" s="6"/>
      <c r="E1312" s="6"/>
      <c r="F1312" s="15"/>
      <c r="G1312" s="6"/>
      <c r="H1312" s="6"/>
      <c r="I1312" s="6"/>
      <c r="J1312" s="16"/>
      <c r="K1312" s="6"/>
      <c r="L1312" s="16"/>
      <c r="M1312" s="23"/>
      <c r="N1312" s="15"/>
      <c r="O1312" s="23"/>
      <c r="P1312" s="21"/>
      <c r="Q1312" s="6"/>
      <c r="R1312" s="6"/>
      <c r="S1312" s="20"/>
      <c r="T1312" s="6"/>
      <c r="U1312" s="21"/>
      <c r="W1312" s="20"/>
      <c r="X1312" s="21"/>
    </row>
    <row r="1313" spans="2:24" ht="16">
      <c r="B1313" s="26" t="str">
        <f t="shared" si="6"/>
        <v/>
      </c>
      <c r="C1313" s="6"/>
      <c r="D1313" s="6"/>
      <c r="E1313" s="6"/>
      <c r="F1313" s="15"/>
      <c r="G1313" s="6"/>
      <c r="H1313" s="6"/>
      <c r="I1313" s="6"/>
      <c r="J1313" s="16"/>
      <c r="K1313" s="6"/>
      <c r="L1313" s="16"/>
      <c r="M1313" s="23"/>
      <c r="N1313" s="15"/>
      <c r="O1313" s="23"/>
      <c r="P1313" s="21"/>
      <c r="Q1313" s="6"/>
      <c r="R1313" s="6"/>
      <c r="S1313" s="20"/>
      <c r="T1313" s="6"/>
      <c r="U1313" s="21"/>
      <c r="W1313" s="20"/>
      <c r="X1313" s="21"/>
    </row>
    <row r="1314" spans="2:24" ht="16">
      <c r="B1314" s="26" t="str">
        <f t="shared" si="6"/>
        <v/>
      </c>
      <c r="C1314" s="6"/>
      <c r="D1314" s="6"/>
      <c r="E1314" s="6"/>
      <c r="F1314" s="15"/>
      <c r="G1314" s="6"/>
      <c r="H1314" s="6"/>
      <c r="I1314" s="6"/>
      <c r="J1314" s="16"/>
      <c r="K1314" s="6"/>
      <c r="L1314" s="16"/>
      <c r="M1314" s="23"/>
      <c r="N1314" s="15"/>
      <c r="O1314" s="23"/>
      <c r="P1314" s="21"/>
      <c r="Q1314" s="6"/>
      <c r="R1314" s="6"/>
      <c r="S1314" s="20"/>
      <c r="T1314" s="6"/>
      <c r="U1314" s="21"/>
      <c r="W1314" s="20"/>
      <c r="X1314" s="21"/>
    </row>
    <row r="1315" spans="2:24" ht="16">
      <c r="B1315" s="26" t="str">
        <f t="shared" si="6"/>
        <v/>
      </c>
      <c r="C1315" s="6"/>
      <c r="D1315" s="6"/>
      <c r="E1315" s="6"/>
      <c r="F1315" s="15"/>
      <c r="G1315" s="6"/>
      <c r="H1315" s="6"/>
      <c r="I1315" s="6"/>
      <c r="J1315" s="16"/>
      <c r="K1315" s="6"/>
      <c r="L1315" s="16"/>
      <c r="M1315" s="23"/>
      <c r="N1315" s="15"/>
      <c r="O1315" s="23"/>
      <c r="P1315" s="21"/>
      <c r="Q1315" s="6"/>
      <c r="R1315" s="6"/>
      <c r="S1315" s="20"/>
      <c r="T1315" s="6"/>
      <c r="U1315" s="21"/>
      <c r="W1315" s="20"/>
      <c r="X1315" s="21"/>
    </row>
    <row r="1316" spans="2:24" ht="16">
      <c r="B1316" s="26" t="str">
        <f t="shared" si="6"/>
        <v/>
      </c>
      <c r="C1316" s="6"/>
      <c r="D1316" s="6"/>
      <c r="E1316" s="6"/>
      <c r="F1316" s="15"/>
      <c r="G1316" s="6"/>
      <c r="H1316" s="6"/>
      <c r="I1316" s="6"/>
      <c r="J1316" s="16"/>
      <c r="K1316" s="6"/>
      <c r="L1316" s="16"/>
      <c r="M1316" s="23"/>
      <c r="N1316" s="15"/>
      <c r="O1316" s="23"/>
      <c r="P1316" s="21"/>
      <c r="Q1316" s="6"/>
      <c r="R1316" s="6"/>
      <c r="S1316" s="20"/>
      <c r="T1316" s="6"/>
      <c r="U1316" s="21"/>
      <c r="W1316" s="20"/>
      <c r="X1316" s="21"/>
    </row>
    <row r="1317" spans="2:24" ht="16">
      <c r="B1317" s="26" t="str">
        <f t="shared" si="6"/>
        <v/>
      </c>
      <c r="C1317" s="6"/>
      <c r="D1317" s="6"/>
      <c r="E1317" s="6"/>
      <c r="F1317" s="15"/>
      <c r="G1317" s="6"/>
      <c r="H1317" s="6"/>
      <c r="I1317" s="6"/>
      <c r="J1317" s="16"/>
      <c r="K1317" s="6"/>
      <c r="L1317" s="16"/>
      <c r="M1317" s="23"/>
      <c r="N1317" s="15"/>
      <c r="O1317" s="23"/>
      <c r="P1317" s="21"/>
      <c r="Q1317" s="6"/>
      <c r="R1317" s="6"/>
      <c r="S1317" s="20"/>
      <c r="T1317" s="6"/>
      <c r="U1317" s="21"/>
      <c r="W1317" s="20"/>
      <c r="X1317" s="21"/>
    </row>
    <row r="1318" spans="2:24" ht="16">
      <c r="B1318" s="26" t="str">
        <f t="shared" si="6"/>
        <v/>
      </c>
      <c r="C1318" s="6"/>
      <c r="D1318" s="6"/>
      <c r="E1318" s="6"/>
      <c r="F1318" s="15"/>
      <c r="G1318" s="6"/>
      <c r="H1318" s="6"/>
      <c r="I1318" s="6"/>
      <c r="J1318" s="16"/>
      <c r="K1318" s="6"/>
      <c r="L1318" s="16"/>
      <c r="M1318" s="23"/>
      <c r="N1318" s="15"/>
      <c r="O1318" s="23"/>
      <c r="P1318" s="21"/>
      <c r="Q1318" s="6"/>
      <c r="R1318" s="6"/>
      <c r="S1318" s="20"/>
      <c r="T1318" s="6"/>
      <c r="U1318" s="21"/>
      <c r="W1318" s="20"/>
      <c r="X1318" s="21"/>
    </row>
    <row r="1319" spans="2:24" ht="16">
      <c r="B1319" s="26" t="str">
        <f t="shared" si="6"/>
        <v/>
      </c>
      <c r="C1319" s="6"/>
      <c r="D1319" s="6"/>
      <c r="E1319" s="6"/>
      <c r="F1319" s="15"/>
      <c r="G1319" s="6"/>
      <c r="H1319" s="6"/>
      <c r="I1319" s="6"/>
      <c r="J1319" s="16"/>
      <c r="K1319" s="6"/>
      <c r="L1319" s="16"/>
      <c r="M1319" s="23"/>
      <c r="N1319" s="15"/>
      <c r="O1319" s="23"/>
      <c r="P1319" s="21"/>
      <c r="Q1319" s="6"/>
      <c r="R1319" s="6"/>
      <c r="S1319" s="20"/>
      <c r="T1319" s="6"/>
      <c r="U1319" s="21"/>
      <c r="W1319" s="20"/>
      <c r="X1319" s="21"/>
    </row>
    <row r="1320" spans="2:24" ht="16">
      <c r="B1320" s="26" t="str">
        <f t="shared" si="6"/>
        <v/>
      </c>
      <c r="C1320" s="6"/>
      <c r="D1320" s="6"/>
      <c r="E1320" s="6"/>
      <c r="F1320" s="15"/>
      <c r="G1320" s="6"/>
      <c r="H1320" s="6"/>
      <c r="I1320" s="6"/>
      <c r="J1320" s="16"/>
      <c r="K1320" s="6"/>
      <c r="L1320" s="16"/>
      <c r="M1320" s="23"/>
      <c r="N1320" s="15"/>
      <c r="O1320" s="23"/>
      <c r="P1320" s="21"/>
      <c r="Q1320" s="6"/>
      <c r="R1320" s="6"/>
      <c r="S1320" s="20"/>
      <c r="T1320" s="6"/>
      <c r="U1320" s="21"/>
      <c r="W1320" s="20"/>
      <c r="X1320" s="21"/>
    </row>
    <row r="1321" spans="2:24" ht="16">
      <c r="B1321" s="26" t="str">
        <f t="shared" si="6"/>
        <v/>
      </c>
      <c r="C1321" s="6"/>
      <c r="D1321" s="6"/>
      <c r="E1321" s="6"/>
      <c r="F1321" s="15"/>
      <c r="G1321" s="6"/>
      <c r="H1321" s="6"/>
      <c r="I1321" s="6"/>
      <c r="J1321" s="16"/>
      <c r="K1321" s="6"/>
      <c r="L1321" s="16"/>
      <c r="M1321" s="23"/>
      <c r="N1321" s="15"/>
      <c r="O1321" s="23"/>
      <c r="P1321" s="21"/>
      <c r="Q1321" s="6"/>
      <c r="R1321" s="6"/>
      <c r="S1321" s="20"/>
      <c r="T1321" s="6"/>
      <c r="U1321" s="21"/>
      <c r="W1321" s="20"/>
      <c r="X1321" s="21"/>
    </row>
    <row r="1322" spans="2:24" ht="16">
      <c r="B1322" s="26" t="str">
        <f t="shared" si="6"/>
        <v/>
      </c>
      <c r="C1322" s="6"/>
      <c r="D1322" s="6"/>
      <c r="E1322" s="6"/>
      <c r="F1322" s="15"/>
      <c r="G1322" s="6"/>
      <c r="H1322" s="6"/>
      <c r="I1322" s="6"/>
      <c r="J1322" s="16"/>
      <c r="K1322" s="6"/>
      <c r="L1322" s="16"/>
      <c r="M1322" s="23"/>
      <c r="N1322" s="15"/>
      <c r="O1322" s="23"/>
      <c r="P1322" s="21"/>
      <c r="Q1322" s="6"/>
      <c r="R1322" s="6"/>
      <c r="S1322" s="20"/>
      <c r="T1322" s="6"/>
      <c r="U1322" s="21"/>
      <c r="W1322" s="20"/>
      <c r="X1322" s="21"/>
    </row>
    <row r="1323" spans="2:24" ht="16">
      <c r="B1323" s="26" t="str">
        <f t="shared" si="6"/>
        <v/>
      </c>
      <c r="C1323" s="6"/>
      <c r="D1323" s="6"/>
      <c r="E1323" s="6"/>
      <c r="F1323" s="15"/>
      <c r="G1323" s="6"/>
      <c r="H1323" s="6"/>
      <c r="I1323" s="6"/>
      <c r="J1323" s="16"/>
      <c r="K1323" s="6"/>
      <c r="L1323" s="16"/>
      <c r="M1323" s="23"/>
      <c r="N1323" s="15"/>
      <c r="O1323" s="23"/>
      <c r="P1323" s="21"/>
      <c r="Q1323" s="6"/>
      <c r="R1323" s="6"/>
      <c r="S1323" s="20"/>
      <c r="T1323" s="6"/>
      <c r="U1323" s="21"/>
      <c r="W1323" s="20"/>
      <c r="X1323" s="21"/>
    </row>
    <row r="1324" spans="2:24" ht="16">
      <c r="B1324" s="26" t="str">
        <f t="shared" si="6"/>
        <v/>
      </c>
      <c r="C1324" s="6"/>
      <c r="D1324" s="6"/>
      <c r="E1324" s="6"/>
      <c r="F1324" s="15"/>
      <c r="G1324" s="6"/>
      <c r="H1324" s="6"/>
      <c r="I1324" s="6"/>
      <c r="J1324" s="16"/>
      <c r="K1324" s="6"/>
      <c r="L1324" s="16"/>
      <c r="M1324" s="23"/>
      <c r="N1324" s="15"/>
      <c r="O1324" s="23"/>
      <c r="P1324" s="21"/>
      <c r="Q1324" s="6"/>
      <c r="R1324" s="6"/>
      <c r="S1324" s="20"/>
      <c r="T1324" s="6"/>
      <c r="U1324" s="21"/>
      <c r="W1324" s="20"/>
      <c r="X1324" s="21"/>
    </row>
    <row r="1325" spans="2:24" ht="16">
      <c r="B1325" s="26" t="str">
        <f t="shared" si="6"/>
        <v/>
      </c>
      <c r="C1325" s="6"/>
      <c r="D1325" s="6"/>
      <c r="E1325" s="6"/>
      <c r="F1325" s="15"/>
      <c r="G1325" s="6"/>
      <c r="H1325" s="6"/>
      <c r="I1325" s="6"/>
      <c r="J1325" s="16"/>
      <c r="K1325" s="6"/>
      <c r="L1325" s="16"/>
      <c r="M1325" s="17"/>
      <c r="N1325" s="15"/>
      <c r="O1325" s="23"/>
      <c r="P1325" s="21"/>
      <c r="Q1325" s="6"/>
      <c r="R1325" s="6"/>
      <c r="S1325" s="20"/>
      <c r="T1325" s="6"/>
      <c r="U1325" s="21"/>
      <c r="W1325" s="20"/>
      <c r="X1325" s="21"/>
    </row>
    <row r="1326" spans="2:24" ht="16">
      <c r="B1326" s="26" t="str">
        <f t="shared" si="6"/>
        <v/>
      </c>
      <c r="C1326" s="6"/>
      <c r="D1326" s="6"/>
      <c r="E1326" s="6"/>
      <c r="F1326" s="15"/>
      <c r="G1326" s="6"/>
      <c r="H1326" s="6"/>
      <c r="I1326" s="6"/>
      <c r="J1326" s="16"/>
      <c r="K1326" s="6"/>
      <c r="L1326" s="16"/>
      <c r="M1326" s="23"/>
      <c r="N1326" s="15"/>
      <c r="O1326" s="23"/>
      <c r="P1326" s="21"/>
      <c r="Q1326" s="6"/>
      <c r="R1326" s="6"/>
      <c r="S1326" s="20"/>
      <c r="T1326" s="6"/>
      <c r="U1326" s="21"/>
      <c r="W1326" s="20"/>
      <c r="X1326" s="21"/>
    </row>
    <row r="1327" spans="2:24" ht="16">
      <c r="B1327" s="26" t="str">
        <f t="shared" si="6"/>
        <v/>
      </c>
      <c r="C1327" s="6"/>
      <c r="D1327" s="6"/>
      <c r="E1327" s="6"/>
      <c r="F1327" s="15"/>
      <c r="G1327" s="6"/>
      <c r="H1327" s="6"/>
      <c r="I1327" s="6"/>
      <c r="J1327" s="16"/>
      <c r="K1327" s="6"/>
      <c r="L1327" s="16"/>
      <c r="M1327" s="23"/>
      <c r="N1327" s="15"/>
      <c r="O1327" s="23"/>
      <c r="P1327" s="21"/>
      <c r="Q1327" s="6"/>
      <c r="R1327" s="6"/>
      <c r="S1327" s="20"/>
      <c r="T1327" s="6"/>
      <c r="U1327" s="21"/>
      <c r="W1327" s="20"/>
      <c r="X1327" s="21"/>
    </row>
    <row r="1328" spans="2:24" ht="16">
      <c r="B1328" s="26" t="str">
        <f t="shared" si="6"/>
        <v/>
      </c>
      <c r="C1328" s="6"/>
      <c r="D1328" s="6"/>
      <c r="E1328" s="6"/>
      <c r="F1328" s="15"/>
      <c r="G1328" s="6"/>
      <c r="H1328" s="6"/>
      <c r="I1328" s="6"/>
      <c r="J1328" s="16"/>
      <c r="K1328" s="6"/>
      <c r="L1328" s="16"/>
      <c r="M1328" s="23"/>
      <c r="N1328" s="15"/>
      <c r="O1328" s="23"/>
      <c r="P1328" s="21"/>
      <c r="Q1328" s="6"/>
      <c r="R1328" s="6"/>
      <c r="S1328" s="20"/>
      <c r="T1328" s="6"/>
      <c r="U1328" s="21"/>
      <c r="W1328" s="20"/>
      <c r="X1328" s="21"/>
    </row>
    <row r="1329" spans="2:24" ht="16">
      <c r="B1329" s="26" t="str">
        <f t="shared" si="6"/>
        <v/>
      </c>
      <c r="C1329" s="6"/>
      <c r="D1329" s="6"/>
      <c r="E1329" s="6"/>
      <c r="F1329" s="15"/>
      <c r="G1329" s="6"/>
      <c r="H1329" s="6"/>
      <c r="I1329" s="6"/>
      <c r="J1329" s="16"/>
      <c r="K1329" s="6"/>
      <c r="L1329" s="16"/>
      <c r="M1329" s="17"/>
      <c r="N1329" s="15"/>
      <c r="O1329" s="23"/>
      <c r="P1329" s="21"/>
      <c r="Q1329" s="6"/>
      <c r="R1329" s="6"/>
      <c r="S1329" s="20"/>
      <c r="T1329" s="6"/>
      <c r="U1329" s="21"/>
      <c r="W1329" s="20"/>
      <c r="X1329" s="21"/>
    </row>
    <row r="1330" spans="2:24" ht="16">
      <c r="B1330" s="26" t="str">
        <f t="shared" si="6"/>
        <v/>
      </c>
      <c r="C1330" s="6"/>
      <c r="D1330" s="6"/>
      <c r="E1330" s="6"/>
      <c r="F1330" s="15"/>
      <c r="G1330" s="6"/>
      <c r="H1330" s="6"/>
      <c r="I1330" s="6"/>
      <c r="J1330" s="16"/>
      <c r="K1330" s="6"/>
      <c r="L1330" s="16"/>
      <c r="M1330" s="17"/>
      <c r="N1330" s="15"/>
      <c r="O1330" s="23"/>
      <c r="P1330" s="21"/>
      <c r="Q1330" s="6"/>
      <c r="R1330" s="6"/>
      <c r="S1330" s="20"/>
      <c r="T1330" s="6"/>
      <c r="U1330" s="21"/>
      <c r="W1330" s="20"/>
      <c r="X1330" s="21"/>
    </row>
    <row r="1331" spans="2:24" ht="16">
      <c r="B1331" s="26" t="str">
        <f t="shared" si="6"/>
        <v/>
      </c>
      <c r="C1331" s="6"/>
      <c r="D1331" s="6"/>
      <c r="E1331" s="6"/>
      <c r="F1331" s="15"/>
      <c r="G1331" s="6"/>
      <c r="H1331" s="6"/>
      <c r="I1331" s="6"/>
      <c r="J1331" s="16"/>
      <c r="K1331" s="6"/>
      <c r="L1331" s="16"/>
      <c r="M1331" s="23"/>
      <c r="N1331" s="15"/>
      <c r="O1331" s="23"/>
      <c r="P1331" s="21"/>
      <c r="Q1331" s="6"/>
      <c r="R1331" s="6"/>
      <c r="S1331" s="20"/>
      <c r="T1331" s="6"/>
      <c r="U1331" s="21"/>
      <c r="W1331" s="20"/>
      <c r="X1331" s="21"/>
    </row>
    <row r="1332" spans="2:24" ht="16">
      <c r="B1332" s="26" t="str">
        <f t="shared" si="6"/>
        <v/>
      </c>
      <c r="C1332" s="6"/>
      <c r="D1332" s="6"/>
      <c r="E1332" s="6"/>
      <c r="F1332" s="15"/>
      <c r="G1332" s="6"/>
      <c r="H1332" s="6"/>
      <c r="I1332" s="6"/>
      <c r="J1332" s="16"/>
      <c r="K1332" s="6"/>
      <c r="L1332" s="16"/>
      <c r="M1332" s="23"/>
      <c r="N1332" s="15"/>
      <c r="O1332" s="23"/>
      <c r="P1332" s="21"/>
      <c r="Q1332" s="6"/>
      <c r="R1332" s="6"/>
      <c r="S1332" s="20"/>
      <c r="T1332" s="6"/>
      <c r="U1332" s="21"/>
      <c r="W1332" s="20"/>
      <c r="X1332" s="21"/>
    </row>
    <row r="1333" spans="2:24" ht="16">
      <c r="B1333" s="26" t="str">
        <f t="shared" si="6"/>
        <v/>
      </c>
      <c r="C1333" s="6"/>
      <c r="D1333" s="6"/>
      <c r="E1333" s="6"/>
      <c r="F1333" s="15"/>
      <c r="G1333" s="6"/>
      <c r="H1333" s="6"/>
      <c r="I1333" s="6"/>
      <c r="J1333" s="16"/>
      <c r="K1333" s="6"/>
      <c r="L1333" s="16"/>
      <c r="M1333" s="17"/>
      <c r="N1333" s="15"/>
      <c r="O1333" s="23"/>
      <c r="P1333" s="21"/>
      <c r="Q1333" s="6"/>
      <c r="R1333" s="6"/>
      <c r="S1333" s="20"/>
      <c r="T1333" s="6"/>
      <c r="U1333" s="21"/>
      <c r="W1333" s="20"/>
      <c r="X1333" s="21"/>
    </row>
    <row r="1334" spans="2:24" ht="16">
      <c r="B1334" s="26" t="str">
        <f t="shared" si="6"/>
        <v/>
      </c>
      <c r="C1334" s="6"/>
      <c r="D1334" s="6"/>
      <c r="E1334" s="6"/>
      <c r="F1334" s="15"/>
      <c r="G1334" s="6"/>
      <c r="H1334" s="6"/>
      <c r="I1334" s="6"/>
      <c r="J1334" s="16"/>
      <c r="K1334" s="6"/>
      <c r="L1334" s="16"/>
      <c r="M1334" s="23"/>
      <c r="N1334" s="15"/>
      <c r="O1334" s="23"/>
      <c r="P1334" s="21"/>
      <c r="Q1334" s="6"/>
      <c r="R1334" s="6"/>
      <c r="S1334" s="20"/>
      <c r="T1334" s="6"/>
      <c r="U1334" s="21"/>
      <c r="W1334" s="20"/>
      <c r="X1334" s="21"/>
    </row>
    <row r="1335" spans="2:24" ht="16">
      <c r="B1335" s="26" t="str">
        <f t="shared" si="6"/>
        <v/>
      </c>
      <c r="C1335" s="6"/>
      <c r="D1335" s="6"/>
      <c r="E1335" s="6"/>
      <c r="F1335" s="15"/>
      <c r="G1335" s="6"/>
      <c r="H1335" s="6"/>
      <c r="I1335" s="6"/>
      <c r="J1335" s="16"/>
      <c r="K1335" s="6"/>
      <c r="L1335" s="16"/>
      <c r="M1335" s="23"/>
      <c r="N1335" s="15"/>
      <c r="O1335" s="23"/>
      <c r="P1335" s="21"/>
      <c r="Q1335" s="6"/>
      <c r="R1335" s="6"/>
      <c r="S1335" s="20"/>
      <c r="T1335" s="6"/>
      <c r="U1335" s="21"/>
      <c r="W1335" s="20"/>
      <c r="X1335" s="21"/>
    </row>
    <row r="1336" spans="2:24" ht="16">
      <c r="B1336" s="26" t="str">
        <f t="shared" si="6"/>
        <v/>
      </c>
      <c r="C1336" s="6"/>
      <c r="D1336" s="6"/>
      <c r="E1336" s="6"/>
      <c r="F1336" s="15"/>
      <c r="G1336" s="6"/>
      <c r="H1336" s="6"/>
      <c r="I1336" s="6"/>
      <c r="J1336" s="16"/>
      <c r="K1336" s="6"/>
      <c r="L1336" s="16"/>
      <c r="M1336" s="23"/>
      <c r="N1336" s="15"/>
      <c r="O1336" s="23"/>
      <c r="P1336" s="21"/>
      <c r="Q1336" s="6"/>
      <c r="R1336" s="6"/>
      <c r="S1336" s="20"/>
      <c r="T1336" s="6"/>
      <c r="U1336" s="21"/>
      <c r="W1336" s="20"/>
      <c r="X1336" s="21"/>
    </row>
    <row r="1337" spans="2:24" ht="16">
      <c r="B1337" s="26" t="str">
        <f t="shared" si="6"/>
        <v/>
      </c>
      <c r="C1337" s="6"/>
      <c r="D1337" s="6"/>
      <c r="E1337" s="6"/>
      <c r="F1337" s="15"/>
      <c r="G1337" s="6"/>
      <c r="H1337" s="6"/>
      <c r="I1337" s="6"/>
      <c r="J1337" s="16"/>
      <c r="K1337" s="6"/>
      <c r="L1337" s="16"/>
      <c r="M1337" s="23"/>
      <c r="N1337" s="15"/>
      <c r="O1337" s="23"/>
      <c r="P1337" s="21"/>
      <c r="Q1337" s="6"/>
      <c r="R1337" s="6"/>
      <c r="S1337" s="20"/>
      <c r="T1337" s="6"/>
      <c r="U1337" s="21"/>
      <c r="W1337" s="20"/>
      <c r="X1337" s="21"/>
    </row>
    <row r="1338" spans="2:24" ht="16">
      <c r="B1338" s="26" t="str">
        <f t="shared" si="6"/>
        <v/>
      </c>
      <c r="C1338" s="6"/>
      <c r="D1338" s="6"/>
      <c r="E1338" s="6"/>
      <c r="F1338" s="15"/>
      <c r="G1338" s="6"/>
      <c r="H1338" s="6"/>
      <c r="I1338" s="6"/>
      <c r="J1338" s="16"/>
      <c r="K1338" s="6"/>
      <c r="L1338" s="16"/>
      <c r="M1338" s="17"/>
      <c r="N1338" s="15"/>
      <c r="O1338" s="23"/>
      <c r="P1338" s="21"/>
      <c r="Q1338" s="6"/>
      <c r="R1338" s="6"/>
      <c r="S1338" s="20"/>
      <c r="T1338" s="6"/>
      <c r="U1338" s="21"/>
      <c r="W1338" s="20"/>
      <c r="X1338" s="21"/>
    </row>
    <row r="1339" spans="2:24" ht="16">
      <c r="B1339" s="26" t="str">
        <f t="shared" si="6"/>
        <v/>
      </c>
      <c r="C1339" s="6"/>
      <c r="D1339" s="6"/>
      <c r="E1339" s="6"/>
      <c r="F1339" s="15"/>
      <c r="G1339" s="6"/>
      <c r="H1339" s="6"/>
      <c r="I1339" s="6"/>
      <c r="J1339" s="16"/>
      <c r="K1339" s="6"/>
      <c r="L1339" s="16"/>
      <c r="M1339" s="23"/>
      <c r="N1339" s="15"/>
      <c r="O1339" s="23"/>
      <c r="P1339" s="21"/>
      <c r="Q1339" s="6"/>
      <c r="R1339" s="6"/>
      <c r="S1339" s="20"/>
      <c r="T1339" s="6"/>
      <c r="U1339" s="21"/>
      <c r="W1339" s="20"/>
      <c r="X1339" s="21"/>
    </row>
    <row r="1340" spans="2:24" ht="16">
      <c r="B1340" s="26" t="str">
        <f t="shared" si="6"/>
        <v/>
      </c>
      <c r="C1340" s="6"/>
      <c r="D1340" s="6"/>
      <c r="E1340" s="6"/>
      <c r="F1340" s="15"/>
      <c r="G1340" s="6"/>
      <c r="H1340" s="6"/>
      <c r="I1340" s="6"/>
      <c r="J1340" s="16"/>
      <c r="K1340" s="6"/>
      <c r="L1340" s="16"/>
      <c r="M1340" s="23"/>
      <c r="N1340" s="15"/>
      <c r="O1340" s="23"/>
      <c r="P1340" s="21"/>
      <c r="Q1340" s="6"/>
      <c r="R1340" s="6"/>
      <c r="S1340" s="20"/>
      <c r="T1340" s="6"/>
      <c r="U1340" s="21"/>
      <c r="W1340" s="20"/>
      <c r="X1340" s="21"/>
    </row>
    <row r="1341" spans="2:24" ht="16">
      <c r="B1341" s="26" t="str">
        <f t="shared" si="6"/>
        <v/>
      </c>
      <c r="C1341" s="6"/>
      <c r="D1341" s="6"/>
      <c r="E1341" s="6"/>
      <c r="F1341" s="15"/>
      <c r="G1341" s="6"/>
      <c r="H1341" s="6"/>
      <c r="I1341" s="6"/>
      <c r="J1341" s="16"/>
      <c r="K1341" s="6"/>
      <c r="L1341" s="16"/>
      <c r="M1341" s="17"/>
      <c r="N1341" s="15"/>
      <c r="O1341" s="23"/>
      <c r="P1341" s="21"/>
      <c r="Q1341" s="6"/>
      <c r="R1341" s="6"/>
      <c r="S1341" s="20"/>
      <c r="T1341" s="6"/>
      <c r="U1341" s="21"/>
      <c r="W1341" s="20"/>
      <c r="X1341" s="21"/>
    </row>
    <row r="1342" spans="2:24" ht="16">
      <c r="B1342" s="26" t="str">
        <f t="shared" si="6"/>
        <v/>
      </c>
      <c r="C1342" s="6"/>
      <c r="D1342" s="6"/>
      <c r="E1342" s="6"/>
      <c r="F1342" s="15"/>
      <c r="G1342" s="6"/>
      <c r="H1342" s="6"/>
      <c r="I1342" s="6"/>
      <c r="J1342" s="16"/>
      <c r="K1342" s="6"/>
      <c r="L1342" s="16"/>
      <c r="M1342" s="23"/>
      <c r="N1342" s="15"/>
      <c r="O1342" s="23"/>
      <c r="P1342" s="21"/>
      <c r="Q1342" s="6"/>
      <c r="R1342" s="6"/>
      <c r="S1342" s="20"/>
      <c r="T1342" s="6"/>
      <c r="U1342" s="21"/>
      <c r="W1342" s="20"/>
      <c r="X1342" s="21"/>
    </row>
    <row r="1343" spans="2:24" ht="16">
      <c r="B1343" s="26" t="str">
        <f t="shared" si="6"/>
        <v/>
      </c>
      <c r="C1343" s="6"/>
      <c r="D1343" s="6"/>
      <c r="E1343" s="6"/>
      <c r="F1343" s="15"/>
      <c r="G1343" s="6"/>
      <c r="H1343" s="6"/>
      <c r="I1343" s="6"/>
      <c r="J1343" s="16"/>
      <c r="K1343" s="6"/>
      <c r="L1343" s="16"/>
      <c r="M1343" s="23"/>
      <c r="N1343" s="15"/>
      <c r="O1343" s="23"/>
      <c r="P1343" s="21"/>
      <c r="Q1343" s="6"/>
      <c r="R1343" s="6"/>
      <c r="S1343" s="20"/>
      <c r="T1343" s="6"/>
      <c r="U1343" s="21"/>
      <c r="W1343" s="20"/>
      <c r="X1343" s="21"/>
    </row>
    <row r="1344" spans="2:24" ht="16">
      <c r="B1344" s="26" t="str">
        <f t="shared" si="6"/>
        <v/>
      </c>
      <c r="C1344" s="6"/>
      <c r="D1344" s="6"/>
      <c r="E1344" s="6"/>
      <c r="F1344" s="15"/>
      <c r="G1344" s="6"/>
      <c r="H1344" s="6"/>
      <c r="I1344" s="6"/>
      <c r="J1344" s="16"/>
      <c r="K1344" s="6"/>
      <c r="L1344" s="16"/>
      <c r="M1344" s="23"/>
      <c r="N1344" s="15"/>
      <c r="O1344" s="23"/>
      <c r="P1344" s="21"/>
      <c r="Q1344" s="6"/>
      <c r="R1344" s="6"/>
      <c r="S1344" s="20"/>
      <c r="T1344" s="6"/>
      <c r="U1344" s="21"/>
      <c r="W1344" s="20"/>
      <c r="X1344" s="21"/>
    </row>
    <row r="1345" spans="2:24" ht="16">
      <c r="B1345" s="26" t="str">
        <f t="shared" si="6"/>
        <v/>
      </c>
      <c r="C1345" s="6"/>
      <c r="D1345" s="6"/>
      <c r="E1345" s="6"/>
      <c r="F1345" s="15"/>
      <c r="G1345" s="6"/>
      <c r="H1345" s="6"/>
      <c r="I1345" s="6"/>
      <c r="J1345" s="16"/>
      <c r="K1345" s="6"/>
      <c r="L1345" s="16"/>
      <c r="M1345" s="23"/>
      <c r="N1345" s="15"/>
      <c r="O1345" s="23"/>
      <c r="P1345" s="21"/>
      <c r="Q1345" s="6"/>
      <c r="R1345" s="6"/>
      <c r="S1345" s="20"/>
      <c r="T1345" s="6"/>
      <c r="U1345" s="21"/>
      <c r="W1345" s="20"/>
      <c r="X1345" s="21"/>
    </row>
    <row r="1346" spans="2:24" ht="16">
      <c r="B1346" s="26" t="str">
        <f t="shared" si="6"/>
        <v/>
      </c>
      <c r="C1346" s="6"/>
      <c r="D1346" s="6"/>
      <c r="E1346" s="6"/>
      <c r="F1346" s="15"/>
      <c r="G1346" s="6"/>
      <c r="H1346" s="6"/>
      <c r="I1346" s="6"/>
      <c r="J1346" s="16"/>
      <c r="K1346" s="6"/>
      <c r="L1346" s="16"/>
      <c r="M1346" s="23"/>
      <c r="N1346" s="15"/>
      <c r="O1346" s="23"/>
      <c r="P1346" s="21"/>
      <c r="Q1346" s="6"/>
      <c r="R1346" s="6"/>
      <c r="S1346" s="20"/>
      <c r="T1346" s="6"/>
      <c r="U1346" s="21"/>
      <c r="W1346" s="20"/>
      <c r="X1346" s="21"/>
    </row>
    <row r="1347" spans="2:24" ht="16">
      <c r="B1347" s="26" t="str">
        <f t="shared" si="6"/>
        <v/>
      </c>
      <c r="C1347" s="6"/>
      <c r="D1347" s="6"/>
      <c r="E1347" s="6"/>
      <c r="F1347" s="15"/>
      <c r="G1347" s="6"/>
      <c r="H1347" s="6"/>
      <c r="I1347" s="6"/>
      <c r="J1347" s="16"/>
      <c r="K1347" s="6"/>
      <c r="L1347" s="16"/>
      <c r="M1347" s="17"/>
      <c r="N1347" s="15"/>
      <c r="O1347" s="23"/>
      <c r="P1347" s="21"/>
      <c r="Q1347" s="6"/>
      <c r="R1347" s="6"/>
      <c r="S1347" s="20"/>
      <c r="T1347" s="6"/>
      <c r="U1347" s="21"/>
      <c r="W1347" s="20"/>
      <c r="X1347" s="21"/>
    </row>
    <row r="1348" spans="2:24" ht="16">
      <c r="B1348" s="26" t="str">
        <f t="shared" si="6"/>
        <v/>
      </c>
      <c r="C1348" s="6"/>
      <c r="D1348" s="6"/>
      <c r="E1348" s="6"/>
      <c r="F1348" s="15"/>
      <c r="G1348" s="6"/>
      <c r="H1348" s="6"/>
      <c r="I1348" s="6"/>
      <c r="J1348" s="16"/>
      <c r="K1348" s="6"/>
      <c r="L1348" s="16"/>
      <c r="M1348" s="17"/>
      <c r="N1348" s="15"/>
      <c r="O1348" s="23"/>
      <c r="P1348" s="21"/>
      <c r="Q1348" s="6"/>
      <c r="R1348" s="6"/>
      <c r="S1348" s="20"/>
      <c r="T1348" s="6"/>
      <c r="U1348" s="21"/>
      <c r="W1348" s="20"/>
      <c r="X1348" s="21"/>
    </row>
    <row r="1349" spans="2:24" ht="16">
      <c r="B1349" s="26" t="str">
        <f t="shared" si="6"/>
        <v/>
      </c>
      <c r="C1349" s="6"/>
      <c r="D1349" s="6"/>
      <c r="E1349" s="6"/>
      <c r="F1349" s="15"/>
      <c r="G1349" s="6"/>
      <c r="H1349" s="6"/>
      <c r="I1349" s="6"/>
      <c r="J1349" s="16"/>
      <c r="K1349" s="6"/>
      <c r="L1349" s="16"/>
      <c r="M1349" s="23"/>
      <c r="N1349" s="15"/>
      <c r="O1349" s="23"/>
      <c r="P1349" s="21"/>
      <c r="Q1349" s="6"/>
      <c r="R1349" s="6"/>
      <c r="S1349" s="20"/>
      <c r="T1349" s="6"/>
      <c r="U1349" s="21"/>
      <c r="W1349" s="20"/>
      <c r="X1349" s="21"/>
    </row>
    <row r="1350" spans="2:24" ht="16">
      <c r="B1350" s="26" t="str">
        <f t="shared" si="6"/>
        <v/>
      </c>
      <c r="C1350" s="6"/>
      <c r="D1350" s="6"/>
      <c r="E1350" s="6"/>
      <c r="F1350" s="15"/>
      <c r="G1350" s="6"/>
      <c r="H1350" s="6"/>
      <c r="I1350" s="6"/>
      <c r="J1350" s="16"/>
      <c r="K1350" s="6"/>
      <c r="L1350" s="16"/>
      <c r="M1350" s="17"/>
      <c r="N1350" s="15"/>
      <c r="O1350" s="23"/>
      <c r="P1350" s="21"/>
      <c r="Q1350" s="6"/>
      <c r="R1350" s="6"/>
      <c r="S1350" s="20"/>
      <c r="T1350" s="6"/>
      <c r="U1350" s="21"/>
      <c r="W1350" s="20"/>
      <c r="X1350" s="21"/>
    </row>
    <row r="1351" spans="2:24" ht="16">
      <c r="B1351" s="26" t="str">
        <f t="shared" si="6"/>
        <v/>
      </c>
      <c r="C1351" s="6"/>
      <c r="D1351" s="6"/>
      <c r="E1351" s="6"/>
      <c r="F1351" s="15"/>
      <c r="G1351" s="6"/>
      <c r="H1351" s="6"/>
      <c r="I1351" s="6"/>
      <c r="J1351" s="16"/>
      <c r="K1351" s="6"/>
      <c r="L1351" s="16"/>
      <c r="M1351" s="23"/>
      <c r="N1351" s="15"/>
      <c r="O1351" s="23"/>
      <c r="P1351" s="21"/>
      <c r="Q1351" s="6"/>
      <c r="R1351" s="6"/>
      <c r="S1351" s="20"/>
      <c r="T1351" s="6"/>
      <c r="U1351" s="21"/>
      <c r="W1351" s="20"/>
      <c r="X1351" s="21"/>
    </row>
    <row r="1352" spans="2:24" ht="16">
      <c r="B1352" s="26" t="str">
        <f t="shared" si="6"/>
        <v/>
      </c>
      <c r="C1352" s="6"/>
      <c r="D1352" s="6"/>
      <c r="E1352" s="6"/>
      <c r="F1352" s="15"/>
      <c r="G1352" s="6"/>
      <c r="H1352" s="6"/>
      <c r="I1352" s="6"/>
      <c r="J1352" s="16"/>
      <c r="K1352" s="6"/>
      <c r="L1352" s="16"/>
      <c r="M1352" s="17"/>
      <c r="N1352" s="15"/>
      <c r="O1352" s="23"/>
      <c r="P1352" s="21"/>
      <c r="Q1352" s="6"/>
      <c r="R1352" s="6"/>
      <c r="S1352" s="20"/>
      <c r="T1352" s="6"/>
      <c r="U1352" s="21"/>
      <c r="W1352" s="20"/>
      <c r="X1352" s="21"/>
    </row>
    <row r="1353" spans="2:24" ht="16">
      <c r="B1353" s="26" t="str">
        <f t="shared" si="6"/>
        <v/>
      </c>
      <c r="C1353" s="6"/>
      <c r="D1353" s="6"/>
      <c r="E1353" s="6"/>
      <c r="F1353" s="15"/>
      <c r="G1353" s="6"/>
      <c r="H1353" s="6"/>
      <c r="I1353" s="6"/>
      <c r="J1353" s="16"/>
      <c r="K1353" s="6"/>
      <c r="L1353" s="16"/>
      <c r="M1353" s="23"/>
      <c r="N1353" s="15"/>
      <c r="O1353" s="23"/>
      <c r="P1353" s="21"/>
      <c r="Q1353" s="6"/>
      <c r="R1353" s="6"/>
      <c r="S1353" s="20"/>
      <c r="T1353" s="6"/>
      <c r="U1353" s="21"/>
      <c r="W1353" s="20"/>
      <c r="X1353" s="21"/>
    </row>
    <row r="1354" spans="2:24" ht="16">
      <c r="B1354" s="26" t="str">
        <f t="shared" si="6"/>
        <v/>
      </c>
      <c r="C1354" s="6"/>
      <c r="D1354" s="6"/>
      <c r="E1354" s="6"/>
      <c r="F1354" s="15"/>
      <c r="G1354" s="6"/>
      <c r="H1354" s="6"/>
      <c r="I1354" s="6"/>
      <c r="J1354" s="16"/>
      <c r="K1354" s="6"/>
      <c r="L1354" s="16"/>
      <c r="M1354" s="17"/>
      <c r="N1354" s="15"/>
      <c r="O1354" s="23"/>
      <c r="P1354" s="21"/>
      <c r="Q1354" s="6"/>
      <c r="R1354" s="6"/>
      <c r="S1354" s="20"/>
      <c r="T1354" s="6"/>
      <c r="U1354" s="21"/>
      <c r="W1354" s="20"/>
      <c r="X1354" s="21"/>
    </row>
    <row r="1355" spans="2:24" ht="16">
      <c r="B1355" s="26" t="str">
        <f t="shared" si="6"/>
        <v/>
      </c>
      <c r="C1355" s="6"/>
      <c r="D1355" s="6"/>
      <c r="E1355" s="6"/>
      <c r="F1355" s="15"/>
      <c r="G1355" s="6"/>
      <c r="H1355" s="6"/>
      <c r="I1355" s="6"/>
      <c r="J1355" s="16"/>
      <c r="K1355" s="6"/>
      <c r="L1355" s="16"/>
      <c r="M1355" s="23"/>
      <c r="N1355" s="15"/>
      <c r="O1355" s="23"/>
      <c r="P1355" s="21"/>
      <c r="Q1355" s="6"/>
      <c r="R1355" s="6"/>
      <c r="S1355" s="20"/>
      <c r="T1355" s="6"/>
      <c r="U1355" s="21"/>
      <c r="W1355" s="20"/>
      <c r="X1355" s="21"/>
    </row>
    <row r="1356" spans="2:24" ht="16">
      <c r="B1356" s="26" t="str">
        <f t="shared" si="6"/>
        <v/>
      </c>
      <c r="C1356" s="6"/>
      <c r="D1356" s="6"/>
      <c r="E1356" s="6"/>
      <c r="F1356" s="15"/>
      <c r="G1356" s="6"/>
      <c r="H1356" s="6"/>
      <c r="I1356" s="6"/>
      <c r="J1356" s="16"/>
      <c r="K1356" s="6"/>
      <c r="L1356" s="16"/>
      <c r="M1356" s="23"/>
      <c r="N1356" s="15"/>
      <c r="O1356" s="23"/>
      <c r="P1356" s="21"/>
      <c r="Q1356" s="6"/>
      <c r="R1356" s="6"/>
      <c r="S1356" s="20"/>
      <c r="T1356" s="6"/>
      <c r="U1356" s="21"/>
      <c r="W1356" s="20"/>
      <c r="X1356" s="21"/>
    </row>
    <row r="1357" spans="2:24" ht="16">
      <c r="B1357" s="26" t="str">
        <f t="shared" si="6"/>
        <v/>
      </c>
      <c r="C1357" s="6"/>
      <c r="D1357" s="6"/>
      <c r="E1357" s="6"/>
      <c r="F1357" s="15"/>
      <c r="G1357" s="6"/>
      <c r="H1357" s="6"/>
      <c r="I1357" s="6"/>
      <c r="J1357" s="16"/>
      <c r="K1357" s="6"/>
      <c r="L1357" s="16"/>
      <c r="M1357" s="23"/>
      <c r="N1357" s="15"/>
      <c r="O1357" s="23"/>
      <c r="P1357" s="21"/>
      <c r="Q1357" s="6"/>
      <c r="R1357" s="6"/>
      <c r="S1357" s="20"/>
      <c r="T1357" s="6"/>
      <c r="U1357" s="21"/>
      <c r="W1357" s="20"/>
      <c r="X1357" s="21"/>
    </row>
    <row r="1358" spans="2:24" ht="16">
      <c r="B1358" s="26" t="str">
        <f t="shared" si="6"/>
        <v/>
      </c>
      <c r="C1358" s="6"/>
      <c r="D1358" s="6"/>
      <c r="E1358" s="6"/>
      <c r="F1358" s="15"/>
      <c r="G1358" s="6"/>
      <c r="H1358" s="6"/>
      <c r="I1358" s="6"/>
      <c r="J1358" s="16"/>
      <c r="K1358" s="6"/>
      <c r="L1358" s="16"/>
      <c r="M1358" s="23"/>
      <c r="N1358" s="15"/>
      <c r="O1358" s="23"/>
      <c r="P1358" s="21"/>
      <c r="Q1358" s="6"/>
      <c r="R1358" s="6"/>
      <c r="S1358" s="20"/>
      <c r="T1358" s="6"/>
      <c r="U1358" s="21"/>
      <c r="W1358" s="20"/>
      <c r="X1358" s="21"/>
    </row>
    <row r="1359" spans="2:24" ht="16">
      <c r="B1359" s="26" t="str">
        <f t="shared" si="6"/>
        <v/>
      </c>
      <c r="C1359" s="6"/>
      <c r="D1359" s="6"/>
      <c r="E1359" s="6"/>
      <c r="F1359" s="15"/>
      <c r="G1359" s="6"/>
      <c r="H1359" s="6"/>
      <c r="I1359" s="6"/>
      <c r="J1359" s="16"/>
      <c r="K1359" s="6"/>
      <c r="L1359" s="16"/>
      <c r="M1359" s="17"/>
      <c r="N1359" s="15"/>
      <c r="O1359" s="23"/>
      <c r="P1359" s="21"/>
      <c r="Q1359" s="6"/>
      <c r="R1359" s="6"/>
      <c r="S1359" s="20"/>
      <c r="T1359" s="6"/>
      <c r="U1359" s="21"/>
      <c r="W1359" s="20"/>
      <c r="X1359" s="21"/>
    </row>
    <row r="1360" spans="2:24" ht="16">
      <c r="B1360" s="26" t="str">
        <f t="shared" si="6"/>
        <v/>
      </c>
      <c r="C1360" s="6"/>
      <c r="D1360" s="6"/>
      <c r="E1360" s="6"/>
      <c r="F1360" s="15"/>
      <c r="G1360" s="6"/>
      <c r="H1360" s="6"/>
      <c r="I1360" s="6"/>
      <c r="J1360" s="16"/>
      <c r="K1360" s="6"/>
      <c r="L1360" s="16"/>
      <c r="M1360" s="23"/>
      <c r="N1360" s="15"/>
      <c r="O1360" s="23"/>
      <c r="P1360" s="21"/>
      <c r="Q1360" s="6"/>
      <c r="R1360" s="6"/>
      <c r="S1360" s="20"/>
      <c r="T1360" s="6"/>
      <c r="U1360" s="21"/>
      <c r="W1360" s="20"/>
      <c r="X1360" s="21"/>
    </row>
    <row r="1361" spans="2:33" ht="16">
      <c r="B1361" s="26" t="str">
        <f t="shared" si="6"/>
        <v/>
      </c>
      <c r="C1361" s="6"/>
      <c r="D1361" s="6"/>
      <c r="E1361" s="6"/>
      <c r="F1361" s="15"/>
      <c r="G1361" s="6"/>
      <c r="H1361" s="6"/>
      <c r="I1361" s="6"/>
      <c r="J1361" s="16"/>
      <c r="K1361" s="6"/>
      <c r="L1361" s="16"/>
      <c r="M1361" s="23"/>
      <c r="N1361" s="15"/>
      <c r="O1361" s="23"/>
      <c r="P1361" s="21"/>
      <c r="Q1361" s="6"/>
      <c r="R1361" s="6"/>
      <c r="S1361" s="20"/>
      <c r="T1361" s="6"/>
      <c r="U1361" s="21"/>
      <c r="W1361" s="20"/>
      <c r="X1361" s="21"/>
    </row>
    <row r="1362" spans="2:33" ht="16">
      <c r="B1362" s="26" t="str">
        <f t="shared" si="6"/>
        <v/>
      </c>
      <c r="C1362" s="6"/>
      <c r="D1362" s="6"/>
      <c r="E1362" s="6"/>
      <c r="F1362" s="15"/>
      <c r="G1362" s="6"/>
      <c r="H1362" s="6"/>
      <c r="I1362" s="6"/>
      <c r="J1362" s="16"/>
      <c r="K1362" s="6"/>
      <c r="L1362" s="16"/>
      <c r="M1362" s="23"/>
      <c r="N1362" s="15"/>
      <c r="O1362" s="23"/>
      <c r="P1362" s="21"/>
      <c r="Q1362" s="6"/>
      <c r="R1362" s="6"/>
      <c r="S1362" s="20"/>
      <c r="T1362" s="6"/>
      <c r="U1362" s="21"/>
      <c r="W1362" s="20"/>
      <c r="X1362" s="21"/>
    </row>
    <row r="1363" spans="2:33" ht="16">
      <c r="B1363" s="26" t="str">
        <f t="shared" si="6"/>
        <v/>
      </c>
      <c r="C1363" s="6"/>
      <c r="D1363" s="6"/>
      <c r="E1363" s="6"/>
      <c r="F1363" s="15"/>
      <c r="G1363" s="6"/>
      <c r="H1363" s="6"/>
      <c r="I1363" s="6"/>
      <c r="J1363" s="16"/>
      <c r="K1363" s="6"/>
      <c r="L1363" s="16"/>
      <c r="M1363" s="23"/>
      <c r="N1363" s="15"/>
      <c r="O1363" s="23"/>
      <c r="P1363" s="21"/>
      <c r="Q1363" s="6"/>
      <c r="R1363" s="6"/>
      <c r="S1363" s="20"/>
      <c r="T1363" s="6"/>
      <c r="U1363" s="21"/>
      <c r="W1363" s="20"/>
      <c r="X1363" s="21"/>
    </row>
    <row r="1364" spans="2:33" ht="16">
      <c r="B1364" s="26" t="str">
        <f t="shared" si="6"/>
        <v/>
      </c>
      <c r="C1364" s="6"/>
      <c r="D1364" s="6"/>
      <c r="E1364" s="6"/>
      <c r="F1364" s="15"/>
      <c r="G1364" s="6"/>
      <c r="H1364" s="6"/>
      <c r="I1364" s="6"/>
      <c r="J1364" s="16"/>
      <c r="K1364" s="6"/>
      <c r="L1364" s="16"/>
      <c r="M1364" s="23"/>
      <c r="N1364" s="15"/>
      <c r="O1364" s="23"/>
      <c r="P1364" s="21"/>
      <c r="Q1364" s="6"/>
      <c r="R1364" s="6"/>
      <c r="S1364" s="20"/>
      <c r="T1364" s="6"/>
      <c r="U1364" s="21"/>
      <c r="W1364" s="20"/>
      <c r="X1364" s="21"/>
    </row>
    <row r="1365" spans="2:33" ht="16">
      <c r="B1365" s="26" t="str">
        <f t="shared" si="6"/>
        <v/>
      </c>
      <c r="C1365" s="6"/>
      <c r="D1365" s="6"/>
      <c r="E1365" s="6"/>
      <c r="F1365" s="15"/>
      <c r="G1365" s="6"/>
      <c r="H1365" s="6"/>
      <c r="I1365" s="6"/>
      <c r="J1365" s="16"/>
      <c r="K1365" s="6"/>
      <c r="L1365" s="16"/>
      <c r="M1365" s="17"/>
      <c r="N1365" s="15"/>
      <c r="O1365" s="23"/>
      <c r="P1365" s="21"/>
      <c r="Q1365" s="6"/>
      <c r="R1365" s="6"/>
      <c r="S1365" s="20"/>
      <c r="T1365" s="6"/>
      <c r="U1365" s="21"/>
      <c r="W1365" s="20"/>
      <c r="X1365" s="21"/>
    </row>
    <row r="1366" spans="2:33" ht="16">
      <c r="B1366" s="26" t="str">
        <f t="shared" si="6"/>
        <v/>
      </c>
      <c r="C1366" s="6"/>
      <c r="D1366" s="6"/>
      <c r="E1366" s="6"/>
      <c r="F1366" s="15"/>
      <c r="G1366" s="6"/>
      <c r="H1366" s="6"/>
      <c r="I1366" s="6"/>
      <c r="J1366" s="16"/>
      <c r="K1366" s="6"/>
      <c r="L1366" s="16"/>
      <c r="M1366" s="17"/>
      <c r="N1366" s="15"/>
      <c r="O1366" s="23"/>
      <c r="P1366" s="21"/>
      <c r="Q1366" s="6"/>
      <c r="R1366" s="6"/>
      <c r="S1366" s="20"/>
      <c r="T1366" s="6"/>
      <c r="U1366" s="21"/>
      <c r="W1366" s="20"/>
      <c r="X1366" s="21"/>
    </row>
    <row r="1367" spans="2:33" ht="16">
      <c r="B1367" s="26" t="str">
        <f t="shared" si="6"/>
        <v/>
      </c>
      <c r="C1367" s="6"/>
      <c r="D1367" s="6"/>
      <c r="E1367" s="6"/>
      <c r="F1367" s="15"/>
      <c r="G1367" s="6"/>
      <c r="H1367" s="6"/>
      <c r="I1367" s="6"/>
      <c r="J1367" s="16"/>
      <c r="K1367" s="6"/>
      <c r="L1367" s="16"/>
      <c r="M1367" s="17"/>
      <c r="N1367" s="15"/>
      <c r="O1367" s="23"/>
      <c r="P1367" s="21"/>
      <c r="Q1367" s="6"/>
      <c r="R1367" s="6"/>
      <c r="S1367" s="20"/>
      <c r="T1367" s="6"/>
      <c r="U1367" s="21"/>
      <c r="W1367" s="20"/>
      <c r="X1367" s="21"/>
    </row>
    <row r="1368" spans="2:33" ht="16">
      <c r="B1368" s="26" t="str">
        <f t="shared" si="6"/>
        <v/>
      </c>
      <c r="C1368" s="6"/>
      <c r="D1368" s="6"/>
      <c r="E1368" s="6"/>
      <c r="F1368" s="15"/>
      <c r="G1368" s="6"/>
      <c r="H1368" s="6"/>
      <c r="I1368" s="6"/>
      <c r="J1368" s="16"/>
      <c r="K1368" s="6"/>
      <c r="L1368" s="16"/>
      <c r="M1368" s="23"/>
      <c r="N1368" s="15"/>
      <c r="O1368" s="23"/>
      <c r="P1368" s="21"/>
      <c r="Q1368" s="6"/>
      <c r="R1368" s="6"/>
      <c r="S1368" s="20"/>
      <c r="T1368" s="6"/>
      <c r="U1368" s="21"/>
      <c r="W1368" s="20"/>
      <c r="X1368" s="21"/>
    </row>
    <row r="1369" spans="2:33" ht="16">
      <c r="B1369" s="26" t="str">
        <f t="shared" si="6"/>
        <v/>
      </c>
      <c r="C1369" s="6"/>
      <c r="D1369" s="6"/>
      <c r="E1369" s="6"/>
      <c r="F1369" s="15"/>
      <c r="G1369" s="6"/>
      <c r="H1369" s="6"/>
      <c r="I1369" s="6"/>
      <c r="J1369" s="16"/>
      <c r="K1369" s="6"/>
      <c r="L1369" s="16"/>
      <c r="M1369" s="23"/>
      <c r="N1369" s="15"/>
      <c r="O1369" s="23"/>
      <c r="P1369" s="21"/>
      <c r="Q1369" s="6"/>
      <c r="R1369" s="6"/>
      <c r="S1369" s="20"/>
      <c r="T1369" s="6"/>
      <c r="U1369" s="21"/>
      <c r="W1369" s="20"/>
      <c r="X1369" s="21"/>
    </row>
    <row r="1370" spans="2:33" ht="16">
      <c r="B1370" s="26" t="str">
        <f t="shared" si="6"/>
        <v/>
      </c>
      <c r="C1370" s="6"/>
      <c r="D1370" s="6"/>
      <c r="E1370" s="6"/>
      <c r="F1370" s="15"/>
      <c r="G1370" s="6"/>
      <c r="H1370" s="6"/>
      <c r="I1370" s="6"/>
      <c r="J1370" s="16"/>
      <c r="K1370" s="6"/>
      <c r="L1370" s="16"/>
      <c r="M1370" s="23"/>
      <c r="N1370" s="15"/>
      <c r="O1370" s="17"/>
      <c r="P1370" s="21"/>
      <c r="Q1370" s="6"/>
      <c r="R1370" s="6"/>
      <c r="S1370" s="20"/>
      <c r="T1370" s="6"/>
      <c r="U1370" s="21"/>
      <c r="W1370" s="20"/>
      <c r="X1370" s="21"/>
      <c r="AG1370" s="17"/>
    </row>
    <row r="1371" spans="2:33" ht="16">
      <c r="B1371" s="26" t="str">
        <f t="shared" si="6"/>
        <v/>
      </c>
      <c r="C1371" s="6"/>
      <c r="D1371" s="6"/>
      <c r="E1371" s="6"/>
      <c r="F1371" s="15"/>
      <c r="G1371" s="6"/>
      <c r="H1371" s="6"/>
      <c r="I1371" s="6"/>
      <c r="J1371" s="16"/>
      <c r="K1371" s="6"/>
      <c r="L1371" s="16"/>
      <c r="M1371" s="23"/>
      <c r="N1371" s="15"/>
      <c r="O1371" s="17"/>
      <c r="P1371" s="21"/>
      <c r="Q1371" s="6"/>
      <c r="R1371" s="6"/>
      <c r="S1371" s="20"/>
      <c r="T1371" s="6"/>
      <c r="U1371" s="21"/>
      <c r="W1371" s="20"/>
      <c r="X1371" s="21"/>
      <c r="AG1371" s="23"/>
    </row>
    <row r="1372" spans="2:33" ht="16">
      <c r="B1372" s="26" t="str">
        <f t="shared" si="6"/>
        <v/>
      </c>
      <c r="C1372" s="6"/>
      <c r="D1372" s="6"/>
      <c r="E1372" s="6"/>
      <c r="F1372" s="15"/>
      <c r="G1372" s="6"/>
      <c r="H1372" s="6"/>
      <c r="I1372" s="6"/>
      <c r="J1372" s="16"/>
      <c r="K1372" s="6"/>
      <c r="L1372" s="16"/>
      <c r="M1372" s="23"/>
      <c r="N1372" s="15"/>
      <c r="O1372" s="17"/>
      <c r="P1372" s="21"/>
      <c r="Q1372" s="6"/>
      <c r="R1372" s="6"/>
      <c r="S1372" s="20"/>
      <c r="T1372" s="6"/>
      <c r="U1372" s="21"/>
      <c r="W1372" s="20"/>
      <c r="X1372" s="21"/>
      <c r="AG1372" s="17"/>
    </row>
    <row r="1373" spans="2:33" ht="16">
      <c r="B1373" s="26" t="str">
        <f t="shared" si="6"/>
        <v/>
      </c>
      <c r="C1373" s="6"/>
      <c r="D1373" s="6"/>
      <c r="E1373" s="6"/>
      <c r="F1373" s="15"/>
      <c r="G1373" s="6"/>
      <c r="H1373" s="6"/>
      <c r="I1373" s="6"/>
      <c r="J1373" s="16"/>
      <c r="K1373" s="6"/>
      <c r="L1373" s="16"/>
      <c r="M1373" s="17"/>
      <c r="N1373" s="15"/>
      <c r="O1373" s="17"/>
      <c r="P1373" s="21"/>
      <c r="Q1373" s="6"/>
      <c r="R1373" s="6"/>
      <c r="S1373" s="20"/>
      <c r="T1373" s="6"/>
      <c r="U1373" s="21"/>
      <c r="W1373" s="20"/>
      <c r="X1373" s="21"/>
      <c r="AG1373" s="23"/>
    </row>
    <row r="1374" spans="2:33" ht="16">
      <c r="B1374" s="26" t="str">
        <f t="shared" si="6"/>
        <v/>
      </c>
      <c r="C1374" s="6"/>
      <c r="D1374" s="6"/>
      <c r="E1374" s="6"/>
      <c r="F1374" s="15"/>
      <c r="G1374" s="6"/>
      <c r="H1374" s="6"/>
      <c r="I1374" s="6"/>
      <c r="J1374" s="16"/>
      <c r="K1374" s="6"/>
      <c r="L1374" s="16"/>
      <c r="M1374" s="23"/>
      <c r="N1374" s="15"/>
      <c r="O1374" s="17"/>
      <c r="P1374" s="21"/>
      <c r="Q1374" s="6"/>
      <c r="R1374" s="6"/>
      <c r="S1374" s="20"/>
      <c r="T1374" s="6"/>
      <c r="U1374" s="21"/>
      <c r="W1374" s="20"/>
      <c r="X1374" s="21"/>
      <c r="AG1374" s="23"/>
    </row>
    <row r="1375" spans="2:33" ht="16">
      <c r="B1375" s="26" t="str">
        <f t="shared" si="6"/>
        <v/>
      </c>
      <c r="C1375" s="6"/>
      <c r="D1375" s="6"/>
      <c r="E1375" s="6"/>
      <c r="F1375" s="15"/>
      <c r="G1375" s="6"/>
      <c r="H1375" s="6"/>
      <c r="I1375" s="6"/>
      <c r="J1375" s="16"/>
      <c r="K1375" s="6"/>
      <c r="L1375" s="16"/>
      <c r="M1375" s="23"/>
      <c r="N1375" s="15"/>
      <c r="O1375" s="17"/>
      <c r="P1375" s="21"/>
      <c r="Q1375" s="6"/>
      <c r="R1375" s="6"/>
      <c r="S1375" s="20"/>
      <c r="T1375" s="6"/>
      <c r="U1375" s="21"/>
      <c r="W1375" s="20"/>
      <c r="X1375" s="21"/>
      <c r="AG1375" s="23"/>
    </row>
    <row r="1376" spans="2:33" ht="16">
      <c r="B1376" s="26" t="str">
        <f t="shared" si="6"/>
        <v/>
      </c>
      <c r="C1376" s="6"/>
      <c r="D1376" s="6"/>
      <c r="E1376" s="6"/>
      <c r="F1376" s="15"/>
      <c r="G1376" s="6"/>
      <c r="H1376" s="6"/>
      <c r="I1376" s="6"/>
      <c r="J1376" s="16"/>
      <c r="K1376" s="6"/>
      <c r="L1376" s="16"/>
      <c r="M1376" s="17"/>
      <c r="N1376" s="15"/>
      <c r="O1376" s="17"/>
      <c r="P1376" s="21"/>
      <c r="Q1376" s="6"/>
      <c r="R1376" s="6"/>
      <c r="S1376" s="20"/>
      <c r="T1376" s="6"/>
      <c r="U1376" s="21"/>
      <c r="W1376" s="20"/>
      <c r="X1376" s="21"/>
      <c r="AG1376" s="23"/>
    </row>
    <row r="1377" spans="2:33" ht="16">
      <c r="B1377" s="26" t="str">
        <f t="shared" si="6"/>
        <v/>
      </c>
      <c r="C1377" s="6"/>
      <c r="D1377" s="6"/>
      <c r="E1377" s="6"/>
      <c r="F1377" s="15"/>
      <c r="G1377" s="6"/>
      <c r="H1377" s="6"/>
      <c r="I1377" s="6"/>
      <c r="J1377" s="16"/>
      <c r="K1377" s="6"/>
      <c r="L1377" s="16"/>
      <c r="M1377" s="17"/>
      <c r="N1377" s="15"/>
      <c r="O1377" s="17"/>
      <c r="P1377" s="21"/>
      <c r="Q1377" s="6"/>
      <c r="R1377" s="6"/>
      <c r="S1377" s="20"/>
      <c r="T1377" s="6"/>
      <c r="U1377" s="21"/>
      <c r="W1377" s="20"/>
      <c r="X1377" s="21"/>
      <c r="AG1377" s="23"/>
    </row>
    <row r="1378" spans="2:33" ht="16">
      <c r="B1378" s="26" t="str">
        <f t="shared" si="6"/>
        <v/>
      </c>
      <c r="C1378" s="6"/>
      <c r="D1378" s="6"/>
      <c r="E1378" s="6"/>
      <c r="F1378" s="15"/>
      <c r="G1378" s="6"/>
      <c r="H1378" s="6"/>
      <c r="I1378" s="6"/>
      <c r="J1378" s="16"/>
      <c r="K1378" s="6"/>
      <c r="L1378" s="16"/>
      <c r="M1378" s="17"/>
      <c r="N1378" s="15"/>
      <c r="O1378" s="17"/>
      <c r="P1378" s="21"/>
      <c r="Q1378" s="6"/>
      <c r="R1378" s="6"/>
      <c r="S1378" s="20"/>
      <c r="T1378" s="6"/>
      <c r="U1378" s="21"/>
      <c r="W1378" s="20"/>
      <c r="X1378" s="21"/>
      <c r="AG1378" s="23"/>
    </row>
    <row r="1379" spans="2:33" ht="16">
      <c r="B1379" s="26" t="str">
        <f t="shared" si="6"/>
        <v/>
      </c>
      <c r="C1379" s="6"/>
      <c r="D1379" s="6"/>
      <c r="E1379" s="6"/>
      <c r="F1379" s="15"/>
      <c r="G1379" s="6"/>
      <c r="H1379" s="6"/>
      <c r="I1379" s="6"/>
      <c r="J1379" s="16"/>
      <c r="K1379" s="6"/>
      <c r="L1379" s="16"/>
      <c r="M1379" s="17"/>
      <c r="N1379" s="15"/>
      <c r="O1379" s="17"/>
      <c r="P1379" s="21"/>
      <c r="Q1379" s="6"/>
      <c r="R1379" s="6"/>
      <c r="S1379" s="20"/>
      <c r="T1379" s="6"/>
      <c r="U1379" s="21"/>
      <c r="W1379" s="20"/>
      <c r="X1379" s="21"/>
      <c r="AG1379" s="17"/>
    </row>
    <row r="1380" spans="2:33" ht="16">
      <c r="B1380" s="26" t="str">
        <f t="shared" si="6"/>
        <v/>
      </c>
      <c r="C1380" s="6"/>
      <c r="D1380" s="6"/>
      <c r="E1380" s="6"/>
      <c r="F1380" s="15"/>
      <c r="G1380" s="6"/>
      <c r="H1380" s="6"/>
      <c r="I1380" s="6"/>
      <c r="J1380" s="16"/>
      <c r="K1380" s="6"/>
      <c r="L1380" s="16"/>
      <c r="M1380" s="23"/>
      <c r="N1380" s="15"/>
      <c r="O1380" s="17"/>
      <c r="P1380" s="21"/>
      <c r="Q1380" s="6"/>
      <c r="R1380" s="6"/>
      <c r="S1380" s="20"/>
      <c r="T1380" s="6"/>
      <c r="U1380" s="21"/>
      <c r="W1380" s="20"/>
      <c r="X1380" s="21"/>
      <c r="AG1380" s="23"/>
    </row>
    <row r="1381" spans="2:33" ht="16">
      <c r="B1381" s="26" t="str">
        <f t="shared" si="6"/>
        <v/>
      </c>
      <c r="C1381" s="6"/>
      <c r="D1381" s="6"/>
      <c r="E1381" s="6"/>
      <c r="F1381" s="15"/>
      <c r="G1381" s="6"/>
      <c r="H1381" s="6"/>
      <c r="I1381" s="6"/>
      <c r="J1381" s="16"/>
      <c r="K1381" s="6"/>
      <c r="L1381" s="16"/>
      <c r="M1381" s="23"/>
      <c r="N1381" s="15"/>
      <c r="O1381" s="17"/>
      <c r="P1381" s="21"/>
      <c r="Q1381" s="6"/>
      <c r="R1381" s="6"/>
      <c r="S1381" s="20"/>
      <c r="T1381" s="6"/>
      <c r="U1381" s="21"/>
      <c r="W1381" s="20"/>
      <c r="X1381" s="21"/>
      <c r="AG1381" s="23"/>
    </row>
    <row r="1382" spans="2:33" ht="16">
      <c r="B1382" s="26" t="str">
        <f t="shared" si="6"/>
        <v/>
      </c>
      <c r="C1382" s="6"/>
      <c r="D1382" s="6"/>
      <c r="E1382" s="6"/>
      <c r="F1382" s="15"/>
      <c r="G1382" s="6"/>
      <c r="H1382" s="6"/>
      <c r="I1382" s="6"/>
      <c r="J1382" s="16"/>
      <c r="K1382" s="6"/>
      <c r="L1382" s="16"/>
      <c r="M1382" s="23"/>
      <c r="N1382" s="15"/>
      <c r="O1382" s="17"/>
      <c r="P1382" s="21"/>
      <c r="Q1382" s="6"/>
      <c r="R1382" s="6"/>
      <c r="S1382" s="20"/>
      <c r="T1382" s="6"/>
      <c r="U1382" s="21"/>
      <c r="W1382" s="20"/>
      <c r="X1382" s="21"/>
      <c r="AG1382" s="23"/>
    </row>
    <row r="1383" spans="2:33" ht="16">
      <c r="B1383" s="26" t="str">
        <f t="shared" si="6"/>
        <v/>
      </c>
      <c r="C1383" s="6"/>
      <c r="D1383" s="6"/>
      <c r="E1383" s="6"/>
      <c r="F1383" s="15"/>
      <c r="G1383" s="6"/>
      <c r="H1383" s="6"/>
      <c r="I1383" s="6"/>
      <c r="J1383" s="16"/>
      <c r="K1383" s="6"/>
      <c r="L1383" s="16"/>
      <c r="M1383" s="23"/>
      <c r="N1383" s="15"/>
      <c r="O1383" s="17"/>
      <c r="P1383" s="21"/>
      <c r="Q1383" s="6"/>
      <c r="R1383" s="6"/>
      <c r="S1383" s="20"/>
      <c r="T1383" s="6"/>
      <c r="U1383" s="21"/>
      <c r="W1383" s="20"/>
      <c r="X1383" s="21"/>
      <c r="AG1383" s="23"/>
    </row>
    <row r="1384" spans="2:33" ht="16">
      <c r="B1384" s="26" t="str">
        <f t="shared" si="6"/>
        <v/>
      </c>
      <c r="C1384" s="6"/>
      <c r="D1384" s="6"/>
      <c r="E1384" s="6"/>
      <c r="F1384" s="15"/>
      <c r="G1384" s="6"/>
      <c r="H1384" s="6"/>
      <c r="I1384" s="6"/>
      <c r="J1384" s="16"/>
      <c r="K1384" s="6"/>
      <c r="L1384" s="16"/>
      <c r="M1384" s="23"/>
      <c r="N1384" s="15"/>
      <c r="O1384" s="17"/>
      <c r="P1384" s="21"/>
      <c r="Q1384" s="6"/>
      <c r="R1384" s="6"/>
      <c r="S1384" s="20"/>
      <c r="T1384" s="6"/>
      <c r="U1384" s="21"/>
      <c r="W1384" s="20"/>
      <c r="X1384" s="21"/>
      <c r="AG1384" s="23"/>
    </row>
    <row r="1385" spans="2:33" ht="16">
      <c r="B1385" s="26" t="str">
        <f t="shared" si="6"/>
        <v/>
      </c>
      <c r="C1385" s="6"/>
      <c r="D1385" s="6"/>
      <c r="E1385" s="6"/>
      <c r="F1385" s="15"/>
      <c r="G1385" s="6"/>
      <c r="H1385" s="6"/>
      <c r="I1385" s="6"/>
      <c r="J1385" s="16"/>
      <c r="K1385" s="6"/>
      <c r="L1385" s="16"/>
      <c r="M1385" s="17"/>
      <c r="N1385" s="15"/>
      <c r="O1385" s="17"/>
      <c r="P1385" s="21"/>
      <c r="Q1385" s="6"/>
      <c r="R1385" s="6"/>
      <c r="S1385" s="20"/>
      <c r="T1385" s="6"/>
      <c r="U1385" s="21"/>
      <c r="W1385" s="20"/>
      <c r="X1385" s="21"/>
      <c r="AG1385" s="23"/>
    </row>
    <row r="1386" spans="2:33" ht="16">
      <c r="B1386" s="26" t="str">
        <f t="shared" si="6"/>
        <v/>
      </c>
      <c r="C1386" s="6"/>
      <c r="D1386" s="6"/>
      <c r="E1386" s="6"/>
      <c r="F1386" s="15"/>
      <c r="G1386" s="6"/>
      <c r="H1386" s="6"/>
      <c r="I1386" s="6"/>
      <c r="J1386" s="16"/>
      <c r="K1386" s="6"/>
      <c r="L1386" s="16"/>
      <c r="M1386" s="23"/>
      <c r="N1386" s="15"/>
      <c r="O1386" s="17"/>
      <c r="P1386" s="21"/>
      <c r="Q1386" s="6"/>
      <c r="R1386" s="6"/>
      <c r="S1386" s="20"/>
      <c r="T1386" s="6"/>
      <c r="U1386" s="21"/>
      <c r="W1386" s="20"/>
      <c r="X1386" s="21"/>
      <c r="AG1386" s="23"/>
    </row>
    <row r="1387" spans="2:33" ht="16">
      <c r="B1387" s="26" t="str">
        <f t="shared" si="6"/>
        <v/>
      </c>
      <c r="C1387" s="6"/>
      <c r="D1387" s="6"/>
      <c r="E1387" s="6"/>
      <c r="F1387" s="15"/>
      <c r="G1387" s="6"/>
      <c r="H1387" s="6"/>
      <c r="I1387" s="6"/>
      <c r="J1387" s="16"/>
      <c r="K1387" s="6"/>
      <c r="L1387" s="16"/>
      <c r="M1387" s="23"/>
      <c r="N1387" s="15"/>
      <c r="O1387" s="17"/>
      <c r="P1387" s="21"/>
      <c r="Q1387" s="6"/>
      <c r="R1387" s="6"/>
      <c r="S1387" s="20"/>
      <c r="T1387" s="6"/>
      <c r="U1387" s="21"/>
      <c r="W1387" s="20"/>
      <c r="X1387" s="21"/>
      <c r="AG1387" s="23"/>
    </row>
    <row r="1388" spans="2:33" ht="16">
      <c r="B1388" s="26" t="str">
        <f t="shared" si="6"/>
        <v/>
      </c>
      <c r="C1388" s="6"/>
      <c r="D1388" s="6"/>
      <c r="E1388" s="6"/>
      <c r="F1388" s="15"/>
      <c r="G1388" s="6"/>
      <c r="H1388" s="6"/>
      <c r="I1388" s="6"/>
      <c r="J1388" s="16"/>
      <c r="K1388" s="6"/>
      <c r="L1388" s="16"/>
      <c r="M1388" s="23"/>
      <c r="N1388" s="15"/>
      <c r="O1388" s="17"/>
      <c r="P1388" s="21"/>
      <c r="Q1388" s="6"/>
      <c r="R1388" s="6"/>
      <c r="S1388" s="20"/>
      <c r="T1388" s="6"/>
      <c r="U1388" s="21"/>
      <c r="W1388" s="20"/>
      <c r="X1388" s="21"/>
      <c r="AG1388" s="23"/>
    </row>
    <row r="1389" spans="2:33" ht="16">
      <c r="B1389" s="26" t="str">
        <f t="shared" si="6"/>
        <v/>
      </c>
      <c r="C1389" s="6"/>
      <c r="D1389" s="6"/>
      <c r="E1389" s="6"/>
      <c r="F1389" s="15"/>
      <c r="G1389" s="6"/>
      <c r="H1389" s="6"/>
      <c r="I1389" s="6"/>
      <c r="J1389" s="16"/>
      <c r="K1389" s="6"/>
      <c r="L1389" s="16"/>
      <c r="M1389" s="17"/>
      <c r="N1389" s="15"/>
      <c r="O1389" s="17"/>
      <c r="P1389" s="21"/>
      <c r="Q1389" s="6"/>
      <c r="R1389" s="6"/>
      <c r="S1389" s="20"/>
      <c r="T1389" s="6"/>
      <c r="U1389" s="21"/>
      <c r="W1389" s="20"/>
      <c r="X1389" s="21"/>
      <c r="AG1389" s="23"/>
    </row>
    <row r="1390" spans="2:33" ht="16">
      <c r="B1390" s="26" t="str">
        <f t="shared" si="6"/>
        <v/>
      </c>
      <c r="C1390" s="23"/>
      <c r="D1390" s="6"/>
      <c r="E1390" s="6"/>
      <c r="F1390" s="15"/>
      <c r="G1390" s="6"/>
      <c r="H1390" s="6"/>
      <c r="I1390" s="6"/>
      <c r="J1390" s="16"/>
      <c r="K1390" s="6"/>
      <c r="L1390" s="16"/>
      <c r="M1390" s="23"/>
      <c r="N1390" s="15"/>
      <c r="O1390" s="17"/>
      <c r="P1390" s="21"/>
      <c r="Q1390" s="6"/>
      <c r="R1390" s="6"/>
      <c r="S1390" s="20"/>
      <c r="T1390" s="6"/>
      <c r="U1390" s="21"/>
      <c r="W1390" s="20"/>
      <c r="X1390" s="21"/>
      <c r="AG1390" s="23"/>
    </row>
    <row r="1391" spans="2:33" ht="16">
      <c r="B1391" s="26" t="str">
        <f t="shared" si="6"/>
        <v/>
      </c>
      <c r="C1391" s="6"/>
      <c r="D1391" s="6"/>
      <c r="E1391" s="6"/>
      <c r="F1391" s="15"/>
      <c r="G1391" s="6"/>
      <c r="H1391" s="6"/>
      <c r="I1391" s="6"/>
      <c r="J1391" s="16"/>
      <c r="K1391" s="6"/>
      <c r="L1391" s="16"/>
      <c r="M1391" s="17"/>
      <c r="N1391" s="15"/>
      <c r="O1391" s="17"/>
      <c r="P1391" s="21"/>
      <c r="Q1391" s="6"/>
      <c r="R1391" s="6"/>
      <c r="S1391" s="20"/>
      <c r="T1391" s="6"/>
      <c r="U1391" s="21"/>
      <c r="W1391" s="20"/>
      <c r="X1391" s="21"/>
      <c r="AG1391" s="23"/>
    </row>
    <row r="1392" spans="2:33" ht="16">
      <c r="B1392" s="26" t="str">
        <f t="shared" si="6"/>
        <v/>
      </c>
      <c r="C1392" s="6"/>
      <c r="D1392" s="6"/>
      <c r="E1392" s="6"/>
      <c r="F1392" s="15"/>
      <c r="G1392" s="6"/>
      <c r="H1392" s="6"/>
      <c r="I1392" s="6"/>
      <c r="J1392" s="16"/>
      <c r="K1392" s="6"/>
      <c r="L1392" s="16"/>
      <c r="M1392" s="23"/>
      <c r="N1392" s="15"/>
      <c r="O1392" s="17"/>
      <c r="P1392" s="21"/>
      <c r="Q1392" s="6"/>
      <c r="R1392" s="6"/>
      <c r="S1392" s="20"/>
      <c r="T1392" s="6"/>
      <c r="U1392" s="21"/>
      <c r="W1392" s="20"/>
      <c r="X1392" s="21"/>
      <c r="AG1392" s="17"/>
    </row>
    <row r="1393" spans="2:33" ht="16">
      <c r="B1393" s="26" t="str">
        <f t="shared" si="6"/>
        <v/>
      </c>
      <c r="C1393" s="6"/>
      <c r="D1393" s="6"/>
      <c r="E1393" s="6"/>
      <c r="F1393" s="15"/>
      <c r="G1393" s="6"/>
      <c r="H1393" s="6"/>
      <c r="I1393" s="6"/>
      <c r="J1393" s="16"/>
      <c r="K1393" s="6"/>
      <c r="L1393" s="16"/>
      <c r="M1393" s="17"/>
      <c r="N1393" s="15"/>
      <c r="O1393" s="17"/>
      <c r="P1393" s="21"/>
      <c r="Q1393" s="6"/>
      <c r="R1393" s="6"/>
      <c r="S1393" s="20"/>
      <c r="T1393" s="6"/>
      <c r="U1393" s="21"/>
      <c r="W1393" s="20"/>
      <c r="X1393" s="21"/>
      <c r="AG1393" s="23"/>
    </row>
    <row r="1394" spans="2:33" ht="16">
      <c r="B1394" s="26" t="str">
        <f t="shared" si="6"/>
        <v/>
      </c>
      <c r="C1394" s="23"/>
      <c r="D1394" s="6"/>
      <c r="E1394" s="6"/>
      <c r="F1394" s="15"/>
      <c r="G1394" s="6"/>
      <c r="H1394" s="6"/>
      <c r="I1394" s="6"/>
      <c r="J1394" s="16"/>
      <c r="K1394" s="6"/>
      <c r="L1394" s="16"/>
      <c r="M1394" s="17"/>
      <c r="N1394" s="15"/>
      <c r="O1394" s="17"/>
      <c r="P1394" s="21"/>
      <c r="Q1394" s="6"/>
      <c r="R1394" s="6"/>
      <c r="S1394" s="20"/>
      <c r="T1394" s="6"/>
      <c r="U1394" s="21"/>
      <c r="W1394" s="20"/>
      <c r="X1394" s="21"/>
      <c r="AG1394" s="23"/>
    </row>
    <row r="1395" spans="2:33" ht="16">
      <c r="B1395" s="26" t="str">
        <f t="shared" si="6"/>
        <v/>
      </c>
      <c r="C1395" s="6"/>
      <c r="D1395" s="6"/>
      <c r="E1395" s="6"/>
      <c r="F1395" s="15"/>
      <c r="G1395" s="6"/>
      <c r="H1395" s="6"/>
      <c r="I1395" s="6"/>
      <c r="J1395" s="16"/>
      <c r="K1395" s="6"/>
      <c r="L1395" s="16"/>
      <c r="M1395" s="17"/>
      <c r="N1395" s="15"/>
      <c r="O1395" s="17"/>
      <c r="P1395" s="21"/>
      <c r="Q1395" s="6"/>
      <c r="R1395" s="6"/>
      <c r="S1395" s="20"/>
      <c r="T1395" s="6"/>
      <c r="U1395" s="21"/>
      <c r="W1395" s="20"/>
      <c r="X1395" s="21"/>
      <c r="AG1395" s="23"/>
    </row>
    <row r="1396" spans="2:33" ht="16">
      <c r="B1396" s="26" t="str">
        <f t="shared" si="6"/>
        <v/>
      </c>
      <c r="C1396" s="6"/>
      <c r="D1396" s="6"/>
      <c r="E1396" s="6"/>
      <c r="F1396" s="15"/>
      <c r="G1396" s="6"/>
      <c r="H1396" s="6"/>
      <c r="I1396" s="6"/>
      <c r="J1396" s="16"/>
      <c r="K1396" s="6"/>
      <c r="L1396" s="16"/>
      <c r="M1396" s="17"/>
      <c r="N1396" s="15"/>
      <c r="O1396" s="17"/>
      <c r="P1396" s="21"/>
      <c r="Q1396" s="6"/>
      <c r="R1396" s="6"/>
      <c r="S1396" s="20"/>
      <c r="T1396" s="6"/>
      <c r="U1396" s="21"/>
      <c r="W1396" s="20"/>
      <c r="X1396" s="21"/>
      <c r="AG1396" s="17"/>
    </row>
    <row r="1397" spans="2:33" ht="16">
      <c r="B1397" s="26" t="str">
        <f t="shared" si="6"/>
        <v/>
      </c>
      <c r="C1397" s="6"/>
      <c r="D1397" s="6"/>
      <c r="E1397" s="6"/>
      <c r="F1397" s="15"/>
      <c r="G1397" s="6"/>
      <c r="H1397" s="6"/>
      <c r="I1397" s="6"/>
      <c r="J1397" s="16"/>
      <c r="K1397" s="6"/>
      <c r="L1397" s="16"/>
      <c r="M1397" s="17"/>
      <c r="N1397" s="15"/>
      <c r="O1397" s="17"/>
      <c r="P1397" s="21"/>
      <c r="Q1397" s="6"/>
      <c r="R1397" s="6"/>
      <c r="S1397" s="20"/>
      <c r="T1397" s="6"/>
      <c r="U1397" s="21"/>
      <c r="W1397" s="20"/>
      <c r="X1397" s="21"/>
      <c r="AG1397" s="17"/>
    </row>
    <row r="1398" spans="2:33" ht="16">
      <c r="B1398" s="26" t="str">
        <f t="shared" si="6"/>
        <v/>
      </c>
      <c r="C1398" s="6"/>
      <c r="D1398" s="6"/>
      <c r="E1398" s="6"/>
      <c r="F1398" s="15"/>
      <c r="G1398" s="6"/>
      <c r="H1398" s="6"/>
      <c r="I1398" s="6"/>
      <c r="J1398" s="16"/>
      <c r="K1398" s="6"/>
      <c r="L1398" s="16"/>
      <c r="M1398" s="17"/>
      <c r="N1398" s="15"/>
      <c r="O1398" s="17"/>
      <c r="P1398" s="21"/>
      <c r="Q1398" s="6"/>
      <c r="R1398" s="6"/>
      <c r="S1398" s="20"/>
      <c r="T1398" s="6"/>
      <c r="U1398" s="21"/>
      <c r="W1398" s="20"/>
      <c r="X1398" s="21"/>
      <c r="AG1398" s="23"/>
    </row>
    <row r="1399" spans="2:33" ht="16">
      <c r="B1399" s="26" t="str">
        <f t="shared" si="6"/>
        <v/>
      </c>
      <c r="C1399" s="6"/>
      <c r="D1399" s="6"/>
      <c r="E1399" s="6"/>
      <c r="F1399" s="15"/>
      <c r="G1399" s="6"/>
      <c r="H1399" s="6"/>
      <c r="I1399" s="6"/>
      <c r="J1399" s="16"/>
      <c r="K1399" s="6"/>
      <c r="L1399" s="16"/>
      <c r="M1399" s="23"/>
      <c r="N1399" s="15"/>
      <c r="O1399" s="17"/>
      <c r="P1399" s="21"/>
      <c r="Q1399" s="6"/>
      <c r="R1399" s="6"/>
      <c r="S1399" s="20"/>
      <c r="T1399" s="6"/>
      <c r="U1399" s="21"/>
      <c r="W1399" s="20"/>
      <c r="X1399" s="21"/>
      <c r="AG1399" s="17"/>
    </row>
    <row r="1400" spans="2:33" ht="16">
      <c r="B1400" s="26" t="str">
        <f t="shared" si="6"/>
        <v/>
      </c>
      <c r="C1400" s="6"/>
      <c r="D1400" s="6"/>
      <c r="E1400" s="6"/>
      <c r="F1400" s="15"/>
      <c r="G1400" s="6"/>
      <c r="H1400" s="6"/>
      <c r="I1400" s="6"/>
      <c r="J1400" s="16"/>
      <c r="K1400" s="6"/>
      <c r="L1400" s="16"/>
      <c r="M1400" s="17"/>
      <c r="N1400" s="15"/>
      <c r="O1400" s="17"/>
      <c r="P1400" s="21"/>
      <c r="Q1400" s="6"/>
      <c r="R1400" s="6"/>
      <c r="S1400" s="20"/>
      <c r="T1400" s="6"/>
      <c r="U1400" s="21"/>
      <c r="W1400" s="20"/>
      <c r="X1400" s="21"/>
      <c r="AG1400" s="23"/>
    </row>
    <row r="1401" spans="2:33" ht="16">
      <c r="B1401" s="26" t="str">
        <f t="shared" si="6"/>
        <v/>
      </c>
      <c r="C1401" s="6"/>
      <c r="D1401" s="6"/>
      <c r="E1401" s="6"/>
      <c r="F1401" s="15"/>
      <c r="G1401" s="6"/>
      <c r="H1401" s="6"/>
      <c r="I1401" s="6"/>
      <c r="J1401" s="16"/>
      <c r="K1401" s="6"/>
      <c r="L1401" s="16"/>
      <c r="M1401" s="23"/>
      <c r="N1401" s="15"/>
      <c r="O1401" s="17"/>
      <c r="P1401" s="21"/>
      <c r="Q1401" s="6"/>
      <c r="R1401" s="6"/>
      <c r="S1401" s="20"/>
      <c r="T1401" s="6"/>
      <c r="W1401" s="20"/>
      <c r="X1401" s="21"/>
      <c r="AG1401" s="23"/>
    </row>
    <row r="1402" spans="2:33" ht="16">
      <c r="B1402" s="26" t="str">
        <f t="shared" si="6"/>
        <v/>
      </c>
      <c r="C1402" s="6"/>
      <c r="D1402" s="6"/>
      <c r="E1402" s="6"/>
      <c r="F1402" s="15"/>
      <c r="G1402" s="6"/>
      <c r="H1402" s="6"/>
      <c r="I1402" s="6"/>
      <c r="J1402" s="16"/>
      <c r="K1402" s="6"/>
      <c r="L1402" s="16"/>
      <c r="M1402" s="17"/>
      <c r="N1402" s="15"/>
      <c r="O1402" s="17"/>
      <c r="P1402" s="21"/>
      <c r="Q1402" s="6"/>
      <c r="R1402" s="6"/>
      <c r="S1402" s="20"/>
      <c r="T1402" s="6"/>
      <c r="U1402" s="21"/>
      <c r="W1402" s="20"/>
      <c r="X1402" s="21"/>
      <c r="AG1402" s="17"/>
    </row>
    <row r="1403" spans="2:33" ht="16">
      <c r="B1403" s="26" t="str">
        <f t="shared" si="6"/>
        <v/>
      </c>
      <c r="C1403" s="6"/>
      <c r="D1403" s="6"/>
      <c r="E1403" s="6"/>
      <c r="F1403" s="15"/>
      <c r="G1403" s="6"/>
      <c r="H1403" s="6"/>
      <c r="I1403" s="6"/>
      <c r="J1403" s="16"/>
      <c r="K1403" s="6"/>
      <c r="L1403" s="16"/>
      <c r="M1403" s="23"/>
      <c r="N1403" s="15"/>
      <c r="O1403" s="17"/>
      <c r="P1403" s="21"/>
      <c r="Q1403" s="6"/>
      <c r="R1403" s="6"/>
      <c r="S1403" s="20"/>
      <c r="T1403" s="6"/>
      <c r="U1403" s="21"/>
      <c r="W1403" s="20"/>
      <c r="X1403" s="21"/>
      <c r="AG1403" s="23"/>
    </row>
    <row r="1404" spans="2:33" ht="16">
      <c r="B1404" s="26" t="str">
        <f t="shared" si="6"/>
        <v/>
      </c>
      <c r="C1404" s="6"/>
      <c r="D1404" s="6"/>
      <c r="E1404" s="6"/>
      <c r="F1404" s="15"/>
      <c r="G1404" s="6"/>
      <c r="H1404" s="6"/>
      <c r="I1404" s="6"/>
      <c r="J1404" s="16"/>
      <c r="K1404" s="6"/>
      <c r="L1404" s="16"/>
      <c r="M1404" s="17"/>
      <c r="N1404" s="15"/>
      <c r="O1404" s="17"/>
      <c r="P1404" s="21"/>
      <c r="Q1404" s="6"/>
      <c r="R1404" s="6"/>
      <c r="S1404" s="20"/>
      <c r="T1404" s="6"/>
      <c r="U1404" s="21"/>
      <c r="W1404" s="20"/>
      <c r="X1404" s="21"/>
      <c r="AG1404" s="23"/>
    </row>
    <row r="1405" spans="2:33" ht="16">
      <c r="B1405" s="26" t="str">
        <f t="shared" si="6"/>
        <v/>
      </c>
      <c r="C1405" s="6"/>
      <c r="D1405" s="6"/>
      <c r="E1405" s="6"/>
      <c r="F1405" s="15"/>
      <c r="G1405" s="6"/>
      <c r="H1405" s="6"/>
      <c r="I1405" s="6"/>
      <c r="J1405" s="16"/>
      <c r="K1405" s="6"/>
      <c r="L1405" s="16"/>
      <c r="M1405" s="17"/>
      <c r="N1405" s="15"/>
      <c r="O1405" s="17"/>
      <c r="P1405" s="21"/>
      <c r="Q1405" s="6"/>
      <c r="R1405" s="6"/>
      <c r="S1405" s="20"/>
      <c r="T1405" s="6"/>
      <c r="U1405" s="21"/>
      <c r="W1405" s="20"/>
      <c r="X1405" s="21"/>
      <c r="AG1405" s="23"/>
    </row>
    <row r="1406" spans="2:33" ht="16">
      <c r="B1406" s="26" t="str">
        <f t="shared" si="6"/>
        <v/>
      </c>
      <c r="C1406" s="6"/>
      <c r="D1406" s="6"/>
      <c r="E1406" s="6"/>
      <c r="F1406" s="15"/>
      <c r="G1406" s="6"/>
      <c r="H1406" s="6"/>
      <c r="I1406" s="6"/>
      <c r="J1406" s="16"/>
      <c r="K1406" s="6"/>
      <c r="L1406" s="16"/>
      <c r="M1406" s="17"/>
      <c r="N1406" s="15"/>
      <c r="O1406" s="17"/>
      <c r="P1406" s="21"/>
      <c r="Q1406" s="6"/>
      <c r="R1406" s="6"/>
      <c r="S1406" s="20"/>
      <c r="T1406" s="6"/>
      <c r="U1406" s="21"/>
      <c r="W1406" s="20"/>
      <c r="X1406" s="21"/>
      <c r="AG1406" s="23"/>
    </row>
    <row r="1407" spans="2:33" ht="16">
      <c r="B1407" s="26" t="str">
        <f t="shared" si="6"/>
        <v/>
      </c>
      <c r="C1407" s="6"/>
      <c r="D1407" s="6"/>
      <c r="E1407" s="6"/>
      <c r="F1407" s="15"/>
      <c r="G1407" s="6"/>
      <c r="H1407" s="6"/>
      <c r="I1407" s="6"/>
      <c r="J1407" s="16"/>
      <c r="K1407" s="6"/>
      <c r="L1407" s="16"/>
      <c r="M1407" s="23"/>
      <c r="N1407" s="15"/>
      <c r="O1407" s="17"/>
      <c r="P1407" s="21"/>
      <c r="Q1407" s="6"/>
      <c r="R1407" s="6"/>
      <c r="S1407" s="20"/>
      <c r="T1407" s="6"/>
      <c r="U1407" s="21"/>
      <c r="W1407" s="20"/>
      <c r="X1407" s="21"/>
      <c r="AG1407" s="23"/>
    </row>
    <row r="1408" spans="2:33" ht="16">
      <c r="B1408" s="26" t="str">
        <f t="shared" si="6"/>
        <v/>
      </c>
      <c r="C1408" s="6"/>
      <c r="D1408" s="6"/>
      <c r="E1408" s="6"/>
      <c r="F1408" s="15"/>
      <c r="G1408" s="6"/>
      <c r="H1408" s="6"/>
      <c r="I1408" s="6"/>
      <c r="J1408" s="16"/>
      <c r="K1408" s="6"/>
      <c r="L1408" s="16"/>
      <c r="M1408" s="17"/>
      <c r="N1408" s="15"/>
      <c r="O1408" s="17"/>
      <c r="P1408" s="21"/>
      <c r="Q1408" s="6"/>
      <c r="R1408" s="6"/>
      <c r="S1408" s="20"/>
      <c r="T1408" s="6"/>
      <c r="U1408" s="21"/>
      <c r="W1408" s="20"/>
      <c r="X1408" s="21"/>
      <c r="AG1408" s="23"/>
    </row>
    <row r="1409" spans="2:33" ht="16">
      <c r="B1409" s="26" t="str">
        <f t="shared" si="6"/>
        <v/>
      </c>
      <c r="C1409" s="6"/>
      <c r="D1409" s="6"/>
      <c r="E1409" s="6"/>
      <c r="F1409" s="15"/>
      <c r="G1409" s="6"/>
      <c r="H1409" s="6"/>
      <c r="I1409" s="6"/>
      <c r="J1409" s="16"/>
      <c r="K1409" s="6"/>
      <c r="L1409" s="16"/>
      <c r="M1409" s="17"/>
      <c r="N1409" s="15"/>
      <c r="O1409" s="17"/>
      <c r="P1409" s="21"/>
      <c r="Q1409" s="6"/>
      <c r="R1409" s="6"/>
      <c r="S1409" s="20"/>
      <c r="T1409" s="6"/>
      <c r="U1409" s="21"/>
      <c r="W1409" s="20"/>
      <c r="X1409" s="21"/>
      <c r="AG1409" s="17"/>
    </row>
    <row r="1410" spans="2:33" ht="16">
      <c r="B1410" s="26" t="str">
        <f t="shared" si="6"/>
        <v/>
      </c>
      <c r="C1410" s="6"/>
      <c r="D1410" s="6"/>
      <c r="E1410" s="6"/>
      <c r="F1410" s="15"/>
      <c r="G1410" s="6"/>
      <c r="H1410" s="6"/>
      <c r="I1410" s="6"/>
      <c r="J1410" s="16"/>
      <c r="K1410" s="6"/>
      <c r="L1410" s="16"/>
      <c r="M1410" s="17"/>
      <c r="N1410" s="15"/>
      <c r="O1410" s="17"/>
      <c r="P1410" s="21"/>
      <c r="Q1410" s="6"/>
      <c r="R1410" s="6"/>
      <c r="S1410" s="20"/>
      <c r="T1410" s="6"/>
      <c r="U1410" s="21"/>
      <c r="W1410" s="20"/>
      <c r="X1410" s="21"/>
      <c r="AG1410" s="17"/>
    </row>
    <row r="1411" spans="2:33" ht="16">
      <c r="B1411" s="26" t="str">
        <f t="shared" si="6"/>
        <v/>
      </c>
      <c r="C1411" s="6"/>
      <c r="D1411" s="6"/>
      <c r="E1411" s="6"/>
      <c r="F1411" s="15"/>
      <c r="G1411" s="6"/>
      <c r="H1411" s="6"/>
      <c r="I1411" s="6"/>
      <c r="J1411" s="16"/>
      <c r="K1411" s="6"/>
      <c r="L1411" s="16"/>
      <c r="M1411" s="17"/>
      <c r="N1411" s="15"/>
      <c r="O1411" s="17"/>
      <c r="P1411" s="21"/>
      <c r="Q1411" s="6"/>
      <c r="R1411" s="6"/>
      <c r="S1411" s="20"/>
      <c r="T1411" s="6"/>
      <c r="U1411" s="21"/>
      <c r="W1411" s="20"/>
      <c r="X1411" s="21"/>
      <c r="AG1411" s="17"/>
    </row>
    <row r="1412" spans="2:33" ht="16">
      <c r="B1412" s="26" t="str">
        <f t="shared" si="6"/>
        <v/>
      </c>
      <c r="C1412" s="6"/>
      <c r="D1412" s="6"/>
      <c r="E1412" s="6"/>
      <c r="F1412" s="15"/>
      <c r="G1412" s="6"/>
      <c r="H1412" s="6"/>
      <c r="I1412" s="6"/>
      <c r="J1412" s="16"/>
      <c r="K1412" s="6"/>
      <c r="L1412" s="16"/>
      <c r="M1412" s="23"/>
      <c r="N1412" s="15"/>
      <c r="O1412" s="17"/>
      <c r="P1412" s="21"/>
      <c r="Q1412" s="6"/>
      <c r="R1412" s="6"/>
      <c r="S1412" s="20"/>
      <c r="T1412" s="6"/>
      <c r="U1412" s="21"/>
      <c r="W1412" s="20"/>
      <c r="X1412" s="21"/>
      <c r="AG1412" s="23"/>
    </row>
    <row r="1413" spans="2:33" ht="16">
      <c r="B1413" s="26" t="str">
        <f t="shared" si="6"/>
        <v/>
      </c>
      <c r="C1413" s="6"/>
      <c r="D1413" s="6"/>
      <c r="E1413" s="6"/>
      <c r="F1413" s="15"/>
      <c r="G1413" s="6"/>
      <c r="H1413" s="6"/>
      <c r="I1413" s="6"/>
      <c r="J1413" s="16"/>
      <c r="K1413" s="6"/>
      <c r="L1413" s="16"/>
      <c r="M1413" s="17"/>
      <c r="N1413" s="15"/>
      <c r="O1413" s="17"/>
      <c r="P1413" s="21"/>
      <c r="Q1413" s="6"/>
      <c r="R1413" s="6"/>
      <c r="S1413" s="20"/>
      <c r="T1413" s="6"/>
      <c r="U1413" s="21"/>
      <c r="W1413" s="20"/>
      <c r="X1413" s="21"/>
      <c r="AG1413" s="23"/>
    </row>
    <row r="1414" spans="2:33" ht="16">
      <c r="B1414" s="26" t="str">
        <f t="shared" si="6"/>
        <v/>
      </c>
      <c r="C1414" s="6"/>
      <c r="D1414" s="6"/>
      <c r="E1414" s="6"/>
      <c r="F1414" s="15"/>
      <c r="G1414" s="6"/>
      <c r="H1414" s="6"/>
      <c r="I1414" s="6"/>
      <c r="J1414" s="16"/>
      <c r="K1414" s="6"/>
      <c r="L1414" s="16"/>
      <c r="M1414" s="23"/>
      <c r="N1414" s="15"/>
      <c r="O1414" s="17"/>
      <c r="P1414" s="21"/>
      <c r="Q1414" s="6"/>
      <c r="R1414" s="6"/>
      <c r="S1414" s="20"/>
      <c r="T1414" s="6"/>
      <c r="U1414" s="21"/>
      <c r="W1414" s="20"/>
      <c r="X1414" s="21"/>
      <c r="AG1414" s="23"/>
    </row>
    <row r="1415" spans="2:33" ht="16">
      <c r="B1415" s="26" t="str">
        <f t="shared" si="6"/>
        <v/>
      </c>
      <c r="C1415" s="6"/>
      <c r="D1415" s="6"/>
      <c r="E1415" s="6"/>
      <c r="F1415" s="15"/>
      <c r="G1415" s="6"/>
      <c r="H1415" s="6"/>
      <c r="I1415" s="6"/>
      <c r="J1415" s="16"/>
      <c r="K1415" s="6"/>
      <c r="L1415" s="16"/>
      <c r="M1415" s="17"/>
      <c r="N1415" s="15"/>
      <c r="O1415" s="17"/>
      <c r="P1415" s="21"/>
      <c r="Q1415" s="6"/>
      <c r="R1415" s="6"/>
      <c r="S1415" s="20"/>
      <c r="T1415" s="6"/>
      <c r="U1415" s="21"/>
      <c r="W1415" s="20"/>
      <c r="X1415" s="21"/>
      <c r="AG1415" s="23"/>
    </row>
    <row r="1416" spans="2:33" ht="16">
      <c r="B1416" s="26" t="str">
        <f t="shared" si="6"/>
        <v/>
      </c>
      <c r="C1416" s="6"/>
      <c r="D1416" s="6"/>
      <c r="E1416" s="6"/>
      <c r="F1416" s="15"/>
      <c r="G1416" s="6"/>
      <c r="H1416" s="6"/>
      <c r="I1416" s="6"/>
      <c r="J1416" s="16"/>
      <c r="K1416" s="6"/>
      <c r="L1416" s="16"/>
      <c r="M1416" s="23"/>
      <c r="N1416" s="15"/>
      <c r="O1416" s="17"/>
      <c r="P1416" s="21"/>
      <c r="Q1416" s="6"/>
      <c r="R1416" s="6"/>
      <c r="S1416" s="20"/>
      <c r="T1416" s="6"/>
      <c r="U1416" s="21"/>
      <c r="W1416" s="20"/>
      <c r="X1416" s="21"/>
      <c r="AG1416" s="23"/>
    </row>
    <row r="1417" spans="2:33" ht="16">
      <c r="B1417" s="26" t="str">
        <f t="shared" si="6"/>
        <v/>
      </c>
      <c r="C1417" s="6"/>
      <c r="D1417" s="6"/>
      <c r="E1417" s="6"/>
      <c r="F1417" s="15"/>
      <c r="G1417" s="6"/>
      <c r="H1417" s="6"/>
      <c r="I1417" s="6"/>
      <c r="J1417" s="16"/>
      <c r="K1417" s="6"/>
      <c r="L1417" s="16"/>
      <c r="M1417" s="23"/>
      <c r="N1417" s="15"/>
      <c r="O1417" s="17"/>
      <c r="P1417" s="21"/>
      <c r="Q1417" s="6"/>
      <c r="R1417" s="6"/>
      <c r="S1417" s="20"/>
      <c r="T1417" s="6"/>
      <c r="U1417" s="21"/>
      <c r="W1417" s="20"/>
      <c r="X1417" s="21"/>
      <c r="AG1417" s="17"/>
    </row>
    <row r="1418" spans="2:33" ht="16">
      <c r="B1418" s="26" t="str">
        <f t="shared" si="6"/>
        <v/>
      </c>
      <c r="C1418" s="6"/>
      <c r="D1418" s="6"/>
      <c r="E1418" s="6"/>
      <c r="F1418" s="15"/>
      <c r="G1418" s="6"/>
      <c r="H1418" s="6"/>
      <c r="I1418" s="6"/>
      <c r="J1418" s="16"/>
      <c r="K1418" s="6"/>
      <c r="L1418" s="16"/>
      <c r="M1418" s="17"/>
      <c r="N1418" s="15"/>
      <c r="O1418" s="17"/>
      <c r="P1418" s="21"/>
      <c r="Q1418" s="6"/>
      <c r="R1418" s="6"/>
      <c r="S1418" s="20"/>
      <c r="T1418" s="6"/>
      <c r="U1418" s="21"/>
      <c r="W1418" s="20"/>
      <c r="X1418" s="21"/>
      <c r="AG1418" s="23"/>
    </row>
    <row r="1419" spans="2:33" ht="16">
      <c r="B1419" s="26" t="str">
        <f t="shared" si="6"/>
        <v/>
      </c>
      <c r="C1419" s="6"/>
      <c r="D1419" s="6"/>
      <c r="E1419" s="6"/>
      <c r="F1419" s="15"/>
      <c r="G1419" s="6"/>
      <c r="H1419" s="6"/>
      <c r="I1419" s="6"/>
      <c r="J1419" s="16"/>
      <c r="K1419" s="6"/>
      <c r="L1419" s="16"/>
      <c r="M1419" s="23"/>
      <c r="N1419" s="15"/>
      <c r="O1419" s="17"/>
      <c r="P1419" s="21"/>
      <c r="Q1419" s="6"/>
      <c r="R1419" s="6"/>
      <c r="S1419" s="20"/>
      <c r="T1419" s="6"/>
      <c r="U1419" s="21"/>
      <c r="W1419" s="20"/>
      <c r="X1419" s="21"/>
      <c r="AG1419" s="23"/>
    </row>
    <row r="1420" spans="2:33" ht="16">
      <c r="B1420" s="26" t="str">
        <f t="shared" si="6"/>
        <v/>
      </c>
      <c r="C1420" s="6"/>
      <c r="D1420" s="6"/>
      <c r="E1420" s="6"/>
      <c r="F1420" s="15"/>
      <c r="G1420" s="6"/>
      <c r="H1420" s="6"/>
      <c r="I1420" s="6"/>
      <c r="J1420" s="16"/>
      <c r="K1420" s="6"/>
      <c r="L1420" s="16"/>
      <c r="M1420" s="23"/>
      <c r="N1420" s="15"/>
      <c r="O1420" s="17"/>
      <c r="P1420" s="21"/>
      <c r="Q1420" s="6"/>
      <c r="R1420" s="6"/>
      <c r="S1420" s="20"/>
      <c r="T1420" s="6"/>
      <c r="U1420" s="21"/>
      <c r="W1420" s="20"/>
      <c r="X1420" s="21"/>
      <c r="AG1420" s="23"/>
    </row>
    <row r="1421" spans="2:33" ht="16">
      <c r="B1421" s="26" t="str">
        <f t="shared" si="6"/>
        <v/>
      </c>
      <c r="C1421" s="6"/>
      <c r="D1421" s="6"/>
      <c r="E1421" s="6"/>
      <c r="F1421" s="15"/>
      <c r="G1421" s="6"/>
      <c r="H1421" s="6"/>
      <c r="I1421" s="6"/>
      <c r="J1421" s="16"/>
      <c r="K1421" s="6"/>
      <c r="L1421" s="16"/>
      <c r="M1421" s="17"/>
      <c r="N1421" s="15"/>
      <c r="O1421" s="17"/>
      <c r="P1421" s="21"/>
      <c r="Q1421" s="6"/>
      <c r="R1421" s="6"/>
      <c r="S1421" s="20"/>
      <c r="T1421" s="6"/>
      <c r="U1421" s="21"/>
      <c r="W1421" s="20"/>
      <c r="X1421" s="21"/>
      <c r="AG1421" s="17"/>
    </row>
    <row r="1422" spans="2:33" ht="16">
      <c r="B1422" s="26" t="str">
        <f t="shared" si="6"/>
        <v/>
      </c>
      <c r="C1422" s="6"/>
      <c r="D1422" s="6"/>
      <c r="E1422" s="6"/>
      <c r="F1422" s="15"/>
      <c r="G1422" s="6"/>
      <c r="H1422" s="6"/>
      <c r="I1422" s="6"/>
      <c r="J1422" s="16"/>
      <c r="K1422" s="6"/>
      <c r="L1422" s="16"/>
      <c r="M1422" s="23"/>
      <c r="N1422" s="15"/>
      <c r="O1422" s="17"/>
      <c r="P1422" s="21"/>
      <c r="Q1422" s="6"/>
      <c r="R1422" s="6"/>
      <c r="S1422" s="20"/>
      <c r="T1422" s="6"/>
      <c r="U1422" s="21"/>
      <c r="W1422" s="20"/>
      <c r="X1422" s="21"/>
      <c r="AG1422" s="23"/>
    </row>
    <row r="1423" spans="2:33" ht="16">
      <c r="B1423" s="26" t="str">
        <f t="shared" si="6"/>
        <v/>
      </c>
      <c r="C1423" s="6"/>
      <c r="D1423" s="6"/>
      <c r="E1423" s="6"/>
      <c r="F1423" s="15"/>
      <c r="G1423" s="6"/>
      <c r="H1423" s="6"/>
      <c r="I1423" s="6"/>
      <c r="J1423" s="16"/>
      <c r="K1423" s="6"/>
      <c r="L1423" s="16"/>
      <c r="M1423" s="17"/>
      <c r="N1423" s="15"/>
      <c r="O1423" s="17"/>
      <c r="P1423" s="21"/>
      <c r="Q1423" s="6"/>
      <c r="R1423" s="6"/>
      <c r="S1423" s="20"/>
      <c r="T1423" s="6"/>
      <c r="U1423" s="21"/>
      <c r="W1423" s="20"/>
      <c r="X1423" s="21"/>
      <c r="AG1423" s="17"/>
    </row>
    <row r="1424" spans="2:33" ht="16">
      <c r="B1424" s="26" t="str">
        <f t="shared" si="6"/>
        <v/>
      </c>
      <c r="C1424" s="6"/>
      <c r="D1424" s="6"/>
      <c r="E1424" s="6"/>
      <c r="F1424" s="15"/>
      <c r="G1424" s="6"/>
      <c r="H1424" s="6"/>
      <c r="I1424" s="6"/>
      <c r="J1424" s="16"/>
      <c r="K1424" s="6"/>
      <c r="L1424" s="16"/>
      <c r="M1424" s="23"/>
      <c r="N1424" s="15"/>
      <c r="O1424" s="17"/>
      <c r="P1424" s="21"/>
      <c r="Q1424" s="6"/>
      <c r="R1424" s="6"/>
      <c r="S1424" s="20"/>
      <c r="T1424" s="6"/>
      <c r="U1424" s="21"/>
      <c r="W1424" s="20"/>
      <c r="X1424" s="21"/>
      <c r="AG1424" s="23"/>
    </row>
    <row r="1425" spans="2:33" ht="16">
      <c r="B1425" s="26" t="str">
        <f t="shared" si="6"/>
        <v/>
      </c>
      <c r="C1425" s="6"/>
      <c r="D1425" s="6"/>
      <c r="E1425" s="6"/>
      <c r="F1425" s="15"/>
      <c r="G1425" s="6"/>
      <c r="H1425" s="6"/>
      <c r="I1425" s="6"/>
      <c r="J1425" s="16"/>
      <c r="K1425" s="6"/>
      <c r="L1425" s="16"/>
      <c r="M1425" s="17"/>
      <c r="N1425" s="15"/>
      <c r="O1425" s="17"/>
      <c r="P1425" s="21"/>
      <c r="Q1425" s="6"/>
      <c r="R1425" s="6"/>
      <c r="S1425" s="20"/>
      <c r="T1425" s="6"/>
      <c r="U1425" s="21"/>
      <c r="W1425" s="20"/>
      <c r="X1425" s="21"/>
      <c r="AG1425" s="23"/>
    </row>
    <row r="1426" spans="2:33" ht="16">
      <c r="B1426" s="26" t="str">
        <f t="shared" si="6"/>
        <v/>
      </c>
      <c r="C1426" s="6"/>
      <c r="D1426" s="6"/>
      <c r="E1426" s="6"/>
      <c r="F1426" s="15"/>
      <c r="G1426" s="6"/>
      <c r="H1426" s="6"/>
      <c r="I1426" s="6"/>
      <c r="J1426" s="16"/>
      <c r="K1426" s="6"/>
      <c r="L1426" s="16"/>
      <c r="M1426" s="17"/>
      <c r="N1426" s="15"/>
      <c r="O1426" s="17"/>
      <c r="P1426" s="21"/>
      <c r="Q1426" s="6"/>
      <c r="R1426" s="6"/>
      <c r="S1426" s="20"/>
      <c r="T1426" s="6"/>
      <c r="U1426" s="21"/>
      <c r="W1426" s="20"/>
      <c r="X1426" s="21"/>
      <c r="AG1426" s="23"/>
    </row>
    <row r="1427" spans="2:33" ht="16">
      <c r="B1427" s="26" t="str">
        <f t="shared" si="6"/>
        <v/>
      </c>
      <c r="C1427" s="6"/>
      <c r="D1427" s="6"/>
      <c r="E1427" s="6"/>
      <c r="F1427" s="15"/>
      <c r="G1427" s="6"/>
      <c r="H1427" s="6"/>
      <c r="I1427" s="6"/>
      <c r="J1427" s="16"/>
      <c r="K1427" s="6"/>
      <c r="L1427" s="16"/>
      <c r="M1427" s="23"/>
      <c r="N1427" s="15"/>
      <c r="O1427" s="17"/>
      <c r="P1427" s="21"/>
      <c r="Q1427" s="6"/>
      <c r="R1427" s="6"/>
      <c r="S1427" s="20"/>
      <c r="T1427" s="6"/>
      <c r="U1427" s="21"/>
      <c r="W1427" s="20"/>
      <c r="X1427" s="21"/>
      <c r="AG1427" s="17"/>
    </row>
    <row r="1428" spans="2:33" ht="16">
      <c r="B1428" s="26" t="str">
        <f t="shared" si="6"/>
        <v/>
      </c>
      <c r="C1428" s="6"/>
      <c r="D1428" s="6"/>
      <c r="E1428" s="6"/>
      <c r="F1428" s="15"/>
      <c r="G1428" s="6"/>
      <c r="H1428" s="6"/>
      <c r="I1428" s="6"/>
      <c r="J1428" s="16"/>
      <c r="K1428" s="6"/>
      <c r="L1428" s="16"/>
      <c r="M1428" s="17"/>
      <c r="N1428" s="15"/>
      <c r="O1428" s="17"/>
      <c r="P1428" s="21"/>
      <c r="Q1428" s="6"/>
      <c r="R1428" s="6"/>
      <c r="S1428" s="20"/>
      <c r="T1428" s="6"/>
      <c r="U1428" s="21"/>
      <c r="W1428" s="20"/>
      <c r="X1428" s="21"/>
      <c r="AG1428" s="23"/>
    </row>
    <row r="1429" spans="2:33" ht="16">
      <c r="B1429" s="26" t="str">
        <f t="shared" si="6"/>
        <v/>
      </c>
      <c r="C1429" s="6"/>
      <c r="D1429" s="6"/>
      <c r="E1429" s="6"/>
      <c r="F1429" s="15"/>
      <c r="G1429" s="6"/>
      <c r="H1429" s="6"/>
      <c r="I1429" s="6"/>
      <c r="J1429" s="16"/>
      <c r="K1429" s="6"/>
      <c r="L1429" s="16"/>
      <c r="M1429" s="17"/>
      <c r="N1429" s="15"/>
      <c r="O1429" s="17"/>
      <c r="P1429" s="21"/>
      <c r="Q1429" s="6"/>
      <c r="R1429" s="6"/>
      <c r="S1429" s="20"/>
      <c r="T1429" s="6"/>
      <c r="U1429" s="21"/>
      <c r="W1429" s="20"/>
      <c r="X1429" s="21"/>
      <c r="AG1429" s="23"/>
    </row>
    <row r="1430" spans="2:33" ht="16">
      <c r="B1430" s="26" t="str">
        <f t="shared" si="6"/>
        <v/>
      </c>
      <c r="C1430" s="6"/>
      <c r="D1430" s="6"/>
      <c r="E1430" s="6"/>
      <c r="F1430" s="15"/>
      <c r="G1430" s="6"/>
      <c r="H1430" s="6"/>
      <c r="I1430" s="6"/>
      <c r="J1430" s="16"/>
      <c r="K1430" s="6"/>
      <c r="L1430" s="16"/>
      <c r="M1430" s="17"/>
      <c r="N1430" s="15"/>
      <c r="O1430" s="17"/>
      <c r="P1430" s="21"/>
      <c r="Q1430" s="6"/>
      <c r="R1430" s="6"/>
      <c r="S1430" s="20"/>
      <c r="T1430" s="6"/>
      <c r="U1430" s="21"/>
      <c r="W1430" s="20"/>
      <c r="X1430" s="21"/>
      <c r="AG1430" s="23"/>
    </row>
    <row r="1431" spans="2:33" ht="16">
      <c r="B1431" s="26" t="str">
        <f t="shared" si="6"/>
        <v/>
      </c>
      <c r="C1431" s="6"/>
      <c r="D1431" s="6"/>
      <c r="E1431" s="6"/>
      <c r="F1431" s="15"/>
      <c r="G1431" s="6"/>
      <c r="H1431" s="6"/>
      <c r="I1431" s="6"/>
      <c r="J1431" s="16"/>
      <c r="K1431" s="6"/>
      <c r="L1431" s="16"/>
      <c r="M1431" s="17"/>
      <c r="N1431" s="15"/>
      <c r="O1431" s="17"/>
      <c r="P1431" s="21"/>
      <c r="Q1431" s="6"/>
      <c r="R1431" s="6"/>
      <c r="S1431" s="20"/>
      <c r="T1431" s="6"/>
      <c r="U1431" s="21"/>
      <c r="W1431" s="20"/>
      <c r="X1431" s="21"/>
      <c r="AG1431" s="23"/>
    </row>
    <row r="1432" spans="2:33" ht="16">
      <c r="B1432" s="26" t="str">
        <f t="shared" si="6"/>
        <v/>
      </c>
      <c r="C1432" s="6"/>
      <c r="D1432" s="6"/>
      <c r="E1432" s="6"/>
      <c r="F1432" s="15"/>
      <c r="G1432" s="6"/>
      <c r="H1432" s="6"/>
      <c r="I1432" s="6"/>
      <c r="J1432" s="16"/>
      <c r="K1432" s="6"/>
      <c r="L1432" s="16"/>
      <c r="M1432" s="17"/>
      <c r="N1432" s="15"/>
      <c r="O1432" s="17"/>
      <c r="P1432" s="21"/>
      <c r="Q1432" s="6"/>
      <c r="R1432" s="6"/>
      <c r="S1432" s="20"/>
      <c r="T1432" s="6"/>
      <c r="U1432" s="21"/>
      <c r="W1432" s="20"/>
      <c r="X1432" s="21"/>
      <c r="AG1432" s="23"/>
    </row>
    <row r="1433" spans="2:33" ht="16">
      <c r="B1433" s="26" t="str">
        <f t="shared" si="6"/>
        <v/>
      </c>
      <c r="C1433" s="6"/>
      <c r="D1433" s="6"/>
      <c r="E1433" s="6"/>
      <c r="F1433" s="15"/>
      <c r="G1433" s="6"/>
      <c r="H1433" s="6"/>
      <c r="I1433" s="6"/>
      <c r="J1433" s="16"/>
      <c r="K1433" s="6"/>
      <c r="L1433" s="16"/>
      <c r="M1433" s="17"/>
      <c r="N1433" s="15"/>
      <c r="O1433" s="17"/>
      <c r="P1433" s="21"/>
      <c r="Q1433" s="6"/>
      <c r="R1433" s="6"/>
      <c r="S1433" s="20"/>
      <c r="T1433" s="6"/>
      <c r="U1433" s="21"/>
      <c r="W1433" s="20"/>
      <c r="X1433" s="21"/>
      <c r="AG1433" s="23"/>
    </row>
    <row r="1434" spans="2:33" ht="16">
      <c r="B1434" s="26" t="str">
        <f t="shared" si="6"/>
        <v/>
      </c>
      <c r="C1434" s="6"/>
      <c r="D1434" s="6"/>
      <c r="E1434" s="6"/>
      <c r="F1434" s="15"/>
      <c r="G1434" s="6"/>
      <c r="H1434" s="6"/>
      <c r="I1434" s="6"/>
      <c r="J1434" s="16"/>
      <c r="K1434" s="6"/>
      <c r="L1434" s="16"/>
      <c r="M1434" s="23"/>
      <c r="N1434" s="15"/>
      <c r="O1434" s="17"/>
      <c r="P1434" s="21"/>
      <c r="Q1434" s="6"/>
      <c r="R1434" s="6"/>
      <c r="S1434" s="20"/>
      <c r="T1434" s="6"/>
      <c r="U1434" s="21"/>
      <c r="W1434" s="20"/>
      <c r="X1434" s="21"/>
      <c r="AG1434" s="23"/>
    </row>
    <row r="1435" spans="2:33" ht="16">
      <c r="B1435" s="26" t="str">
        <f t="shared" si="6"/>
        <v/>
      </c>
      <c r="C1435" s="6"/>
      <c r="D1435" s="6"/>
      <c r="E1435" s="6"/>
      <c r="F1435" s="15"/>
      <c r="G1435" s="6"/>
      <c r="H1435" s="6"/>
      <c r="I1435" s="6"/>
      <c r="J1435" s="16"/>
      <c r="K1435" s="6"/>
      <c r="L1435" s="16"/>
      <c r="M1435" s="23"/>
      <c r="N1435" s="15"/>
      <c r="O1435" s="17"/>
      <c r="P1435" s="21"/>
      <c r="Q1435" s="6"/>
      <c r="R1435" s="6"/>
      <c r="S1435" s="20"/>
      <c r="T1435" s="6"/>
      <c r="U1435" s="21"/>
      <c r="W1435" s="20"/>
      <c r="X1435" s="21"/>
      <c r="AG1435" s="23"/>
    </row>
    <row r="1436" spans="2:33" ht="16">
      <c r="B1436" s="26" t="str">
        <f t="shared" si="6"/>
        <v/>
      </c>
      <c r="C1436" s="6"/>
      <c r="D1436" s="6"/>
      <c r="E1436" s="6"/>
      <c r="F1436" s="15"/>
      <c r="G1436" s="6"/>
      <c r="H1436" s="6"/>
      <c r="I1436" s="6"/>
      <c r="J1436" s="16"/>
      <c r="K1436" s="6"/>
      <c r="L1436" s="16"/>
      <c r="M1436" s="17"/>
      <c r="N1436" s="15"/>
      <c r="O1436" s="17"/>
      <c r="P1436" s="21"/>
      <c r="Q1436" s="6"/>
      <c r="R1436" s="6"/>
      <c r="S1436" s="20"/>
      <c r="T1436" s="6"/>
      <c r="U1436" s="21"/>
      <c r="W1436" s="20"/>
      <c r="X1436" s="21"/>
      <c r="AG1436" s="23"/>
    </row>
    <row r="1437" spans="2:33" ht="16">
      <c r="B1437" s="26" t="str">
        <f t="shared" si="6"/>
        <v/>
      </c>
      <c r="C1437" s="6"/>
      <c r="D1437" s="6"/>
      <c r="E1437" s="6"/>
      <c r="F1437" s="15"/>
      <c r="G1437" s="6"/>
      <c r="H1437" s="6"/>
      <c r="I1437" s="6"/>
      <c r="J1437" s="16"/>
      <c r="K1437" s="6"/>
      <c r="L1437" s="16"/>
      <c r="M1437" s="17"/>
      <c r="N1437" s="15"/>
      <c r="O1437" s="17"/>
      <c r="P1437" s="21"/>
      <c r="Q1437" s="6"/>
      <c r="R1437" s="6"/>
      <c r="S1437" s="20"/>
      <c r="T1437" s="6"/>
      <c r="U1437" s="21"/>
      <c r="W1437" s="20"/>
      <c r="X1437" s="21"/>
      <c r="AG1437" s="23"/>
    </row>
    <row r="1438" spans="2:33" ht="16">
      <c r="B1438" s="26" t="str">
        <f t="shared" si="6"/>
        <v/>
      </c>
      <c r="C1438" s="6"/>
      <c r="D1438" s="6"/>
      <c r="E1438" s="6"/>
      <c r="F1438" s="15"/>
      <c r="G1438" s="6"/>
      <c r="H1438" s="6"/>
      <c r="I1438" s="6"/>
      <c r="J1438" s="16"/>
      <c r="K1438" s="6"/>
      <c r="L1438" s="16"/>
      <c r="M1438" s="17"/>
      <c r="N1438" s="15"/>
      <c r="O1438" s="17"/>
      <c r="P1438" s="21"/>
      <c r="Q1438" s="6"/>
      <c r="R1438" s="6"/>
      <c r="S1438" s="20"/>
      <c r="T1438" s="6"/>
      <c r="U1438" s="21"/>
      <c r="W1438" s="20"/>
      <c r="X1438" s="21"/>
      <c r="AG1438" s="23"/>
    </row>
    <row r="1439" spans="2:33" ht="16">
      <c r="B1439" s="26" t="str">
        <f t="shared" si="6"/>
        <v/>
      </c>
      <c r="C1439" s="6"/>
      <c r="D1439" s="6"/>
      <c r="E1439" s="6"/>
      <c r="F1439" s="15"/>
      <c r="G1439" s="6"/>
      <c r="H1439" s="6"/>
      <c r="I1439" s="6"/>
      <c r="J1439" s="16"/>
      <c r="K1439" s="6"/>
      <c r="L1439" s="16"/>
      <c r="M1439" s="17"/>
      <c r="N1439" s="15"/>
      <c r="O1439" s="17"/>
      <c r="P1439" s="21"/>
      <c r="Q1439" s="6"/>
      <c r="R1439" s="6"/>
      <c r="S1439" s="20"/>
      <c r="T1439" s="6"/>
      <c r="U1439" s="21"/>
      <c r="W1439" s="20"/>
      <c r="X1439" s="21"/>
      <c r="AG1439" s="17"/>
    </row>
    <row r="1440" spans="2:33" ht="16">
      <c r="B1440" s="26" t="str">
        <f t="shared" si="6"/>
        <v/>
      </c>
      <c r="C1440" s="6"/>
      <c r="D1440" s="6"/>
      <c r="E1440" s="6"/>
      <c r="F1440" s="15"/>
      <c r="G1440" s="6"/>
      <c r="H1440" s="6"/>
      <c r="I1440" s="6"/>
      <c r="J1440" s="16"/>
      <c r="K1440" s="6"/>
      <c r="L1440" s="16"/>
      <c r="M1440" s="17"/>
      <c r="N1440" s="15"/>
      <c r="O1440" s="17"/>
      <c r="P1440" s="21"/>
      <c r="Q1440" s="6"/>
      <c r="R1440" s="6"/>
      <c r="S1440" s="20"/>
      <c r="T1440" s="6"/>
      <c r="U1440" s="21"/>
      <c r="W1440" s="20"/>
      <c r="X1440" s="21"/>
      <c r="AG1440" s="23"/>
    </row>
    <row r="1441" spans="2:33" ht="16">
      <c r="B1441" s="26" t="str">
        <f t="shared" si="6"/>
        <v/>
      </c>
      <c r="C1441" s="6"/>
      <c r="D1441" s="6"/>
      <c r="E1441" s="6"/>
      <c r="F1441" s="15"/>
      <c r="G1441" s="6"/>
      <c r="H1441" s="6"/>
      <c r="I1441" s="6"/>
      <c r="J1441" s="16"/>
      <c r="K1441" s="6"/>
      <c r="L1441" s="16"/>
      <c r="M1441" s="23"/>
      <c r="N1441" s="15"/>
      <c r="O1441" s="17"/>
      <c r="P1441" s="21"/>
      <c r="Q1441" s="6"/>
      <c r="R1441" s="6"/>
      <c r="S1441" s="20"/>
      <c r="T1441" s="6"/>
      <c r="U1441" s="21"/>
      <c r="W1441" s="20"/>
      <c r="X1441" s="21"/>
      <c r="AG1441" s="17"/>
    </row>
    <row r="1442" spans="2:33" ht="16">
      <c r="B1442" s="26" t="str">
        <f t="shared" si="6"/>
        <v/>
      </c>
      <c r="C1442" s="6"/>
      <c r="D1442" s="6"/>
      <c r="E1442" s="6"/>
      <c r="F1442" s="15"/>
      <c r="G1442" s="6"/>
      <c r="H1442" s="6"/>
      <c r="I1442" s="6"/>
      <c r="J1442" s="16"/>
      <c r="K1442" s="6"/>
      <c r="L1442" s="16"/>
      <c r="M1442" s="17"/>
      <c r="N1442" s="15"/>
      <c r="O1442" s="17"/>
      <c r="P1442" s="21"/>
      <c r="Q1442" s="6"/>
      <c r="R1442" s="6"/>
      <c r="S1442" s="20"/>
      <c r="T1442" s="6"/>
      <c r="U1442" s="21"/>
      <c r="W1442" s="20"/>
      <c r="X1442" s="21"/>
      <c r="AG1442" s="17"/>
    </row>
    <row r="1443" spans="2:33" ht="16">
      <c r="B1443" s="26" t="str">
        <f t="shared" si="6"/>
        <v/>
      </c>
      <c r="C1443" s="6"/>
      <c r="D1443" s="6"/>
      <c r="E1443" s="6"/>
      <c r="F1443" s="15"/>
      <c r="G1443" s="6"/>
      <c r="H1443" s="6"/>
      <c r="I1443" s="6"/>
      <c r="J1443" s="16"/>
      <c r="K1443" s="6"/>
      <c r="L1443" s="16"/>
      <c r="M1443" s="17"/>
      <c r="N1443" s="15"/>
      <c r="O1443" s="17"/>
      <c r="P1443" s="21"/>
      <c r="Q1443" s="6"/>
      <c r="R1443" s="6"/>
      <c r="S1443" s="20"/>
      <c r="T1443" s="6"/>
      <c r="U1443" s="21"/>
      <c r="W1443" s="20"/>
      <c r="X1443" s="21"/>
      <c r="AG1443" s="23"/>
    </row>
    <row r="1444" spans="2:33" ht="16">
      <c r="B1444" s="26" t="str">
        <f t="shared" si="6"/>
        <v/>
      </c>
      <c r="C1444" s="6"/>
      <c r="D1444" s="6"/>
      <c r="E1444" s="6"/>
      <c r="F1444" s="15"/>
      <c r="G1444" s="6"/>
      <c r="H1444" s="6"/>
      <c r="I1444" s="6"/>
      <c r="J1444" s="16"/>
      <c r="K1444" s="6"/>
      <c r="L1444" s="16"/>
      <c r="M1444" s="23"/>
      <c r="N1444" s="15"/>
      <c r="O1444" s="17"/>
      <c r="P1444" s="21"/>
      <c r="Q1444" s="6"/>
      <c r="R1444" s="6"/>
      <c r="S1444" s="20"/>
      <c r="T1444" s="6"/>
      <c r="U1444" s="21"/>
      <c r="W1444" s="20"/>
      <c r="X1444" s="21"/>
      <c r="AG1444" s="17"/>
    </row>
    <row r="1445" spans="2:33" ht="16">
      <c r="B1445" s="26" t="str">
        <f t="shared" si="6"/>
        <v/>
      </c>
      <c r="C1445" s="6"/>
      <c r="D1445" s="6"/>
      <c r="E1445" s="6"/>
      <c r="F1445" s="15"/>
      <c r="G1445" s="6"/>
      <c r="H1445" s="6"/>
      <c r="I1445" s="6"/>
      <c r="J1445" s="16"/>
      <c r="K1445" s="6"/>
      <c r="L1445" s="16"/>
      <c r="M1445" s="23"/>
      <c r="N1445" s="15"/>
      <c r="O1445" s="17"/>
      <c r="P1445" s="21"/>
      <c r="Q1445" s="6"/>
      <c r="R1445" s="6"/>
      <c r="S1445" s="20"/>
      <c r="T1445" s="6"/>
      <c r="U1445" s="21"/>
      <c r="W1445" s="20"/>
      <c r="X1445" s="21"/>
      <c r="AG1445" s="23"/>
    </row>
    <row r="1446" spans="2:33" ht="16">
      <c r="B1446" s="26" t="str">
        <f t="shared" si="6"/>
        <v/>
      </c>
      <c r="C1446" s="6"/>
      <c r="D1446" s="6"/>
      <c r="E1446" s="6"/>
      <c r="F1446" s="15"/>
      <c r="G1446" s="6"/>
      <c r="H1446" s="6"/>
      <c r="I1446" s="6"/>
      <c r="J1446" s="16"/>
      <c r="K1446" s="6"/>
      <c r="L1446" s="16"/>
      <c r="M1446" s="17"/>
      <c r="N1446" s="15"/>
      <c r="O1446" s="17"/>
      <c r="P1446" s="21"/>
      <c r="Q1446" s="6"/>
      <c r="R1446" s="6"/>
      <c r="S1446" s="20"/>
      <c r="T1446" s="6"/>
      <c r="U1446" s="21"/>
      <c r="W1446" s="20"/>
      <c r="X1446" s="21"/>
      <c r="AG1446" s="23"/>
    </row>
    <row r="1447" spans="2:33" ht="16">
      <c r="B1447" s="26" t="str">
        <f t="shared" si="6"/>
        <v/>
      </c>
      <c r="C1447" s="6"/>
      <c r="D1447" s="6"/>
      <c r="E1447" s="6"/>
      <c r="F1447" s="15"/>
      <c r="G1447" s="6"/>
      <c r="H1447" s="6"/>
      <c r="I1447" s="6"/>
      <c r="J1447" s="16"/>
      <c r="K1447" s="6"/>
      <c r="L1447" s="16"/>
      <c r="M1447" s="17"/>
      <c r="N1447" s="15"/>
      <c r="O1447" s="17"/>
      <c r="P1447" s="21"/>
      <c r="Q1447" s="6"/>
      <c r="R1447" s="6"/>
      <c r="S1447" s="20"/>
      <c r="T1447" s="6"/>
      <c r="U1447" s="21"/>
      <c r="W1447" s="20"/>
      <c r="X1447" s="21"/>
      <c r="AG1447" s="23"/>
    </row>
    <row r="1448" spans="2:33" ht="16">
      <c r="B1448" s="26" t="str">
        <f t="shared" si="6"/>
        <v/>
      </c>
      <c r="C1448" s="6"/>
      <c r="D1448" s="6"/>
      <c r="E1448" s="6"/>
      <c r="F1448" s="15"/>
      <c r="G1448" s="6"/>
      <c r="H1448" s="6"/>
      <c r="I1448" s="6"/>
      <c r="J1448" s="16"/>
      <c r="K1448" s="6"/>
      <c r="L1448" s="16"/>
      <c r="M1448" s="17"/>
      <c r="N1448" s="15"/>
      <c r="O1448" s="17"/>
      <c r="P1448" s="21"/>
      <c r="Q1448" s="6"/>
      <c r="R1448" s="6"/>
      <c r="S1448" s="20"/>
      <c r="T1448" s="6"/>
      <c r="U1448" s="21"/>
      <c r="W1448" s="20"/>
      <c r="X1448" s="21"/>
      <c r="AG1448" s="23"/>
    </row>
    <row r="1449" spans="2:33" ht="16">
      <c r="B1449" s="26" t="str">
        <f t="shared" si="6"/>
        <v/>
      </c>
      <c r="C1449" s="6"/>
      <c r="D1449" s="6"/>
      <c r="E1449" s="6"/>
      <c r="F1449" s="15"/>
      <c r="G1449" s="6"/>
      <c r="H1449" s="6"/>
      <c r="I1449" s="6"/>
      <c r="J1449" s="16"/>
      <c r="K1449" s="6"/>
      <c r="L1449" s="16"/>
      <c r="M1449" s="17"/>
      <c r="N1449" s="15"/>
      <c r="O1449" s="17"/>
      <c r="P1449" s="21"/>
      <c r="Q1449" s="6"/>
      <c r="R1449" s="6"/>
      <c r="S1449" s="20"/>
      <c r="T1449" s="6"/>
      <c r="U1449" s="21"/>
      <c r="W1449" s="20"/>
      <c r="X1449" s="21"/>
      <c r="AG1449" s="23"/>
    </row>
    <row r="1450" spans="2:33" ht="16">
      <c r="B1450" s="26" t="str">
        <f t="shared" si="6"/>
        <v/>
      </c>
      <c r="C1450" s="6"/>
      <c r="D1450" s="6"/>
      <c r="E1450" s="6"/>
      <c r="F1450" s="15"/>
      <c r="G1450" s="6"/>
      <c r="H1450" s="6"/>
      <c r="I1450" s="6"/>
      <c r="J1450" s="16"/>
      <c r="K1450" s="6"/>
      <c r="L1450" s="16"/>
      <c r="M1450" s="17"/>
      <c r="N1450" s="15"/>
      <c r="O1450" s="17"/>
      <c r="P1450" s="21"/>
      <c r="Q1450" s="6"/>
      <c r="R1450" s="6"/>
      <c r="S1450" s="20"/>
      <c r="T1450" s="6"/>
      <c r="U1450" s="21"/>
      <c r="W1450" s="20"/>
      <c r="X1450" s="21"/>
      <c r="AG1450" s="23"/>
    </row>
    <row r="1451" spans="2:33" ht="16">
      <c r="B1451" s="26" t="str">
        <f t="shared" si="6"/>
        <v/>
      </c>
      <c r="C1451" s="6"/>
      <c r="D1451" s="6"/>
      <c r="E1451" s="6"/>
      <c r="F1451" s="15"/>
      <c r="G1451" s="6"/>
      <c r="H1451" s="6"/>
      <c r="I1451" s="6"/>
      <c r="J1451" s="16"/>
      <c r="K1451" s="6"/>
      <c r="L1451" s="16"/>
      <c r="M1451" s="23"/>
      <c r="N1451" s="15"/>
      <c r="O1451" s="17"/>
      <c r="P1451" s="21"/>
      <c r="Q1451" s="6"/>
      <c r="R1451" s="6"/>
      <c r="S1451" s="20"/>
      <c r="T1451" s="6"/>
      <c r="U1451" s="21"/>
      <c r="W1451" s="20"/>
      <c r="X1451" s="21"/>
      <c r="AG1451" s="17"/>
    </row>
    <row r="1452" spans="2:33" ht="16">
      <c r="B1452" s="26" t="str">
        <f t="shared" si="6"/>
        <v/>
      </c>
      <c r="C1452" s="6"/>
      <c r="D1452" s="6"/>
      <c r="E1452" s="6"/>
      <c r="F1452" s="15"/>
      <c r="G1452" s="6"/>
      <c r="H1452" s="6"/>
      <c r="I1452" s="6"/>
      <c r="J1452" s="16"/>
      <c r="K1452" s="6"/>
      <c r="L1452" s="16"/>
      <c r="M1452" s="17"/>
      <c r="N1452" s="15"/>
      <c r="O1452" s="17"/>
      <c r="P1452" s="21"/>
      <c r="Q1452" s="6"/>
      <c r="R1452" s="6"/>
      <c r="S1452" s="20"/>
      <c r="T1452" s="6"/>
      <c r="U1452" s="21"/>
      <c r="W1452" s="20"/>
      <c r="X1452" s="21"/>
      <c r="AG1452" s="23"/>
    </row>
    <row r="1453" spans="2:33" ht="16">
      <c r="B1453" s="26" t="str">
        <f t="shared" si="6"/>
        <v/>
      </c>
      <c r="C1453" s="6"/>
      <c r="D1453" s="6"/>
      <c r="E1453" s="6"/>
      <c r="F1453" s="15"/>
      <c r="G1453" s="6"/>
      <c r="H1453" s="6"/>
      <c r="I1453" s="6"/>
      <c r="J1453" s="16"/>
      <c r="K1453" s="6"/>
      <c r="L1453" s="16"/>
      <c r="M1453" s="17"/>
      <c r="N1453" s="15"/>
      <c r="O1453" s="17"/>
      <c r="P1453" s="21"/>
      <c r="Q1453" s="6"/>
      <c r="R1453" s="6"/>
      <c r="S1453" s="20"/>
      <c r="T1453" s="6"/>
      <c r="U1453" s="21"/>
      <c r="W1453" s="20"/>
      <c r="X1453" s="21"/>
      <c r="AG1453" s="23"/>
    </row>
    <row r="1454" spans="2:33" ht="16">
      <c r="B1454" s="26" t="str">
        <f t="shared" si="6"/>
        <v/>
      </c>
      <c r="C1454" s="6"/>
      <c r="D1454" s="6"/>
      <c r="E1454" s="6"/>
      <c r="F1454" s="15"/>
      <c r="G1454" s="6"/>
      <c r="H1454" s="6"/>
      <c r="I1454" s="6"/>
      <c r="J1454" s="16"/>
      <c r="K1454" s="6"/>
      <c r="L1454" s="16"/>
      <c r="M1454" s="23"/>
      <c r="N1454" s="15"/>
      <c r="O1454" s="17"/>
      <c r="P1454" s="21"/>
      <c r="Q1454" s="6"/>
      <c r="R1454" s="6"/>
      <c r="S1454" s="20"/>
      <c r="T1454" s="6"/>
      <c r="U1454" s="21"/>
      <c r="W1454" s="20"/>
      <c r="X1454" s="21"/>
      <c r="AG1454" s="23"/>
    </row>
    <row r="1455" spans="2:33" ht="16">
      <c r="B1455" s="26" t="str">
        <f t="shared" si="6"/>
        <v/>
      </c>
      <c r="C1455" s="6"/>
      <c r="D1455" s="6"/>
      <c r="E1455" s="6"/>
      <c r="F1455" s="15"/>
      <c r="G1455" s="6"/>
      <c r="H1455" s="6"/>
      <c r="I1455" s="6"/>
      <c r="J1455" s="16"/>
      <c r="K1455" s="6"/>
      <c r="L1455" s="16"/>
      <c r="M1455" s="17"/>
      <c r="N1455" s="15"/>
      <c r="O1455" s="17"/>
      <c r="P1455" s="21"/>
      <c r="Q1455" s="6"/>
      <c r="R1455" s="6"/>
      <c r="S1455" s="20"/>
      <c r="T1455" s="6"/>
      <c r="U1455" s="21"/>
      <c r="W1455" s="20"/>
      <c r="X1455" s="21"/>
      <c r="AG1455" s="17"/>
    </row>
    <row r="1456" spans="2:33" ht="16">
      <c r="B1456" s="26" t="str">
        <f t="shared" si="6"/>
        <v/>
      </c>
      <c r="C1456" s="6"/>
      <c r="D1456" s="6"/>
      <c r="E1456" s="6"/>
      <c r="F1456" s="15"/>
      <c r="G1456" s="6"/>
      <c r="H1456" s="6"/>
      <c r="I1456" s="6"/>
      <c r="J1456" s="16"/>
      <c r="K1456" s="6"/>
      <c r="L1456" s="16"/>
      <c r="M1456" s="17"/>
      <c r="N1456" s="15"/>
      <c r="O1456" s="17"/>
      <c r="P1456" s="21"/>
      <c r="Q1456" s="6"/>
      <c r="R1456" s="6"/>
      <c r="S1456" s="20"/>
      <c r="T1456" s="6"/>
      <c r="U1456" s="21"/>
      <c r="W1456" s="20"/>
      <c r="X1456" s="21"/>
      <c r="AG1456" s="17"/>
    </row>
    <row r="1457" spans="2:33" ht="16">
      <c r="B1457" s="26" t="str">
        <f t="shared" si="6"/>
        <v/>
      </c>
      <c r="C1457" s="6"/>
      <c r="D1457" s="6"/>
      <c r="E1457" s="6"/>
      <c r="F1457" s="15"/>
      <c r="G1457" s="6"/>
      <c r="H1457" s="6"/>
      <c r="I1457" s="6"/>
      <c r="J1457" s="16"/>
      <c r="K1457" s="6"/>
      <c r="L1457" s="16"/>
      <c r="M1457" s="17"/>
      <c r="N1457" s="15"/>
      <c r="O1457" s="17"/>
      <c r="P1457" s="21"/>
      <c r="Q1457" s="6"/>
      <c r="R1457" s="6"/>
      <c r="S1457" s="20"/>
      <c r="T1457" s="6"/>
      <c r="U1457" s="21"/>
      <c r="W1457" s="20"/>
      <c r="X1457" s="21"/>
      <c r="AG1457" s="17"/>
    </row>
    <row r="1458" spans="2:33" ht="16">
      <c r="B1458" s="26" t="str">
        <f t="shared" si="6"/>
        <v/>
      </c>
      <c r="C1458" s="6"/>
      <c r="D1458" s="6"/>
      <c r="E1458" s="6"/>
      <c r="F1458" s="15"/>
      <c r="G1458" s="6"/>
      <c r="H1458" s="6"/>
      <c r="I1458" s="6"/>
      <c r="J1458" s="16"/>
      <c r="K1458" s="6"/>
      <c r="L1458" s="16"/>
      <c r="M1458" s="17"/>
      <c r="N1458" s="15"/>
      <c r="O1458" s="17"/>
      <c r="P1458" s="21"/>
      <c r="Q1458" s="6"/>
      <c r="R1458" s="6"/>
      <c r="S1458" s="20"/>
      <c r="T1458" s="6"/>
      <c r="U1458" s="21"/>
      <c r="W1458" s="20"/>
      <c r="X1458" s="21"/>
      <c r="AG1458" s="17"/>
    </row>
    <row r="1459" spans="2:33" ht="16">
      <c r="B1459" s="26" t="str">
        <f t="shared" si="6"/>
        <v/>
      </c>
      <c r="C1459" s="6"/>
      <c r="D1459" s="6"/>
      <c r="E1459" s="6"/>
      <c r="F1459" s="15"/>
      <c r="G1459" s="6"/>
      <c r="H1459" s="6"/>
      <c r="I1459" s="6"/>
      <c r="J1459" s="16"/>
      <c r="K1459" s="6"/>
      <c r="L1459" s="16"/>
      <c r="M1459" s="17"/>
      <c r="N1459" s="15"/>
      <c r="O1459" s="17"/>
      <c r="P1459" s="21"/>
      <c r="Q1459" s="6"/>
      <c r="R1459" s="6"/>
      <c r="S1459" s="20"/>
      <c r="T1459" s="6"/>
      <c r="U1459" s="21"/>
      <c r="W1459" s="20"/>
      <c r="X1459" s="21"/>
      <c r="AG1459" s="23"/>
    </row>
    <row r="1460" spans="2:33" ht="16">
      <c r="B1460" s="26" t="str">
        <f t="shared" si="6"/>
        <v/>
      </c>
      <c r="C1460" s="6"/>
      <c r="D1460" s="6"/>
      <c r="E1460" s="6"/>
      <c r="F1460" s="15"/>
      <c r="G1460" s="6"/>
      <c r="H1460" s="6"/>
      <c r="I1460" s="6"/>
      <c r="J1460" s="16"/>
      <c r="K1460" s="6"/>
      <c r="L1460" s="16"/>
      <c r="M1460" s="17"/>
      <c r="N1460" s="15"/>
      <c r="O1460" s="17"/>
      <c r="P1460" s="21"/>
      <c r="Q1460" s="6"/>
      <c r="R1460" s="6"/>
      <c r="S1460" s="20"/>
      <c r="T1460" s="6"/>
      <c r="U1460" s="21"/>
      <c r="W1460" s="20"/>
      <c r="X1460" s="21"/>
      <c r="AG1460" s="23"/>
    </row>
    <row r="1461" spans="2:33" ht="16">
      <c r="B1461" s="26" t="str">
        <f t="shared" si="6"/>
        <v/>
      </c>
      <c r="C1461" s="6"/>
      <c r="D1461" s="6"/>
      <c r="E1461" s="6"/>
      <c r="F1461" s="15"/>
      <c r="G1461" s="6"/>
      <c r="H1461" s="6"/>
      <c r="I1461" s="6"/>
      <c r="J1461" s="16"/>
      <c r="K1461" s="6"/>
      <c r="L1461" s="16"/>
      <c r="M1461" s="17"/>
      <c r="N1461" s="15"/>
      <c r="O1461" s="17"/>
      <c r="P1461" s="21"/>
      <c r="Q1461" s="6"/>
      <c r="R1461" s="6"/>
      <c r="S1461" s="20"/>
      <c r="T1461" s="6"/>
      <c r="U1461" s="21"/>
      <c r="W1461" s="20"/>
      <c r="X1461" s="21"/>
      <c r="AG1461" s="23"/>
    </row>
    <row r="1462" spans="2:33" ht="16">
      <c r="B1462" s="26" t="str">
        <f t="shared" si="6"/>
        <v/>
      </c>
      <c r="C1462" s="6"/>
      <c r="D1462" s="6"/>
      <c r="E1462" s="6"/>
      <c r="F1462" s="15"/>
      <c r="G1462" s="6"/>
      <c r="H1462" s="6"/>
      <c r="I1462" s="6"/>
      <c r="J1462" s="16"/>
      <c r="K1462" s="6"/>
      <c r="L1462" s="16"/>
      <c r="M1462" s="17"/>
      <c r="N1462" s="15"/>
      <c r="O1462" s="17"/>
      <c r="P1462" s="21"/>
      <c r="Q1462" s="6"/>
      <c r="R1462" s="6"/>
      <c r="S1462" s="20"/>
      <c r="T1462" s="6"/>
      <c r="U1462" s="21"/>
      <c r="W1462" s="20"/>
      <c r="X1462" s="21"/>
      <c r="AG1462" s="23"/>
    </row>
    <row r="1463" spans="2:33" ht="16">
      <c r="B1463" s="26" t="str">
        <f t="shared" si="6"/>
        <v/>
      </c>
      <c r="C1463" s="6"/>
      <c r="D1463" s="6"/>
      <c r="E1463" s="6"/>
      <c r="F1463" s="15"/>
      <c r="G1463" s="6"/>
      <c r="H1463" s="6"/>
      <c r="I1463" s="6"/>
      <c r="J1463" s="16"/>
      <c r="K1463" s="6"/>
      <c r="L1463" s="16"/>
      <c r="M1463" s="17"/>
      <c r="N1463" s="15"/>
      <c r="O1463" s="17"/>
      <c r="P1463" s="21"/>
      <c r="Q1463" s="6"/>
      <c r="R1463" s="6"/>
      <c r="S1463" s="20"/>
      <c r="T1463" s="6"/>
      <c r="U1463" s="21"/>
      <c r="W1463" s="20"/>
      <c r="X1463" s="21"/>
      <c r="AG1463" s="23"/>
    </row>
    <row r="1464" spans="2:33" ht="16">
      <c r="B1464" s="26" t="str">
        <f t="shared" si="6"/>
        <v/>
      </c>
      <c r="C1464" s="6"/>
      <c r="D1464" s="6"/>
      <c r="E1464" s="6"/>
      <c r="F1464" s="15"/>
      <c r="G1464" s="6"/>
      <c r="H1464" s="6"/>
      <c r="I1464" s="6"/>
      <c r="J1464" s="16"/>
      <c r="K1464" s="6"/>
      <c r="L1464" s="16"/>
      <c r="M1464" s="17"/>
      <c r="N1464" s="15"/>
      <c r="O1464" s="17"/>
      <c r="P1464" s="21"/>
      <c r="Q1464" s="6"/>
      <c r="R1464" s="6"/>
      <c r="S1464" s="20"/>
      <c r="T1464" s="6"/>
      <c r="U1464" s="21"/>
      <c r="W1464" s="20"/>
      <c r="X1464" s="21"/>
      <c r="AG1464" s="23"/>
    </row>
    <row r="1465" spans="2:33" ht="16">
      <c r="B1465" s="26" t="str">
        <f t="shared" si="6"/>
        <v/>
      </c>
      <c r="C1465" s="6"/>
      <c r="D1465" s="6"/>
      <c r="E1465" s="6"/>
      <c r="F1465" s="15"/>
      <c r="G1465" s="6"/>
      <c r="H1465" s="6"/>
      <c r="I1465" s="6"/>
      <c r="J1465" s="16"/>
      <c r="K1465" s="6"/>
      <c r="L1465" s="16"/>
      <c r="M1465" s="23"/>
      <c r="N1465" s="15"/>
      <c r="O1465" s="17"/>
      <c r="P1465" s="21"/>
      <c r="Q1465" s="6"/>
      <c r="R1465" s="6"/>
      <c r="S1465" s="20"/>
      <c r="T1465" s="6"/>
      <c r="U1465" s="21"/>
      <c r="W1465" s="20"/>
      <c r="X1465" s="21"/>
      <c r="AG1465" s="23"/>
    </row>
    <row r="1466" spans="2:33" ht="16">
      <c r="B1466" s="26" t="str">
        <f t="shared" si="6"/>
        <v/>
      </c>
      <c r="C1466" s="6"/>
      <c r="D1466" s="6"/>
      <c r="E1466" s="6"/>
      <c r="F1466" s="15"/>
      <c r="G1466" s="6"/>
      <c r="H1466" s="6"/>
      <c r="I1466" s="6"/>
      <c r="J1466" s="16"/>
      <c r="K1466" s="6"/>
      <c r="L1466" s="16"/>
      <c r="M1466" s="17"/>
      <c r="N1466" s="15"/>
      <c r="O1466" s="17"/>
      <c r="P1466" s="21"/>
      <c r="Q1466" s="6"/>
      <c r="R1466" s="6"/>
      <c r="S1466" s="20"/>
      <c r="T1466" s="6"/>
      <c r="U1466" s="21"/>
      <c r="W1466" s="20"/>
      <c r="X1466" s="21"/>
      <c r="AG1466" s="23"/>
    </row>
    <row r="1467" spans="2:33" ht="16">
      <c r="B1467" s="26" t="str">
        <f t="shared" si="6"/>
        <v/>
      </c>
      <c r="C1467" s="6"/>
      <c r="D1467" s="6"/>
      <c r="E1467" s="6"/>
      <c r="F1467" s="15"/>
      <c r="G1467" s="6"/>
      <c r="H1467" s="6"/>
      <c r="I1467" s="6"/>
      <c r="J1467" s="16"/>
      <c r="K1467" s="6"/>
      <c r="L1467" s="16"/>
      <c r="M1467" s="17"/>
      <c r="N1467" s="15"/>
      <c r="O1467" s="17"/>
      <c r="P1467" s="21"/>
      <c r="Q1467" s="6"/>
      <c r="R1467" s="6"/>
      <c r="S1467" s="20"/>
      <c r="T1467" s="6"/>
      <c r="U1467" s="21"/>
      <c r="W1467" s="20"/>
      <c r="X1467" s="21"/>
      <c r="AG1467" s="23"/>
    </row>
    <row r="1468" spans="2:33" ht="16">
      <c r="B1468" s="26" t="str">
        <f t="shared" si="6"/>
        <v/>
      </c>
      <c r="C1468" s="6"/>
      <c r="D1468" s="6"/>
      <c r="E1468" s="6"/>
      <c r="F1468" s="15"/>
      <c r="G1468" s="6"/>
      <c r="H1468" s="6"/>
      <c r="I1468" s="6"/>
      <c r="J1468" s="16"/>
      <c r="K1468" s="6"/>
      <c r="L1468" s="16"/>
      <c r="M1468" s="17"/>
      <c r="N1468" s="15"/>
      <c r="O1468" s="17"/>
      <c r="P1468" s="21"/>
      <c r="Q1468" s="6"/>
      <c r="R1468" s="6"/>
      <c r="S1468" s="20"/>
      <c r="T1468" s="6"/>
      <c r="U1468" s="21"/>
      <c r="W1468" s="20"/>
      <c r="X1468" s="21"/>
      <c r="AG1468" s="23"/>
    </row>
    <row r="1469" spans="2:33" ht="16">
      <c r="B1469" s="26" t="str">
        <f t="shared" si="6"/>
        <v/>
      </c>
      <c r="C1469" s="6"/>
      <c r="D1469" s="6"/>
      <c r="E1469" s="6"/>
      <c r="F1469" s="15"/>
      <c r="G1469" s="6"/>
      <c r="H1469" s="6"/>
      <c r="I1469" s="6"/>
      <c r="J1469" s="16"/>
      <c r="K1469" s="6"/>
      <c r="L1469" s="16"/>
      <c r="M1469" s="17"/>
      <c r="N1469" s="15"/>
      <c r="O1469" s="17"/>
      <c r="P1469" s="21"/>
      <c r="Q1469" s="6"/>
      <c r="R1469" s="6"/>
      <c r="S1469" s="20"/>
      <c r="T1469" s="6"/>
      <c r="U1469" s="21"/>
      <c r="W1469" s="20"/>
      <c r="X1469" s="21"/>
      <c r="AG1469" s="23"/>
    </row>
    <row r="1470" spans="2:33" ht="16">
      <c r="B1470" s="26" t="str">
        <f t="shared" si="6"/>
        <v/>
      </c>
      <c r="C1470" s="6"/>
      <c r="D1470" s="6"/>
      <c r="E1470" s="6"/>
      <c r="F1470" s="15"/>
      <c r="G1470" s="6"/>
      <c r="H1470" s="6"/>
      <c r="I1470" s="6"/>
      <c r="J1470" s="16"/>
      <c r="K1470" s="6"/>
      <c r="L1470" s="16"/>
      <c r="M1470" s="17"/>
      <c r="N1470" s="15"/>
      <c r="O1470" s="17"/>
      <c r="P1470" s="21"/>
      <c r="Q1470" s="6"/>
      <c r="R1470" s="6"/>
      <c r="S1470" s="20"/>
      <c r="T1470" s="6"/>
      <c r="U1470" s="21"/>
      <c r="W1470" s="20"/>
      <c r="X1470" s="21"/>
      <c r="AG1470" s="23"/>
    </row>
    <row r="1471" spans="2:33" ht="16">
      <c r="B1471" s="26" t="str">
        <f t="shared" si="6"/>
        <v/>
      </c>
      <c r="C1471" s="6"/>
      <c r="D1471" s="6"/>
      <c r="E1471" s="6"/>
      <c r="F1471" s="15"/>
      <c r="G1471" s="6"/>
      <c r="H1471" s="6"/>
      <c r="I1471" s="6"/>
      <c r="J1471" s="16"/>
      <c r="K1471" s="6"/>
      <c r="L1471" s="16"/>
      <c r="M1471" s="17"/>
      <c r="N1471" s="15"/>
      <c r="O1471" s="17"/>
      <c r="P1471" s="21"/>
      <c r="Q1471" s="6"/>
      <c r="R1471" s="6"/>
      <c r="S1471" s="20"/>
      <c r="T1471" s="6"/>
      <c r="U1471" s="21"/>
      <c r="W1471" s="20"/>
      <c r="X1471" s="21"/>
      <c r="AG1471" s="23"/>
    </row>
    <row r="1472" spans="2:33" ht="16">
      <c r="B1472" s="26" t="str">
        <f t="shared" si="6"/>
        <v/>
      </c>
      <c r="C1472" s="6"/>
      <c r="D1472" s="6"/>
      <c r="E1472" s="6"/>
      <c r="F1472" s="15"/>
      <c r="G1472" s="6"/>
      <c r="H1472" s="6"/>
      <c r="I1472" s="6"/>
      <c r="J1472" s="16"/>
      <c r="K1472" s="6"/>
      <c r="L1472" s="16"/>
      <c r="M1472" s="17"/>
      <c r="N1472" s="15"/>
      <c r="O1472" s="17"/>
      <c r="P1472" s="21"/>
      <c r="Q1472" s="6"/>
      <c r="R1472" s="6"/>
      <c r="S1472" s="20"/>
      <c r="T1472" s="6"/>
      <c r="U1472" s="21"/>
      <c r="W1472" s="20"/>
      <c r="X1472" s="21"/>
      <c r="AG1472" s="23"/>
    </row>
    <row r="1473" spans="2:33" ht="16">
      <c r="B1473" s="26" t="str">
        <f t="shared" si="6"/>
        <v/>
      </c>
      <c r="C1473" s="6"/>
      <c r="D1473" s="6"/>
      <c r="E1473" s="6"/>
      <c r="F1473" s="15"/>
      <c r="G1473" s="6"/>
      <c r="H1473" s="6"/>
      <c r="I1473" s="6"/>
      <c r="J1473" s="16"/>
      <c r="K1473" s="6"/>
      <c r="L1473" s="16"/>
      <c r="M1473" s="17"/>
      <c r="N1473" s="15"/>
      <c r="O1473" s="17"/>
      <c r="P1473" s="21"/>
      <c r="Q1473" s="6"/>
      <c r="R1473" s="6"/>
      <c r="S1473" s="20"/>
      <c r="T1473" s="6"/>
      <c r="U1473" s="21"/>
      <c r="W1473" s="20"/>
      <c r="X1473" s="21"/>
      <c r="AG1473" s="23"/>
    </row>
    <row r="1474" spans="2:33" ht="16">
      <c r="B1474" s="26" t="str">
        <f t="shared" si="6"/>
        <v/>
      </c>
      <c r="C1474" s="6"/>
      <c r="D1474" s="6"/>
      <c r="E1474" s="6"/>
      <c r="F1474" s="15"/>
      <c r="G1474" s="6"/>
      <c r="H1474" s="6"/>
      <c r="I1474" s="6"/>
      <c r="J1474" s="16"/>
      <c r="K1474" s="6"/>
      <c r="L1474" s="16"/>
      <c r="M1474" s="17"/>
      <c r="N1474" s="15"/>
      <c r="O1474" s="17"/>
      <c r="P1474" s="21"/>
      <c r="Q1474" s="6"/>
      <c r="R1474" s="6"/>
      <c r="S1474" s="20"/>
      <c r="T1474" s="6"/>
      <c r="U1474" s="21"/>
      <c r="W1474" s="20"/>
      <c r="X1474" s="21"/>
      <c r="AG1474" s="23"/>
    </row>
    <row r="1475" spans="2:33" ht="16">
      <c r="B1475" s="26" t="str">
        <f t="shared" si="6"/>
        <v/>
      </c>
      <c r="C1475" s="6"/>
      <c r="D1475" s="6"/>
      <c r="E1475" s="6"/>
      <c r="F1475" s="15"/>
      <c r="G1475" s="6"/>
      <c r="H1475" s="6"/>
      <c r="I1475" s="6"/>
      <c r="J1475" s="16"/>
      <c r="K1475" s="6"/>
      <c r="L1475" s="16"/>
      <c r="M1475" s="17"/>
      <c r="N1475" s="15"/>
      <c r="O1475" s="17"/>
      <c r="P1475" s="21"/>
      <c r="Q1475" s="6"/>
      <c r="R1475" s="6"/>
      <c r="S1475" s="20"/>
      <c r="T1475" s="6"/>
      <c r="U1475" s="21"/>
      <c r="W1475" s="20"/>
      <c r="X1475" s="21"/>
      <c r="AG1475" s="23"/>
    </row>
    <row r="1476" spans="2:33" ht="16">
      <c r="B1476" s="26" t="str">
        <f t="shared" si="6"/>
        <v/>
      </c>
      <c r="C1476" s="6"/>
      <c r="D1476" s="6"/>
      <c r="E1476" s="6"/>
      <c r="F1476" s="15"/>
      <c r="G1476" s="6"/>
      <c r="H1476" s="6"/>
      <c r="I1476" s="6"/>
      <c r="J1476" s="16"/>
      <c r="K1476" s="6"/>
      <c r="L1476" s="16"/>
      <c r="M1476" s="17"/>
      <c r="N1476" s="15"/>
      <c r="O1476" s="17"/>
      <c r="P1476" s="21"/>
      <c r="Q1476" s="6"/>
      <c r="R1476" s="6"/>
      <c r="S1476" s="20"/>
      <c r="T1476" s="6"/>
      <c r="U1476" s="21"/>
      <c r="W1476" s="20"/>
      <c r="X1476" s="21"/>
      <c r="AG1476" s="23"/>
    </row>
    <row r="1477" spans="2:33" ht="16">
      <c r="B1477" s="26" t="str">
        <f t="shared" si="6"/>
        <v/>
      </c>
      <c r="C1477" s="6"/>
      <c r="D1477" s="6"/>
      <c r="E1477" s="6"/>
      <c r="F1477" s="15"/>
      <c r="G1477" s="6"/>
      <c r="H1477" s="6"/>
      <c r="I1477" s="6"/>
      <c r="J1477" s="16"/>
      <c r="K1477" s="6"/>
      <c r="L1477" s="16"/>
      <c r="M1477" s="17"/>
      <c r="N1477" s="15"/>
      <c r="O1477" s="17"/>
      <c r="P1477" s="21"/>
      <c r="Q1477" s="6"/>
      <c r="R1477" s="6"/>
      <c r="S1477" s="20"/>
      <c r="T1477" s="6"/>
      <c r="U1477" s="21"/>
      <c r="W1477" s="20"/>
      <c r="X1477" s="21"/>
      <c r="AG1477" s="23"/>
    </row>
    <row r="1478" spans="2:33" ht="16">
      <c r="B1478" s="26" t="str">
        <f t="shared" si="6"/>
        <v/>
      </c>
      <c r="C1478" s="6"/>
      <c r="D1478" s="6"/>
      <c r="E1478" s="6"/>
      <c r="F1478" s="15"/>
      <c r="G1478" s="6"/>
      <c r="H1478" s="6"/>
      <c r="I1478" s="6"/>
      <c r="J1478" s="16"/>
      <c r="K1478" s="6"/>
      <c r="L1478" s="16"/>
      <c r="M1478" s="17"/>
      <c r="N1478" s="15"/>
      <c r="O1478" s="17"/>
      <c r="P1478" s="21"/>
      <c r="Q1478" s="6"/>
      <c r="R1478" s="6"/>
      <c r="S1478" s="20"/>
      <c r="T1478" s="6"/>
      <c r="U1478" s="21"/>
      <c r="W1478" s="20"/>
      <c r="X1478" s="21"/>
      <c r="AG1478" s="23"/>
    </row>
    <row r="1479" spans="2:33" ht="16">
      <c r="B1479" s="26" t="str">
        <f t="shared" si="6"/>
        <v/>
      </c>
      <c r="C1479" s="6"/>
      <c r="D1479" s="6"/>
      <c r="E1479" s="6"/>
      <c r="F1479" s="15"/>
      <c r="G1479" s="6"/>
      <c r="H1479" s="6"/>
      <c r="I1479" s="6"/>
      <c r="J1479" s="16"/>
      <c r="K1479" s="6"/>
      <c r="L1479" s="16"/>
      <c r="M1479" s="17"/>
      <c r="N1479" s="15"/>
      <c r="O1479" s="17"/>
      <c r="P1479" s="21"/>
      <c r="Q1479" s="6"/>
      <c r="R1479" s="6"/>
      <c r="S1479" s="20"/>
      <c r="T1479" s="6"/>
      <c r="U1479" s="21"/>
      <c r="W1479" s="20"/>
      <c r="X1479" s="21"/>
      <c r="AG1479" s="23"/>
    </row>
    <row r="1480" spans="2:33" ht="16">
      <c r="B1480" s="26" t="str">
        <f t="shared" si="6"/>
        <v/>
      </c>
      <c r="C1480" s="6"/>
      <c r="D1480" s="6"/>
      <c r="E1480" s="6"/>
      <c r="F1480" s="15"/>
      <c r="G1480" s="6"/>
      <c r="H1480" s="6"/>
      <c r="I1480" s="6"/>
      <c r="J1480" s="16"/>
      <c r="K1480" s="6"/>
      <c r="L1480" s="16"/>
      <c r="M1480" s="17"/>
      <c r="N1480" s="15"/>
      <c r="O1480" s="17"/>
      <c r="P1480" s="21"/>
      <c r="Q1480" s="6"/>
      <c r="R1480" s="6"/>
      <c r="S1480" s="20"/>
      <c r="T1480" s="6"/>
      <c r="U1480" s="21"/>
      <c r="W1480" s="20"/>
      <c r="X1480" s="21"/>
      <c r="AG1480" s="23"/>
    </row>
    <row r="1481" spans="2:33" ht="16">
      <c r="B1481" s="26" t="str">
        <f t="shared" si="6"/>
        <v/>
      </c>
      <c r="C1481" s="6"/>
      <c r="D1481" s="6"/>
      <c r="E1481" s="6"/>
      <c r="F1481" s="15"/>
      <c r="G1481" s="6"/>
      <c r="H1481" s="6"/>
      <c r="I1481" s="6"/>
      <c r="J1481" s="16"/>
      <c r="K1481" s="6"/>
      <c r="L1481" s="16"/>
      <c r="M1481" s="17"/>
      <c r="N1481" s="15"/>
      <c r="O1481" s="17"/>
      <c r="P1481" s="21"/>
      <c r="Q1481" s="6"/>
      <c r="R1481" s="6"/>
      <c r="S1481" s="20"/>
      <c r="T1481" s="6"/>
      <c r="U1481" s="21"/>
      <c r="W1481" s="20"/>
      <c r="X1481" s="21"/>
      <c r="AG1481" s="23"/>
    </row>
    <row r="1482" spans="2:33" ht="16">
      <c r="B1482" s="26" t="str">
        <f t="shared" si="6"/>
        <v/>
      </c>
      <c r="C1482" s="6"/>
      <c r="D1482" s="6"/>
      <c r="E1482" s="6"/>
      <c r="F1482" s="15"/>
      <c r="G1482" s="6"/>
      <c r="H1482" s="6"/>
      <c r="I1482" s="6"/>
      <c r="J1482" s="16"/>
      <c r="K1482" s="6"/>
      <c r="L1482" s="16"/>
      <c r="M1482" s="17"/>
      <c r="N1482" s="15"/>
      <c r="O1482" s="17"/>
      <c r="P1482" s="21"/>
      <c r="Q1482" s="6"/>
      <c r="R1482" s="6"/>
      <c r="S1482" s="20"/>
      <c r="T1482" s="6"/>
      <c r="U1482" s="21"/>
      <c r="W1482" s="20"/>
      <c r="X1482" s="21"/>
      <c r="AG1482" s="23"/>
    </row>
    <row r="1483" spans="2:33" ht="16">
      <c r="B1483" s="26" t="str">
        <f t="shared" si="6"/>
        <v/>
      </c>
      <c r="C1483" s="6"/>
      <c r="D1483" s="6"/>
      <c r="E1483" s="6"/>
      <c r="F1483" s="15"/>
      <c r="G1483" s="6"/>
      <c r="H1483" s="6"/>
      <c r="I1483" s="6"/>
      <c r="J1483" s="16"/>
      <c r="K1483" s="6"/>
      <c r="L1483" s="16"/>
      <c r="M1483" s="17"/>
      <c r="N1483" s="15"/>
      <c r="O1483" s="17"/>
      <c r="P1483" s="21"/>
      <c r="Q1483" s="6"/>
      <c r="R1483" s="6"/>
      <c r="S1483" s="20"/>
      <c r="T1483" s="6"/>
      <c r="U1483" s="21"/>
      <c r="W1483" s="20"/>
      <c r="X1483" s="21"/>
      <c r="AG1483" s="23"/>
    </row>
    <row r="1484" spans="2:33" ht="16">
      <c r="B1484" s="26" t="str">
        <f t="shared" si="6"/>
        <v/>
      </c>
      <c r="C1484" s="6"/>
      <c r="D1484" s="6"/>
      <c r="E1484" s="6"/>
      <c r="F1484" s="15"/>
      <c r="G1484" s="6"/>
      <c r="H1484" s="6"/>
      <c r="I1484" s="6"/>
      <c r="J1484" s="16"/>
      <c r="K1484" s="6"/>
      <c r="L1484" s="16"/>
      <c r="M1484" s="17"/>
      <c r="N1484" s="15"/>
      <c r="O1484" s="17"/>
      <c r="P1484" s="21"/>
      <c r="Q1484" s="6"/>
      <c r="R1484" s="6"/>
      <c r="S1484" s="20"/>
      <c r="T1484" s="6"/>
      <c r="U1484" s="21"/>
      <c r="W1484" s="20"/>
      <c r="X1484" s="21"/>
      <c r="AG1484" s="23"/>
    </row>
    <row r="1485" spans="2:33" ht="16">
      <c r="B1485" s="26" t="str">
        <f t="shared" si="6"/>
        <v/>
      </c>
      <c r="C1485" s="6"/>
      <c r="D1485" s="6"/>
      <c r="E1485" s="6"/>
      <c r="F1485" s="15"/>
      <c r="G1485" s="6"/>
      <c r="H1485" s="6"/>
      <c r="I1485" s="6"/>
      <c r="J1485" s="16"/>
      <c r="K1485" s="6"/>
      <c r="L1485" s="16"/>
      <c r="M1485" s="23"/>
      <c r="N1485" s="15"/>
      <c r="O1485" s="17"/>
      <c r="P1485" s="21"/>
      <c r="Q1485" s="6"/>
      <c r="R1485" s="6"/>
      <c r="S1485" s="20"/>
      <c r="T1485" s="6"/>
      <c r="U1485" s="21"/>
      <c r="W1485" s="20"/>
      <c r="X1485" s="21"/>
      <c r="AG1485" s="23"/>
    </row>
    <row r="1486" spans="2:33" ht="16">
      <c r="B1486" s="26" t="str">
        <f t="shared" si="6"/>
        <v/>
      </c>
      <c r="C1486" s="6"/>
      <c r="D1486" s="6"/>
      <c r="E1486" s="6"/>
      <c r="F1486" s="15"/>
      <c r="G1486" s="6"/>
      <c r="H1486" s="6"/>
      <c r="I1486" s="6"/>
      <c r="J1486" s="16"/>
      <c r="K1486" s="6"/>
      <c r="L1486" s="16"/>
      <c r="M1486" s="17"/>
      <c r="N1486" s="15"/>
      <c r="O1486" s="17"/>
      <c r="P1486" s="21"/>
      <c r="Q1486" s="6"/>
      <c r="R1486" s="6"/>
      <c r="S1486" s="20"/>
      <c r="T1486" s="6"/>
      <c r="U1486" s="21"/>
      <c r="W1486" s="20"/>
      <c r="X1486" s="21"/>
      <c r="AG1486" s="17"/>
    </row>
    <row r="1487" spans="2:33" ht="16">
      <c r="B1487" s="26" t="str">
        <f t="shared" si="6"/>
        <v/>
      </c>
      <c r="C1487" s="6"/>
      <c r="D1487" s="6"/>
      <c r="E1487" s="6"/>
      <c r="F1487" s="15"/>
      <c r="G1487" s="6"/>
      <c r="H1487" s="6"/>
      <c r="I1487" s="6"/>
      <c r="J1487" s="16"/>
      <c r="K1487" s="6"/>
      <c r="L1487" s="16"/>
      <c r="M1487" s="23"/>
      <c r="N1487" s="15"/>
      <c r="O1487" s="17"/>
      <c r="P1487" s="21"/>
      <c r="Q1487" s="6"/>
      <c r="R1487" s="6"/>
      <c r="S1487" s="20"/>
      <c r="T1487" s="6"/>
      <c r="U1487" s="21"/>
      <c r="W1487" s="20"/>
      <c r="X1487" s="21"/>
      <c r="AG1487" s="23"/>
    </row>
    <row r="1488" spans="2:33" ht="16">
      <c r="B1488" s="26" t="str">
        <f t="shared" si="6"/>
        <v/>
      </c>
      <c r="C1488" s="6"/>
      <c r="D1488" s="6"/>
      <c r="E1488" s="6"/>
      <c r="F1488" s="15"/>
      <c r="G1488" s="6"/>
      <c r="H1488" s="6"/>
      <c r="I1488" s="6"/>
      <c r="J1488" s="16"/>
      <c r="K1488" s="6"/>
      <c r="L1488" s="16"/>
      <c r="M1488" s="17"/>
      <c r="N1488" s="15"/>
      <c r="O1488" s="17"/>
      <c r="P1488" s="21"/>
      <c r="Q1488" s="6"/>
      <c r="R1488" s="6"/>
      <c r="S1488" s="20"/>
      <c r="T1488" s="6"/>
      <c r="U1488" s="21"/>
      <c r="W1488" s="20"/>
      <c r="X1488" s="21"/>
      <c r="AG1488" s="23"/>
    </row>
    <row r="1489" spans="2:33" ht="16">
      <c r="B1489" s="26" t="str">
        <f t="shared" si="6"/>
        <v/>
      </c>
      <c r="C1489" s="6"/>
      <c r="D1489" s="6"/>
      <c r="E1489" s="6"/>
      <c r="F1489" s="15"/>
      <c r="G1489" s="6"/>
      <c r="H1489" s="6"/>
      <c r="I1489" s="6"/>
      <c r="J1489" s="16"/>
      <c r="K1489" s="6"/>
      <c r="L1489" s="16"/>
      <c r="M1489" s="17"/>
      <c r="N1489" s="15"/>
      <c r="O1489" s="17"/>
      <c r="P1489" s="21"/>
      <c r="Q1489" s="6"/>
      <c r="R1489" s="6"/>
      <c r="S1489" s="20"/>
      <c r="T1489" s="6"/>
      <c r="U1489" s="21"/>
      <c r="W1489" s="20"/>
      <c r="X1489" s="21"/>
      <c r="AG1489" s="23"/>
    </row>
    <row r="1490" spans="2:33" ht="16">
      <c r="B1490" s="26" t="str">
        <f t="shared" si="6"/>
        <v/>
      </c>
      <c r="C1490" s="6"/>
      <c r="D1490" s="6"/>
      <c r="E1490" s="6"/>
      <c r="F1490" s="15"/>
      <c r="G1490" s="6"/>
      <c r="H1490" s="6"/>
      <c r="I1490" s="6"/>
      <c r="J1490" s="16"/>
      <c r="K1490" s="6"/>
      <c r="L1490" s="16"/>
      <c r="M1490" s="23"/>
      <c r="N1490" s="15"/>
      <c r="O1490" s="17"/>
      <c r="P1490" s="21"/>
      <c r="Q1490" s="6"/>
      <c r="R1490" s="6"/>
      <c r="S1490" s="20"/>
      <c r="T1490" s="6"/>
      <c r="U1490" s="21"/>
      <c r="W1490" s="20"/>
      <c r="X1490" s="21"/>
      <c r="AG1490" s="23"/>
    </row>
    <row r="1491" spans="2:33" ht="16">
      <c r="B1491" s="26" t="str">
        <f t="shared" si="6"/>
        <v/>
      </c>
      <c r="C1491" s="6"/>
      <c r="D1491" s="6"/>
      <c r="E1491" s="6"/>
      <c r="F1491" s="15"/>
      <c r="G1491" s="6"/>
      <c r="H1491" s="6"/>
      <c r="I1491" s="6"/>
      <c r="J1491" s="16"/>
      <c r="K1491" s="6"/>
      <c r="L1491" s="16"/>
      <c r="M1491" s="17"/>
      <c r="N1491" s="15"/>
      <c r="O1491" s="17"/>
      <c r="P1491" s="21"/>
      <c r="Q1491" s="6"/>
      <c r="R1491" s="6"/>
      <c r="S1491" s="20"/>
      <c r="T1491" s="6"/>
      <c r="U1491" s="21"/>
      <c r="W1491" s="20"/>
      <c r="X1491" s="21"/>
      <c r="AG1491" s="23"/>
    </row>
    <row r="1492" spans="2:33" ht="16">
      <c r="B1492" s="26" t="str">
        <f t="shared" si="6"/>
        <v/>
      </c>
      <c r="C1492" s="6"/>
      <c r="D1492" s="6"/>
      <c r="E1492" s="6"/>
      <c r="F1492" s="15"/>
      <c r="G1492" s="6"/>
      <c r="H1492" s="6"/>
      <c r="I1492" s="6"/>
      <c r="J1492" s="16"/>
      <c r="K1492" s="6"/>
      <c r="L1492" s="16"/>
      <c r="M1492" s="17"/>
      <c r="N1492" s="15"/>
      <c r="O1492" s="17"/>
      <c r="P1492" s="21"/>
      <c r="Q1492" s="6"/>
      <c r="R1492" s="6"/>
      <c r="S1492" s="20"/>
      <c r="T1492" s="6"/>
      <c r="U1492" s="21"/>
      <c r="W1492" s="20"/>
      <c r="X1492" s="21"/>
      <c r="AG1492" s="23"/>
    </row>
    <row r="1493" spans="2:33" ht="16">
      <c r="B1493" s="26" t="str">
        <f t="shared" si="6"/>
        <v/>
      </c>
      <c r="C1493" s="6"/>
      <c r="D1493" s="6"/>
      <c r="E1493" s="6"/>
      <c r="F1493" s="15"/>
      <c r="G1493" s="6"/>
      <c r="H1493" s="6"/>
      <c r="I1493" s="6"/>
      <c r="J1493" s="16"/>
      <c r="K1493" s="6"/>
      <c r="L1493" s="16"/>
      <c r="M1493" s="17"/>
      <c r="N1493" s="15"/>
      <c r="O1493" s="17"/>
      <c r="P1493" s="21"/>
      <c r="Q1493" s="6"/>
      <c r="R1493" s="6"/>
      <c r="S1493" s="20"/>
      <c r="T1493" s="6"/>
      <c r="U1493" s="21"/>
      <c r="W1493" s="20"/>
      <c r="X1493" s="21"/>
      <c r="AG1493" s="23"/>
    </row>
    <row r="1494" spans="2:33" ht="16">
      <c r="B1494" s="26" t="str">
        <f t="shared" si="6"/>
        <v/>
      </c>
      <c r="C1494" s="6"/>
      <c r="D1494" s="6"/>
      <c r="E1494" s="6"/>
      <c r="F1494" s="15"/>
      <c r="G1494" s="6"/>
      <c r="H1494" s="6"/>
      <c r="I1494" s="6"/>
      <c r="J1494" s="16"/>
      <c r="K1494" s="6"/>
      <c r="L1494" s="16"/>
      <c r="M1494" s="17"/>
      <c r="N1494" s="15"/>
      <c r="O1494" s="17"/>
      <c r="P1494" s="21"/>
      <c r="Q1494" s="6"/>
      <c r="R1494" s="6"/>
      <c r="S1494" s="20"/>
      <c r="T1494" s="6"/>
      <c r="U1494" s="21"/>
      <c r="W1494" s="20"/>
      <c r="X1494" s="21"/>
      <c r="AG1494" s="23"/>
    </row>
    <row r="1495" spans="2:33" ht="16">
      <c r="B1495" s="26" t="str">
        <f t="shared" si="6"/>
        <v/>
      </c>
      <c r="C1495" s="6"/>
      <c r="D1495" s="6"/>
      <c r="E1495" s="6"/>
      <c r="F1495" s="15"/>
      <c r="G1495" s="6"/>
      <c r="H1495" s="6"/>
      <c r="I1495" s="6"/>
      <c r="J1495" s="16"/>
      <c r="K1495" s="6"/>
      <c r="L1495" s="16"/>
      <c r="M1495" s="23"/>
      <c r="N1495" s="15"/>
      <c r="O1495" s="17"/>
      <c r="P1495" s="21"/>
      <c r="Q1495" s="6"/>
      <c r="R1495" s="6"/>
      <c r="S1495" s="20"/>
      <c r="T1495" s="6"/>
      <c r="U1495" s="21"/>
      <c r="W1495" s="20"/>
      <c r="X1495" s="21"/>
      <c r="AG1495" s="23"/>
    </row>
    <row r="1496" spans="2:33" ht="16">
      <c r="B1496" s="26" t="str">
        <f t="shared" si="6"/>
        <v/>
      </c>
      <c r="C1496" s="6"/>
      <c r="D1496" s="6"/>
      <c r="E1496" s="6"/>
      <c r="F1496" s="15"/>
      <c r="G1496" s="6"/>
      <c r="H1496" s="6"/>
      <c r="I1496" s="6"/>
      <c r="J1496" s="16"/>
      <c r="K1496" s="6"/>
      <c r="L1496" s="16"/>
      <c r="M1496" s="23"/>
      <c r="N1496" s="15"/>
      <c r="O1496" s="17"/>
      <c r="P1496" s="21"/>
      <c r="Q1496" s="6"/>
      <c r="R1496" s="6"/>
      <c r="S1496" s="20"/>
      <c r="T1496" s="6"/>
      <c r="U1496" s="21"/>
      <c r="W1496" s="20"/>
      <c r="X1496" s="21"/>
      <c r="AG1496" s="23"/>
    </row>
    <row r="1497" spans="2:33" ht="16">
      <c r="B1497" s="26" t="str">
        <f t="shared" si="6"/>
        <v/>
      </c>
      <c r="C1497" s="6"/>
      <c r="D1497" s="6"/>
      <c r="E1497" s="6"/>
      <c r="F1497" s="15"/>
      <c r="G1497" s="6"/>
      <c r="H1497" s="6"/>
      <c r="I1497" s="6"/>
      <c r="J1497" s="16"/>
      <c r="K1497" s="6"/>
      <c r="L1497" s="16"/>
      <c r="M1497" s="17"/>
      <c r="N1497" s="15"/>
      <c r="O1497" s="17"/>
      <c r="P1497" s="21"/>
      <c r="Q1497" s="6"/>
      <c r="R1497" s="6"/>
      <c r="S1497" s="20"/>
      <c r="T1497" s="6"/>
      <c r="U1497" s="21"/>
      <c r="W1497" s="20"/>
      <c r="X1497" s="21"/>
      <c r="AG1497" s="23"/>
    </row>
    <row r="1498" spans="2:33" ht="16">
      <c r="B1498" s="26" t="str">
        <f t="shared" si="6"/>
        <v/>
      </c>
      <c r="C1498" s="6"/>
      <c r="D1498" s="6"/>
      <c r="E1498" s="6"/>
      <c r="F1498" s="15"/>
      <c r="G1498" s="6"/>
      <c r="H1498" s="6"/>
      <c r="I1498" s="6"/>
      <c r="J1498" s="16"/>
      <c r="K1498" s="6"/>
      <c r="L1498" s="16"/>
      <c r="M1498" s="17"/>
      <c r="N1498" s="15"/>
      <c r="O1498" s="17"/>
      <c r="P1498" s="21"/>
      <c r="Q1498" s="6"/>
      <c r="R1498" s="6"/>
      <c r="S1498" s="20"/>
      <c r="T1498" s="6"/>
      <c r="U1498" s="21"/>
      <c r="W1498" s="20"/>
      <c r="X1498" s="21"/>
      <c r="AG1498" s="23"/>
    </row>
    <row r="1499" spans="2:33" ht="16">
      <c r="B1499" s="26" t="str">
        <f t="shared" si="6"/>
        <v/>
      </c>
      <c r="C1499" s="6"/>
      <c r="D1499" s="6"/>
      <c r="E1499" s="6"/>
      <c r="F1499" s="15"/>
      <c r="G1499" s="6"/>
      <c r="H1499" s="6"/>
      <c r="I1499" s="6"/>
      <c r="J1499" s="16"/>
      <c r="K1499" s="6"/>
      <c r="L1499" s="16"/>
      <c r="M1499" s="17"/>
      <c r="N1499" s="15"/>
      <c r="O1499" s="17"/>
      <c r="P1499" s="21"/>
      <c r="Q1499" s="6"/>
      <c r="R1499" s="6"/>
      <c r="S1499" s="20"/>
      <c r="T1499" s="6"/>
      <c r="U1499" s="21"/>
      <c r="W1499" s="20"/>
      <c r="X1499" s="21"/>
      <c r="AG1499" s="23"/>
    </row>
    <row r="1500" spans="2:33" ht="16">
      <c r="B1500" s="26" t="str">
        <f t="shared" si="6"/>
        <v/>
      </c>
      <c r="C1500" s="6"/>
      <c r="D1500" s="6"/>
      <c r="E1500" s="6"/>
      <c r="F1500" s="15"/>
      <c r="G1500" s="6"/>
      <c r="H1500" s="6"/>
      <c r="I1500" s="6"/>
      <c r="J1500" s="16"/>
      <c r="K1500" s="6"/>
      <c r="L1500" s="16"/>
      <c r="M1500" s="17"/>
      <c r="N1500" s="15"/>
      <c r="O1500" s="17"/>
      <c r="P1500" s="21"/>
      <c r="Q1500" s="6"/>
      <c r="R1500" s="6"/>
      <c r="S1500" s="20"/>
      <c r="T1500" s="6"/>
      <c r="U1500" s="21"/>
      <c r="W1500" s="20"/>
      <c r="X1500" s="21"/>
      <c r="AG1500" s="23"/>
    </row>
    <row r="1501" spans="2:33" ht="16">
      <c r="B1501" s="26" t="str">
        <f t="shared" si="6"/>
        <v/>
      </c>
      <c r="C1501" s="6"/>
      <c r="D1501" s="6"/>
      <c r="E1501" s="6"/>
      <c r="F1501" s="15"/>
      <c r="G1501" s="6"/>
      <c r="H1501" s="6"/>
      <c r="I1501" s="6"/>
      <c r="J1501" s="16"/>
      <c r="K1501" s="6"/>
      <c r="L1501" s="16"/>
      <c r="M1501" s="17"/>
      <c r="N1501" s="15"/>
      <c r="O1501" s="17"/>
      <c r="P1501" s="21"/>
      <c r="Q1501" s="6"/>
      <c r="R1501" s="6"/>
      <c r="S1501" s="20"/>
      <c r="T1501" s="6"/>
      <c r="U1501" s="21"/>
      <c r="W1501" s="20"/>
      <c r="X1501" s="21"/>
      <c r="AG1501" s="23"/>
    </row>
    <row r="1502" spans="2:33" ht="16">
      <c r="B1502" s="26" t="str">
        <f t="shared" si="6"/>
        <v/>
      </c>
      <c r="C1502" s="6"/>
      <c r="D1502" s="6"/>
      <c r="E1502" s="6"/>
      <c r="F1502" s="15"/>
      <c r="G1502" s="6"/>
      <c r="H1502" s="6"/>
      <c r="I1502" s="6"/>
      <c r="J1502" s="16"/>
      <c r="K1502" s="6"/>
      <c r="L1502" s="16"/>
      <c r="M1502" s="17"/>
      <c r="N1502" s="15"/>
      <c r="O1502" s="17"/>
      <c r="P1502" s="21"/>
      <c r="Q1502" s="6"/>
      <c r="R1502" s="6"/>
      <c r="S1502" s="20"/>
      <c r="T1502" s="6"/>
      <c r="U1502" s="21"/>
      <c r="W1502" s="20"/>
      <c r="X1502" s="21"/>
      <c r="AG1502" s="23"/>
    </row>
    <row r="1503" spans="2:33" ht="16">
      <c r="B1503" s="26" t="str">
        <f t="shared" si="6"/>
        <v/>
      </c>
      <c r="C1503" s="6"/>
      <c r="D1503" s="6"/>
      <c r="E1503" s="6"/>
      <c r="F1503" s="15"/>
      <c r="G1503" s="6"/>
      <c r="H1503" s="6"/>
      <c r="I1503" s="6"/>
      <c r="J1503" s="16"/>
      <c r="K1503" s="6"/>
      <c r="L1503" s="16"/>
      <c r="M1503" s="17"/>
      <c r="N1503" s="15"/>
      <c r="O1503" s="17"/>
      <c r="P1503" s="21"/>
      <c r="Q1503" s="6"/>
      <c r="R1503" s="6"/>
      <c r="S1503" s="20"/>
      <c r="T1503" s="6"/>
      <c r="U1503" s="21"/>
      <c r="W1503" s="20"/>
      <c r="X1503" s="21"/>
      <c r="AG1503" s="23"/>
    </row>
    <row r="1504" spans="2:33" ht="16">
      <c r="B1504" s="26" t="str">
        <f t="shared" si="6"/>
        <v/>
      </c>
      <c r="C1504" s="6"/>
      <c r="D1504" s="6"/>
      <c r="E1504" s="6"/>
      <c r="F1504" s="15"/>
      <c r="G1504" s="6"/>
      <c r="H1504" s="6"/>
      <c r="I1504" s="6"/>
      <c r="J1504" s="16"/>
      <c r="K1504" s="6"/>
      <c r="L1504" s="16"/>
      <c r="M1504" s="17"/>
      <c r="N1504" s="15"/>
      <c r="O1504" s="17"/>
      <c r="P1504" s="21"/>
      <c r="Q1504" s="6"/>
      <c r="R1504" s="6"/>
      <c r="S1504" s="20"/>
      <c r="T1504" s="6"/>
      <c r="U1504" s="21"/>
      <c r="W1504" s="20"/>
      <c r="X1504" s="21"/>
      <c r="AG1504" s="23"/>
    </row>
    <row r="1505" spans="2:33" ht="16">
      <c r="B1505" s="26" t="str">
        <f t="shared" si="6"/>
        <v/>
      </c>
      <c r="C1505" s="6"/>
      <c r="D1505" s="6"/>
      <c r="E1505" s="6"/>
      <c r="F1505" s="15"/>
      <c r="G1505" s="6"/>
      <c r="H1505" s="6"/>
      <c r="I1505" s="6"/>
      <c r="J1505" s="16"/>
      <c r="K1505" s="6"/>
      <c r="L1505" s="16"/>
      <c r="M1505" s="17"/>
      <c r="N1505" s="15"/>
      <c r="O1505" s="17"/>
      <c r="P1505" s="21"/>
      <c r="Q1505" s="6"/>
      <c r="R1505" s="6"/>
      <c r="S1505" s="20"/>
      <c r="T1505" s="6"/>
      <c r="U1505" s="21"/>
      <c r="W1505" s="20"/>
      <c r="X1505" s="21"/>
      <c r="AG1505" s="17"/>
    </row>
    <row r="1506" spans="2:33" ht="16">
      <c r="B1506" s="26" t="str">
        <f t="shared" si="6"/>
        <v/>
      </c>
      <c r="C1506" s="6"/>
      <c r="D1506" s="6"/>
      <c r="E1506" s="6"/>
      <c r="F1506" s="15"/>
      <c r="G1506" s="6"/>
      <c r="H1506" s="6"/>
      <c r="I1506" s="6"/>
      <c r="J1506" s="16"/>
      <c r="K1506" s="6"/>
      <c r="L1506" s="16"/>
      <c r="M1506" s="17"/>
      <c r="N1506" s="15"/>
      <c r="O1506" s="17"/>
      <c r="P1506" s="21"/>
      <c r="Q1506" s="6"/>
      <c r="R1506" s="6"/>
      <c r="S1506" s="20"/>
      <c r="T1506" s="6"/>
      <c r="U1506" s="21"/>
      <c r="W1506" s="20"/>
      <c r="X1506" s="21"/>
      <c r="AG1506" s="23"/>
    </row>
    <row r="1507" spans="2:33" ht="16">
      <c r="B1507" s="26" t="str">
        <f t="shared" si="6"/>
        <v/>
      </c>
      <c r="C1507" s="6"/>
      <c r="D1507" s="6"/>
      <c r="E1507" s="6"/>
      <c r="F1507" s="15"/>
      <c r="G1507" s="6"/>
      <c r="H1507" s="6"/>
      <c r="I1507" s="6"/>
      <c r="J1507" s="16"/>
      <c r="K1507" s="6"/>
      <c r="L1507" s="16"/>
      <c r="M1507" s="17"/>
      <c r="N1507" s="15"/>
      <c r="O1507" s="17"/>
      <c r="P1507" s="21"/>
      <c r="Q1507" s="6"/>
      <c r="R1507" s="6"/>
      <c r="S1507" s="20"/>
      <c r="T1507" s="6"/>
      <c r="U1507" s="21"/>
      <c r="W1507" s="20"/>
      <c r="X1507" s="21"/>
      <c r="AG1507" s="23"/>
    </row>
    <row r="1508" spans="2:33" ht="16">
      <c r="B1508" s="26" t="str">
        <f t="shared" si="6"/>
        <v/>
      </c>
      <c r="C1508" s="6"/>
      <c r="D1508" s="6"/>
      <c r="E1508" s="6"/>
      <c r="F1508" s="15"/>
      <c r="G1508" s="6"/>
      <c r="H1508" s="6"/>
      <c r="I1508" s="6"/>
      <c r="J1508" s="16"/>
      <c r="K1508" s="6"/>
      <c r="L1508" s="16"/>
      <c r="M1508" s="17"/>
      <c r="N1508" s="15"/>
      <c r="O1508" s="17"/>
      <c r="P1508" s="21"/>
      <c r="Q1508" s="6"/>
      <c r="R1508" s="6"/>
      <c r="S1508" s="20"/>
      <c r="T1508" s="6"/>
      <c r="U1508" s="21"/>
      <c r="W1508" s="20"/>
      <c r="X1508" s="21"/>
      <c r="AG1508" s="23"/>
    </row>
    <row r="1509" spans="2:33" ht="16">
      <c r="B1509" s="26" t="str">
        <f t="shared" si="6"/>
        <v/>
      </c>
      <c r="C1509" s="6"/>
      <c r="D1509" s="6"/>
      <c r="E1509" s="6"/>
      <c r="F1509" s="15"/>
      <c r="G1509" s="6"/>
      <c r="H1509" s="6"/>
      <c r="I1509" s="6"/>
      <c r="J1509" s="16"/>
      <c r="K1509" s="6"/>
      <c r="L1509" s="16"/>
      <c r="M1509" s="17"/>
      <c r="N1509" s="15"/>
      <c r="O1509" s="17"/>
      <c r="P1509" s="21"/>
      <c r="Q1509" s="6"/>
      <c r="R1509" s="6"/>
      <c r="S1509" s="20"/>
      <c r="T1509" s="6"/>
      <c r="U1509" s="21"/>
      <c r="W1509" s="20"/>
      <c r="X1509" s="21"/>
      <c r="AG1509" s="17"/>
    </row>
    <row r="1510" spans="2:33" ht="16">
      <c r="B1510" s="26" t="str">
        <f t="shared" si="6"/>
        <v/>
      </c>
      <c r="C1510" s="6"/>
      <c r="D1510" s="6"/>
      <c r="E1510" s="6"/>
      <c r="F1510" s="15"/>
      <c r="G1510" s="6"/>
      <c r="H1510" s="6"/>
      <c r="I1510" s="6"/>
      <c r="J1510" s="16"/>
      <c r="K1510" s="6"/>
      <c r="L1510" s="16"/>
      <c r="M1510" s="17"/>
      <c r="N1510" s="15"/>
      <c r="O1510" s="17"/>
      <c r="P1510" s="21"/>
      <c r="Q1510" s="6"/>
      <c r="R1510" s="6"/>
      <c r="S1510" s="20"/>
      <c r="T1510" s="6"/>
      <c r="U1510" s="21"/>
      <c r="W1510" s="20"/>
      <c r="X1510" s="21"/>
      <c r="AG1510" s="23"/>
    </row>
    <row r="1511" spans="2:33" ht="16">
      <c r="B1511" s="26" t="str">
        <f t="shared" si="6"/>
        <v/>
      </c>
      <c r="C1511" s="6"/>
      <c r="D1511" s="6"/>
      <c r="E1511" s="6"/>
      <c r="F1511" s="15"/>
      <c r="G1511" s="6"/>
      <c r="H1511" s="6"/>
      <c r="I1511" s="6"/>
      <c r="J1511" s="16"/>
      <c r="K1511" s="6"/>
      <c r="L1511" s="16"/>
      <c r="M1511" s="17"/>
      <c r="N1511" s="15"/>
      <c r="O1511" s="17"/>
      <c r="P1511" s="21"/>
      <c r="Q1511" s="6"/>
      <c r="R1511" s="6"/>
      <c r="S1511" s="20"/>
      <c r="T1511" s="6"/>
      <c r="U1511" s="21"/>
      <c r="W1511" s="20"/>
      <c r="X1511" s="21"/>
      <c r="AG1511" s="17"/>
    </row>
    <row r="1512" spans="2:33" ht="16">
      <c r="B1512" s="26" t="str">
        <f t="shared" si="6"/>
        <v/>
      </c>
      <c r="C1512" s="6"/>
      <c r="D1512" s="6"/>
      <c r="E1512" s="6"/>
      <c r="F1512" s="15"/>
      <c r="G1512" s="6"/>
      <c r="H1512" s="6"/>
      <c r="I1512" s="6"/>
      <c r="J1512" s="16"/>
      <c r="K1512" s="6"/>
      <c r="L1512" s="16"/>
      <c r="M1512" s="23"/>
      <c r="N1512" s="15"/>
      <c r="O1512" s="17"/>
      <c r="P1512" s="21"/>
      <c r="Q1512" s="6"/>
      <c r="R1512" s="6"/>
      <c r="S1512" s="20"/>
      <c r="T1512" s="6"/>
      <c r="U1512" s="21"/>
      <c r="W1512" s="20"/>
      <c r="X1512" s="21"/>
      <c r="AG1512" s="23"/>
    </row>
    <row r="1513" spans="2:33" ht="16">
      <c r="B1513" s="26" t="str">
        <f t="shared" si="6"/>
        <v/>
      </c>
      <c r="C1513" s="6"/>
      <c r="D1513" s="6"/>
      <c r="E1513" s="6"/>
      <c r="F1513" s="15"/>
      <c r="G1513" s="6"/>
      <c r="H1513" s="6"/>
      <c r="I1513" s="6"/>
      <c r="J1513" s="16"/>
      <c r="K1513" s="6"/>
      <c r="L1513" s="16"/>
      <c r="M1513" s="17"/>
      <c r="N1513" s="15"/>
      <c r="O1513" s="17"/>
      <c r="P1513" s="21"/>
      <c r="Q1513" s="6"/>
      <c r="R1513" s="6"/>
      <c r="S1513" s="20"/>
      <c r="T1513" s="6"/>
      <c r="U1513" s="21"/>
      <c r="W1513" s="20"/>
      <c r="X1513" s="21"/>
      <c r="AG1513" s="23"/>
    </row>
    <row r="1514" spans="2:33" ht="16">
      <c r="B1514" s="26" t="str">
        <f t="shared" si="6"/>
        <v/>
      </c>
      <c r="C1514" s="6"/>
      <c r="D1514" s="6"/>
      <c r="E1514" s="6"/>
      <c r="F1514" s="15"/>
      <c r="G1514" s="6"/>
      <c r="H1514" s="6"/>
      <c r="I1514" s="6"/>
      <c r="J1514" s="16"/>
      <c r="K1514" s="6"/>
      <c r="L1514" s="16"/>
      <c r="M1514" s="17"/>
      <c r="N1514" s="15"/>
      <c r="O1514" s="17"/>
      <c r="P1514" s="21"/>
      <c r="Q1514" s="6"/>
      <c r="R1514" s="6"/>
      <c r="S1514" s="20"/>
      <c r="T1514" s="6"/>
      <c r="U1514" s="21"/>
      <c r="W1514" s="20"/>
      <c r="X1514" s="21"/>
      <c r="AG1514" s="23"/>
    </row>
    <row r="1515" spans="2:33" ht="16">
      <c r="B1515" s="26" t="str">
        <f t="shared" si="6"/>
        <v/>
      </c>
      <c r="C1515" s="6"/>
      <c r="D1515" s="6"/>
      <c r="E1515" s="6"/>
      <c r="F1515" s="15"/>
      <c r="G1515" s="6"/>
      <c r="H1515" s="6"/>
      <c r="I1515" s="6"/>
      <c r="J1515" s="16"/>
      <c r="K1515" s="6"/>
      <c r="L1515" s="16"/>
      <c r="M1515" s="17"/>
      <c r="N1515" s="15"/>
      <c r="O1515" s="17"/>
      <c r="P1515" s="21"/>
      <c r="Q1515" s="6"/>
      <c r="R1515" s="6"/>
      <c r="S1515" s="20"/>
      <c r="T1515" s="6"/>
      <c r="U1515" s="21"/>
      <c r="W1515" s="20"/>
      <c r="X1515" s="21"/>
      <c r="AG1515" s="23"/>
    </row>
    <row r="1516" spans="2:33" ht="16">
      <c r="B1516" s="26" t="str">
        <f t="shared" si="6"/>
        <v/>
      </c>
      <c r="C1516" s="6"/>
      <c r="D1516" s="6"/>
      <c r="E1516" s="6"/>
      <c r="F1516" s="15"/>
      <c r="G1516" s="6"/>
      <c r="H1516" s="6"/>
      <c r="I1516" s="6"/>
      <c r="J1516" s="16"/>
      <c r="K1516" s="6"/>
      <c r="L1516" s="16"/>
      <c r="M1516" s="17"/>
      <c r="N1516" s="15"/>
      <c r="O1516" s="17"/>
      <c r="P1516" s="21"/>
      <c r="Q1516" s="6"/>
      <c r="R1516" s="6"/>
      <c r="S1516" s="20"/>
      <c r="T1516" s="6"/>
      <c r="U1516" s="21"/>
      <c r="W1516" s="20"/>
      <c r="X1516" s="21"/>
      <c r="AG1516" s="17"/>
    </row>
    <row r="1517" spans="2:33" ht="16">
      <c r="B1517" s="26" t="str">
        <f t="shared" si="6"/>
        <v/>
      </c>
      <c r="C1517" s="6"/>
      <c r="D1517" s="6"/>
      <c r="E1517" s="6"/>
      <c r="F1517" s="15"/>
      <c r="G1517" s="6"/>
      <c r="H1517" s="6"/>
      <c r="I1517" s="6"/>
      <c r="J1517" s="16"/>
      <c r="K1517" s="6"/>
      <c r="L1517" s="16"/>
      <c r="M1517" s="17"/>
      <c r="N1517" s="15"/>
      <c r="O1517" s="17"/>
      <c r="P1517" s="21"/>
      <c r="Q1517" s="6"/>
      <c r="R1517" s="6"/>
      <c r="S1517" s="20"/>
      <c r="T1517" s="6"/>
      <c r="U1517" s="21"/>
      <c r="W1517" s="20"/>
      <c r="X1517" s="21"/>
      <c r="AG1517" s="23"/>
    </row>
    <row r="1518" spans="2:33" ht="16">
      <c r="B1518" s="26" t="str">
        <f t="shared" si="6"/>
        <v/>
      </c>
      <c r="C1518" s="6"/>
      <c r="D1518" s="6"/>
      <c r="E1518" s="6"/>
      <c r="F1518" s="15"/>
      <c r="G1518" s="6"/>
      <c r="H1518" s="6"/>
      <c r="I1518" s="6"/>
      <c r="J1518" s="16"/>
      <c r="K1518" s="6"/>
      <c r="L1518" s="16"/>
      <c r="M1518" s="23"/>
      <c r="N1518" s="15"/>
      <c r="O1518" s="17"/>
      <c r="P1518" s="21"/>
      <c r="Q1518" s="6"/>
      <c r="R1518" s="6"/>
      <c r="S1518" s="20"/>
      <c r="T1518" s="6"/>
      <c r="U1518" s="21"/>
      <c r="W1518" s="20"/>
      <c r="X1518" s="21"/>
      <c r="AG1518" s="23"/>
    </row>
    <row r="1519" spans="2:33" ht="16">
      <c r="B1519" s="26" t="str">
        <f t="shared" si="6"/>
        <v/>
      </c>
      <c r="C1519" s="6"/>
      <c r="D1519" s="6"/>
      <c r="E1519" s="6"/>
      <c r="F1519" s="15"/>
      <c r="G1519" s="6"/>
      <c r="H1519" s="6"/>
      <c r="I1519" s="6"/>
      <c r="J1519" s="16"/>
      <c r="K1519" s="6"/>
      <c r="L1519" s="16"/>
      <c r="M1519" s="23"/>
      <c r="N1519" s="15"/>
      <c r="O1519" s="17"/>
      <c r="P1519" s="21"/>
      <c r="Q1519" s="6"/>
      <c r="R1519" s="6"/>
      <c r="S1519" s="20"/>
      <c r="T1519" s="6"/>
      <c r="U1519" s="21"/>
      <c r="W1519" s="20"/>
      <c r="X1519" s="21"/>
      <c r="AG1519" s="23"/>
    </row>
    <row r="1520" spans="2:33" ht="16">
      <c r="B1520" s="26" t="str">
        <f t="shared" si="6"/>
        <v/>
      </c>
      <c r="C1520" s="6"/>
      <c r="D1520" s="6"/>
      <c r="E1520" s="6"/>
      <c r="F1520" s="15"/>
      <c r="G1520" s="6"/>
      <c r="H1520" s="6"/>
      <c r="I1520" s="6"/>
      <c r="J1520" s="16"/>
      <c r="K1520" s="6"/>
      <c r="L1520" s="16"/>
      <c r="M1520" s="17"/>
      <c r="N1520" s="15"/>
      <c r="O1520" s="17"/>
      <c r="P1520" s="21"/>
      <c r="Q1520" s="6"/>
      <c r="R1520" s="6"/>
      <c r="S1520" s="20"/>
      <c r="T1520" s="6"/>
      <c r="U1520" s="21"/>
      <c r="W1520" s="20"/>
      <c r="X1520" s="21"/>
      <c r="AG1520" s="23"/>
    </row>
    <row r="1521" spans="2:33" ht="16">
      <c r="B1521" s="26" t="str">
        <f t="shared" si="6"/>
        <v/>
      </c>
      <c r="C1521" s="6"/>
      <c r="D1521" s="6"/>
      <c r="E1521" s="6"/>
      <c r="F1521" s="15"/>
      <c r="G1521" s="6"/>
      <c r="H1521" s="6"/>
      <c r="I1521" s="6"/>
      <c r="J1521" s="16"/>
      <c r="K1521" s="6"/>
      <c r="L1521" s="16"/>
      <c r="M1521" s="17"/>
      <c r="N1521" s="15"/>
      <c r="O1521" s="17"/>
      <c r="P1521" s="21"/>
      <c r="Q1521" s="6"/>
      <c r="R1521" s="6"/>
      <c r="S1521" s="20"/>
      <c r="T1521" s="6"/>
      <c r="U1521" s="21"/>
      <c r="W1521" s="20"/>
      <c r="X1521" s="21"/>
      <c r="AG1521" s="23"/>
    </row>
    <row r="1522" spans="2:33" ht="16">
      <c r="B1522" s="26" t="str">
        <f t="shared" si="6"/>
        <v/>
      </c>
      <c r="C1522" s="6"/>
      <c r="D1522" s="6"/>
      <c r="E1522" s="6"/>
      <c r="F1522" s="15"/>
      <c r="G1522" s="6"/>
      <c r="H1522" s="6"/>
      <c r="I1522" s="6"/>
      <c r="J1522" s="16"/>
      <c r="K1522" s="6"/>
      <c r="L1522" s="16"/>
      <c r="M1522" s="17"/>
      <c r="N1522" s="15"/>
      <c r="O1522" s="17"/>
      <c r="P1522" s="21"/>
      <c r="Q1522" s="6"/>
      <c r="R1522" s="6"/>
      <c r="S1522" s="20"/>
      <c r="T1522" s="6"/>
      <c r="U1522" s="21"/>
      <c r="W1522" s="20"/>
      <c r="X1522" s="21"/>
      <c r="AG1522" s="23"/>
    </row>
    <row r="1523" spans="2:33" ht="16">
      <c r="B1523" s="26" t="str">
        <f t="shared" si="6"/>
        <v/>
      </c>
      <c r="C1523" s="6"/>
      <c r="D1523" s="6"/>
      <c r="E1523" s="6"/>
      <c r="F1523" s="15"/>
      <c r="G1523" s="6"/>
      <c r="H1523" s="6"/>
      <c r="I1523" s="6"/>
      <c r="J1523" s="16"/>
      <c r="K1523" s="6"/>
      <c r="L1523" s="16"/>
      <c r="M1523" s="17"/>
      <c r="N1523" s="15"/>
      <c r="O1523" s="17"/>
      <c r="P1523" s="21"/>
      <c r="Q1523" s="6"/>
      <c r="R1523" s="6"/>
      <c r="S1523" s="20"/>
      <c r="T1523" s="6"/>
      <c r="U1523" s="21"/>
      <c r="W1523" s="20"/>
      <c r="X1523" s="21"/>
      <c r="AG1523" s="23"/>
    </row>
    <row r="1524" spans="2:33" ht="16">
      <c r="B1524" s="26" t="str">
        <f t="shared" si="6"/>
        <v/>
      </c>
      <c r="C1524" s="6"/>
      <c r="D1524" s="6"/>
      <c r="E1524" s="6"/>
      <c r="F1524" s="15"/>
      <c r="G1524" s="6"/>
      <c r="H1524" s="6"/>
      <c r="I1524" s="6"/>
      <c r="J1524" s="16"/>
      <c r="K1524" s="6"/>
      <c r="L1524" s="16"/>
      <c r="M1524" s="23"/>
      <c r="N1524" s="15"/>
      <c r="O1524" s="17"/>
      <c r="P1524" s="21"/>
      <c r="Q1524" s="6"/>
      <c r="R1524" s="6"/>
      <c r="S1524" s="20"/>
      <c r="T1524" s="6"/>
      <c r="U1524" s="21"/>
      <c r="W1524" s="20"/>
      <c r="X1524" s="21"/>
      <c r="AG1524" s="23"/>
    </row>
    <row r="1525" spans="2:33" ht="16">
      <c r="B1525" s="26" t="str">
        <f t="shared" si="6"/>
        <v/>
      </c>
      <c r="C1525" s="6"/>
      <c r="D1525" s="6"/>
      <c r="E1525" s="6"/>
      <c r="F1525" s="15"/>
      <c r="G1525" s="6"/>
      <c r="H1525" s="6"/>
      <c r="I1525" s="6"/>
      <c r="J1525" s="16"/>
      <c r="K1525" s="6"/>
      <c r="L1525" s="16"/>
      <c r="M1525" s="17"/>
      <c r="N1525" s="15"/>
      <c r="O1525" s="17"/>
      <c r="P1525" s="21"/>
      <c r="Q1525" s="6"/>
      <c r="R1525" s="6"/>
      <c r="S1525" s="20"/>
      <c r="T1525" s="6"/>
      <c r="U1525" s="21"/>
      <c r="W1525" s="20"/>
      <c r="X1525" s="21"/>
      <c r="AG1525" s="23"/>
    </row>
    <row r="1526" spans="2:33" ht="16">
      <c r="B1526" s="26" t="str">
        <f t="shared" si="6"/>
        <v/>
      </c>
      <c r="C1526" s="6"/>
      <c r="D1526" s="6"/>
      <c r="E1526" s="6"/>
      <c r="F1526" s="15"/>
      <c r="G1526" s="6"/>
      <c r="H1526" s="6"/>
      <c r="I1526" s="6"/>
      <c r="J1526" s="16"/>
      <c r="K1526" s="6"/>
      <c r="L1526" s="16"/>
      <c r="M1526" s="17"/>
      <c r="N1526" s="15"/>
      <c r="O1526" s="17"/>
      <c r="P1526" s="21"/>
      <c r="Q1526" s="6"/>
      <c r="R1526" s="6"/>
      <c r="S1526" s="20"/>
      <c r="T1526" s="6"/>
      <c r="U1526" s="21"/>
      <c r="W1526" s="20"/>
      <c r="X1526" s="21"/>
      <c r="AG1526" s="23"/>
    </row>
    <row r="1527" spans="2:33" ht="16">
      <c r="B1527" s="26" t="str">
        <f t="shared" si="6"/>
        <v/>
      </c>
      <c r="C1527" s="6"/>
      <c r="D1527" s="6"/>
      <c r="E1527" s="6"/>
      <c r="F1527" s="15"/>
      <c r="G1527" s="6"/>
      <c r="H1527" s="6"/>
      <c r="I1527" s="6"/>
      <c r="J1527" s="16"/>
      <c r="K1527" s="6"/>
      <c r="L1527" s="16"/>
      <c r="M1527" s="17"/>
      <c r="N1527" s="15"/>
      <c r="O1527" s="17"/>
      <c r="P1527" s="21"/>
      <c r="Q1527" s="6"/>
      <c r="R1527" s="6"/>
      <c r="S1527" s="20"/>
      <c r="T1527" s="6"/>
      <c r="U1527" s="21"/>
      <c r="W1527" s="20"/>
      <c r="X1527" s="21"/>
      <c r="AG1527" s="23"/>
    </row>
    <row r="1528" spans="2:33" ht="16">
      <c r="B1528" s="26" t="str">
        <f t="shared" si="6"/>
        <v/>
      </c>
      <c r="C1528" s="6"/>
      <c r="D1528" s="6"/>
      <c r="E1528" s="6"/>
      <c r="F1528" s="15"/>
      <c r="G1528" s="6"/>
      <c r="H1528" s="6"/>
      <c r="I1528" s="6"/>
      <c r="J1528" s="16"/>
      <c r="K1528" s="6"/>
      <c r="L1528" s="16"/>
      <c r="M1528" s="17"/>
      <c r="N1528" s="15"/>
      <c r="O1528" s="17"/>
      <c r="P1528" s="21"/>
      <c r="Q1528" s="6"/>
      <c r="R1528" s="6"/>
      <c r="S1528" s="20"/>
      <c r="T1528" s="6"/>
      <c r="U1528" s="21"/>
      <c r="W1528" s="20"/>
      <c r="X1528" s="21"/>
      <c r="AG1528" s="23"/>
    </row>
    <row r="1529" spans="2:33" ht="16">
      <c r="B1529" s="26" t="str">
        <f t="shared" si="6"/>
        <v/>
      </c>
      <c r="C1529" s="6"/>
      <c r="D1529" s="6"/>
      <c r="E1529" s="6"/>
      <c r="F1529" s="15"/>
      <c r="G1529" s="6"/>
      <c r="H1529" s="6"/>
      <c r="I1529" s="6"/>
      <c r="J1529" s="16"/>
      <c r="K1529" s="6"/>
      <c r="L1529" s="16"/>
      <c r="M1529" s="17"/>
      <c r="N1529" s="15"/>
      <c r="O1529" s="17"/>
      <c r="P1529" s="21"/>
      <c r="Q1529" s="6"/>
      <c r="R1529" s="6"/>
      <c r="S1529" s="20"/>
      <c r="T1529" s="6"/>
      <c r="U1529" s="21"/>
      <c r="W1529" s="20"/>
      <c r="X1529" s="21"/>
      <c r="AG1529" s="17"/>
    </row>
    <row r="1530" spans="2:33" ht="16">
      <c r="B1530" s="26" t="str">
        <f t="shared" si="6"/>
        <v/>
      </c>
      <c r="C1530" s="6"/>
      <c r="D1530" s="6"/>
      <c r="E1530" s="6"/>
      <c r="F1530" s="15"/>
      <c r="G1530" s="6"/>
      <c r="H1530" s="6"/>
      <c r="I1530" s="6"/>
      <c r="J1530" s="16"/>
      <c r="K1530" s="6"/>
      <c r="L1530" s="16"/>
      <c r="M1530" s="17"/>
      <c r="N1530" s="15"/>
      <c r="O1530" s="17"/>
      <c r="P1530" s="21"/>
      <c r="Q1530" s="6"/>
      <c r="R1530" s="6"/>
      <c r="S1530" s="20"/>
      <c r="T1530" s="6"/>
      <c r="U1530" s="21"/>
      <c r="W1530" s="20"/>
      <c r="X1530" s="21"/>
      <c r="AG1530" s="17"/>
    </row>
    <row r="1531" spans="2:33" ht="16">
      <c r="B1531" s="26" t="str">
        <f t="shared" si="6"/>
        <v/>
      </c>
      <c r="C1531" s="6"/>
      <c r="D1531" s="6"/>
      <c r="E1531" s="6"/>
      <c r="F1531" s="15"/>
      <c r="G1531" s="6"/>
      <c r="H1531" s="6"/>
      <c r="I1531" s="6"/>
      <c r="J1531" s="16"/>
      <c r="K1531" s="6"/>
      <c r="L1531" s="16"/>
      <c r="M1531" s="17"/>
      <c r="N1531" s="15"/>
      <c r="O1531" s="17"/>
      <c r="P1531" s="21"/>
      <c r="Q1531" s="6"/>
      <c r="R1531" s="6"/>
      <c r="S1531" s="20"/>
      <c r="T1531" s="6"/>
      <c r="U1531" s="21"/>
      <c r="W1531" s="20"/>
      <c r="X1531" s="21"/>
      <c r="AG1531" s="23"/>
    </row>
    <row r="1532" spans="2:33" ht="16">
      <c r="B1532" s="26" t="str">
        <f t="shared" si="6"/>
        <v/>
      </c>
      <c r="C1532" s="6"/>
      <c r="D1532" s="6"/>
      <c r="E1532" s="6"/>
      <c r="F1532" s="15"/>
      <c r="G1532" s="6"/>
      <c r="H1532" s="6"/>
      <c r="I1532" s="6"/>
      <c r="J1532" s="16"/>
      <c r="K1532" s="6"/>
      <c r="L1532" s="16"/>
      <c r="M1532" s="17"/>
      <c r="N1532" s="15"/>
      <c r="O1532" s="17"/>
      <c r="P1532" s="21"/>
      <c r="Q1532" s="6"/>
      <c r="R1532" s="6"/>
      <c r="S1532" s="20"/>
      <c r="T1532" s="6"/>
      <c r="U1532" s="21"/>
      <c r="W1532" s="20"/>
      <c r="X1532" s="21"/>
      <c r="AG1532" s="17"/>
    </row>
    <row r="1533" spans="2:33" ht="16">
      <c r="B1533" s="26" t="str">
        <f t="shared" si="6"/>
        <v/>
      </c>
      <c r="C1533" s="6"/>
      <c r="D1533" s="6"/>
      <c r="E1533" s="6"/>
      <c r="F1533" s="15"/>
      <c r="G1533" s="6"/>
      <c r="H1533" s="6"/>
      <c r="I1533" s="6"/>
      <c r="J1533" s="16"/>
      <c r="K1533" s="6"/>
      <c r="L1533" s="16"/>
      <c r="M1533" s="17"/>
      <c r="N1533" s="15"/>
      <c r="O1533" s="17"/>
      <c r="P1533" s="21"/>
      <c r="Q1533" s="6"/>
      <c r="R1533" s="6"/>
      <c r="S1533" s="20"/>
      <c r="T1533" s="6"/>
      <c r="U1533" s="21"/>
      <c r="W1533" s="20"/>
      <c r="X1533" s="21"/>
      <c r="AG1533" s="23"/>
    </row>
    <row r="1534" spans="2:33" ht="16">
      <c r="B1534" s="26" t="str">
        <f t="shared" si="6"/>
        <v/>
      </c>
      <c r="C1534" s="6"/>
      <c r="D1534" s="6"/>
      <c r="E1534" s="6"/>
      <c r="F1534" s="15"/>
      <c r="G1534" s="6"/>
      <c r="H1534" s="6"/>
      <c r="I1534" s="6"/>
      <c r="J1534" s="16"/>
      <c r="K1534" s="6"/>
      <c r="L1534" s="16"/>
      <c r="M1534" s="17"/>
      <c r="N1534" s="15"/>
      <c r="O1534" s="17"/>
      <c r="P1534" s="21"/>
      <c r="Q1534" s="6"/>
      <c r="R1534" s="6"/>
      <c r="S1534" s="20"/>
      <c r="T1534" s="6"/>
      <c r="U1534" s="21"/>
      <c r="W1534" s="20"/>
      <c r="X1534" s="21"/>
      <c r="AG1534" s="23"/>
    </row>
    <row r="1535" spans="2:33" ht="16">
      <c r="B1535" s="26" t="str">
        <f t="shared" si="6"/>
        <v/>
      </c>
      <c r="C1535" s="6"/>
      <c r="D1535" s="6"/>
      <c r="E1535" s="6"/>
      <c r="F1535" s="15"/>
      <c r="G1535" s="6"/>
      <c r="H1535" s="6"/>
      <c r="I1535" s="6"/>
      <c r="J1535" s="16"/>
      <c r="K1535" s="6"/>
      <c r="L1535" s="16"/>
      <c r="M1535" s="17"/>
      <c r="N1535" s="15"/>
      <c r="O1535" s="17"/>
      <c r="P1535" s="21"/>
      <c r="Q1535" s="6"/>
      <c r="R1535" s="6"/>
      <c r="S1535" s="20"/>
      <c r="T1535" s="6"/>
      <c r="U1535" s="21"/>
      <c r="W1535" s="20"/>
      <c r="X1535" s="21"/>
      <c r="AG1535" s="17"/>
    </row>
    <row r="1536" spans="2:33" ht="16">
      <c r="B1536" s="26" t="str">
        <f t="shared" si="6"/>
        <v/>
      </c>
      <c r="C1536" s="6"/>
      <c r="D1536" s="6"/>
      <c r="E1536" s="6"/>
      <c r="F1536" s="15"/>
      <c r="G1536" s="6"/>
      <c r="H1536" s="6"/>
      <c r="I1536" s="6"/>
      <c r="J1536" s="16"/>
      <c r="K1536" s="6"/>
      <c r="L1536" s="16"/>
      <c r="M1536" s="23"/>
      <c r="N1536" s="15"/>
      <c r="O1536" s="17"/>
      <c r="P1536" s="21"/>
      <c r="Q1536" s="6"/>
      <c r="R1536" s="6"/>
      <c r="S1536" s="20"/>
      <c r="T1536" s="6"/>
      <c r="U1536" s="21"/>
      <c r="W1536" s="20"/>
      <c r="X1536" s="21"/>
      <c r="AG1536" s="17"/>
    </row>
    <row r="1537" spans="2:33" ht="16">
      <c r="B1537" s="26" t="str">
        <f t="shared" si="6"/>
        <v/>
      </c>
      <c r="C1537" s="6"/>
      <c r="D1537" s="6"/>
      <c r="E1537" s="6"/>
      <c r="F1537" s="15"/>
      <c r="G1537" s="6"/>
      <c r="H1537" s="6"/>
      <c r="I1537" s="6"/>
      <c r="J1537" s="16"/>
      <c r="K1537" s="6"/>
      <c r="L1537" s="16"/>
      <c r="M1537" s="17"/>
      <c r="N1537" s="15"/>
      <c r="O1537" s="17"/>
      <c r="P1537" s="21"/>
      <c r="Q1537" s="6"/>
      <c r="R1537" s="6"/>
      <c r="S1537" s="20"/>
      <c r="T1537" s="6"/>
      <c r="U1537" s="21"/>
      <c r="W1537" s="20"/>
      <c r="X1537" s="21"/>
      <c r="AG1537" s="23"/>
    </row>
    <row r="1538" spans="2:33" ht="16">
      <c r="B1538" s="26" t="str">
        <f t="shared" si="6"/>
        <v/>
      </c>
      <c r="C1538" s="6"/>
      <c r="D1538" s="6"/>
      <c r="E1538" s="6"/>
      <c r="F1538" s="15"/>
      <c r="G1538" s="6"/>
      <c r="H1538" s="6"/>
      <c r="I1538" s="6"/>
      <c r="J1538" s="16"/>
      <c r="K1538" s="6"/>
      <c r="L1538" s="16"/>
      <c r="M1538" s="17"/>
      <c r="N1538" s="15"/>
      <c r="O1538" s="17"/>
      <c r="P1538" s="21"/>
      <c r="Q1538" s="6"/>
      <c r="R1538" s="6"/>
      <c r="S1538" s="20"/>
      <c r="T1538" s="6"/>
      <c r="U1538" s="21"/>
      <c r="W1538" s="20"/>
      <c r="X1538" s="21"/>
      <c r="AG1538" s="23"/>
    </row>
    <row r="1539" spans="2:33" ht="16">
      <c r="B1539" s="26" t="str">
        <f t="shared" si="6"/>
        <v/>
      </c>
      <c r="C1539" s="6"/>
      <c r="D1539" s="6"/>
      <c r="E1539" s="6"/>
      <c r="F1539" s="15"/>
      <c r="G1539" s="6"/>
      <c r="H1539" s="6"/>
      <c r="I1539" s="6"/>
      <c r="J1539" s="16"/>
      <c r="K1539" s="6"/>
      <c r="L1539" s="16"/>
      <c r="M1539" s="17"/>
      <c r="N1539" s="15"/>
      <c r="O1539" s="17"/>
      <c r="P1539" s="21"/>
      <c r="Q1539" s="6"/>
      <c r="R1539" s="6"/>
      <c r="S1539" s="20"/>
      <c r="T1539" s="6"/>
      <c r="U1539" s="21"/>
      <c r="W1539" s="20"/>
      <c r="X1539" s="21"/>
      <c r="AG1539" s="23"/>
    </row>
    <row r="1540" spans="2:33" ht="16">
      <c r="B1540" s="26" t="str">
        <f t="shared" si="6"/>
        <v/>
      </c>
      <c r="C1540" s="6"/>
      <c r="D1540" s="6"/>
      <c r="E1540" s="6"/>
      <c r="F1540" s="15"/>
      <c r="G1540" s="6"/>
      <c r="H1540" s="6"/>
      <c r="I1540" s="6"/>
      <c r="J1540" s="16"/>
      <c r="K1540" s="6"/>
      <c r="L1540" s="16"/>
      <c r="M1540" s="17"/>
      <c r="N1540" s="15"/>
      <c r="O1540" s="17"/>
      <c r="P1540" s="21"/>
      <c r="Q1540" s="6"/>
      <c r="R1540" s="6"/>
      <c r="S1540" s="20"/>
      <c r="T1540" s="6"/>
      <c r="U1540" s="21"/>
      <c r="W1540" s="20"/>
      <c r="X1540" s="21"/>
      <c r="AG1540" s="23"/>
    </row>
    <row r="1541" spans="2:33" ht="16">
      <c r="B1541" s="26" t="str">
        <f t="shared" si="6"/>
        <v/>
      </c>
      <c r="C1541" s="6"/>
      <c r="D1541" s="6"/>
      <c r="E1541" s="6"/>
      <c r="F1541" s="15"/>
      <c r="G1541" s="6"/>
      <c r="H1541" s="6"/>
      <c r="I1541" s="6"/>
      <c r="J1541" s="16"/>
      <c r="K1541" s="6"/>
      <c r="L1541" s="16"/>
      <c r="M1541" s="17"/>
      <c r="N1541" s="15"/>
      <c r="O1541" s="17"/>
      <c r="P1541" s="21"/>
      <c r="Q1541" s="6"/>
      <c r="R1541" s="6"/>
      <c r="S1541" s="20"/>
      <c r="T1541" s="6"/>
      <c r="U1541" s="21"/>
      <c r="W1541" s="20"/>
      <c r="X1541" s="21"/>
      <c r="AG1541" s="23"/>
    </row>
    <row r="1542" spans="2:33" ht="16">
      <c r="B1542" s="26" t="str">
        <f t="shared" si="6"/>
        <v/>
      </c>
      <c r="C1542" s="6"/>
      <c r="D1542" s="6"/>
      <c r="E1542" s="6"/>
      <c r="F1542" s="15"/>
      <c r="G1542" s="6"/>
      <c r="H1542" s="6"/>
      <c r="I1542" s="6"/>
      <c r="J1542" s="16"/>
      <c r="K1542" s="6"/>
      <c r="L1542" s="16"/>
      <c r="M1542" s="17"/>
      <c r="N1542" s="15"/>
      <c r="O1542" s="17"/>
      <c r="P1542" s="21"/>
      <c r="Q1542" s="6"/>
      <c r="R1542" s="6"/>
      <c r="S1542" s="20"/>
      <c r="T1542" s="6"/>
      <c r="U1542" s="21"/>
      <c r="W1542" s="20"/>
      <c r="X1542" s="21"/>
      <c r="AG1542" s="23"/>
    </row>
    <row r="1543" spans="2:33" ht="16">
      <c r="B1543" s="26" t="str">
        <f t="shared" si="6"/>
        <v/>
      </c>
      <c r="C1543" s="6"/>
      <c r="D1543" s="6"/>
      <c r="E1543" s="6"/>
      <c r="F1543" s="15"/>
      <c r="G1543" s="6"/>
      <c r="H1543" s="6"/>
      <c r="I1543" s="6"/>
      <c r="J1543" s="16"/>
      <c r="K1543" s="6"/>
      <c r="L1543" s="16"/>
      <c r="M1543" s="17"/>
      <c r="N1543" s="15"/>
      <c r="O1543" s="17"/>
      <c r="P1543" s="21"/>
      <c r="Q1543" s="6"/>
      <c r="R1543" s="6"/>
      <c r="S1543" s="20"/>
      <c r="T1543" s="6"/>
      <c r="U1543" s="21"/>
      <c r="W1543" s="20"/>
      <c r="X1543" s="21"/>
      <c r="AG1543" s="23"/>
    </row>
    <row r="1544" spans="2:33" ht="16">
      <c r="B1544" s="26" t="str">
        <f t="shared" si="6"/>
        <v/>
      </c>
      <c r="C1544" s="6"/>
      <c r="D1544" s="6"/>
      <c r="E1544" s="6"/>
      <c r="F1544" s="15"/>
      <c r="G1544" s="6"/>
      <c r="H1544" s="6"/>
      <c r="I1544" s="6"/>
      <c r="J1544" s="16"/>
      <c r="K1544" s="6"/>
      <c r="L1544" s="16"/>
      <c r="M1544" s="17"/>
      <c r="N1544" s="15"/>
      <c r="O1544" s="17"/>
      <c r="P1544" s="21"/>
      <c r="Q1544" s="6"/>
      <c r="R1544" s="6"/>
      <c r="S1544" s="20"/>
      <c r="T1544" s="6"/>
      <c r="U1544" s="21"/>
      <c r="W1544" s="20"/>
      <c r="X1544" s="21"/>
      <c r="AG1544" s="17"/>
    </row>
    <row r="1545" spans="2:33" ht="16">
      <c r="B1545" s="26" t="str">
        <f t="shared" si="6"/>
        <v/>
      </c>
      <c r="C1545" s="6"/>
      <c r="D1545" s="6"/>
      <c r="E1545" s="6"/>
      <c r="F1545" s="15"/>
      <c r="G1545" s="6"/>
      <c r="H1545" s="6"/>
      <c r="I1545" s="6"/>
      <c r="J1545" s="16"/>
      <c r="K1545" s="6"/>
      <c r="L1545" s="16"/>
      <c r="M1545" s="17"/>
      <c r="N1545" s="15"/>
      <c r="O1545" s="17"/>
      <c r="P1545" s="21"/>
      <c r="Q1545" s="6"/>
      <c r="R1545" s="6"/>
      <c r="S1545" s="20"/>
      <c r="T1545" s="6"/>
      <c r="U1545" s="21"/>
      <c r="W1545" s="20"/>
      <c r="X1545" s="21"/>
      <c r="AG1545" s="23"/>
    </row>
    <row r="1546" spans="2:33" ht="16">
      <c r="B1546" s="26" t="str">
        <f t="shared" si="6"/>
        <v/>
      </c>
      <c r="C1546" s="6"/>
      <c r="D1546" s="6"/>
      <c r="E1546" s="6"/>
      <c r="F1546" s="15"/>
      <c r="G1546" s="6"/>
      <c r="H1546" s="6"/>
      <c r="I1546" s="6"/>
      <c r="J1546" s="16"/>
      <c r="K1546" s="6"/>
      <c r="L1546" s="16"/>
      <c r="M1546" s="17"/>
      <c r="N1546" s="15"/>
      <c r="O1546" s="17"/>
      <c r="P1546" s="21"/>
      <c r="Q1546" s="6"/>
      <c r="R1546" s="6"/>
      <c r="S1546" s="20"/>
      <c r="T1546" s="6"/>
      <c r="U1546" s="21"/>
      <c r="W1546" s="20"/>
      <c r="X1546" s="21"/>
      <c r="AG1546" s="17"/>
    </row>
    <row r="1547" spans="2:33" ht="16">
      <c r="B1547" s="26" t="str">
        <f t="shared" si="6"/>
        <v/>
      </c>
      <c r="C1547" s="6"/>
      <c r="D1547" s="6"/>
      <c r="E1547" s="6"/>
      <c r="F1547" s="15"/>
      <c r="G1547" s="6"/>
      <c r="H1547" s="6"/>
      <c r="I1547" s="6"/>
      <c r="J1547" s="16"/>
      <c r="K1547" s="6"/>
      <c r="L1547" s="16"/>
      <c r="M1547" s="23"/>
      <c r="N1547" s="15"/>
      <c r="O1547" s="17"/>
      <c r="P1547" s="21"/>
      <c r="Q1547" s="6"/>
      <c r="R1547" s="6"/>
      <c r="S1547" s="20"/>
      <c r="T1547" s="6"/>
      <c r="U1547" s="21"/>
      <c r="W1547" s="20"/>
      <c r="X1547" s="21"/>
      <c r="AG1547" s="23"/>
    </row>
    <row r="1548" spans="2:33" ht="16">
      <c r="B1548" s="26" t="str">
        <f t="shared" si="6"/>
        <v/>
      </c>
      <c r="C1548" s="6"/>
      <c r="D1548" s="6"/>
      <c r="E1548" s="6"/>
      <c r="F1548" s="15"/>
      <c r="G1548" s="6"/>
      <c r="H1548" s="6"/>
      <c r="I1548" s="6"/>
      <c r="J1548" s="16"/>
      <c r="K1548" s="6"/>
      <c r="L1548" s="16"/>
      <c r="M1548" s="17"/>
      <c r="N1548" s="15"/>
      <c r="O1548" s="17"/>
      <c r="P1548" s="21"/>
      <c r="Q1548" s="6"/>
      <c r="R1548" s="6"/>
      <c r="S1548" s="20"/>
      <c r="T1548" s="6"/>
      <c r="U1548" s="21"/>
      <c r="W1548" s="20"/>
      <c r="X1548" s="21"/>
      <c r="AG1548" s="17"/>
    </row>
    <row r="1549" spans="2:33" ht="16">
      <c r="B1549" s="26" t="str">
        <f t="shared" si="6"/>
        <v/>
      </c>
      <c r="C1549" s="6"/>
      <c r="D1549" s="6"/>
      <c r="E1549" s="6"/>
      <c r="F1549" s="15"/>
      <c r="G1549" s="6"/>
      <c r="H1549" s="6"/>
      <c r="I1549" s="6"/>
      <c r="J1549" s="16"/>
      <c r="K1549" s="6"/>
      <c r="L1549" s="16"/>
      <c r="M1549" s="17"/>
      <c r="N1549" s="15"/>
      <c r="O1549" s="17"/>
      <c r="P1549" s="21"/>
      <c r="Q1549" s="6"/>
      <c r="R1549" s="6"/>
      <c r="S1549" s="20"/>
      <c r="T1549" s="6"/>
      <c r="U1549" s="21"/>
      <c r="W1549" s="20"/>
      <c r="X1549" s="21"/>
      <c r="AG1549" s="23"/>
    </row>
    <row r="1550" spans="2:33" ht="16">
      <c r="B1550" s="26" t="str">
        <f t="shared" si="6"/>
        <v/>
      </c>
      <c r="C1550" s="6"/>
      <c r="D1550" s="6"/>
      <c r="E1550" s="6"/>
      <c r="F1550" s="15"/>
      <c r="G1550" s="6"/>
      <c r="H1550" s="6"/>
      <c r="I1550" s="6"/>
      <c r="J1550" s="16"/>
      <c r="K1550" s="6"/>
      <c r="L1550" s="16"/>
      <c r="M1550" s="17"/>
      <c r="N1550" s="15"/>
      <c r="O1550" s="17"/>
      <c r="P1550" s="21"/>
      <c r="Q1550" s="6"/>
      <c r="R1550" s="6"/>
      <c r="S1550" s="20"/>
      <c r="T1550" s="6"/>
      <c r="U1550" s="21"/>
      <c r="W1550" s="20"/>
      <c r="X1550" s="21"/>
      <c r="AG1550" s="17"/>
    </row>
    <row r="1551" spans="2:33" ht="16">
      <c r="B1551" s="26" t="str">
        <f t="shared" si="6"/>
        <v/>
      </c>
      <c r="C1551" s="6"/>
      <c r="D1551" s="6"/>
      <c r="E1551" s="6"/>
      <c r="F1551" s="15"/>
      <c r="G1551" s="6"/>
      <c r="H1551" s="6"/>
      <c r="I1551" s="6"/>
      <c r="J1551" s="16"/>
      <c r="K1551" s="6"/>
      <c r="L1551" s="16"/>
      <c r="M1551" s="17"/>
      <c r="N1551" s="15"/>
      <c r="O1551" s="17"/>
      <c r="P1551" s="21"/>
      <c r="Q1551" s="6"/>
      <c r="R1551" s="6"/>
      <c r="S1551" s="20"/>
      <c r="T1551" s="6"/>
      <c r="U1551" s="21"/>
      <c r="W1551" s="20"/>
      <c r="X1551" s="21"/>
      <c r="AG1551" s="23"/>
    </row>
    <row r="1552" spans="2:33" ht="16">
      <c r="B1552" s="26" t="str">
        <f t="shared" si="6"/>
        <v/>
      </c>
      <c r="C1552" s="6"/>
      <c r="D1552" s="6"/>
      <c r="E1552" s="6"/>
      <c r="F1552" s="15"/>
      <c r="G1552" s="6"/>
      <c r="H1552" s="6"/>
      <c r="I1552" s="6"/>
      <c r="J1552" s="16"/>
      <c r="K1552" s="6"/>
      <c r="L1552" s="16"/>
      <c r="M1552" s="17"/>
      <c r="N1552" s="15"/>
      <c r="O1552" s="17"/>
      <c r="P1552" s="21"/>
      <c r="Q1552" s="6"/>
      <c r="R1552" s="6"/>
      <c r="S1552" s="20"/>
      <c r="T1552" s="6"/>
      <c r="U1552" s="21"/>
      <c r="W1552" s="20"/>
      <c r="X1552" s="21"/>
      <c r="AG1552" s="23"/>
    </row>
    <row r="1553" spans="2:33" ht="16">
      <c r="B1553" s="26" t="str">
        <f t="shared" si="6"/>
        <v/>
      </c>
      <c r="C1553" s="6"/>
      <c r="D1553" s="6"/>
      <c r="E1553" s="6"/>
      <c r="F1553" s="15"/>
      <c r="G1553" s="6"/>
      <c r="H1553" s="6"/>
      <c r="I1553" s="6"/>
      <c r="J1553" s="16"/>
      <c r="K1553" s="6"/>
      <c r="L1553" s="16"/>
      <c r="M1553" s="17"/>
      <c r="N1553" s="15"/>
      <c r="O1553" s="17"/>
      <c r="P1553" s="21"/>
      <c r="Q1553" s="6"/>
      <c r="R1553" s="6"/>
      <c r="S1553" s="20"/>
      <c r="T1553" s="6"/>
      <c r="U1553" s="21"/>
      <c r="W1553" s="20"/>
      <c r="X1553" s="21"/>
      <c r="AG1553" s="23"/>
    </row>
    <row r="1554" spans="2:33" ht="16">
      <c r="B1554" s="26" t="str">
        <f t="shared" si="6"/>
        <v/>
      </c>
      <c r="C1554" s="6"/>
      <c r="D1554" s="6"/>
      <c r="E1554" s="6"/>
      <c r="F1554" s="15"/>
      <c r="G1554" s="6"/>
      <c r="H1554" s="6"/>
      <c r="I1554" s="6"/>
      <c r="J1554" s="16"/>
      <c r="K1554" s="6"/>
      <c r="L1554" s="16"/>
      <c r="M1554" s="17"/>
      <c r="N1554" s="15"/>
      <c r="O1554" s="17"/>
      <c r="P1554" s="21"/>
      <c r="Q1554" s="6"/>
      <c r="R1554" s="6"/>
      <c r="S1554" s="20"/>
      <c r="T1554" s="6"/>
      <c r="U1554" s="21"/>
      <c r="W1554" s="20"/>
      <c r="X1554" s="21"/>
      <c r="AG1554" s="17"/>
    </row>
    <row r="1555" spans="2:33" ht="16">
      <c r="B1555" s="26" t="str">
        <f t="shared" si="6"/>
        <v/>
      </c>
      <c r="C1555" s="6"/>
      <c r="D1555" s="6"/>
      <c r="E1555" s="6"/>
      <c r="F1555" s="15"/>
      <c r="G1555" s="6"/>
      <c r="H1555" s="6"/>
      <c r="I1555" s="6"/>
      <c r="J1555" s="16"/>
      <c r="K1555" s="6"/>
      <c r="L1555" s="16"/>
      <c r="M1555" s="17"/>
      <c r="N1555" s="15"/>
      <c r="O1555" s="17"/>
      <c r="P1555" s="21"/>
      <c r="Q1555" s="6"/>
      <c r="R1555" s="6"/>
      <c r="S1555" s="20"/>
      <c r="T1555" s="6"/>
      <c r="U1555" s="21"/>
      <c r="W1555" s="20"/>
      <c r="X1555" s="21"/>
      <c r="AG1555" s="23"/>
    </row>
    <row r="1556" spans="2:33" ht="16">
      <c r="B1556" s="26" t="str">
        <f t="shared" si="6"/>
        <v/>
      </c>
      <c r="C1556" s="6"/>
      <c r="D1556" s="6"/>
      <c r="E1556" s="6"/>
      <c r="F1556" s="15"/>
      <c r="G1556" s="6"/>
      <c r="H1556" s="6"/>
      <c r="I1556" s="6"/>
      <c r="J1556" s="16"/>
      <c r="K1556" s="6"/>
      <c r="L1556" s="16"/>
      <c r="M1556" s="17"/>
      <c r="N1556" s="15"/>
      <c r="O1556" s="17"/>
      <c r="P1556" s="21"/>
      <c r="Q1556" s="6"/>
      <c r="R1556" s="6"/>
      <c r="S1556" s="20"/>
      <c r="T1556" s="6"/>
      <c r="U1556" s="21"/>
      <c r="W1556" s="20"/>
      <c r="X1556" s="21"/>
      <c r="AG1556" s="23"/>
    </row>
    <row r="1557" spans="2:33" ht="16">
      <c r="B1557" s="26" t="str">
        <f t="shared" ref="B1557:B1811" si="7">IF($H1557="","",LEFT(C1557,3))</f>
        <v/>
      </c>
      <c r="C1557" s="6"/>
      <c r="D1557" s="6"/>
      <c r="E1557" s="6"/>
      <c r="F1557" s="15"/>
      <c r="G1557" s="6"/>
      <c r="H1557" s="6"/>
      <c r="I1557" s="6"/>
      <c r="J1557" s="16"/>
      <c r="K1557" s="6"/>
      <c r="L1557" s="16"/>
      <c r="M1557" s="17"/>
      <c r="N1557" s="15"/>
      <c r="O1557" s="17"/>
      <c r="P1557" s="21"/>
      <c r="Q1557" s="6"/>
      <c r="R1557" s="6"/>
      <c r="S1557" s="20"/>
      <c r="T1557" s="6"/>
      <c r="U1557" s="21"/>
      <c r="W1557" s="20"/>
      <c r="X1557" s="21"/>
      <c r="AG1557" s="23"/>
    </row>
    <row r="1558" spans="2:33" ht="16">
      <c r="B1558" s="26" t="str">
        <f t="shared" si="7"/>
        <v/>
      </c>
      <c r="C1558" s="6"/>
      <c r="D1558" s="6"/>
      <c r="E1558" s="6"/>
      <c r="F1558" s="15"/>
      <c r="G1558" s="6"/>
      <c r="H1558" s="6"/>
      <c r="I1558" s="6"/>
      <c r="J1558" s="16"/>
      <c r="K1558" s="6"/>
      <c r="L1558" s="16"/>
      <c r="M1558" s="17"/>
      <c r="N1558" s="15"/>
      <c r="O1558" s="17"/>
      <c r="P1558" s="21"/>
      <c r="Q1558" s="6"/>
      <c r="R1558" s="6"/>
      <c r="S1558" s="20"/>
      <c r="T1558" s="6"/>
      <c r="U1558" s="21"/>
      <c r="W1558" s="20"/>
      <c r="X1558" s="21"/>
      <c r="AG1558" s="17"/>
    </row>
    <row r="1559" spans="2:33" ht="16">
      <c r="B1559" s="26" t="str">
        <f t="shared" si="7"/>
        <v/>
      </c>
      <c r="C1559" s="6"/>
      <c r="D1559" s="6"/>
      <c r="E1559" s="6"/>
      <c r="F1559" s="15"/>
      <c r="G1559" s="6"/>
      <c r="H1559" s="6"/>
      <c r="I1559" s="6"/>
      <c r="J1559" s="16"/>
      <c r="K1559" s="6"/>
      <c r="L1559" s="16"/>
      <c r="M1559" s="17"/>
      <c r="N1559" s="15"/>
      <c r="O1559" s="17"/>
      <c r="P1559" s="21"/>
      <c r="Q1559" s="6"/>
      <c r="R1559" s="6"/>
      <c r="S1559" s="20"/>
      <c r="T1559" s="6"/>
      <c r="U1559" s="21"/>
      <c r="W1559" s="20"/>
      <c r="X1559" s="21"/>
      <c r="AG1559" s="23"/>
    </row>
    <row r="1560" spans="2:33" ht="16">
      <c r="B1560" s="26" t="str">
        <f t="shared" si="7"/>
        <v/>
      </c>
      <c r="C1560" s="6"/>
      <c r="D1560" s="6"/>
      <c r="E1560" s="6"/>
      <c r="F1560" s="15"/>
      <c r="G1560" s="6"/>
      <c r="H1560" s="6"/>
      <c r="I1560" s="6"/>
      <c r="J1560" s="16"/>
      <c r="K1560" s="6"/>
      <c r="L1560" s="16"/>
      <c r="M1560" s="17"/>
      <c r="N1560" s="15"/>
      <c r="O1560" s="17"/>
      <c r="P1560" s="21"/>
      <c r="Q1560" s="6"/>
      <c r="R1560" s="6"/>
      <c r="S1560" s="20"/>
      <c r="T1560" s="6"/>
      <c r="U1560" s="21"/>
      <c r="W1560" s="20"/>
      <c r="X1560" s="21"/>
      <c r="AG1560" s="23"/>
    </row>
    <row r="1561" spans="2:33" ht="16">
      <c r="B1561" s="26" t="str">
        <f t="shared" si="7"/>
        <v/>
      </c>
      <c r="C1561" s="6"/>
      <c r="D1561" s="6"/>
      <c r="E1561" s="6"/>
      <c r="F1561" s="15"/>
      <c r="G1561" s="6"/>
      <c r="H1561" s="6"/>
      <c r="I1561" s="6"/>
      <c r="J1561" s="16"/>
      <c r="K1561" s="6"/>
      <c r="L1561" s="16"/>
      <c r="M1561" s="17"/>
      <c r="N1561" s="15"/>
      <c r="O1561" s="17"/>
      <c r="P1561" s="21"/>
      <c r="Q1561" s="6"/>
      <c r="R1561" s="6"/>
      <c r="S1561" s="20"/>
      <c r="T1561" s="6"/>
      <c r="U1561" s="21"/>
      <c r="W1561" s="20"/>
      <c r="X1561" s="21"/>
      <c r="AG1561" s="23"/>
    </row>
    <row r="1562" spans="2:33" ht="16">
      <c r="B1562" s="26" t="str">
        <f t="shared" si="7"/>
        <v/>
      </c>
      <c r="C1562" s="6"/>
      <c r="D1562" s="6"/>
      <c r="E1562" s="6"/>
      <c r="F1562" s="15"/>
      <c r="G1562" s="6"/>
      <c r="H1562" s="6"/>
      <c r="I1562" s="6"/>
      <c r="J1562" s="16"/>
      <c r="K1562" s="6"/>
      <c r="L1562" s="16"/>
      <c r="M1562" s="17"/>
      <c r="N1562" s="15"/>
      <c r="O1562" s="17"/>
      <c r="P1562" s="21"/>
      <c r="Q1562" s="6"/>
      <c r="R1562" s="6"/>
      <c r="S1562" s="20"/>
      <c r="T1562" s="6"/>
      <c r="U1562" s="21"/>
      <c r="W1562" s="20"/>
      <c r="X1562" s="21"/>
      <c r="AG1562" s="23"/>
    </row>
    <row r="1563" spans="2:33" ht="16">
      <c r="B1563" s="26" t="str">
        <f t="shared" si="7"/>
        <v/>
      </c>
      <c r="C1563" s="6"/>
      <c r="D1563" s="6"/>
      <c r="E1563" s="6"/>
      <c r="F1563" s="15"/>
      <c r="G1563" s="6"/>
      <c r="H1563" s="6"/>
      <c r="I1563" s="6"/>
      <c r="J1563" s="16"/>
      <c r="K1563" s="6"/>
      <c r="L1563" s="16"/>
      <c r="M1563" s="17"/>
      <c r="N1563" s="15"/>
      <c r="O1563" s="17"/>
      <c r="P1563" s="21"/>
      <c r="Q1563" s="6"/>
      <c r="R1563" s="6"/>
      <c r="S1563" s="20"/>
      <c r="T1563" s="6"/>
      <c r="U1563" s="21"/>
      <c r="W1563" s="20"/>
      <c r="X1563" s="21"/>
      <c r="AG1563" s="17"/>
    </row>
    <row r="1564" spans="2:33" ht="16">
      <c r="B1564" s="26" t="str">
        <f t="shared" si="7"/>
        <v/>
      </c>
      <c r="C1564" s="6"/>
      <c r="D1564" s="6"/>
      <c r="E1564" s="6"/>
      <c r="F1564" s="15"/>
      <c r="G1564" s="6"/>
      <c r="H1564" s="6"/>
      <c r="I1564" s="6"/>
      <c r="J1564" s="16"/>
      <c r="K1564" s="6"/>
      <c r="L1564" s="16"/>
      <c r="M1564" s="17"/>
      <c r="N1564" s="15"/>
      <c r="O1564" s="17"/>
      <c r="P1564" s="21"/>
      <c r="Q1564" s="6"/>
      <c r="R1564" s="6"/>
      <c r="S1564" s="20"/>
      <c r="T1564" s="6"/>
      <c r="U1564" s="21"/>
      <c r="W1564" s="20"/>
      <c r="X1564" s="21"/>
      <c r="AG1564" s="23"/>
    </row>
    <row r="1565" spans="2:33" ht="16">
      <c r="B1565" s="26" t="str">
        <f t="shared" si="7"/>
        <v/>
      </c>
      <c r="C1565" s="6"/>
      <c r="D1565" s="6"/>
      <c r="E1565" s="6"/>
      <c r="F1565" s="15"/>
      <c r="G1565" s="6"/>
      <c r="H1565" s="6"/>
      <c r="I1565" s="6"/>
      <c r="J1565" s="16"/>
      <c r="K1565" s="6"/>
      <c r="L1565" s="16"/>
      <c r="M1565" s="17"/>
      <c r="N1565" s="15"/>
      <c r="O1565" s="17"/>
      <c r="P1565" s="21"/>
      <c r="Q1565" s="6"/>
      <c r="R1565" s="6"/>
      <c r="S1565" s="20"/>
      <c r="T1565" s="6"/>
      <c r="U1565" s="21"/>
      <c r="W1565" s="20"/>
      <c r="X1565" s="21"/>
      <c r="AG1565" s="23"/>
    </row>
    <row r="1566" spans="2:33" ht="16">
      <c r="B1566" s="26" t="str">
        <f t="shared" si="7"/>
        <v/>
      </c>
      <c r="C1566" s="6"/>
      <c r="D1566" s="6"/>
      <c r="E1566" s="6"/>
      <c r="F1566" s="15"/>
      <c r="G1566" s="6"/>
      <c r="H1566" s="6"/>
      <c r="I1566" s="6"/>
      <c r="J1566" s="16"/>
      <c r="K1566" s="6"/>
      <c r="L1566" s="16"/>
      <c r="M1566" s="17"/>
      <c r="N1566" s="15"/>
      <c r="O1566" s="17"/>
      <c r="P1566" s="21"/>
      <c r="Q1566" s="6"/>
      <c r="R1566" s="6"/>
      <c r="S1566" s="20"/>
      <c r="T1566" s="6"/>
      <c r="U1566" s="21"/>
      <c r="W1566" s="20"/>
      <c r="X1566" s="21"/>
      <c r="AG1566" s="23"/>
    </row>
    <row r="1567" spans="2:33" ht="16">
      <c r="B1567" s="26" t="str">
        <f t="shared" si="7"/>
        <v/>
      </c>
      <c r="C1567" s="6"/>
      <c r="D1567" s="6"/>
      <c r="E1567" s="6"/>
      <c r="F1567" s="15"/>
      <c r="G1567" s="6"/>
      <c r="H1567" s="6"/>
      <c r="I1567" s="6"/>
      <c r="J1567" s="16"/>
      <c r="K1567" s="6"/>
      <c r="L1567" s="16"/>
      <c r="M1567" s="17"/>
      <c r="N1567" s="15"/>
      <c r="O1567" s="17"/>
      <c r="P1567" s="21"/>
      <c r="Q1567" s="6"/>
      <c r="R1567" s="6"/>
      <c r="S1567" s="20"/>
      <c r="T1567" s="6"/>
      <c r="U1567" s="21"/>
      <c r="W1567" s="20"/>
      <c r="X1567" s="21"/>
      <c r="AG1567" s="23"/>
    </row>
    <row r="1568" spans="2:33" ht="16">
      <c r="B1568" s="26" t="str">
        <f t="shared" si="7"/>
        <v/>
      </c>
      <c r="C1568" s="6"/>
      <c r="D1568" s="6"/>
      <c r="E1568" s="6"/>
      <c r="F1568" s="15"/>
      <c r="G1568" s="6"/>
      <c r="H1568" s="6"/>
      <c r="I1568" s="6"/>
      <c r="J1568" s="16"/>
      <c r="K1568" s="6"/>
      <c r="L1568" s="16"/>
      <c r="M1568" s="17"/>
      <c r="N1568" s="15"/>
      <c r="O1568" s="17"/>
      <c r="P1568" s="21"/>
      <c r="Q1568" s="6"/>
      <c r="R1568" s="6"/>
      <c r="S1568" s="20"/>
      <c r="T1568" s="6"/>
      <c r="U1568" s="21"/>
      <c r="W1568" s="20"/>
      <c r="X1568" s="21"/>
      <c r="AG1568" s="17"/>
    </row>
    <row r="1569" spans="2:33" ht="16">
      <c r="B1569" s="26" t="str">
        <f t="shared" si="7"/>
        <v/>
      </c>
      <c r="C1569" s="6"/>
      <c r="D1569" s="6"/>
      <c r="E1569" s="6"/>
      <c r="F1569" s="15"/>
      <c r="G1569" s="6"/>
      <c r="H1569" s="6"/>
      <c r="I1569" s="6"/>
      <c r="J1569" s="16"/>
      <c r="K1569" s="6"/>
      <c r="L1569" s="16"/>
      <c r="M1569" s="17"/>
      <c r="N1569" s="15"/>
      <c r="O1569" s="17"/>
      <c r="P1569" s="21"/>
      <c r="Q1569" s="6"/>
      <c r="R1569" s="6"/>
      <c r="S1569" s="20"/>
      <c r="T1569" s="6"/>
      <c r="U1569" s="21"/>
      <c r="W1569" s="20"/>
      <c r="X1569" s="21"/>
      <c r="AG1569" s="23"/>
    </row>
    <row r="1570" spans="2:33" ht="16">
      <c r="B1570" s="26" t="str">
        <f t="shared" si="7"/>
        <v/>
      </c>
      <c r="C1570" s="6"/>
      <c r="D1570" s="6"/>
      <c r="E1570" s="6"/>
      <c r="F1570" s="15"/>
      <c r="G1570" s="6"/>
      <c r="H1570" s="6"/>
      <c r="I1570" s="6"/>
      <c r="J1570" s="16"/>
      <c r="K1570" s="6"/>
      <c r="L1570" s="16"/>
      <c r="M1570" s="17"/>
      <c r="N1570" s="15"/>
      <c r="O1570" s="17"/>
      <c r="P1570" s="21"/>
      <c r="Q1570" s="6"/>
      <c r="R1570" s="6"/>
      <c r="S1570" s="20"/>
      <c r="T1570" s="6"/>
      <c r="U1570" s="21"/>
      <c r="W1570" s="20"/>
      <c r="X1570" s="21"/>
      <c r="AG1570" s="23"/>
    </row>
    <row r="1571" spans="2:33" ht="16">
      <c r="B1571" s="26" t="str">
        <f t="shared" si="7"/>
        <v/>
      </c>
      <c r="C1571" s="6"/>
      <c r="D1571" s="6"/>
      <c r="E1571" s="6"/>
      <c r="F1571" s="15"/>
      <c r="G1571" s="6"/>
      <c r="H1571" s="6"/>
      <c r="I1571" s="6"/>
      <c r="J1571" s="16"/>
      <c r="K1571" s="6"/>
      <c r="L1571" s="16"/>
      <c r="M1571" s="17"/>
      <c r="N1571" s="15"/>
      <c r="O1571" s="17"/>
      <c r="P1571" s="21"/>
      <c r="Q1571" s="6"/>
      <c r="R1571" s="6"/>
      <c r="S1571" s="20"/>
      <c r="T1571" s="6"/>
      <c r="U1571" s="21"/>
      <c r="W1571" s="20"/>
      <c r="X1571" s="21"/>
      <c r="AG1571" s="23"/>
    </row>
    <row r="1572" spans="2:33" ht="16">
      <c r="B1572" s="26" t="str">
        <f t="shared" si="7"/>
        <v/>
      </c>
      <c r="C1572" s="6"/>
      <c r="D1572" s="6"/>
      <c r="E1572" s="6"/>
      <c r="F1572" s="15"/>
      <c r="G1572" s="6"/>
      <c r="H1572" s="6"/>
      <c r="I1572" s="6"/>
      <c r="J1572" s="16"/>
      <c r="K1572" s="6"/>
      <c r="L1572" s="16"/>
      <c r="M1572" s="23"/>
      <c r="N1572" s="15"/>
      <c r="O1572" s="17"/>
      <c r="P1572" s="21"/>
      <c r="Q1572" s="6"/>
      <c r="R1572" s="6"/>
      <c r="S1572" s="20"/>
      <c r="T1572" s="6"/>
      <c r="U1572" s="21"/>
      <c r="W1572" s="20"/>
      <c r="X1572" s="21"/>
      <c r="AG1572" s="23"/>
    </row>
    <row r="1573" spans="2:33" ht="16">
      <c r="B1573" s="26" t="str">
        <f t="shared" si="7"/>
        <v/>
      </c>
      <c r="C1573" s="6"/>
      <c r="D1573" s="6"/>
      <c r="E1573" s="6"/>
      <c r="F1573" s="15"/>
      <c r="G1573" s="6"/>
      <c r="H1573" s="6"/>
      <c r="I1573" s="6"/>
      <c r="J1573" s="16"/>
      <c r="K1573" s="6"/>
      <c r="L1573" s="16"/>
      <c r="M1573" s="17"/>
      <c r="N1573" s="15"/>
      <c r="O1573" s="17"/>
      <c r="P1573" s="21"/>
      <c r="Q1573" s="6"/>
      <c r="R1573" s="6"/>
      <c r="S1573" s="20"/>
      <c r="T1573" s="6"/>
      <c r="U1573" s="21"/>
      <c r="W1573" s="20"/>
      <c r="X1573" s="21"/>
      <c r="AG1573" s="23"/>
    </row>
    <row r="1574" spans="2:33" ht="16">
      <c r="B1574" s="26" t="str">
        <f t="shared" si="7"/>
        <v/>
      </c>
      <c r="C1574" s="6"/>
      <c r="D1574" s="6"/>
      <c r="E1574" s="6"/>
      <c r="F1574" s="15"/>
      <c r="G1574" s="6"/>
      <c r="H1574" s="6"/>
      <c r="I1574" s="6"/>
      <c r="J1574" s="16"/>
      <c r="K1574" s="6"/>
      <c r="L1574" s="16"/>
      <c r="M1574" s="17"/>
      <c r="N1574" s="15"/>
      <c r="O1574" s="17"/>
      <c r="P1574" s="21"/>
      <c r="Q1574" s="6"/>
      <c r="R1574" s="6"/>
      <c r="S1574" s="20"/>
      <c r="T1574" s="6"/>
      <c r="U1574" s="21"/>
      <c r="W1574" s="20"/>
      <c r="X1574" s="21"/>
      <c r="AG1574" s="23"/>
    </row>
    <row r="1575" spans="2:33" ht="16">
      <c r="B1575" s="26" t="str">
        <f t="shared" si="7"/>
        <v/>
      </c>
      <c r="C1575" s="6"/>
      <c r="D1575" s="6"/>
      <c r="E1575" s="6"/>
      <c r="F1575" s="15"/>
      <c r="G1575" s="6"/>
      <c r="H1575" s="6"/>
      <c r="I1575" s="6"/>
      <c r="J1575" s="16"/>
      <c r="K1575" s="6"/>
      <c r="L1575" s="16"/>
      <c r="M1575" s="23"/>
      <c r="N1575" s="15"/>
      <c r="O1575" s="17"/>
      <c r="P1575" s="21"/>
      <c r="Q1575" s="6"/>
      <c r="R1575" s="6"/>
      <c r="S1575" s="20"/>
      <c r="T1575" s="6"/>
      <c r="U1575" s="21"/>
      <c r="W1575" s="20"/>
      <c r="X1575" s="21"/>
      <c r="AG1575" s="23"/>
    </row>
    <row r="1576" spans="2:33" ht="16">
      <c r="B1576" s="26" t="str">
        <f t="shared" si="7"/>
        <v/>
      </c>
      <c r="C1576" s="6"/>
      <c r="D1576" s="6"/>
      <c r="E1576" s="6"/>
      <c r="F1576" s="15"/>
      <c r="G1576" s="6"/>
      <c r="H1576" s="6"/>
      <c r="I1576" s="6"/>
      <c r="J1576" s="16"/>
      <c r="K1576" s="6"/>
      <c r="L1576" s="16"/>
      <c r="M1576" s="17"/>
      <c r="N1576" s="15"/>
      <c r="O1576" s="17"/>
      <c r="P1576" s="21"/>
      <c r="Q1576" s="6"/>
      <c r="R1576" s="6"/>
      <c r="S1576" s="20"/>
      <c r="T1576" s="6"/>
      <c r="U1576" s="21"/>
      <c r="W1576" s="20"/>
      <c r="X1576" s="21"/>
      <c r="AG1576" s="23"/>
    </row>
    <row r="1577" spans="2:33" ht="16">
      <c r="B1577" s="26" t="str">
        <f t="shared" si="7"/>
        <v/>
      </c>
      <c r="C1577" s="6"/>
      <c r="D1577" s="6"/>
      <c r="E1577" s="6"/>
      <c r="F1577" s="15"/>
      <c r="G1577" s="6"/>
      <c r="H1577" s="6"/>
      <c r="I1577" s="6"/>
      <c r="J1577" s="16"/>
      <c r="K1577" s="6"/>
      <c r="L1577" s="16"/>
      <c r="M1577" s="17"/>
      <c r="N1577" s="15"/>
      <c r="O1577" s="17"/>
      <c r="P1577" s="21"/>
      <c r="Q1577" s="6"/>
      <c r="R1577" s="6"/>
      <c r="S1577" s="20"/>
      <c r="T1577" s="6"/>
      <c r="U1577" s="21"/>
      <c r="W1577" s="20"/>
      <c r="X1577" s="21"/>
      <c r="AG1577" s="17"/>
    </row>
    <row r="1578" spans="2:33" ht="16">
      <c r="B1578" s="26" t="str">
        <f t="shared" si="7"/>
        <v/>
      </c>
      <c r="C1578" s="6"/>
      <c r="D1578" s="6"/>
      <c r="E1578" s="6"/>
      <c r="F1578" s="15"/>
      <c r="G1578" s="6"/>
      <c r="H1578" s="6"/>
      <c r="I1578" s="6"/>
      <c r="J1578" s="16"/>
      <c r="K1578" s="6"/>
      <c r="L1578" s="16"/>
      <c r="M1578" s="17"/>
      <c r="N1578" s="15"/>
      <c r="O1578" s="17"/>
      <c r="P1578" s="21"/>
      <c r="Q1578" s="6"/>
      <c r="R1578" s="6"/>
      <c r="S1578" s="20"/>
      <c r="T1578" s="6"/>
      <c r="U1578" s="21"/>
      <c r="W1578" s="20"/>
      <c r="X1578" s="21"/>
      <c r="AG1578" s="23"/>
    </row>
    <row r="1579" spans="2:33" ht="16">
      <c r="B1579" s="26" t="str">
        <f t="shared" si="7"/>
        <v/>
      </c>
      <c r="C1579" s="6"/>
      <c r="D1579" s="6"/>
      <c r="E1579" s="6"/>
      <c r="F1579" s="15"/>
      <c r="G1579" s="6"/>
      <c r="H1579" s="6"/>
      <c r="I1579" s="6"/>
      <c r="J1579" s="16"/>
      <c r="K1579" s="6"/>
      <c r="L1579" s="16"/>
      <c r="M1579" s="17"/>
      <c r="N1579" s="15"/>
      <c r="O1579" s="17"/>
      <c r="P1579" s="21"/>
      <c r="Q1579" s="6"/>
      <c r="R1579" s="6"/>
      <c r="S1579" s="20"/>
      <c r="T1579" s="6"/>
      <c r="U1579" s="21"/>
      <c r="W1579" s="20"/>
      <c r="X1579" s="21"/>
      <c r="AG1579" s="23"/>
    </row>
    <row r="1580" spans="2:33" ht="16">
      <c r="B1580" s="26" t="str">
        <f t="shared" si="7"/>
        <v/>
      </c>
      <c r="C1580" s="6"/>
      <c r="D1580" s="6"/>
      <c r="E1580" s="6"/>
      <c r="F1580" s="15"/>
      <c r="G1580" s="6"/>
      <c r="H1580" s="6"/>
      <c r="I1580" s="6"/>
      <c r="J1580" s="16"/>
      <c r="K1580" s="6"/>
      <c r="L1580" s="16"/>
      <c r="M1580" s="17"/>
      <c r="N1580" s="15"/>
      <c r="O1580" s="17"/>
      <c r="P1580" s="21"/>
      <c r="Q1580" s="6"/>
      <c r="R1580" s="6"/>
      <c r="S1580" s="20"/>
      <c r="T1580" s="6"/>
      <c r="U1580" s="21"/>
      <c r="W1580" s="20"/>
      <c r="X1580" s="21"/>
      <c r="AG1580" s="17"/>
    </row>
    <row r="1581" spans="2:33" ht="16">
      <c r="B1581" s="26" t="str">
        <f t="shared" si="7"/>
        <v/>
      </c>
      <c r="C1581" s="6"/>
      <c r="D1581" s="6"/>
      <c r="E1581" s="6"/>
      <c r="F1581" s="15"/>
      <c r="G1581" s="6"/>
      <c r="H1581" s="6"/>
      <c r="I1581" s="6"/>
      <c r="J1581" s="16"/>
      <c r="K1581" s="6"/>
      <c r="L1581" s="16"/>
      <c r="M1581" s="17"/>
      <c r="N1581" s="15"/>
      <c r="O1581" s="17"/>
      <c r="P1581" s="21"/>
      <c r="Q1581" s="6"/>
      <c r="R1581" s="6"/>
      <c r="S1581" s="20"/>
      <c r="T1581" s="6"/>
      <c r="U1581" s="21"/>
      <c r="W1581" s="20"/>
      <c r="X1581" s="21"/>
      <c r="AG1581" s="23"/>
    </row>
    <row r="1582" spans="2:33" ht="16">
      <c r="B1582" s="26" t="str">
        <f t="shared" si="7"/>
        <v/>
      </c>
      <c r="C1582" s="6"/>
      <c r="D1582" s="6"/>
      <c r="E1582" s="6"/>
      <c r="F1582" s="15"/>
      <c r="G1582" s="6"/>
      <c r="H1582" s="6"/>
      <c r="I1582" s="6"/>
      <c r="J1582" s="16"/>
      <c r="K1582" s="6"/>
      <c r="L1582" s="16"/>
      <c r="M1582" s="17"/>
      <c r="N1582" s="15"/>
      <c r="O1582" s="17"/>
      <c r="P1582" s="21"/>
      <c r="Q1582" s="6"/>
      <c r="R1582" s="6"/>
      <c r="S1582" s="20"/>
      <c r="T1582" s="6"/>
      <c r="U1582" s="21"/>
      <c r="W1582" s="20"/>
      <c r="X1582" s="21"/>
      <c r="AG1582" s="17"/>
    </row>
    <row r="1583" spans="2:33" ht="16">
      <c r="B1583" s="26" t="str">
        <f t="shared" si="7"/>
        <v/>
      </c>
      <c r="C1583" s="6"/>
      <c r="D1583" s="6"/>
      <c r="E1583" s="6"/>
      <c r="F1583" s="15"/>
      <c r="G1583" s="6"/>
      <c r="H1583" s="6"/>
      <c r="I1583" s="6"/>
      <c r="J1583" s="16"/>
      <c r="K1583" s="6"/>
      <c r="L1583" s="16"/>
      <c r="M1583" s="23"/>
      <c r="N1583" s="15"/>
      <c r="O1583" s="17"/>
      <c r="P1583" s="21"/>
      <c r="Q1583" s="6"/>
      <c r="R1583" s="6"/>
      <c r="S1583" s="20"/>
      <c r="T1583" s="6"/>
      <c r="U1583" s="21"/>
      <c r="W1583" s="20"/>
      <c r="X1583" s="21"/>
      <c r="AG1583" s="17"/>
    </row>
    <row r="1584" spans="2:33" ht="16">
      <c r="B1584" s="26" t="str">
        <f t="shared" si="7"/>
        <v/>
      </c>
      <c r="C1584" s="6"/>
      <c r="D1584" s="6"/>
      <c r="E1584" s="6"/>
      <c r="F1584" s="15"/>
      <c r="G1584" s="6"/>
      <c r="H1584" s="6"/>
      <c r="I1584" s="6"/>
      <c r="J1584" s="16"/>
      <c r="K1584" s="6"/>
      <c r="L1584" s="16"/>
      <c r="M1584" s="17"/>
      <c r="N1584" s="15"/>
      <c r="O1584" s="17"/>
      <c r="P1584" s="21"/>
      <c r="Q1584" s="6"/>
      <c r="R1584" s="6"/>
      <c r="S1584" s="20"/>
      <c r="T1584" s="6"/>
      <c r="U1584" s="21"/>
      <c r="W1584" s="20"/>
      <c r="X1584" s="21"/>
      <c r="AG1584" s="23"/>
    </row>
    <row r="1585" spans="2:33" ht="16">
      <c r="B1585" s="26" t="str">
        <f t="shared" si="7"/>
        <v/>
      </c>
      <c r="C1585" s="6"/>
      <c r="D1585" s="6"/>
      <c r="E1585" s="6"/>
      <c r="F1585" s="15"/>
      <c r="G1585" s="6"/>
      <c r="H1585" s="6"/>
      <c r="I1585" s="6"/>
      <c r="J1585" s="16"/>
      <c r="K1585" s="6"/>
      <c r="L1585" s="16"/>
      <c r="M1585" s="17"/>
      <c r="N1585" s="15"/>
      <c r="O1585" s="17"/>
      <c r="P1585" s="21"/>
      <c r="Q1585" s="6"/>
      <c r="R1585" s="6"/>
      <c r="S1585" s="20"/>
      <c r="T1585" s="6"/>
      <c r="U1585" s="21"/>
      <c r="W1585" s="20"/>
      <c r="X1585" s="21"/>
      <c r="AG1585" s="23"/>
    </row>
    <row r="1586" spans="2:33" ht="16">
      <c r="B1586" s="26" t="str">
        <f t="shared" si="7"/>
        <v/>
      </c>
      <c r="C1586" s="6"/>
      <c r="D1586" s="6"/>
      <c r="E1586" s="6"/>
      <c r="F1586" s="15"/>
      <c r="G1586" s="6"/>
      <c r="H1586" s="6"/>
      <c r="I1586" s="6"/>
      <c r="J1586" s="16"/>
      <c r="K1586" s="6"/>
      <c r="L1586" s="16"/>
      <c r="M1586" s="17"/>
      <c r="N1586" s="15"/>
      <c r="O1586" s="17"/>
      <c r="P1586" s="21"/>
      <c r="Q1586" s="6"/>
      <c r="R1586" s="6"/>
      <c r="S1586" s="20"/>
      <c r="T1586" s="6"/>
      <c r="U1586" s="21"/>
      <c r="W1586" s="20"/>
      <c r="X1586" s="21"/>
      <c r="AG1586" s="23"/>
    </row>
    <row r="1587" spans="2:33" ht="16">
      <c r="B1587" s="26" t="str">
        <f t="shared" si="7"/>
        <v/>
      </c>
      <c r="C1587" s="6"/>
      <c r="D1587" s="6"/>
      <c r="E1587" s="6"/>
      <c r="F1587" s="15"/>
      <c r="G1587" s="6"/>
      <c r="H1587" s="6"/>
      <c r="I1587" s="6"/>
      <c r="J1587" s="16"/>
      <c r="K1587" s="6"/>
      <c r="L1587" s="16"/>
      <c r="M1587" s="17"/>
      <c r="N1587" s="15"/>
      <c r="O1587" s="17"/>
      <c r="P1587" s="21"/>
      <c r="Q1587" s="6"/>
      <c r="R1587" s="6"/>
      <c r="S1587" s="20"/>
      <c r="T1587" s="6"/>
      <c r="U1587" s="21"/>
      <c r="W1587" s="20"/>
      <c r="X1587" s="21"/>
      <c r="AG1587" s="23"/>
    </row>
    <row r="1588" spans="2:33" ht="16">
      <c r="B1588" s="26" t="str">
        <f t="shared" si="7"/>
        <v/>
      </c>
      <c r="C1588" s="6"/>
      <c r="D1588" s="6"/>
      <c r="E1588" s="6"/>
      <c r="F1588" s="15"/>
      <c r="G1588" s="6"/>
      <c r="H1588" s="6"/>
      <c r="I1588" s="6"/>
      <c r="J1588" s="16"/>
      <c r="K1588" s="6"/>
      <c r="L1588" s="16"/>
      <c r="M1588" s="23"/>
      <c r="N1588" s="15"/>
      <c r="O1588" s="17"/>
      <c r="P1588" s="21"/>
      <c r="Q1588" s="6"/>
      <c r="R1588" s="6"/>
      <c r="S1588" s="20"/>
      <c r="T1588" s="6"/>
      <c r="U1588" s="21"/>
      <c r="W1588" s="20"/>
      <c r="X1588" s="21"/>
      <c r="AG1588" s="23"/>
    </row>
    <row r="1589" spans="2:33" ht="16">
      <c r="B1589" s="26" t="str">
        <f t="shared" si="7"/>
        <v/>
      </c>
      <c r="C1589" s="6"/>
      <c r="D1589" s="6"/>
      <c r="E1589" s="6"/>
      <c r="F1589" s="15"/>
      <c r="G1589" s="6"/>
      <c r="H1589" s="6"/>
      <c r="I1589" s="6"/>
      <c r="J1589" s="16"/>
      <c r="K1589" s="6"/>
      <c r="L1589" s="16"/>
      <c r="M1589" s="17"/>
      <c r="N1589" s="15"/>
      <c r="O1589" s="17"/>
      <c r="P1589" s="21"/>
      <c r="Q1589" s="6"/>
      <c r="R1589" s="6"/>
      <c r="S1589" s="20"/>
      <c r="T1589" s="6"/>
      <c r="U1589" s="21"/>
      <c r="W1589" s="20"/>
      <c r="X1589" s="21"/>
      <c r="AG1589" s="23"/>
    </row>
    <row r="1590" spans="2:33" ht="16">
      <c r="B1590" s="26" t="str">
        <f t="shared" si="7"/>
        <v/>
      </c>
      <c r="C1590" s="6"/>
      <c r="D1590" s="6"/>
      <c r="E1590" s="6"/>
      <c r="F1590" s="15"/>
      <c r="G1590" s="6"/>
      <c r="H1590" s="6"/>
      <c r="I1590" s="6"/>
      <c r="J1590" s="16"/>
      <c r="K1590" s="6"/>
      <c r="L1590" s="16"/>
      <c r="M1590" s="17"/>
      <c r="N1590" s="15"/>
      <c r="O1590" s="17"/>
      <c r="P1590" s="21"/>
      <c r="Q1590" s="6"/>
      <c r="R1590" s="6"/>
      <c r="S1590" s="20"/>
      <c r="T1590" s="6"/>
      <c r="U1590" s="21"/>
      <c r="W1590" s="20"/>
      <c r="X1590" s="21"/>
      <c r="AG1590" s="23"/>
    </row>
    <row r="1591" spans="2:33" ht="16">
      <c r="B1591" s="26" t="str">
        <f t="shared" si="7"/>
        <v/>
      </c>
      <c r="C1591" s="6"/>
      <c r="D1591" s="6"/>
      <c r="E1591" s="6"/>
      <c r="F1591" s="15"/>
      <c r="G1591" s="6"/>
      <c r="H1591" s="6"/>
      <c r="I1591" s="6"/>
      <c r="J1591" s="16"/>
      <c r="K1591" s="6"/>
      <c r="L1591" s="16"/>
      <c r="M1591" s="23"/>
      <c r="N1591" s="15"/>
      <c r="O1591" s="17"/>
      <c r="P1591" s="21"/>
      <c r="Q1591" s="6"/>
      <c r="R1591" s="6"/>
      <c r="S1591" s="20"/>
      <c r="T1591" s="6"/>
      <c r="U1591" s="21"/>
      <c r="W1591" s="20"/>
      <c r="X1591" s="21"/>
      <c r="AG1591" s="23"/>
    </row>
    <row r="1592" spans="2:33" ht="16">
      <c r="B1592" s="26" t="str">
        <f t="shared" si="7"/>
        <v/>
      </c>
      <c r="C1592" s="6"/>
      <c r="D1592" s="6"/>
      <c r="E1592" s="6"/>
      <c r="F1592" s="15"/>
      <c r="G1592" s="6"/>
      <c r="H1592" s="6"/>
      <c r="I1592" s="6"/>
      <c r="J1592" s="16"/>
      <c r="K1592" s="6"/>
      <c r="L1592" s="16"/>
      <c r="M1592" s="23"/>
      <c r="N1592" s="15"/>
      <c r="O1592" s="17"/>
      <c r="P1592" s="21"/>
      <c r="Q1592" s="6"/>
      <c r="R1592" s="6"/>
      <c r="S1592" s="20"/>
      <c r="T1592" s="6"/>
      <c r="U1592" s="21"/>
      <c r="W1592" s="20"/>
      <c r="X1592" s="21"/>
      <c r="AG1592" s="17"/>
    </row>
    <row r="1593" spans="2:33" ht="16">
      <c r="B1593" s="26" t="str">
        <f t="shared" si="7"/>
        <v/>
      </c>
      <c r="C1593" s="6"/>
      <c r="D1593" s="6"/>
      <c r="E1593" s="6"/>
      <c r="F1593" s="15"/>
      <c r="G1593" s="6"/>
      <c r="H1593" s="6"/>
      <c r="I1593" s="6"/>
      <c r="J1593" s="16"/>
      <c r="K1593" s="6"/>
      <c r="L1593" s="16"/>
      <c r="M1593" s="17"/>
      <c r="N1593" s="15"/>
      <c r="O1593" s="17"/>
      <c r="P1593" s="21"/>
      <c r="Q1593" s="6"/>
      <c r="R1593" s="6"/>
      <c r="S1593" s="20"/>
      <c r="T1593" s="6"/>
      <c r="U1593" s="21"/>
      <c r="W1593" s="20"/>
      <c r="X1593" s="21"/>
      <c r="AG1593" s="23"/>
    </row>
    <row r="1594" spans="2:33" ht="16">
      <c r="B1594" s="26" t="str">
        <f t="shared" si="7"/>
        <v/>
      </c>
      <c r="C1594" s="6"/>
      <c r="D1594" s="6"/>
      <c r="E1594" s="6"/>
      <c r="F1594" s="15"/>
      <c r="G1594" s="6"/>
      <c r="H1594" s="6"/>
      <c r="I1594" s="6"/>
      <c r="J1594" s="16"/>
      <c r="K1594" s="6"/>
      <c r="L1594" s="16"/>
      <c r="M1594" s="17"/>
      <c r="N1594" s="15"/>
      <c r="O1594" s="17"/>
      <c r="P1594" s="21"/>
      <c r="Q1594" s="6"/>
      <c r="R1594" s="6"/>
      <c r="S1594" s="20"/>
      <c r="T1594" s="6"/>
      <c r="U1594" s="21"/>
      <c r="W1594" s="20"/>
      <c r="X1594" s="21"/>
      <c r="AG1594" s="23"/>
    </row>
    <row r="1595" spans="2:33" ht="16">
      <c r="B1595" s="26" t="str">
        <f t="shared" si="7"/>
        <v/>
      </c>
      <c r="C1595" s="6"/>
      <c r="D1595" s="6"/>
      <c r="E1595" s="6"/>
      <c r="F1595" s="15"/>
      <c r="G1595" s="6"/>
      <c r="H1595" s="6"/>
      <c r="I1595" s="6"/>
      <c r="J1595" s="16"/>
      <c r="K1595" s="6"/>
      <c r="L1595" s="16"/>
      <c r="M1595" s="17"/>
      <c r="N1595" s="15"/>
      <c r="O1595" s="17"/>
      <c r="P1595" s="21"/>
      <c r="Q1595" s="6"/>
      <c r="R1595" s="6"/>
      <c r="S1595" s="20"/>
      <c r="T1595" s="6"/>
      <c r="U1595" s="21"/>
      <c r="W1595" s="20"/>
      <c r="X1595" s="21"/>
      <c r="AG1595" s="17"/>
    </row>
    <row r="1596" spans="2:33" ht="16">
      <c r="B1596" s="26" t="str">
        <f t="shared" si="7"/>
        <v/>
      </c>
      <c r="C1596" s="6"/>
      <c r="D1596" s="6"/>
      <c r="E1596" s="6"/>
      <c r="F1596" s="15"/>
      <c r="G1596" s="6"/>
      <c r="H1596" s="6"/>
      <c r="I1596" s="6"/>
      <c r="J1596" s="16"/>
      <c r="K1596" s="6"/>
      <c r="L1596" s="16"/>
      <c r="M1596" s="17"/>
      <c r="N1596" s="15"/>
      <c r="O1596" s="17"/>
      <c r="P1596" s="21"/>
      <c r="Q1596" s="6"/>
      <c r="R1596" s="6"/>
      <c r="S1596" s="20"/>
      <c r="T1596" s="6"/>
      <c r="U1596" s="21"/>
      <c r="W1596" s="20"/>
      <c r="X1596" s="21"/>
      <c r="AG1596" s="23"/>
    </row>
    <row r="1597" spans="2:33" ht="16">
      <c r="B1597" s="26" t="str">
        <f t="shared" si="7"/>
        <v/>
      </c>
      <c r="C1597" s="6"/>
      <c r="D1597" s="6"/>
      <c r="E1597" s="6"/>
      <c r="F1597" s="15"/>
      <c r="G1597" s="6"/>
      <c r="H1597" s="6"/>
      <c r="I1597" s="6"/>
      <c r="J1597" s="16"/>
      <c r="K1597" s="6"/>
      <c r="L1597" s="16"/>
      <c r="M1597" s="23"/>
      <c r="N1597" s="15"/>
      <c r="O1597" s="17"/>
      <c r="P1597" s="21"/>
      <c r="Q1597" s="6"/>
      <c r="R1597" s="6"/>
      <c r="S1597" s="20"/>
      <c r="T1597" s="6"/>
      <c r="U1597" s="21"/>
      <c r="W1597" s="20"/>
      <c r="X1597" s="21"/>
      <c r="AG1597" s="23"/>
    </row>
    <row r="1598" spans="2:33" ht="16">
      <c r="B1598" s="26" t="str">
        <f t="shared" si="7"/>
        <v/>
      </c>
      <c r="C1598" s="6"/>
      <c r="D1598" s="6"/>
      <c r="E1598" s="6"/>
      <c r="F1598" s="15"/>
      <c r="G1598" s="6"/>
      <c r="H1598" s="6"/>
      <c r="I1598" s="6"/>
      <c r="J1598" s="16"/>
      <c r="K1598" s="6"/>
      <c r="L1598" s="16"/>
      <c r="M1598" s="17"/>
      <c r="N1598" s="15"/>
      <c r="O1598" s="17"/>
      <c r="P1598" s="21"/>
      <c r="Q1598" s="6"/>
      <c r="R1598" s="6"/>
      <c r="S1598" s="20"/>
      <c r="T1598" s="6"/>
      <c r="U1598" s="21"/>
      <c r="W1598" s="20"/>
      <c r="X1598" s="21"/>
      <c r="AG1598" s="23"/>
    </row>
    <row r="1599" spans="2:33" ht="16">
      <c r="B1599" s="26" t="str">
        <f t="shared" si="7"/>
        <v/>
      </c>
      <c r="C1599" s="6"/>
      <c r="D1599" s="6"/>
      <c r="E1599" s="6"/>
      <c r="F1599" s="15"/>
      <c r="G1599" s="6"/>
      <c r="H1599" s="6"/>
      <c r="I1599" s="6"/>
      <c r="J1599" s="16"/>
      <c r="K1599" s="6"/>
      <c r="L1599" s="16"/>
      <c r="M1599" s="17"/>
      <c r="N1599" s="15"/>
      <c r="O1599" s="17"/>
      <c r="P1599" s="21"/>
      <c r="Q1599" s="6"/>
      <c r="R1599" s="6"/>
      <c r="S1599" s="20"/>
      <c r="T1599" s="6"/>
      <c r="U1599" s="21"/>
      <c r="W1599" s="20"/>
      <c r="X1599" s="21"/>
      <c r="AG1599" s="23"/>
    </row>
    <row r="1600" spans="2:33" ht="16">
      <c r="B1600" s="26" t="str">
        <f t="shared" si="7"/>
        <v/>
      </c>
      <c r="C1600" s="6"/>
      <c r="D1600" s="6"/>
      <c r="E1600" s="6"/>
      <c r="F1600" s="15"/>
      <c r="G1600" s="6"/>
      <c r="H1600" s="6"/>
      <c r="I1600" s="6"/>
      <c r="J1600" s="16"/>
      <c r="K1600" s="6"/>
      <c r="L1600" s="16"/>
      <c r="M1600" s="17"/>
      <c r="N1600" s="15"/>
      <c r="O1600" s="17"/>
      <c r="P1600" s="21"/>
      <c r="Q1600" s="6"/>
      <c r="R1600" s="6"/>
      <c r="S1600" s="20"/>
      <c r="T1600" s="6"/>
      <c r="U1600" s="21"/>
      <c r="W1600" s="20"/>
      <c r="X1600" s="21"/>
      <c r="AG1600" s="23"/>
    </row>
    <row r="1601" spans="2:33" ht="16">
      <c r="B1601" s="26" t="str">
        <f t="shared" si="7"/>
        <v/>
      </c>
      <c r="C1601" s="6"/>
      <c r="D1601" s="6"/>
      <c r="E1601" s="6"/>
      <c r="F1601" s="15"/>
      <c r="G1601" s="6"/>
      <c r="H1601" s="6"/>
      <c r="I1601" s="6"/>
      <c r="J1601" s="16"/>
      <c r="K1601" s="6"/>
      <c r="L1601" s="16"/>
      <c r="M1601" s="17"/>
      <c r="N1601" s="15"/>
      <c r="O1601" s="17"/>
      <c r="P1601" s="21"/>
      <c r="Q1601" s="6"/>
      <c r="R1601" s="6"/>
      <c r="S1601" s="20"/>
      <c r="T1601" s="6"/>
      <c r="U1601" s="21"/>
      <c r="W1601" s="20"/>
      <c r="X1601" s="21"/>
      <c r="AG1601" s="23"/>
    </row>
    <row r="1602" spans="2:33" ht="16">
      <c r="B1602" s="26" t="str">
        <f t="shared" si="7"/>
        <v/>
      </c>
      <c r="C1602" s="6"/>
      <c r="D1602" s="6"/>
      <c r="E1602" s="6"/>
      <c r="F1602" s="15"/>
      <c r="G1602" s="6"/>
      <c r="H1602" s="6"/>
      <c r="I1602" s="6"/>
      <c r="J1602" s="16"/>
      <c r="K1602" s="6"/>
      <c r="L1602" s="16"/>
      <c r="M1602" s="17"/>
      <c r="N1602" s="15"/>
      <c r="O1602" s="17"/>
      <c r="P1602" s="21"/>
      <c r="Q1602" s="6"/>
      <c r="R1602" s="6"/>
      <c r="S1602" s="20"/>
      <c r="T1602" s="6"/>
      <c r="U1602" s="21"/>
      <c r="W1602" s="20"/>
      <c r="X1602" s="21"/>
      <c r="AG1602" s="23"/>
    </row>
    <row r="1603" spans="2:33" ht="16">
      <c r="B1603" s="26" t="str">
        <f t="shared" si="7"/>
        <v/>
      </c>
      <c r="C1603" s="6"/>
      <c r="D1603" s="6"/>
      <c r="E1603" s="6"/>
      <c r="F1603" s="15"/>
      <c r="G1603" s="6"/>
      <c r="H1603" s="6"/>
      <c r="I1603" s="6"/>
      <c r="J1603" s="16"/>
      <c r="K1603" s="6"/>
      <c r="L1603" s="16"/>
      <c r="M1603" s="17"/>
      <c r="N1603" s="15"/>
      <c r="O1603" s="17"/>
      <c r="P1603" s="21"/>
      <c r="Q1603" s="6"/>
      <c r="R1603" s="6"/>
      <c r="S1603" s="20"/>
      <c r="T1603" s="6"/>
      <c r="U1603" s="21"/>
      <c r="W1603" s="20"/>
      <c r="X1603" s="21"/>
      <c r="AG1603" s="23"/>
    </row>
    <row r="1604" spans="2:33" ht="16">
      <c r="B1604" s="26" t="str">
        <f t="shared" si="7"/>
        <v/>
      </c>
      <c r="C1604" s="6"/>
      <c r="D1604" s="6"/>
      <c r="E1604" s="6"/>
      <c r="F1604" s="15"/>
      <c r="G1604" s="6"/>
      <c r="H1604" s="6"/>
      <c r="I1604" s="6"/>
      <c r="J1604" s="16"/>
      <c r="K1604" s="6"/>
      <c r="L1604" s="16"/>
      <c r="M1604" s="17"/>
      <c r="N1604" s="15"/>
      <c r="O1604" s="17"/>
      <c r="P1604" s="21"/>
      <c r="Q1604" s="6"/>
      <c r="R1604" s="6"/>
      <c r="S1604" s="20"/>
      <c r="T1604" s="6"/>
      <c r="U1604" s="21"/>
      <c r="W1604" s="20"/>
      <c r="X1604" s="21"/>
      <c r="AG1604" s="23"/>
    </row>
    <row r="1605" spans="2:33" ht="16">
      <c r="B1605" s="26" t="str">
        <f t="shared" si="7"/>
        <v/>
      </c>
      <c r="C1605" s="6"/>
      <c r="D1605" s="6"/>
      <c r="E1605" s="6"/>
      <c r="F1605" s="15"/>
      <c r="G1605" s="6"/>
      <c r="H1605" s="6"/>
      <c r="I1605" s="6"/>
      <c r="J1605" s="16"/>
      <c r="K1605" s="6"/>
      <c r="L1605" s="16"/>
      <c r="M1605" s="17"/>
      <c r="N1605" s="15"/>
      <c r="O1605" s="17"/>
      <c r="P1605" s="21"/>
      <c r="Q1605" s="6"/>
      <c r="R1605" s="6"/>
      <c r="S1605" s="20"/>
      <c r="T1605" s="6"/>
      <c r="U1605" s="21"/>
      <c r="W1605" s="20"/>
      <c r="X1605" s="21"/>
      <c r="AG1605" s="23"/>
    </row>
    <row r="1606" spans="2:33" ht="16">
      <c r="B1606" s="26" t="str">
        <f t="shared" si="7"/>
        <v/>
      </c>
      <c r="C1606" s="6"/>
      <c r="D1606" s="6"/>
      <c r="E1606" s="6"/>
      <c r="F1606" s="15"/>
      <c r="G1606" s="6"/>
      <c r="H1606" s="6"/>
      <c r="I1606" s="6"/>
      <c r="J1606" s="16"/>
      <c r="K1606" s="6"/>
      <c r="L1606" s="16"/>
      <c r="M1606" s="23"/>
      <c r="N1606" s="15"/>
      <c r="O1606" s="17"/>
      <c r="P1606" s="21"/>
      <c r="Q1606" s="6"/>
      <c r="R1606" s="6"/>
      <c r="S1606" s="20"/>
      <c r="T1606" s="6"/>
      <c r="U1606" s="21"/>
      <c r="W1606" s="20"/>
      <c r="X1606" s="21"/>
      <c r="AG1606" s="23"/>
    </row>
    <row r="1607" spans="2:33" ht="16">
      <c r="B1607" s="26" t="str">
        <f t="shared" si="7"/>
        <v/>
      </c>
      <c r="C1607" s="6"/>
      <c r="D1607" s="6"/>
      <c r="E1607" s="6"/>
      <c r="F1607" s="15"/>
      <c r="G1607" s="6"/>
      <c r="H1607" s="6"/>
      <c r="I1607" s="6"/>
      <c r="J1607" s="16"/>
      <c r="K1607" s="6"/>
      <c r="L1607" s="16"/>
      <c r="M1607" s="17"/>
      <c r="N1607" s="15"/>
      <c r="O1607" s="17"/>
      <c r="P1607" s="21"/>
      <c r="Q1607" s="6"/>
      <c r="R1607" s="6"/>
      <c r="S1607" s="20"/>
      <c r="T1607" s="6"/>
      <c r="U1607" s="21"/>
      <c r="W1607" s="20"/>
      <c r="X1607" s="21"/>
      <c r="AG1607" s="23"/>
    </row>
    <row r="1608" spans="2:33" ht="16">
      <c r="B1608" s="26" t="str">
        <f t="shared" si="7"/>
        <v/>
      </c>
      <c r="C1608" s="6"/>
      <c r="D1608" s="6"/>
      <c r="E1608" s="6"/>
      <c r="F1608" s="15"/>
      <c r="G1608" s="6"/>
      <c r="H1608" s="6"/>
      <c r="I1608" s="6"/>
      <c r="J1608" s="16"/>
      <c r="K1608" s="6"/>
      <c r="L1608" s="16"/>
      <c r="M1608" s="17"/>
      <c r="N1608" s="15"/>
      <c r="O1608" s="17"/>
      <c r="P1608" s="21"/>
      <c r="Q1608" s="6"/>
      <c r="R1608" s="6"/>
      <c r="S1608" s="20"/>
      <c r="T1608" s="6"/>
      <c r="U1608" s="21"/>
      <c r="W1608" s="20"/>
      <c r="X1608" s="21"/>
      <c r="AG1608" s="23"/>
    </row>
    <row r="1609" spans="2:33" ht="16">
      <c r="B1609" s="26" t="str">
        <f t="shared" si="7"/>
        <v/>
      </c>
      <c r="C1609" s="6"/>
      <c r="D1609" s="6"/>
      <c r="E1609" s="6"/>
      <c r="F1609" s="15"/>
      <c r="G1609" s="6"/>
      <c r="H1609" s="6"/>
      <c r="I1609" s="6"/>
      <c r="J1609" s="16"/>
      <c r="K1609" s="6"/>
      <c r="L1609" s="16"/>
      <c r="M1609" s="17"/>
      <c r="N1609" s="15"/>
      <c r="O1609" s="17"/>
      <c r="P1609" s="21"/>
      <c r="Q1609" s="6"/>
      <c r="R1609" s="6"/>
      <c r="S1609" s="20"/>
      <c r="T1609" s="6"/>
      <c r="U1609" s="21"/>
      <c r="W1609" s="20"/>
      <c r="X1609" s="21"/>
      <c r="AG1609" s="23"/>
    </row>
    <row r="1610" spans="2:33" ht="16">
      <c r="B1610" s="26" t="str">
        <f t="shared" si="7"/>
        <v/>
      </c>
      <c r="C1610" s="6"/>
      <c r="D1610" s="6"/>
      <c r="E1610" s="6"/>
      <c r="F1610" s="15"/>
      <c r="G1610" s="6"/>
      <c r="H1610" s="6"/>
      <c r="I1610" s="6"/>
      <c r="J1610" s="16"/>
      <c r="K1610" s="6"/>
      <c r="L1610" s="16"/>
      <c r="M1610" s="17"/>
      <c r="N1610" s="15"/>
      <c r="O1610" s="17"/>
      <c r="P1610" s="21"/>
      <c r="Q1610" s="6"/>
      <c r="R1610" s="6"/>
      <c r="S1610" s="20"/>
      <c r="T1610" s="6"/>
      <c r="U1610" s="21"/>
      <c r="W1610" s="20"/>
      <c r="X1610" s="21"/>
      <c r="AG1610" s="23"/>
    </row>
    <row r="1611" spans="2:33" ht="16">
      <c r="B1611" s="26" t="str">
        <f t="shared" si="7"/>
        <v/>
      </c>
      <c r="C1611" s="6"/>
      <c r="D1611" s="6"/>
      <c r="E1611" s="6"/>
      <c r="F1611" s="15"/>
      <c r="G1611" s="6"/>
      <c r="H1611" s="6"/>
      <c r="I1611" s="6"/>
      <c r="J1611" s="16"/>
      <c r="K1611" s="6"/>
      <c r="L1611" s="16"/>
      <c r="M1611" s="17"/>
      <c r="N1611" s="15"/>
      <c r="O1611" s="17"/>
      <c r="P1611" s="21"/>
      <c r="Q1611" s="6"/>
      <c r="R1611" s="6"/>
      <c r="S1611" s="20"/>
      <c r="T1611" s="6"/>
      <c r="U1611" s="21"/>
      <c r="W1611" s="20"/>
      <c r="X1611" s="21"/>
      <c r="AG1611" s="23"/>
    </row>
    <row r="1612" spans="2:33" ht="16">
      <c r="B1612" s="26" t="str">
        <f t="shared" si="7"/>
        <v/>
      </c>
      <c r="C1612" s="6"/>
      <c r="D1612" s="6"/>
      <c r="E1612" s="6"/>
      <c r="F1612" s="15"/>
      <c r="G1612" s="6"/>
      <c r="H1612" s="6"/>
      <c r="I1612" s="6"/>
      <c r="J1612" s="16"/>
      <c r="K1612" s="6"/>
      <c r="L1612" s="16"/>
      <c r="M1612" s="23"/>
      <c r="N1612" s="15"/>
      <c r="O1612" s="17"/>
      <c r="P1612" s="21"/>
      <c r="Q1612" s="6"/>
      <c r="R1612" s="6"/>
      <c r="S1612" s="20"/>
      <c r="T1612" s="6"/>
      <c r="U1612" s="21"/>
      <c r="W1612" s="20"/>
      <c r="X1612" s="21"/>
      <c r="AG1612" s="23"/>
    </row>
    <row r="1613" spans="2:33" ht="16">
      <c r="B1613" s="26" t="str">
        <f t="shared" si="7"/>
        <v/>
      </c>
      <c r="C1613" s="6"/>
      <c r="D1613" s="6"/>
      <c r="E1613" s="6"/>
      <c r="F1613" s="15"/>
      <c r="G1613" s="6"/>
      <c r="H1613" s="6"/>
      <c r="I1613" s="6"/>
      <c r="J1613" s="16"/>
      <c r="K1613" s="6"/>
      <c r="L1613" s="16"/>
      <c r="M1613" s="17"/>
      <c r="N1613" s="15"/>
      <c r="O1613" s="17"/>
      <c r="P1613" s="21"/>
      <c r="Q1613" s="6"/>
      <c r="R1613" s="6"/>
      <c r="S1613" s="20"/>
      <c r="T1613" s="6"/>
      <c r="U1613" s="21"/>
      <c r="W1613" s="20"/>
      <c r="X1613" s="21"/>
      <c r="AG1613" s="23"/>
    </row>
    <row r="1614" spans="2:33" ht="16">
      <c r="B1614" s="26" t="str">
        <f t="shared" si="7"/>
        <v/>
      </c>
      <c r="C1614" s="6"/>
      <c r="D1614" s="6"/>
      <c r="E1614" s="6"/>
      <c r="F1614" s="15"/>
      <c r="G1614" s="6"/>
      <c r="H1614" s="6"/>
      <c r="I1614" s="6"/>
      <c r="J1614" s="16"/>
      <c r="K1614" s="6"/>
      <c r="L1614" s="16"/>
      <c r="M1614" s="17"/>
      <c r="N1614" s="15"/>
      <c r="O1614" s="17"/>
      <c r="P1614" s="21"/>
      <c r="Q1614" s="6"/>
      <c r="R1614" s="6"/>
      <c r="S1614" s="20"/>
      <c r="T1614" s="6"/>
      <c r="U1614" s="21"/>
      <c r="W1614" s="20"/>
      <c r="X1614" s="21"/>
      <c r="AG1614" s="17"/>
    </row>
    <row r="1615" spans="2:33" ht="16">
      <c r="B1615" s="26" t="str">
        <f t="shared" si="7"/>
        <v/>
      </c>
      <c r="C1615" s="6"/>
      <c r="D1615" s="6"/>
      <c r="E1615" s="6"/>
      <c r="F1615" s="15"/>
      <c r="G1615" s="6"/>
      <c r="H1615" s="6"/>
      <c r="I1615" s="6"/>
      <c r="J1615" s="16"/>
      <c r="K1615" s="6"/>
      <c r="L1615" s="16"/>
      <c r="M1615" s="17"/>
      <c r="N1615" s="15"/>
      <c r="O1615" s="17"/>
      <c r="P1615" s="21"/>
      <c r="Q1615" s="6"/>
      <c r="R1615" s="6"/>
      <c r="S1615" s="20"/>
      <c r="T1615" s="6"/>
      <c r="U1615" s="21"/>
      <c r="W1615" s="20"/>
      <c r="X1615" s="21"/>
      <c r="AG1615" s="17"/>
    </row>
    <row r="1616" spans="2:33" ht="16">
      <c r="B1616" s="26" t="str">
        <f t="shared" si="7"/>
        <v/>
      </c>
      <c r="C1616" s="6"/>
      <c r="D1616" s="6"/>
      <c r="E1616" s="6"/>
      <c r="F1616" s="15"/>
      <c r="G1616" s="6"/>
      <c r="H1616" s="6"/>
      <c r="I1616" s="6"/>
      <c r="J1616" s="16"/>
      <c r="K1616" s="6"/>
      <c r="L1616" s="16"/>
      <c r="M1616" s="17"/>
      <c r="N1616" s="15"/>
      <c r="O1616" s="17"/>
      <c r="P1616" s="21"/>
      <c r="Q1616" s="6"/>
      <c r="R1616" s="6"/>
      <c r="S1616" s="20"/>
      <c r="T1616" s="6"/>
      <c r="U1616" s="21"/>
      <c r="W1616" s="20"/>
      <c r="X1616" s="21"/>
      <c r="AG1616" s="23"/>
    </row>
    <row r="1617" spans="2:33" ht="16">
      <c r="B1617" s="26" t="str">
        <f t="shared" si="7"/>
        <v/>
      </c>
      <c r="C1617" s="6"/>
      <c r="D1617" s="6"/>
      <c r="E1617" s="6"/>
      <c r="F1617" s="15"/>
      <c r="G1617" s="6"/>
      <c r="H1617" s="6"/>
      <c r="I1617" s="6"/>
      <c r="J1617" s="16"/>
      <c r="K1617" s="6"/>
      <c r="L1617" s="16"/>
      <c r="M1617" s="17"/>
      <c r="N1617" s="15"/>
      <c r="O1617" s="17"/>
      <c r="P1617" s="21"/>
      <c r="Q1617" s="6"/>
      <c r="R1617" s="6"/>
      <c r="S1617" s="20"/>
      <c r="T1617" s="6"/>
      <c r="U1617" s="21"/>
      <c r="W1617" s="20"/>
      <c r="X1617" s="21"/>
      <c r="AG1617" s="23"/>
    </row>
    <row r="1618" spans="2:33" ht="16">
      <c r="B1618" s="26" t="str">
        <f t="shared" si="7"/>
        <v/>
      </c>
      <c r="C1618" s="23"/>
      <c r="D1618" s="6"/>
      <c r="E1618" s="6"/>
      <c r="F1618" s="15"/>
      <c r="G1618" s="6"/>
      <c r="H1618" s="6"/>
      <c r="I1618" s="6"/>
      <c r="J1618" s="16"/>
      <c r="K1618" s="6"/>
      <c r="L1618" s="16"/>
      <c r="M1618" s="17"/>
      <c r="N1618" s="15"/>
      <c r="O1618" s="17"/>
      <c r="P1618" s="21"/>
      <c r="Q1618" s="6"/>
      <c r="R1618" s="6"/>
      <c r="S1618" s="20"/>
      <c r="T1618" s="6"/>
      <c r="U1618" s="21"/>
      <c r="W1618" s="20"/>
      <c r="X1618" s="21"/>
      <c r="AG1618" s="23"/>
    </row>
    <row r="1619" spans="2:33" ht="16">
      <c r="B1619" s="26" t="str">
        <f t="shared" si="7"/>
        <v/>
      </c>
      <c r="C1619" s="6"/>
      <c r="D1619" s="6"/>
      <c r="E1619" s="6"/>
      <c r="F1619" s="15"/>
      <c r="G1619" s="6"/>
      <c r="H1619" s="6"/>
      <c r="I1619" s="6"/>
      <c r="J1619" s="16"/>
      <c r="K1619" s="6"/>
      <c r="L1619" s="16"/>
      <c r="M1619" s="17"/>
      <c r="N1619" s="15"/>
      <c r="O1619" s="17"/>
      <c r="P1619" s="21"/>
      <c r="Q1619" s="6"/>
      <c r="R1619" s="6"/>
      <c r="S1619" s="20"/>
      <c r="T1619" s="6"/>
      <c r="U1619" s="21"/>
      <c r="W1619" s="20"/>
      <c r="X1619" s="21"/>
      <c r="AD1619" s="17"/>
      <c r="AG1619" s="23"/>
    </row>
    <row r="1620" spans="2:33" ht="16">
      <c r="B1620" s="26" t="str">
        <f t="shared" si="7"/>
        <v/>
      </c>
      <c r="C1620" s="6"/>
      <c r="D1620" s="6"/>
      <c r="E1620" s="6"/>
      <c r="F1620" s="15"/>
      <c r="G1620" s="6"/>
      <c r="H1620" s="6"/>
      <c r="I1620" s="6"/>
      <c r="J1620" s="16"/>
      <c r="K1620" s="6"/>
      <c r="L1620" s="16"/>
      <c r="M1620" s="23"/>
      <c r="N1620" s="15"/>
      <c r="O1620" s="23"/>
      <c r="P1620" s="21"/>
      <c r="Q1620" s="6"/>
      <c r="R1620" s="6"/>
      <c r="S1620" s="20"/>
      <c r="T1620" s="6"/>
      <c r="U1620" s="21"/>
      <c r="W1620" s="20"/>
      <c r="X1620" s="21"/>
      <c r="AD1620" s="23"/>
      <c r="AG1620" s="23"/>
    </row>
    <row r="1621" spans="2:33" ht="16">
      <c r="B1621" s="26" t="str">
        <f t="shared" si="7"/>
        <v/>
      </c>
      <c r="C1621" s="6"/>
      <c r="D1621" s="6"/>
      <c r="E1621" s="6"/>
      <c r="F1621" s="15"/>
      <c r="G1621" s="6"/>
      <c r="H1621" s="6"/>
      <c r="I1621" s="6"/>
      <c r="J1621" s="16"/>
      <c r="K1621" s="6"/>
      <c r="L1621" s="16"/>
      <c r="M1621" s="23"/>
      <c r="N1621" s="15"/>
      <c r="O1621" s="23"/>
      <c r="P1621" s="21"/>
      <c r="Q1621" s="6"/>
      <c r="R1621" s="6"/>
      <c r="S1621" s="20"/>
      <c r="T1621" s="6"/>
      <c r="U1621" s="21"/>
      <c r="W1621" s="20"/>
      <c r="X1621" s="21"/>
      <c r="AD1621" s="23"/>
      <c r="AG1621" s="23"/>
    </row>
    <row r="1622" spans="2:33" ht="16">
      <c r="B1622" s="26" t="str">
        <f t="shared" si="7"/>
        <v/>
      </c>
      <c r="C1622" s="6"/>
      <c r="D1622" s="6"/>
      <c r="E1622" s="6"/>
      <c r="F1622" s="15"/>
      <c r="G1622" s="6"/>
      <c r="H1622" s="6"/>
      <c r="I1622" s="6"/>
      <c r="J1622" s="16"/>
      <c r="K1622" s="6"/>
      <c r="L1622" s="16"/>
      <c r="M1622" s="23"/>
      <c r="N1622" s="15"/>
      <c r="O1622" s="23"/>
      <c r="P1622" s="21"/>
      <c r="Q1622" s="6"/>
      <c r="R1622" s="6"/>
      <c r="S1622" s="20"/>
      <c r="T1622" s="6"/>
      <c r="U1622" s="21"/>
      <c r="W1622" s="20"/>
      <c r="X1622" s="21"/>
      <c r="AG1622" s="23"/>
    </row>
    <row r="1623" spans="2:33" ht="16">
      <c r="B1623" s="26" t="str">
        <f t="shared" si="7"/>
        <v/>
      </c>
      <c r="C1623" s="6"/>
      <c r="D1623" s="6"/>
      <c r="E1623" s="6"/>
      <c r="F1623" s="15"/>
      <c r="G1623" s="6"/>
      <c r="H1623" s="6"/>
      <c r="I1623" s="6"/>
      <c r="J1623" s="16"/>
      <c r="K1623" s="6"/>
      <c r="L1623" s="16"/>
      <c r="M1623" s="23"/>
      <c r="N1623" s="15"/>
      <c r="O1623" s="23"/>
      <c r="P1623" s="21"/>
      <c r="Q1623" s="6"/>
      <c r="R1623" s="6"/>
      <c r="S1623" s="20"/>
      <c r="T1623" s="6"/>
      <c r="U1623" s="21"/>
      <c r="W1623" s="20"/>
      <c r="X1623" s="21"/>
      <c r="AG1623" s="23"/>
    </row>
    <row r="1624" spans="2:33" ht="16">
      <c r="B1624" s="26" t="str">
        <f t="shared" si="7"/>
        <v/>
      </c>
      <c r="C1624" s="6"/>
      <c r="D1624" s="6"/>
      <c r="E1624" s="6"/>
      <c r="F1624" s="15"/>
      <c r="G1624" s="6"/>
      <c r="H1624" s="6"/>
      <c r="I1624" s="6"/>
      <c r="J1624" s="16"/>
      <c r="K1624" s="6"/>
      <c r="L1624" s="16"/>
      <c r="M1624" s="23"/>
      <c r="N1624" s="15"/>
      <c r="O1624" s="23"/>
      <c r="P1624" s="21"/>
      <c r="Q1624" s="6"/>
      <c r="R1624" s="6"/>
      <c r="S1624" s="20"/>
      <c r="T1624" s="6"/>
      <c r="U1624" s="21"/>
      <c r="W1624" s="20"/>
      <c r="X1624" s="21"/>
      <c r="AG1624" s="23"/>
    </row>
    <row r="1625" spans="2:33" ht="16">
      <c r="B1625" s="26" t="str">
        <f t="shared" si="7"/>
        <v/>
      </c>
      <c r="C1625" s="6"/>
      <c r="D1625" s="6"/>
      <c r="E1625" s="6"/>
      <c r="F1625" s="15"/>
      <c r="G1625" s="6"/>
      <c r="H1625" s="6"/>
      <c r="I1625" s="6"/>
      <c r="J1625" s="16"/>
      <c r="K1625" s="6"/>
      <c r="L1625" s="16"/>
      <c r="M1625" s="23"/>
      <c r="N1625" s="15"/>
      <c r="O1625" s="23"/>
      <c r="P1625" s="21"/>
      <c r="Q1625" s="6"/>
      <c r="R1625" s="6"/>
      <c r="S1625" s="20"/>
      <c r="T1625" s="6"/>
      <c r="U1625" s="21"/>
      <c r="W1625" s="20"/>
      <c r="X1625" s="21"/>
      <c r="AD1625" s="23"/>
      <c r="AG1625" s="23"/>
    </row>
    <row r="1626" spans="2:33" ht="16">
      <c r="B1626" s="26" t="str">
        <f t="shared" si="7"/>
        <v/>
      </c>
      <c r="C1626" s="6"/>
      <c r="D1626" s="6"/>
      <c r="E1626" s="6"/>
      <c r="F1626" s="15"/>
      <c r="G1626" s="6"/>
      <c r="H1626" s="6"/>
      <c r="I1626" s="6"/>
      <c r="J1626" s="16"/>
      <c r="K1626" s="6"/>
      <c r="L1626" s="16"/>
      <c r="M1626" s="23"/>
      <c r="N1626" s="15"/>
      <c r="O1626" s="23"/>
      <c r="P1626" s="21"/>
      <c r="Q1626" s="6"/>
      <c r="R1626" s="6"/>
      <c r="S1626" s="20"/>
      <c r="T1626" s="6"/>
      <c r="U1626" s="21"/>
      <c r="W1626" s="20"/>
      <c r="X1626" s="21"/>
      <c r="AD1626" s="23"/>
      <c r="AG1626" s="23"/>
    </row>
    <row r="1627" spans="2:33" ht="16">
      <c r="B1627" s="26" t="str">
        <f t="shared" si="7"/>
        <v/>
      </c>
      <c r="C1627" s="6"/>
      <c r="D1627" s="6"/>
      <c r="E1627" s="6"/>
      <c r="F1627" s="15"/>
      <c r="G1627" s="6"/>
      <c r="H1627" s="6"/>
      <c r="I1627" s="6"/>
      <c r="J1627" s="16"/>
      <c r="K1627" s="6"/>
      <c r="L1627" s="16"/>
      <c r="M1627" s="23"/>
      <c r="N1627" s="15"/>
      <c r="O1627" s="23"/>
      <c r="P1627" s="21"/>
      <c r="Q1627" s="6"/>
      <c r="R1627" s="6"/>
      <c r="S1627" s="20"/>
      <c r="T1627" s="6"/>
      <c r="U1627" s="21"/>
      <c r="W1627" s="20"/>
      <c r="X1627" s="21"/>
      <c r="AG1627" s="17"/>
    </row>
    <row r="1628" spans="2:33" ht="16">
      <c r="B1628" s="26" t="str">
        <f t="shared" si="7"/>
        <v/>
      </c>
      <c r="C1628" s="6"/>
      <c r="D1628" s="6"/>
      <c r="E1628" s="6"/>
      <c r="F1628" s="15"/>
      <c r="G1628" s="6"/>
      <c r="H1628" s="6"/>
      <c r="I1628" s="6"/>
      <c r="J1628" s="16"/>
      <c r="K1628" s="6"/>
      <c r="L1628" s="16"/>
      <c r="M1628" s="17"/>
      <c r="N1628" s="15"/>
      <c r="O1628" s="23"/>
      <c r="P1628" s="21"/>
      <c r="Q1628" s="6"/>
      <c r="R1628" s="6"/>
      <c r="S1628" s="20"/>
      <c r="T1628" s="6"/>
      <c r="U1628" s="21"/>
      <c r="W1628" s="20"/>
      <c r="X1628" s="21"/>
      <c r="AD1628" s="17"/>
      <c r="AG1628" s="23"/>
    </row>
    <row r="1629" spans="2:33" ht="16">
      <c r="B1629" s="26" t="str">
        <f t="shared" si="7"/>
        <v/>
      </c>
      <c r="C1629" s="6"/>
      <c r="D1629" s="6"/>
      <c r="E1629" s="6"/>
      <c r="F1629" s="15"/>
      <c r="G1629" s="6"/>
      <c r="H1629" s="6"/>
      <c r="I1629" s="6"/>
      <c r="J1629" s="16"/>
      <c r="K1629" s="6"/>
      <c r="L1629" s="16"/>
      <c r="M1629" s="17"/>
      <c r="N1629" s="15"/>
      <c r="O1629" s="17"/>
      <c r="P1629" s="21"/>
      <c r="Q1629" s="6"/>
      <c r="R1629" s="6"/>
      <c r="S1629" s="20"/>
      <c r="T1629" s="6"/>
      <c r="U1629" s="21"/>
      <c r="W1629" s="20"/>
      <c r="X1629" s="21"/>
      <c r="AG1629" s="23"/>
    </row>
    <row r="1630" spans="2:33" ht="16">
      <c r="B1630" s="26" t="str">
        <f t="shared" si="7"/>
        <v/>
      </c>
      <c r="C1630" s="6"/>
      <c r="D1630" s="6"/>
      <c r="E1630" s="6"/>
      <c r="F1630" s="15"/>
      <c r="G1630" s="6"/>
      <c r="H1630" s="6"/>
      <c r="I1630" s="6"/>
      <c r="J1630" s="16"/>
      <c r="K1630" s="6"/>
      <c r="L1630" s="16"/>
      <c r="M1630" s="17"/>
      <c r="N1630" s="15"/>
      <c r="O1630" s="17"/>
      <c r="P1630" s="21"/>
      <c r="Q1630" s="6"/>
      <c r="R1630" s="6"/>
      <c r="S1630" s="20"/>
      <c r="T1630" s="6"/>
      <c r="U1630" s="21"/>
      <c r="W1630" s="20"/>
      <c r="X1630" s="21"/>
      <c r="AD1630" s="23"/>
      <c r="AG1630" s="23"/>
    </row>
    <row r="1631" spans="2:33" ht="16">
      <c r="B1631" s="26" t="str">
        <f t="shared" si="7"/>
        <v/>
      </c>
      <c r="C1631" s="6"/>
      <c r="D1631" s="6"/>
      <c r="E1631" s="6"/>
      <c r="F1631" s="15"/>
      <c r="G1631" s="6"/>
      <c r="H1631" s="6"/>
      <c r="I1631" s="6"/>
      <c r="J1631" s="16"/>
      <c r="K1631" s="6"/>
      <c r="L1631" s="16"/>
      <c r="M1631" s="23"/>
      <c r="N1631" s="15"/>
      <c r="O1631" s="23"/>
      <c r="P1631" s="21"/>
      <c r="Q1631" s="6"/>
      <c r="R1631" s="6"/>
      <c r="S1631" s="20"/>
      <c r="T1631" s="6"/>
      <c r="U1631" s="21"/>
      <c r="W1631" s="20"/>
      <c r="X1631" s="21"/>
      <c r="AG1631" s="23"/>
    </row>
    <row r="1632" spans="2:33" ht="16">
      <c r="B1632" s="26" t="str">
        <f t="shared" si="7"/>
        <v/>
      </c>
      <c r="C1632" s="6"/>
      <c r="D1632" s="6"/>
      <c r="E1632" s="6"/>
      <c r="F1632" s="15"/>
      <c r="G1632" s="6"/>
      <c r="H1632" s="6"/>
      <c r="I1632" s="6"/>
      <c r="J1632" s="16"/>
      <c r="K1632" s="6"/>
      <c r="L1632" s="16"/>
      <c r="M1632" s="23"/>
      <c r="N1632" s="15"/>
      <c r="O1632" s="23"/>
      <c r="P1632" s="21"/>
      <c r="Q1632" s="6"/>
      <c r="R1632" s="6"/>
      <c r="S1632" s="20"/>
      <c r="T1632" s="6"/>
      <c r="U1632" s="21"/>
      <c r="W1632" s="20"/>
      <c r="X1632" s="21"/>
      <c r="AG1632" s="23"/>
    </row>
    <row r="1633" spans="2:33" ht="16">
      <c r="B1633" s="26" t="str">
        <f t="shared" si="7"/>
        <v/>
      </c>
      <c r="C1633" s="6"/>
      <c r="D1633" s="6"/>
      <c r="E1633" s="6"/>
      <c r="F1633" s="15"/>
      <c r="G1633" s="6"/>
      <c r="H1633" s="6"/>
      <c r="I1633" s="6"/>
      <c r="J1633" s="16"/>
      <c r="K1633" s="6"/>
      <c r="L1633" s="16"/>
      <c r="M1633" s="23"/>
      <c r="N1633" s="15"/>
      <c r="O1633" s="23"/>
      <c r="P1633" s="21"/>
      <c r="Q1633" s="6"/>
      <c r="R1633" s="6"/>
      <c r="S1633" s="20"/>
      <c r="T1633" s="6"/>
      <c r="U1633" s="21"/>
      <c r="W1633" s="20"/>
      <c r="X1633" s="21"/>
      <c r="AG1633" s="17"/>
    </row>
    <row r="1634" spans="2:33" ht="16">
      <c r="B1634" s="26" t="str">
        <f t="shared" si="7"/>
        <v/>
      </c>
      <c r="C1634" s="6"/>
      <c r="D1634" s="6"/>
      <c r="E1634" s="6"/>
      <c r="F1634" s="15"/>
      <c r="G1634" s="6"/>
      <c r="H1634" s="6"/>
      <c r="I1634" s="6"/>
      <c r="J1634" s="16"/>
      <c r="K1634" s="6"/>
      <c r="L1634" s="16"/>
      <c r="M1634" s="23"/>
      <c r="N1634" s="15"/>
      <c r="O1634" s="23"/>
      <c r="P1634" s="21"/>
      <c r="Q1634" s="6"/>
      <c r="R1634" s="6"/>
      <c r="S1634" s="20"/>
      <c r="T1634" s="6"/>
      <c r="U1634" s="21"/>
      <c r="W1634" s="20"/>
      <c r="X1634" s="21"/>
      <c r="AG1634" s="23"/>
    </row>
    <row r="1635" spans="2:33" ht="16">
      <c r="B1635" s="26" t="str">
        <f t="shared" si="7"/>
        <v/>
      </c>
      <c r="C1635" s="6"/>
      <c r="D1635" s="6"/>
      <c r="E1635" s="6"/>
      <c r="F1635" s="15"/>
      <c r="G1635" s="6"/>
      <c r="H1635" s="6"/>
      <c r="I1635" s="6"/>
      <c r="J1635" s="16"/>
      <c r="K1635" s="6"/>
      <c r="L1635" s="16"/>
      <c r="M1635" s="23"/>
      <c r="N1635" s="15"/>
      <c r="O1635" s="23"/>
      <c r="P1635" s="21"/>
      <c r="Q1635" s="6"/>
      <c r="R1635" s="6"/>
      <c r="S1635" s="20"/>
      <c r="T1635" s="6"/>
      <c r="U1635" s="21"/>
      <c r="W1635" s="20"/>
      <c r="X1635" s="21"/>
      <c r="AD1635" s="23"/>
      <c r="AG1635" s="23"/>
    </row>
    <row r="1636" spans="2:33" ht="16">
      <c r="B1636" s="26" t="str">
        <f t="shared" si="7"/>
        <v/>
      </c>
      <c r="C1636" s="6"/>
      <c r="D1636" s="6"/>
      <c r="E1636" s="6"/>
      <c r="F1636" s="15"/>
      <c r="G1636" s="6"/>
      <c r="H1636" s="6"/>
      <c r="I1636" s="6"/>
      <c r="J1636" s="16"/>
      <c r="K1636" s="6"/>
      <c r="L1636" s="16"/>
      <c r="M1636" s="23"/>
      <c r="N1636" s="15"/>
      <c r="O1636" s="23"/>
      <c r="P1636" s="21"/>
      <c r="Q1636" s="6"/>
      <c r="R1636" s="6"/>
      <c r="S1636" s="20"/>
      <c r="T1636" s="6"/>
      <c r="U1636" s="21"/>
      <c r="W1636" s="20"/>
      <c r="X1636" s="21"/>
      <c r="AG1636" s="23"/>
    </row>
    <row r="1637" spans="2:33" ht="16">
      <c r="B1637" s="26" t="str">
        <f t="shared" si="7"/>
        <v/>
      </c>
      <c r="C1637" s="6"/>
      <c r="D1637" s="6"/>
      <c r="E1637" s="6"/>
      <c r="F1637" s="15"/>
      <c r="G1637" s="6"/>
      <c r="H1637" s="6"/>
      <c r="I1637" s="6"/>
      <c r="J1637" s="16"/>
      <c r="K1637" s="6"/>
      <c r="L1637" s="16"/>
      <c r="M1637" s="23"/>
      <c r="N1637" s="15"/>
      <c r="O1637" s="23"/>
      <c r="P1637" s="21"/>
      <c r="Q1637" s="6"/>
      <c r="R1637" s="6"/>
      <c r="S1637" s="20"/>
      <c r="T1637" s="6"/>
      <c r="U1637" s="21"/>
      <c r="W1637" s="20"/>
      <c r="X1637" s="21"/>
      <c r="AD1637" s="23"/>
      <c r="AG1637" s="23"/>
    </row>
    <row r="1638" spans="2:33" ht="16">
      <c r="B1638" s="26" t="str">
        <f t="shared" si="7"/>
        <v/>
      </c>
      <c r="C1638" s="6"/>
      <c r="D1638" s="6"/>
      <c r="E1638" s="6"/>
      <c r="F1638" s="15"/>
      <c r="G1638" s="6"/>
      <c r="H1638" s="6"/>
      <c r="I1638" s="6"/>
      <c r="J1638" s="16"/>
      <c r="K1638" s="6"/>
      <c r="L1638" s="16"/>
      <c r="M1638" s="23"/>
      <c r="N1638" s="15"/>
      <c r="O1638" s="23"/>
      <c r="P1638" s="21"/>
      <c r="Q1638" s="6"/>
      <c r="R1638" s="6"/>
      <c r="S1638" s="20"/>
      <c r="T1638" s="6"/>
      <c r="U1638" s="21"/>
      <c r="W1638" s="20"/>
      <c r="X1638" s="21"/>
      <c r="AG1638" s="23"/>
    </row>
    <row r="1639" spans="2:33" ht="16">
      <c r="B1639" s="26" t="str">
        <f t="shared" si="7"/>
        <v/>
      </c>
      <c r="C1639" s="6"/>
      <c r="D1639" s="6"/>
      <c r="E1639" s="6"/>
      <c r="F1639" s="15"/>
      <c r="G1639" s="6"/>
      <c r="H1639" s="6"/>
      <c r="I1639" s="6"/>
      <c r="J1639" s="16"/>
      <c r="K1639" s="6"/>
      <c r="L1639" s="16"/>
      <c r="M1639" s="23"/>
      <c r="N1639" s="15"/>
      <c r="O1639" s="23"/>
      <c r="P1639" s="21"/>
      <c r="Q1639" s="6"/>
      <c r="R1639" s="6"/>
      <c r="S1639" s="20"/>
      <c r="T1639" s="6"/>
      <c r="U1639" s="21"/>
      <c r="W1639" s="20"/>
      <c r="X1639" s="21"/>
      <c r="AG1639" s="23"/>
    </row>
    <row r="1640" spans="2:33" ht="16">
      <c r="B1640" s="26" t="str">
        <f t="shared" si="7"/>
        <v/>
      </c>
      <c r="C1640" s="6"/>
      <c r="D1640" s="6"/>
      <c r="E1640" s="6"/>
      <c r="F1640" s="15"/>
      <c r="G1640" s="6"/>
      <c r="H1640" s="6"/>
      <c r="I1640" s="6"/>
      <c r="J1640" s="16"/>
      <c r="K1640" s="6"/>
      <c r="L1640" s="16"/>
      <c r="M1640" s="23"/>
      <c r="N1640" s="15"/>
      <c r="O1640" s="23"/>
      <c r="P1640" s="21"/>
      <c r="Q1640" s="6"/>
      <c r="R1640" s="6"/>
      <c r="S1640" s="20"/>
      <c r="T1640" s="6"/>
      <c r="U1640" s="21"/>
      <c r="W1640" s="20"/>
      <c r="X1640" s="21"/>
      <c r="AG1640" s="23"/>
    </row>
    <row r="1641" spans="2:33" ht="16">
      <c r="B1641" s="26" t="str">
        <f t="shared" si="7"/>
        <v/>
      </c>
      <c r="C1641" s="6"/>
      <c r="D1641" s="6"/>
      <c r="E1641" s="6"/>
      <c r="F1641" s="15"/>
      <c r="G1641" s="6"/>
      <c r="H1641" s="6"/>
      <c r="I1641" s="6"/>
      <c r="J1641" s="16"/>
      <c r="K1641" s="6"/>
      <c r="L1641" s="16"/>
      <c r="M1641" s="17"/>
      <c r="N1641" s="15"/>
      <c r="O1641" s="17"/>
      <c r="P1641" s="21"/>
      <c r="Q1641" s="6"/>
      <c r="R1641" s="6"/>
      <c r="S1641" s="20"/>
      <c r="T1641" s="6"/>
      <c r="U1641" s="21"/>
      <c r="W1641" s="20"/>
      <c r="X1641" s="21"/>
      <c r="AG1641" s="23"/>
    </row>
    <row r="1642" spans="2:33" ht="16">
      <c r="B1642" s="26" t="str">
        <f t="shared" si="7"/>
        <v/>
      </c>
      <c r="C1642" s="6"/>
      <c r="D1642" s="6"/>
      <c r="E1642" s="6"/>
      <c r="F1642" s="15"/>
      <c r="G1642" s="6"/>
      <c r="H1642" s="6"/>
      <c r="I1642" s="6"/>
      <c r="J1642" s="16"/>
      <c r="K1642" s="6"/>
      <c r="L1642" s="16"/>
      <c r="M1642" s="23"/>
      <c r="N1642" s="15"/>
      <c r="O1642" s="23"/>
      <c r="P1642" s="21"/>
      <c r="Q1642" s="6"/>
      <c r="R1642" s="6"/>
      <c r="S1642" s="20"/>
      <c r="T1642" s="6"/>
      <c r="U1642" s="21"/>
      <c r="W1642" s="20"/>
      <c r="X1642" s="21"/>
      <c r="AG1642" s="17"/>
    </row>
    <row r="1643" spans="2:33" ht="16">
      <c r="B1643" s="26" t="str">
        <f t="shared" si="7"/>
        <v/>
      </c>
      <c r="C1643" s="6"/>
      <c r="D1643" s="6"/>
      <c r="E1643" s="6"/>
      <c r="F1643" s="15"/>
      <c r="G1643" s="6"/>
      <c r="H1643" s="6"/>
      <c r="I1643" s="6"/>
      <c r="J1643" s="16"/>
      <c r="K1643" s="6"/>
      <c r="L1643" s="16"/>
      <c r="M1643" s="23"/>
      <c r="N1643" s="15"/>
      <c r="O1643" s="23"/>
      <c r="P1643" s="21"/>
      <c r="Q1643" s="6"/>
      <c r="R1643" s="6"/>
      <c r="S1643" s="20"/>
      <c r="T1643" s="6"/>
      <c r="U1643" s="21"/>
      <c r="W1643" s="20"/>
      <c r="X1643" s="21"/>
      <c r="AG1643" s="23"/>
    </row>
    <row r="1644" spans="2:33" ht="16">
      <c r="B1644" s="26" t="str">
        <f t="shared" si="7"/>
        <v/>
      </c>
      <c r="C1644" s="6"/>
      <c r="D1644" s="6"/>
      <c r="E1644" s="6"/>
      <c r="F1644" s="15"/>
      <c r="G1644" s="6"/>
      <c r="H1644" s="6"/>
      <c r="I1644" s="6"/>
      <c r="J1644" s="16"/>
      <c r="K1644" s="6"/>
      <c r="L1644" s="16"/>
      <c r="M1644" s="23"/>
      <c r="N1644" s="15"/>
      <c r="O1644" s="17"/>
      <c r="P1644" s="21"/>
      <c r="Q1644" s="6"/>
      <c r="R1644" s="6"/>
      <c r="S1644" s="20"/>
      <c r="T1644" s="6"/>
      <c r="U1644" s="21"/>
      <c r="W1644" s="20"/>
      <c r="X1644" s="21"/>
      <c r="AD1644" s="23"/>
      <c r="AG1644" s="17"/>
    </row>
    <row r="1645" spans="2:33" ht="16">
      <c r="B1645" s="26" t="str">
        <f t="shared" si="7"/>
        <v/>
      </c>
      <c r="C1645" s="6"/>
      <c r="D1645" s="6"/>
      <c r="E1645" s="6"/>
      <c r="F1645" s="15"/>
      <c r="G1645" s="6"/>
      <c r="H1645" s="6"/>
      <c r="I1645" s="6"/>
      <c r="J1645" s="16"/>
      <c r="K1645" s="6"/>
      <c r="L1645" s="16"/>
      <c r="M1645" s="17"/>
      <c r="N1645" s="15"/>
      <c r="O1645" s="17"/>
      <c r="P1645" s="21"/>
      <c r="Q1645" s="6"/>
      <c r="R1645" s="6"/>
      <c r="S1645" s="20"/>
      <c r="T1645" s="6"/>
      <c r="U1645" s="21"/>
      <c r="W1645" s="20"/>
      <c r="X1645" s="21"/>
      <c r="AG1645" s="17"/>
    </row>
    <row r="1646" spans="2:33" ht="16">
      <c r="B1646" s="26" t="str">
        <f t="shared" si="7"/>
        <v/>
      </c>
      <c r="C1646" s="6"/>
      <c r="D1646" s="6"/>
      <c r="E1646" s="6"/>
      <c r="F1646" s="15"/>
      <c r="G1646" s="6"/>
      <c r="H1646" s="6"/>
      <c r="I1646" s="6"/>
      <c r="J1646" s="16"/>
      <c r="K1646" s="6"/>
      <c r="L1646" s="16"/>
      <c r="M1646" s="17"/>
      <c r="N1646" s="15"/>
      <c r="O1646" s="17"/>
      <c r="P1646" s="21"/>
      <c r="Q1646" s="6"/>
      <c r="R1646" s="6"/>
      <c r="S1646" s="20"/>
      <c r="T1646" s="6"/>
      <c r="U1646" s="21"/>
      <c r="W1646" s="20"/>
      <c r="X1646" s="21"/>
      <c r="AG1646" s="23"/>
    </row>
    <row r="1647" spans="2:33" ht="16">
      <c r="B1647" s="26" t="str">
        <f t="shared" si="7"/>
        <v/>
      </c>
      <c r="C1647" s="6"/>
      <c r="D1647" s="6"/>
      <c r="E1647" s="6"/>
      <c r="F1647" s="15"/>
      <c r="G1647" s="6"/>
      <c r="H1647" s="6"/>
      <c r="I1647" s="6"/>
      <c r="J1647" s="16"/>
      <c r="K1647" s="6"/>
      <c r="L1647" s="16"/>
      <c r="M1647" s="23"/>
      <c r="N1647" s="15"/>
      <c r="O1647" s="23"/>
      <c r="P1647" s="21"/>
      <c r="Q1647" s="6"/>
      <c r="R1647" s="6"/>
      <c r="S1647" s="20"/>
      <c r="T1647" s="6"/>
      <c r="U1647" s="21"/>
      <c r="W1647" s="20"/>
      <c r="X1647" s="21"/>
      <c r="AG1647" s="23"/>
    </row>
    <row r="1648" spans="2:33" ht="16">
      <c r="B1648" s="26" t="str">
        <f t="shared" si="7"/>
        <v/>
      </c>
      <c r="C1648" s="6"/>
      <c r="D1648" s="6"/>
      <c r="E1648" s="6"/>
      <c r="F1648" s="15"/>
      <c r="G1648" s="6"/>
      <c r="H1648" s="6"/>
      <c r="I1648" s="6"/>
      <c r="J1648" s="16"/>
      <c r="K1648" s="6"/>
      <c r="L1648" s="16"/>
      <c r="M1648" s="17"/>
      <c r="N1648" s="15"/>
      <c r="O1648" s="17"/>
      <c r="P1648" s="21"/>
      <c r="Q1648" s="6"/>
      <c r="R1648" s="6"/>
      <c r="S1648" s="20"/>
      <c r="T1648" s="6"/>
      <c r="U1648" s="21"/>
      <c r="W1648" s="20"/>
      <c r="X1648" s="21"/>
      <c r="AD1648" s="17"/>
      <c r="AG1648" s="23"/>
    </row>
    <row r="1649" spans="2:33" ht="16">
      <c r="B1649" s="26" t="str">
        <f t="shared" si="7"/>
        <v/>
      </c>
      <c r="C1649" s="6"/>
      <c r="D1649" s="6"/>
      <c r="E1649" s="6"/>
      <c r="F1649" s="15"/>
      <c r="G1649" s="6"/>
      <c r="H1649" s="6"/>
      <c r="I1649" s="6"/>
      <c r="J1649" s="16"/>
      <c r="K1649" s="6"/>
      <c r="L1649" s="16"/>
      <c r="M1649" s="17"/>
      <c r="N1649" s="15"/>
      <c r="O1649" s="23"/>
      <c r="P1649" s="21"/>
      <c r="Q1649" s="6"/>
      <c r="R1649" s="6"/>
      <c r="S1649" s="20"/>
      <c r="T1649" s="6"/>
      <c r="U1649" s="21"/>
      <c r="W1649" s="20"/>
      <c r="X1649" s="21"/>
      <c r="AD1649" s="17"/>
      <c r="AG1649" s="23"/>
    </row>
    <row r="1650" spans="2:33" ht="16">
      <c r="B1650" s="26" t="str">
        <f t="shared" si="7"/>
        <v/>
      </c>
      <c r="C1650" s="6"/>
      <c r="D1650" s="6"/>
      <c r="E1650" s="6"/>
      <c r="F1650" s="15"/>
      <c r="G1650" s="6"/>
      <c r="H1650" s="6"/>
      <c r="I1650" s="6"/>
      <c r="J1650" s="16"/>
      <c r="K1650" s="6"/>
      <c r="L1650" s="16"/>
      <c r="M1650" s="23"/>
      <c r="N1650" s="15"/>
      <c r="O1650" s="23"/>
      <c r="P1650" s="21"/>
      <c r="Q1650" s="6"/>
      <c r="R1650" s="6"/>
      <c r="S1650" s="20"/>
      <c r="T1650" s="6"/>
      <c r="U1650" s="21"/>
      <c r="W1650" s="20"/>
      <c r="X1650" s="21"/>
      <c r="AD1650" s="17"/>
      <c r="AG1650" s="23"/>
    </row>
    <row r="1651" spans="2:33" ht="16">
      <c r="B1651" s="26" t="str">
        <f t="shared" si="7"/>
        <v/>
      </c>
      <c r="C1651" s="6"/>
      <c r="D1651" s="6"/>
      <c r="E1651" s="6"/>
      <c r="F1651" s="15"/>
      <c r="G1651" s="6"/>
      <c r="H1651" s="6"/>
      <c r="I1651" s="6"/>
      <c r="J1651" s="16"/>
      <c r="K1651" s="6"/>
      <c r="L1651" s="16"/>
      <c r="M1651" s="23"/>
      <c r="N1651" s="15"/>
      <c r="O1651" s="23"/>
      <c r="P1651" s="21"/>
      <c r="Q1651" s="6"/>
      <c r="R1651" s="6"/>
      <c r="S1651" s="20"/>
      <c r="T1651" s="6"/>
      <c r="U1651" s="21"/>
      <c r="W1651" s="20"/>
      <c r="X1651" s="21"/>
      <c r="AD1651" s="23"/>
      <c r="AG1651" s="17"/>
    </row>
    <row r="1652" spans="2:33" ht="16">
      <c r="B1652" s="26" t="str">
        <f t="shared" si="7"/>
        <v/>
      </c>
      <c r="C1652" s="6"/>
      <c r="D1652" s="6"/>
      <c r="E1652" s="6"/>
      <c r="F1652" s="15"/>
      <c r="G1652" s="6"/>
      <c r="H1652" s="6"/>
      <c r="I1652" s="6"/>
      <c r="J1652" s="16"/>
      <c r="K1652" s="6"/>
      <c r="L1652" s="16"/>
      <c r="M1652" s="17"/>
      <c r="N1652" s="15"/>
      <c r="O1652" s="17"/>
      <c r="P1652" s="21"/>
      <c r="Q1652" s="6"/>
      <c r="R1652" s="6"/>
      <c r="S1652" s="20"/>
      <c r="T1652" s="6"/>
      <c r="U1652" s="21"/>
      <c r="W1652" s="20"/>
      <c r="X1652" s="21"/>
      <c r="AD1652" s="17"/>
      <c r="AG1652" s="23"/>
    </row>
    <row r="1653" spans="2:33" ht="16">
      <c r="B1653" s="26" t="str">
        <f t="shared" si="7"/>
        <v/>
      </c>
      <c r="C1653" s="6"/>
      <c r="D1653" s="6"/>
      <c r="E1653" s="6"/>
      <c r="F1653" s="15"/>
      <c r="G1653" s="6"/>
      <c r="H1653" s="6"/>
      <c r="I1653" s="6"/>
      <c r="J1653" s="16"/>
      <c r="K1653" s="6"/>
      <c r="L1653" s="16"/>
      <c r="M1653" s="17"/>
      <c r="N1653" s="15"/>
      <c r="O1653" s="17"/>
      <c r="P1653" s="21"/>
      <c r="Q1653" s="6"/>
      <c r="R1653" s="6"/>
      <c r="S1653" s="20"/>
      <c r="T1653" s="6"/>
      <c r="U1653" s="21"/>
      <c r="W1653" s="20"/>
      <c r="X1653" s="21"/>
      <c r="AG1653" s="23"/>
    </row>
    <row r="1654" spans="2:33" ht="16">
      <c r="B1654" s="26" t="str">
        <f t="shared" si="7"/>
        <v/>
      </c>
      <c r="C1654" s="6"/>
      <c r="D1654" s="6"/>
      <c r="E1654" s="6"/>
      <c r="F1654" s="15"/>
      <c r="G1654" s="6"/>
      <c r="H1654" s="6"/>
      <c r="I1654" s="6"/>
      <c r="J1654" s="16"/>
      <c r="K1654" s="6"/>
      <c r="L1654" s="16"/>
      <c r="M1654" s="23"/>
      <c r="N1654" s="15"/>
      <c r="O1654" s="17"/>
      <c r="P1654" s="21"/>
      <c r="Q1654" s="6"/>
      <c r="R1654" s="6"/>
      <c r="S1654" s="20"/>
      <c r="T1654" s="6"/>
      <c r="U1654" s="21"/>
      <c r="W1654" s="20"/>
      <c r="X1654" s="21"/>
      <c r="AG1654" s="23"/>
    </row>
    <row r="1655" spans="2:33" ht="16">
      <c r="B1655" s="26" t="str">
        <f t="shared" si="7"/>
        <v/>
      </c>
      <c r="C1655" s="6"/>
      <c r="D1655" s="6"/>
      <c r="E1655" s="6"/>
      <c r="F1655" s="15"/>
      <c r="G1655" s="6"/>
      <c r="H1655" s="6"/>
      <c r="I1655" s="6"/>
      <c r="J1655" s="16"/>
      <c r="K1655" s="6"/>
      <c r="L1655" s="16"/>
      <c r="M1655" s="23"/>
      <c r="N1655" s="15"/>
      <c r="O1655" s="23"/>
      <c r="P1655" s="21"/>
      <c r="Q1655" s="6"/>
      <c r="R1655" s="6"/>
      <c r="S1655" s="20"/>
      <c r="T1655" s="6"/>
      <c r="U1655" s="21"/>
      <c r="W1655" s="20"/>
      <c r="X1655" s="21"/>
      <c r="AD1655" s="23"/>
      <c r="AG1655" s="23"/>
    </row>
    <row r="1656" spans="2:33" ht="16">
      <c r="B1656" s="26" t="str">
        <f t="shared" si="7"/>
        <v/>
      </c>
      <c r="C1656" s="6"/>
      <c r="D1656" s="6"/>
      <c r="E1656" s="6"/>
      <c r="F1656" s="15"/>
      <c r="G1656" s="6"/>
      <c r="H1656" s="6"/>
      <c r="I1656" s="6"/>
      <c r="J1656" s="16"/>
      <c r="K1656" s="6"/>
      <c r="L1656" s="16"/>
      <c r="M1656" s="17"/>
      <c r="N1656" s="15"/>
      <c r="O1656" s="23"/>
      <c r="P1656" s="21"/>
      <c r="Q1656" s="6"/>
      <c r="R1656" s="6"/>
      <c r="S1656" s="20"/>
      <c r="T1656" s="6"/>
      <c r="U1656" s="21"/>
      <c r="W1656" s="20"/>
      <c r="X1656" s="21"/>
      <c r="AG1656" s="23"/>
    </row>
    <row r="1657" spans="2:33" ht="16">
      <c r="B1657" s="26" t="str">
        <f t="shared" si="7"/>
        <v/>
      </c>
      <c r="C1657" s="6"/>
      <c r="D1657" s="6"/>
      <c r="E1657" s="6"/>
      <c r="F1657" s="15"/>
      <c r="G1657" s="6"/>
      <c r="H1657" s="6"/>
      <c r="I1657" s="6"/>
      <c r="J1657" s="16"/>
      <c r="K1657" s="6"/>
      <c r="L1657" s="16"/>
      <c r="M1657" s="23"/>
      <c r="N1657" s="15"/>
      <c r="O1657" s="23"/>
      <c r="P1657" s="21"/>
      <c r="Q1657" s="6"/>
      <c r="R1657" s="6"/>
      <c r="S1657" s="20"/>
      <c r="T1657" s="6"/>
      <c r="U1657" s="21"/>
      <c r="W1657" s="20"/>
      <c r="X1657" s="21"/>
      <c r="AG1657" s="23"/>
    </row>
    <row r="1658" spans="2:33" ht="16">
      <c r="B1658" s="26" t="str">
        <f t="shared" si="7"/>
        <v/>
      </c>
      <c r="C1658" s="6"/>
      <c r="D1658" s="6"/>
      <c r="E1658" s="6"/>
      <c r="F1658" s="15"/>
      <c r="G1658" s="6"/>
      <c r="H1658" s="6"/>
      <c r="I1658" s="6"/>
      <c r="J1658" s="16"/>
      <c r="K1658" s="6"/>
      <c r="L1658" s="16"/>
      <c r="M1658" s="23"/>
      <c r="N1658" s="15"/>
      <c r="O1658" s="17"/>
      <c r="P1658" s="21"/>
      <c r="Q1658" s="6"/>
      <c r="R1658" s="6"/>
      <c r="S1658" s="20"/>
      <c r="T1658" s="6"/>
      <c r="U1658" s="21"/>
      <c r="W1658" s="20"/>
      <c r="X1658" s="21"/>
      <c r="AD1658" s="23"/>
      <c r="AG1658" s="23"/>
    </row>
    <row r="1659" spans="2:33" ht="16">
      <c r="B1659" s="26" t="str">
        <f t="shared" si="7"/>
        <v/>
      </c>
      <c r="C1659" s="6"/>
      <c r="D1659" s="6"/>
      <c r="E1659" s="6"/>
      <c r="F1659" s="15"/>
      <c r="G1659" s="6"/>
      <c r="H1659" s="6"/>
      <c r="I1659" s="6"/>
      <c r="J1659" s="16"/>
      <c r="K1659" s="6"/>
      <c r="L1659" s="16"/>
      <c r="M1659" s="23"/>
      <c r="N1659" s="15"/>
      <c r="O1659" s="23"/>
      <c r="P1659" s="21"/>
      <c r="Q1659" s="6"/>
      <c r="R1659" s="6"/>
      <c r="S1659" s="20"/>
      <c r="T1659" s="6"/>
      <c r="U1659" s="21"/>
      <c r="W1659" s="20"/>
      <c r="X1659" s="21"/>
      <c r="AD1659" s="23"/>
      <c r="AG1659" s="23"/>
    </row>
    <row r="1660" spans="2:33" ht="16">
      <c r="B1660" s="26" t="str">
        <f t="shared" si="7"/>
        <v/>
      </c>
      <c r="C1660" s="6"/>
      <c r="D1660" s="6"/>
      <c r="E1660" s="6"/>
      <c r="F1660" s="15"/>
      <c r="G1660" s="6"/>
      <c r="H1660" s="6"/>
      <c r="I1660" s="6"/>
      <c r="J1660" s="16"/>
      <c r="K1660" s="6"/>
      <c r="L1660" s="16"/>
      <c r="M1660" s="23"/>
      <c r="N1660" s="15"/>
      <c r="O1660" s="23"/>
      <c r="P1660" s="21"/>
      <c r="Q1660" s="6"/>
      <c r="R1660" s="6"/>
      <c r="S1660" s="20"/>
      <c r="T1660" s="6"/>
      <c r="U1660" s="21"/>
      <c r="W1660" s="20"/>
      <c r="X1660" s="21"/>
      <c r="AD1660" s="17"/>
      <c r="AG1660" s="23"/>
    </row>
    <row r="1661" spans="2:33" ht="16">
      <c r="B1661" s="26" t="str">
        <f t="shared" si="7"/>
        <v/>
      </c>
      <c r="C1661" s="6"/>
      <c r="D1661" s="6"/>
      <c r="E1661" s="6"/>
      <c r="F1661" s="15"/>
      <c r="G1661" s="6"/>
      <c r="H1661" s="6"/>
      <c r="I1661" s="6"/>
      <c r="J1661" s="16"/>
      <c r="K1661" s="6"/>
      <c r="L1661" s="16"/>
      <c r="M1661" s="23"/>
      <c r="N1661" s="15"/>
      <c r="O1661" s="17"/>
      <c r="P1661" s="21"/>
      <c r="Q1661" s="6"/>
      <c r="R1661" s="6"/>
      <c r="S1661" s="20"/>
      <c r="T1661" s="6"/>
      <c r="U1661" s="21"/>
      <c r="W1661" s="20"/>
      <c r="X1661" s="21"/>
      <c r="AG1661" s="23"/>
    </row>
    <row r="1662" spans="2:33" ht="16">
      <c r="B1662" s="26" t="str">
        <f t="shared" si="7"/>
        <v/>
      </c>
      <c r="C1662" s="6"/>
      <c r="D1662" s="6"/>
      <c r="E1662" s="6"/>
      <c r="F1662" s="15"/>
      <c r="G1662" s="6"/>
      <c r="H1662" s="6"/>
      <c r="I1662" s="6"/>
      <c r="J1662" s="16"/>
      <c r="K1662" s="6"/>
      <c r="L1662" s="16"/>
      <c r="M1662" s="17"/>
      <c r="N1662" s="15"/>
      <c r="O1662" s="17"/>
      <c r="P1662" s="21"/>
      <c r="Q1662" s="6"/>
      <c r="R1662" s="6"/>
      <c r="S1662" s="20"/>
      <c r="T1662" s="6"/>
      <c r="U1662" s="21"/>
      <c r="W1662" s="20"/>
      <c r="X1662" s="21"/>
      <c r="AG1662" s="17"/>
    </row>
    <row r="1663" spans="2:33" ht="16">
      <c r="B1663" s="26" t="str">
        <f t="shared" si="7"/>
        <v/>
      </c>
      <c r="C1663" s="6"/>
      <c r="D1663" s="6"/>
      <c r="E1663" s="6"/>
      <c r="F1663" s="15"/>
      <c r="G1663" s="6"/>
      <c r="H1663" s="6"/>
      <c r="I1663" s="6"/>
      <c r="J1663" s="16"/>
      <c r="K1663" s="6"/>
      <c r="L1663" s="16"/>
      <c r="M1663" s="17"/>
      <c r="N1663" s="15"/>
      <c r="O1663" s="17"/>
      <c r="P1663" s="21"/>
      <c r="Q1663" s="6"/>
      <c r="R1663" s="6"/>
      <c r="S1663" s="20"/>
      <c r="T1663" s="6"/>
      <c r="U1663" s="21"/>
      <c r="W1663" s="20"/>
      <c r="X1663" s="21"/>
      <c r="AG1663" s="17"/>
    </row>
    <row r="1664" spans="2:33" ht="16">
      <c r="B1664" s="26" t="str">
        <f t="shared" si="7"/>
        <v/>
      </c>
      <c r="C1664" s="6"/>
      <c r="D1664" s="6"/>
      <c r="E1664" s="6"/>
      <c r="F1664" s="15"/>
      <c r="G1664" s="6"/>
      <c r="H1664" s="6"/>
      <c r="I1664" s="6"/>
      <c r="J1664" s="16"/>
      <c r="K1664" s="6"/>
      <c r="L1664" s="16"/>
      <c r="M1664" s="17"/>
      <c r="N1664" s="15"/>
      <c r="O1664" s="17"/>
      <c r="P1664" s="21"/>
      <c r="Q1664" s="6"/>
      <c r="R1664" s="6"/>
      <c r="S1664" s="20"/>
      <c r="T1664" s="6"/>
      <c r="U1664" s="21"/>
      <c r="W1664" s="20"/>
      <c r="X1664" s="21"/>
      <c r="AG1664" s="23"/>
    </row>
    <row r="1665" spans="2:33" ht="16">
      <c r="B1665" s="26" t="str">
        <f t="shared" si="7"/>
        <v/>
      </c>
      <c r="C1665" s="6"/>
      <c r="D1665" s="6"/>
      <c r="E1665" s="6"/>
      <c r="F1665" s="15"/>
      <c r="G1665" s="6"/>
      <c r="H1665" s="6"/>
      <c r="I1665" s="6"/>
      <c r="J1665" s="16"/>
      <c r="K1665" s="6"/>
      <c r="L1665" s="16"/>
      <c r="M1665" s="17"/>
      <c r="N1665" s="15"/>
      <c r="O1665" s="17"/>
      <c r="P1665" s="21"/>
      <c r="Q1665" s="6"/>
      <c r="R1665" s="6"/>
      <c r="S1665" s="20"/>
      <c r="T1665" s="6"/>
      <c r="U1665" s="21"/>
      <c r="W1665" s="20"/>
      <c r="X1665" s="21"/>
      <c r="AG1665" s="23"/>
    </row>
    <row r="1666" spans="2:33" ht="16">
      <c r="B1666" s="26" t="str">
        <f t="shared" si="7"/>
        <v/>
      </c>
      <c r="C1666" s="6"/>
      <c r="D1666" s="6"/>
      <c r="E1666" s="6"/>
      <c r="F1666" s="15"/>
      <c r="G1666" s="6"/>
      <c r="H1666" s="6"/>
      <c r="I1666" s="6"/>
      <c r="J1666" s="16"/>
      <c r="K1666" s="6"/>
      <c r="L1666" s="16"/>
      <c r="M1666" s="23"/>
      <c r="N1666" s="15"/>
      <c r="O1666" s="17"/>
      <c r="P1666" s="21"/>
      <c r="Q1666" s="6"/>
      <c r="R1666" s="6"/>
      <c r="S1666" s="20"/>
      <c r="T1666" s="6"/>
      <c r="U1666" s="21"/>
      <c r="W1666" s="20"/>
      <c r="X1666" s="21"/>
      <c r="AG1666" s="23"/>
    </row>
    <row r="1667" spans="2:33" ht="16">
      <c r="B1667" s="26" t="str">
        <f t="shared" si="7"/>
        <v/>
      </c>
      <c r="C1667" s="6"/>
      <c r="D1667" s="6"/>
      <c r="E1667" s="6"/>
      <c r="F1667" s="15"/>
      <c r="G1667" s="6"/>
      <c r="H1667" s="6"/>
      <c r="I1667" s="6"/>
      <c r="J1667" s="16"/>
      <c r="K1667" s="6"/>
      <c r="L1667" s="16"/>
      <c r="M1667" s="17"/>
      <c r="N1667" s="15"/>
      <c r="O1667" s="17"/>
      <c r="P1667" s="21"/>
      <c r="Q1667" s="6"/>
      <c r="R1667" s="6"/>
      <c r="S1667" s="20"/>
      <c r="T1667" s="6"/>
      <c r="U1667" s="21"/>
      <c r="W1667" s="20"/>
      <c r="X1667" s="21"/>
      <c r="AG1667" s="17"/>
    </row>
    <row r="1668" spans="2:33" ht="16">
      <c r="B1668" s="26" t="str">
        <f t="shared" si="7"/>
        <v/>
      </c>
      <c r="C1668" s="6"/>
      <c r="D1668" s="6"/>
      <c r="E1668" s="6"/>
      <c r="F1668" s="15"/>
      <c r="G1668" s="6"/>
      <c r="H1668" s="6"/>
      <c r="I1668" s="6"/>
      <c r="J1668" s="16"/>
      <c r="K1668" s="6"/>
      <c r="L1668" s="16"/>
      <c r="M1668" s="23"/>
      <c r="N1668" s="15"/>
      <c r="O1668" s="17"/>
      <c r="P1668" s="21"/>
      <c r="Q1668" s="6"/>
      <c r="R1668" s="6"/>
      <c r="S1668" s="20"/>
      <c r="T1668" s="6"/>
      <c r="U1668" s="21"/>
      <c r="W1668" s="20"/>
      <c r="X1668" s="21"/>
      <c r="AG1668" s="23"/>
    </row>
    <row r="1669" spans="2:33" ht="16">
      <c r="B1669" s="26" t="str">
        <f t="shared" si="7"/>
        <v/>
      </c>
      <c r="C1669" s="6"/>
      <c r="D1669" s="6"/>
      <c r="E1669" s="6"/>
      <c r="F1669" s="15"/>
      <c r="G1669" s="6"/>
      <c r="H1669" s="6"/>
      <c r="I1669" s="6"/>
      <c r="J1669" s="16"/>
      <c r="K1669" s="6"/>
      <c r="L1669" s="16"/>
      <c r="M1669" s="17"/>
      <c r="N1669" s="15"/>
      <c r="O1669" s="17"/>
      <c r="P1669" s="21"/>
      <c r="Q1669" s="6"/>
      <c r="R1669" s="6"/>
      <c r="S1669" s="20"/>
      <c r="T1669" s="6"/>
      <c r="U1669" s="21"/>
      <c r="W1669" s="20"/>
      <c r="X1669" s="21"/>
      <c r="AG1669" s="23"/>
    </row>
    <row r="1670" spans="2:33" ht="16">
      <c r="B1670" s="26" t="str">
        <f t="shared" si="7"/>
        <v/>
      </c>
      <c r="C1670" s="6"/>
      <c r="D1670" s="6"/>
      <c r="E1670" s="6"/>
      <c r="F1670" s="15"/>
      <c r="G1670" s="6"/>
      <c r="H1670" s="6"/>
      <c r="I1670" s="6"/>
      <c r="J1670" s="16"/>
      <c r="K1670" s="6"/>
      <c r="L1670" s="16"/>
      <c r="M1670" s="23"/>
      <c r="N1670" s="15"/>
      <c r="O1670" s="17"/>
      <c r="P1670" s="21"/>
      <c r="Q1670" s="6"/>
      <c r="R1670" s="6"/>
      <c r="S1670" s="20"/>
      <c r="T1670" s="6"/>
      <c r="U1670" s="21"/>
      <c r="W1670" s="20"/>
      <c r="X1670" s="21"/>
      <c r="AG1670" s="17"/>
    </row>
    <row r="1671" spans="2:33" ht="16">
      <c r="B1671" s="26" t="str">
        <f t="shared" si="7"/>
        <v/>
      </c>
      <c r="C1671" s="6"/>
      <c r="D1671" s="6"/>
      <c r="E1671" s="6"/>
      <c r="F1671" s="15"/>
      <c r="G1671" s="6"/>
      <c r="H1671" s="6"/>
      <c r="I1671" s="6"/>
      <c r="J1671" s="16"/>
      <c r="K1671" s="6"/>
      <c r="L1671" s="16"/>
      <c r="M1671" s="23"/>
      <c r="N1671" s="15"/>
      <c r="O1671" s="17"/>
      <c r="P1671" s="21"/>
      <c r="Q1671" s="6"/>
      <c r="R1671" s="6"/>
      <c r="S1671" s="20"/>
      <c r="T1671" s="6"/>
      <c r="U1671" s="21"/>
      <c r="W1671" s="20"/>
      <c r="X1671" s="21"/>
      <c r="AG1671" s="23"/>
    </row>
    <row r="1672" spans="2:33" ht="16">
      <c r="B1672" s="26" t="str">
        <f t="shared" si="7"/>
        <v/>
      </c>
      <c r="C1672" s="6"/>
      <c r="D1672" s="6"/>
      <c r="E1672" s="6"/>
      <c r="F1672" s="15"/>
      <c r="G1672" s="6"/>
      <c r="H1672" s="6"/>
      <c r="I1672" s="6"/>
      <c r="J1672" s="16"/>
      <c r="K1672" s="6"/>
      <c r="L1672" s="16"/>
      <c r="M1672" s="17"/>
      <c r="N1672" s="15"/>
      <c r="O1672" s="17"/>
      <c r="P1672" s="21"/>
      <c r="Q1672" s="6"/>
      <c r="R1672" s="6"/>
      <c r="S1672" s="20"/>
      <c r="T1672" s="6"/>
      <c r="U1672" s="21"/>
      <c r="W1672" s="20"/>
      <c r="X1672" s="21"/>
      <c r="AG1672" s="17"/>
    </row>
    <row r="1673" spans="2:33" ht="16">
      <c r="B1673" s="26" t="str">
        <f t="shared" si="7"/>
        <v/>
      </c>
      <c r="C1673" s="6"/>
      <c r="D1673" s="6"/>
      <c r="E1673" s="6"/>
      <c r="F1673" s="15"/>
      <c r="G1673" s="6"/>
      <c r="H1673" s="6"/>
      <c r="I1673" s="6"/>
      <c r="J1673" s="16"/>
      <c r="K1673" s="6"/>
      <c r="L1673" s="16"/>
      <c r="M1673" s="17"/>
      <c r="N1673" s="15"/>
      <c r="O1673" s="17"/>
      <c r="P1673" s="21"/>
      <c r="Q1673" s="6"/>
      <c r="R1673" s="6"/>
      <c r="S1673" s="20"/>
      <c r="T1673" s="6"/>
      <c r="U1673" s="21"/>
      <c r="W1673" s="20"/>
      <c r="X1673" s="21"/>
      <c r="AG1673" s="23"/>
    </row>
    <row r="1674" spans="2:33" ht="16">
      <c r="B1674" s="26" t="str">
        <f t="shared" si="7"/>
        <v/>
      </c>
      <c r="C1674" s="6"/>
      <c r="D1674" s="6"/>
      <c r="E1674" s="6"/>
      <c r="F1674" s="15"/>
      <c r="G1674" s="6"/>
      <c r="H1674" s="6"/>
      <c r="I1674" s="6"/>
      <c r="J1674" s="16"/>
      <c r="K1674" s="6"/>
      <c r="L1674" s="16"/>
      <c r="M1674" s="23"/>
      <c r="N1674" s="15"/>
      <c r="O1674" s="17"/>
      <c r="P1674" s="21"/>
      <c r="Q1674" s="6"/>
      <c r="R1674" s="6"/>
      <c r="S1674" s="20"/>
      <c r="T1674" s="6"/>
      <c r="U1674" s="21"/>
      <c r="W1674" s="20"/>
      <c r="X1674" s="21"/>
      <c r="AG1674" s="23"/>
    </row>
    <row r="1675" spans="2:33" ht="16">
      <c r="B1675" s="26" t="str">
        <f t="shared" si="7"/>
        <v/>
      </c>
      <c r="C1675" s="6"/>
      <c r="D1675" s="6"/>
      <c r="E1675" s="6"/>
      <c r="F1675" s="15"/>
      <c r="G1675" s="6"/>
      <c r="H1675" s="6"/>
      <c r="I1675" s="6"/>
      <c r="J1675" s="16"/>
      <c r="K1675" s="6"/>
      <c r="L1675" s="16"/>
      <c r="M1675" s="17"/>
      <c r="N1675" s="15"/>
      <c r="O1675" s="17"/>
      <c r="P1675" s="21"/>
      <c r="Q1675" s="6"/>
      <c r="R1675" s="6"/>
      <c r="S1675" s="20"/>
      <c r="T1675" s="6"/>
      <c r="U1675" s="21"/>
      <c r="W1675" s="20"/>
      <c r="X1675" s="21"/>
      <c r="AD1675" s="23"/>
      <c r="AG1675" s="23"/>
    </row>
    <row r="1676" spans="2:33" ht="16">
      <c r="B1676" s="26" t="str">
        <f t="shared" si="7"/>
        <v/>
      </c>
      <c r="C1676" s="6"/>
      <c r="D1676" s="6"/>
      <c r="E1676" s="6"/>
      <c r="F1676" s="15"/>
      <c r="G1676" s="6"/>
      <c r="H1676" s="6"/>
      <c r="I1676" s="6"/>
      <c r="J1676" s="16"/>
      <c r="K1676" s="6"/>
      <c r="L1676" s="16"/>
      <c r="M1676" s="17"/>
      <c r="N1676" s="15"/>
      <c r="O1676" s="17"/>
      <c r="P1676" s="21"/>
      <c r="Q1676" s="6"/>
      <c r="R1676" s="6"/>
      <c r="S1676" s="20"/>
      <c r="T1676" s="6"/>
      <c r="U1676" s="21"/>
      <c r="W1676" s="20"/>
      <c r="X1676" s="21"/>
      <c r="AG1676" s="23"/>
    </row>
    <row r="1677" spans="2:33" ht="16">
      <c r="B1677" s="26" t="str">
        <f t="shared" si="7"/>
        <v/>
      </c>
      <c r="C1677" s="6"/>
      <c r="D1677" s="6"/>
      <c r="E1677" s="6"/>
      <c r="F1677" s="15"/>
      <c r="G1677" s="6"/>
      <c r="H1677" s="6"/>
      <c r="I1677" s="6"/>
      <c r="J1677" s="16"/>
      <c r="K1677" s="6"/>
      <c r="L1677" s="16"/>
      <c r="M1677" s="17"/>
      <c r="N1677" s="15"/>
      <c r="O1677" s="17"/>
      <c r="P1677" s="21"/>
      <c r="Q1677" s="6"/>
      <c r="R1677" s="6"/>
      <c r="S1677" s="20"/>
      <c r="T1677" s="6"/>
      <c r="U1677" s="21"/>
      <c r="W1677" s="20"/>
      <c r="X1677" s="21"/>
      <c r="AG1677" s="23"/>
    </row>
    <row r="1678" spans="2:33" ht="16">
      <c r="B1678" s="26" t="str">
        <f t="shared" si="7"/>
        <v/>
      </c>
      <c r="C1678" s="6"/>
      <c r="D1678" s="6"/>
      <c r="E1678" s="6"/>
      <c r="F1678" s="15"/>
      <c r="G1678" s="6"/>
      <c r="H1678" s="6"/>
      <c r="I1678" s="6"/>
      <c r="J1678" s="16"/>
      <c r="K1678" s="6"/>
      <c r="L1678" s="16"/>
      <c r="M1678" s="17"/>
      <c r="N1678" s="15"/>
      <c r="O1678" s="17"/>
      <c r="P1678" s="21"/>
      <c r="Q1678" s="6"/>
      <c r="R1678" s="6"/>
      <c r="S1678" s="20"/>
      <c r="T1678" s="6"/>
      <c r="U1678" s="21"/>
      <c r="W1678" s="20"/>
      <c r="X1678" s="21"/>
      <c r="AG1678" s="23"/>
    </row>
    <row r="1679" spans="2:33" ht="16">
      <c r="B1679" s="26" t="str">
        <f t="shared" si="7"/>
        <v/>
      </c>
      <c r="C1679" s="6"/>
      <c r="D1679" s="6"/>
      <c r="E1679" s="6"/>
      <c r="F1679" s="15"/>
      <c r="G1679" s="6"/>
      <c r="H1679" s="6"/>
      <c r="I1679" s="6"/>
      <c r="J1679" s="16"/>
      <c r="K1679" s="6"/>
      <c r="L1679" s="16"/>
      <c r="M1679" s="17"/>
      <c r="N1679" s="15"/>
      <c r="O1679" s="17"/>
      <c r="P1679" s="21"/>
      <c r="Q1679" s="6"/>
      <c r="R1679" s="6"/>
      <c r="S1679" s="20"/>
      <c r="T1679" s="6"/>
      <c r="U1679" s="21"/>
      <c r="W1679" s="20"/>
      <c r="X1679" s="21"/>
      <c r="AG1679" s="17"/>
    </row>
    <row r="1680" spans="2:33" ht="16">
      <c r="B1680" s="26" t="str">
        <f t="shared" si="7"/>
        <v/>
      </c>
      <c r="C1680" s="23"/>
      <c r="D1680" s="6"/>
      <c r="E1680" s="6"/>
      <c r="F1680" s="15"/>
      <c r="G1680" s="6"/>
      <c r="H1680" s="6"/>
      <c r="I1680" s="6"/>
      <c r="J1680" s="16"/>
      <c r="K1680" s="6"/>
      <c r="L1680" s="16"/>
      <c r="M1680" s="17"/>
      <c r="N1680" s="15"/>
      <c r="O1680" s="17"/>
      <c r="P1680" s="21"/>
      <c r="Q1680" s="6"/>
      <c r="R1680" s="6"/>
      <c r="S1680" s="20"/>
      <c r="T1680" s="6"/>
      <c r="U1680" s="21"/>
      <c r="W1680" s="20"/>
      <c r="X1680" s="21"/>
      <c r="AG1680" s="23"/>
    </row>
    <row r="1681" spans="2:33" ht="16">
      <c r="B1681" s="26" t="str">
        <f t="shared" si="7"/>
        <v/>
      </c>
      <c r="C1681" s="6"/>
      <c r="D1681" s="6"/>
      <c r="E1681" s="6"/>
      <c r="F1681" s="15"/>
      <c r="G1681" s="6"/>
      <c r="H1681" s="6"/>
      <c r="I1681" s="6"/>
      <c r="J1681" s="16"/>
      <c r="K1681" s="6"/>
      <c r="L1681" s="16"/>
      <c r="M1681" s="17"/>
      <c r="N1681" s="15"/>
      <c r="O1681" s="17"/>
      <c r="P1681" s="21"/>
      <c r="Q1681" s="6"/>
      <c r="R1681" s="6"/>
      <c r="S1681" s="20"/>
      <c r="T1681" s="6"/>
      <c r="U1681" s="21"/>
      <c r="W1681" s="20"/>
      <c r="X1681" s="21"/>
      <c r="AG1681" s="23"/>
    </row>
    <row r="1682" spans="2:33" ht="16">
      <c r="B1682" s="26" t="str">
        <f t="shared" si="7"/>
        <v/>
      </c>
      <c r="C1682" s="6"/>
      <c r="D1682" s="6"/>
      <c r="E1682" s="6"/>
      <c r="F1682" s="15"/>
      <c r="G1682" s="6"/>
      <c r="H1682" s="6"/>
      <c r="I1682" s="6"/>
      <c r="J1682" s="16"/>
      <c r="K1682" s="6"/>
      <c r="L1682" s="16"/>
      <c r="M1682" s="23"/>
      <c r="N1682" s="15"/>
      <c r="O1682" s="17"/>
      <c r="P1682" s="21"/>
      <c r="Q1682" s="6"/>
      <c r="R1682" s="6"/>
      <c r="S1682" s="20"/>
      <c r="T1682" s="6"/>
      <c r="U1682" s="21"/>
      <c r="W1682" s="20"/>
      <c r="X1682" s="21"/>
      <c r="AG1682" s="23"/>
    </row>
    <row r="1683" spans="2:33" ht="16">
      <c r="B1683" s="26" t="str">
        <f t="shared" si="7"/>
        <v/>
      </c>
      <c r="C1683" s="6"/>
      <c r="D1683" s="6"/>
      <c r="E1683" s="6"/>
      <c r="F1683" s="15"/>
      <c r="G1683" s="6"/>
      <c r="H1683" s="6"/>
      <c r="I1683" s="6"/>
      <c r="J1683" s="16"/>
      <c r="K1683" s="6"/>
      <c r="L1683" s="16"/>
      <c r="M1683" s="17"/>
      <c r="N1683" s="15"/>
      <c r="O1683" s="17"/>
      <c r="P1683" s="21"/>
      <c r="Q1683" s="6"/>
      <c r="R1683" s="6"/>
      <c r="S1683" s="20"/>
      <c r="T1683" s="6"/>
      <c r="U1683" s="21"/>
      <c r="W1683" s="20"/>
      <c r="X1683" s="21"/>
      <c r="AG1683" s="17"/>
    </row>
    <row r="1684" spans="2:33" ht="16">
      <c r="B1684" s="26" t="str">
        <f t="shared" si="7"/>
        <v/>
      </c>
      <c r="C1684" s="6"/>
      <c r="D1684" s="6"/>
      <c r="E1684" s="6"/>
      <c r="F1684" s="15"/>
      <c r="G1684" s="6"/>
      <c r="H1684" s="6"/>
      <c r="I1684" s="6"/>
      <c r="J1684" s="16"/>
      <c r="K1684" s="6"/>
      <c r="L1684" s="16"/>
      <c r="M1684" s="17"/>
      <c r="N1684" s="15"/>
      <c r="O1684" s="17"/>
      <c r="P1684" s="21"/>
      <c r="Q1684" s="6"/>
      <c r="R1684" s="6"/>
      <c r="S1684" s="20"/>
      <c r="T1684" s="6"/>
      <c r="U1684" s="21"/>
      <c r="W1684" s="20"/>
      <c r="X1684" s="21"/>
      <c r="AD1684" s="23"/>
      <c r="AG1684" s="23"/>
    </row>
    <row r="1685" spans="2:33" ht="16">
      <c r="B1685" s="26" t="str">
        <f t="shared" si="7"/>
        <v/>
      </c>
      <c r="C1685" s="6"/>
      <c r="D1685" s="6"/>
      <c r="E1685" s="6"/>
      <c r="F1685" s="15"/>
      <c r="G1685" s="6"/>
      <c r="H1685" s="6"/>
      <c r="I1685" s="6"/>
      <c r="J1685" s="16"/>
      <c r="K1685" s="6"/>
      <c r="L1685" s="16"/>
      <c r="M1685" s="17"/>
      <c r="N1685" s="15"/>
      <c r="O1685" s="17"/>
      <c r="P1685" s="21"/>
      <c r="Q1685" s="6"/>
      <c r="R1685" s="6"/>
      <c r="S1685" s="20"/>
      <c r="T1685" s="6"/>
      <c r="U1685" s="21"/>
      <c r="W1685" s="20"/>
      <c r="X1685" s="21"/>
      <c r="AG1685" s="17"/>
    </row>
    <row r="1686" spans="2:33" ht="16">
      <c r="B1686" s="26" t="str">
        <f t="shared" si="7"/>
        <v/>
      </c>
      <c r="C1686" s="6"/>
      <c r="D1686" s="6"/>
      <c r="E1686" s="6"/>
      <c r="F1686" s="15"/>
      <c r="G1686" s="6"/>
      <c r="H1686" s="6"/>
      <c r="I1686" s="6"/>
      <c r="J1686" s="16"/>
      <c r="K1686" s="6"/>
      <c r="L1686" s="16"/>
      <c r="M1686" s="17"/>
      <c r="N1686" s="15"/>
      <c r="O1686" s="17"/>
      <c r="P1686" s="21"/>
      <c r="Q1686" s="6"/>
      <c r="R1686" s="6"/>
      <c r="S1686" s="20"/>
      <c r="T1686" s="6"/>
      <c r="U1686" s="21"/>
      <c r="W1686" s="20"/>
      <c r="X1686" s="21"/>
      <c r="AG1686" s="23"/>
    </row>
    <row r="1687" spans="2:33" ht="16">
      <c r="B1687" s="26" t="str">
        <f t="shared" si="7"/>
        <v/>
      </c>
      <c r="C1687" s="6"/>
      <c r="D1687" s="6"/>
      <c r="E1687" s="6"/>
      <c r="F1687" s="15"/>
      <c r="G1687" s="6"/>
      <c r="H1687" s="6"/>
      <c r="I1687" s="6"/>
      <c r="J1687" s="16"/>
      <c r="K1687" s="6"/>
      <c r="L1687" s="16"/>
      <c r="M1687" s="17"/>
      <c r="N1687" s="15"/>
      <c r="O1687" s="17"/>
      <c r="P1687" s="21"/>
      <c r="Q1687" s="6"/>
      <c r="R1687" s="6"/>
      <c r="S1687" s="20"/>
      <c r="T1687" s="6"/>
      <c r="U1687" s="21"/>
      <c r="W1687" s="20"/>
      <c r="X1687" s="21"/>
      <c r="AG1687" s="23"/>
    </row>
    <row r="1688" spans="2:33" ht="16">
      <c r="B1688" s="26" t="str">
        <f t="shared" si="7"/>
        <v/>
      </c>
      <c r="C1688" s="6"/>
      <c r="D1688" s="6"/>
      <c r="E1688" s="6"/>
      <c r="F1688" s="15"/>
      <c r="G1688" s="6"/>
      <c r="H1688" s="6"/>
      <c r="I1688" s="6"/>
      <c r="J1688" s="16"/>
      <c r="K1688" s="6"/>
      <c r="L1688" s="16"/>
      <c r="M1688" s="17"/>
      <c r="N1688" s="15"/>
      <c r="O1688" s="17"/>
      <c r="P1688" s="21"/>
      <c r="Q1688" s="6"/>
      <c r="R1688" s="6"/>
      <c r="S1688" s="20"/>
      <c r="T1688" s="6"/>
      <c r="U1688" s="21"/>
      <c r="W1688" s="20"/>
      <c r="X1688" s="21"/>
      <c r="AG1688" s="23"/>
    </row>
    <row r="1689" spans="2:33" ht="16">
      <c r="B1689" s="26" t="str">
        <f t="shared" si="7"/>
        <v/>
      </c>
      <c r="C1689" s="6"/>
      <c r="D1689" s="6"/>
      <c r="E1689" s="6"/>
      <c r="F1689" s="15"/>
      <c r="G1689" s="6"/>
      <c r="H1689" s="6"/>
      <c r="I1689" s="6"/>
      <c r="J1689" s="16"/>
      <c r="K1689" s="6"/>
      <c r="L1689" s="16"/>
      <c r="M1689" s="17"/>
      <c r="N1689" s="15"/>
      <c r="O1689" s="17"/>
      <c r="P1689" s="21"/>
      <c r="Q1689" s="6"/>
      <c r="R1689" s="6"/>
      <c r="S1689" s="20"/>
      <c r="T1689" s="6"/>
      <c r="U1689" s="21"/>
      <c r="W1689" s="20"/>
      <c r="X1689" s="21"/>
      <c r="AG1689" s="23"/>
    </row>
    <row r="1690" spans="2:33" ht="16">
      <c r="B1690" s="26" t="str">
        <f t="shared" si="7"/>
        <v/>
      </c>
      <c r="C1690" s="6"/>
      <c r="D1690" s="6"/>
      <c r="E1690" s="6"/>
      <c r="F1690" s="15"/>
      <c r="G1690" s="6"/>
      <c r="H1690" s="6"/>
      <c r="I1690" s="6"/>
      <c r="J1690" s="16"/>
      <c r="K1690" s="6"/>
      <c r="L1690" s="16"/>
      <c r="M1690" s="23"/>
      <c r="N1690" s="15"/>
      <c r="O1690" s="17"/>
      <c r="P1690" s="21"/>
      <c r="Q1690" s="6"/>
      <c r="R1690" s="6"/>
      <c r="S1690" s="20"/>
      <c r="T1690" s="6"/>
      <c r="U1690" s="21"/>
      <c r="W1690" s="20"/>
      <c r="X1690" s="21"/>
      <c r="AG1690" s="23"/>
    </row>
    <row r="1691" spans="2:33" ht="16">
      <c r="B1691" s="26" t="str">
        <f t="shared" si="7"/>
        <v/>
      </c>
      <c r="C1691" s="6"/>
      <c r="D1691" s="6"/>
      <c r="E1691" s="6"/>
      <c r="F1691" s="15"/>
      <c r="G1691" s="6"/>
      <c r="H1691" s="6"/>
      <c r="I1691" s="6"/>
      <c r="J1691" s="16"/>
      <c r="K1691" s="6"/>
      <c r="L1691" s="16"/>
      <c r="M1691" s="17"/>
      <c r="N1691" s="15"/>
      <c r="O1691" s="17"/>
      <c r="P1691" s="21"/>
      <c r="Q1691" s="6"/>
      <c r="R1691" s="6"/>
      <c r="S1691" s="20"/>
      <c r="T1691" s="6"/>
      <c r="U1691" s="21"/>
      <c r="W1691" s="20"/>
      <c r="X1691" s="21"/>
      <c r="AG1691" s="23"/>
    </row>
    <row r="1692" spans="2:33" ht="16">
      <c r="B1692" s="26" t="str">
        <f t="shared" si="7"/>
        <v/>
      </c>
      <c r="C1692" s="6"/>
      <c r="D1692" s="6"/>
      <c r="E1692" s="6"/>
      <c r="F1692" s="15"/>
      <c r="G1692" s="6"/>
      <c r="H1692" s="6"/>
      <c r="I1692" s="6"/>
      <c r="J1692" s="16"/>
      <c r="K1692" s="6"/>
      <c r="L1692" s="16"/>
      <c r="M1692" s="17"/>
      <c r="N1692" s="15"/>
      <c r="O1692" s="17"/>
      <c r="P1692" s="21"/>
      <c r="Q1692" s="6"/>
      <c r="R1692" s="6"/>
      <c r="S1692" s="20"/>
      <c r="T1692" s="6"/>
      <c r="U1692" s="21"/>
      <c r="W1692" s="20"/>
      <c r="X1692" s="21"/>
      <c r="AG1692" s="17"/>
    </row>
    <row r="1693" spans="2:33" ht="16">
      <c r="B1693" s="26" t="str">
        <f t="shared" si="7"/>
        <v/>
      </c>
      <c r="C1693" s="6"/>
      <c r="D1693" s="6"/>
      <c r="E1693" s="6"/>
      <c r="F1693" s="15"/>
      <c r="G1693" s="6"/>
      <c r="H1693" s="6"/>
      <c r="I1693" s="6"/>
      <c r="J1693" s="16"/>
      <c r="K1693" s="6"/>
      <c r="L1693" s="16"/>
      <c r="M1693" s="23"/>
      <c r="N1693" s="15"/>
      <c r="O1693" s="17"/>
      <c r="P1693" s="21"/>
      <c r="Q1693" s="6"/>
      <c r="R1693" s="6"/>
      <c r="S1693" s="20"/>
      <c r="T1693" s="6"/>
      <c r="U1693" s="21"/>
      <c r="W1693" s="20"/>
      <c r="X1693" s="21"/>
      <c r="AG1693" s="17"/>
    </row>
    <row r="1694" spans="2:33" ht="16">
      <c r="B1694" s="26" t="str">
        <f t="shared" si="7"/>
        <v/>
      </c>
      <c r="C1694" s="6"/>
      <c r="D1694" s="6"/>
      <c r="E1694" s="6"/>
      <c r="F1694" s="15"/>
      <c r="G1694" s="6"/>
      <c r="H1694" s="6"/>
      <c r="I1694" s="6"/>
      <c r="J1694" s="16"/>
      <c r="K1694" s="6"/>
      <c r="L1694" s="16"/>
      <c r="M1694" s="17"/>
      <c r="N1694" s="15"/>
      <c r="O1694" s="17"/>
      <c r="P1694" s="21"/>
      <c r="Q1694" s="6"/>
      <c r="R1694" s="6"/>
      <c r="S1694" s="20"/>
      <c r="T1694" s="6"/>
      <c r="U1694" s="21"/>
      <c r="W1694" s="20"/>
      <c r="X1694" s="21"/>
      <c r="AG1694" s="23"/>
    </row>
    <row r="1695" spans="2:33" ht="16">
      <c r="B1695" s="26" t="str">
        <f t="shared" si="7"/>
        <v/>
      </c>
      <c r="C1695" s="6"/>
      <c r="D1695" s="6"/>
      <c r="E1695" s="6"/>
      <c r="F1695" s="15"/>
      <c r="G1695" s="6"/>
      <c r="H1695" s="6"/>
      <c r="I1695" s="6"/>
      <c r="J1695" s="16"/>
      <c r="K1695" s="6"/>
      <c r="L1695" s="16"/>
      <c r="M1695" s="23"/>
      <c r="N1695" s="15"/>
      <c r="O1695" s="17"/>
      <c r="P1695" s="21"/>
      <c r="Q1695" s="6"/>
      <c r="R1695" s="6"/>
      <c r="S1695" s="20"/>
      <c r="T1695" s="6"/>
      <c r="U1695" s="21"/>
      <c r="W1695" s="20"/>
      <c r="X1695" s="21"/>
      <c r="AG1695" s="23"/>
    </row>
    <row r="1696" spans="2:33" ht="16">
      <c r="B1696" s="26" t="str">
        <f t="shared" si="7"/>
        <v/>
      </c>
      <c r="C1696" s="6"/>
      <c r="D1696" s="6"/>
      <c r="E1696" s="6"/>
      <c r="F1696" s="15"/>
      <c r="G1696" s="6"/>
      <c r="H1696" s="6"/>
      <c r="I1696" s="6"/>
      <c r="J1696" s="16"/>
      <c r="K1696" s="6"/>
      <c r="L1696" s="16"/>
      <c r="M1696" s="23"/>
      <c r="N1696" s="15"/>
      <c r="O1696" s="17"/>
      <c r="P1696" s="21"/>
      <c r="Q1696" s="6"/>
      <c r="R1696" s="6"/>
      <c r="S1696" s="20"/>
      <c r="T1696" s="6"/>
      <c r="U1696" s="21"/>
      <c r="W1696" s="20"/>
      <c r="X1696" s="21"/>
      <c r="AG1696" s="23"/>
    </row>
    <row r="1697" spans="2:33" ht="16">
      <c r="B1697" s="26" t="str">
        <f t="shared" si="7"/>
        <v/>
      </c>
      <c r="C1697" s="6"/>
      <c r="D1697" s="6"/>
      <c r="E1697" s="6"/>
      <c r="F1697" s="15"/>
      <c r="G1697" s="6"/>
      <c r="H1697" s="6"/>
      <c r="I1697" s="6"/>
      <c r="J1697" s="16"/>
      <c r="K1697" s="6"/>
      <c r="L1697" s="16"/>
      <c r="M1697" s="17"/>
      <c r="N1697" s="15"/>
      <c r="O1697" s="17"/>
      <c r="P1697" s="21"/>
      <c r="Q1697" s="6"/>
      <c r="R1697" s="6"/>
      <c r="S1697" s="20"/>
      <c r="T1697" s="6"/>
      <c r="U1697" s="21"/>
      <c r="W1697" s="20"/>
      <c r="X1697" s="21"/>
      <c r="AG1697" s="17"/>
    </row>
    <row r="1698" spans="2:33" ht="16">
      <c r="B1698" s="26" t="str">
        <f t="shared" si="7"/>
        <v/>
      </c>
      <c r="C1698" s="6"/>
      <c r="D1698" s="6"/>
      <c r="E1698" s="6"/>
      <c r="F1698" s="15"/>
      <c r="G1698" s="6"/>
      <c r="H1698" s="6"/>
      <c r="I1698" s="6"/>
      <c r="J1698" s="16"/>
      <c r="K1698" s="6"/>
      <c r="L1698" s="16"/>
      <c r="M1698" s="17"/>
      <c r="N1698" s="15"/>
      <c r="O1698" s="17"/>
      <c r="P1698" s="21"/>
      <c r="Q1698" s="6"/>
      <c r="R1698" s="6"/>
      <c r="S1698" s="20"/>
      <c r="T1698" s="6"/>
      <c r="U1698" s="21"/>
      <c r="W1698" s="20"/>
      <c r="X1698" s="21"/>
      <c r="AG1698" s="23"/>
    </row>
    <row r="1699" spans="2:33" ht="16">
      <c r="B1699" s="26" t="str">
        <f t="shared" si="7"/>
        <v/>
      </c>
      <c r="C1699" s="6"/>
      <c r="D1699" s="6"/>
      <c r="E1699" s="6"/>
      <c r="F1699" s="15"/>
      <c r="G1699" s="6"/>
      <c r="H1699" s="6"/>
      <c r="I1699" s="6"/>
      <c r="J1699" s="16"/>
      <c r="K1699" s="6"/>
      <c r="L1699" s="16"/>
      <c r="M1699" s="17"/>
      <c r="N1699" s="15"/>
      <c r="O1699" s="17"/>
      <c r="P1699" s="21"/>
      <c r="Q1699" s="6"/>
      <c r="R1699" s="6"/>
      <c r="S1699" s="20"/>
      <c r="T1699" s="6"/>
      <c r="U1699" s="21"/>
      <c r="W1699" s="20"/>
      <c r="X1699" s="21"/>
      <c r="AG1699" s="23"/>
    </row>
    <row r="1700" spans="2:33" ht="16">
      <c r="B1700" s="26" t="str">
        <f t="shared" si="7"/>
        <v/>
      </c>
      <c r="C1700" s="6"/>
      <c r="D1700" s="6"/>
      <c r="E1700" s="6"/>
      <c r="F1700" s="15"/>
      <c r="G1700" s="6"/>
      <c r="H1700" s="6"/>
      <c r="I1700" s="6"/>
      <c r="J1700" s="16"/>
      <c r="K1700" s="6"/>
      <c r="L1700" s="16"/>
      <c r="M1700" s="17"/>
      <c r="N1700" s="15"/>
      <c r="O1700" s="17"/>
      <c r="P1700" s="21"/>
      <c r="Q1700" s="6"/>
      <c r="R1700" s="6"/>
      <c r="S1700" s="20"/>
      <c r="T1700" s="6"/>
      <c r="U1700" s="21"/>
      <c r="W1700" s="20"/>
      <c r="X1700" s="21"/>
      <c r="AG1700" s="23"/>
    </row>
    <row r="1701" spans="2:33" ht="16">
      <c r="B1701" s="26" t="str">
        <f t="shared" si="7"/>
        <v/>
      </c>
      <c r="C1701" s="6"/>
      <c r="D1701" s="6"/>
      <c r="E1701" s="6"/>
      <c r="F1701" s="15"/>
      <c r="G1701" s="6"/>
      <c r="H1701" s="6"/>
      <c r="I1701" s="6"/>
      <c r="J1701" s="16"/>
      <c r="K1701" s="6"/>
      <c r="L1701" s="16"/>
      <c r="M1701" s="17"/>
      <c r="N1701" s="15"/>
      <c r="O1701" s="17"/>
      <c r="P1701" s="21"/>
      <c r="Q1701" s="6"/>
      <c r="R1701" s="6"/>
      <c r="S1701" s="20"/>
      <c r="T1701" s="6"/>
      <c r="U1701" s="21"/>
      <c r="W1701" s="20"/>
      <c r="X1701" s="21"/>
      <c r="AG1701" s="23"/>
    </row>
    <row r="1702" spans="2:33" ht="16">
      <c r="B1702" s="26" t="str">
        <f t="shared" si="7"/>
        <v/>
      </c>
      <c r="C1702" s="6"/>
      <c r="D1702" s="6"/>
      <c r="E1702" s="6"/>
      <c r="F1702" s="15"/>
      <c r="G1702" s="6"/>
      <c r="H1702" s="6"/>
      <c r="I1702" s="6"/>
      <c r="J1702" s="16"/>
      <c r="K1702" s="6"/>
      <c r="L1702" s="16"/>
      <c r="M1702" s="17"/>
      <c r="N1702" s="15"/>
      <c r="O1702" s="17"/>
      <c r="P1702" s="21"/>
      <c r="Q1702" s="6"/>
      <c r="R1702" s="6"/>
      <c r="S1702" s="20"/>
      <c r="T1702" s="6"/>
      <c r="U1702" s="21"/>
      <c r="W1702" s="20"/>
      <c r="X1702" s="21"/>
      <c r="AG1702" s="23"/>
    </row>
    <row r="1703" spans="2:33" ht="16">
      <c r="B1703" s="26" t="str">
        <f t="shared" si="7"/>
        <v/>
      </c>
      <c r="C1703" s="6"/>
      <c r="D1703" s="6"/>
      <c r="E1703" s="6"/>
      <c r="F1703" s="15"/>
      <c r="G1703" s="6"/>
      <c r="H1703" s="6"/>
      <c r="I1703" s="6"/>
      <c r="J1703" s="16"/>
      <c r="K1703" s="6"/>
      <c r="L1703" s="16"/>
      <c r="M1703" s="17"/>
      <c r="N1703" s="15"/>
      <c r="O1703" s="17"/>
      <c r="P1703" s="21"/>
      <c r="Q1703" s="6"/>
      <c r="R1703" s="6"/>
      <c r="S1703" s="20"/>
      <c r="T1703" s="6"/>
      <c r="U1703" s="21"/>
      <c r="W1703" s="20"/>
      <c r="X1703" s="21"/>
      <c r="AG1703" s="23"/>
    </row>
    <row r="1704" spans="2:33" ht="16">
      <c r="B1704" s="26" t="str">
        <f t="shared" si="7"/>
        <v/>
      </c>
      <c r="C1704" s="6"/>
      <c r="D1704" s="6"/>
      <c r="E1704" s="6"/>
      <c r="F1704" s="15"/>
      <c r="G1704" s="6"/>
      <c r="H1704" s="6"/>
      <c r="I1704" s="6"/>
      <c r="J1704" s="16"/>
      <c r="K1704" s="6"/>
      <c r="L1704" s="16"/>
      <c r="M1704" s="17"/>
      <c r="N1704" s="15"/>
      <c r="O1704" s="17"/>
      <c r="P1704" s="21"/>
      <c r="Q1704" s="6"/>
      <c r="R1704" s="6"/>
      <c r="S1704" s="20"/>
      <c r="T1704" s="6"/>
      <c r="U1704" s="21"/>
      <c r="W1704" s="20"/>
      <c r="X1704" s="21"/>
      <c r="AG1704" s="23"/>
    </row>
    <row r="1705" spans="2:33" ht="16">
      <c r="B1705" s="26" t="str">
        <f t="shared" si="7"/>
        <v/>
      </c>
      <c r="C1705" s="6"/>
      <c r="D1705" s="6"/>
      <c r="E1705" s="6"/>
      <c r="F1705" s="15"/>
      <c r="G1705" s="6"/>
      <c r="H1705" s="6"/>
      <c r="I1705" s="6"/>
      <c r="J1705" s="16"/>
      <c r="K1705" s="6"/>
      <c r="L1705" s="16"/>
      <c r="M1705" s="23"/>
      <c r="N1705" s="15"/>
      <c r="O1705" s="17"/>
      <c r="P1705" s="21"/>
      <c r="Q1705" s="6"/>
      <c r="R1705" s="6"/>
      <c r="S1705" s="20"/>
      <c r="T1705" s="6"/>
      <c r="U1705" s="21"/>
      <c r="W1705" s="20"/>
      <c r="X1705" s="21"/>
      <c r="AG1705" s="23"/>
    </row>
    <row r="1706" spans="2:33" ht="16">
      <c r="B1706" s="26" t="str">
        <f t="shared" si="7"/>
        <v/>
      </c>
      <c r="C1706" s="6"/>
      <c r="D1706" s="6"/>
      <c r="E1706" s="6"/>
      <c r="F1706" s="15"/>
      <c r="G1706" s="6"/>
      <c r="H1706" s="6"/>
      <c r="I1706" s="6"/>
      <c r="J1706" s="16"/>
      <c r="K1706" s="6"/>
      <c r="L1706" s="16"/>
      <c r="M1706" s="23"/>
      <c r="N1706" s="15"/>
      <c r="O1706" s="17"/>
      <c r="P1706" s="21"/>
      <c r="Q1706" s="6"/>
      <c r="R1706" s="6"/>
      <c r="S1706" s="20"/>
      <c r="T1706" s="6"/>
      <c r="U1706" s="21"/>
      <c r="W1706" s="20"/>
      <c r="X1706" s="21"/>
      <c r="AG1706" s="23"/>
    </row>
    <row r="1707" spans="2:33" ht="16">
      <c r="B1707" s="26" t="str">
        <f t="shared" si="7"/>
        <v/>
      </c>
      <c r="C1707" s="6"/>
      <c r="D1707" s="6"/>
      <c r="E1707" s="6"/>
      <c r="F1707" s="15"/>
      <c r="G1707" s="6"/>
      <c r="H1707" s="6"/>
      <c r="I1707" s="6"/>
      <c r="J1707" s="16"/>
      <c r="K1707" s="6"/>
      <c r="L1707" s="16"/>
      <c r="M1707" s="17"/>
      <c r="N1707" s="15"/>
      <c r="O1707" s="17"/>
      <c r="P1707" s="21"/>
      <c r="Q1707" s="6"/>
      <c r="R1707" s="6"/>
      <c r="S1707" s="20"/>
      <c r="T1707" s="6"/>
      <c r="U1707" s="21"/>
      <c r="W1707" s="20"/>
      <c r="X1707" s="21"/>
      <c r="AG1707" s="23"/>
    </row>
    <row r="1708" spans="2:33" ht="16">
      <c r="B1708" s="26" t="str">
        <f t="shared" si="7"/>
        <v/>
      </c>
      <c r="C1708" s="6"/>
      <c r="D1708" s="6"/>
      <c r="E1708" s="6"/>
      <c r="F1708" s="15"/>
      <c r="G1708" s="6"/>
      <c r="H1708" s="6"/>
      <c r="I1708" s="6"/>
      <c r="J1708" s="16"/>
      <c r="K1708" s="6"/>
      <c r="L1708" s="16"/>
      <c r="M1708" s="17"/>
      <c r="N1708" s="15"/>
      <c r="O1708" s="17"/>
      <c r="P1708" s="21"/>
      <c r="Q1708" s="6"/>
      <c r="R1708" s="6"/>
      <c r="S1708" s="20"/>
      <c r="T1708" s="6"/>
      <c r="U1708" s="21"/>
      <c r="W1708" s="20"/>
      <c r="X1708" s="21"/>
      <c r="AG1708" s="23"/>
    </row>
    <row r="1709" spans="2:33" ht="16">
      <c r="B1709" s="26" t="str">
        <f t="shared" si="7"/>
        <v/>
      </c>
      <c r="C1709" s="6"/>
      <c r="D1709" s="6"/>
      <c r="E1709" s="6"/>
      <c r="F1709" s="15"/>
      <c r="G1709" s="6"/>
      <c r="H1709" s="6"/>
      <c r="I1709" s="6"/>
      <c r="J1709" s="16"/>
      <c r="K1709" s="6"/>
      <c r="L1709" s="16"/>
      <c r="M1709" s="23"/>
      <c r="N1709" s="15"/>
      <c r="O1709" s="17"/>
      <c r="P1709" s="21"/>
      <c r="Q1709" s="6"/>
      <c r="R1709" s="6"/>
      <c r="S1709" s="20"/>
      <c r="T1709" s="6"/>
      <c r="U1709" s="21"/>
      <c r="W1709" s="20"/>
      <c r="X1709" s="21"/>
      <c r="AG1709" s="23"/>
    </row>
    <row r="1710" spans="2:33" ht="16">
      <c r="B1710" s="26" t="str">
        <f t="shared" si="7"/>
        <v/>
      </c>
      <c r="C1710" s="6"/>
      <c r="D1710" s="6"/>
      <c r="E1710" s="6"/>
      <c r="F1710" s="15"/>
      <c r="G1710" s="6"/>
      <c r="H1710" s="6"/>
      <c r="I1710" s="6"/>
      <c r="J1710" s="16"/>
      <c r="K1710" s="6"/>
      <c r="L1710" s="16"/>
      <c r="M1710" s="17"/>
      <c r="N1710" s="15"/>
      <c r="O1710" s="17"/>
      <c r="P1710" s="21"/>
      <c r="Q1710" s="6"/>
      <c r="R1710" s="6"/>
      <c r="S1710" s="20"/>
      <c r="T1710" s="6"/>
      <c r="U1710" s="21"/>
      <c r="W1710" s="20"/>
      <c r="X1710" s="21"/>
      <c r="AD1710" s="23"/>
      <c r="AG1710" s="23"/>
    </row>
    <row r="1711" spans="2:33" ht="16">
      <c r="B1711" s="26" t="str">
        <f t="shared" si="7"/>
        <v/>
      </c>
      <c r="C1711" s="6"/>
      <c r="D1711" s="6"/>
      <c r="E1711" s="6"/>
      <c r="F1711" s="15"/>
      <c r="G1711" s="6"/>
      <c r="H1711" s="6"/>
      <c r="I1711" s="6"/>
      <c r="J1711" s="16"/>
      <c r="K1711" s="6"/>
      <c r="L1711" s="16"/>
      <c r="M1711" s="17"/>
      <c r="N1711" s="15"/>
      <c r="O1711" s="17"/>
      <c r="P1711" s="21"/>
      <c r="Q1711" s="6"/>
      <c r="R1711" s="6"/>
      <c r="S1711" s="20"/>
      <c r="T1711" s="6"/>
      <c r="U1711" s="21"/>
      <c r="W1711" s="20"/>
      <c r="X1711" s="21"/>
      <c r="AG1711" s="23"/>
    </row>
    <row r="1712" spans="2:33" ht="16">
      <c r="B1712" s="26" t="str">
        <f t="shared" si="7"/>
        <v/>
      </c>
      <c r="C1712" s="6"/>
      <c r="D1712" s="6"/>
      <c r="E1712" s="6"/>
      <c r="F1712" s="15"/>
      <c r="G1712" s="6"/>
      <c r="H1712" s="6"/>
      <c r="I1712" s="6"/>
      <c r="J1712" s="16"/>
      <c r="K1712" s="6"/>
      <c r="L1712" s="16"/>
      <c r="M1712" s="23"/>
      <c r="N1712" s="15"/>
      <c r="O1712" s="17"/>
      <c r="P1712" s="21"/>
      <c r="Q1712" s="6"/>
      <c r="R1712" s="6"/>
      <c r="S1712" s="20"/>
      <c r="T1712" s="6"/>
      <c r="U1712" s="21"/>
      <c r="W1712" s="20"/>
      <c r="X1712" s="21"/>
      <c r="AE1712" s="1"/>
      <c r="AG1712" s="17"/>
    </row>
    <row r="1713" spans="2:33" ht="16">
      <c r="B1713" s="26" t="str">
        <f t="shared" si="7"/>
        <v/>
      </c>
      <c r="C1713" s="6"/>
      <c r="D1713" s="6"/>
      <c r="E1713" s="6"/>
      <c r="F1713" s="15"/>
      <c r="G1713" s="6"/>
      <c r="H1713" s="6"/>
      <c r="I1713" s="6"/>
      <c r="J1713" s="16"/>
      <c r="K1713" s="6"/>
      <c r="L1713" s="16"/>
      <c r="M1713" s="17"/>
      <c r="N1713" s="15"/>
      <c r="O1713" s="17"/>
      <c r="P1713" s="21"/>
      <c r="Q1713" s="6"/>
      <c r="R1713" s="6"/>
      <c r="S1713" s="20"/>
      <c r="T1713" s="6"/>
      <c r="U1713" s="21"/>
      <c r="W1713" s="20"/>
      <c r="X1713" s="21"/>
      <c r="AG1713" s="23"/>
    </row>
    <row r="1714" spans="2:33" ht="16">
      <c r="B1714" s="26" t="str">
        <f t="shared" si="7"/>
        <v/>
      </c>
      <c r="C1714" s="6"/>
      <c r="D1714" s="6"/>
      <c r="E1714" s="6"/>
      <c r="F1714" s="15"/>
      <c r="G1714" s="6"/>
      <c r="H1714" s="6"/>
      <c r="I1714" s="6"/>
      <c r="J1714" s="16"/>
      <c r="K1714" s="6"/>
      <c r="L1714" s="16"/>
      <c r="M1714" s="17"/>
      <c r="N1714" s="15"/>
      <c r="O1714" s="17"/>
      <c r="P1714" s="21"/>
      <c r="Q1714" s="6"/>
      <c r="R1714" s="6"/>
      <c r="S1714" s="20"/>
      <c r="T1714" s="6"/>
      <c r="U1714" s="21"/>
      <c r="W1714" s="20"/>
      <c r="X1714" s="21"/>
      <c r="AE1714" s="1"/>
      <c r="AG1714" s="23"/>
    </row>
    <row r="1715" spans="2:33" ht="16">
      <c r="B1715" s="26" t="str">
        <f t="shared" si="7"/>
        <v/>
      </c>
      <c r="C1715" s="6"/>
      <c r="D1715" s="6"/>
      <c r="E1715" s="6"/>
      <c r="F1715" s="15"/>
      <c r="G1715" s="6"/>
      <c r="H1715" s="6"/>
      <c r="I1715" s="6"/>
      <c r="J1715" s="16"/>
      <c r="K1715" s="6"/>
      <c r="L1715" s="16"/>
      <c r="M1715" s="23"/>
      <c r="N1715" s="15"/>
      <c r="O1715" s="17"/>
      <c r="P1715" s="21"/>
      <c r="Q1715" s="6"/>
      <c r="R1715" s="6"/>
      <c r="S1715" s="20"/>
      <c r="T1715" s="6"/>
      <c r="U1715" s="21"/>
      <c r="W1715" s="20"/>
      <c r="X1715" s="21"/>
      <c r="AG1715" s="23"/>
    </row>
    <row r="1716" spans="2:33" ht="16">
      <c r="B1716" s="26" t="str">
        <f t="shared" si="7"/>
        <v/>
      </c>
      <c r="C1716" s="6"/>
      <c r="D1716" s="6"/>
      <c r="E1716" s="6"/>
      <c r="F1716" s="15"/>
      <c r="G1716" s="6"/>
      <c r="H1716" s="6"/>
      <c r="I1716" s="6"/>
      <c r="J1716" s="16"/>
      <c r="K1716" s="6"/>
      <c r="L1716" s="16"/>
      <c r="M1716" s="17"/>
      <c r="N1716" s="15"/>
      <c r="O1716" s="17"/>
      <c r="P1716" s="21"/>
      <c r="Q1716" s="6"/>
      <c r="R1716" s="6"/>
      <c r="S1716" s="20"/>
      <c r="T1716" s="6"/>
      <c r="U1716" s="21"/>
      <c r="W1716" s="20"/>
      <c r="X1716" s="21"/>
      <c r="AG1716" s="23"/>
    </row>
    <row r="1717" spans="2:33" ht="16">
      <c r="B1717" s="26" t="str">
        <f t="shared" si="7"/>
        <v/>
      </c>
      <c r="C1717" s="6"/>
      <c r="D1717" s="6"/>
      <c r="E1717" s="6"/>
      <c r="F1717" s="15"/>
      <c r="G1717" s="6"/>
      <c r="H1717" s="6"/>
      <c r="I1717" s="6"/>
      <c r="J1717" s="16"/>
      <c r="K1717" s="6"/>
      <c r="L1717" s="16"/>
      <c r="M1717" s="17"/>
      <c r="N1717" s="15"/>
      <c r="O1717" s="17"/>
      <c r="P1717" s="21"/>
      <c r="Q1717" s="6"/>
      <c r="R1717" s="6"/>
      <c r="S1717" s="20"/>
      <c r="T1717" s="6"/>
      <c r="U1717" s="21"/>
      <c r="W1717" s="20"/>
      <c r="X1717" s="21"/>
      <c r="AG1717" s="23"/>
    </row>
    <row r="1718" spans="2:33" ht="16">
      <c r="B1718" s="26" t="str">
        <f t="shared" si="7"/>
        <v/>
      </c>
      <c r="C1718" s="6"/>
      <c r="D1718" s="6"/>
      <c r="E1718" s="6"/>
      <c r="F1718" s="15"/>
      <c r="G1718" s="6"/>
      <c r="H1718" s="6"/>
      <c r="I1718" s="6"/>
      <c r="J1718" s="16"/>
      <c r="K1718" s="6"/>
      <c r="L1718" s="16"/>
      <c r="M1718" s="17"/>
      <c r="N1718" s="15"/>
      <c r="O1718" s="17"/>
      <c r="P1718" s="21"/>
      <c r="Q1718" s="6"/>
      <c r="R1718" s="6"/>
      <c r="S1718" s="20"/>
      <c r="T1718" s="6"/>
      <c r="U1718" s="21"/>
      <c r="W1718" s="20"/>
      <c r="X1718" s="21"/>
      <c r="AG1718" s="17"/>
    </row>
    <row r="1719" spans="2:33" ht="16">
      <c r="B1719" s="26" t="str">
        <f t="shared" si="7"/>
        <v/>
      </c>
      <c r="C1719" s="6"/>
      <c r="D1719" s="6"/>
      <c r="E1719" s="6"/>
      <c r="F1719" s="15"/>
      <c r="G1719" s="6"/>
      <c r="H1719" s="6"/>
      <c r="I1719" s="6"/>
      <c r="J1719" s="16"/>
      <c r="K1719" s="6"/>
      <c r="L1719" s="16"/>
      <c r="M1719" s="17"/>
      <c r="N1719" s="15"/>
      <c r="O1719" s="17"/>
      <c r="P1719" s="21"/>
      <c r="Q1719" s="6"/>
      <c r="R1719" s="6"/>
      <c r="S1719" s="20"/>
      <c r="T1719" s="6"/>
      <c r="U1719" s="21"/>
      <c r="W1719" s="20"/>
      <c r="X1719" s="21"/>
      <c r="AG1719" s="23"/>
    </row>
    <row r="1720" spans="2:33" ht="16">
      <c r="B1720" s="26" t="str">
        <f t="shared" si="7"/>
        <v/>
      </c>
      <c r="C1720" s="6"/>
      <c r="D1720" s="6"/>
      <c r="E1720" s="6"/>
      <c r="F1720" s="15"/>
      <c r="G1720" s="6"/>
      <c r="H1720" s="6"/>
      <c r="I1720" s="6"/>
      <c r="J1720" s="16"/>
      <c r="K1720" s="6"/>
      <c r="L1720" s="16"/>
      <c r="M1720" s="23"/>
      <c r="N1720" s="15"/>
      <c r="O1720" s="17"/>
      <c r="P1720" s="21"/>
      <c r="Q1720" s="6"/>
      <c r="R1720" s="6"/>
      <c r="S1720" s="20"/>
      <c r="T1720" s="6"/>
      <c r="U1720" s="21"/>
      <c r="W1720" s="20"/>
      <c r="X1720" s="21"/>
      <c r="AG1720" s="23"/>
    </row>
    <row r="1721" spans="2:33" ht="16">
      <c r="B1721" s="26" t="str">
        <f t="shared" si="7"/>
        <v/>
      </c>
      <c r="C1721" s="6"/>
      <c r="D1721" s="6"/>
      <c r="E1721" s="6"/>
      <c r="F1721" s="15"/>
      <c r="G1721" s="6"/>
      <c r="H1721" s="6"/>
      <c r="I1721" s="6"/>
      <c r="J1721" s="16"/>
      <c r="K1721" s="6"/>
      <c r="L1721" s="16"/>
      <c r="M1721" s="17"/>
      <c r="N1721" s="15"/>
      <c r="O1721" s="17"/>
      <c r="P1721" s="21"/>
      <c r="Q1721" s="6"/>
      <c r="R1721" s="6"/>
      <c r="S1721" s="20"/>
      <c r="T1721" s="6"/>
      <c r="U1721" s="21"/>
      <c r="W1721" s="20"/>
      <c r="X1721" s="21"/>
      <c r="AG1721" s="23"/>
    </row>
    <row r="1722" spans="2:33" ht="16">
      <c r="B1722" s="26" t="str">
        <f t="shared" si="7"/>
        <v/>
      </c>
      <c r="C1722" s="6"/>
      <c r="D1722" s="6"/>
      <c r="E1722" s="6"/>
      <c r="F1722" s="15"/>
      <c r="G1722" s="6"/>
      <c r="H1722" s="6"/>
      <c r="I1722" s="6"/>
      <c r="J1722" s="16"/>
      <c r="K1722" s="6"/>
      <c r="L1722" s="16"/>
      <c r="M1722" s="23"/>
      <c r="N1722" s="15"/>
      <c r="O1722" s="17"/>
      <c r="P1722" s="21"/>
      <c r="Q1722" s="6"/>
      <c r="R1722" s="6"/>
      <c r="S1722" s="20"/>
      <c r="T1722" s="6"/>
      <c r="U1722" s="21"/>
      <c r="W1722" s="20"/>
      <c r="X1722" s="21"/>
      <c r="AG1722" s="23"/>
    </row>
    <row r="1723" spans="2:33" ht="16">
      <c r="B1723" s="26" t="str">
        <f t="shared" si="7"/>
        <v/>
      </c>
      <c r="C1723" s="6"/>
      <c r="D1723" s="6"/>
      <c r="E1723" s="6"/>
      <c r="F1723" s="15"/>
      <c r="G1723" s="6"/>
      <c r="H1723" s="6"/>
      <c r="I1723" s="6"/>
      <c r="J1723" s="16"/>
      <c r="K1723" s="6"/>
      <c r="L1723" s="16"/>
      <c r="M1723" s="17"/>
      <c r="N1723" s="15"/>
      <c r="O1723" s="17"/>
      <c r="P1723" s="21"/>
      <c r="Q1723" s="6"/>
      <c r="R1723" s="6"/>
      <c r="S1723" s="20"/>
      <c r="T1723" s="6"/>
      <c r="U1723" s="21"/>
      <c r="W1723" s="20"/>
      <c r="X1723" s="21"/>
      <c r="AG1723" s="23"/>
    </row>
    <row r="1724" spans="2:33" ht="16">
      <c r="B1724" s="26" t="str">
        <f t="shared" si="7"/>
        <v/>
      </c>
      <c r="C1724" s="6"/>
      <c r="D1724" s="6"/>
      <c r="E1724" s="6"/>
      <c r="F1724" s="15"/>
      <c r="G1724" s="6"/>
      <c r="H1724" s="6"/>
      <c r="I1724" s="6"/>
      <c r="J1724" s="16"/>
      <c r="K1724" s="6"/>
      <c r="L1724" s="16"/>
      <c r="M1724" s="23"/>
      <c r="N1724" s="15"/>
      <c r="O1724" s="17"/>
      <c r="P1724" s="21"/>
      <c r="Q1724" s="6"/>
      <c r="R1724" s="6"/>
      <c r="S1724" s="20"/>
      <c r="T1724" s="6"/>
      <c r="U1724" s="21"/>
      <c r="W1724" s="20"/>
      <c r="X1724" s="21"/>
      <c r="AG1724" s="17"/>
    </row>
    <row r="1725" spans="2:33" ht="16">
      <c r="B1725" s="26" t="str">
        <f t="shared" si="7"/>
        <v/>
      </c>
      <c r="C1725" s="6"/>
      <c r="D1725" s="6"/>
      <c r="E1725" s="6"/>
      <c r="F1725" s="15"/>
      <c r="G1725" s="6"/>
      <c r="H1725" s="6"/>
      <c r="I1725" s="6"/>
      <c r="J1725" s="16"/>
      <c r="K1725" s="6"/>
      <c r="L1725" s="16"/>
      <c r="M1725" s="17"/>
      <c r="N1725" s="15"/>
      <c r="O1725" s="17"/>
      <c r="P1725" s="21"/>
      <c r="Q1725" s="6"/>
      <c r="R1725" s="6"/>
      <c r="S1725" s="20"/>
      <c r="T1725" s="6"/>
      <c r="U1725" s="21"/>
      <c r="W1725" s="20"/>
      <c r="X1725" s="21"/>
      <c r="AG1725" s="23"/>
    </row>
    <row r="1726" spans="2:33" ht="16">
      <c r="B1726" s="26" t="str">
        <f t="shared" si="7"/>
        <v/>
      </c>
      <c r="C1726" s="6"/>
      <c r="D1726" s="6"/>
      <c r="E1726" s="6"/>
      <c r="F1726" s="15"/>
      <c r="G1726" s="6"/>
      <c r="H1726" s="6"/>
      <c r="I1726" s="6"/>
      <c r="J1726" s="16"/>
      <c r="K1726" s="6"/>
      <c r="L1726" s="16"/>
      <c r="M1726" s="17"/>
      <c r="N1726" s="15"/>
      <c r="O1726" s="17"/>
      <c r="P1726" s="21"/>
      <c r="Q1726" s="6"/>
      <c r="R1726" s="6"/>
      <c r="S1726" s="20"/>
      <c r="T1726" s="6"/>
      <c r="U1726" s="21"/>
      <c r="W1726" s="20"/>
      <c r="X1726" s="21"/>
      <c r="AG1726" s="23"/>
    </row>
    <row r="1727" spans="2:33" ht="16">
      <c r="B1727" s="26" t="str">
        <f t="shared" si="7"/>
        <v/>
      </c>
      <c r="C1727" s="6"/>
      <c r="D1727" s="6"/>
      <c r="E1727" s="6"/>
      <c r="F1727" s="15"/>
      <c r="G1727" s="6"/>
      <c r="H1727" s="6"/>
      <c r="I1727" s="6"/>
      <c r="J1727" s="16"/>
      <c r="K1727" s="6"/>
      <c r="L1727" s="16"/>
      <c r="M1727" s="17"/>
      <c r="N1727" s="15"/>
      <c r="O1727" s="17"/>
      <c r="P1727" s="21"/>
      <c r="Q1727" s="6"/>
      <c r="R1727" s="6"/>
      <c r="S1727" s="20"/>
      <c r="T1727" s="6"/>
      <c r="U1727" s="21"/>
      <c r="W1727" s="20"/>
      <c r="X1727" s="21"/>
      <c r="AG1727" s="23"/>
    </row>
    <row r="1728" spans="2:33" ht="16">
      <c r="B1728" s="26" t="str">
        <f t="shared" si="7"/>
        <v/>
      </c>
      <c r="C1728" s="6"/>
      <c r="D1728" s="6"/>
      <c r="E1728" s="6"/>
      <c r="F1728" s="15"/>
      <c r="G1728" s="6"/>
      <c r="H1728" s="6"/>
      <c r="I1728" s="6"/>
      <c r="J1728" s="16"/>
      <c r="K1728" s="6"/>
      <c r="L1728" s="16"/>
      <c r="M1728" s="17"/>
      <c r="N1728" s="15"/>
      <c r="O1728" s="17"/>
      <c r="P1728" s="21"/>
      <c r="Q1728" s="6"/>
      <c r="R1728" s="6"/>
      <c r="S1728" s="20"/>
      <c r="T1728" s="6"/>
      <c r="U1728" s="21"/>
      <c r="W1728" s="20"/>
      <c r="X1728" s="21"/>
      <c r="AG1728" s="23"/>
    </row>
    <row r="1729" spans="2:33" ht="16">
      <c r="B1729" s="26" t="str">
        <f t="shared" si="7"/>
        <v/>
      </c>
      <c r="C1729" s="6"/>
      <c r="D1729" s="6"/>
      <c r="E1729" s="6"/>
      <c r="F1729" s="15"/>
      <c r="G1729" s="6"/>
      <c r="H1729" s="6"/>
      <c r="I1729" s="6"/>
      <c r="J1729" s="16"/>
      <c r="K1729" s="6"/>
      <c r="L1729" s="16"/>
      <c r="M1729" s="23"/>
      <c r="N1729" s="15"/>
      <c r="O1729" s="17"/>
      <c r="P1729" s="21"/>
      <c r="Q1729" s="6"/>
      <c r="R1729" s="6"/>
      <c r="S1729" s="20"/>
      <c r="T1729" s="6"/>
      <c r="U1729" s="21"/>
      <c r="W1729" s="20"/>
      <c r="X1729" s="21"/>
      <c r="AG1729" s="17"/>
    </row>
    <row r="1730" spans="2:33" ht="16">
      <c r="B1730" s="26" t="str">
        <f t="shared" si="7"/>
        <v/>
      </c>
      <c r="C1730" s="6"/>
      <c r="D1730" s="6"/>
      <c r="E1730" s="6"/>
      <c r="F1730" s="15"/>
      <c r="G1730" s="6"/>
      <c r="H1730" s="6"/>
      <c r="I1730" s="6"/>
      <c r="J1730" s="16"/>
      <c r="K1730" s="6"/>
      <c r="L1730" s="16"/>
      <c r="M1730" s="23"/>
      <c r="N1730" s="15"/>
      <c r="O1730" s="23"/>
      <c r="P1730" s="21"/>
      <c r="Q1730" s="6"/>
      <c r="R1730" s="6"/>
      <c r="S1730" s="20"/>
      <c r="T1730" s="6"/>
      <c r="U1730" s="21"/>
      <c r="W1730" s="20"/>
      <c r="X1730" s="21"/>
      <c r="AD1730" s="23"/>
      <c r="AG1730" s="23"/>
    </row>
    <row r="1731" spans="2:33" ht="16">
      <c r="B1731" s="26" t="str">
        <f t="shared" si="7"/>
        <v/>
      </c>
      <c r="C1731" s="6"/>
      <c r="D1731" s="6"/>
      <c r="E1731" s="6"/>
      <c r="F1731" s="15"/>
      <c r="G1731" s="6"/>
      <c r="H1731" s="6"/>
      <c r="I1731" s="6"/>
      <c r="J1731" s="16"/>
      <c r="K1731" s="6"/>
      <c r="L1731" s="16"/>
      <c r="M1731" s="23"/>
      <c r="N1731" s="15"/>
      <c r="O1731" s="23"/>
      <c r="P1731" s="21"/>
      <c r="Q1731" s="6"/>
      <c r="R1731" s="6"/>
      <c r="S1731" s="20"/>
      <c r="T1731" s="6"/>
      <c r="U1731" s="21"/>
      <c r="W1731" s="20"/>
      <c r="X1731" s="21"/>
      <c r="AD1731" s="23"/>
      <c r="AG1731" s="23"/>
    </row>
    <row r="1732" spans="2:33" ht="16">
      <c r="B1732" s="26" t="str">
        <f t="shared" si="7"/>
        <v/>
      </c>
      <c r="C1732" s="6"/>
      <c r="D1732" s="6"/>
      <c r="E1732" s="6"/>
      <c r="F1732" s="15"/>
      <c r="G1732" s="6"/>
      <c r="H1732" s="6"/>
      <c r="I1732" s="6"/>
      <c r="J1732" s="16"/>
      <c r="K1732" s="6"/>
      <c r="L1732" s="16"/>
      <c r="M1732" s="23"/>
      <c r="N1732" s="15"/>
      <c r="O1732" s="23"/>
      <c r="P1732" s="21"/>
      <c r="Q1732" s="6"/>
      <c r="R1732" s="6"/>
      <c r="S1732" s="20"/>
      <c r="T1732" s="6"/>
      <c r="U1732" s="21"/>
      <c r="W1732" s="20"/>
      <c r="X1732" s="21"/>
      <c r="AD1732" s="17"/>
      <c r="AG1732" s="23"/>
    </row>
    <row r="1733" spans="2:33" ht="16">
      <c r="B1733" s="26" t="str">
        <f t="shared" si="7"/>
        <v/>
      </c>
      <c r="C1733" s="23"/>
      <c r="D1733" s="6"/>
      <c r="E1733" s="6"/>
      <c r="F1733" s="15"/>
      <c r="G1733" s="6"/>
      <c r="H1733" s="6"/>
      <c r="I1733" s="6"/>
      <c r="J1733" s="16"/>
      <c r="K1733" s="6"/>
      <c r="L1733" s="16"/>
      <c r="M1733" s="23"/>
      <c r="N1733" s="15"/>
      <c r="O1733" s="23"/>
      <c r="P1733" s="21"/>
      <c r="Q1733" s="6"/>
      <c r="R1733" s="6"/>
      <c r="S1733" s="20"/>
      <c r="T1733" s="6"/>
      <c r="U1733" s="21"/>
      <c r="W1733" s="20"/>
      <c r="X1733" s="21"/>
      <c r="AD1733" s="23"/>
      <c r="AG1733" s="23"/>
    </row>
    <row r="1734" spans="2:33" ht="16">
      <c r="B1734" s="26" t="str">
        <f t="shared" si="7"/>
        <v/>
      </c>
      <c r="C1734" s="6"/>
      <c r="D1734" s="6"/>
      <c r="E1734" s="6"/>
      <c r="F1734" s="15"/>
      <c r="G1734" s="6"/>
      <c r="H1734" s="6"/>
      <c r="I1734" s="6"/>
      <c r="J1734" s="16"/>
      <c r="K1734" s="6"/>
      <c r="L1734" s="16"/>
      <c r="M1734" s="23"/>
      <c r="N1734" s="15"/>
      <c r="O1734" s="23"/>
      <c r="P1734" s="21"/>
      <c r="Q1734" s="6"/>
      <c r="R1734" s="6"/>
      <c r="S1734" s="20"/>
      <c r="T1734" s="6"/>
      <c r="U1734" s="21"/>
      <c r="W1734" s="20"/>
      <c r="X1734" s="21"/>
      <c r="AD1734" s="23"/>
      <c r="AG1734" s="23"/>
    </row>
    <row r="1735" spans="2:33" ht="16">
      <c r="B1735" s="26" t="str">
        <f t="shared" si="7"/>
        <v/>
      </c>
      <c r="C1735" s="6"/>
      <c r="D1735" s="6"/>
      <c r="E1735" s="6"/>
      <c r="F1735" s="15"/>
      <c r="G1735" s="6"/>
      <c r="H1735" s="6"/>
      <c r="I1735" s="6"/>
      <c r="J1735" s="16"/>
      <c r="K1735" s="6"/>
      <c r="L1735" s="16"/>
      <c r="M1735" s="23"/>
      <c r="N1735" s="15"/>
      <c r="O1735" s="23"/>
      <c r="P1735" s="21"/>
      <c r="Q1735" s="6"/>
      <c r="R1735" s="6"/>
      <c r="S1735" s="20"/>
      <c r="T1735" s="6"/>
      <c r="U1735" s="21"/>
      <c r="W1735" s="20"/>
      <c r="X1735" s="21"/>
      <c r="AD1735" s="23"/>
      <c r="AG1735" s="23"/>
    </row>
    <row r="1736" spans="2:33" ht="16">
      <c r="B1736" s="26" t="str">
        <f t="shared" si="7"/>
        <v/>
      </c>
      <c r="C1736" s="6"/>
      <c r="D1736" s="6"/>
      <c r="E1736" s="6"/>
      <c r="F1736" s="15"/>
      <c r="G1736" s="6"/>
      <c r="H1736" s="6"/>
      <c r="I1736" s="6"/>
      <c r="J1736" s="16"/>
      <c r="K1736" s="6"/>
      <c r="L1736" s="16"/>
      <c r="M1736" s="23"/>
      <c r="N1736" s="15"/>
      <c r="O1736" s="23"/>
      <c r="P1736" s="21"/>
      <c r="Q1736" s="6"/>
      <c r="R1736" s="6"/>
      <c r="S1736" s="20"/>
      <c r="T1736" s="6"/>
      <c r="U1736" s="21"/>
      <c r="W1736" s="20"/>
      <c r="X1736" s="21"/>
      <c r="AD1736" s="23"/>
      <c r="AE1736" s="1"/>
      <c r="AG1736" s="23"/>
    </row>
    <row r="1737" spans="2:33" ht="16">
      <c r="B1737" s="26" t="str">
        <f t="shared" si="7"/>
        <v/>
      </c>
      <c r="C1737" s="6"/>
      <c r="D1737" s="6"/>
      <c r="E1737" s="6"/>
      <c r="F1737" s="15"/>
      <c r="G1737" s="6"/>
      <c r="H1737" s="6"/>
      <c r="I1737" s="6"/>
      <c r="J1737" s="16"/>
      <c r="K1737" s="6"/>
      <c r="L1737" s="16"/>
      <c r="M1737" s="23"/>
      <c r="N1737" s="15"/>
      <c r="O1737" s="23"/>
      <c r="P1737" s="21"/>
      <c r="Q1737" s="6"/>
      <c r="R1737" s="6"/>
      <c r="S1737" s="20"/>
      <c r="T1737" s="6"/>
      <c r="U1737" s="21"/>
      <c r="W1737" s="20"/>
      <c r="X1737" s="21"/>
      <c r="AD1737" s="23"/>
      <c r="AG1737" s="23"/>
    </row>
    <row r="1738" spans="2:33" ht="16">
      <c r="B1738" s="26" t="str">
        <f t="shared" si="7"/>
        <v/>
      </c>
      <c r="C1738" s="6"/>
      <c r="D1738" s="6"/>
      <c r="E1738" s="6"/>
      <c r="F1738" s="15"/>
      <c r="G1738" s="6"/>
      <c r="H1738" s="6"/>
      <c r="I1738" s="6"/>
      <c r="J1738" s="16"/>
      <c r="K1738" s="6"/>
      <c r="L1738" s="16"/>
      <c r="M1738" s="17"/>
      <c r="N1738" s="15"/>
      <c r="O1738" s="23"/>
      <c r="P1738" s="21"/>
      <c r="Q1738" s="6"/>
      <c r="R1738" s="6"/>
      <c r="S1738" s="20"/>
      <c r="T1738" s="6"/>
      <c r="U1738" s="21"/>
      <c r="W1738" s="20"/>
      <c r="X1738" s="21"/>
      <c r="AD1738" s="17"/>
      <c r="AG1738" s="17"/>
    </row>
    <row r="1739" spans="2:33" ht="16">
      <c r="B1739" s="26" t="str">
        <f t="shared" si="7"/>
        <v/>
      </c>
      <c r="C1739" s="6"/>
      <c r="D1739" s="6"/>
      <c r="E1739" s="6"/>
      <c r="F1739" s="15"/>
      <c r="G1739" s="6"/>
      <c r="H1739" s="6"/>
      <c r="I1739" s="6"/>
      <c r="J1739" s="16"/>
      <c r="K1739" s="6"/>
      <c r="L1739" s="16"/>
      <c r="M1739" s="17"/>
      <c r="N1739" s="15"/>
      <c r="O1739" s="17"/>
      <c r="P1739" s="21"/>
      <c r="Q1739" s="6"/>
      <c r="R1739" s="6"/>
      <c r="S1739" s="20"/>
      <c r="T1739" s="6"/>
      <c r="U1739" s="21"/>
      <c r="W1739" s="20"/>
      <c r="X1739" s="21"/>
      <c r="AD1739" s="17"/>
      <c r="AG1739" s="17"/>
    </row>
    <row r="1740" spans="2:33" ht="16">
      <c r="B1740" s="26" t="str">
        <f t="shared" si="7"/>
        <v/>
      </c>
      <c r="C1740" s="6"/>
      <c r="D1740" s="6"/>
      <c r="E1740" s="6"/>
      <c r="F1740" s="15"/>
      <c r="G1740" s="6"/>
      <c r="H1740" s="6"/>
      <c r="I1740" s="6"/>
      <c r="J1740" s="16"/>
      <c r="K1740" s="6"/>
      <c r="L1740" s="16"/>
      <c r="M1740" s="17"/>
      <c r="N1740" s="15"/>
      <c r="O1740" s="17"/>
      <c r="P1740" s="21"/>
      <c r="Q1740" s="6"/>
      <c r="R1740" s="6"/>
      <c r="S1740" s="20"/>
      <c r="T1740" s="6"/>
      <c r="U1740" s="21"/>
      <c r="W1740" s="20"/>
      <c r="X1740" s="21"/>
      <c r="AD1740" s="17"/>
      <c r="AG1740" s="17"/>
    </row>
    <row r="1741" spans="2:33" ht="16">
      <c r="B1741" s="26" t="str">
        <f t="shared" si="7"/>
        <v/>
      </c>
      <c r="C1741" s="6"/>
      <c r="D1741" s="6"/>
      <c r="E1741" s="6"/>
      <c r="F1741" s="15"/>
      <c r="G1741" s="6"/>
      <c r="H1741" s="6"/>
      <c r="I1741" s="6"/>
      <c r="J1741" s="16"/>
      <c r="K1741" s="6"/>
      <c r="L1741" s="16"/>
      <c r="M1741" s="17"/>
      <c r="N1741" s="15"/>
      <c r="O1741" s="17"/>
      <c r="P1741" s="21"/>
      <c r="Q1741" s="6"/>
      <c r="R1741" s="6"/>
      <c r="S1741" s="20"/>
      <c r="T1741" s="6"/>
      <c r="U1741" s="21"/>
      <c r="W1741" s="20"/>
      <c r="X1741" s="21"/>
      <c r="AD1741" s="23"/>
      <c r="AG1741" s="23"/>
    </row>
    <row r="1742" spans="2:33" ht="16">
      <c r="B1742" s="26" t="str">
        <f t="shared" si="7"/>
        <v/>
      </c>
      <c r="C1742" s="6"/>
      <c r="D1742" s="6"/>
      <c r="E1742" s="6"/>
      <c r="F1742" s="15"/>
      <c r="G1742" s="6"/>
      <c r="H1742" s="6"/>
      <c r="I1742" s="6"/>
      <c r="J1742" s="16"/>
      <c r="K1742" s="6"/>
      <c r="L1742" s="16"/>
      <c r="M1742" s="23"/>
      <c r="N1742" s="15"/>
      <c r="O1742" s="23"/>
      <c r="P1742" s="21"/>
      <c r="Q1742" s="6"/>
      <c r="R1742" s="6"/>
      <c r="S1742" s="20"/>
      <c r="T1742" s="6"/>
      <c r="U1742" s="21"/>
      <c r="W1742" s="20"/>
      <c r="X1742" s="21"/>
      <c r="AD1742" s="23"/>
      <c r="AG1742" s="17"/>
    </row>
    <row r="1743" spans="2:33" ht="16">
      <c r="B1743" s="26" t="str">
        <f t="shared" si="7"/>
        <v/>
      </c>
      <c r="C1743" s="6"/>
      <c r="D1743" s="6"/>
      <c r="E1743" s="6"/>
      <c r="F1743" s="15"/>
      <c r="G1743" s="6"/>
      <c r="H1743" s="6"/>
      <c r="I1743" s="6"/>
      <c r="J1743" s="16"/>
      <c r="K1743" s="6"/>
      <c r="L1743" s="16"/>
      <c r="M1743" s="23"/>
      <c r="N1743" s="15"/>
      <c r="O1743" s="23"/>
      <c r="P1743" s="21"/>
      <c r="Q1743" s="6"/>
      <c r="R1743" s="6"/>
      <c r="S1743" s="20"/>
      <c r="T1743" s="6"/>
      <c r="U1743" s="21"/>
      <c r="W1743" s="20"/>
      <c r="X1743" s="21"/>
      <c r="AD1743" s="23"/>
      <c r="AG1743" s="23"/>
    </row>
    <row r="1744" spans="2:33" ht="16">
      <c r="B1744" s="26" t="str">
        <f t="shared" si="7"/>
        <v/>
      </c>
      <c r="C1744" s="6"/>
      <c r="D1744" s="6"/>
      <c r="E1744" s="6"/>
      <c r="F1744" s="15"/>
      <c r="G1744" s="6"/>
      <c r="H1744" s="6"/>
      <c r="I1744" s="6"/>
      <c r="J1744" s="16"/>
      <c r="K1744" s="6"/>
      <c r="L1744" s="16"/>
      <c r="M1744" s="23"/>
      <c r="N1744" s="15"/>
      <c r="O1744" s="23"/>
      <c r="P1744" s="21"/>
      <c r="Q1744" s="6"/>
      <c r="R1744" s="6"/>
      <c r="S1744" s="20"/>
      <c r="T1744" s="6"/>
      <c r="U1744" s="21"/>
      <c r="W1744" s="20"/>
      <c r="X1744" s="21"/>
      <c r="AD1744" s="17"/>
      <c r="AG1744" s="23"/>
    </row>
    <row r="1745" spans="2:33" ht="16">
      <c r="B1745" s="26" t="str">
        <f t="shared" si="7"/>
        <v/>
      </c>
      <c r="C1745" s="6"/>
      <c r="D1745" s="6"/>
      <c r="E1745" s="6"/>
      <c r="F1745" s="15"/>
      <c r="G1745" s="6"/>
      <c r="H1745" s="6"/>
      <c r="I1745" s="6"/>
      <c r="J1745" s="16"/>
      <c r="K1745" s="6"/>
      <c r="L1745" s="16"/>
      <c r="M1745" s="23"/>
      <c r="N1745" s="15"/>
      <c r="O1745" s="23"/>
      <c r="P1745" s="21"/>
      <c r="Q1745" s="6"/>
      <c r="R1745" s="6"/>
      <c r="S1745" s="20"/>
      <c r="T1745" s="6"/>
      <c r="U1745" s="21"/>
      <c r="W1745" s="20"/>
      <c r="X1745" s="21"/>
      <c r="AD1745" s="23"/>
      <c r="AG1745" s="23"/>
    </row>
    <row r="1746" spans="2:33" ht="16">
      <c r="B1746" s="26" t="str">
        <f t="shared" si="7"/>
        <v/>
      </c>
      <c r="C1746" s="6"/>
      <c r="D1746" s="6"/>
      <c r="E1746" s="6"/>
      <c r="F1746" s="15"/>
      <c r="G1746" s="6"/>
      <c r="H1746" s="6"/>
      <c r="I1746" s="6"/>
      <c r="J1746" s="16"/>
      <c r="K1746" s="6"/>
      <c r="L1746" s="16"/>
      <c r="M1746" s="23"/>
      <c r="N1746" s="15"/>
      <c r="O1746" s="23"/>
      <c r="P1746" s="21"/>
      <c r="Q1746" s="6"/>
      <c r="R1746" s="6"/>
      <c r="S1746" s="20"/>
      <c r="T1746" s="6"/>
      <c r="U1746" s="21"/>
      <c r="W1746" s="20"/>
      <c r="X1746" s="21"/>
      <c r="AD1746" s="17"/>
      <c r="AG1746" s="23"/>
    </row>
    <row r="1747" spans="2:33" ht="16">
      <c r="B1747" s="26" t="str">
        <f t="shared" si="7"/>
        <v/>
      </c>
      <c r="C1747" s="6"/>
      <c r="D1747" s="6"/>
      <c r="E1747" s="6"/>
      <c r="F1747" s="15"/>
      <c r="G1747" s="6"/>
      <c r="H1747" s="6"/>
      <c r="I1747" s="6"/>
      <c r="J1747" s="16"/>
      <c r="K1747" s="6"/>
      <c r="L1747" s="16"/>
      <c r="M1747" s="23"/>
      <c r="N1747" s="15"/>
      <c r="O1747" s="23"/>
      <c r="P1747" s="21"/>
      <c r="Q1747" s="6"/>
      <c r="R1747" s="6"/>
      <c r="S1747" s="20"/>
      <c r="T1747" s="6"/>
      <c r="U1747" s="21"/>
      <c r="W1747" s="20"/>
      <c r="X1747" s="21"/>
      <c r="AD1747" s="23"/>
      <c r="AG1747" s="23"/>
    </row>
    <row r="1748" spans="2:33" ht="16">
      <c r="B1748" s="26" t="str">
        <f t="shared" si="7"/>
        <v/>
      </c>
      <c r="C1748" s="6"/>
      <c r="D1748" s="6"/>
      <c r="E1748" s="6"/>
      <c r="F1748" s="15"/>
      <c r="G1748" s="6"/>
      <c r="H1748" s="6"/>
      <c r="I1748" s="6"/>
      <c r="J1748" s="16"/>
      <c r="K1748" s="6"/>
      <c r="L1748" s="16"/>
      <c r="M1748" s="23"/>
      <c r="N1748" s="15"/>
      <c r="O1748" s="23"/>
      <c r="P1748" s="21"/>
      <c r="Q1748" s="6"/>
      <c r="R1748" s="6"/>
      <c r="S1748" s="20"/>
      <c r="T1748" s="6"/>
      <c r="U1748" s="21"/>
      <c r="W1748" s="20"/>
      <c r="X1748" s="21"/>
      <c r="AD1748" s="23"/>
      <c r="AG1748" s="23"/>
    </row>
    <row r="1749" spans="2:33" ht="16">
      <c r="B1749" s="26" t="str">
        <f t="shared" si="7"/>
        <v/>
      </c>
      <c r="C1749" s="6"/>
      <c r="D1749" s="6"/>
      <c r="E1749" s="6"/>
      <c r="F1749" s="15"/>
      <c r="G1749" s="6"/>
      <c r="H1749" s="6"/>
      <c r="I1749" s="6"/>
      <c r="J1749" s="16"/>
      <c r="K1749" s="6"/>
      <c r="L1749" s="16"/>
      <c r="M1749" s="23"/>
      <c r="N1749" s="15"/>
      <c r="O1749" s="23"/>
      <c r="P1749" s="21"/>
      <c r="Q1749" s="6"/>
      <c r="R1749" s="6"/>
      <c r="S1749" s="20"/>
      <c r="T1749" s="6"/>
      <c r="U1749" s="21"/>
      <c r="W1749" s="20"/>
      <c r="X1749" s="21"/>
      <c r="AD1749" s="23"/>
      <c r="AG1749" s="23"/>
    </row>
    <row r="1750" spans="2:33" ht="16">
      <c r="B1750" s="26" t="str">
        <f t="shared" si="7"/>
        <v/>
      </c>
      <c r="C1750" s="6"/>
      <c r="D1750" s="6"/>
      <c r="E1750" s="6"/>
      <c r="F1750" s="15"/>
      <c r="G1750" s="6"/>
      <c r="H1750" s="6"/>
      <c r="I1750" s="6"/>
      <c r="J1750" s="16"/>
      <c r="K1750" s="6"/>
      <c r="L1750" s="16"/>
      <c r="M1750" s="23"/>
      <c r="N1750" s="15"/>
      <c r="O1750" s="23"/>
      <c r="P1750" s="21"/>
      <c r="Q1750" s="6"/>
      <c r="R1750" s="6"/>
      <c r="S1750" s="20"/>
      <c r="T1750" s="6"/>
      <c r="U1750" s="21"/>
      <c r="W1750" s="20"/>
      <c r="X1750" s="21"/>
      <c r="AD1750" s="23"/>
      <c r="AG1750" s="17"/>
    </row>
    <row r="1751" spans="2:33" ht="16">
      <c r="B1751" s="26" t="str">
        <f t="shared" si="7"/>
        <v/>
      </c>
      <c r="C1751" s="6"/>
      <c r="D1751" s="6"/>
      <c r="E1751" s="6"/>
      <c r="F1751" s="15"/>
      <c r="G1751" s="6"/>
      <c r="H1751" s="6"/>
      <c r="I1751" s="6"/>
      <c r="J1751" s="16"/>
      <c r="K1751" s="6"/>
      <c r="L1751" s="16"/>
      <c r="M1751" s="23"/>
      <c r="N1751" s="15"/>
      <c r="O1751" s="23"/>
      <c r="P1751" s="21"/>
      <c r="Q1751" s="6"/>
      <c r="R1751" s="6"/>
      <c r="S1751" s="20"/>
      <c r="T1751" s="6"/>
      <c r="U1751" s="21"/>
      <c r="W1751" s="20"/>
      <c r="X1751" s="21"/>
      <c r="AD1751" s="23"/>
      <c r="AG1751" s="23"/>
    </row>
    <row r="1752" spans="2:33" ht="17.25" customHeight="1">
      <c r="B1752" s="26" t="str">
        <f t="shared" si="7"/>
        <v/>
      </c>
      <c r="C1752" s="6"/>
      <c r="D1752" s="6"/>
      <c r="E1752" s="6"/>
      <c r="F1752" s="15"/>
      <c r="G1752" s="6"/>
      <c r="H1752" s="6"/>
      <c r="I1752" s="6"/>
      <c r="J1752" s="16"/>
      <c r="K1752" s="6"/>
      <c r="L1752" s="16"/>
      <c r="M1752" s="23"/>
      <c r="N1752" s="15"/>
      <c r="O1752" s="23"/>
      <c r="P1752" s="21"/>
      <c r="Q1752" s="6"/>
      <c r="R1752" s="6"/>
      <c r="S1752" s="20"/>
      <c r="T1752" s="6"/>
      <c r="U1752" s="21"/>
      <c r="W1752" s="20"/>
      <c r="X1752" s="21"/>
      <c r="AD1752" s="23"/>
      <c r="AG1752" s="23"/>
    </row>
    <row r="1753" spans="2:33" ht="16">
      <c r="B1753" s="26" t="str">
        <f t="shared" si="7"/>
        <v/>
      </c>
      <c r="C1753" s="6"/>
      <c r="D1753" s="6"/>
      <c r="E1753" s="6"/>
      <c r="F1753" s="15"/>
      <c r="G1753" s="6"/>
      <c r="H1753" s="6"/>
      <c r="I1753" s="6"/>
      <c r="J1753" s="16"/>
      <c r="K1753" s="6"/>
      <c r="L1753" s="16"/>
      <c r="M1753" s="17"/>
      <c r="N1753" s="15"/>
      <c r="O1753" s="23"/>
      <c r="P1753" s="21"/>
      <c r="Q1753" s="6"/>
      <c r="R1753" s="6"/>
      <c r="S1753" s="20"/>
      <c r="T1753" s="6"/>
      <c r="U1753" s="21"/>
      <c r="W1753" s="20"/>
      <c r="X1753" s="21"/>
      <c r="AD1753" s="17"/>
      <c r="AG1753" s="17"/>
    </row>
    <row r="1754" spans="2:33" ht="16">
      <c r="B1754" s="26" t="str">
        <f t="shared" si="7"/>
        <v/>
      </c>
      <c r="C1754" s="6"/>
      <c r="D1754" s="6"/>
      <c r="E1754" s="6"/>
      <c r="F1754" s="15"/>
      <c r="G1754" s="6"/>
      <c r="H1754" s="6"/>
      <c r="I1754" s="6"/>
      <c r="J1754" s="16"/>
      <c r="K1754" s="6"/>
      <c r="L1754" s="16"/>
      <c r="M1754" s="23"/>
      <c r="N1754" s="15"/>
      <c r="O1754" s="23"/>
      <c r="P1754" s="21"/>
      <c r="Q1754" s="6"/>
      <c r="R1754" s="6"/>
      <c r="S1754" s="20"/>
      <c r="T1754" s="6"/>
      <c r="U1754" s="21"/>
      <c r="W1754" s="20"/>
      <c r="X1754" s="21"/>
      <c r="AD1754" s="23"/>
      <c r="AG1754" s="23"/>
    </row>
    <row r="1755" spans="2:33" ht="16">
      <c r="B1755" s="26" t="str">
        <f t="shared" si="7"/>
        <v/>
      </c>
      <c r="C1755" s="6"/>
      <c r="D1755" s="6"/>
      <c r="E1755" s="6"/>
      <c r="F1755" s="15"/>
      <c r="G1755" s="6"/>
      <c r="H1755" s="6"/>
      <c r="I1755" s="6"/>
      <c r="J1755" s="16"/>
      <c r="K1755" s="6"/>
      <c r="L1755" s="16"/>
      <c r="M1755" s="23"/>
      <c r="N1755" s="15"/>
      <c r="O1755" s="23"/>
      <c r="P1755" s="21"/>
      <c r="Q1755" s="6"/>
      <c r="R1755" s="6"/>
      <c r="S1755" s="20"/>
      <c r="T1755" s="6"/>
      <c r="U1755" s="21"/>
      <c r="W1755" s="20"/>
      <c r="X1755" s="21"/>
      <c r="AD1755" s="23"/>
      <c r="AG1755" s="17"/>
    </row>
    <row r="1756" spans="2:33" ht="16">
      <c r="B1756" s="26" t="str">
        <f t="shared" si="7"/>
        <v/>
      </c>
      <c r="C1756" s="6"/>
      <c r="D1756" s="6"/>
      <c r="E1756" s="6"/>
      <c r="F1756" s="15"/>
      <c r="G1756" s="6"/>
      <c r="H1756" s="6"/>
      <c r="I1756" s="6"/>
      <c r="J1756" s="16"/>
      <c r="K1756" s="6"/>
      <c r="L1756" s="16"/>
      <c r="M1756" s="17"/>
      <c r="N1756" s="15"/>
      <c r="O1756" s="17"/>
      <c r="P1756" s="21"/>
      <c r="Q1756" s="6"/>
      <c r="R1756" s="6"/>
      <c r="S1756" s="20"/>
      <c r="T1756" s="6"/>
      <c r="U1756" s="21"/>
      <c r="W1756" s="20"/>
      <c r="X1756" s="21"/>
      <c r="AD1756" s="17"/>
      <c r="AG1756" s="23"/>
    </row>
    <row r="1757" spans="2:33" ht="16">
      <c r="B1757" s="26" t="str">
        <f t="shared" si="7"/>
        <v/>
      </c>
      <c r="C1757" s="6"/>
      <c r="D1757" s="6"/>
      <c r="E1757" s="6"/>
      <c r="F1757" s="15"/>
      <c r="G1757" s="6"/>
      <c r="H1757" s="6"/>
      <c r="I1757" s="6"/>
      <c r="J1757" s="16"/>
      <c r="K1757" s="6"/>
      <c r="L1757" s="16"/>
      <c r="M1757" s="17"/>
      <c r="N1757" s="15"/>
      <c r="O1757" s="17"/>
      <c r="P1757" s="21"/>
      <c r="Q1757" s="6"/>
      <c r="R1757" s="6"/>
      <c r="S1757" s="20"/>
      <c r="T1757" s="6"/>
      <c r="U1757" s="21"/>
      <c r="W1757" s="20"/>
      <c r="X1757" s="21"/>
      <c r="AD1757" s="17"/>
      <c r="AG1757" s="23"/>
    </row>
    <row r="1758" spans="2:33" ht="16">
      <c r="B1758" s="26" t="str">
        <f t="shared" si="7"/>
        <v/>
      </c>
      <c r="C1758" s="6"/>
      <c r="D1758" s="6"/>
      <c r="E1758" s="6"/>
      <c r="F1758" s="15"/>
      <c r="G1758" s="6"/>
      <c r="H1758" s="6"/>
      <c r="I1758" s="6"/>
      <c r="J1758" s="16"/>
      <c r="K1758" s="6"/>
      <c r="L1758" s="16"/>
      <c r="M1758" s="23"/>
      <c r="N1758" s="15"/>
      <c r="O1758" s="23"/>
      <c r="P1758" s="21"/>
      <c r="Q1758" s="6"/>
      <c r="R1758" s="6"/>
      <c r="S1758" s="20"/>
      <c r="T1758" s="6"/>
      <c r="U1758" s="21"/>
      <c r="W1758" s="20"/>
      <c r="X1758" s="21"/>
      <c r="AD1758" s="23"/>
      <c r="AG1758" s="23"/>
    </row>
    <row r="1759" spans="2:33" ht="16">
      <c r="B1759" s="26" t="str">
        <f t="shared" si="7"/>
        <v/>
      </c>
      <c r="C1759" s="6"/>
      <c r="D1759" s="6"/>
      <c r="E1759" s="6"/>
      <c r="F1759" s="15"/>
      <c r="G1759" s="6"/>
      <c r="H1759" s="6"/>
      <c r="I1759" s="6"/>
      <c r="J1759" s="16"/>
      <c r="K1759" s="6"/>
      <c r="L1759" s="16"/>
      <c r="M1759" s="17"/>
      <c r="N1759" s="15"/>
      <c r="O1759" s="17"/>
      <c r="P1759" s="21"/>
      <c r="Q1759" s="6"/>
      <c r="R1759" s="6"/>
      <c r="S1759" s="20"/>
      <c r="T1759" s="6"/>
      <c r="U1759" s="21"/>
      <c r="W1759" s="20"/>
      <c r="X1759" s="21"/>
      <c r="AD1759" s="17"/>
      <c r="AG1759" s="23"/>
    </row>
    <row r="1760" spans="2:33" ht="16">
      <c r="B1760" s="26" t="str">
        <f t="shared" si="7"/>
        <v/>
      </c>
      <c r="C1760" s="6"/>
      <c r="D1760" s="6"/>
      <c r="E1760" s="6"/>
      <c r="F1760" s="15"/>
      <c r="G1760" s="6"/>
      <c r="H1760" s="6"/>
      <c r="I1760" s="6"/>
      <c r="J1760" s="16"/>
      <c r="K1760" s="6"/>
      <c r="L1760" s="16"/>
      <c r="M1760" s="17"/>
      <c r="N1760" s="15"/>
      <c r="O1760" s="23"/>
      <c r="P1760" s="21"/>
      <c r="Q1760" s="6"/>
      <c r="R1760" s="6"/>
      <c r="S1760" s="20"/>
      <c r="T1760" s="6"/>
      <c r="U1760" s="21"/>
      <c r="W1760" s="20"/>
      <c r="X1760" s="21"/>
      <c r="AD1760" s="17"/>
      <c r="AG1760" s="23"/>
    </row>
    <row r="1761" spans="2:33" ht="16">
      <c r="B1761" s="26" t="str">
        <f t="shared" si="7"/>
        <v/>
      </c>
      <c r="C1761" s="6"/>
      <c r="D1761" s="6"/>
      <c r="E1761" s="6"/>
      <c r="F1761" s="15"/>
      <c r="G1761" s="6"/>
      <c r="H1761" s="6"/>
      <c r="I1761" s="6"/>
      <c r="J1761" s="16"/>
      <c r="K1761" s="6"/>
      <c r="L1761" s="16"/>
      <c r="M1761" s="17"/>
      <c r="N1761" s="15"/>
      <c r="O1761" s="17"/>
      <c r="P1761" s="21"/>
      <c r="Q1761" s="6"/>
      <c r="R1761" s="6"/>
      <c r="S1761" s="20"/>
      <c r="T1761" s="6"/>
      <c r="U1761" s="21"/>
      <c r="W1761" s="20"/>
      <c r="X1761" s="21"/>
      <c r="AD1761" s="17"/>
      <c r="AG1761" s="23"/>
    </row>
    <row r="1762" spans="2:33" ht="16">
      <c r="B1762" s="26" t="str">
        <f t="shared" si="7"/>
        <v/>
      </c>
      <c r="C1762" s="6"/>
      <c r="D1762" s="6"/>
      <c r="E1762" s="6"/>
      <c r="F1762" s="15"/>
      <c r="G1762" s="6"/>
      <c r="H1762" s="6"/>
      <c r="I1762" s="6"/>
      <c r="J1762" s="16"/>
      <c r="K1762" s="6"/>
      <c r="L1762" s="16"/>
      <c r="M1762" s="23"/>
      <c r="N1762" s="15"/>
      <c r="O1762" s="23"/>
      <c r="P1762" s="21"/>
      <c r="Q1762" s="6"/>
      <c r="R1762" s="6"/>
      <c r="S1762" s="20"/>
      <c r="T1762" s="6"/>
      <c r="U1762" s="21"/>
      <c r="W1762" s="20"/>
      <c r="X1762" s="21"/>
      <c r="AD1762" s="23"/>
      <c r="AG1762" s="17"/>
    </row>
    <row r="1763" spans="2:33" ht="16">
      <c r="B1763" s="26" t="str">
        <f t="shared" si="7"/>
        <v/>
      </c>
      <c r="C1763" s="6"/>
      <c r="D1763" s="6"/>
      <c r="E1763" s="6"/>
      <c r="F1763" s="15"/>
      <c r="G1763" s="6"/>
      <c r="H1763" s="6"/>
      <c r="I1763" s="6"/>
      <c r="J1763" s="16"/>
      <c r="K1763" s="6"/>
      <c r="L1763" s="16"/>
      <c r="M1763" s="23"/>
      <c r="N1763" s="15"/>
      <c r="O1763" s="23"/>
      <c r="P1763" s="21"/>
      <c r="Q1763" s="6"/>
      <c r="R1763" s="6"/>
      <c r="S1763" s="20"/>
      <c r="T1763" s="6"/>
      <c r="U1763" s="21"/>
      <c r="W1763" s="20"/>
      <c r="X1763" s="21"/>
      <c r="AD1763" s="23"/>
      <c r="AG1763" s="17"/>
    </row>
    <row r="1764" spans="2:33" ht="16">
      <c r="B1764" s="26" t="str">
        <f t="shared" si="7"/>
        <v/>
      </c>
      <c r="C1764" s="6"/>
      <c r="D1764" s="6"/>
      <c r="E1764" s="6"/>
      <c r="F1764" s="15"/>
      <c r="G1764" s="6"/>
      <c r="H1764" s="6"/>
      <c r="I1764" s="6"/>
      <c r="J1764" s="16"/>
      <c r="K1764" s="6"/>
      <c r="L1764" s="16"/>
      <c r="M1764" s="17"/>
      <c r="N1764" s="15"/>
      <c r="O1764" s="17"/>
      <c r="P1764" s="21"/>
      <c r="Q1764" s="6"/>
      <c r="R1764" s="6"/>
      <c r="S1764" s="20"/>
      <c r="T1764" s="6"/>
      <c r="U1764" s="21"/>
      <c r="W1764" s="20"/>
      <c r="X1764" s="21"/>
      <c r="AD1764" s="17"/>
      <c r="AG1764" s="17"/>
    </row>
    <row r="1765" spans="2:33" ht="16">
      <c r="B1765" s="26" t="str">
        <f t="shared" si="7"/>
        <v/>
      </c>
      <c r="C1765" s="6"/>
      <c r="D1765" s="6"/>
      <c r="E1765" s="6"/>
      <c r="F1765" s="15"/>
      <c r="G1765" s="6"/>
      <c r="H1765" s="6"/>
      <c r="I1765" s="6"/>
      <c r="J1765" s="16"/>
      <c r="K1765" s="6"/>
      <c r="L1765" s="16"/>
      <c r="M1765" s="17"/>
      <c r="N1765" s="15"/>
      <c r="O1765" s="17"/>
      <c r="P1765" s="21"/>
      <c r="Q1765" s="6"/>
      <c r="R1765" s="6"/>
      <c r="S1765" s="20"/>
      <c r="T1765" s="6"/>
      <c r="U1765" s="21"/>
      <c r="W1765" s="20"/>
      <c r="X1765" s="21"/>
      <c r="AD1765" s="17"/>
      <c r="AG1765" s="17"/>
    </row>
    <row r="1766" spans="2:33" ht="16">
      <c r="B1766" s="26" t="str">
        <f t="shared" si="7"/>
        <v/>
      </c>
      <c r="C1766" s="6"/>
      <c r="D1766" s="6"/>
      <c r="E1766" s="6"/>
      <c r="F1766" s="15"/>
      <c r="G1766" s="6"/>
      <c r="H1766" s="6"/>
      <c r="I1766" s="6"/>
      <c r="J1766" s="16"/>
      <c r="K1766" s="6"/>
      <c r="L1766" s="16"/>
      <c r="M1766" s="23"/>
      <c r="N1766" s="15"/>
      <c r="O1766" s="17"/>
      <c r="P1766" s="21"/>
      <c r="Q1766" s="6"/>
      <c r="R1766" s="6"/>
      <c r="S1766" s="20"/>
      <c r="T1766" s="6"/>
      <c r="U1766" s="21"/>
      <c r="W1766" s="20"/>
      <c r="X1766" s="21"/>
      <c r="AD1766" s="23"/>
      <c r="AG1766" s="23"/>
    </row>
    <row r="1767" spans="2:33" ht="16">
      <c r="B1767" s="26" t="str">
        <f t="shared" si="7"/>
        <v/>
      </c>
      <c r="C1767" s="6"/>
      <c r="D1767" s="6"/>
      <c r="E1767" s="6"/>
      <c r="F1767" s="15"/>
      <c r="G1767" s="6"/>
      <c r="H1767" s="6"/>
      <c r="I1767" s="6"/>
      <c r="J1767" s="16"/>
      <c r="K1767" s="6"/>
      <c r="L1767" s="16"/>
      <c r="M1767" s="23"/>
      <c r="N1767" s="15"/>
      <c r="O1767" s="17"/>
      <c r="P1767" s="21"/>
      <c r="Q1767" s="6"/>
      <c r="R1767" s="6"/>
      <c r="S1767" s="20"/>
      <c r="T1767" s="6"/>
      <c r="U1767" s="21"/>
      <c r="W1767" s="20"/>
      <c r="X1767" s="21"/>
      <c r="AD1767" s="23"/>
      <c r="AG1767" s="17"/>
    </row>
    <row r="1768" spans="2:33" ht="16">
      <c r="B1768" s="26" t="str">
        <f t="shared" si="7"/>
        <v/>
      </c>
      <c r="C1768" s="6"/>
      <c r="D1768" s="6"/>
      <c r="E1768" s="6"/>
      <c r="F1768" s="15"/>
      <c r="G1768" s="6"/>
      <c r="H1768" s="6"/>
      <c r="I1768" s="6"/>
      <c r="J1768" s="16"/>
      <c r="K1768" s="6"/>
      <c r="L1768" s="16"/>
      <c r="M1768" s="17"/>
      <c r="N1768" s="15"/>
      <c r="O1768" s="23"/>
      <c r="P1768" s="21"/>
      <c r="Q1768" s="6"/>
      <c r="R1768" s="6"/>
      <c r="S1768" s="20"/>
      <c r="T1768" s="6"/>
      <c r="U1768" s="21"/>
      <c r="W1768" s="20"/>
      <c r="X1768" s="21"/>
      <c r="AD1768" s="23"/>
      <c r="AG1768" s="23"/>
    </row>
    <row r="1769" spans="2:33" ht="16">
      <c r="B1769" s="26" t="str">
        <f t="shared" si="7"/>
        <v/>
      </c>
      <c r="C1769" s="6"/>
      <c r="D1769" s="6"/>
      <c r="E1769" s="6"/>
      <c r="F1769" s="15"/>
      <c r="G1769" s="6"/>
      <c r="H1769" s="6"/>
      <c r="I1769" s="6"/>
      <c r="J1769" s="16"/>
      <c r="K1769" s="6"/>
      <c r="L1769" s="16"/>
      <c r="M1769" s="23"/>
      <c r="N1769" s="15"/>
      <c r="O1769" s="23"/>
      <c r="P1769" s="21"/>
      <c r="Q1769" s="6"/>
      <c r="R1769" s="6"/>
      <c r="S1769" s="20"/>
      <c r="T1769" s="6"/>
      <c r="U1769" s="21"/>
      <c r="W1769" s="20"/>
      <c r="X1769" s="21"/>
      <c r="AD1769" s="23"/>
      <c r="AG1769" s="23"/>
    </row>
    <row r="1770" spans="2:33" ht="16">
      <c r="B1770" s="26" t="str">
        <f t="shared" si="7"/>
        <v/>
      </c>
      <c r="C1770" s="6"/>
      <c r="D1770" s="6"/>
      <c r="E1770" s="6"/>
      <c r="F1770" s="15"/>
      <c r="G1770" s="6"/>
      <c r="H1770" s="6"/>
      <c r="I1770" s="6"/>
      <c r="J1770" s="16"/>
      <c r="K1770" s="6"/>
      <c r="L1770" s="16"/>
      <c r="M1770" s="23"/>
      <c r="N1770" s="15"/>
      <c r="O1770" s="17"/>
      <c r="P1770" s="21"/>
      <c r="Q1770" s="6"/>
      <c r="R1770" s="6"/>
      <c r="S1770" s="20"/>
      <c r="T1770" s="6"/>
      <c r="U1770" s="21"/>
      <c r="W1770" s="20"/>
      <c r="X1770" s="21"/>
      <c r="AD1770" s="23"/>
      <c r="AG1770" s="23"/>
    </row>
    <row r="1771" spans="2:33" ht="16">
      <c r="B1771" s="26" t="str">
        <f t="shared" si="7"/>
        <v/>
      </c>
      <c r="C1771" s="6"/>
      <c r="D1771" s="6"/>
      <c r="E1771" s="6"/>
      <c r="F1771" s="15"/>
      <c r="G1771" s="6"/>
      <c r="H1771" s="6"/>
      <c r="I1771" s="6"/>
      <c r="J1771" s="16"/>
      <c r="K1771" s="6"/>
      <c r="L1771" s="16"/>
      <c r="M1771" s="23"/>
      <c r="N1771" s="15"/>
      <c r="O1771" s="23"/>
      <c r="P1771" s="21"/>
      <c r="Q1771" s="6"/>
      <c r="R1771" s="6"/>
      <c r="S1771" s="20"/>
      <c r="T1771" s="6"/>
      <c r="U1771" s="21"/>
      <c r="W1771" s="20"/>
      <c r="X1771" s="21"/>
      <c r="AD1771" s="23"/>
      <c r="AG1771" s="17"/>
    </row>
    <row r="1772" spans="2:33" ht="16">
      <c r="B1772" s="26" t="str">
        <f t="shared" si="7"/>
        <v/>
      </c>
      <c r="C1772" s="6"/>
      <c r="D1772" s="6"/>
      <c r="E1772" s="6"/>
      <c r="F1772" s="15"/>
      <c r="G1772" s="6"/>
      <c r="H1772" s="6"/>
      <c r="I1772" s="6"/>
      <c r="J1772" s="16"/>
      <c r="K1772" s="6"/>
      <c r="L1772" s="16"/>
      <c r="M1772" s="23"/>
      <c r="N1772" s="15"/>
      <c r="O1772" s="23"/>
      <c r="P1772" s="21"/>
      <c r="Q1772" s="6"/>
      <c r="R1772" s="6"/>
      <c r="S1772" s="20"/>
      <c r="T1772" s="6"/>
      <c r="U1772" s="21"/>
      <c r="W1772" s="20"/>
      <c r="X1772" s="21"/>
      <c r="AD1772" s="17"/>
      <c r="AG1772" s="23"/>
    </row>
    <row r="1773" spans="2:33" ht="16">
      <c r="B1773" s="26" t="str">
        <f t="shared" si="7"/>
        <v/>
      </c>
      <c r="C1773" s="6"/>
      <c r="D1773" s="6"/>
      <c r="E1773" s="6"/>
      <c r="F1773" s="15"/>
      <c r="G1773" s="6"/>
      <c r="H1773" s="6"/>
      <c r="I1773" s="6"/>
      <c r="J1773" s="16"/>
      <c r="K1773" s="6"/>
      <c r="L1773" s="16"/>
      <c r="M1773" s="23"/>
      <c r="N1773" s="15"/>
      <c r="O1773" s="17"/>
      <c r="P1773" s="21"/>
      <c r="Q1773" s="6"/>
      <c r="R1773" s="6"/>
      <c r="S1773" s="20"/>
      <c r="T1773" s="6"/>
      <c r="U1773" s="21"/>
      <c r="W1773" s="20"/>
      <c r="X1773" s="21"/>
      <c r="AD1773" s="23"/>
      <c r="AG1773" s="23"/>
    </row>
    <row r="1774" spans="2:33" ht="16">
      <c r="B1774" s="26" t="str">
        <f t="shared" si="7"/>
        <v/>
      </c>
      <c r="C1774" s="6"/>
      <c r="D1774" s="6"/>
      <c r="E1774" s="6"/>
      <c r="F1774" s="15"/>
      <c r="G1774" s="6"/>
      <c r="H1774" s="6"/>
      <c r="I1774" s="6"/>
      <c r="J1774" s="16"/>
      <c r="K1774" s="6"/>
      <c r="L1774" s="16"/>
      <c r="M1774" s="17"/>
      <c r="N1774" s="15"/>
      <c r="O1774" s="17"/>
      <c r="P1774" s="21"/>
      <c r="Q1774" s="6"/>
      <c r="R1774" s="6"/>
      <c r="S1774" s="20"/>
      <c r="T1774" s="6"/>
      <c r="U1774" s="21"/>
      <c r="W1774" s="20"/>
      <c r="X1774" s="21"/>
      <c r="AD1774" s="17"/>
      <c r="AG1774" s="23"/>
    </row>
    <row r="1775" spans="2:33" ht="16">
      <c r="B1775" s="26" t="str">
        <f t="shared" si="7"/>
        <v/>
      </c>
      <c r="C1775" s="6"/>
      <c r="D1775" s="6"/>
      <c r="E1775" s="6"/>
      <c r="F1775" s="15"/>
      <c r="G1775" s="6"/>
      <c r="H1775" s="6"/>
      <c r="I1775" s="6"/>
      <c r="J1775" s="16"/>
      <c r="K1775" s="6"/>
      <c r="L1775" s="16"/>
      <c r="M1775" s="23"/>
      <c r="N1775" s="15"/>
      <c r="O1775" s="17"/>
      <c r="P1775" s="21"/>
      <c r="Q1775" s="6"/>
      <c r="R1775" s="6"/>
      <c r="S1775" s="20"/>
      <c r="T1775" s="6"/>
      <c r="U1775" s="21"/>
      <c r="W1775" s="20"/>
      <c r="X1775" s="21"/>
      <c r="AD1775" s="17"/>
      <c r="AG1775" s="23"/>
    </row>
    <row r="1776" spans="2:33" ht="16">
      <c r="B1776" s="26" t="str">
        <f t="shared" si="7"/>
        <v/>
      </c>
      <c r="C1776" s="6"/>
      <c r="D1776" s="6"/>
      <c r="E1776" s="6"/>
      <c r="F1776" s="15"/>
      <c r="G1776" s="6"/>
      <c r="H1776" s="6"/>
      <c r="I1776" s="6"/>
      <c r="J1776" s="16"/>
      <c r="K1776" s="6"/>
      <c r="L1776" s="16"/>
      <c r="M1776" s="23"/>
      <c r="N1776" s="15"/>
      <c r="O1776" s="23"/>
      <c r="P1776" s="21"/>
      <c r="Q1776" s="6"/>
      <c r="R1776" s="6"/>
      <c r="S1776" s="20"/>
      <c r="T1776" s="6"/>
      <c r="U1776" s="21"/>
      <c r="W1776" s="20"/>
      <c r="X1776" s="21"/>
      <c r="AD1776" s="23"/>
      <c r="AG1776" s="23"/>
    </row>
    <row r="1777" spans="2:33" ht="16">
      <c r="B1777" s="26" t="str">
        <f t="shared" si="7"/>
        <v/>
      </c>
      <c r="C1777" s="6"/>
      <c r="D1777" s="6"/>
      <c r="E1777" s="6"/>
      <c r="F1777" s="15"/>
      <c r="G1777" s="6"/>
      <c r="H1777" s="6"/>
      <c r="I1777" s="6"/>
      <c r="J1777" s="16"/>
      <c r="K1777" s="6"/>
      <c r="L1777" s="16"/>
      <c r="M1777" s="23"/>
      <c r="N1777" s="15"/>
      <c r="O1777" s="23"/>
      <c r="P1777" s="21"/>
      <c r="Q1777" s="6"/>
      <c r="R1777" s="6"/>
      <c r="S1777" s="20"/>
      <c r="T1777" s="6"/>
      <c r="U1777" s="21"/>
      <c r="W1777" s="20"/>
      <c r="X1777" s="21"/>
      <c r="AD1777" s="23"/>
      <c r="AG1777" s="23"/>
    </row>
    <row r="1778" spans="2:33" ht="16">
      <c r="B1778" s="26" t="str">
        <f t="shared" si="7"/>
        <v/>
      </c>
      <c r="C1778" s="6"/>
      <c r="D1778" s="6"/>
      <c r="E1778" s="6"/>
      <c r="F1778" s="15"/>
      <c r="G1778" s="6"/>
      <c r="H1778" s="6"/>
      <c r="I1778" s="6"/>
      <c r="J1778" s="16"/>
      <c r="K1778" s="6"/>
      <c r="L1778" s="16"/>
      <c r="M1778" s="23"/>
      <c r="N1778" s="15"/>
      <c r="O1778" s="23"/>
      <c r="P1778" s="21"/>
      <c r="Q1778" s="6"/>
      <c r="R1778" s="6"/>
      <c r="S1778" s="20"/>
      <c r="T1778" s="6"/>
      <c r="U1778" s="21"/>
      <c r="W1778" s="20"/>
      <c r="X1778" s="21"/>
      <c r="AD1778" s="23"/>
      <c r="AG1778" s="23"/>
    </row>
    <row r="1779" spans="2:33" ht="16">
      <c r="B1779" s="26" t="str">
        <f t="shared" si="7"/>
        <v/>
      </c>
      <c r="C1779" s="6"/>
      <c r="D1779" s="6"/>
      <c r="E1779" s="6"/>
      <c r="F1779" s="15"/>
      <c r="G1779" s="6"/>
      <c r="H1779" s="6"/>
      <c r="I1779" s="6"/>
      <c r="J1779" s="16"/>
      <c r="K1779" s="6"/>
      <c r="L1779" s="16"/>
      <c r="M1779" s="23"/>
      <c r="N1779" s="15"/>
      <c r="O1779" s="23"/>
      <c r="P1779" s="21"/>
      <c r="Q1779" s="6"/>
      <c r="R1779" s="6"/>
      <c r="S1779" s="20"/>
      <c r="T1779" s="6"/>
      <c r="U1779" s="21"/>
      <c r="W1779" s="20"/>
      <c r="X1779" s="21"/>
      <c r="AD1779" s="23"/>
      <c r="AG1779" s="17"/>
    </row>
    <row r="1780" spans="2:33" ht="16">
      <c r="B1780" s="26" t="str">
        <f t="shared" si="7"/>
        <v/>
      </c>
      <c r="C1780" s="6"/>
      <c r="D1780" s="6"/>
      <c r="E1780" s="6"/>
      <c r="F1780" s="15"/>
      <c r="G1780" s="6"/>
      <c r="H1780" s="6"/>
      <c r="I1780" s="6"/>
      <c r="J1780" s="16"/>
      <c r="K1780" s="6"/>
      <c r="L1780" s="16"/>
      <c r="M1780" s="23"/>
      <c r="N1780" s="15"/>
      <c r="O1780" s="23"/>
      <c r="P1780" s="21"/>
      <c r="Q1780" s="6"/>
      <c r="R1780" s="6"/>
      <c r="S1780" s="20"/>
      <c r="T1780" s="6"/>
      <c r="U1780" s="21"/>
      <c r="W1780" s="20"/>
      <c r="X1780" s="21"/>
      <c r="AD1780" s="23"/>
      <c r="AG1780" s="17"/>
    </row>
    <row r="1781" spans="2:33" ht="16">
      <c r="B1781" s="26" t="str">
        <f t="shared" si="7"/>
        <v/>
      </c>
      <c r="C1781" s="6"/>
      <c r="D1781" s="6"/>
      <c r="E1781" s="6"/>
      <c r="F1781" s="15"/>
      <c r="G1781" s="6"/>
      <c r="H1781" s="6"/>
      <c r="I1781" s="6"/>
      <c r="J1781" s="16"/>
      <c r="K1781" s="6"/>
      <c r="L1781" s="16"/>
      <c r="M1781" s="23"/>
      <c r="N1781" s="15"/>
      <c r="O1781" s="23"/>
      <c r="P1781" s="21"/>
      <c r="Q1781" s="6"/>
      <c r="R1781" s="6"/>
      <c r="S1781" s="20"/>
      <c r="T1781" s="6"/>
      <c r="U1781" s="21"/>
      <c r="W1781" s="20"/>
      <c r="X1781" s="21"/>
      <c r="AD1781" s="23"/>
      <c r="AG1781" s="23"/>
    </row>
    <row r="1782" spans="2:33" ht="16">
      <c r="B1782" s="26" t="str">
        <f t="shared" si="7"/>
        <v/>
      </c>
      <c r="C1782" s="6"/>
      <c r="D1782" s="6"/>
      <c r="E1782" s="6"/>
      <c r="F1782" s="15"/>
      <c r="G1782" s="6"/>
      <c r="H1782" s="6"/>
      <c r="I1782" s="6"/>
      <c r="J1782" s="16"/>
      <c r="K1782" s="6"/>
      <c r="L1782" s="16"/>
      <c r="M1782" s="23"/>
      <c r="N1782" s="15"/>
      <c r="O1782" s="17"/>
      <c r="P1782" s="21"/>
      <c r="Q1782" s="6"/>
      <c r="R1782" s="6"/>
      <c r="S1782" s="20"/>
      <c r="T1782" s="6"/>
      <c r="U1782" s="21"/>
      <c r="W1782" s="20"/>
      <c r="X1782" s="21"/>
      <c r="AD1782" s="23"/>
      <c r="AG1782" s="23"/>
    </row>
    <row r="1783" spans="2:33" ht="16">
      <c r="B1783" s="26" t="str">
        <f t="shared" si="7"/>
        <v/>
      </c>
      <c r="C1783" s="6"/>
      <c r="D1783" s="6"/>
      <c r="E1783" s="6"/>
      <c r="F1783" s="15"/>
      <c r="G1783" s="6"/>
      <c r="H1783" s="6"/>
      <c r="I1783" s="6"/>
      <c r="J1783" s="16"/>
      <c r="K1783" s="6"/>
      <c r="L1783" s="16"/>
      <c r="M1783" s="23"/>
      <c r="N1783" s="15"/>
      <c r="O1783" s="23"/>
      <c r="P1783" s="21"/>
      <c r="Q1783" s="6"/>
      <c r="R1783" s="6"/>
      <c r="S1783" s="20"/>
      <c r="T1783" s="6"/>
      <c r="U1783" s="21"/>
      <c r="W1783" s="20"/>
      <c r="X1783" s="21"/>
      <c r="AD1783" s="23"/>
      <c r="AG1783" s="23"/>
    </row>
    <row r="1784" spans="2:33" ht="16">
      <c r="B1784" s="26" t="str">
        <f t="shared" si="7"/>
        <v/>
      </c>
      <c r="C1784" s="6"/>
      <c r="D1784" s="6"/>
      <c r="E1784" s="6"/>
      <c r="F1784" s="15"/>
      <c r="G1784" s="6"/>
      <c r="H1784" s="6"/>
      <c r="I1784" s="6"/>
      <c r="J1784" s="16"/>
      <c r="K1784" s="6"/>
      <c r="L1784" s="16"/>
      <c r="M1784" s="17"/>
      <c r="N1784" s="15"/>
      <c r="O1784" s="17"/>
      <c r="P1784" s="21"/>
      <c r="Q1784" s="6"/>
      <c r="R1784" s="6"/>
      <c r="S1784" s="20"/>
      <c r="T1784" s="6"/>
      <c r="U1784" s="21"/>
      <c r="W1784" s="20"/>
      <c r="X1784" s="21"/>
      <c r="AD1784" s="17"/>
      <c r="AG1784" s="17"/>
    </row>
    <row r="1785" spans="2:33" ht="16">
      <c r="B1785" s="26" t="str">
        <f t="shared" si="7"/>
        <v/>
      </c>
      <c r="C1785" s="6"/>
      <c r="D1785" s="6"/>
      <c r="E1785" s="6"/>
      <c r="F1785" s="15"/>
      <c r="G1785" s="6"/>
      <c r="H1785" s="6"/>
      <c r="I1785" s="6"/>
      <c r="J1785" s="16"/>
      <c r="K1785" s="6"/>
      <c r="L1785" s="16"/>
      <c r="M1785" s="23"/>
      <c r="N1785" s="15"/>
      <c r="O1785" s="23"/>
      <c r="P1785" s="21"/>
      <c r="Q1785" s="6"/>
      <c r="R1785" s="6"/>
      <c r="S1785" s="20"/>
      <c r="T1785" s="6"/>
      <c r="U1785" s="21"/>
      <c r="W1785" s="20"/>
      <c r="X1785" s="21"/>
      <c r="AD1785" s="23"/>
      <c r="AG1785" s="23"/>
    </row>
    <row r="1786" spans="2:33" ht="16">
      <c r="B1786" s="26" t="str">
        <f t="shared" si="7"/>
        <v/>
      </c>
      <c r="C1786" s="6"/>
      <c r="D1786" s="6"/>
      <c r="E1786" s="6"/>
      <c r="F1786" s="15"/>
      <c r="G1786" s="6"/>
      <c r="H1786" s="6"/>
      <c r="I1786" s="6"/>
      <c r="J1786" s="16"/>
      <c r="K1786" s="6"/>
      <c r="L1786" s="16"/>
      <c r="M1786" s="23"/>
      <c r="N1786" s="15"/>
      <c r="O1786" s="23"/>
      <c r="P1786" s="21"/>
      <c r="Q1786" s="6"/>
      <c r="R1786" s="6"/>
      <c r="S1786" s="20"/>
      <c r="T1786" s="6"/>
      <c r="U1786" s="21"/>
      <c r="W1786" s="20"/>
      <c r="X1786" s="21"/>
      <c r="AD1786" s="23"/>
      <c r="AG1786" s="17"/>
    </row>
    <row r="1787" spans="2:33" ht="16">
      <c r="B1787" s="26" t="str">
        <f t="shared" si="7"/>
        <v/>
      </c>
      <c r="C1787" s="6"/>
      <c r="D1787" s="6"/>
      <c r="E1787" s="6"/>
      <c r="F1787" s="15"/>
      <c r="G1787" s="6"/>
      <c r="H1787" s="6"/>
      <c r="I1787" s="6"/>
      <c r="J1787" s="16"/>
      <c r="K1787" s="6"/>
      <c r="L1787" s="16"/>
      <c r="M1787" s="23"/>
      <c r="N1787" s="15"/>
      <c r="O1787" s="23"/>
      <c r="P1787" s="21"/>
      <c r="Q1787" s="6"/>
      <c r="R1787" s="6"/>
      <c r="S1787" s="20"/>
      <c r="T1787" s="6"/>
      <c r="U1787" s="21"/>
      <c r="W1787" s="20"/>
      <c r="X1787" s="21"/>
      <c r="AD1787" s="23"/>
      <c r="AG1787" s="17"/>
    </row>
    <row r="1788" spans="2:33" ht="16">
      <c r="B1788" s="26" t="str">
        <f t="shared" si="7"/>
        <v/>
      </c>
      <c r="C1788" s="6"/>
      <c r="D1788" s="6"/>
      <c r="E1788" s="6"/>
      <c r="F1788" s="15"/>
      <c r="G1788" s="6"/>
      <c r="H1788" s="6"/>
      <c r="I1788" s="6"/>
      <c r="J1788" s="16"/>
      <c r="K1788" s="6"/>
      <c r="L1788" s="16"/>
      <c r="M1788" s="23"/>
      <c r="N1788" s="15"/>
      <c r="O1788" s="23"/>
      <c r="P1788" s="21"/>
      <c r="Q1788" s="6"/>
      <c r="R1788" s="6"/>
      <c r="S1788" s="20"/>
      <c r="T1788" s="6"/>
      <c r="U1788" s="21"/>
      <c r="W1788" s="20"/>
      <c r="X1788" s="21"/>
      <c r="AD1788" s="23"/>
      <c r="AG1788" s="23"/>
    </row>
    <row r="1789" spans="2:33" ht="16">
      <c r="B1789" s="26" t="str">
        <f t="shared" si="7"/>
        <v/>
      </c>
      <c r="C1789" s="6"/>
      <c r="D1789" s="6"/>
      <c r="E1789" s="6"/>
      <c r="F1789" s="15"/>
      <c r="G1789" s="6"/>
      <c r="H1789" s="6"/>
      <c r="I1789" s="6"/>
      <c r="J1789" s="16"/>
      <c r="K1789" s="6"/>
      <c r="L1789" s="16"/>
      <c r="M1789" s="23"/>
      <c r="N1789" s="15"/>
      <c r="O1789" s="23"/>
      <c r="P1789" s="21"/>
      <c r="Q1789" s="6"/>
      <c r="R1789" s="6"/>
      <c r="S1789" s="20"/>
      <c r="T1789" s="6"/>
      <c r="U1789" s="21"/>
      <c r="W1789" s="20"/>
      <c r="X1789" s="21"/>
      <c r="AD1789" s="17"/>
      <c r="AG1789" s="23"/>
    </row>
    <row r="1790" spans="2:33" ht="16">
      <c r="B1790" s="26" t="str">
        <f t="shared" si="7"/>
        <v/>
      </c>
      <c r="C1790" s="6"/>
      <c r="D1790" s="6"/>
      <c r="E1790" s="6"/>
      <c r="F1790" s="15"/>
      <c r="G1790" s="6"/>
      <c r="H1790" s="6"/>
      <c r="I1790" s="6"/>
      <c r="J1790" s="16"/>
      <c r="K1790" s="6"/>
      <c r="L1790" s="16"/>
      <c r="M1790" s="17"/>
      <c r="N1790" s="15"/>
      <c r="O1790" s="23"/>
      <c r="P1790" s="21"/>
      <c r="Q1790" s="6"/>
      <c r="R1790" s="6"/>
      <c r="S1790" s="20"/>
      <c r="T1790" s="6"/>
      <c r="U1790" s="21"/>
      <c r="W1790" s="20"/>
      <c r="X1790" s="21"/>
      <c r="AD1790" s="23"/>
      <c r="AG1790" s="17"/>
    </row>
    <row r="1791" spans="2:33" ht="16">
      <c r="B1791" s="26" t="str">
        <f t="shared" si="7"/>
        <v/>
      </c>
      <c r="C1791" s="6"/>
      <c r="D1791" s="6"/>
      <c r="E1791" s="6"/>
      <c r="F1791" s="15"/>
      <c r="G1791" s="6"/>
      <c r="H1791" s="6"/>
      <c r="I1791" s="6"/>
      <c r="J1791" s="16"/>
      <c r="K1791" s="6"/>
      <c r="L1791" s="16"/>
      <c r="M1791" s="23"/>
      <c r="N1791" s="15"/>
      <c r="O1791" s="17"/>
      <c r="P1791" s="21"/>
      <c r="Q1791" s="6"/>
      <c r="R1791" s="6"/>
      <c r="S1791" s="20"/>
      <c r="T1791" s="6"/>
      <c r="U1791" s="21"/>
      <c r="W1791" s="20"/>
      <c r="X1791" s="21"/>
      <c r="AD1791" s="17"/>
      <c r="AG1791" s="23"/>
    </row>
    <row r="1792" spans="2:33" ht="16">
      <c r="B1792" s="26" t="str">
        <f t="shared" si="7"/>
        <v/>
      </c>
      <c r="C1792" s="6"/>
      <c r="D1792" s="6"/>
      <c r="E1792" s="6"/>
      <c r="F1792" s="15"/>
      <c r="G1792" s="6"/>
      <c r="H1792" s="6"/>
      <c r="I1792" s="6"/>
      <c r="J1792" s="16"/>
      <c r="K1792" s="6"/>
      <c r="L1792" s="16"/>
      <c r="M1792" s="23"/>
      <c r="N1792" s="15"/>
      <c r="O1792" s="23"/>
      <c r="P1792" s="21"/>
      <c r="Q1792" s="6"/>
      <c r="R1792" s="6"/>
      <c r="S1792" s="20"/>
      <c r="T1792" s="6"/>
      <c r="U1792" s="21"/>
      <c r="W1792" s="20"/>
      <c r="X1792" s="21"/>
      <c r="AD1792" s="23"/>
      <c r="AG1792" s="17"/>
    </row>
    <row r="1793" spans="2:33" ht="16">
      <c r="B1793" s="26" t="str">
        <f t="shared" si="7"/>
        <v/>
      </c>
      <c r="C1793" s="6"/>
      <c r="D1793" s="6"/>
      <c r="E1793" s="6"/>
      <c r="F1793" s="15"/>
      <c r="G1793" s="6"/>
      <c r="H1793" s="6"/>
      <c r="I1793" s="6"/>
      <c r="J1793" s="16"/>
      <c r="K1793" s="6"/>
      <c r="L1793" s="16"/>
      <c r="M1793" s="23"/>
      <c r="N1793" s="15"/>
      <c r="O1793" s="23"/>
      <c r="P1793" s="21"/>
      <c r="Q1793" s="6"/>
      <c r="R1793" s="6"/>
      <c r="S1793" s="20"/>
      <c r="T1793" s="6"/>
      <c r="U1793" s="21"/>
      <c r="W1793" s="20"/>
      <c r="X1793" s="21"/>
      <c r="AD1793" s="23"/>
      <c r="AG1793" s="17"/>
    </row>
    <row r="1794" spans="2:33" ht="16">
      <c r="B1794" s="26" t="str">
        <f t="shared" si="7"/>
        <v/>
      </c>
      <c r="C1794" s="6"/>
      <c r="D1794" s="6"/>
      <c r="E1794" s="6"/>
      <c r="F1794" s="15"/>
      <c r="G1794" s="6"/>
      <c r="H1794" s="6"/>
      <c r="I1794" s="6"/>
      <c r="J1794" s="16"/>
      <c r="K1794" s="6"/>
      <c r="L1794" s="16"/>
      <c r="M1794" s="23"/>
      <c r="N1794" s="15"/>
      <c r="O1794" s="23"/>
      <c r="P1794" s="21"/>
      <c r="Q1794" s="6"/>
      <c r="R1794" s="6"/>
      <c r="S1794" s="20"/>
      <c r="T1794" s="6"/>
      <c r="U1794" s="21"/>
      <c r="W1794" s="20"/>
      <c r="X1794" s="21"/>
      <c r="AD1794" s="23"/>
      <c r="AG1794" s="17"/>
    </row>
    <row r="1795" spans="2:33" ht="16">
      <c r="B1795" s="26" t="str">
        <f t="shared" si="7"/>
        <v/>
      </c>
      <c r="C1795" s="6"/>
      <c r="D1795" s="6"/>
      <c r="E1795" s="6"/>
      <c r="F1795" s="15"/>
      <c r="G1795" s="6"/>
      <c r="H1795" s="6"/>
      <c r="I1795" s="6"/>
      <c r="J1795" s="16"/>
      <c r="K1795" s="6"/>
      <c r="L1795" s="16"/>
      <c r="M1795" s="23"/>
      <c r="N1795" s="15"/>
      <c r="O1795" s="23"/>
      <c r="P1795" s="21"/>
      <c r="Q1795" s="6"/>
      <c r="R1795" s="6"/>
      <c r="S1795" s="20"/>
      <c r="T1795" s="6"/>
      <c r="U1795" s="21"/>
      <c r="W1795" s="20"/>
      <c r="X1795" s="21"/>
      <c r="AD1795" s="23"/>
      <c r="AG1795" s="23"/>
    </row>
    <row r="1796" spans="2:33" ht="16">
      <c r="B1796" s="26" t="str">
        <f t="shared" si="7"/>
        <v/>
      </c>
      <c r="C1796" s="6"/>
      <c r="D1796" s="6"/>
      <c r="E1796" s="6"/>
      <c r="F1796" s="15"/>
      <c r="G1796" s="6"/>
      <c r="H1796" s="6"/>
      <c r="I1796" s="6"/>
      <c r="J1796" s="16"/>
      <c r="K1796" s="6"/>
      <c r="L1796" s="16"/>
      <c r="M1796" s="23"/>
      <c r="N1796" s="15"/>
      <c r="O1796" s="23"/>
      <c r="P1796" s="21"/>
      <c r="Q1796" s="6"/>
      <c r="R1796" s="6"/>
      <c r="S1796" s="20"/>
      <c r="T1796" s="6"/>
      <c r="U1796" s="21"/>
      <c r="W1796" s="20"/>
      <c r="X1796" s="21"/>
      <c r="AD1796" s="23"/>
      <c r="AG1796" s="23"/>
    </row>
    <row r="1797" spans="2:33" ht="16">
      <c r="B1797" s="26" t="str">
        <f t="shared" si="7"/>
        <v/>
      </c>
      <c r="C1797" s="6"/>
      <c r="D1797" s="6"/>
      <c r="E1797" s="6"/>
      <c r="F1797" s="15"/>
      <c r="G1797" s="6"/>
      <c r="H1797" s="6"/>
      <c r="I1797" s="6"/>
      <c r="J1797" s="16"/>
      <c r="K1797" s="6"/>
      <c r="L1797" s="16"/>
      <c r="M1797" s="23"/>
      <c r="N1797" s="15"/>
      <c r="O1797" s="23"/>
      <c r="P1797" s="21"/>
      <c r="Q1797" s="6"/>
      <c r="R1797" s="6"/>
      <c r="S1797" s="20"/>
      <c r="T1797" s="6"/>
      <c r="U1797" s="21"/>
      <c r="W1797" s="20"/>
      <c r="X1797" s="21"/>
      <c r="AD1797" s="23"/>
      <c r="AG1797" s="23"/>
    </row>
    <row r="1798" spans="2:33" ht="16">
      <c r="B1798" s="26" t="str">
        <f t="shared" si="7"/>
        <v/>
      </c>
      <c r="C1798" s="6"/>
      <c r="D1798" s="6"/>
      <c r="E1798" s="6"/>
      <c r="F1798" s="15"/>
      <c r="G1798" s="6"/>
      <c r="H1798" s="6"/>
      <c r="I1798" s="6"/>
      <c r="J1798" s="16"/>
      <c r="K1798" s="6"/>
      <c r="L1798" s="16"/>
      <c r="M1798" s="23"/>
      <c r="N1798" s="15"/>
      <c r="O1798" s="23"/>
      <c r="P1798" s="21"/>
      <c r="Q1798" s="6"/>
      <c r="R1798" s="6"/>
      <c r="S1798" s="20"/>
      <c r="T1798" s="6"/>
      <c r="U1798" s="21"/>
      <c r="W1798" s="20"/>
      <c r="X1798" s="21"/>
      <c r="AD1798" s="23"/>
      <c r="AG1798" s="23"/>
    </row>
    <row r="1799" spans="2:33" ht="16">
      <c r="B1799" s="26" t="str">
        <f t="shared" si="7"/>
        <v/>
      </c>
      <c r="C1799" s="23"/>
      <c r="D1799" s="6"/>
      <c r="E1799" s="6"/>
      <c r="F1799" s="15"/>
      <c r="G1799" s="6"/>
      <c r="H1799" s="6"/>
      <c r="I1799" s="6"/>
      <c r="J1799" s="16"/>
      <c r="K1799" s="6"/>
      <c r="L1799" s="16"/>
      <c r="M1799" s="23"/>
      <c r="N1799" s="15"/>
      <c r="O1799" s="23"/>
      <c r="P1799" s="21"/>
      <c r="Q1799" s="6"/>
      <c r="R1799" s="6"/>
      <c r="S1799" s="20"/>
      <c r="T1799" s="6"/>
      <c r="U1799" s="21"/>
      <c r="W1799" s="20"/>
      <c r="X1799" s="21"/>
      <c r="AD1799" s="23"/>
      <c r="AG1799" s="23"/>
    </row>
    <row r="1800" spans="2:33" ht="16">
      <c r="B1800" s="26" t="str">
        <f t="shared" si="7"/>
        <v/>
      </c>
      <c r="C1800" s="6"/>
      <c r="D1800" s="6"/>
      <c r="E1800" s="6"/>
      <c r="F1800" s="15"/>
      <c r="G1800" s="6"/>
      <c r="H1800" s="6"/>
      <c r="I1800" s="6"/>
      <c r="J1800" s="16"/>
      <c r="K1800" s="6"/>
      <c r="L1800" s="16"/>
      <c r="M1800" s="23"/>
      <c r="N1800" s="15"/>
      <c r="O1800" s="23"/>
      <c r="P1800" s="21"/>
      <c r="Q1800" s="6"/>
      <c r="R1800" s="6"/>
      <c r="S1800" s="20"/>
      <c r="T1800" s="6"/>
      <c r="U1800" s="21"/>
      <c r="W1800" s="20"/>
      <c r="X1800" s="21"/>
      <c r="AD1800" s="23"/>
      <c r="AG1800" s="17"/>
    </row>
    <row r="1801" spans="2:33" ht="16">
      <c r="B1801" s="26" t="str">
        <f t="shared" si="7"/>
        <v/>
      </c>
      <c r="C1801" s="6"/>
      <c r="D1801" s="6"/>
      <c r="E1801" s="6"/>
      <c r="F1801" s="15"/>
      <c r="G1801" s="6"/>
      <c r="H1801" s="6"/>
      <c r="I1801" s="6"/>
      <c r="J1801" s="16"/>
      <c r="K1801" s="6"/>
      <c r="L1801" s="16"/>
      <c r="M1801" s="23"/>
      <c r="N1801" s="15"/>
      <c r="O1801" s="23"/>
      <c r="P1801" s="21"/>
      <c r="Q1801" s="6"/>
      <c r="R1801" s="6"/>
      <c r="S1801" s="20"/>
      <c r="T1801" s="6"/>
      <c r="U1801" s="21"/>
      <c r="W1801" s="20"/>
      <c r="X1801" s="21"/>
      <c r="AD1801" s="23"/>
      <c r="AG1801" s="23"/>
    </row>
    <row r="1802" spans="2:33" ht="16">
      <c r="B1802" s="26" t="str">
        <f t="shared" si="7"/>
        <v/>
      </c>
      <c r="C1802" s="6"/>
      <c r="D1802" s="6"/>
      <c r="E1802" s="6"/>
      <c r="F1802" s="15"/>
      <c r="G1802" s="6"/>
      <c r="H1802" s="6"/>
      <c r="I1802" s="6"/>
      <c r="J1802" s="16"/>
      <c r="K1802" s="6"/>
      <c r="L1802" s="16"/>
      <c r="M1802" s="17"/>
      <c r="N1802" s="15"/>
      <c r="O1802" s="17"/>
      <c r="P1802" s="21"/>
      <c r="Q1802" s="6"/>
      <c r="R1802" s="6"/>
      <c r="S1802" s="20"/>
      <c r="T1802" s="6"/>
      <c r="U1802" s="21"/>
      <c r="W1802" s="20"/>
      <c r="X1802" s="21"/>
      <c r="AD1802" s="17"/>
      <c r="AG1802" s="17"/>
    </row>
    <row r="1803" spans="2:33" ht="16">
      <c r="B1803" s="26" t="str">
        <f t="shared" si="7"/>
        <v/>
      </c>
      <c r="C1803" s="6"/>
      <c r="D1803" s="6"/>
      <c r="E1803" s="6"/>
      <c r="F1803" s="15"/>
      <c r="G1803" s="6"/>
      <c r="H1803" s="6"/>
      <c r="I1803" s="6"/>
      <c r="J1803" s="16"/>
      <c r="K1803" s="6"/>
      <c r="L1803" s="16"/>
      <c r="M1803" s="23"/>
      <c r="N1803" s="15"/>
      <c r="O1803" s="23"/>
      <c r="P1803" s="21"/>
      <c r="Q1803" s="6"/>
      <c r="R1803" s="6"/>
      <c r="S1803" s="20"/>
      <c r="T1803" s="6"/>
      <c r="U1803" s="21"/>
      <c r="W1803" s="20"/>
      <c r="X1803" s="21"/>
      <c r="AD1803" s="23"/>
      <c r="AG1803" s="23"/>
    </row>
    <row r="1804" spans="2:33" ht="16">
      <c r="B1804" s="26" t="str">
        <f t="shared" si="7"/>
        <v/>
      </c>
      <c r="C1804" s="6"/>
      <c r="D1804" s="6"/>
      <c r="E1804" s="6"/>
      <c r="F1804" s="15"/>
      <c r="G1804" s="6"/>
      <c r="H1804" s="6"/>
      <c r="I1804" s="6"/>
      <c r="J1804" s="16"/>
      <c r="K1804" s="6"/>
      <c r="L1804" s="16"/>
      <c r="M1804" s="17"/>
      <c r="N1804" s="15"/>
      <c r="O1804" s="17"/>
      <c r="P1804" s="21"/>
      <c r="Q1804" s="6"/>
      <c r="R1804" s="6"/>
      <c r="S1804" s="20"/>
      <c r="T1804" s="6"/>
      <c r="U1804" s="21"/>
      <c r="W1804" s="20"/>
      <c r="X1804" s="21"/>
      <c r="AD1804" s="17"/>
      <c r="AG1804" s="23"/>
    </row>
    <row r="1805" spans="2:33" ht="16">
      <c r="B1805" s="26" t="str">
        <f t="shared" si="7"/>
        <v/>
      </c>
      <c r="C1805" s="6"/>
      <c r="D1805" s="6"/>
      <c r="E1805" s="6"/>
      <c r="F1805" s="15"/>
      <c r="G1805" s="6"/>
      <c r="H1805" s="6"/>
      <c r="I1805" s="6"/>
      <c r="J1805" s="16"/>
      <c r="K1805" s="6"/>
      <c r="L1805" s="16"/>
      <c r="M1805" s="23"/>
      <c r="N1805" s="15"/>
      <c r="O1805" s="17"/>
      <c r="P1805" s="21"/>
      <c r="Q1805" s="6"/>
      <c r="R1805" s="6"/>
      <c r="S1805" s="20"/>
      <c r="T1805" s="6"/>
      <c r="U1805" s="21"/>
      <c r="W1805" s="20"/>
      <c r="X1805" s="21"/>
      <c r="AD1805" s="17"/>
      <c r="AG1805" s="23"/>
    </row>
    <row r="1806" spans="2:33" ht="16">
      <c r="B1806" s="26" t="str">
        <f t="shared" si="7"/>
        <v/>
      </c>
      <c r="C1806" s="6"/>
      <c r="D1806" s="6"/>
      <c r="E1806" s="6"/>
      <c r="F1806" s="15"/>
      <c r="G1806" s="6"/>
      <c r="H1806" s="6"/>
      <c r="I1806" s="6"/>
      <c r="J1806" s="16"/>
      <c r="K1806" s="6"/>
      <c r="L1806" s="16"/>
      <c r="M1806" s="17"/>
      <c r="N1806" s="15"/>
      <c r="O1806" s="17"/>
      <c r="P1806" s="21"/>
      <c r="Q1806" s="6"/>
      <c r="R1806" s="6"/>
      <c r="S1806" s="20"/>
      <c r="T1806" s="6"/>
      <c r="U1806" s="21"/>
      <c r="W1806" s="20"/>
      <c r="X1806" s="21"/>
      <c r="AD1806" s="17"/>
      <c r="AG1806" s="23"/>
    </row>
    <row r="1807" spans="2:33" ht="16">
      <c r="B1807" s="26" t="str">
        <f t="shared" si="7"/>
        <v/>
      </c>
      <c r="C1807" s="6"/>
      <c r="D1807" s="6"/>
      <c r="E1807" s="6"/>
      <c r="F1807" s="15"/>
      <c r="G1807" s="6"/>
      <c r="H1807" s="6"/>
      <c r="I1807" s="6"/>
      <c r="J1807" s="16"/>
      <c r="K1807" s="6"/>
      <c r="L1807" s="16"/>
      <c r="M1807" s="23"/>
      <c r="N1807" s="15"/>
      <c r="O1807" s="23"/>
      <c r="P1807" s="21"/>
      <c r="Q1807" s="6"/>
      <c r="R1807" s="6"/>
      <c r="S1807" s="20"/>
      <c r="T1807" s="6"/>
      <c r="U1807" s="21"/>
      <c r="W1807" s="20"/>
      <c r="X1807" s="21"/>
      <c r="AD1807" s="23"/>
      <c r="AG1807" s="17"/>
    </row>
    <row r="1808" spans="2:33" ht="16">
      <c r="B1808" s="26" t="str">
        <f t="shared" si="7"/>
        <v/>
      </c>
      <c r="C1808" s="6"/>
      <c r="D1808" s="6"/>
      <c r="E1808" s="6"/>
      <c r="F1808" s="15"/>
      <c r="G1808" s="6"/>
      <c r="H1808" s="6"/>
      <c r="I1808" s="6"/>
      <c r="J1808" s="16"/>
      <c r="K1808" s="6"/>
      <c r="L1808" s="16"/>
      <c r="M1808" s="23"/>
      <c r="N1808" s="15"/>
      <c r="O1808" s="23"/>
      <c r="P1808" s="21"/>
      <c r="Q1808" s="6"/>
      <c r="R1808" s="6"/>
      <c r="S1808" s="20"/>
      <c r="T1808" s="6"/>
      <c r="U1808" s="21"/>
      <c r="W1808" s="20"/>
      <c r="X1808" s="21"/>
      <c r="AD1808" s="23"/>
      <c r="AG1808" s="17"/>
    </row>
    <row r="1809" spans="2:33" ht="16">
      <c r="B1809" s="26" t="str">
        <f t="shared" si="7"/>
        <v/>
      </c>
      <c r="C1809" s="6"/>
      <c r="D1809" s="6"/>
      <c r="E1809" s="6"/>
      <c r="F1809" s="15"/>
      <c r="G1809" s="6"/>
      <c r="H1809" s="6"/>
      <c r="I1809" s="6"/>
      <c r="J1809" s="16"/>
      <c r="K1809" s="6"/>
      <c r="L1809" s="16"/>
      <c r="M1809" s="23"/>
      <c r="N1809" s="15"/>
      <c r="O1809" s="23"/>
      <c r="P1809" s="21"/>
      <c r="Q1809" s="6"/>
      <c r="R1809" s="6"/>
      <c r="S1809" s="20"/>
      <c r="T1809" s="6"/>
      <c r="U1809" s="21"/>
      <c r="W1809" s="20"/>
      <c r="X1809" s="21"/>
      <c r="AD1809" s="23"/>
      <c r="AG1809" s="17"/>
    </row>
    <row r="1810" spans="2:33" ht="16">
      <c r="B1810" s="26" t="str">
        <f t="shared" si="7"/>
        <v/>
      </c>
      <c r="C1810" s="6"/>
      <c r="D1810" s="6"/>
      <c r="E1810" s="6"/>
      <c r="F1810" s="15"/>
      <c r="G1810" s="6"/>
      <c r="H1810" s="6"/>
      <c r="I1810" s="6"/>
      <c r="J1810" s="16"/>
      <c r="K1810" s="6"/>
      <c r="L1810" s="16"/>
      <c r="M1810" s="17"/>
      <c r="N1810" s="15"/>
      <c r="O1810" s="17"/>
      <c r="P1810" s="21"/>
      <c r="Q1810" s="6"/>
      <c r="R1810" s="6"/>
      <c r="S1810" s="20"/>
      <c r="T1810" s="6"/>
      <c r="U1810" s="21"/>
      <c r="W1810" s="20"/>
      <c r="X1810" s="21"/>
      <c r="AD1810" s="17"/>
      <c r="AG1810" s="23"/>
    </row>
    <row r="1811" spans="2:33" ht="16">
      <c r="B1811" s="26" t="str">
        <f t="shared" si="7"/>
        <v/>
      </c>
      <c r="C1811" s="6"/>
      <c r="D1811" s="6"/>
      <c r="E1811" s="6"/>
      <c r="F1811" s="15"/>
      <c r="G1811" s="6"/>
      <c r="H1811" s="6"/>
      <c r="I1811" s="6"/>
      <c r="J1811" s="16"/>
      <c r="K1811" s="6"/>
      <c r="L1811" s="16"/>
      <c r="M1811" s="23"/>
      <c r="N1811" s="15"/>
      <c r="O1811" s="23"/>
      <c r="P1811" s="21"/>
      <c r="Q1811" s="6"/>
      <c r="R1811" s="6"/>
      <c r="S1811" s="20"/>
      <c r="T1811" s="6"/>
      <c r="U1811" s="21"/>
      <c r="W1811" s="20"/>
      <c r="X1811" s="21"/>
      <c r="AD1811" s="23"/>
      <c r="AG1811" s="17"/>
    </row>
    <row r="1812" spans="2:33" ht="16">
      <c r="B1812" s="26" t="str">
        <f t="shared" ref="B1812:B2066" si="8">IF($H1812="","",LEFT(C1812,3))</f>
        <v/>
      </c>
      <c r="C1812" s="6"/>
      <c r="D1812" s="6"/>
      <c r="E1812" s="6"/>
      <c r="F1812" s="15"/>
      <c r="G1812" s="6"/>
      <c r="H1812" s="6"/>
      <c r="I1812" s="6"/>
      <c r="J1812" s="16"/>
      <c r="K1812" s="6"/>
      <c r="L1812" s="16"/>
      <c r="M1812" s="23"/>
      <c r="N1812" s="15"/>
      <c r="O1812" s="23"/>
      <c r="P1812" s="21"/>
      <c r="Q1812" s="6"/>
      <c r="R1812" s="6"/>
      <c r="S1812" s="20"/>
      <c r="T1812" s="6"/>
      <c r="U1812" s="21"/>
      <c r="W1812" s="20"/>
      <c r="X1812" s="21"/>
      <c r="AD1812" s="23"/>
      <c r="AG1812" s="17"/>
    </row>
    <row r="1813" spans="2:33" ht="16">
      <c r="B1813" s="26" t="str">
        <f t="shared" si="8"/>
        <v/>
      </c>
      <c r="C1813" s="6"/>
      <c r="D1813" s="6"/>
      <c r="E1813" s="6"/>
      <c r="F1813" s="15"/>
      <c r="G1813" s="6"/>
      <c r="H1813" s="6"/>
      <c r="I1813" s="6"/>
      <c r="J1813" s="16"/>
      <c r="K1813" s="6"/>
      <c r="L1813" s="16"/>
      <c r="M1813" s="23"/>
      <c r="N1813" s="15"/>
      <c r="O1813" s="23"/>
      <c r="P1813" s="21"/>
      <c r="Q1813" s="6"/>
      <c r="R1813" s="6"/>
      <c r="S1813" s="20"/>
      <c r="T1813" s="6"/>
      <c r="U1813" s="21"/>
      <c r="W1813" s="20"/>
      <c r="X1813" s="21"/>
      <c r="AD1813" s="23"/>
      <c r="AG1813" s="17"/>
    </row>
    <row r="1814" spans="2:33" ht="16">
      <c r="B1814" s="26" t="str">
        <f t="shared" si="8"/>
        <v/>
      </c>
      <c r="C1814" s="6"/>
      <c r="D1814" s="6"/>
      <c r="E1814" s="6"/>
      <c r="F1814" s="15"/>
      <c r="G1814" s="6"/>
      <c r="H1814" s="6"/>
      <c r="I1814" s="6"/>
      <c r="J1814" s="16"/>
      <c r="K1814" s="6"/>
      <c r="L1814" s="16"/>
      <c r="M1814" s="23"/>
      <c r="N1814" s="15"/>
      <c r="O1814" s="23"/>
      <c r="P1814" s="21"/>
      <c r="Q1814" s="6"/>
      <c r="R1814" s="6"/>
      <c r="S1814" s="20"/>
      <c r="T1814" s="6"/>
      <c r="U1814" s="21"/>
      <c r="W1814" s="20"/>
      <c r="X1814" s="21"/>
      <c r="AD1814" s="23"/>
      <c r="AG1814" s="23"/>
    </row>
    <row r="1815" spans="2:33" ht="16">
      <c r="B1815" s="26" t="str">
        <f t="shared" si="8"/>
        <v/>
      </c>
      <c r="C1815" s="6"/>
      <c r="D1815" s="6"/>
      <c r="E1815" s="6"/>
      <c r="F1815" s="15"/>
      <c r="G1815" s="6"/>
      <c r="H1815" s="6"/>
      <c r="I1815" s="6"/>
      <c r="J1815" s="16"/>
      <c r="K1815" s="6"/>
      <c r="L1815" s="16"/>
      <c r="M1815" s="23"/>
      <c r="N1815" s="15"/>
      <c r="O1815" s="23"/>
      <c r="P1815" s="21"/>
      <c r="Q1815" s="6"/>
      <c r="R1815" s="6"/>
      <c r="S1815" s="20"/>
      <c r="T1815" s="6"/>
      <c r="U1815" s="21"/>
      <c r="W1815" s="20"/>
      <c r="X1815" s="21"/>
      <c r="AD1815" s="17"/>
      <c r="AG1815" s="23"/>
    </row>
    <row r="1816" spans="2:33" ht="16">
      <c r="B1816" s="26" t="str">
        <f t="shared" si="8"/>
        <v/>
      </c>
      <c r="C1816" s="6"/>
      <c r="D1816" s="6"/>
      <c r="E1816" s="6"/>
      <c r="F1816" s="15"/>
      <c r="G1816" s="6"/>
      <c r="H1816" s="6"/>
      <c r="I1816" s="6"/>
      <c r="J1816" s="16"/>
      <c r="K1816" s="6"/>
      <c r="L1816" s="16"/>
      <c r="M1816" s="17"/>
      <c r="N1816" s="15"/>
      <c r="O1816" s="17"/>
      <c r="P1816" s="21"/>
      <c r="Q1816" s="6"/>
      <c r="R1816" s="6"/>
      <c r="S1816" s="20"/>
      <c r="T1816" s="6"/>
      <c r="U1816" s="21"/>
      <c r="W1816" s="20"/>
      <c r="X1816" s="21"/>
      <c r="AD1816" s="17"/>
      <c r="AG1816" s="23"/>
    </row>
    <row r="1817" spans="2:33" ht="16">
      <c r="B1817" s="26" t="str">
        <f t="shared" si="8"/>
        <v/>
      </c>
      <c r="C1817" s="6"/>
      <c r="D1817" s="6"/>
      <c r="E1817" s="6"/>
      <c r="F1817" s="15"/>
      <c r="G1817" s="6"/>
      <c r="H1817" s="6"/>
      <c r="I1817" s="6"/>
      <c r="J1817" s="16"/>
      <c r="K1817" s="6"/>
      <c r="L1817" s="16"/>
      <c r="M1817" s="17"/>
      <c r="N1817" s="15"/>
      <c r="O1817" s="23"/>
      <c r="P1817" s="21"/>
      <c r="Q1817" s="6"/>
      <c r="R1817" s="6"/>
      <c r="S1817" s="20"/>
      <c r="T1817" s="6"/>
      <c r="U1817" s="21"/>
      <c r="W1817" s="20"/>
      <c r="X1817" s="21"/>
      <c r="AD1817" s="17"/>
      <c r="AG1817" s="23"/>
    </row>
    <row r="1818" spans="2:33" ht="16">
      <c r="B1818" s="26" t="str">
        <f t="shared" si="8"/>
        <v/>
      </c>
      <c r="C1818" s="6"/>
      <c r="D1818" s="6"/>
      <c r="E1818" s="6"/>
      <c r="F1818" s="15"/>
      <c r="G1818" s="6"/>
      <c r="H1818" s="6"/>
      <c r="I1818" s="6"/>
      <c r="J1818" s="16"/>
      <c r="K1818" s="6"/>
      <c r="L1818" s="16"/>
      <c r="M1818" s="23"/>
      <c r="N1818" s="15"/>
      <c r="O1818" s="23"/>
      <c r="P1818" s="21"/>
      <c r="Q1818" s="6"/>
      <c r="R1818" s="6"/>
      <c r="S1818" s="20"/>
      <c r="T1818" s="6"/>
      <c r="U1818" s="21"/>
      <c r="W1818" s="20"/>
      <c r="X1818" s="21"/>
      <c r="AD1818" s="23"/>
      <c r="AG1818" s="23"/>
    </row>
    <row r="1819" spans="2:33" ht="16">
      <c r="B1819" s="26" t="str">
        <f t="shared" si="8"/>
        <v/>
      </c>
      <c r="C1819" s="6"/>
      <c r="D1819" s="6"/>
      <c r="E1819" s="6"/>
      <c r="F1819" s="15"/>
      <c r="G1819" s="6"/>
      <c r="H1819" s="6"/>
      <c r="I1819" s="6"/>
      <c r="J1819" s="16"/>
      <c r="K1819" s="6"/>
      <c r="L1819" s="16"/>
      <c r="M1819" s="17"/>
      <c r="N1819" s="15"/>
      <c r="O1819" s="17"/>
      <c r="P1819" s="21"/>
      <c r="Q1819" s="6"/>
      <c r="R1819" s="6"/>
      <c r="S1819" s="20"/>
      <c r="T1819" s="6"/>
      <c r="U1819" s="21"/>
      <c r="W1819" s="20"/>
      <c r="X1819" s="21"/>
      <c r="AD1819" s="17"/>
      <c r="AG1819" s="23"/>
    </row>
    <row r="1820" spans="2:33" ht="16">
      <c r="B1820" s="26" t="str">
        <f t="shared" si="8"/>
        <v/>
      </c>
      <c r="C1820" s="6"/>
      <c r="D1820" s="6"/>
      <c r="E1820" s="6"/>
      <c r="F1820" s="15"/>
      <c r="G1820" s="6"/>
      <c r="H1820" s="6"/>
      <c r="I1820" s="6"/>
      <c r="J1820" s="16"/>
      <c r="K1820" s="6"/>
      <c r="L1820" s="16"/>
      <c r="M1820" s="23"/>
      <c r="N1820" s="15"/>
      <c r="O1820" s="23"/>
      <c r="P1820" s="21"/>
      <c r="Q1820" s="6"/>
      <c r="R1820" s="6"/>
      <c r="S1820" s="20"/>
      <c r="T1820" s="6"/>
      <c r="U1820" s="21"/>
      <c r="W1820" s="20"/>
      <c r="X1820" s="21"/>
      <c r="AD1820" s="23"/>
      <c r="AG1820" s="23"/>
    </row>
    <row r="1821" spans="2:33" ht="16">
      <c r="B1821" s="26" t="str">
        <f t="shared" si="8"/>
        <v/>
      </c>
      <c r="C1821" s="6"/>
      <c r="D1821" s="6"/>
      <c r="E1821" s="6"/>
      <c r="F1821" s="15"/>
      <c r="G1821" s="6"/>
      <c r="H1821" s="6"/>
      <c r="I1821" s="6"/>
      <c r="J1821" s="16"/>
      <c r="K1821" s="6"/>
      <c r="L1821" s="16"/>
      <c r="M1821" s="23"/>
      <c r="N1821" s="15"/>
      <c r="O1821" s="23"/>
      <c r="P1821" s="21"/>
      <c r="Q1821" s="6"/>
      <c r="R1821" s="6"/>
      <c r="S1821" s="20"/>
      <c r="T1821" s="6"/>
      <c r="U1821" s="21"/>
      <c r="W1821" s="20"/>
      <c r="X1821" s="21"/>
      <c r="AD1821" s="23"/>
      <c r="AG1821" s="23"/>
    </row>
    <row r="1822" spans="2:33" ht="16">
      <c r="B1822" s="26" t="str">
        <f t="shared" si="8"/>
        <v/>
      </c>
      <c r="C1822" s="6"/>
      <c r="D1822" s="6"/>
      <c r="E1822" s="6"/>
      <c r="F1822" s="15"/>
      <c r="G1822" s="6"/>
      <c r="H1822" s="6"/>
      <c r="I1822" s="6"/>
      <c r="J1822" s="16"/>
      <c r="K1822" s="6"/>
      <c r="L1822" s="16"/>
      <c r="M1822" s="23"/>
      <c r="N1822" s="15"/>
      <c r="O1822" s="23"/>
      <c r="P1822" s="21"/>
      <c r="Q1822" s="6"/>
      <c r="R1822" s="6"/>
      <c r="S1822" s="20"/>
      <c r="T1822" s="6"/>
      <c r="U1822" s="21"/>
      <c r="W1822" s="20"/>
      <c r="X1822" s="21"/>
      <c r="AD1822" s="23"/>
      <c r="AG1822" s="17"/>
    </row>
    <row r="1823" spans="2:33" ht="16">
      <c r="B1823" s="26" t="str">
        <f t="shared" si="8"/>
        <v/>
      </c>
      <c r="C1823" s="6"/>
      <c r="D1823" s="6"/>
      <c r="E1823" s="6"/>
      <c r="F1823" s="15"/>
      <c r="G1823" s="6"/>
      <c r="H1823" s="6"/>
      <c r="I1823" s="6"/>
      <c r="J1823" s="16"/>
      <c r="K1823" s="6"/>
      <c r="L1823" s="16"/>
      <c r="M1823" s="23"/>
      <c r="N1823" s="15"/>
      <c r="O1823" s="23"/>
      <c r="P1823" s="21"/>
      <c r="Q1823" s="6"/>
      <c r="R1823" s="6"/>
      <c r="S1823" s="20"/>
      <c r="T1823" s="6"/>
      <c r="U1823" s="21"/>
      <c r="W1823" s="20"/>
      <c r="X1823" s="21"/>
      <c r="AD1823" s="23"/>
      <c r="AG1823" s="23"/>
    </row>
    <row r="1824" spans="2:33" ht="16">
      <c r="B1824" s="26" t="str">
        <f t="shared" si="8"/>
        <v/>
      </c>
      <c r="C1824" s="6"/>
      <c r="D1824" s="6"/>
      <c r="E1824" s="6"/>
      <c r="F1824" s="15"/>
      <c r="G1824" s="6"/>
      <c r="H1824" s="6"/>
      <c r="I1824" s="6"/>
      <c r="J1824" s="16"/>
      <c r="K1824" s="6"/>
      <c r="L1824" s="16"/>
      <c r="M1824" s="23"/>
      <c r="N1824" s="15"/>
      <c r="O1824" s="23"/>
      <c r="P1824" s="21"/>
      <c r="Q1824" s="6"/>
      <c r="R1824" s="6"/>
      <c r="S1824" s="20"/>
      <c r="T1824" s="6"/>
      <c r="U1824" s="21"/>
      <c r="W1824" s="20"/>
      <c r="X1824" s="21"/>
      <c r="AD1824" s="23"/>
      <c r="AG1824" s="23"/>
    </row>
    <row r="1825" spans="2:33" ht="16">
      <c r="B1825" s="26" t="str">
        <f t="shared" si="8"/>
        <v/>
      </c>
      <c r="C1825" s="6"/>
      <c r="D1825" s="6"/>
      <c r="E1825" s="6"/>
      <c r="F1825" s="15"/>
      <c r="G1825" s="6"/>
      <c r="H1825" s="6"/>
      <c r="I1825" s="6"/>
      <c r="J1825" s="16"/>
      <c r="K1825" s="6"/>
      <c r="L1825" s="16"/>
      <c r="M1825" s="23"/>
      <c r="N1825" s="15"/>
      <c r="O1825" s="23"/>
      <c r="P1825" s="21"/>
      <c r="Q1825" s="6"/>
      <c r="R1825" s="6"/>
      <c r="S1825" s="20"/>
      <c r="T1825" s="6"/>
      <c r="U1825" s="21"/>
      <c r="W1825" s="20"/>
      <c r="X1825" s="21"/>
      <c r="AD1825" s="23"/>
      <c r="AG1825" s="23"/>
    </row>
    <row r="1826" spans="2:33" ht="16">
      <c r="B1826" s="26" t="str">
        <f t="shared" si="8"/>
        <v/>
      </c>
      <c r="C1826" s="6"/>
      <c r="D1826" s="6"/>
      <c r="E1826" s="6"/>
      <c r="F1826" s="15"/>
      <c r="G1826" s="6"/>
      <c r="H1826" s="6"/>
      <c r="I1826" s="6"/>
      <c r="J1826" s="16"/>
      <c r="K1826" s="6"/>
      <c r="L1826" s="16"/>
      <c r="M1826" s="23"/>
      <c r="N1826" s="15"/>
      <c r="O1826" s="23"/>
      <c r="P1826" s="21"/>
      <c r="Q1826" s="6"/>
      <c r="R1826" s="6"/>
      <c r="S1826" s="20"/>
      <c r="T1826" s="6"/>
      <c r="U1826" s="21"/>
      <c r="W1826" s="20"/>
      <c r="X1826" s="21"/>
      <c r="AD1826" s="23"/>
      <c r="AG1826" s="17"/>
    </row>
    <row r="1827" spans="2:33" ht="16">
      <c r="B1827" s="26" t="str">
        <f t="shared" si="8"/>
        <v/>
      </c>
      <c r="C1827" s="23"/>
      <c r="D1827" s="6"/>
      <c r="E1827" s="6"/>
      <c r="F1827" s="15"/>
      <c r="G1827" s="6"/>
      <c r="H1827" s="6"/>
      <c r="I1827" s="6"/>
      <c r="J1827" s="16"/>
      <c r="K1827" s="6"/>
      <c r="L1827" s="16"/>
      <c r="M1827" s="23"/>
      <c r="N1827" s="15"/>
      <c r="O1827" s="23"/>
      <c r="P1827" s="21"/>
      <c r="Q1827" s="6"/>
      <c r="R1827" s="6"/>
      <c r="S1827" s="20"/>
      <c r="T1827" s="6"/>
      <c r="U1827" s="21"/>
      <c r="W1827" s="20"/>
      <c r="X1827" s="21"/>
      <c r="AD1827" s="23"/>
      <c r="AG1827" s="23"/>
    </row>
    <row r="1828" spans="2:33" ht="16">
      <c r="B1828" s="26" t="str">
        <f t="shared" si="8"/>
        <v/>
      </c>
      <c r="C1828" s="6"/>
      <c r="D1828" s="6"/>
      <c r="E1828" s="6"/>
      <c r="F1828" s="15"/>
      <c r="G1828" s="6"/>
      <c r="H1828" s="6"/>
      <c r="I1828" s="6"/>
      <c r="J1828" s="16"/>
      <c r="K1828" s="6"/>
      <c r="L1828" s="16"/>
      <c r="M1828" s="23"/>
      <c r="N1828" s="15"/>
      <c r="O1828" s="23"/>
      <c r="P1828" s="21"/>
      <c r="Q1828" s="6"/>
      <c r="R1828" s="6"/>
      <c r="S1828" s="20"/>
      <c r="T1828" s="6"/>
      <c r="U1828" s="21"/>
      <c r="W1828" s="20"/>
      <c r="X1828" s="21"/>
      <c r="AD1828" s="23"/>
      <c r="AG1828" s="23"/>
    </row>
    <row r="1829" spans="2:33" ht="16">
      <c r="B1829" s="26" t="str">
        <f t="shared" si="8"/>
        <v/>
      </c>
      <c r="C1829" s="6"/>
      <c r="D1829" s="6"/>
      <c r="E1829" s="6"/>
      <c r="F1829" s="15"/>
      <c r="G1829" s="6"/>
      <c r="H1829" s="6"/>
      <c r="I1829" s="6"/>
      <c r="J1829" s="16"/>
      <c r="K1829" s="6"/>
      <c r="L1829" s="16"/>
      <c r="M1829" s="17"/>
      <c r="N1829" s="15"/>
      <c r="O1829" s="17"/>
      <c r="P1829" s="21"/>
      <c r="Q1829" s="6"/>
      <c r="R1829" s="6"/>
      <c r="S1829" s="20"/>
      <c r="T1829" s="6"/>
      <c r="U1829" s="21"/>
      <c r="W1829" s="20"/>
      <c r="X1829" s="21"/>
      <c r="AD1829" s="17"/>
      <c r="AG1829" s="23"/>
    </row>
    <row r="1830" spans="2:33" ht="16">
      <c r="B1830" s="26" t="str">
        <f t="shared" si="8"/>
        <v/>
      </c>
      <c r="C1830" s="6"/>
      <c r="D1830" s="6"/>
      <c r="E1830" s="6"/>
      <c r="F1830" s="15"/>
      <c r="G1830" s="6"/>
      <c r="H1830" s="6"/>
      <c r="I1830" s="6"/>
      <c r="J1830" s="16"/>
      <c r="K1830" s="6"/>
      <c r="L1830" s="16"/>
      <c r="M1830" s="17"/>
      <c r="N1830" s="15"/>
      <c r="O1830" s="17"/>
      <c r="P1830" s="21"/>
      <c r="Q1830" s="6"/>
      <c r="R1830" s="6"/>
      <c r="S1830" s="20"/>
      <c r="T1830" s="6"/>
      <c r="U1830" s="21"/>
      <c r="W1830" s="20"/>
      <c r="X1830" s="21"/>
      <c r="AD1830" s="17"/>
      <c r="AG1830" s="17"/>
    </row>
    <row r="1831" spans="2:33" ht="16">
      <c r="B1831" s="26" t="str">
        <f t="shared" si="8"/>
        <v/>
      </c>
      <c r="C1831" s="6"/>
      <c r="D1831" s="6"/>
      <c r="E1831" s="6"/>
      <c r="F1831" s="15"/>
      <c r="G1831" s="6"/>
      <c r="H1831" s="6"/>
      <c r="I1831" s="6"/>
      <c r="J1831" s="16"/>
      <c r="K1831" s="6"/>
      <c r="L1831" s="16"/>
      <c r="M1831" s="17"/>
      <c r="N1831" s="15"/>
      <c r="O1831" s="17"/>
      <c r="P1831" s="21"/>
      <c r="Q1831" s="6"/>
      <c r="R1831" s="6"/>
      <c r="S1831" s="20"/>
      <c r="T1831" s="6"/>
      <c r="U1831" s="21"/>
      <c r="W1831" s="20"/>
      <c r="X1831" s="21"/>
      <c r="AD1831" s="17"/>
      <c r="AG1831" s="17"/>
    </row>
    <row r="1832" spans="2:33" ht="16">
      <c r="B1832" s="26" t="str">
        <f t="shared" si="8"/>
        <v/>
      </c>
      <c r="C1832" s="6"/>
      <c r="D1832" s="6"/>
      <c r="E1832" s="6"/>
      <c r="F1832" s="15"/>
      <c r="G1832" s="6"/>
      <c r="H1832" s="6"/>
      <c r="I1832" s="6"/>
      <c r="J1832" s="16"/>
      <c r="K1832" s="6"/>
      <c r="L1832" s="16"/>
      <c r="M1832" s="23"/>
      <c r="N1832" s="15"/>
      <c r="O1832" s="23"/>
      <c r="P1832" s="21"/>
      <c r="Q1832" s="6"/>
      <c r="R1832" s="6"/>
      <c r="S1832" s="20"/>
      <c r="T1832" s="6"/>
      <c r="U1832" s="21"/>
      <c r="W1832" s="20"/>
      <c r="X1832" s="21"/>
      <c r="AD1832" s="23"/>
      <c r="AG1832" s="23"/>
    </row>
    <row r="1833" spans="2:33" ht="16">
      <c r="B1833" s="26" t="str">
        <f t="shared" si="8"/>
        <v/>
      </c>
      <c r="C1833" s="6"/>
      <c r="D1833" s="6"/>
      <c r="E1833" s="6"/>
      <c r="F1833" s="15"/>
      <c r="G1833" s="6"/>
      <c r="H1833" s="6"/>
      <c r="I1833" s="6"/>
      <c r="J1833" s="16"/>
      <c r="K1833" s="6"/>
      <c r="L1833" s="16"/>
      <c r="M1833" s="23"/>
      <c r="N1833" s="15"/>
      <c r="O1833" s="23"/>
      <c r="P1833" s="21"/>
      <c r="Q1833" s="6"/>
      <c r="R1833" s="6"/>
      <c r="S1833" s="20"/>
      <c r="T1833" s="6"/>
      <c r="U1833" s="21"/>
      <c r="W1833" s="20"/>
      <c r="X1833" s="21"/>
      <c r="AD1833" s="17"/>
      <c r="AG1833" s="17"/>
    </row>
    <row r="1834" spans="2:33" ht="16">
      <c r="B1834" s="26" t="str">
        <f t="shared" si="8"/>
        <v/>
      </c>
      <c r="C1834" s="6"/>
      <c r="D1834" s="6"/>
      <c r="E1834" s="6"/>
      <c r="F1834" s="15"/>
      <c r="G1834" s="6"/>
      <c r="H1834" s="6"/>
      <c r="I1834" s="6"/>
      <c r="J1834" s="16"/>
      <c r="K1834" s="6"/>
      <c r="L1834" s="16"/>
      <c r="M1834" s="17"/>
      <c r="N1834" s="15"/>
      <c r="O1834" s="17"/>
      <c r="P1834" s="21"/>
      <c r="Q1834" s="6"/>
      <c r="R1834" s="6"/>
      <c r="S1834" s="20"/>
      <c r="T1834" s="6"/>
      <c r="U1834" s="21"/>
      <c r="W1834" s="20"/>
      <c r="X1834" s="21"/>
      <c r="AD1834" s="23"/>
      <c r="AG1834" s="23"/>
    </row>
    <row r="1835" spans="2:33" ht="16">
      <c r="B1835" s="26" t="str">
        <f t="shared" si="8"/>
        <v/>
      </c>
      <c r="C1835" s="6"/>
      <c r="D1835" s="6"/>
      <c r="E1835" s="6"/>
      <c r="F1835" s="15"/>
      <c r="G1835" s="6"/>
      <c r="H1835" s="6"/>
      <c r="I1835" s="6"/>
      <c r="J1835" s="16"/>
      <c r="K1835" s="6"/>
      <c r="L1835" s="16"/>
      <c r="M1835" s="23"/>
      <c r="N1835" s="15"/>
      <c r="O1835" s="23"/>
      <c r="P1835" s="21"/>
      <c r="Q1835" s="6"/>
      <c r="R1835" s="6"/>
      <c r="S1835" s="20"/>
      <c r="T1835" s="6"/>
      <c r="U1835" s="21"/>
      <c r="W1835" s="20"/>
      <c r="X1835" s="21"/>
      <c r="AD1835" s="23"/>
      <c r="AG1835" s="23"/>
    </row>
    <row r="1836" spans="2:33" ht="16">
      <c r="B1836" s="26" t="str">
        <f t="shared" si="8"/>
        <v/>
      </c>
      <c r="C1836" s="6"/>
      <c r="D1836" s="6"/>
      <c r="E1836" s="6"/>
      <c r="F1836" s="15"/>
      <c r="G1836" s="6"/>
      <c r="H1836" s="6"/>
      <c r="I1836" s="6"/>
      <c r="J1836" s="16"/>
      <c r="K1836" s="6"/>
      <c r="L1836" s="16"/>
      <c r="M1836" s="23"/>
      <c r="N1836" s="15"/>
      <c r="O1836" s="17"/>
      <c r="P1836" s="21"/>
      <c r="Q1836" s="6"/>
      <c r="R1836" s="6"/>
      <c r="S1836" s="20"/>
      <c r="T1836" s="6"/>
      <c r="U1836" s="21"/>
      <c r="W1836" s="20"/>
      <c r="X1836" s="21"/>
      <c r="AD1836" s="23"/>
      <c r="AG1836" s="23"/>
    </row>
    <row r="1837" spans="2:33" ht="16">
      <c r="B1837" s="26" t="str">
        <f t="shared" si="8"/>
        <v/>
      </c>
      <c r="C1837" s="6"/>
      <c r="D1837" s="6"/>
      <c r="E1837" s="6"/>
      <c r="F1837" s="15"/>
      <c r="G1837" s="6"/>
      <c r="H1837" s="6"/>
      <c r="I1837" s="6"/>
      <c r="J1837" s="16"/>
      <c r="K1837" s="6"/>
      <c r="L1837" s="16"/>
      <c r="M1837" s="23"/>
      <c r="N1837" s="15"/>
      <c r="O1837" s="23"/>
      <c r="P1837" s="21"/>
      <c r="Q1837" s="6"/>
      <c r="R1837" s="6"/>
      <c r="S1837" s="20"/>
      <c r="T1837" s="6"/>
      <c r="U1837" s="21"/>
      <c r="W1837" s="20"/>
      <c r="X1837" s="21"/>
      <c r="AD1837" s="23"/>
      <c r="AG1837" s="17"/>
    </row>
    <row r="1838" spans="2:33" ht="16">
      <c r="B1838" s="26" t="str">
        <f t="shared" si="8"/>
        <v/>
      </c>
      <c r="C1838" s="6"/>
      <c r="D1838" s="6"/>
      <c r="E1838" s="6"/>
      <c r="F1838" s="15"/>
      <c r="G1838" s="6"/>
      <c r="H1838" s="6"/>
      <c r="I1838" s="6"/>
      <c r="J1838" s="16"/>
      <c r="K1838" s="6"/>
      <c r="L1838" s="16"/>
      <c r="M1838" s="23"/>
      <c r="N1838" s="15"/>
      <c r="O1838" s="23"/>
      <c r="P1838" s="21"/>
      <c r="Q1838" s="6"/>
      <c r="R1838" s="6"/>
      <c r="S1838" s="20"/>
      <c r="T1838" s="6"/>
      <c r="U1838" s="21"/>
      <c r="W1838" s="20"/>
      <c r="X1838" s="21"/>
      <c r="AD1838" s="23"/>
      <c r="AG1838" s="23"/>
    </row>
    <row r="1839" spans="2:33" ht="16">
      <c r="B1839" s="26" t="str">
        <f t="shared" si="8"/>
        <v/>
      </c>
      <c r="C1839" s="6"/>
      <c r="D1839" s="6"/>
      <c r="E1839" s="6"/>
      <c r="F1839" s="15"/>
      <c r="G1839" s="6"/>
      <c r="H1839" s="6"/>
      <c r="I1839" s="6"/>
      <c r="J1839" s="16"/>
      <c r="K1839" s="6"/>
      <c r="L1839" s="16"/>
      <c r="M1839" s="23"/>
      <c r="N1839" s="15"/>
      <c r="O1839" s="23"/>
      <c r="P1839" s="21"/>
      <c r="Q1839" s="6"/>
      <c r="R1839" s="6"/>
      <c r="S1839" s="20"/>
      <c r="T1839" s="6"/>
      <c r="U1839" s="21"/>
      <c r="W1839" s="20"/>
      <c r="X1839" s="21"/>
      <c r="AD1839" s="23"/>
      <c r="AG1839" s="23"/>
    </row>
    <row r="1840" spans="2:33" ht="16">
      <c r="B1840" s="26" t="str">
        <f t="shared" si="8"/>
        <v/>
      </c>
      <c r="C1840" s="6"/>
      <c r="D1840" s="6"/>
      <c r="E1840" s="6"/>
      <c r="F1840" s="15"/>
      <c r="G1840" s="6"/>
      <c r="H1840" s="6"/>
      <c r="I1840" s="6"/>
      <c r="J1840" s="16"/>
      <c r="K1840" s="6"/>
      <c r="L1840" s="16"/>
      <c r="M1840" s="23"/>
      <c r="N1840" s="15"/>
      <c r="O1840" s="17"/>
      <c r="P1840" s="21"/>
      <c r="Q1840" s="6"/>
      <c r="R1840" s="6"/>
      <c r="S1840" s="20"/>
      <c r="T1840" s="6"/>
      <c r="U1840" s="21"/>
      <c r="W1840" s="20"/>
      <c r="X1840" s="21"/>
      <c r="AD1840" s="23"/>
      <c r="AG1840" s="23"/>
    </row>
    <row r="1841" spans="2:33" ht="16">
      <c r="B1841" s="26" t="str">
        <f t="shared" si="8"/>
        <v/>
      </c>
      <c r="C1841" s="6"/>
      <c r="D1841" s="6"/>
      <c r="E1841" s="6"/>
      <c r="F1841" s="15"/>
      <c r="G1841" s="6"/>
      <c r="H1841" s="6"/>
      <c r="I1841" s="6"/>
      <c r="J1841" s="16"/>
      <c r="K1841" s="6"/>
      <c r="L1841" s="16"/>
      <c r="M1841" s="23"/>
      <c r="N1841" s="15"/>
      <c r="O1841" s="23"/>
      <c r="P1841" s="21"/>
      <c r="Q1841" s="6"/>
      <c r="R1841" s="6"/>
      <c r="S1841" s="20"/>
      <c r="T1841" s="6"/>
      <c r="U1841" s="21"/>
      <c r="W1841" s="20"/>
      <c r="X1841" s="21"/>
      <c r="AD1841" s="23"/>
      <c r="AG1841" s="23"/>
    </row>
    <row r="1842" spans="2:33" ht="16">
      <c r="B1842" s="26" t="str">
        <f t="shared" si="8"/>
        <v/>
      </c>
      <c r="C1842" s="6"/>
      <c r="D1842" s="6"/>
      <c r="E1842" s="6"/>
      <c r="F1842" s="15"/>
      <c r="G1842" s="6"/>
      <c r="H1842" s="6"/>
      <c r="I1842" s="6"/>
      <c r="J1842" s="16"/>
      <c r="K1842" s="6"/>
      <c r="L1842" s="16"/>
      <c r="M1842" s="23"/>
      <c r="N1842" s="15"/>
      <c r="O1842" s="23"/>
      <c r="P1842" s="21"/>
      <c r="Q1842" s="6"/>
      <c r="R1842" s="6"/>
      <c r="S1842" s="20"/>
      <c r="T1842" s="6"/>
      <c r="U1842" s="21"/>
      <c r="W1842" s="20"/>
      <c r="X1842" s="21"/>
      <c r="AD1842" s="23"/>
      <c r="AG1842" s="23"/>
    </row>
    <row r="1843" spans="2:33" ht="16">
      <c r="B1843" s="26" t="str">
        <f t="shared" si="8"/>
        <v/>
      </c>
      <c r="C1843" s="6"/>
      <c r="D1843" s="6"/>
      <c r="E1843" s="6"/>
      <c r="F1843" s="15"/>
      <c r="G1843" s="6"/>
      <c r="H1843" s="6"/>
      <c r="I1843" s="6"/>
      <c r="J1843" s="16"/>
      <c r="K1843" s="6"/>
      <c r="L1843" s="16"/>
      <c r="M1843" s="17"/>
      <c r="N1843" s="15"/>
      <c r="O1843" s="17"/>
      <c r="P1843" s="21"/>
      <c r="Q1843" s="6"/>
      <c r="R1843" s="6"/>
      <c r="S1843" s="20"/>
      <c r="T1843" s="6"/>
      <c r="U1843" s="21"/>
      <c r="W1843" s="20"/>
      <c r="X1843" s="21"/>
      <c r="AD1843" s="17"/>
      <c r="AG1843" s="17"/>
    </row>
    <row r="1844" spans="2:33" ht="16">
      <c r="B1844" s="26" t="str">
        <f t="shared" si="8"/>
        <v/>
      </c>
      <c r="C1844" s="6"/>
      <c r="D1844" s="6"/>
      <c r="E1844" s="6"/>
      <c r="F1844" s="15"/>
      <c r="G1844" s="6"/>
      <c r="H1844" s="6"/>
      <c r="I1844" s="6"/>
      <c r="J1844" s="16"/>
      <c r="K1844" s="6"/>
      <c r="L1844" s="16"/>
      <c r="M1844" s="23"/>
      <c r="N1844" s="15"/>
      <c r="O1844" s="23"/>
      <c r="P1844" s="21"/>
      <c r="Q1844" s="6"/>
      <c r="R1844" s="6"/>
      <c r="S1844" s="20"/>
      <c r="T1844" s="6"/>
      <c r="U1844" s="21"/>
      <c r="W1844" s="20"/>
      <c r="X1844" s="21"/>
      <c r="AD1844" s="23"/>
      <c r="AG1844" s="17"/>
    </row>
    <row r="1845" spans="2:33" ht="16">
      <c r="B1845" s="26" t="str">
        <f t="shared" si="8"/>
        <v/>
      </c>
      <c r="C1845" s="6"/>
      <c r="D1845" s="6"/>
      <c r="E1845" s="6"/>
      <c r="F1845" s="15"/>
      <c r="G1845" s="6"/>
      <c r="H1845" s="6"/>
      <c r="I1845" s="6"/>
      <c r="J1845" s="16"/>
      <c r="K1845" s="6"/>
      <c r="L1845" s="16"/>
      <c r="M1845" s="17"/>
      <c r="N1845" s="15"/>
      <c r="O1845" s="17"/>
      <c r="P1845" s="21"/>
      <c r="Q1845" s="6"/>
      <c r="R1845" s="6"/>
      <c r="S1845" s="20"/>
      <c r="T1845" s="6"/>
      <c r="U1845" s="21"/>
      <c r="W1845" s="20"/>
      <c r="X1845" s="21"/>
      <c r="AD1845" s="17"/>
      <c r="AG1845" s="23"/>
    </row>
    <row r="1846" spans="2:33" ht="16">
      <c r="B1846" s="26" t="str">
        <f t="shared" si="8"/>
        <v/>
      </c>
      <c r="C1846" s="6"/>
      <c r="D1846" s="6"/>
      <c r="E1846" s="6"/>
      <c r="F1846" s="15"/>
      <c r="G1846" s="6"/>
      <c r="H1846" s="6"/>
      <c r="I1846" s="6"/>
      <c r="J1846" s="16"/>
      <c r="K1846" s="6"/>
      <c r="L1846" s="16"/>
      <c r="M1846" s="17"/>
      <c r="N1846" s="15"/>
      <c r="O1846" s="23"/>
      <c r="P1846" s="21"/>
      <c r="Q1846" s="6"/>
      <c r="R1846" s="6"/>
      <c r="S1846" s="20"/>
      <c r="T1846" s="6"/>
      <c r="U1846" s="21"/>
      <c r="W1846" s="20"/>
      <c r="X1846" s="21"/>
      <c r="AD1846" s="23"/>
      <c r="AG1846" s="17"/>
    </row>
    <row r="1847" spans="2:33" ht="16">
      <c r="B1847" s="26" t="str">
        <f t="shared" si="8"/>
        <v/>
      </c>
      <c r="C1847" s="6"/>
      <c r="D1847" s="6"/>
      <c r="E1847" s="6"/>
      <c r="F1847" s="15"/>
      <c r="G1847" s="6"/>
      <c r="H1847" s="6"/>
      <c r="I1847" s="6"/>
      <c r="J1847" s="16"/>
      <c r="K1847" s="6"/>
      <c r="L1847" s="16"/>
      <c r="M1847" s="23"/>
      <c r="N1847" s="15"/>
      <c r="O1847" s="17"/>
      <c r="P1847" s="21"/>
      <c r="Q1847" s="6"/>
      <c r="R1847" s="6"/>
      <c r="S1847" s="20"/>
      <c r="T1847" s="6"/>
      <c r="U1847" s="21"/>
      <c r="W1847" s="20"/>
      <c r="X1847" s="21"/>
      <c r="AD1847" s="23"/>
      <c r="AG1847" s="23"/>
    </row>
    <row r="1848" spans="2:33" ht="16">
      <c r="B1848" s="26" t="str">
        <f t="shared" si="8"/>
        <v/>
      </c>
      <c r="C1848" s="6"/>
      <c r="D1848" s="6"/>
      <c r="E1848" s="6"/>
      <c r="F1848" s="15"/>
      <c r="G1848" s="6"/>
      <c r="H1848" s="6"/>
      <c r="I1848" s="6"/>
      <c r="J1848" s="16"/>
      <c r="K1848" s="6"/>
      <c r="L1848" s="16"/>
      <c r="M1848" s="23"/>
      <c r="N1848" s="15"/>
      <c r="O1848" s="23"/>
      <c r="P1848" s="21"/>
      <c r="Q1848" s="6"/>
      <c r="R1848" s="6"/>
      <c r="S1848" s="20"/>
      <c r="T1848" s="6"/>
      <c r="U1848" s="21"/>
      <c r="W1848" s="20"/>
      <c r="X1848" s="21"/>
      <c r="AD1848" s="23"/>
      <c r="AG1848" s="17"/>
    </row>
    <row r="1849" spans="2:33" ht="16">
      <c r="B1849" s="26" t="str">
        <f t="shared" si="8"/>
        <v/>
      </c>
      <c r="C1849" s="6"/>
      <c r="D1849" s="6"/>
      <c r="E1849" s="6"/>
      <c r="F1849" s="15"/>
      <c r="G1849" s="6"/>
      <c r="H1849" s="6"/>
      <c r="I1849" s="6"/>
      <c r="J1849" s="16"/>
      <c r="K1849" s="6"/>
      <c r="L1849" s="16"/>
      <c r="M1849" s="17"/>
      <c r="N1849" s="15"/>
      <c r="O1849" s="17"/>
      <c r="P1849" s="21"/>
      <c r="Q1849" s="6"/>
      <c r="R1849" s="6"/>
      <c r="S1849" s="20"/>
      <c r="T1849" s="6"/>
      <c r="U1849" s="21"/>
      <c r="W1849" s="20"/>
      <c r="X1849" s="21"/>
      <c r="AD1849" s="23"/>
      <c r="AG1849" s="23"/>
    </row>
    <row r="1850" spans="2:33" ht="16">
      <c r="B1850" s="26" t="str">
        <f t="shared" si="8"/>
        <v/>
      </c>
      <c r="C1850" s="6"/>
      <c r="D1850" s="6"/>
      <c r="E1850" s="6"/>
      <c r="F1850" s="15"/>
      <c r="G1850" s="6"/>
      <c r="H1850" s="6"/>
      <c r="I1850" s="6"/>
      <c r="J1850" s="16"/>
      <c r="K1850" s="6"/>
      <c r="L1850" s="16"/>
      <c r="M1850" s="17"/>
      <c r="N1850" s="15"/>
      <c r="O1850" s="17"/>
      <c r="P1850" s="21"/>
      <c r="Q1850" s="6"/>
      <c r="R1850" s="6"/>
      <c r="S1850" s="20"/>
      <c r="T1850" s="6"/>
      <c r="U1850" s="21"/>
      <c r="W1850" s="20"/>
      <c r="X1850" s="21"/>
      <c r="AD1850" s="23"/>
      <c r="AG1850" s="23"/>
    </row>
    <row r="1851" spans="2:33" ht="16">
      <c r="B1851" s="26" t="str">
        <f t="shared" si="8"/>
        <v/>
      </c>
      <c r="C1851" s="6"/>
      <c r="D1851" s="6"/>
      <c r="E1851" s="6"/>
      <c r="F1851" s="15"/>
      <c r="G1851" s="6"/>
      <c r="H1851" s="6"/>
      <c r="I1851" s="6"/>
      <c r="J1851" s="16"/>
      <c r="K1851" s="6"/>
      <c r="L1851" s="16"/>
      <c r="M1851" s="17"/>
      <c r="N1851" s="15"/>
      <c r="O1851" s="23"/>
      <c r="P1851" s="21"/>
      <c r="Q1851" s="6"/>
      <c r="R1851" s="6"/>
      <c r="S1851" s="20"/>
      <c r="T1851" s="6"/>
      <c r="U1851" s="21"/>
      <c r="W1851" s="20"/>
      <c r="X1851" s="21"/>
      <c r="AD1851" s="23"/>
      <c r="AG1851" s="17"/>
    </row>
    <row r="1852" spans="2:33" ht="16">
      <c r="B1852" s="26" t="str">
        <f t="shared" si="8"/>
        <v/>
      </c>
      <c r="C1852" s="6"/>
      <c r="D1852" s="6"/>
      <c r="E1852" s="6"/>
      <c r="F1852" s="15"/>
      <c r="G1852" s="6"/>
      <c r="H1852" s="6"/>
      <c r="I1852" s="6"/>
      <c r="J1852" s="16"/>
      <c r="K1852" s="6"/>
      <c r="L1852" s="16"/>
      <c r="M1852" s="23"/>
      <c r="N1852" s="15"/>
      <c r="O1852" s="17"/>
      <c r="P1852" s="21"/>
      <c r="Q1852" s="6"/>
      <c r="R1852" s="6"/>
      <c r="S1852" s="20"/>
      <c r="T1852" s="6"/>
      <c r="U1852" s="21"/>
      <c r="W1852" s="20"/>
      <c r="X1852" s="21"/>
      <c r="AD1852" s="17"/>
      <c r="AG1852" s="17"/>
    </row>
    <row r="1853" spans="2:33" ht="16">
      <c r="B1853" s="26" t="str">
        <f t="shared" si="8"/>
        <v/>
      </c>
      <c r="C1853" s="6"/>
      <c r="D1853" s="6"/>
      <c r="E1853" s="6"/>
      <c r="F1853" s="15"/>
      <c r="G1853" s="6"/>
      <c r="H1853" s="6"/>
      <c r="I1853" s="6"/>
      <c r="J1853" s="16"/>
      <c r="K1853" s="6"/>
      <c r="L1853" s="16"/>
      <c r="M1853" s="23"/>
      <c r="N1853" s="15"/>
      <c r="O1853" s="23"/>
      <c r="P1853" s="21"/>
      <c r="Q1853" s="6"/>
      <c r="R1853" s="6"/>
      <c r="S1853" s="20"/>
      <c r="T1853" s="6"/>
      <c r="U1853" s="21"/>
      <c r="W1853" s="20"/>
      <c r="X1853" s="21"/>
      <c r="AD1853" s="23"/>
      <c r="AG1853" s="23"/>
    </row>
    <row r="1854" spans="2:33" ht="16">
      <c r="B1854" s="26" t="str">
        <f t="shared" si="8"/>
        <v/>
      </c>
      <c r="C1854" s="6"/>
      <c r="D1854" s="6"/>
      <c r="E1854" s="6"/>
      <c r="F1854" s="15"/>
      <c r="G1854" s="6"/>
      <c r="H1854" s="6"/>
      <c r="I1854" s="6"/>
      <c r="J1854" s="16"/>
      <c r="K1854" s="6"/>
      <c r="L1854" s="16"/>
      <c r="M1854" s="23"/>
      <c r="N1854" s="15"/>
      <c r="O1854" s="23"/>
      <c r="P1854" s="21"/>
      <c r="Q1854" s="6"/>
      <c r="R1854" s="6"/>
      <c r="S1854" s="20"/>
      <c r="T1854" s="6"/>
      <c r="U1854" s="21"/>
      <c r="W1854" s="20"/>
      <c r="X1854" s="21"/>
      <c r="AD1854" s="17"/>
      <c r="AG1854" s="17"/>
    </row>
    <row r="1855" spans="2:33" ht="16">
      <c r="B1855" s="26" t="str">
        <f t="shared" si="8"/>
        <v/>
      </c>
      <c r="C1855" s="6"/>
      <c r="D1855" s="6"/>
      <c r="E1855" s="6"/>
      <c r="F1855" s="15"/>
      <c r="G1855" s="6"/>
      <c r="H1855" s="6"/>
      <c r="I1855" s="6"/>
      <c r="J1855" s="16"/>
      <c r="K1855" s="6"/>
      <c r="L1855" s="16"/>
      <c r="M1855" s="23"/>
      <c r="N1855" s="15"/>
      <c r="O1855" s="23"/>
      <c r="P1855" s="21"/>
      <c r="Q1855" s="6"/>
      <c r="R1855" s="6"/>
      <c r="S1855" s="20"/>
      <c r="T1855" s="6"/>
      <c r="U1855" s="21"/>
      <c r="W1855" s="20"/>
      <c r="X1855" s="21"/>
      <c r="AD1855" s="23"/>
      <c r="AG1855" s="17"/>
    </row>
    <row r="1856" spans="2:33" ht="16">
      <c r="B1856" s="26" t="str">
        <f t="shared" si="8"/>
        <v/>
      </c>
      <c r="C1856" s="6"/>
      <c r="D1856" s="6"/>
      <c r="E1856" s="6"/>
      <c r="F1856" s="15"/>
      <c r="G1856" s="6"/>
      <c r="H1856" s="6"/>
      <c r="I1856" s="6"/>
      <c r="J1856" s="16"/>
      <c r="K1856" s="6"/>
      <c r="L1856" s="16"/>
      <c r="M1856" s="23"/>
      <c r="N1856" s="15"/>
      <c r="O1856" s="23"/>
      <c r="P1856" s="21"/>
      <c r="Q1856" s="6"/>
      <c r="R1856" s="6"/>
      <c r="S1856" s="20"/>
      <c r="T1856" s="6"/>
      <c r="U1856" s="21"/>
      <c r="W1856" s="20"/>
      <c r="X1856" s="21"/>
      <c r="AD1856" s="17"/>
      <c r="AG1856" s="17"/>
    </row>
    <row r="1857" spans="2:33" ht="16">
      <c r="B1857" s="26" t="str">
        <f t="shared" si="8"/>
        <v/>
      </c>
      <c r="C1857" s="6"/>
      <c r="D1857" s="6"/>
      <c r="E1857" s="6"/>
      <c r="F1857" s="15"/>
      <c r="G1857" s="6"/>
      <c r="H1857" s="6"/>
      <c r="I1857" s="6"/>
      <c r="J1857" s="16"/>
      <c r="K1857" s="6"/>
      <c r="L1857" s="16"/>
      <c r="M1857" s="23"/>
      <c r="N1857" s="15"/>
      <c r="O1857" s="23"/>
      <c r="P1857" s="21"/>
      <c r="Q1857" s="6"/>
      <c r="R1857" s="6"/>
      <c r="S1857" s="20"/>
      <c r="T1857" s="6"/>
      <c r="U1857" s="21"/>
      <c r="W1857" s="20"/>
      <c r="X1857" s="21"/>
      <c r="AD1857" s="23"/>
      <c r="AG1857" s="23"/>
    </row>
    <row r="1858" spans="2:33" ht="16">
      <c r="B1858" s="26" t="str">
        <f t="shared" si="8"/>
        <v/>
      </c>
      <c r="C1858" s="23"/>
      <c r="D1858" s="6"/>
      <c r="E1858" s="6"/>
      <c r="F1858" s="15"/>
      <c r="G1858" s="6"/>
      <c r="H1858" s="6"/>
      <c r="I1858" s="6"/>
      <c r="J1858" s="16"/>
      <c r="K1858" s="6"/>
      <c r="L1858" s="16"/>
      <c r="M1858" s="23"/>
      <c r="N1858" s="15"/>
      <c r="O1858" s="23"/>
      <c r="P1858" s="21"/>
      <c r="Q1858" s="6"/>
      <c r="R1858" s="6"/>
      <c r="S1858" s="20"/>
      <c r="T1858" s="6"/>
      <c r="U1858" s="21"/>
      <c r="W1858" s="20"/>
      <c r="X1858" s="21"/>
      <c r="AD1858" s="23"/>
      <c r="AG1858" s="23"/>
    </row>
    <row r="1859" spans="2:33" ht="16">
      <c r="B1859" s="26" t="str">
        <f t="shared" si="8"/>
        <v/>
      </c>
      <c r="C1859" s="6"/>
      <c r="D1859" s="6"/>
      <c r="E1859" s="6"/>
      <c r="F1859" s="15"/>
      <c r="G1859" s="6"/>
      <c r="H1859" s="6"/>
      <c r="I1859" s="6"/>
      <c r="J1859" s="16"/>
      <c r="K1859" s="6"/>
      <c r="L1859" s="16"/>
      <c r="M1859" s="23"/>
      <c r="N1859" s="15"/>
      <c r="O1859" s="23"/>
      <c r="P1859" s="21"/>
      <c r="Q1859" s="6"/>
      <c r="R1859" s="6"/>
      <c r="S1859" s="20"/>
      <c r="T1859" s="6"/>
      <c r="U1859" s="21"/>
      <c r="W1859" s="20"/>
      <c r="X1859" s="21"/>
      <c r="AD1859" s="23"/>
      <c r="AG1859" s="23"/>
    </row>
    <row r="1860" spans="2:33" ht="16">
      <c r="B1860" s="26" t="str">
        <f t="shared" si="8"/>
        <v/>
      </c>
      <c r="C1860" s="6"/>
      <c r="D1860" s="6"/>
      <c r="E1860" s="6"/>
      <c r="F1860" s="15"/>
      <c r="G1860" s="6"/>
      <c r="H1860" s="6"/>
      <c r="I1860" s="6"/>
      <c r="J1860" s="16"/>
      <c r="K1860" s="6"/>
      <c r="L1860" s="16"/>
      <c r="M1860" s="23"/>
      <c r="N1860" s="15"/>
      <c r="O1860" s="23"/>
      <c r="P1860" s="21"/>
      <c r="Q1860" s="6"/>
      <c r="R1860" s="6"/>
      <c r="S1860" s="20"/>
      <c r="T1860" s="6"/>
      <c r="U1860" s="21"/>
      <c r="W1860" s="20"/>
      <c r="X1860" s="21"/>
      <c r="AD1860" s="23"/>
      <c r="AG1860" s="17"/>
    </row>
    <row r="1861" spans="2:33" ht="16">
      <c r="B1861" s="26" t="str">
        <f t="shared" si="8"/>
        <v/>
      </c>
      <c r="C1861" s="6"/>
      <c r="D1861" s="6"/>
      <c r="E1861" s="6"/>
      <c r="F1861" s="15"/>
      <c r="G1861" s="6"/>
      <c r="H1861" s="6"/>
      <c r="I1861" s="6"/>
      <c r="J1861" s="16"/>
      <c r="K1861" s="6"/>
      <c r="L1861" s="16"/>
      <c r="M1861" s="23"/>
      <c r="N1861" s="15"/>
      <c r="O1861" s="17"/>
      <c r="P1861" s="21"/>
      <c r="Q1861" s="6"/>
      <c r="R1861" s="6"/>
      <c r="S1861" s="20"/>
      <c r="T1861" s="6"/>
      <c r="U1861" s="21"/>
      <c r="W1861" s="20"/>
      <c r="X1861" s="21"/>
      <c r="AD1861" s="23"/>
      <c r="AG1861" s="17"/>
    </row>
    <row r="1862" spans="2:33" ht="16">
      <c r="B1862" s="26" t="str">
        <f t="shared" si="8"/>
        <v/>
      </c>
      <c r="C1862" s="6"/>
      <c r="D1862" s="6"/>
      <c r="E1862" s="6"/>
      <c r="F1862" s="15"/>
      <c r="G1862" s="6"/>
      <c r="H1862" s="6"/>
      <c r="I1862" s="6"/>
      <c r="J1862" s="16"/>
      <c r="K1862" s="6"/>
      <c r="L1862" s="16"/>
      <c r="M1862" s="23"/>
      <c r="N1862" s="15"/>
      <c r="O1862" s="23"/>
      <c r="P1862" s="21"/>
      <c r="Q1862" s="6"/>
      <c r="R1862" s="6"/>
      <c r="S1862" s="20"/>
      <c r="T1862" s="6"/>
      <c r="U1862" s="21"/>
      <c r="W1862" s="20"/>
      <c r="X1862" s="21"/>
      <c r="AD1862" s="17"/>
      <c r="AG1862" s="23"/>
    </row>
    <row r="1863" spans="2:33" ht="16">
      <c r="B1863" s="26" t="str">
        <f t="shared" si="8"/>
        <v/>
      </c>
      <c r="C1863" s="6"/>
      <c r="D1863" s="6"/>
      <c r="E1863" s="6"/>
      <c r="F1863" s="15"/>
      <c r="G1863" s="6"/>
      <c r="H1863" s="6"/>
      <c r="I1863" s="6"/>
      <c r="J1863" s="16"/>
      <c r="K1863" s="6"/>
      <c r="L1863" s="16"/>
      <c r="M1863" s="23"/>
      <c r="N1863" s="15"/>
      <c r="O1863" s="23"/>
      <c r="P1863" s="21"/>
      <c r="Q1863" s="6"/>
      <c r="R1863" s="6"/>
      <c r="S1863" s="20"/>
      <c r="T1863" s="6"/>
      <c r="U1863" s="21"/>
      <c r="W1863" s="20"/>
      <c r="X1863" s="21"/>
      <c r="AD1863" s="17"/>
      <c r="AG1863" s="17"/>
    </row>
    <row r="1864" spans="2:33" ht="16">
      <c r="B1864" s="26" t="str">
        <f t="shared" si="8"/>
        <v/>
      </c>
      <c r="C1864" s="6"/>
      <c r="D1864" s="6"/>
      <c r="E1864" s="6"/>
      <c r="F1864" s="15"/>
      <c r="G1864" s="6"/>
      <c r="H1864" s="6"/>
      <c r="I1864" s="6"/>
      <c r="J1864" s="16"/>
      <c r="K1864" s="6"/>
      <c r="L1864" s="16"/>
      <c r="M1864" s="23"/>
      <c r="N1864" s="15"/>
      <c r="O1864" s="23"/>
      <c r="P1864" s="21"/>
      <c r="Q1864" s="6"/>
      <c r="R1864" s="6"/>
      <c r="S1864" s="20"/>
      <c r="T1864" s="6"/>
      <c r="U1864" s="21"/>
      <c r="W1864" s="20"/>
      <c r="X1864" s="21"/>
      <c r="AD1864" s="23"/>
      <c r="AG1864" s="17"/>
    </row>
    <row r="1865" spans="2:33" ht="16">
      <c r="B1865" s="26" t="str">
        <f t="shared" si="8"/>
        <v/>
      </c>
      <c r="C1865" s="6"/>
      <c r="D1865" s="6"/>
      <c r="E1865" s="6"/>
      <c r="F1865" s="15"/>
      <c r="G1865" s="6"/>
      <c r="H1865" s="6"/>
      <c r="I1865" s="6"/>
      <c r="J1865" s="16"/>
      <c r="K1865" s="6"/>
      <c r="L1865" s="16"/>
      <c r="M1865" s="23"/>
      <c r="N1865" s="15"/>
      <c r="O1865" s="23"/>
      <c r="P1865" s="21"/>
      <c r="Q1865" s="6"/>
      <c r="R1865" s="6"/>
      <c r="S1865" s="20"/>
      <c r="T1865" s="6"/>
      <c r="U1865" s="21"/>
      <c r="W1865" s="20"/>
      <c r="X1865" s="21"/>
      <c r="AD1865" s="23"/>
      <c r="AG1865" s="17"/>
    </row>
    <row r="1866" spans="2:33" ht="16">
      <c r="B1866" s="26" t="str">
        <f t="shared" si="8"/>
        <v/>
      </c>
      <c r="C1866" s="6"/>
      <c r="D1866" s="6"/>
      <c r="E1866" s="6"/>
      <c r="F1866" s="15"/>
      <c r="G1866" s="6"/>
      <c r="H1866" s="6"/>
      <c r="I1866" s="6"/>
      <c r="J1866" s="16"/>
      <c r="K1866" s="6"/>
      <c r="L1866" s="16"/>
      <c r="M1866" s="23"/>
      <c r="N1866" s="15"/>
      <c r="O1866" s="23"/>
      <c r="P1866" s="21"/>
      <c r="Q1866" s="6"/>
      <c r="R1866" s="6"/>
      <c r="S1866" s="20"/>
      <c r="T1866" s="6"/>
      <c r="U1866" s="21"/>
      <c r="W1866" s="20"/>
      <c r="X1866" s="21"/>
      <c r="AD1866" s="17"/>
      <c r="AG1866" s="17"/>
    </row>
    <row r="1867" spans="2:33" ht="16">
      <c r="B1867" s="26" t="str">
        <f t="shared" si="8"/>
        <v/>
      </c>
      <c r="C1867" s="6"/>
      <c r="D1867" s="6"/>
      <c r="E1867" s="6"/>
      <c r="F1867" s="15"/>
      <c r="G1867" s="6"/>
      <c r="H1867" s="6"/>
      <c r="I1867" s="6"/>
      <c r="J1867" s="16"/>
      <c r="K1867" s="6"/>
      <c r="L1867" s="16"/>
      <c r="M1867" s="23"/>
      <c r="N1867" s="15"/>
      <c r="O1867" s="23"/>
      <c r="P1867" s="21"/>
      <c r="Q1867" s="6"/>
      <c r="R1867" s="6"/>
      <c r="S1867" s="20"/>
      <c r="T1867" s="6"/>
      <c r="U1867" s="21"/>
      <c r="W1867" s="20"/>
      <c r="X1867" s="21"/>
      <c r="AD1867" s="17"/>
      <c r="AG1867" s="17"/>
    </row>
    <row r="1868" spans="2:33" ht="16">
      <c r="B1868" s="26" t="str">
        <f t="shared" si="8"/>
        <v/>
      </c>
      <c r="C1868" s="6"/>
      <c r="D1868" s="6"/>
      <c r="E1868" s="6"/>
      <c r="F1868" s="15"/>
      <c r="G1868" s="6"/>
      <c r="H1868" s="6"/>
      <c r="I1868" s="6"/>
      <c r="J1868" s="16"/>
      <c r="K1868" s="6"/>
      <c r="L1868" s="16"/>
      <c r="M1868" s="23"/>
      <c r="N1868" s="15"/>
      <c r="O1868" s="23"/>
      <c r="P1868" s="21"/>
      <c r="Q1868" s="6"/>
      <c r="R1868" s="6"/>
      <c r="S1868" s="20"/>
      <c r="T1868" s="6"/>
      <c r="U1868" s="21"/>
      <c r="W1868" s="20"/>
      <c r="X1868" s="21"/>
      <c r="AD1868" s="23"/>
      <c r="AG1868" s="17"/>
    </row>
    <row r="1869" spans="2:33" ht="16">
      <c r="B1869" s="26" t="str">
        <f t="shared" si="8"/>
        <v/>
      </c>
      <c r="C1869" s="6"/>
      <c r="D1869" s="6"/>
      <c r="E1869" s="6"/>
      <c r="F1869" s="15"/>
      <c r="G1869" s="6"/>
      <c r="H1869" s="6"/>
      <c r="I1869" s="6"/>
      <c r="J1869" s="16"/>
      <c r="K1869" s="6"/>
      <c r="L1869" s="16"/>
      <c r="M1869" s="23"/>
      <c r="N1869" s="15"/>
      <c r="O1869" s="23"/>
      <c r="P1869" s="21"/>
      <c r="Q1869" s="6"/>
      <c r="R1869" s="6"/>
      <c r="S1869" s="20"/>
      <c r="T1869" s="6"/>
      <c r="U1869" s="21"/>
      <c r="W1869" s="20"/>
      <c r="X1869" s="21"/>
      <c r="AD1869" s="17"/>
      <c r="AG1869" s="17"/>
    </row>
    <row r="1870" spans="2:33" ht="16">
      <c r="B1870" s="26" t="str">
        <f t="shared" si="8"/>
        <v/>
      </c>
      <c r="C1870" s="6"/>
      <c r="D1870" s="6"/>
      <c r="E1870" s="6"/>
      <c r="F1870" s="15"/>
      <c r="G1870" s="6"/>
      <c r="H1870" s="6"/>
      <c r="I1870" s="6"/>
      <c r="J1870" s="16"/>
      <c r="K1870" s="6"/>
      <c r="L1870" s="16"/>
      <c r="M1870" s="23"/>
      <c r="N1870" s="15"/>
      <c r="O1870" s="23"/>
      <c r="P1870" s="21"/>
      <c r="Q1870" s="6"/>
      <c r="R1870" s="6"/>
      <c r="S1870" s="20"/>
      <c r="T1870" s="6"/>
      <c r="U1870" s="21"/>
      <c r="W1870" s="20"/>
      <c r="X1870" s="21"/>
      <c r="AD1870" s="23"/>
      <c r="AG1870" s="23"/>
    </row>
    <row r="1871" spans="2:33" ht="16">
      <c r="B1871" s="26" t="str">
        <f t="shared" si="8"/>
        <v/>
      </c>
      <c r="C1871" s="6"/>
      <c r="D1871" s="6"/>
      <c r="E1871" s="6"/>
      <c r="F1871" s="15"/>
      <c r="G1871" s="6"/>
      <c r="H1871" s="6"/>
      <c r="I1871" s="6"/>
      <c r="J1871" s="16"/>
      <c r="K1871" s="6"/>
      <c r="L1871" s="16"/>
      <c r="M1871" s="23"/>
      <c r="N1871" s="15"/>
      <c r="O1871" s="23"/>
      <c r="P1871" s="21"/>
      <c r="Q1871" s="6"/>
      <c r="R1871" s="6"/>
      <c r="S1871" s="20"/>
      <c r="T1871" s="6"/>
      <c r="U1871" s="21"/>
      <c r="W1871" s="20"/>
      <c r="X1871" s="21"/>
      <c r="AD1871" s="23"/>
      <c r="AG1871" s="23"/>
    </row>
    <row r="1872" spans="2:33" ht="16">
      <c r="B1872" s="26" t="str">
        <f t="shared" si="8"/>
        <v/>
      </c>
      <c r="C1872" s="6"/>
      <c r="D1872" s="6"/>
      <c r="E1872" s="6"/>
      <c r="F1872" s="15"/>
      <c r="G1872" s="6"/>
      <c r="H1872" s="6"/>
      <c r="I1872" s="6"/>
      <c r="J1872" s="16"/>
      <c r="K1872" s="6"/>
      <c r="L1872" s="16"/>
      <c r="M1872" s="23"/>
      <c r="N1872" s="15"/>
      <c r="O1872" s="17"/>
      <c r="P1872" s="21"/>
      <c r="Q1872" s="6"/>
      <c r="R1872" s="6"/>
      <c r="S1872" s="20"/>
      <c r="T1872" s="6"/>
      <c r="U1872" s="21"/>
      <c r="W1872" s="20"/>
      <c r="X1872" s="21"/>
      <c r="AD1872" s="23"/>
      <c r="AG1872" s="23"/>
    </row>
    <row r="1873" spans="2:33" ht="16">
      <c r="B1873" s="26" t="str">
        <f t="shared" si="8"/>
        <v/>
      </c>
      <c r="C1873" s="6"/>
      <c r="D1873" s="6"/>
      <c r="E1873" s="6"/>
      <c r="F1873" s="15"/>
      <c r="G1873" s="6"/>
      <c r="H1873" s="6"/>
      <c r="I1873" s="6"/>
      <c r="J1873" s="16"/>
      <c r="K1873" s="6"/>
      <c r="L1873" s="16"/>
      <c r="M1873" s="23"/>
      <c r="N1873" s="15"/>
      <c r="O1873" s="23"/>
      <c r="P1873" s="21"/>
      <c r="Q1873" s="6"/>
      <c r="R1873" s="6"/>
      <c r="S1873" s="20"/>
      <c r="T1873" s="6"/>
      <c r="U1873" s="21"/>
      <c r="W1873" s="20"/>
      <c r="X1873" s="21"/>
      <c r="AD1873" s="23"/>
      <c r="AG1873" s="23"/>
    </row>
    <row r="1874" spans="2:33" ht="16">
      <c r="B1874" s="26" t="str">
        <f t="shared" si="8"/>
        <v/>
      </c>
      <c r="C1874" s="6"/>
      <c r="D1874" s="6"/>
      <c r="E1874" s="6"/>
      <c r="F1874" s="15"/>
      <c r="G1874" s="6"/>
      <c r="H1874" s="6"/>
      <c r="I1874" s="6"/>
      <c r="J1874" s="16"/>
      <c r="K1874" s="6"/>
      <c r="L1874" s="16"/>
      <c r="M1874" s="17"/>
      <c r="N1874" s="15"/>
      <c r="O1874" s="17"/>
      <c r="P1874" s="21"/>
      <c r="Q1874" s="6"/>
      <c r="R1874" s="6"/>
      <c r="S1874" s="20"/>
      <c r="T1874" s="6"/>
      <c r="U1874" s="21"/>
      <c r="W1874" s="20"/>
      <c r="X1874" s="21"/>
      <c r="AD1874" s="17"/>
      <c r="AG1874" s="23"/>
    </row>
    <row r="1875" spans="2:33" ht="16">
      <c r="B1875" s="26" t="str">
        <f t="shared" si="8"/>
        <v/>
      </c>
      <c r="C1875" s="6"/>
      <c r="D1875" s="6"/>
      <c r="E1875" s="6"/>
      <c r="F1875" s="15"/>
      <c r="G1875" s="6"/>
      <c r="H1875" s="6"/>
      <c r="I1875" s="6"/>
      <c r="J1875" s="16"/>
      <c r="K1875" s="6"/>
      <c r="L1875" s="16"/>
      <c r="M1875" s="23"/>
      <c r="N1875" s="15"/>
      <c r="O1875" s="23"/>
      <c r="P1875" s="21"/>
      <c r="Q1875" s="6"/>
      <c r="R1875" s="6"/>
      <c r="S1875" s="20"/>
      <c r="T1875" s="6"/>
      <c r="U1875" s="21"/>
      <c r="W1875" s="20"/>
      <c r="X1875" s="21"/>
      <c r="AD1875" s="23"/>
      <c r="AG1875" s="23"/>
    </row>
    <row r="1876" spans="2:33" ht="16">
      <c r="B1876" s="26" t="str">
        <f t="shared" si="8"/>
        <v/>
      </c>
      <c r="C1876" s="6"/>
      <c r="D1876" s="6"/>
      <c r="E1876" s="6"/>
      <c r="F1876" s="15"/>
      <c r="G1876" s="6"/>
      <c r="H1876" s="6"/>
      <c r="I1876" s="6"/>
      <c r="J1876" s="16"/>
      <c r="K1876" s="6"/>
      <c r="L1876" s="16"/>
      <c r="M1876" s="23"/>
      <c r="N1876" s="15"/>
      <c r="O1876" s="23"/>
      <c r="P1876" s="21"/>
      <c r="Q1876" s="6"/>
      <c r="R1876" s="6"/>
      <c r="S1876" s="20"/>
      <c r="T1876" s="6"/>
      <c r="U1876" s="21"/>
      <c r="W1876" s="20"/>
      <c r="X1876" s="21"/>
      <c r="AD1876" s="23"/>
      <c r="AG1876" s="23"/>
    </row>
    <row r="1877" spans="2:33" ht="16">
      <c r="B1877" s="26" t="str">
        <f t="shared" si="8"/>
        <v/>
      </c>
      <c r="C1877" s="6"/>
      <c r="D1877" s="6"/>
      <c r="E1877" s="6"/>
      <c r="F1877" s="15"/>
      <c r="G1877" s="6"/>
      <c r="H1877" s="6"/>
      <c r="I1877" s="6"/>
      <c r="J1877" s="16"/>
      <c r="K1877" s="6"/>
      <c r="L1877" s="16"/>
      <c r="M1877" s="23"/>
      <c r="N1877" s="15"/>
      <c r="O1877" s="17"/>
      <c r="P1877" s="21"/>
      <c r="Q1877" s="6"/>
      <c r="R1877" s="6"/>
      <c r="S1877" s="20"/>
      <c r="T1877" s="6"/>
      <c r="U1877" s="21"/>
      <c r="W1877" s="20"/>
      <c r="X1877" s="21"/>
      <c r="AD1877" s="17"/>
      <c r="AG1877" s="23"/>
    </row>
    <row r="1878" spans="2:33" ht="16">
      <c r="B1878" s="26" t="str">
        <f t="shared" si="8"/>
        <v/>
      </c>
      <c r="C1878" s="6"/>
      <c r="D1878" s="6"/>
      <c r="E1878" s="6"/>
      <c r="F1878" s="15"/>
      <c r="G1878" s="6"/>
      <c r="H1878" s="6"/>
      <c r="I1878" s="6"/>
      <c r="J1878" s="16"/>
      <c r="K1878" s="6"/>
      <c r="L1878" s="16"/>
      <c r="M1878" s="23"/>
      <c r="N1878" s="15"/>
      <c r="O1878" s="23"/>
      <c r="P1878" s="21"/>
      <c r="Q1878" s="6"/>
      <c r="R1878" s="6"/>
      <c r="S1878" s="20"/>
      <c r="T1878" s="6"/>
      <c r="U1878" s="21"/>
      <c r="W1878" s="20"/>
      <c r="X1878" s="21"/>
      <c r="AD1878" s="23"/>
      <c r="AG1878" s="17"/>
    </row>
    <row r="1879" spans="2:33" ht="16">
      <c r="B1879" s="26" t="str">
        <f t="shared" si="8"/>
        <v/>
      </c>
      <c r="C1879" s="6"/>
      <c r="D1879" s="6"/>
      <c r="E1879" s="6"/>
      <c r="F1879" s="15"/>
      <c r="G1879" s="6"/>
      <c r="H1879" s="6"/>
      <c r="I1879" s="6"/>
      <c r="J1879" s="16"/>
      <c r="K1879" s="6"/>
      <c r="L1879" s="16"/>
      <c r="M1879" s="17"/>
      <c r="N1879" s="15"/>
      <c r="O1879" s="23"/>
      <c r="P1879" s="21"/>
      <c r="Q1879" s="6"/>
      <c r="R1879" s="6"/>
      <c r="S1879" s="20"/>
      <c r="T1879" s="6"/>
      <c r="U1879" s="21"/>
      <c r="W1879" s="20"/>
      <c r="X1879" s="21"/>
      <c r="AD1879" s="23"/>
      <c r="AG1879" s="17"/>
    </row>
    <row r="1880" spans="2:33" ht="16">
      <c r="B1880" s="26" t="str">
        <f t="shared" si="8"/>
        <v/>
      </c>
      <c r="C1880" s="6"/>
      <c r="D1880" s="6"/>
      <c r="E1880" s="6"/>
      <c r="F1880" s="15"/>
      <c r="G1880" s="6"/>
      <c r="H1880" s="6"/>
      <c r="I1880" s="6"/>
      <c r="J1880" s="16"/>
      <c r="K1880" s="6"/>
      <c r="L1880" s="16"/>
      <c r="M1880" s="23"/>
      <c r="N1880" s="15"/>
      <c r="O1880" s="23"/>
      <c r="P1880" s="21"/>
      <c r="Q1880" s="6"/>
      <c r="R1880" s="6"/>
      <c r="S1880" s="20"/>
      <c r="T1880" s="6"/>
      <c r="U1880" s="21"/>
      <c r="W1880" s="20"/>
      <c r="X1880" s="21"/>
      <c r="AD1880" s="17"/>
      <c r="AG1880" s="23"/>
    </row>
    <row r="1881" spans="2:33" ht="16">
      <c r="B1881" s="26" t="str">
        <f t="shared" si="8"/>
        <v/>
      </c>
      <c r="C1881" s="6"/>
      <c r="D1881" s="6"/>
      <c r="E1881" s="6"/>
      <c r="F1881" s="15"/>
      <c r="G1881" s="6"/>
      <c r="H1881" s="6"/>
      <c r="I1881" s="6"/>
      <c r="J1881" s="16"/>
      <c r="K1881" s="6"/>
      <c r="L1881" s="16"/>
      <c r="M1881" s="23"/>
      <c r="N1881" s="15"/>
      <c r="O1881" s="23"/>
      <c r="P1881" s="21"/>
      <c r="Q1881" s="6"/>
      <c r="R1881" s="6"/>
      <c r="S1881" s="20"/>
      <c r="T1881" s="6"/>
      <c r="U1881" s="21"/>
      <c r="W1881" s="20"/>
      <c r="X1881" s="21"/>
      <c r="AD1881" s="23"/>
      <c r="AG1881" s="23"/>
    </row>
    <row r="1882" spans="2:33" ht="16">
      <c r="B1882" s="26" t="str">
        <f t="shared" si="8"/>
        <v/>
      </c>
      <c r="C1882" s="6"/>
      <c r="D1882" s="6"/>
      <c r="E1882" s="6"/>
      <c r="F1882" s="15"/>
      <c r="G1882" s="6"/>
      <c r="H1882" s="6"/>
      <c r="I1882" s="6"/>
      <c r="J1882" s="16"/>
      <c r="K1882" s="6"/>
      <c r="L1882" s="16"/>
      <c r="M1882" s="23"/>
      <c r="N1882" s="15"/>
      <c r="O1882" s="23"/>
      <c r="P1882" s="21"/>
      <c r="Q1882" s="6"/>
      <c r="R1882" s="6"/>
      <c r="S1882" s="20"/>
      <c r="T1882" s="6"/>
      <c r="U1882" s="21"/>
      <c r="W1882" s="20"/>
      <c r="X1882" s="21"/>
      <c r="AD1882" s="17"/>
      <c r="AG1882" s="23"/>
    </row>
    <row r="1883" spans="2:33" ht="16">
      <c r="B1883" s="26" t="str">
        <f t="shared" si="8"/>
        <v/>
      </c>
      <c r="C1883" s="6"/>
      <c r="D1883" s="6"/>
      <c r="E1883" s="6"/>
      <c r="F1883" s="15"/>
      <c r="G1883" s="6"/>
      <c r="H1883" s="6"/>
      <c r="I1883" s="6"/>
      <c r="J1883" s="16"/>
      <c r="K1883" s="6"/>
      <c r="L1883" s="16"/>
      <c r="M1883" s="23"/>
      <c r="N1883" s="15"/>
      <c r="O1883" s="23"/>
      <c r="P1883" s="21"/>
      <c r="Q1883" s="6"/>
      <c r="R1883" s="6"/>
      <c r="S1883" s="20"/>
      <c r="T1883" s="6"/>
      <c r="U1883" s="21"/>
      <c r="W1883" s="20"/>
      <c r="X1883" s="21"/>
      <c r="AD1883" s="23"/>
      <c r="AG1883" s="23"/>
    </row>
    <row r="1884" spans="2:33" ht="16">
      <c r="B1884" s="26" t="str">
        <f t="shared" si="8"/>
        <v/>
      </c>
      <c r="C1884" s="6"/>
      <c r="D1884" s="6"/>
      <c r="E1884" s="6"/>
      <c r="F1884" s="15"/>
      <c r="G1884" s="6"/>
      <c r="H1884" s="6"/>
      <c r="I1884" s="6"/>
      <c r="J1884" s="16"/>
      <c r="K1884" s="6"/>
      <c r="L1884" s="16"/>
      <c r="M1884" s="23"/>
      <c r="N1884" s="15"/>
      <c r="O1884" s="23"/>
      <c r="P1884" s="21"/>
      <c r="Q1884" s="6"/>
      <c r="R1884" s="6"/>
      <c r="S1884" s="20"/>
      <c r="T1884" s="6"/>
      <c r="U1884" s="21"/>
      <c r="W1884" s="20"/>
      <c r="X1884" s="21"/>
      <c r="AD1884" s="23"/>
      <c r="AG1884" s="23"/>
    </row>
    <row r="1885" spans="2:33" ht="16">
      <c r="B1885" s="26" t="str">
        <f t="shared" si="8"/>
        <v/>
      </c>
      <c r="C1885" s="6"/>
      <c r="D1885" s="6"/>
      <c r="E1885" s="6"/>
      <c r="F1885" s="15"/>
      <c r="G1885" s="6"/>
      <c r="H1885" s="6"/>
      <c r="I1885" s="6"/>
      <c r="J1885" s="16"/>
      <c r="K1885" s="6"/>
      <c r="L1885" s="16"/>
      <c r="M1885" s="23"/>
      <c r="N1885" s="15"/>
      <c r="O1885" s="23"/>
      <c r="P1885" s="21"/>
      <c r="Q1885" s="6"/>
      <c r="R1885" s="6"/>
      <c r="S1885" s="20"/>
      <c r="T1885" s="6"/>
      <c r="U1885" s="21"/>
      <c r="W1885" s="20"/>
      <c r="X1885" s="21"/>
      <c r="AD1885" s="23"/>
      <c r="AG1885" s="17"/>
    </row>
    <row r="1886" spans="2:33" ht="16">
      <c r="B1886" s="26" t="str">
        <f t="shared" si="8"/>
        <v/>
      </c>
      <c r="C1886" s="6"/>
      <c r="D1886" s="6"/>
      <c r="E1886" s="6"/>
      <c r="F1886" s="15"/>
      <c r="G1886" s="6"/>
      <c r="H1886" s="6"/>
      <c r="I1886" s="6"/>
      <c r="J1886" s="16"/>
      <c r="K1886" s="6"/>
      <c r="L1886" s="16"/>
      <c r="M1886" s="23"/>
      <c r="N1886" s="15"/>
      <c r="O1886" s="17"/>
      <c r="P1886" s="21"/>
      <c r="Q1886" s="6"/>
      <c r="R1886" s="6"/>
      <c r="S1886" s="20"/>
      <c r="T1886" s="6"/>
      <c r="U1886" s="21"/>
      <c r="W1886" s="20"/>
      <c r="X1886" s="21"/>
      <c r="AD1886" s="17"/>
      <c r="AG1886" s="23"/>
    </row>
    <row r="1887" spans="2:33" ht="16">
      <c r="B1887" s="26" t="str">
        <f t="shared" si="8"/>
        <v/>
      </c>
      <c r="C1887" s="6"/>
      <c r="D1887" s="6"/>
      <c r="E1887" s="6"/>
      <c r="F1887" s="15"/>
      <c r="G1887" s="6"/>
      <c r="H1887" s="6"/>
      <c r="I1887" s="6"/>
      <c r="J1887" s="16"/>
      <c r="K1887" s="6"/>
      <c r="L1887" s="16"/>
      <c r="M1887" s="17"/>
      <c r="N1887" s="15"/>
      <c r="O1887" s="17"/>
      <c r="P1887" s="21"/>
      <c r="Q1887" s="6"/>
      <c r="R1887" s="6"/>
      <c r="S1887" s="20"/>
      <c r="T1887" s="6"/>
      <c r="U1887" s="21"/>
      <c r="W1887" s="20"/>
      <c r="X1887" s="21"/>
      <c r="AG1887" s="23"/>
    </row>
    <row r="1888" spans="2:33" ht="16">
      <c r="B1888" s="26" t="str">
        <f t="shared" si="8"/>
        <v/>
      </c>
      <c r="C1888" s="6"/>
      <c r="D1888" s="6"/>
      <c r="E1888" s="6"/>
      <c r="F1888" s="15"/>
      <c r="G1888" s="6"/>
      <c r="H1888" s="6"/>
      <c r="I1888" s="6"/>
      <c r="J1888" s="16"/>
      <c r="K1888" s="6"/>
      <c r="L1888" s="16"/>
      <c r="M1888" s="17"/>
      <c r="N1888" s="15"/>
      <c r="O1888" s="23"/>
      <c r="P1888" s="21"/>
      <c r="Q1888" s="6"/>
      <c r="R1888" s="6"/>
      <c r="S1888" s="20"/>
      <c r="T1888" s="6"/>
      <c r="U1888" s="21"/>
      <c r="W1888" s="20"/>
      <c r="X1888" s="21"/>
      <c r="AG1888" s="23"/>
    </row>
    <row r="1889" spans="2:33" ht="16">
      <c r="B1889" s="26" t="str">
        <f t="shared" si="8"/>
        <v/>
      </c>
      <c r="C1889" s="6"/>
      <c r="D1889" s="6"/>
      <c r="E1889" s="6"/>
      <c r="F1889" s="15"/>
      <c r="G1889" s="6"/>
      <c r="H1889" s="6"/>
      <c r="I1889" s="6"/>
      <c r="J1889" s="16"/>
      <c r="K1889" s="6"/>
      <c r="L1889" s="16"/>
      <c r="M1889" s="17"/>
      <c r="N1889" s="15"/>
      <c r="O1889" s="23"/>
      <c r="P1889" s="21"/>
      <c r="Q1889" s="6"/>
      <c r="R1889" s="6"/>
      <c r="S1889" s="20"/>
      <c r="T1889" s="6"/>
      <c r="U1889" s="21"/>
      <c r="W1889" s="20"/>
      <c r="X1889" s="21"/>
      <c r="AG1889" s="23"/>
    </row>
    <row r="1890" spans="2:33" ht="16">
      <c r="B1890" s="26" t="str">
        <f t="shared" si="8"/>
        <v/>
      </c>
      <c r="C1890" s="6"/>
      <c r="D1890" s="6"/>
      <c r="E1890" s="6"/>
      <c r="F1890" s="15"/>
      <c r="G1890" s="6"/>
      <c r="H1890" s="6"/>
      <c r="I1890" s="6"/>
      <c r="J1890" s="16"/>
      <c r="K1890" s="6"/>
      <c r="L1890" s="16"/>
      <c r="M1890" s="17"/>
      <c r="N1890" s="15"/>
      <c r="O1890" s="23"/>
      <c r="P1890" s="21"/>
      <c r="Q1890" s="6"/>
      <c r="R1890" s="6"/>
      <c r="S1890" s="20"/>
      <c r="T1890" s="6"/>
      <c r="U1890" s="21"/>
      <c r="W1890" s="20"/>
      <c r="X1890" s="21"/>
      <c r="AG1890" s="23"/>
    </row>
    <row r="1891" spans="2:33" ht="16">
      <c r="B1891" s="26" t="str">
        <f t="shared" si="8"/>
        <v/>
      </c>
      <c r="C1891" s="6"/>
      <c r="D1891" s="6"/>
      <c r="E1891" s="6"/>
      <c r="F1891" s="15"/>
      <c r="G1891" s="6"/>
      <c r="H1891" s="6"/>
      <c r="I1891" s="6"/>
      <c r="J1891" s="16"/>
      <c r="K1891" s="6"/>
      <c r="L1891" s="16"/>
      <c r="M1891" s="17"/>
      <c r="N1891" s="15"/>
      <c r="O1891" s="17"/>
      <c r="P1891" s="21"/>
      <c r="Q1891" s="6"/>
      <c r="R1891" s="6"/>
      <c r="S1891" s="20"/>
      <c r="T1891" s="6"/>
      <c r="U1891" s="21"/>
      <c r="W1891" s="20"/>
      <c r="X1891" s="21"/>
      <c r="AG1891" s="23"/>
    </row>
    <row r="1892" spans="2:33" ht="16">
      <c r="B1892" s="26" t="str">
        <f t="shared" si="8"/>
        <v/>
      </c>
      <c r="C1892" s="6"/>
      <c r="D1892" s="6"/>
      <c r="E1892" s="6"/>
      <c r="F1892" s="15"/>
      <c r="G1892" s="6"/>
      <c r="H1892" s="6"/>
      <c r="I1892" s="6"/>
      <c r="J1892" s="16"/>
      <c r="K1892" s="6"/>
      <c r="L1892" s="16"/>
      <c r="M1892" s="17"/>
      <c r="N1892" s="15"/>
      <c r="O1892" s="23"/>
      <c r="P1892" s="21"/>
      <c r="Q1892" s="6"/>
      <c r="R1892" s="6"/>
      <c r="S1892" s="20"/>
      <c r="T1892" s="6"/>
      <c r="U1892" s="21"/>
      <c r="W1892" s="20"/>
      <c r="X1892" s="21"/>
      <c r="AG1892" s="23"/>
    </row>
    <row r="1893" spans="2:33" ht="16">
      <c r="B1893" s="26" t="str">
        <f t="shared" si="8"/>
        <v/>
      </c>
      <c r="C1893" s="6"/>
      <c r="D1893" s="6"/>
      <c r="E1893" s="6"/>
      <c r="F1893" s="15"/>
      <c r="G1893" s="6"/>
      <c r="H1893" s="6"/>
      <c r="I1893" s="6"/>
      <c r="J1893" s="16"/>
      <c r="K1893" s="6"/>
      <c r="L1893" s="16"/>
      <c r="M1893" s="17"/>
      <c r="N1893" s="15"/>
      <c r="O1893" s="23"/>
      <c r="P1893" s="21"/>
      <c r="Q1893" s="6"/>
      <c r="R1893" s="6"/>
      <c r="S1893" s="20"/>
      <c r="T1893" s="6"/>
      <c r="U1893" s="21"/>
      <c r="W1893" s="20"/>
      <c r="X1893" s="21"/>
      <c r="AG1893" s="23"/>
    </row>
    <row r="1894" spans="2:33" ht="16">
      <c r="B1894" s="26" t="str">
        <f t="shared" si="8"/>
        <v/>
      </c>
      <c r="C1894" s="6"/>
      <c r="D1894" s="6"/>
      <c r="E1894" s="6"/>
      <c r="F1894" s="15"/>
      <c r="G1894" s="6"/>
      <c r="H1894" s="6"/>
      <c r="I1894" s="6"/>
      <c r="J1894" s="16"/>
      <c r="K1894" s="6"/>
      <c r="L1894" s="16"/>
      <c r="M1894" s="17"/>
      <c r="N1894" s="15"/>
      <c r="O1894" s="17"/>
      <c r="P1894" s="21"/>
      <c r="Q1894" s="6"/>
      <c r="R1894" s="6"/>
      <c r="S1894" s="20"/>
      <c r="T1894" s="6"/>
      <c r="U1894" s="21"/>
      <c r="W1894" s="20"/>
      <c r="X1894" s="21"/>
      <c r="AD1894" s="17"/>
      <c r="AG1894" s="23"/>
    </row>
    <row r="1895" spans="2:33" ht="16">
      <c r="B1895" s="26" t="str">
        <f t="shared" si="8"/>
        <v/>
      </c>
      <c r="C1895" s="6"/>
      <c r="D1895" s="6"/>
      <c r="E1895" s="6"/>
      <c r="F1895" s="15"/>
      <c r="G1895" s="6"/>
      <c r="H1895" s="6"/>
      <c r="I1895" s="6"/>
      <c r="J1895" s="16"/>
      <c r="K1895" s="6"/>
      <c r="L1895" s="16"/>
      <c r="M1895" s="17"/>
      <c r="N1895" s="15"/>
      <c r="O1895" s="17"/>
      <c r="P1895" s="21"/>
      <c r="Q1895" s="6"/>
      <c r="R1895" s="6"/>
      <c r="S1895" s="20"/>
      <c r="T1895" s="6"/>
      <c r="U1895" s="21"/>
      <c r="W1895" s="20"/>
      <c r="X1895" s="21"/>
      <c r="AD1895" s="17"/>
      <c r="AG1895" s="23"/>
    </row>
    <row r="1896" spans="2:33" ht="16">
      <c r="B1896" s="26" t="str">
        <f t="shared" si="8"/>
        <v/>
      </c>
      <c r="C1896" s="6"/>
      <c r="D1896" s="6"/>
      <c r="E1896" s="6"/>
      <c r="F1896" s="15"/>
      <c r="G1896" s="6"/>
      <c r="H1896" s="6"/>
      <c r="I1896" s="6"/>
      <c r="J1896" s="16"/>
      <c r="K1896" s="6"/>
      <c r="L1896" s="16"/>
      <c r="M1896" s="17"/>
      <c r="N1896" s="15"/>
      <c r="O1896" s="17"/>
      <c r="P1896" s="21"/>
      <c r="Q1896" s="6"/>
      <c r="R1896" s="6"/>
      <c r="S1896" s="20"/>
      <c r="T1896" s="6"/>
      <c r="U1896" s="21"/>
      <c r="W1896" s="20"/>
      <c r="X1896" s="21"/>
      <c r="AD1896" s="17"/>
      <c r="AG1896" s="23"/>
    </row>
    <row r="1897" spans="2:33" ht="16">
      <c r="B1897" s="26" t="str">
        <f t="shared" si="8"/>
        <v/>
      </c>
      <c r="C1897" s="6"/>
      <c r="D1897" s="6"/>
      <c r="E1897" s="6"/>
      <c r="F1897" s="15"/>
      <c r="G1897" s="6"/>
      <c r="H1897" s="6"/>
      <c r="I1897" s="6"/>
      <c r="J1897" s="16"/>
      <c r="K1897" s="6"/>
      <c r="L1897" s="16"/>
      <c r="M1897" s="17"/>
      <c r="N1897" s="15"/>
      <c r="O1897" s="23"/>
      <c r="P1897" s="21"/>
      <c r="Q1897" s="6"/>
      <c r="R1897" s="6"/>
      <c r="S1897" s="20"/>
      <c r="T1897" s="6"/>
      <c r="U1897" s="21"/>
      <c r="W1897" s="20"/>
      <c r="X1897" s="21"/>
      <c r="AG1897" s="23"/>
    </row>
    <row r="1898" spans="2:33" ht="16">
      <c r="B1898" s="26" t="str">
        <f t="shared" si="8"/>
        <v/>
      </c>
      <c r="C1898" s="6"/>
      <c r="D1898" s="6"/>
      <c r="E1898" s="6"/>
      <c r="F1898" s="15"/>
      <c r="G1898" s="6"/>
      <c r="H1898" s="6"/>
      <c r="I1898" s="6"/>
      <c r="J1898" s="16"/>
      <c r="K1898" s="6"/>
      <c r="L1898" s="16"/>
      <c r="M1898" s="17"/>
      <c r="N1898" s="15"/>
      <c r="O1898" s="23"/>
      <c r="P1898" s="21"/>
      <c r="Q1898" s="6"/>
      <c r="R1898" s="6"/>
      <c r="S1898" s="20"/>
      <c r="T1898" s="6"/>
      <c r="U1898" s="21"/>
      <c r="W1898" s="20"/>
      <c r="X1898" s="21"/>
      <c r="AG1898" s="23"/>
    </row>
    <row r="1899" spans="2:33" ht="16">
      <c r="B1899" s="26" t="str">
        <f t="shared" si="8"/>
        <v/>
      </c>
      <c r="C1899" s="6"/>
      <c r="D1899" s="6"/>
      <c r="E1899" s="6"/>
      <c r="F1899" s="15"/>
      <c r="G1899" s="6"/>
      <c r="H1899" s="6"/>
      <c r="I1899" s="6"/>
      <c r="J1899" s="16"/>
      <c r="K1899" s="6"/>
      <c r="L1899" s="16"/>
      <c r="M1899" s="17"/>
      <c r="N1899" s="15"/>
      <c r="O1899" s="17"/>
      <c r="P1899" s="21"/>
      <c r="Q1899" s="6"/>
      <c r="R1899" s="6"/>
      <c r="S1899" s="20"/>
      <c r="T1899" s="6"/>
      <c r="U1899" s="21"/>
      <c r="W1899" s="20"/>
      <c r="X1899" s="21"/>
      <c r="AD1899" s="17"/>
      <c r="AG1899" s="23"/>
    </row>
    <row r="1900" spans="2:33" ht="16">
      <c r="B1900" s="26" t="str">
        <f t="shared" si="8"/>
        <v/>
      </c>
      <c r="C1900" s="6"/>
      <c r="D1900" s="6"/>
      <c r="E1900" s="6"/>
      <c r="F1900" s="15"/>
      <c r="G1900" s="6"/>
      <c r="H1900" s="6"/>
      <c r="I1900" s="6"/>
      <c r="J1900" s="16"/>
      <c r="K1900" s="6"/>
      <c r="L1900" s="16"/>
      <c r="M1900" s="17"/>
      <c r="N1900" s="15"/>
      <c r="O1900" s="17"/>
      <c r="P1900" s="21"/>
      <c r="Q1900" s="6"/>
      <c r="R1900" s="6"/>
      <c r="S1900" s="20"/>
      <c r="T1900" s="6"/>
      <c r="U1900" s="21"/>
      <c r="W1900" s="20"/>
      <c r="X1900" s="21"/>
      <c r="AG1900" s="23"/>
    </row>
    <row r="1901" spans="2:33" ht="16">
      <c r="B1901" s="26" t="str">
        <f t="shared" si="8"/>
        <v/>
      </c>
      <c r="C1901" s="6"/>
      <c r="D1901" s="6"/>
      <c r="E1901" s="6"/>
      <c r="F1901" s="15"/>
      <c r="G1901" s="6"/>
      <c r="H1901" s="6"/>
      <c r="I1901" s="6"/>
      <c r="J1901" s="16"/>
      <c r="K1901" s="6"/>
      <c r="L1901" s="16"/>
      <c r="M1901" s="17"/>
      <c r="N1901" s="15"/>
      <c r="O1901" s="17"/>
      <c r="P1901" s="21"/>
      <c r="Q1901" s="6"/>
      <c r="R1901" s="6"/>
      <c r="S1901" s="20"/>
      <c r="T1901" s="6"/>
      <c r="U1901" s="21"/>
      <c r="W1901" s="20"/>
      <c r="X1901" s="21"/>
      <c r="AD1901" s="17"/>
      <c r="AG1901" s="23"/>
    </row>
    <row r="1902" spans="2:33" ht="16">
      <c r="B1902" s="26" t="str">
        <f t="shared" si="8"/>
        <v/>
      </c>
      <c r="C1902" s="6"/>
      <c r="D1902" s="6"/>
      <c r="E1902" s="6"/>
      <c r="F1902" s="15"/>
      <c r="G1902" s="6"/>
      <c r="H1902" s="6"/>
      <c r="I1902" s="6"/>
      <c r="J1902" s="16"/>
      <c r="K1902" s="6"/>
      <c r="L1902" s="16"/>
      <c r="M1902" s="17"/>
      <c r="N1902" s="15"/>
      <c r="O1902" s="17"/>
      <c r="P1902" s="21"/>
      <c r="Q1902" s="6"/>
      <c r="R1902" s="6"/>
      <c r="S1902" s="20"/>
      <c r="T1902" s="6"/>
      <c r="U1902" s="21"/>
      <c r="W1902" s="20"/>
      <c r="X1902" s="21"/>
      <c r="AG1902" s="23"/>
    </row>
    <row r="1903" spans="2:33" ht="16">
      <c r="B1903" s="26" t="str">
        <f t="shared" si="8"/>
        <v/>
      </c>
      <c r="C1903" s="6"/>
      <c r="D1903" s="6"/>
      <c r="E1903" s="6"/>
      <c r="F1903" s="15"/>
      <c r="G1903" s="6"/>
      <c r="H1903" s="6"/>
      <c r="I1903" s="6"/>
      <c r="J1903" s="16"/>
      <c r="K1903" s="6"/>
      <c r="L1903" s="16"/>
      <c r="M1903" s="17"/>
      <c r="N1903" s="15"/>
      <c r="O1903" s="23"/>
      <c r="P1903" s="21"/>
      <c r="Q1903" s="6"/>
      <c r="R1903" s="6"/>
      <c r="S1903" s="20"/>
      <c r="T1903" s="6"/>
      <c r="U1903" s="21"/>
      <c r="W1903" s="20"/>
      <c r="X1903" s="21"/>
      <c r="AD1903" s="17"/>
      <c r="AG1903" s="23"/>
    </row>
    <row r="1904" spans="2:33" ht="16">
      <c r="B1904" s="26" t="str">
        <f t="shared" si="8"/>
        <v/>
      </c>
      <c r="C1904" s="6"/>
      <c r="D1904" s="6"/>
      <c r="E1904" s="6"/>
      <c r="F1904" s="15"/>
      <c r="G1904" s="6"/>
      <c r="H1904" s="6"/>
      <c r="I1904" s="6"/>
      <c r="J1904" s="16"/>
      <c r="K1904" s="6"/>
      <c r="L1904" s="16"/>
      <c r="M1904" s="17"/>
      <c r="N1904" s="15"/>
      <c r="O1904" s="23"/>
      <c r="P1904" s="21"/>
      <c r="Q1904" s="6"/>
      <c r="R1904" s="6"/>
      <c r="S1904" s="20"/>
      <c r="T1904" s="6"/>
      <c r="U1904" s="21"/>
      <c r="W1904" s="20"/>
      <c r="X1904" s="21"/>
      <c r="AG1904" s="23"/>
    </row>
    <row r="1905" spans="2:33" ht="16">
      <c r="B1905" s="26" t="str">
        <f t="shared" si="8"/>
        <v/>
      </c>
      <c r="C1905" s="6"/>
      <c r="D1905" s="6"/>
      <c r="E1905" s="6"/>
      <c r="F1905" s="15"/>
      <c r="G1905" s="6"/>
      <c r="H1905" s="6"/>
      <c r="I1905" s="6"/>
      <c r="J1905" s="16"/>
      <c r="K1905" s="6"/>
      <c r="L1905" s="16"/>
      <c r="M1905" s="17"/>
      <c r="N1905" s="15"/>
      <c r="O1905" s="17"/>
      <c r="P1905" s="21"/>
      <c r="Q1905" s="6"/>
      <c r="R1905" s="6"/>
      <c r="S1905" s="20"/>
      <c r="T1905" s="6"/>
      <c r="U1905" s="21"/>
      <c r="W1905" s="20"/>
      <c r="X1905" s="21"/>
      <c r="AG1905" s="23"/>
    </row>
    <row r="1906" spans="2:33" ht="16">
      <c r="B1906" s="26" t="str">
        <f t="shared" si="8"/>
        <v/>
      </c>
      <c r="C1906" s="6"/>
      <c r="D1906" s="6"/>
      <c r="E1906" s="6"/>
      <c r="F1906" s="15"/>
      <c r="G1906" s="6"/>
      <c r="H1906" s="6"/>
      <c r="I1906" s="6"/>
      <c r="J1906" s="16"/>
      <c r="K1906" s="6"/>
      <c r="L1906" s="16"/>
      <c r="M1906" s="17"/>
      <c r="N1906" s="15"/>
      <c r="O1906" s="23"/>
      <c r="P1906" s="21"/>
      <c r="Q1906" s="6"/>
      <c r="R1906" s="6"/>
      <c r="S1906" s="20"/>
      <c r="T1906" s="6"/>
      <c r="U1906" s="21"/>
      <c r="W1906" s="20"/>
      <c r="X1906" s="21"/>
      <c r="AG1906" s="23"/>
    </row>
    <row r="1907" spans="2:33" ht="16">
      <c r="B1907" s="26" t="str">
        <f t="shared" si="8"/>
        <v/>
      </c>
      <c r="C1907" s="6"/>
      <c r="D1907" s="6"/>
      <c r="E1907" s="6"/>
      <c r="F1907" s="15"/>
      <c r="G1907" s="6"/>
      <c r="H1907" s="6"/>
      <c r="I1907" s="6"/>
      <c r="J1907" s="16"/>
      <c r="K1907" s="6"/>
      <c r="L1907" s="16"/>
      <c r="M1907" s="17"/>
      <c r="N1907" s="15"/>
      <c r="O1907" s="17"/>
      <c r="P1907" s="21"/>
      <c r="Q1907" s="6"/>
      <c r="R1907" s="6"/>
      <c r="S1907" s="20"/>
      <c r="T1907" s="6"/>
      <c r="U1907" s="21"/>
      <c r="W1907" s="20"/>
      <c r="X1907" s="21"/>
      <c r="AG1907" s="17"/>
    </row>
    <row r="1908" spans="2:33" ht="16">
      <c r="B1908" s="26" t="str">
        <f t="shared" si="8"/>
        <v/>
      </c>
      <c r="C1908" s="6"/>
      <c r="D1908" s="6"/>
      <c r="E1908" s="6"/>
      <c r="F1908" s="15"/>
      <c r="G1908" s="6"/>
      <c r="H1908" s="6"/>
      <c r="I1908" s="6"/>
      <c r="J1908" s="16"/>
      <c r="K1908" s="6"/>
      <c r="L1908" s="16"/>
      <c r="M1908" s="17"/>
      <c r="N1908" s="15"/>
      <c r="O1908" s="23"/>
      <c r="P1908" s="21"/>
      <c r="Q1908" s="6"/>
      <c r="R1908" s="6"/>
      <c r="S1908" s="20"/>
      <c r="T1908" s="6"/>
      <c r="U1908" s="21"/>
      <c r="W1908" s="20"/>
      <c r="X1908" s="21"/>
      <c r="AG1908" s="23"/>
    </row>
    <row r="1909" spans="2:33" ht="16">
      <c r="B1909" s="26" t="str">
        <f t="shared" si="8"/>
        <v/>
      </c>
      <c r="C1909" s="6"/>
      <c r="D1909" s="6"/>
      <c r="E1909" s="6"/>
      <c r="F1909" s="15"/>
      <c r="G1909" s="6"/>
      <c r="H1909" s="6"/>
      <c r="I1909" s="6"/>
      <c r="J1909" s="16"/>
      <c r="K1909" s="6"/>
      <c r="L1909" s="16"/>
      <c r="M1909" s="17"/>
      <c r="N1909" s="15"/>
      <c r="O1909" s="17"/>
      <c r="P1909" s="21"/>
      <c r="Q1909" s="6"/>
      <c r="R1909" s="6"/>
      <c r="S1909" s="20"/>
      <c r="T1909" s="6"/>
      <c r="U1909" s="21"/>
      <c r="W1909" s="20"/>
      <c r="X1909" s="21"/>
      <c r="AD1909" s="17"/>
      <c r="AG1909" s="23"/>
    </row>
    <row r="1910" spans="2:33" ht="16">
      <c r="B1910" s="26" t="str">
        <f t="shared" si="8"/>
        <v/>
      </c>
      <c r="C1910" s="6"/>
      <c r="D1910" s="6"/>
      <c r="E1910" s="6"/>
      <c r="F1910" s="15"/>
      <c r="G1910" s="6"/>
      <c r="H1910" s="6"/>
      <c r="I1910" s="6"/>
      <c r="J1910" s="16"/>
      <c r="K1910" s="6"/>
      <c r="L1910" s="16"/>
      <c r="M1910" s="17"/>
      <c r="N1910" s="15"/>
      <c r="O1910" s="23"/>
      <c r="P1910" s="21"/>
      <c r="Q1910" s="6"/>
      <c r="R1910" s="6"/>
      <c r="S1910" s="20"/>
      <c r="T1910" s="6"/>
      <c r="U1910" s="21"/>
      <c r="W1910" s="20"/>
      <c r="X1910" s="21"/>
      <c r="AG1910" s="17"/>
    </row>
    <row r="1911" spans="2:33" ht="16">
      <c r="B1911" s="26" t="str">
        <f t="shared" si="8"/>
        <v/>
      </c>
      <c r="C1911" s="6"/>
      <c r="D1911" s="6"/>
      <c r="E1911" s="6"/>
      <c r="F1911" s="15"/>
      <c r="G1911" s="6"/>
      <c r="H1911" s="6"/>
      <c r="I1911" s="6"/>
      <c r="J1911" s="16"/>
      <c r="K1911" s="6"/>
      <c r="L1911" s="16"/>
      <c r="M1911" s="17"/>
      <c r="N1911" s="15"/>
      <c r="O1911" s="23"/>
      <c r="P1911" s="21"/>
      <c r="Q1911" s="6"/>
      <c r="R1911" s="6"/>
      <c r="S1911" s="20"/>
      <c r="T1911" s="6"/>
      <c r="U1911" s="21"/>
      <c r="W1911" s="20"/>
      <c r="X1911" s="21"/>
      <c r="AG1911" s="23"/>
    </row>
    <row r="1912" spans="2:33" ht="16">
      <c r="B1912" s="26" t="str">
        <f t="shared" si="8"/>
        <v/>
      </c>
      <c r="C1912" s="6"/>
      <c r="D1912" s="6"/>
      <c r="E1912" s="6"/>
      <c r="F1912" s="15"/>
      <c r="G1912" s="6"/>
      <c r="H1912" s="6"/>
      <c r="I1912" s="6"/>
      <c r="J1912" s="16"/>
      <c r="K1912" s="6"/>
      <c r="L1912" s="16"/>
      <c r="M1912" s="23"/>
      <c r="N1912" s="15"/>
      <c r="O1912" s="17"/>
      <c r="P1912" s="21"/>
      <c r="Q1912" s="6"/>
      <c r="R1912" s="6"/>
      <c r="S1912" s="20"/>
      <c r="T1912" s="6"/>
      <c r="U1912" s="21"/>
      <c r="W1912" s="20"/>
      <c r="X1912" s="21"/>
      <c r="AD1912" s="23"/>
      <c r="AG1912" s="17"/>
    </row>
    <row r="1913" spans="2:33" ht="16">
      <c r="B1913" s="26" t="str">
        <f t="shared" si="8"/>
        <v/>
      </c>
      <c r="C1913" s="6"/>
      <c r="D1913" s="6"/>
      <c r="E1913" s="6"/>
      <c r="F1913" s="15"/>
      <c r="G1913" s="6"/>
      <c r="H1913" s="6"/>
      <c r="I1913" s="6"/>
      <c r="J1913" s="16"/>
      <c r="K1913" s="6"/>
      <c r="L1913" s="16"/>
      <c r="M1913" s="17"/>
      <c r="N1913" s="15"/>
      <c r="O1913" s="23"/>
      <c r="P1913" s="21"/>
      <c r="Q1913" s="6"/>
      <c r="R1913" s="6"/>
      <c r="S1913" s="20"/>
      <c r="T1913" s="6"/>
      <c r="U1913" s="21"/>
      <c r="W1913" s="20"/>
      <c r="X1913" s="21"/>
      <c r="AG1913" s="23"/>
    </row>
    <row r="1914" spans="2:33" ht="16">
      <c r="B1914" s="26" t="str">
        <f t="shared" si="8"/>
        <v/>
      </c>
      <c r="C1914" s="6"/>
      <c r="D1914" s="6"/>
      <c r="E1914" s="6"/>
      <c r="F1914" s="15"/>
      <c r="G1914" s="6"/>
      <c r="H1914" s="6"/>
      <c r="I1914" s="6"/>
      <c r="J1914" s="16"/>
      <c r="K1914" s="6"/>
      <c r="L1914" s="16"/>
      <c r="M1914" s="17"/>
      <c r="N1914" s="15"/>
      <c r="O1914" s="23"/>
      <c r="P1914" s="21"/>
      <c r="Q1914" s="6"/>
      <c r="R1914" s="6"/>
      <c r="S1914" s="20"/>
      <c r="T1914" s="6"/>
      <c r="U1914" s="21"/>
      <c r="W1914" s="20"/>
      <c r="X1914" s="21"/>
      <c r="AG1914" s="23"/>
    </row>
    <row r="1915" spans="2:33" ht="16">
      <c r="B1915" s="26" t="str">
        <f t="shared" si="8"/>
        <v/>
      </c>
      <c r="C1915" s="6"/>
      <c r="D1915" s="6"/>
      <c r="E1915" s="6"/>
      <c r="F1915" s="15"/>
      <c r="G1915" s="6"/>
      <c r="H1915" s="6"/>
      <c r="I1915" s="6"/>
      <c r="J1915" s="16"/>
      <c r="K1915" s="6"/>
      <c r="L1915" s="16"/>
      <c r="M1915" s="17"/>
      <c r="N1915" s="15"/>
      <c r="O1915" s="17"/>
      <c r="P1915" s="21"/>
      <c r="Q1915" s="6"/>
      <c r="R1915" s="6"/>
      <c r="S1915" s="20"/>
      <c r="T1915" s="6"/>
      <c r="U1915" s="21"/>
      <c r="W1915" s="20"/>
      <c r="X1915" s="21"/>
      <c r="AG1915" s="23"/>
    </row>
    <row r="1916" spans="2:33" ht="16">
      <c r="B1916" s="26" t="str">
        <f t="shared" si="8"/>
        <v/>
      </c>
      <c r="C1916" s="6"/>
      <c r="D1916" s="6"/>
      <c r="E1916" s="6"/>
      <c r="F1916" s="15"/>
      <c r="G1916" s="6"/>
      <c r="H1916" s="6"/>
      <c r="I1916" s="6"/>
      <c r="J1916" s="16"/>
      <c r="K1916" s="6"/>
      <c r="L1916" s="16"/>
      <c r="M1916" s="17"/>
      <c r="N1916" s="15"/>
      <c r="O1916" s="23"/>
      <c r="P1916" s="21"/>
      <c r="Q1916" s="6"/>
      <c r="R1916" s="6"/>
      <c r="S1916" s="20"/>
      <c r="T1916" s="6"/>
      <c r="U1916" s="21"/>
      <c r="W1916" s="20"/>
      <c r="X1916" s="21"/>
      <c r="AG1916" s="23"/>
    </row>
    <row r="1917" spans="2:33" ht="16">
      <c r="B1917" s="26" t="str">
        <f t="shared" si="8"/>
        <v/>
      </c>
      <c r="C1917" s="6"/>
      <c r="D1917" s="6"/>
      <c r="E1917" s="6"/>
      <c r="F1917" s="15"/>
      <c r="G1917" s="6"/>
      <c r="H1917" s="6"/>
      <c r="I1917" s="6"/>
      <c r="J1917" s="16"/>
      <c r="K1917" s="6"/>
      <c r="L1917" s="16"/>
      <c r="M1917" s="17"/>
      <c r="N1917" s="15"/>
      <c r="O1917" s="17"/>
      <c r="P1917" s="21"/>
      <c r="Q1917" s="6"/>
      <c r="R1917" s="6"/>
      <c r="S1917" s="20"/>
      <c r="T1917" s="6"/>
      <c r="U1917" s="21"/>
      <c r="W1917" s="20"/>
      <c r="X1917" s="21"/>
      <c r="AD1917" s="17"/>
      <c r="AG1917" s="23"/>
    </row>
    <row r="1918" spans="2:33" ht="16">
      <c r="B1918" s="26" t="str">
        <f t="shared" si="8"/>
        <v/>
      </c>
      <c r="C1918" s="6"/>
      <c r="D1918" s="6"/>
      <c r="E1918" s="6"/>
      <c r="F1918" s="15"/>
      <c r="G1918" s="6"/>
      <c r="H1918" s="6"/>
      <c r="I1918" s="6"/>
      <c r="J1918" s="16"/>
      <c r="K1918" s="6"/>
      <c r="L1918" s="16"/>
      <c r="M1918" s="17"/>
      <c r="N1918" s="15"/>
      <c r="O1918" s="17"/>
      <c r="P1918" s="21"/>
      <c r="Q1918" s="6"/>
      <c r="R1918" s="6"/>
      <c r="S1918" s="20"/>
      <c r="T1918" s="6"/>
      <c r="U1918" s="21"/>
      <c r="W1918" s="20"/>
      <c r="X1918" s="21"/>
      <c r="AD1918" s="17"/>
      <c r="AG1918" s="23"/>
    </row>
    <row r="1919" spans="2:33" ht="16">
      <c r="B1919" s="26" t="str">
        <f t="shared" si="8"/>
        <v/>
      </c>
      <c r="C1919" s="6"/>
      <c r="D1919" s="6"/>
      <c r="E1919" s="6"/>
      <c r="F1919" s="15"/>
      <c r="G1919" s="6"/>
      <c r="H1919" s="6"/>
      <c r="I1919" s="6"/>
      <c r="J1919" s="16"/>
      <c r="K1919" s="6"/>
      <c r="L1919" s="16"/>
      <c r="M1919" s="17"/>
      <c r="N1919" s="15"/>
      <c r="O1919" s="17"/>
      <c r="P1919" s="21"/>
      <c r="Q1919" s="6"/>
      <c r="R1919" s="6"/>
      <c r="S1919" s="20"/>
      <c r="T1919" s="6"/>
      <c r="U1919" s="21"/>
      <c r="W1919" s="20"/>
      <c r="X1919" s="21"/>
      <c r="AG1919" s="23"/>
    </row>
    <row r="1920" spans="2:33" ht="16">
      <c r="B1920" s="26" t="str">
        <f t="shared" si="8"/>
        <v/>
      </c>
      <c r="C1920" s="6"/>
      <c r="D1920" s="6"/>
      <c r="E1920" s="6"/>
      <c r="F1920" s="15"/>
      <c r="G1920" s="6"/>
      <c r="H1920" s="6"/>
      <c r="I1920" s="6"/>
      <c r="J1920" s="16"/>
      <c r="K1920" s="6"/>
      <c r="L1920" s="16"/>
      <c r="M1920" s="17"/>
      <c r="N1920" s="15"/>
      <c r="O1920" s="23"/>
      <c r="P1920" s="21"/>
      <c r="Q1920" s="6"/>
      <c r="R1920" s="6"/>
      <c r="S1920" s="20"/>
      <c r="T1920" s="6"/>
      <c r="U1920" s="21"/>
      <c r="W1920" s="20"/>
      <c r="X1920" s="21"/>
      <c r="AG1920" s="23"/>
    </row>
    <row r="1921" spans="2:33" ht="16">
      <c r="B1921" s="26" t="str">
        <f t="shared" si="8"/>
        <v/>
      </c>
      <c r="C1921" s="6"/>
      <c r="D1921" s="6"/>
      <c r="E1921" s="6"/>
      <c r="F1921" s="15"/>
      <c r="G1921" s="6"/>
      <c r="H1921" s="6"/>
      <c r="I1921" s="6"/>
      <c r="J1921" s="16"/>
      <c r="K1921" s="6"/>
      <c r="L1921" s="16"/>
      <c r="M1921" s="17"/>
      <c r="N1921" s="15"/>
      <c r="O1921" s="23"/>
      <c r="P1921" s="21"/>
      <c r="Q1921" s="6"/>
      <c r="R1921" s="6"/>
      <c r="S1921" s="20"/>
      <c r="T1921" s="6"/>
      <c r="U1921" s="21"/>
      <c r="W1921" s="20"/>
      <c r="X1921" s="21"/>
      <c r="AG1921" s="23"/>
    </row>
    <row r="1922" spans="2:33" ht="16">
      <c r="B1922" s="26" t="str">
        <f t="shared" si="8"/>
        <v/>
      </c>
      <c r="C1922" s="6"/>
      <c r="D1922" s="6"/>
      <c r="E1922" s="6"/>
      <c r="F1922" s="15"/>
      <c r="G1922" s="6"/>
      <c r="H1922" s="6"/>
      <c r="I1922" s="6"/>
      <c r="J1922" s="16"/>
      <c r="K1922" s="6"/>
      <c r="L1922" s="16"/>
      <c r="M1922" s="17"/>
      <c r="N1922" s="15"/>
      <c r="O1922" s="17"/>
      <c r="P1922" s="21"/>
      <c r="Q1922" s="6"/>
      <c r="R1922" s="6"/>
      <c r="S1922" s="20"/>
      <c r="T1922" s="6"/>
      <c r="U1922" s="21"/>
      <c r="W1922" s="20"/>
      <c r="X1922" s="21"/>
      <c r="AD1922" s="17"/>
      <c r="AG1922" s="23"/>
    </row>
    <row r="1923" spans="2:33" ht="16">
      <c r="B1923" s="26" t="str">
        <f t="shared" si="8"/>
        <v/>
      </c>
      <c r="C1923" s="6"/>
      <c r="D1923" s="6"/>
      <c r="E1923" s="6"/>
      <c r="F1923" s="15"/>
      <c r="G1923" s="6"/>
      <c r="H1923" s="6"/>
      <c r="I1923" s="6"/>
      <c r="J1923" s="16"/>
      <c r="K1923" s="6"/>
      <c r="L1923" s="16"/>
      <c r="M1923" s="17"/>
      <c r="N1923" s="15"/>
      <c r="O1923" s="23"/>
      <c r="P1923" s="21"/>
      <c r="Q1923" s="6"/>
      <c r="R1923" s="6"/>
      <c r="S1923" s="20"/>
      <c r="T1923" s="6"/>
      <c r="U1923" s="21"/>
      <c r="W1923" s="20"/>
      <c r="X1923" s="21"/>
      <c r="AG1923" s="17"/>
    </row>
    <row r="1924" spans="2:33" ht="16">
      <c r="B1924" s="26" t="str">
        <f t="shared" si="8"/>
        <v/>
      </c>
      <c r="C1924" s="6"/>
      <c r="D1924" s="6"/>
      <c r="E1924" s="6"/>
      <c r="F1924" s="15"/>
      <c r="G1924" s="6"/>
      <c r="H1924" s="6"/>
      <c r="I1924" s="6"/>
      <c r="J1924" s="16"/>
      <c r="K1924" s="6"/>
      <c r="L1924" s="16"/>
      <c r="M1924" s="23"/>
      <c r="N1924" s="15"/>
      <c r="O1924" s="17"/>
      <c r="P1924" s="21"/>
      <c r="Q1924" s="6"/>
      <c r="R1924" s="6"/>
      <c r="S1924" s="20"/>
      <c r="T1924" s="6"/>
      <c r="U1924" s="21"/>
      <c r="W1924" s="20"/>
      <c r="X1924" s="21"/>
      <c r="AD1924" s="17"/>
      <c r="AG1924" s="23"/>
    </row>
    <row r="1925" spans="2:33" ht="16">
      <c r="B1925" s="26" t="str">
        <f t="shared" si="8"/>
        <v/>
      </c>
      <c r="C1925" s="6"/>
      <c r="D1925" s="6"/>
      <c r="E1925" s="6"/>
      <c r="F1925" s="15"/>
      <c r="G1925" s="6"/>
      <c r="H1925" s="6"/>
      <c r="I1925" s="6"/>
      <c r="J1925" s="16"/>
      <c r="K1925" s="6"/>
      <c r="L1925" s="16"/>
      <c r="M1925" s="17"/>
      <c r="N1925" s="15"/>
      <c r="O1925" s="17"/>
      <c r="P1925" s="21"/>
      <c r="Q1925" s="6"/>
      <c r="R1925" s="6"/>
      <c r="S1925" s="20"/>
      <c r="T1925" s="6"/>
      <c r="U1925" s="21"/>
      <c r="W1925" s="20"/>
      <c r="X1925" s="21"/>
      <c r="AG1925" s="23"/>
    </row>
    <row r="1926" spans="2:33" ht="16">
      <c r="B1926" s="26" t="str">
        <f t="shared" si="8"/>
        <v/>
      </c>
      <c r="C1926" s="6"/>
      <c r="D1926" s="6"/>
      <c r="E1926" s="6"/>
      <c r="F1926" s="15"/>
      <c r="G1926" s="6"/>
      <c r="H1926" s="6"/>
      <c r="I1926" s="6"/>
      <c r="J1926" s="16"/>
      <c r="K1926" s="6"/>
      <c r="L1926" s="16"/>
      <c r="M1926" s="17"/>
      <c r="N1926" s="15"/>
      <c r="O1926" s="17"/>
      <c r="P1926" s="21"/>
      <c r="Q1926" s="6"/>
      <c r="R1926" s="6"/>
      <c r="S1926" s="20"/>
      <c r="T1926" s="6"/>
      <c r="U1926" s="21"/>
      <c r="W1926" s="20"/>
      <c r="X1926" s="21"/>
      <c r="AG1926" s="23"/>
    </row>
    <row r="1927" spans="2:33" ht="16">
      <c r="B1927" s="26" t="str">
        <f t="shared" si="8"/>
        <v/>
      </c>
      <c r="C1927" s="6"/>
      <c r="D1927" s="6"/>
      <c r="E1927" s="6"/>
      <c r="F1927" s="15"/>
      <c r="G1927" s="6"/>
      <c r="H1927" s="6"/>
      <c r="I1927" s="6"/>
      <c r="J1927" s="16"/>
      <c r="K1927" s="6"/>
      <c r="L1927" s="16"/>
      <c r="M1927" s="17"/>
      <c r="N1927" s="15"/>
      <c r="O1927" s="23"/>
      <c r="P1927" s="21"/>
      <c r="Q1927" s="6"/>
      <c r="R1927" s="6"/>
      <c r="S1927" s="20"/>
      <c r="T1927" s="6"/>
      <c r="U1927" s="21"/>
      <c r="W1927" s="20"/>
      <c r="X1927" s="21"/>
      <c r="AG1927" s="17"/>
    </row>
    <row r="1928" spans="2:33" ht="15" customHeight="1">
      <c r="B1928" s="26" t="str">
        <f t="shared" si="8"/>
        <v/>
      </c>
      <c r="C1928" s="6"/>
      <c r="D1928" s="6"/>
      <c r="E1928" s="6"/>
      <c r="F1928" s="15"/>
      <c r="G1928" s="6"/>
      <c r="H1928" s="6"/>
      <c r="I1928" s="6"/>
      <c r="J1928" s="16"/>
      <c r="K1928" s="6"/>
      <c r="L1928" s="16"/>
      <c r="M1928" s="17"/>
      <c r="N1928" s="15"/>
      <c r="O1928" s="23"/>
      <c r="P1928" s="21"/>
      <c r="Q1928" s="6"/>
      <c r="R1928" s="6"/>
      <c r="S1928" s="20"/>
      <c r="T1928" s="6"/>
      <c r="U1928" s="21"/>
      <c r="W1928" s="20"/>
      <c r="X1928" s="21"/>
      <c r="AG1928" s="23"/>
    </row>
    <row r="1929" spans="2:33" ht="16">
      <c r="B1929" s="26" t="str">
        <f t="shared" si="8"/>
        <v/>
      </c>
      <c r="C1929" s="6"/>
      <c r="D1929" s="6"/>
      <c r="E1929" s="6"/>
      <c r="F1929" s="15"/>
      <c r="G1929" s="6"/>
      <c r="H1929" s="6"/>
      <c r="I1929" s="6"/>
      <c r="J1929" s="16"/>
      <c r="K1929" s="6"/>
      <c r="L1929" s="16"/>
      <c r="M1929" s="17"/>
      <c r="N1929" s="15"/>
      <c r="O1929" s="23"/>
      <c r="P1929" s="21"/>
      <c r="Q1929" s="6"/>
      <c r="R1929" s="6"/>
      <c r="S1929" s="20"/>
      <c r="T1929" s="6"/>
      <c r="U1929" s="21"/>
      <c r="W1929" s="20"/>
      <c r="X1929" s="21"/>
      <c r="AG1929" s="23"/>
    </row>
    <row r="1930" spans="2:33" ht="16">
      <c r="B1930" s="26" t="str">
        <f t="shared" si="8"/>
        <v/>
      </c>
      <c r="C1930" s="6"/>
      <c r="D1930" s="6"/>
      <c r="E1930" s="6"/>
      <c r="F1930" s="15"/>
      <c r="G1930" s="6"/>
      <c r="H1930" s="6"/>
      <c r="I1930" s="6"/>
      <c r="J1930" s="16"/>
      <c r="K1930" s="6"/>
      <c r="L1930" s="16"/>
      <c r="M1930" s="17"/>
      <c r="N1930" s="15"/>
      <c r="O1930" s="23"/>
      <c r="P1930" s="21"/>
      <c r="Q1930" s="6"/>
      <c r="R1930" s="6"/>
      <c r="S1930" s="20"/>
      <c r="T1930" s="6"/>
      <c r="U1930" s="21"/>
      <c r="W1930" s="20"/>
      <c r="X1930" s="21"/>
      <c r="AD1930" s="23"/>
      <c r="AG1930" s="23"/>
    </row>
    <row r="1931" spans="2:33" ht="16">
      <c r="B1931" s="26" t="str">
        <f t="shared" si="8"/>
        <v/>
      </c>
      <c r="C1931" s="6"/>
      <c r="D1931" s="6"/>
      <c r="E1931" s="6"/>
      <c r="F1931" s="15"/>
      <c r="G1931" s="6"/>
      <c r="H1931" s="6"/>
      <c r="I1931" s="6"/>
      <c r="J1931" s="16"/>
      <c r="K1931" s="6"/>
      <c r="L1931" s="16"/>
      <c r="M1931" s="17"/>
      <c r="N1931" s="15"/>
      <c r="O1931" s="23"/>
      <c r="P1931" s="21"/>
      <c r="Q1931" s="6"/>
      <c r="R1931" s="6"/>
      <c r="S1931" s="20"/>
      <c r="T1931" s="6"/>
      <c r="U1931" s="21"/>
      <c r="W1931" s="20"/>
      <c r="X1931" s="21"/>
      <c r="AG1931" s="17"/>
    </row>
    <row r="1932" spans="2:33" ht="16">
      <c r="B1932" s="26" t="str">
        <f t="shared" si="8"/>
        <v/>
      </c>
      <c r="C1932" s="6"/>
      <c r="D1932" s="6"/>
      <c r="E1932" s="6"/>
      <c r="F1932" s="15"/>
      <c r="G1932" s="6"/>
      <c r="H1932" s="6"/>
      <c r="I1932" s="6"/>
      <c r="J1932" s="16"/>
      <c r="K1932" s="6"/>
      <c r="L1932" s="16"/>
      <c r="M1932" s="17"/>
      <c r="N1932" s="15"/>
      <c r="O1932" s="17"/>
      <c r="P1932" s="21"/>
      <c r="Q1932" s="6"/>
      <c r="R1932" s="6"/>
      <c r="S1932" s="20"/>
      <c r="T1932" s="6"/>
      <c r="U1932" s="21"/>
      <c r="W1932" s="20"/>
      <c r="X1932" s="21"/>
      <c r="AG1932" s="17"/>
    </row>
    <row r="1933" spans="2:33" ht="16">
      <c r="B1933" s="26" t="str">
        <f t="shared" si="8"/>
        <v/>
      </c>
      <c r="C1933" s="6"/>
      <c r="D1933" s="6"/>
      <c r="E1933" s="6"/>
      <c r="F1933" s="15"/>
      <c r="G1933" s="6"/>
      <c r="H1933" s="6"/>
      <c r="I1933" s="6"/>
      <c r="J1933" s="16"/>
      <c r="K1933" s="6"/>
      <c r="L1933" s="16"/>
      <c r="M1933" s="17"/>
      <c r="N1933" s="15"/>
      <c r="O1933" s="17"/>
      <c r="P1933" s="21"/>
      <c r="Q1933" s="6"/>
      <c r="R1933" s="6"/>
      <c r="S1933" s="20"/>
      <c r="T1933" s="6"/>
      <c r="U1933" s="21"/>
      <c r="W1933" s="20"/>
      <c r="X1933" s="21"/>
      <c r="AD1933" s="17"/>
      <c r="AG1933" s="17"/>
    </row>
    <row r="1934" spans="2:33" ht="16">
      <c r="B1934" s="26" t="str">
        <f t="shared" si="8"/>
        <v/>
      </c>
      <c r="C1934" s="6"/>
      <c r="D1934" s="6"/>
      <c r="E1934" s="6"/>
      <c r="F1934" s="15"/>
      <c r="G1934" s="6"/>
      <c r="H1934" s="6"/>
      <c r="I1934" s="6"/>
      <c r="J1934" s="16"/>
      <c r="K1934" s="6"/>
      <c r="L1934" s="16"/>
      <c r="M1934" s="17"/>
      <c r="N1934" s="15"/>
      <c r="O1934" s="17"/>
      <c r="P1934" s="21"/>
      <c r="Q1934" s="6"/>
      <c r="R1934" s="6"/>
      <c r="S1934" s="20"/>
      <c r="T1934" s="6"/>
      <c r="U1934" s="21"/>
      <c r="W1934" s="20"/>
      <c r="X1934" s="21"/>
      <c r="AD1934" s="17"/>
      <c r="AG1934" s="17"/>
    </row>
    <row r="1935" spans="2:33" ht="16">
      <c r="B1935" s="26" t="str">
        <f t="shared" si="8"/>
        <v/>
      </c>
      <c r="C1935" s="6"/>
      <c r="D1935" s="6"/>
      <c r="E1935" s="6"/>
      <c r="F1935" s="15"/>
      <c r="G1935" s="6"/>
      <c r="H1935" s="6"/>
      <c r="I1935" s="6"/>
      <c r="J1935" s="16"/>
      <c r="K1935" s="6"/>
      <c r="L1935" s="16"/>
      <c r="M1935" s="17"/>
      <c r="N1935" s="15"/>
      <c r="O1935" s="17"/>
      <c r="P1935" s="21"/>
      <c r="Q1935" s="6"/>
      <c r="R1935" s="6"/>
      <c r="S1935" s="20"/>
      <c r="T1935" s="6"/>
      <c r="W1935" s="20"/>
      <c r="X1935" s="21"/>
      <c r="AG1935" s="23"/>
    </row>
    <row r="1936" spans="2:33" ht="16">
      <c r="B1936" s="26" t="str">
        <f t="shared" si="8"/>
        <v/>
      </c>
      <c r="C1936" s="6"/>
      <c r="D1936" s="6"/>
      <c r="E1936" s="6"/>
      <c r="F1936" s="15"/>
      <c r="G1936" s="6"/>
      <c r="H1936" s="6"/>
      <c r="I1936" s="6"/>
      <c r="J1936" s="16"/>
      <c r="K1936" s="6"/>
      <c r="L1936" s="16"/>
      <c r="M1936" s="17"/>
      <c r="N1936" s="15"/>
      <c r="O1936" s="17"/>
      <c r="P1936" s="21"/>
      <c r="Q1936" s="6"/>
      <c r="R1936" s="6"/>
      <c r="S1936" s="20"/>
      <c r="T1936" s="6"/>
      <c r="U1936" s="21"/>
      <c r="W1936" s="20"/>
      <c r="X1936" s="21"/>
      <c r="AG1936" s="23"/>
    </row>
    <row r="1937" spans="2:33" ht="16">
      <c r="B1937" s="26" t="str">
        <f t="shared" si="8"/>
        <v/>
      </c>
      <c r="C1937" s="6"/>
      <c r="D1937" s="6"/>
      <c r="E1937" s="6"/>
      <c r="F1937" s="15"/>
      <c r="G1937" s="6"/>
      <c r="H1937" s="6"/>
      <c r="I1937" s="6"/>
      <c r="J1937" s="16"/>
      <c r="K1937" s="6"/>
      <c r="L1937" s="16"/>
      <c r="M1937" s="17"/>
      <c r="N1937" s="15"/>
      <c r="O1937" s="17"/>
      <c r="P1937" s="21"/>
      <c r="Q1937" s="6"/>
      <c r="R1937" s="6"/>
      <c r="S1937" s="20"/>
      <c r="T1937" s="6"/>
      <c r="U1937" s="21"/>
      <c r="W1937" s="20"/>
      <c r="X1937" s="21"/>
      <c r="AG1937" s="23"/>
    </row>
    <row r="1938" spans="2:33" ht="16">
      <c r="B1938" s="26" t="str">
        <f t="shared" si="8"/>
        <v/>
      </c>
      <c r="C1938" s="6"/>
      <c r="D1938" s="6"/>
      <c r="E1938" s="6"/>
      <c r="F1938" s="15"/>
      <c r="G1938" s="6"/>
      <c r="H1938" s="6"/>
      <c r="I1938" s="6"/>
      <c r="J1938" s="16"/>
      <c r="K1938" s="6"/>
      <c r="L1938" s="16"/>
      <c r="M1938" s="23"/>
      <c r="N1938" s="15"/>
      <c r="O1938" s="23"/>
      <c r="P1938" s="21"/>
      <c r="Q1938" s="6"/>
      <c r="R1938" s="6"/>
      <c r="S1938" s="20"/>
      <c r="T1938" s="6"/>
      <c r="U1938" s="21"/>
      <c r="W1938" s="20"/>
      <c r="X1938" s="21"/>
      <c r="AD1938" s="23"/>
      <c r="AG1938" s="23"/>
    </row>
    <row r="1939" spans="2:33" ht="16">
      <c r="B1939" s="26" t="str">
        <f t="shared" si="8"/>
        <v/>
      </c>
      <c r="C1939" s="6"/>
      <c r="D1939" s="6"/>
      <c r="E1939" s="6"/>
      <c r="F1939" s="15"/>
      <c r="G1939" s="6"/>
      <c r="H1939" s="6"/>
      <c r="I1939" s="6"/>
      <c r="J1939" s="16"/>
      <c r="K1939" s="6"/>
      <c r="L1939" s="16"/>
      <c r="M1939" s="23"/>
      <c r="N1939" s="15"/>
      <c r="O1939" s="17"/>
      <c r="P1939" s="21"/>
      <c r="Q1939" s="6"/>
      <c r="R1939" s="6"/>
      <c r="S1939" s="20"/>
      <c r="T1939" s="6"/>
      <c r="U1939" s="21"/>
      <c r="W1939" s="20"/>
      <c r="X1939" s="21"/>
      <c r="AD1939" s="17"/>
      <c r="AG1939" s="23"/>
    </row>
    <row r="1940" spans="2:33" ht="16">
      <c r="B1940" s="26" t="str">
        <f t="shared" si="8"/>
        <v/>
      </c>
      <c r="C1940" s="6"/>
      <c r="D1940" s="6"/>
      <c r="E1940" s="6"/>
      <c r="F1940" s="15"/>
      <c r="G1940" s="6"/>
      <c r="H1940" s="6"/>
      <c r="I1940" s="6"/>
      <c r="J1940" s="16"/>
      <c r="K1940" s="6"/>
      <c r="L1940" s="16"/>
      <c r="M1940" s="23"/>
      <c r="N1940" s="15"/>
      <c r="O1940" s="17"/>
      <c r="P1940" s="21"/>
      <c r="Q1940" s="6"/>
      <c r="R1940" s="6"/>
      <c r="S1940" s="20"/>
      <c r="T1940" s="6"/>
      <c r="U1940" s="21"/>
      <c r="W1940" s="20"/>
      <c r="X1940" s="21"/>
      <c r="AD1940" s="23"/>
      <c r="AG1940" s="23"/>
    </row>
    <row r="1941" spans="2:33" ht="16">
      <c r="B1941" s="26" t="str">
        <f t="shared" si="8"/>
        <v/>
      </c>
      <c r="C1941" s="6"/>
      <c r="D1941" s="6"/>
      <c r="E1941" s="6"/>
      <c r="F1941" s="15"/>
      <c r="G1941" s="6"/>
      <c r="H1941" s="6"/>
      <c r="I1941" s="6"/>
      <c r="J1941" s="16"/>
      <c r="K1941" s="6"/>
      <c r="L1941" s="16"/>
      <c r="M1941" s="23"/>
      <c r="N1941" s="15"/>
      <c r="O1941" s="23"/>
      <c r="P1941" s="21"/>
      <c r="Q1941" s="6"/>
      <c r="R1941" s="6"/>
      <c r="S1941" s="20"/>
      <c r="T1941" s="6"/>
      <c r="U1941" s="21"/>
      <c r="W1941" s="20"/>
      <c r="X1941" s="21"/>
      <c r="AD1941" s="23"/>
      <c r="AG1941" s="23"/>
    </row>
    <row r="1942" spans="2:33" ht="16">
      <c r="B1942" s="26" t="str">
        <f t="shared" si="8"/>
        <v/>
      </c>
      <c r="C1942" s="6"/>
      <c r="D1942" s="6"/>
      <c r="E1942" s="6"/>
      <c r="F1942" s="15"/>
      <c r="G1942" s="6"/>
      <c r="H1942" s="6"/>
      <c r="I1942" s="6"/>
      <c r="J1942" s="16"/>
      <c r="K1942" s="6"/>
      <c r="L1942" s="16"/>
      <c r="M1942" s="17"/>
      <c r="N1942" s="15"/>
      <c r="O1942" s="17"/>
      <c r="P1942" s="21"/>
      <c r="Q1942" s="6"/>
      <c r="R1942" s="6"/>
      <c r="S1942" s="20"/>
      <c r="T1942" s="6"/>
      <c r="U1942" s="21"/>
      <c r="W1942" s="20"/>
      <c r="X1942" s="21"/>
      <c r="AD1942" s="17"/>
      <c r="AG1942" s="23"/>
    </row>
    <row r="1943" spans="2:33" ht="16">
      <c r="B1943" s="26" t="str">
        <f t="shared" si="8"/>
        <v/>
      </c>
      <c r="C1943" s="6"/>
      <c r="D1943" s="6"/>
      <c r="E1943" s="6"/>
      <c r="F1943" s="15"/>
      <c r="G1943" s="6"/>
      <c r="H1943" s="6"/>
      <c r="I1943" s="6"/>
      <c r="J1943" s="16"/>
      <c r="K1943" s="6"/>
      <c r="L1943" s="16"/>
      <c r="M1943" s="23"/>
      <c r="N1943" s="15"/>
      <c r="O1943" s="23"/>
      <c r="P1943" s="21"/>
      <c r="Q1943" s="6"/>
      <c r="R1943" s="6"/>
      <c r="S1943" s="20"/>
      <c r="T1943" s="6"/>
      <c r="U1943" s="21"/>
      <c r="W1943" s="20"/>
      <c r="X1943" s="21"/>
      <c r="AD1943" s="23"/>
      <c r="AG1943" s="23"/>
    </row>
    <row r="1944" spans="2:33" ht="16">
      <c r="B1944" s="26" t="str">
        <f t="shared" si="8"/>
        <v/>
      </c>
      <c r="C1944" s="6"/>
      <c r="D1944" s="6"/>
      <c r="E1944" s="6"/>
      <c r="F1944" s="15"/>
      <c r="G1944" s="6"/>
      <c r="H1944" s="6"/>
      <c r="I1944" s="6"/>
      <c r="J1944" s="16"/>
      <c r="K1944" s="6"/>
      <c r="L1944" s="16"/>
      <c r="M1944" s="23"/>
      <c r="N1944" s="15"/>
      <c r="O1944" s="23"/>
      <c r="P1944" s="21"/>
      <c r="Q1944" s="6"/>
      <c r="R1944" s="6"/>
      <c r="S1944" s="20"/>
      <c r="T1944" s="6"/>
      <c r="U1944" s="21"/>
      <c r="W1944" s="20"/>
      <c r="X1944" s="21"/>
      <c r="AD1944" s="23"/>
      <c r="AG1944" s="23"/>
    </row>
    <row r="1945" spans="2:33" ht="16">
      <c r="B1945" s="26" t="str">
        <f t="shared" si="8"/>
        <v/>
      </c>
      <c r="C1945" s="6"/>
      <c r="D1945" s="6"/>
      <c r="E1945" s="6"/>
      <c r="F1945" s="15"/>
      <c r="G1945" s="6"/>
      <c r="H1945" s="6"/>
      <c r="I1945" s="6"/>
      <c r="J1945" s="16"/>
      <c r="K1945" s="6"/>
      <c r="L1945" s="16"/>
      <c r="M1945" s="17"/>
      <c r="N1945" s="15"/>
      <c r="O1945" s="17"/>
      <c r="P1945" s="21"/>
      <c r="Q1945" s="6"/>
      <c r="R1945" s="6"/>
      <c r="S1945" s="20"/>
      <c r="T1945" s="6"/>
      <c r="U1945" s="21"/>
      <c r="W1945" s="20"/>
      <c r="X1945" s="21"/>
      <c r="AD1945" s="17"/>
      <c r="AG1945" s="23"/>
    </row>
    <row r="1946" spans="2:33" ht="16">
      <c r="B1946" s="26" t="str">
        <f t="shared" si="8"/>
        <v/>
      </c>
      <c r="C1946" s="6"/>
      <c r="D1946" s="6"/>
      <c r="E1946" s="6"/>
      <c r="F1946" s="15"/>
      <c r="G1946" s="6"/>
      <c r="H1946" s="6"/>
      <c r="I1946" s="6"/>
      <c r="J1946" s="16"/>
      <c r="K1946" s="6"/>
      <c r="L1946" s="16"/>
      <c r="M1946" s="17"/>
      <c r="N1946" s="15"/>
      <c r="O1946" s="17"/>
      <c r="P1946" s="21"/>
      <c r="Q1946" s="6"/>
      <c r="R1946" s="6"/>
      <c r="S1946" s="20"/>
      <c r="T1946" s="6"/>
      <c r="U1946" s="21"/>
      <c r="W1946" s="20"/>
      <c r="X1946" s="21"/>
      <c r="AD1946" s="17"/>
      <c r="AG1946" s="17"/>
    </row>
    <row r="1947" spans="2:33" ht="16">
      <c r="B1947" s="26" t="str">
        <f t="shared" si="8"/>
        <v/>
      </c>
      <c r="C1947" s="6"/>
      <c r="D1947" s="6"/>
      <c r="E1947" s="6"/>
      <c r="F1947" s="15"/>
      <c r="G1947" s="6"/>
      <c r="H1947" s="6"/>
      <c r="I1947" s="6"/>
      <c r="J1947" s="16"/>
      <c r="K1947" s="6"/>
      <c r="L1947" s="16"/>
      <c r="M1947" s="17"/>
      <c r="N1947" s="15"/>
      <c r="O1947" s="17"/>
      <c r="P1947" s="21"/>
      <c r="Q1947" s="6"/>
      <c r="R1947" s="6"/>
      <c r="S1947" s="20"/>
      <c r="T1947" s="6"/>
      <c r="U1947" s="21"/>
      <c r="W1947" s="20"/>
      <c r="X1947" s="21"/>
      <c r="AD1947" s="17"/>
      <c r="AG1947" s="23"/>
    </row>
    <row r="1948" spans="2:33" ht="16">
      <c r="B1948" s="26" t="str">
        <f t="shared" si="8"/>
        <v/>
      </c>
      <c r="C1948" s="6"/>
      <c r="D1948" s="6"/>
      <c r="E1948" s="6"/>
      <c r="F1948" s="15"/>
      <c r="G1948" s="6"/>
      <c r="H1948" s="6"/>
      <c r="I1948" s="6"/>
      <c r="J1948" s="16"/>
      <c r="K1948" s="6"/>
      <c r="L1948" s="16"/>
      <c r="M1948" s="23"/>
      <c r="N1948" s="15"/>
      <c r="O1948" s="23"/>
      <c r="P1948" s="21"/>
      <c r="Q1948" s="6"/>
      <c r="R1948" s="6"/>
      <c r="S1948" s="20"/>
      <c r="T1948" s="6"/>
      <c r="U1948" s="21"/>
      <c r="W1948" s="20"/>
      <c r="X1948" s="21"/>
      <c r="AD1948" s="23"/>
      <c r="AG1948" s="23"/>
    </row>
    <row r="1949" spans="2:33" ht="16">
      <c r="B1949" s="26" t="str">
        <f t="shared" si="8"/>
        <v/>
      </c>
      <c r="C1949" s="6"/>
      <c r="D1949" s="6"/>
      <c r="E1949" s="6"/>
      <c r="F1949" s="15"/>
      <c r="G1949" s="6"/>
      <c r="H1949" s="6"/>
      <c r="I1949" s="6"/>
      <c r="J1949" s="16"/>
      <c r="K1949" s="6"/>
      <c r="L1949" s="16"/>
      <c r="M1949" s="17"/>
      <c r="N1949" s="15"/>
      <c r="O1949" s="17"/>
      <c r="P1949" s="21"/>
      <c r="Q1949" s="6"/>
      <c r="R1949" s="6"/>
      <c r="S1949" s="20"/>
      <c r="T1949" s="6"/>
      <c r="U1949" s="21"/>
      <c r="W1949" s="20"/>
      <c r="X1949" s="21"/>
      <c r="AD1949" s="17"/>
      <c r="AG1949" s="23"/>
    </row>
    <row r="1950" spans="2:33" ht="16">
      <c r="B1950" s="26" t="str">
        <f t="shared" si="8"/>
        <v/>
      </c>
      <c r="C1950" s="6"/>
      <c r="D1950" s="6"/>
      <c r="E1950" s="6"/>
      <c r="F1950" s="15"/>
      <c r="G1950" s="6"/>
      <c r="H1950" s="6"/>
      <c r="I1950" s="6"/>
      <c r="J1950" s="16"/>
      <c r="K1950" s="6"/>
      <c r="L1950" s="16"/>
      <c r="M1950" s="23"/>
      <c r="N1950" s="15"/>
      <c r="O1950" s="23"/>
      <c r="P1950" s="21"/>
      <c r="Q1950" s="6"/>
      <c r="R1950" s="6"/>
      <c r="S1950" s="20"/>
      <c r="T1950" s="6"/>
      <c r="U1950" s="21"/>
      <c r="W1950" s="20"/>
      <c r="X1950" s="21"/>
      <c r="AD1950" s="23"/>
      <c r="AG1950" s="23"/>
    </row>
    <row r="1951" spans="2:33" ht="16">
      <c r="B1951" s="26" t="str">
        <f t="shared" si="8"/>
        <v/>
      </c>
      <c r="C1951" s="6"/>
      <c r="D1951" s="6"/>
      <c r="E1951" s="6"/>
      <c r="F1951" s="15"/>
      <c r="G1951" s="6"/>
      <c r="H1951" s="6"/>
      <c r="I1951" s="6"/>
      <c r="J1951" s="16"/>
      <c r="K1951" s="6"/>
      <c r="L1951" s="16"/>
      <c r="M1951" s="23"/>
      <c r="N1951" s="15"/>
      <c r="O1951" s="23"/>
      <c r="P1951" s="21"/>
      <c r="Q1951" s="6"/>
      <c r="R1951" s="6"/>
      <c r="S1951" s="20"/>
      <c r="T1951" s="6"/>
      <c r="U1951" s="21"/>
      <c r="W1951" s="20"/>
      <c r="X1951" s="21"/>
      <c r="AD1951" s="23"/>
      <c r="AG1951" s="17"/>
    </row>
    <row r="1952" spans="2:33" ht="16">
      <c r="B1952" s="26" t="str">
        <f t="shared" si="8"/>
        <v/>
      </c>
      <c r="C1952" s="23"/>
      <c r="D1952" s="6"/>
      <c r="E1952" s="6"/>
      <c r="F1952" s="15"/>
      <c r="G1952" s="6"/>
      <c r="H1952" s="6"/>
      <c r="I1952" s="6"/>
      <c r="J1952" s="16"/>
      <c r="K1952" s="6"/>
      <c r="L1952" s="16"/>
      <c r="M1952" s="23"/>
      <c r="N1952" s="15"/>
      <c r="O1952" s="23"/>
      <c r="P1952" s="21"/>
      <c r="Q1952" s="6"/>
      <c r="R1952" s="6"/>
      <c r="S1952" s="20"/>
      <c r="T1952" s="6"/>
      <c r="U1952" s="21"/>
      <c r="W1952" s="20"/>
      <c r="X1952" s="21"/>
      <c r="AD1952" s="23"/>
      <c r="AG1952" s="23"/>
    </row>
    <row r="1953" spans="2:33" ht="16">
      <c r="B1953" s="26" t="str">
        <f t="shared" si="8"/>
        <v/>
      </c>
      <c r="C1953" s="6"/>
      <c r="D1953" s="6"/>
      <c r="E1953" s="6"/>
      <c r="F1953" s="15"/>
      <c r="G1953" s="6"/>
      <c r="H1953" s="6"/>
      <c r="I1953" s="6"/>
      <c r="J1953" s="16"/>
      <c r="K1953" s="6"/>
      <c r="L1953" s="16"/>
      <c r="M1953" s="23"/>
      <c r="N1953" s="15"/>
      <c r="O1953" s="23"/>
      <c r="P1953" s="21"/>
      <c r="Q1953" s="6"/>
      <c r="R1953" s="6"/>
      <c r="S1953" s="20"/>
      <c r="T1953" s="6"/>
      <c r="U1953" s="21"/>
      <c r="W1953" s="20"/>
      <c r="X1953" s="21"/>
      <c r="AD1953" s="17"/>
      <c r="AG1953" s="23"/>
    </row>
    <row r="1954" spans="2:33" ht="16">
      <c r="B1954" s="26" t="str">
        <f t="shared" si="8"/>
        <v/>
      </c>
      <c r="C1954" s="6"/>
      <c r="D1954" s="6"/>
      <c r="E1954" s="6"/>
      <c r="F1954" s="15"/>
      <c r="G1954" s="6"/>
      <c r="H1954" s="6"/>
      <c r="I1954" s="6"/>
      <c r="J1954" s="16"/>
      <c r="K1954" s="6"/>
      <c r="L1954" s="16"/>
      <c r="M1954" s="23"/>
      <c r="N1954" s="15"/>
      <c r="O1954" s="23"/>
      <c r="P1954" s="21"/>
      <c r="Q1954" s="6"/>
      <c r="R1954" s="6"/>
      <c r="S1954" s="20"/>
      <c r="T1954" s="6"/>
      <c r="U1954" s="21"/>
      <c r="W1954" s="20"/>
      <c r="X1954" s="21"/>
      <c r="AD1954" s="23"/>
      <c r="AG1954" s="17"/>
    </row>
    <row r="1955" spans="2:33" ht="16">
      <c r="B1955" s="26" t="str">
        <f t="shared" si="8"/>
        <v/>
      </c>
      <c r="C1955" s="6"/>
      <c r="D1955" s="6"/>
      <c r="E1955" s="6"/>
      <c r="F1955" s="15"/>
      <c r="G1955" s="6"/>
      <c r="H1955" s="6"/>
      <c r="I1955" s="6"/>
      <c r="J1955" s="16"/>
      <c r="K1955" s="6"/>
      <c r="L1955" s="16"/>
      <c r="M1955" s="23"/>
      <c r="N1955" s="15"/>
      <c r="O1955" s="23"/>
      <c r="P1955" s="21"/>
      <c r="Q1955" s="6"/>
      <c r="R1955" s="6"/>
      <c r="S1955" s="20"/>
      <c r="T1955" s="6"/>
      <c r="U1955" s="21"/>
      <c r="W1955" s="20"/>
      <c r="X1955" s="21"/>
      <c r="AD1955" s="23"/>
      <c r="AG1955" s="23"/>
    </row>
    <row r="1956" spans="2:33" ht="16">
      <c r="B1956" s="26" t="str">
        <f t="shared" si="8"/>
        <v/>
      </c>
      <c r="C1956" s="6"/>
      <c r="D1956" s="6"/>
      <c r="E1956" s="6"/>
      <c r="F1956" s="15"/>
      <c r="G1956" s="6"/>
      <c r="H1956" s="6"/>
      <c r="I1956" s="6"/>
      <c r="J1956" s="16"/>
      <c r="K1956" s="6"/>
      <c r="L1956" s="16"/>
      <c r="M1956" s="23"/>
      <c r="N1956" s="15"/>
      <c r="O1956" s="23"/>
      <c r="P1956" s="21"/>
      <c r="Q1956" s="6"/>
      <c r="R1956" s="6"/>
      <c r="S1956" s="20"/>
      <c r="T1956" s="6"/>
      <c r="U1956" s="21"/>
      <c r="W1956" s="20"/>
      <c r="X1956" s="21"/>
      <c r="AD1956" s="23"/>
      <c r="AG1956" s="23"/>
    </row>
    <row r="1957" spans="2:33" ht="16">
      <c r="B1957" s="26" t="str">
        <f t="shared" si="8"/>
        <v/>
      </c>
      <c r="C1957" s="6"/>
      <c r="D1957" s="6"/>
      <c r="E1957" s="6"/>
      <c r="F1957" s="15"/>
      <c r="G1957" s="6"/>
      <c r="H1957" s="6"/>
      <c r="I1957" s="6"/>
      <c r="J1957" s="16"/>
      <c r="K1957" s="6"/>
      <c r="L1957" s="16"/>
      <c r="M1957" s="17"/>
      <c r="N1957" s="15"/>
      <c r="O1957" s="23"/>
      <c r="P1957" s="21"/>
      <c r="Q1957" s="6"/>
      <c r="R1957" s="6"/>
      <c r="S1957" s="20"/>
      <c r="T1957" s="6"/>
      <c r="U1957" s="21"/>
      <c r="W1957" s="20"/>
      <c r="X1957" s="21"/>
      <c r="AD1957" s="17"/>
      <c r="AG1957" s="23"/>
    </row>
    <row r="1958" spans="2:33" ht="16">
      <c r="B1958" s="26" t="str">
        <f t="shared" si="8"/>
        <v/>
      </c>
      <c r="C1958" s="6"/>
      <c r="D1958" s="6"/>
      <c r="E1958" s="6"/>
      <c r="F1958" s="15"/>
      <c r="G1958" s="6"/>
      <c r="H1958" s="6"/>
      <c r="I1958" s="6"/>
      <c r="J1958" s="16"/>
      <c r="K1958" s="6"/>
      <c r="L1958" s="16"/>
      <c r="M1958" s="23"/>
      <c r="N1958" s="15"/>
      <c r="O1958" s="23"/>
      <c r="P1958" s="21"/>
      <c r="Q1958" s="6"/>
      <c r="R1958" s="6"/>
      <c r="S1958" s="20"/>
      <c r="T1958" s="6"/>
      <c r="U1958" s="21"/>
      <c r="W1958" s="20"/>
      <c r="X1958" s="21"/>
      <c r="AD1958" s="23"/>
      <c r="AG1958" s="23"/>
    </row>
    <row r="1959" spans="2:33" ht="16">
      <c r="B1959" s="26" t="str">
        <f t="shared" si="8"/>
        <v/>
      </c>
      <c r="C1959" s="6"/>
      <c r="D1959" s="6"/>
      <c r="E1959" s="6"/>
      <c r="F1959" s="15"/>
      <c r="G1959" s="6"/>
      <c r="H1959" s="6"/>
      <c r="I1959" s="6"/>
      <c r="J1959" s="16"/>
      <c r="K1959" s="6"/>
      <c r="L1959" s="16"/>
      <c r="M1959" s="17"/>
      <c r="N1959" s="15"/>
      <c r="O1959" s="17"/>
      <c r="P1959" s="21"/>
      <c r="Q1959" s="6"/>
      <c r="R1959" s="6"/>
      <c r="S1959" s="20"/>
      <c r="T1959" s="6"/>
      <c r="U1959" s="21"/>
      <c r="W1959" s="20"/>
      <c r="X1959" s="21"/>
      <c r="AD1959" s="17"/>
      <c r="AG1959" s="23"/>
    </row>
    <row r="1960" spans="2:33" ht="16">
      <c r="B1960" s="26" t="str">
        <f t="shared" si="8"/>
        <v/>
      </c>
      <c r="C1960" s="6"/>
      <c r="D1960" s="6"/>
      <c r="E1960" s="6"/>
      <c r="F1960" s="15"/>
      <c r="G1960" s="6"/>
      <c r="H1960" s="6"/>
      <c r="I1960" s="6"/>
      <c r="J1960" s="16"/>
      <c r="K1960" s="6"/>
      <c r="L1960" s="16"/>
      <c r="M1960" s="23"/>
      <c r="N1960" s="15"/>
      <c r="O1960" s="23"/>
      <c r="P1960" s="21"/>
      <c r="Q1960" s="6"/>
      <c r="R1960" s="6"/>
      <c r="S1960" s="20"/>
      <c r="T1960" s="6"/>
      <c r="U1960" s="21"/>
      <c r="W1960" s="20"/>
      <c r="X1960" s="21"/>
      <c r="AD1960" s="23"/>
      <c r="AG1960" s="23"/>
    </row>
    <row r="1961" spans="2:33" ht="16">
      <c r="B1961" s="26" t="str">
        <f t="shared" si="8"/>
        <v/>
      </c>
      <c r="C1961" s="6"/>
      <c r="D1961" s="6"/>
      <c r="E1961" s="6"/>
      <c r="F1961" s="15"/>
      <c r="G1961" s="6"/>
      <c r="H1961" s="6"/>
      <c r="I1961" s="6"/>
      <c r="J1961" s="16"/>
      <c r="K1961" s="6"/>
      <c r="L1961" s="16"/>
      <c r="M1961" s="23"/>
      <c r="N1961" s="15"/>
      <c r="O1961" s="23"/>
      <c r="P1961" s="21"/>
      <c r="Q1961" s="6"/>
      <c r="R1961" s="6"/>
      <c r="S1961" s="20"/>
      <c r="T1961" s="6"/>
      <c r="U1961" s="21"/>
      <c r="W1961" s="20"/>
      <c r="X1961" s="21"/>
      <c r="AD1961" s="23"/>
      <c r="AG1961" s="17"/>
    </row>
    <row r="1962" spans="2:33" ht="16">
      <c r="B1962" s="26" t="str">
        <f t="shared" si="8"/>
        <v/>
      </c>
      <c r="C1962" s="6"/>
      <c r="D1962" s="6"/>
      <c r="E1962" s="6"/>
      <c r="F1962" s="15"/>
      <c r="G1962" s="6"/>
      <c r="H1962" s="6"/>
      <c r="I1962" s="6"/>
      <c r="J1962" s="16"/>
      <c r="K1962" s="6"/>
      <c r="L1962" s="16"/>
      <c r="M1962" s="23"/>
      <c r="N1962" s="15"/>
      <c r="O1962" s="23"/>
      <c r="P1962" s="21"/>
      <c r="Q1962" s="6"/>
      <c r="R1962" s="6"/>
      <c r="S1962" s="20"/>
      <c r="T1962" s="6"/>
      <c r="U1962" s="21"/>
      <c r="W1962" s="20"/>
      <c r="X1962" s="21"/>
      <c r="AD1962" s="23"/>
      <c r="AG1962" s="23"/>
    </row>
    <row r="1963" spans="2:33" ht="16">
      <c r="B1963" s="26" t="str">
        <f t="shared" si="8"/>
        <v/>
      </c>
      <c r="C1963" s="6"/>
      <c r="D1963" s="6"/>
      <c r="E1963" s="6"/>
      <c r="F1963" s="15"/>
      <c r="G1963" s="6"/>
      <c r="H1963" s="6"/>
      <c r="I1963" s="6"/>
      <c r="J1963" s="16"/>
      <c r="K1963" s="6"/>
      <c r="L1963" s="16"/>
      <c r="M1963" s="23"/>
      <c r="N1963" s="15"/>
      <c r="O1963" s="23"/>
      <c r="P1963" s="21"/>
      <c r="Q1963" s="6"/>
      <c r="R1963" s="6"/>
      <c r="S1963" s="20"/>
      <c r="T1963" s="6"/>
      <c r="U1963" s="21"/>
      <c r="W1963" s="20"/>
      <c r="X1963" s="21"/>
      <c r="AD1963" s="17"/>
      <c r="AG1963" s="23"/>
    </row>
    <row r="1964" spans="2:33" ht="16">
      <c r="B1964" s="26" t="str">
        <f t="shared" si="8"/>
        <v/>
      </c>
      <c r="C1964" s="6"/>
      <c r="D1964" s="6"/>
      <c r="E1964" s="6"/>
      <c r="F1964" s="15"/>
      <c r="G1964" s="6"/>
      <c r="H1964" s="6"/>
      <c r="I1964" s="6"/>
      <c r="J1964" s="16"/>
      <c r="K1964" s="6"/>
      <c r="L1964" s="16"/>
      <c r="M1964" s="23"/>
      <c r="N1964" s="15"/>
      <c r="O1964" s="23"/>
      <c r="P1964" s="21"/>
      <c r="Q1964" s="6"/>
      <c r="R1964" s="6"/>
      <c r="S1964" s="20"/>
      <c r="T1964" s="6"/>
      <c r="U1964" s="21"/>
      <c r="W1964" s="20"/>
      <c r="X1964" s="21"/>
      <c r="AD1964" s="23"/>
      <c r="AG1964" s="23"/>
    </row>
    <row r="1965" spans="2:33" ht="16">
      <c r="B1965" s="26" t="str">
        <f t="shared" si="8"/>
        <v/>
      </c>
      <c r="C1965" s="6"/>
      <c r="D1965" s="6"/>
      <c r="E1965" s="6"/>
      <c r="F1965" s="15"/>
      <c r="G1965" s="6"/>
      <c r="H1965" s="6"/>
      <c r="I1965" s="6"/>
      <c r="J1965" s="16"/>
      <c r="K1965" s="6"/>
      <c r="L1965" s="16"/>
      <c r="M1965" s="23"/>
      <c r="N1965" s="15"/>
      <c r="O1965" s="23"/>
      <c r="P1965" s="21"/>
      <c r="Q1965" s="6"/>
      <c r="R1965" s="6"/>
      <c r="S1965" s="20"/>
      <c r="T1965" s="6"/>
      <c r="U1965" s="21"/>
      <c r="W1965" s="20"/>
      <c r="X1965" s="21"/>
      <c r="AD1965" s="23"/>
      <c r="AG1965" s="17"/>
    </row>
    <row r="1966" spans="2:33" ht="16">
      <c r="B1966" s="26" t="str">
        <f t="shared" si="8"/>
        <v/>
      </c>
      <c r="C1966" s="6"/>
      <c r="D1966" s="6"/>
      <c r="E1966" s="6"/>
      <c r="F1966" s="15"/>
      <c r="G1966" s="6"/>
      <c r="H1966" s="6"/>
      <c r="I1966" s="6"/>
      <c r="J1966" s="16"/>
      <c r="K1966" s="6"/>
      <c r="L1966" s="16"/>
      <c r="M1966" s="23"/>
      <c r="N1966" s="15"/>
      <c r="O1966" s="23"/>
      <c r="P1966" s="21"/>
      <c r="Q1966" s="6"/>
      <c r="R1966" s="6"/>
      <c r="S1966" s="20"/>
      <c r="T1966" s="6"/>
      <c r="U1966" s="21"/>
      <c r="W1966" s="20"/>
      <c r="X1966" s="21"/>
      <c r="AD1966" s="23"/>
      <c r="AG1966" s="17"/>
    </row>
    <row r="1967" spans="2:33" ht="16">
      <c r="B1967" s="26" t="str">
        <f t="shared" si="8"/>
        <v/>
      </c>
      <c r="C1967" s="6"/>
      <c r="D1967" s="6"/>
      <c r="E1967" s="6"/>
      <c r="F1967" s="15"/>
      <c r="G1967" s="6"/>
      <c r="H1967" s="6"/>
      <c r="I1967" s="6"/>
      <c r="J1967" s="16"/>
      <c r="K1967" s="6"/>
      <c r="L1967" s="16"/>
      <c r="M1967" s="23"/>
      <c r="N1967" s="15"/>
      <c r="O1967" s="23"/>
      <c r="P1967" s="21"/>
      <c r="Q1967" s="6"/>
      <c r="R1967" s="6"/>
      <c r="S1967" s="20"/>
      <c r="T1967" s="6"/>
      <c r="U1967" s="21"/>
      <c r="W1967" s="20"/>
      <c r="X1967" s="21"/>
      <c r="AD1967" s="23"/>
      <c r="AG1967" s="23"/>
    </row>
    <row r="1968" spans="2:33" ht="16">
      <c r="B1968" s="26" t="str">
        <f t="shared" si="8"/>
        <v/>
      </c>
      <c r="C1968" s="6"/>
      <c r="D1968" s="6"/>
      <c r="E1968" s="6"/>
      <c r="F1968" s="15"/>
      <c r="G1968" s="6"/>
      <c r="H1968" s="6"/>
      <c r="I1968" s="6"/>
      <c r="J1968" s="16"/>
      <c r="K1968" s="6"/>
      <c r="L1968" s="16"/>
      <c r="M1968" s="17"/>
      <c r="N1968" s="15"/>
      <c r="O1968" s="23"/>
      <c r="P1968" s="21"/>
      <c r="Q1968" s="6"/>
      <c r="R1968" s="6"/>
      <c r="S1968" s="20"/>
      <c r="T1968" s="6"/>
      <c r="U1968" s="21"/>
      <c r="W1968" s="20"/>
      <c r="X1968" s="21"/>
      <c r="AD1968" s="17"/>
      <c r="AG1968" s="23"/>
    </row>
    <row r="1969" spans="2:33" ht="16">
      <c r="B1969" s="26" t="str">
        <f t="shared" si="8"/>
        <v/>
      </c>
      <c r="C1969" s="6"/>
      <c r="D1969" s="6"/>
      <c r="E1969" s="6"/>
      <c r="F1969" s="15"/>
      <c r="G1969" s="6"/>
      <c r="H1969" s="6"/>
      <c r="I1969" s="6"/>
      <c r="J1969" s="16"/>
      <c r="K1969" s="6"/>
      <c r="L1969" s="16"/>
      <c r="M1969" s="17"/>
      <c r="N1969" s="15"/>
      <c r="O1969" s="17"/>
      <c r="P1969" s="21"/>
      <c r="Q1969" s="6"/>
      <c r="R1969" s="6"/>
      <c r="S1969" s="20"/>
      <c r="T1969" s="6"/>
      <c r="U1969" s="21"/>
      <c r="W1969" s="20"/>
      <c r="X1969" s="21"/>
      <c r="AD1969" s="17"/>
      <c r="AG1969" s="23"/>
    </row>
    <row r="1970" spans="2:33" ht="16">
      <c r="B1970" s="26" t="str">
        <f t="shared" si="8"/>
        <v/>
      </c>
      <c r="C1970" s="6"/>
      <c r="D1970" s="6"/>
      <c r="E1970" s="6"/>
      <c r="F1970" s="15"/>
      <c r="G1970" s="6"/>
      <c r="H1970" s="6"/>
      <c r="I1970" s="6"/>
      <c r="J1970" s="16"/>
      <c r="K1970" s="6"/>
      <c r="L1970" s="16"/>
      <c r="M1970" s="23"/>
      <c r="N1970" s="15"/>
      <c r="O1970" s="23"/>
      <c r="P1970" s="21"/>
      <c r="Q1970" s="6"/>
      <c r="R1970" s="6"/>
      <c r="S1970" s="20"/>
      <c r="T1970" s="6"/>
      <c r="U1970" s="21"/>
      <c r="W1970" s="20"/>
      <c r="X1970" s="21"/>
      <c r="AD1970" s="23"/>
      <c r="AG1970" s="23"/>
    </row>
    <row r="1971" spans="2:33" ht="16">
      <c r="B1971" s="26" t="str">
        <f t="shared" si="8"/>
        <v/>
      </c>
      <c r="C1971" s="6"/>
      <c r="D1971" s="6"/>
      <c r="E1971" s="6"/>
      <c r="F1971" s="15"/>
      <c r="G1971" s="6"/>
      <c r="H1971" s="6"/>
      <c r="I1971" s="6"/>
      <c r="J1971" s="16"/>
      <c r="K1971" s="6"/>
      <c r="L1971" s="16"/>
      <c r="M1971" s="23"/>
      <c r="N1971" s="15"/>
      <c r="O1971" s="23"/>
      <c r="P1971" s="21"/>
      <c r="Q1971" s="6"/>
      <c r="R1971" s="6"/>
      <c r="S1971" s="20"/>
      <c r="T1971" s="6"/>
      <c r="U1971" s="21"/>
      <c r="W1971" s="20"/>
      <c r="X1971" s="21"/>
      <c r="AD1971" s="23"/>
      <c r="AG1971" s="23"/>
    </row>
    <row r="1972" spans="2:33" ht="16">
      <c r="B1972" s="26" t="str">
        <f t="shared" si="8"/>
        <v/>
      </c>
      <c r="C1972" s="6"/>
      <c r="D1972" s="6"/>
      <c r="E1972" s="6"/>
      <c r="F1972" s="15"/>
      <c r="G1972" s="6"/>
      <c r="H1972" s="6"/>
      <c r="I1972" s="6"/>
      <c r="J1972" s="16"/>
      <c r="K1972" s="6"/>
      <c r="L1972" s="16"/>
      <c r="M1972" s="23"/>
      <c r="N1972" s="15"/>
      <c r="O1972" s="23"/>
      <c r="P1972" s="21"/>
      <c r="Q1972" s="6"/>
      <c r="R1972" s="6"/>
      <c r="S1972" s="20"/>
      <c r="T1972" s="6"/>
      <c r="U1972" s="21"/>
      <c r="W1972" s="20"/>
      <c r="X1972" s="21"/>
      <c r="AD1972" s="23"/>
      <c r="AG1972" s="23"/>
    </row>
    <row r="1973" spans="2:33" ht="16">
      <c r="B1973" s="26" t="str">
        <f t="shared" si="8"/>
        <v/>
      </c>
      <c r="C1973" s="6"/>
      <c r="D1973" s="6"/>
      <c r="E1973" s="6"/>
      <c r="F1973" s="15"/>
      <c r="G1973" s="6"/>
      <c r="H1973" s="6"/>
      <c r="I1973" s="6"/>
      <c r="J1973" s="16"/>
      <c r="K1973" s="6"/>
      <c r="L1973" s="16"/>
      <c r="M1973" s="23"/>
      <c r="N1973" s="15"/>
      <c r="O1973" s="23"/>
      <c r="P1973" s="21"/>
      <c r="Q1973" s="6"/>
      <c r="R1973" s="6"/>
      <c r="S1973" s="20"/>
      <c r="T1973" s="6"/>
      <c r="U1973" s="21"/>
      <c r="W1973" s="20"/>
      <c r="X1973" s="21"/>
      <c r="AD1973" s="23"/>
      <c r="AG1973" s="23"/>
    </row>
    <row r="1974" spans="2:33" ht="16">
      <c r="B1974" s="26" t="str">
        <f t="shared" si="8"/>
        <v/>
      </c>
      <c r="C1974" s="6"/>
      <c r="D1974" s="6"/>
      <c r="E1974" s="6"/>
      <c r="F1974" s="15"/>
      <c r="G1974" s="6"/>
      <c r="H1974" s="6"/>
      <c r="I1974" s="6"/>
      <c r="J1974" s="16"/>
      <c r="K1974" s="6"/>
      <c r="L1974" s="16"/>
      <c r="M1974" s="23"/>
      <c r="N1974" s="15"/>
      <c r="O1974" s="23"/>
      <c r="P1974" s="21"/>
      <c r="Q1974" s="6"/>
      <c r="R1974" s="6"/>
      <c r="S1974" s="20"/>
      <c r="T1974" s="6"/>
      <c r="U1974" s="21"/>
      <c r="W1974" s="20"/>
      <c r="X1974" s="21"/>
      <c r="AD1974" s="23"/>
      <c r="AG1974" s="23"/>
    </row>
    <row r="1975" spans="2:33" ht="16">
      <c r="B1975" s="26" t="str">
        <f t="shared" si="8"/>
        <v/>
      </c>
      <c r="C1975" s="6"/>
      <c r="D1975" s="6"/>
      <c r="E1975" s="6"/>
      <c r="F1975" s="15"/>
      <c r="G1975" s="6"/>
      <c r="H1975" s="6"/>
      <c r="I1975" s="6"/>
      <c r="J1975" s="16"/>
      <c r="K1975" s="6"/>
      <c r="L1975" s="16"/>
      <c r="M1975" s="23"/>
      <c r="N1975" s="15"/>
      <c r="O1975" s="23"/>
      <c r="P1975" s="21"/>
      <c r="Q1975" s="6"/>
      <c r="R1975" s="6"/>
      <c r="S1975" s="20"/>
      <c r="T1975" s="6"/>
      <c r="U1975" s="21"/>
      <c r="W1975" s="20"/>
      <c r="X1975" s="21"/>
      <c r="AD1975" s="23"/>
      <c r="AG1975" s="23"/>
    </row>
    <row r="1976" spans="2:33" ht="16">
      <c r="B1976" s="26" t="str">
        <f t="shared" si="8"/>
        <v/>
      </c>
      <c r="C1976" s="6"/>
      <c r="D1976" s="6"/>
      <c r="E1976" s="6"/>
      <c r="F1976" s="15"/>
      <c r="G1976" s="6"/>
      <c r="H1976" s="6"/>
      <c r="I1976" s="6"/>
      <c r="J1976" s="16"/>
      <c r="K1976" s="6"/>
      <c r="L1976" s="16"/>
      <c r="M1976" s="23"/>
      <c r="N1976" s="15"/>
      <c r="O1976" s="23"/>
      <c r="P1976" s="21"/>
      <c r="Q1976" s="6"/>
      <c r="R1976" s="6"/>
      <c r="S1976" s="20"/>
      <c r="T1976" s="6"/>
      <c r="U1976" s="21"/>
      <c r="W1976" s="20"/>
      <c r="X1976" s="21"/>
      <c r="AD1976" s="23"/>
      <c r="AG1976" s="17"/>
    </row>
    <row r="1977" spans="2:33" ht="16">
      <c r="B1977" s="26" t="str">
        <f t="shared" si="8"/>
        <v/>
      </c>
      <c r="C1977" s="6"/>
      <c r="D1977" s="6"/>
      <c r="E1977" s="6"/>
      <c r="F1977" s="15"/>
      <c r="G1977" s="6"/>
      <c r="H1977" s="6"/>
      <c r="I1977" s="6"/>
      <c r="J1977" s="16"/>
      <c r="K1977" s="6"/>
      <c r="L1977" s="16"/>
      <c r="M1977" s="17"/>
      <c r="N1977" s="15"/>
      <c r="O1977" s="17"/>
      <c r="P1977" s="21"/>
      <c r="Q1977" s="6"/>
      <c r="R1977" s="6"/>
      <c r="S1977" s="20"/>
      <c r="T1977" s="6"/>
      <c r="U1977" s="21"/>
      <c r="W1977" s="20"/>
      <c r="X1977" s="21"/>
      <c r="AD1977" s="17"/>
      <c r="AG1977" s="23"/>
    </row>
    <row r="1978" spans="2:33" ht="16">
      <c r="B1978" s="26" t="str">
        <f t="shared" si="8"/>
        <v/>
      </c>
      <c r="C1978" s="6"/>
      <c r="D1978" s="6"/>
      <c r="E1978" s="6"/>
      <c r="F1978" s="15"/>
      <c r="G1978" s="6"/>
      <c r="H1978" s="6"/>
      <c r="I1978" s="6"/>
      <c r="J1978" s="16"/>
      <c r="K1978" s="6"/>
      <c r="L1978" s="16"/>
      <c r="M1978" s="23"/>
      <c r="N1978" s="15"/>
      <c r="O1978" s="23"/>
      <c r="P1978" s="21"/>
      <c r="Q1978" s="6"/>
      <c r="R1978" s="6"/>
      <c r="S1978" s="20"/>
      <c r="T1978" s="6"/>
      <c r="U1978" s="21"/>
      <c r="W1978" s="20"/>
      <c r="X1978" s="21"/>
      <c r="AD1978" s="23"/>
      <c r="AG1978" s="23"/>
    </row>
    <row r="1979" spans="2:33" ht="16">
      <c r="B1979" s="26" t="str">
        <f t="shared" si="8"/>
        <v/>
      </c>
      <c r="C1979" s="6"/>
      <c r="D1979" s="6"/>
      <c r="E1979" s="6"/>
      <c r="F1979" s="15"/>
      <c r="G1979" s="6"/>
      <c r="H1979" s="6"/>
      <c r="I1979" s="6"/>
      <c r="J1979" s="16"/>
      <c r="K1979" s="6"/>
      <c r="L1979" s="16"/>
      <c r="M1979" s="23"/>
      <c r="N1979" s="15"/>
      <c r="O1979" s="23"/>
      <c r="P1979" s="21"/>
      <c r="Q1979" s="6"/>
      <c r="R1979" s="6"/>
      <c r="S1979" s="20"/>
      <c r="T1979" s="6"/>
      <c r="U1979" s="21"/>
      <c r="W1979" s="20"/>
      <c r="X1979" s="21"/>
      <c r="AD1979" s="23"/>
      <c r="AG1979" s="17"/>
    </row>
    <row r="1980" spans="2:33" ht="16">
      <c r="B1980" s="26" t="str">
        <f t="shared" si="8"/>
        <v/>
      </c>
      <c r="C1980" s="6"/>
      <c r="D1980" s="6"/>
      <c r="E1980" s="6"/>
      <c r="F1980" s="15"/>
      <c r="G1980" s="6"/>
      <c r="H1980" s="6"/>
      <c r="I1980" s="6"/>
      <c r="J1980" s="16"/>
      <c r="K1980" s="6"/>
      <c r="L1980" s="16"/>
      <c r="M1980" s="17"/>
      <c r="N1980" s="15"/>
      <c r="O1980" s="23"/>
      <c r="P1980" s="21"/>
      <c r="Q1980" s="6"/>
      <c r="R1980" s="6"/>
      <c r="S1980" s="20"/>
      <c r="T1980" s="6"/>
      <c r="U1980" s="21"/>
      <c r="W1980" s="20"/>
      <c r="X1980" s="21"/>
      <c r="AD1980" s="17"/>
      <c r="AG1980" s="23"/>
    </row>
    <row r="1981" spans="2:33" ht="16">
      <c r="B1981" s="26" t="str">
        <f t="shared" si="8"/>
        <v/>
      </c>
      <c r="C1981" s="6"/>
      <c r="D1981" s="6"/>
      <c r="E1981" s="6"/>
      <c r="F1981" s="15"/>
      <c r="G1981" s="6"/>
      <c r="H1981" s="6"/>
      <c r="I1981" s="6"/>
      <c r="J1981" s="16"/>
      <c r="K1981" s="6"/>
      <c r="L1981" s="16"/>
      <c r="M1981" s="23"/>
      <c r="N1981" s="15"/>
      <c r="O1981" s="17"/>
      <c r="P1981" s="21"/>
      <c r="Q1981" s="6"/>
      <c r="R1981" s="6"/>
      <c r="S1981" s="20"/>
      <c r="T1981" s="6"/>
      <c r="U1981" s="21"/>
      <c r="W1981" s="20"/>
      <c r="X1981" s="21"/>
      <c r="AD1981" s="17"/>
      <c r="AG1981" s="23"/>
    </row>
    <row r="1982" spans="2:33" ht="16">
      <c r="B1982" s="26" t="str">
        <f t="shared" si="8"/>
        <v/>
      </c>
      <c r="C1982" s="6"/>
      <c r="D1982" s="6"/>
      <c r="E1982" s="6"/>
      <c r="F1982" s="15"/>
      <c r="G1982" s="6"/>
      <c r="H1982" s="6"/>
      <c r="I1982" s="6"/>
      <c r="J1982" s="16"/>
      <c r="K1982" s="6"/>
      <c r="L1982" s="16"/>
      <c r="M1982" s="23"/>
      <c r="N1982" s="15"/>
      <c r="O1982" s="23"/>
      <c r="P1982" s="21"/>
      <c r="Q1982" s="6"/>
      <c r="R1982" s="6"/>
      <c r="S1982" s="20"/>
      <c r="T1982" s="6"/>
      <c r="U1982" s="21"/>
      <c r="W1982" s="20"/>
      <c r="X1982" s="21"/>
      <c r="AD1982" s="23"/>
      <c r="AG1982" s="23"/>
    </row>
    <row r="1983" spans="2:33" ht="16">
      <c r="B1983" s="26" t="str">
        <f t="shared" si="8"/>
        <v/>
      </c>
      <c r="C1983" s="6"/>
      <c r="D1983" s="6"/>
      <c r="E1983" s="6"/>
      <c r="F1983" s="15"/>
      <c r="G1983" s="6"/>
      <c r="H1983" s="6"/>
      <c r="I1983" s="6"/>
      <c r="J1983" s="16"/>
      <c r="K1983" s="6"/>
      <c r="L1983" s="16"/>
      <c r="M1983" s="23"/>
      <c r="N1983" s="15"/>
      <c r="O1983" s="23"/>
      <c r="P1983" s="21"/>
      <c r="Q1983" s="6"/>
      <c r="R1983" s="6"/>
      <c r="S1983" s="20"/>
      <c r="T1983" s="6"/>
      <c r="U1983" s="21"/>
      <c r="W1983" s="20"/>
      <c r="X1983" s="21"/>
      <c r="AD1983" s="23"/>
      <c r="AG1983" s="23"/>
    </row>
    <row r="1984" spans="2:33" ht="16">
      <c r="B1984" s="26" t="str">
        <f t="shared" si="8"/>
        <v/>
      </c>
      <c r="C1984" s="6"/>
      <c r="D1984" s="6"/>
      <c r="E1984" s="6"/>
      <c r="F1984" s="15"/>
      <c r="G1984" s="6"/>
      <c r="H1984" s="6"/>
      <c r="I1984" s="6"/>
      <c r="J1984" s="16"/>
      <c r="K1984" s="6"/>
      <c r="L1984" s="16"/>
      <c r="M1984" s="23"/>
      <c r="N1984" s="15"/>
      <c r="O1984" s="23"/>
      <c r="P1984" s="21"/>
      <c r="Q1984" s="6"/>
      <c r="R1984" s="6"/>
      <c r="S1984" s="20"/>
      <c r="T1984" s="6"/>
      <c r="U1984" s="21"/>
      <c r="W1984" s="20"/>
      <c r="X1984" s="21"/>
      <c r="AD1984" s="23"/>
      <c r="AG1984" s="23"/>
    </row>
    <row r="1985" spans="2:33" ht="16">
      <c r="B1985" s="26" t="str">
        <f t="shared" si="8"/>
        <v/>
      </c>
      <c r="C1985" s="6"/>
      <c r="D1985" s="6"/>
      <c r="E1985" s="6"/>
      <c r="F1985" s="15"/>
      <c r="G1985" s="6"/>
      <c r="H1985" s="6"/>
      <c r="I1985" s="6"/>
      <c r="J1985" s="16"/>
      <c r="K1985" s="6"/>
      <c r="L1985" s="16"/>
      <c r="M1985" s="23"/>
      <c r="N1985" s="15"/>
      <c r="O1985" s="23"/>
      <c r="P1985" s="21"/>
      <c r="Q1985" s="6"/>
      <c r="R1985" s="6"/>
      <c r="S1985" s="20"/>
      <c r="T1985" s="6"/>
      <c r="U1985" s="21"/>
      <c r="W1985" s="20"/>
      <c r="X1985" s="21"/>
      <c r="AD1985" s="23"/>
      <c r="AG1985" s="17"/>
    </row>
    <row r="1986" spans="2:33" ht="16">
      <c r="B1986" s="26" t="str">
        <f t="shared" si="8"/>
        <v/>
      </c>
      <c r="C1986" s="6"/>
      <c r="D1986" s="6"/>
      <c r="E1986" s="6"/>
      <c r="F1986" s="15"/>
      <c r="G1986" s="6"/>
      <c r="H1986" s="6"/>
      <c r="I1986" s="6"/>
      <c r="J1986" s="16"/>
      <c r="K1986" s="6"/>
      <c r="L1986" s="16"/>
      <c r="M1986" s="23"/>
      <c r="N1986" s="15"/>
      <c r="O1986" s="23"/>
      <c r="P1986" s="21"/>
      <c r="Q1986" s="6"/>
      <c r="R1986" s="6"/>
      <c r="S1986" s="20"/>
      <c r="T1986" s="6"/>
      <c r="U1986" s="21"/>
      <c r="W1986" s="20"/>
      <c r="X1986" s="21"/>
      <c r="AD1986" s="23"/>
      <c r="AG1986" s="23"/>
    </row>
    <row r="1987" spans="2:33" ht="16">
      <c r="B1987" s="26" t="str">
        <f t="shared" si="8"/>
        <v/>
      </c>
      <c r="C1987" s="6"/>
      <c r="D1987" s="6"/>
      <c r="E1987" s="6"/>
      <c r="F1987" s="15"/>
      <c r="G1987" s="6"/>
      <c r="H1987" s="6"/>
      <c r="I1987" s="6"/>
      <c r="J1987" s="16"/>
      <c r="K1987" s="6"/>
      <c r="L1987" s="16"/>
      <c r="M1987" s="23"/>
      <c r="N1987" s="15"/>
      <c r="O1987" s="23"/>
      <c r="P1987" s="21"/>
      <c r="Q1987" s="6"/>
      <c r="R1987" s="6"/>
      <c r="S1987" s="20"/>
      <c r="T1987" s="6"/>
      <c r="U1987" s="21"/>
      <c r="W1987" s="20"/>
      <c r="X1987" s="21"/>
      <c r="AD1987" s="23"/>
      <c r="AG1987" s="17"/>
    </row>
    <row r="1988" spans="2:33" ht="16">
      <c r="B1988" s="26" t="str">
        <f t="shared" si="8"/>
        <v/>
      </c>
      <c r="C1988" s="6"/>
      <c r="D1988" s="6"/>
      <c r="E1988" s="6"/>
      <c r="F1988" s="15"/>
      <c r="G1988" s="6"/>
      <c r="H1988" s="6"/>
      <c r="I1988" s="6"/>
      <c r="J1988" s="16"/>
      <c r="K1988" s="6"/>
      <c r="L1988" s="16"/>
      <c r="M1988" s="17"/>
      <c r="N1988" s="15"/>
      <c r="O1988" s="17"/>
      <c r="P1988" s="21"/>
      <c r="Q1988" s="6"/>
      <c r="R1988" s="6"/>
      <c r="S1988" s="20"/>
      <c r="T1988" s="6"/>
      <c r="U1988" s="21"/>
      <c r="W1988" s="20"/>
      <c r="X1988" s="21"/>
      <c r="AD1988" s="17"/>
      <c r="AG1988" s="23"/>
    </row>
    <row r="1989" spans="2:33" ht="16">
      <c r="B1989" s="26" t="str">
        <f t="shared" si="8"/>
        <v/>
      </c>
      <c r="C1989" s="6"/>
      <c r="D1989" s="6"/>
      <c r="E1989" s="6"/>
      <c r="F1989" s="15"/>
      <c r="G1989" s="6"/>
      <c r="H1989" s="6"/>
      <c r="I1989" s="6"/>
      <c r="J1989" s="16"/>
      <c r="K1989" s="6"/>
      <c r="L1989" s="16"/>
      <c r="M1989" s="23"/>
      <c r="N1989" s="15"/>
      <c r="O1989" s="23"/>
      <c r="P1989" s="21"/>
      <c r="Q1989" s="6"/>
      <c r="R1989" s="6"/>
      <c r="S1989" s="20"/>
      <c r="T1989" s="6"/>
      <c r="U1989" s="21"/>
      <c r="W1989" s="20"/>
      <c r="X1989" s="21"/>
      <c r="AD1989" s="23"/>
      <c r="AG1989" s="23"/>
    </row>
    <row r="1990" spans="2:33" ht="16">
      <c r="B1990" s="26" t="str">
        <f t="shared" si="8"/>
        <v/>
      </c>
      <c r="C1990" s="6"/>
      <c r="D1990" s="6"/>
      <c r="E1990" s="6"/>
      <c r="F1990" s="15"/>
      <c r="G1990" s="6"/>
      <c r="H1990" s="6"/>
      <c r="I1990" s="6"/>
      <c r="J1990" s="16"/>
      <c r="K1990" s="6"/>
      <c r="L1990" s="16"/>
      <c r="M1990" s="17"/>
      <c r="N1990" s="15"/>
      <c r="O1990" s="17"/>
      <c r="P1990" s="21"/>
      <c r="Q1990" s="6"/>
      <c r="R1990" s="6"/>
      <c r="S1990" s="20"/>
      <c r="T1990" s="6"/>
      <c r="U1990" s="21"/>
      <c r="W1990" s="20"/>
      <c r="X1990" s="21"/>
      <c r="AD1990" s="17"/>
      <c r="AG1990" s="23"/>
    </row>
    <row r="1991" spans="2:33" ht="16">
      <c r="B1991" s="26" t="str">
        <f t="shared" si="8"/>
        <v/>
      </c>
      <c r="C1991" s="6"/>
      <c r="D1991" s="6"/>
      <c r="E1991" s="6"/>
      <c r="F1991" s="15"/>
      <c r="G1991" s="6"/>
      <c r="H1991" s="6"/>
      <c r="I1991" s="6"/>
      <c r="J1991" s="16"/>
      <c r="K1991" s="6"/>
      <c r="L1991" s="16"/>
      <c r="M1991" s="23"/>
      <c r="N1991" s="15"/>
      <c r="O1991" s="23"/>
      <c r="P1991" s="21"/>
      <c r="Q1991" s="6"/>
      <c r="R1991" s="6"/>
      <c r="S1991" s="20"/>
      <c r="T1991" s="6"/>
      <c r="U1991" s="21"/>
      <c r="W1991" s="20"/>
      <c r="X1991" s="21"/>
      <c r="AD1991" s="17"/>
      <c r="AG1991" s="23"/>
    </row>
    <row r="1992" spans="2:33" ht="16">
      <c r="B1992" s="26" t="str">
        <f t="shared" si="8"/>
        <v/>
      </c>
      <c r="C1992" s="6"/>
      <c r="D1992" s="6"/>
      <c r="E1992" s="6"/>
      <c r="F1992" s="15"/>
      <c r="G1992" s="6"/>
      <c r="H1992" s="6"/>
      <c r="I1992" s="6"/>
      <c r="J1992" s="16"/>
      <c r="K1992" s="6"/>
      <c r="L1992" s="16"/>
      <c r="M1992" s="23"/>
      <c r="N1992" s="15"/>
      <c r="O1992" s="23"/>
      <c r="P1992" s="21"/>
      <c r="Q1992" s="6"/>
      <c r="R1992" s="6"/>
      <c r="S1992" s="20"/>
      <c r="T1992" s="6"/>
      <c r="U1992" s="21"/>
      <c r="W1992" s="20"/>
      <c r="X1992" s="21"/>
      <c r="AD1992" s="23"/>
      <c r="AG1992" s="23"/>
    </row>
    <row r="1993" spans="2:33" ht="16">
      <c r="B1993" s="26" t="str">
        <f t="shared" si="8"/>
        <v/>
      </c>
      <c r="C1993" s="6"/>
      <c r="D1993" s="6"/>
      <c r="E1993" s="6"/>
      <c r="F1993" s="15"/>
      <c r="G1993" s="6"/>
      <c r="H1993" s="6"/>
      <c r="I1993" s="6"/>
      <c r="J1993" s="16"/>
      <c r="K1993" s="6"/>
      <c r="L1993" s="16"/>
      <c r="M1993" s="23"/>
      <c r="N1993" s="15"/>
      <c r="O1993" s="23"/>
      <c r="P1993" s="21"/>
      <c r="Q1993" s="6"/>
      <c r="R1993" s="6"/>
      <c r="S1993" s="20"/>
      <c r="T1993" s="6"/>
      <c r="U1993" s="21"/>
      <c r="W1993" s="20"/>
      <c r="X1993" s="21"/>
      <c r="AD1993" s="23"/>
      <c r="AG1993" s="23"/>
    </row>
    <row r="1994" spans="2:33" ht="16">
      <c r="B1994" s="26" t="str">
        <f t="shared" si="8"/>
        <v/>
      </c>
      <c r="C1994" s="6"/>
      <c r="D1994" s="6"/>
      <c r="E1994" s="6"/>
      <c r="F1994" s="15"/>
      <c r="G1994" s="6"/>
      <c r="H1994" s="6"/>
      <c r="I1994" s="6"/>
      <c r="J1994" s="16"/>
      <c r="K1994" s="6"/>
      <c r="L1994" s="16"/>
      <c r="M1994" s="23"/>
      <c r="N1994" s="15"/>
      <c r="O1994" s="23"/>
      <c r="P1994" s="21"/>
      <c r="Q1994" s="6"/>
      <c r="R1994" s="6"/>
      <c r="S1994" s="20"/>
      <c r="T1994" s="6"/>
      <c r="U1994" s="21"/>
      <c r="W1994" s="20"/>
      <c r="X1994" s="21"/>
      <c r="AD1994" s="23"/>
      <c r="AG1994" s="17"/>
    </row>
    <row r="1995" spans="2:33" ht="16">
      <c r="B1995" s="26" t="str">
        <f t="shared" si="8"/>
        <v/>
      </c>
      <c r="C1995" s="6"/>
      <c r="D1995" s="6"/>
      <c r="E1995" s="6"/>
      <c r="F1995" s="15"/>
      <c r="G1995" s="6"/>
      <c r="H1995" s="6"/>
      <c r="I1995" s="6"/>
      <c r="J1995" s="16"/>
      <c r="K1995" s="6"/>
      <c r="L1995" s="16"/>
      <c r="M1995" s="23"/>
      <c r="N1995" s="15"/>
      <c r="O1995" s="23"/>
      <c r="P1995" s="21"/>
      <c r="Q1995" s="6"/>
      <c r="R1995" s="6"/>
      <c r="S1995" s="20"/>
      <c r="T1995" s="6"/>
      <c r="U1995" s="21"/>
      <c r="W1995" s="20"/>
      <c r="X1995" s="21"/>
      <c r="AD1995" s="23"/>
      <c r="AG1995" s="23"/>
    </row>
    <row r="1996" spans="2:33" ht="16">
      <c r="B1996" s="26" t="str">
        <f t="shared" si="8"/>
        <v/>
      </c>
      <c r="C1996" s="6"/>
      <c r="D1996" s="6"/>
      <c r="E1996" s="6"/>
      <c r="F1996" s="15"/>
      <c r="G1996" s="6"/>
      <c r="H1996" s="6"/>
      <c r="I1996" s="6"/>
      <c r="J1996" s="16"/>
      <c r="K1996" s="6"/>
      <c r="L1996" s="16"/>
      <c r="M1996" s="23"/>
      <c r="N1996" s="15"/>
      <c r="O1996" s="23"/>
      <c r="P1996" s="21"/>
      <c r="Q1996" s="6"/>
      <c r="R1996" s="6"/>
      <c r="S1996" s="20"/>
      <c r="T1996" s="6"/>
      <c r="U1996" s="21"/>
      <c r="W1996" s="20"/>
      <c r="X1996" s="21"/>
      <c r="AD1996" s="23"/>
      <c r="AG1996" s="17"/>
    </row>
    <row r="1997" spans="2:33" ht="16">
      <c r="B1997" s="26" t="str">
        <f t="shared" si="8"/>
        <v/>
      </c>
      <c r="C1997" s="6"/>
      <c r="D1997" s="6"/>
      <c r="E1997" s="6"/>
      <c r="F1997" s="15"/>
      <c r="G1997" s="6"/>
      <c r="H1997" s="6"/>
      <c r="I1997" s="6"/>
      <c r="J1997" s="16"/>
      <c r="K1997" s="6"/>
      <c r="L1997" s="16"/>
      <c r="M1997" s="23"/>
      <c r="N1997" s="15"/>
      <c r="O1997" s="23"/>
      <c r="P1997" s="21"/>
      <c r="Q1997" s="6"/>
      <c r="R1997" s="6"/>
      <c r="S1997" s="20"/>
      <c r="T1997" s="6"/>
      <c r="U1997" s="21"/>
      <c r="W1997" s="20"/>
      <c r="X1997" s="21"/>
      <c r="AD1997" s="23"/>
      <c r="AG1997" s="23"/>
    </row>
    <row r="1998" spans="2:33" ht="16">
      <c r="B1998" s="26" t="str">
        <f t="shared" si="8"/>
        <v/>
      </c>
      <c r="C1998" s="6"/>
      <c r="D1998" s="6"/>
      <c r="E1998" s="6"/>
      <c r="F1998" s="15"/>
      <c r="G1998" s="6"/>
      <c r="H1998" s="6"/>
      <c r="I1998" s="6"/>
      <c r="J1998" s="16"/>
      <c r="K1998" s="6"/>
      <c r="L1998" s="16"/>
      <c r="M1998" s="17"/>
      <c r="N1998" s="15"/>
      <c r="O1998" s="17"/>
      <c r="P1998" s="21"/>
      <c r="Q1998" s="6"/>
      <c r="R1998" s="6"/>
      <c r="S1998" s="20"/>
      <c r="T1998" s="6"/>
      <c r="U1998" s="21"/>
      <c r="W1998" s="20"/>
      <c r="X1998" s="21"/>
      <c r="AD1998" s="17"/>
      <c r="AG1998" s="17"/>
    </row>
    <row r="1999" spans="2:33" ht="16">
      <c r="B1999" s="26" t="str">
        <f t="shared" si="8"/>
        <v/>
      </c>
      <c r="C1999" s="6"/>
      <c r="D1999" s="6"/>
      <c r="E1999" s="6"/>
      <c r="F1999" s="15"/>
      <c r="G1999" s="6"/>
      <c r="H1999" s="6"/>
      <c r="I1999" s="6"/>
      <c r="J1999" s="16"/>
      <c r="K1999" s="6"/>
      <c r="L1999" s="16"/>
      <c r="M1999" s="23"/>
      <c r="N1999" s="15"/>
      <c r="O1999" s="17"/>
      <c r="P1999" s="21"/>
      <c r="Q1999" s="6"/>
      <c r="R1999" s="6"/>
      <c r="S1999" s="20"/>
      <c r="T1999" s="6"/>
      <c r="U1999" s="21"/>
      <c r="W1999" s="20"/>
      <c r="X1999" s="21"/>
      <c r="AD1999" s="17"/>
      <c r="AG1999" s="23"/>
    </row>
    <row r="2000" spans="2:33" ht="16">
      <c r="B2000" s="26" t="str">
        <f t="shared" si="8"/>
        <v/>
      </c>
      <c r="C2000" s="6"/>
      <c r="D2000" s="6"/>
      <c r="E2000" s="6"/>
      <c r="F2000" s="15"/>
      <c r="G2000" s="6"/>
      <c r="H2000" s="6"/>
      <c r="I2000" s="6"/>
      <c r="J2000" s="16"/>
      <c r="K2000" s="6"/>
      <c r="L2000" s="16"/>
      <c r="M2000" s="23"/>
      <c r="N2000" s="15"/>
      <c r="O2000" s="23"/>
      <c r="P2000" s="21"/>
      <c r="Q2000" s="6"/>
      <c r="R2000" s="6"/>
      <c r="S2000" s="20"/>
      <c r="T2000" s="6"/>
      <c r="U2000" s="21"/>
      <c r="W2000" s="20"/>
      <c r="X2000" s="21"/>
      <c r="AD2000" s="23"/>
      <c r="AG2000" s="23"/>
    </row>
    <row r="2001" spans="2:33" ht="16">
      <c r="B2001" s="26" t="str">
        <f t="shared" si="8"/>
        <v/>
      </c>
      <c r="C2001" s="6"/>
      <c r="D2001" s="6"/>
      <c r="E2001" s="6"/>
      <c r="F2001" s="15"/>
      <c r="G2001" s="6"/>
      <c r="H2001" s="6"/>
      <c r="I2001" s="6"/>
      <c r="J2001" s="16"/>
      <c r="K2001" s="6"/>
      <c r="L2001" s="16"/>
      <c r="M2001" s="23"/>
      <c r="N2001" s="15"/>
      <c r="O2001" s="23"/>
      <c r="P2001" s="21"/>
      <c r="Q2001" s="6"/>
      <c r="R2001" s="6"/>
      <c r="S2001" s="20"/>
      <c r="T2001" s="6"/>
      <c r="U2001" s="21"/>
      <c r="W2001" s="20"/>
      <c r="X2001" s="21"/>
      <c r="AD2001" s="23"/>
      <c r="AG2001" s="23"/>
    </row>
    <row r="2002" spans="2:33" ht="16">
      <c r="B2002" s="26" t="str">
        <f t="shared" si="8"/>
        <v/>
      </c>
      <c r="C2002" s="6"/>
      <c r="D2002" s="6"/>
      <c r="E2002" s="6"/>
      <c r="F2002" s="15"/>
      <c r="G2002" s="6"/>
      <c r="H2002" s="6"/>
      <c r="I2002" s="6"/>
      <c r="J2002" s="16"/>
      <c r="K2002" s="6"/>
      <c r="L2002" s="16"/>
      <c r="M2002" s="23"/>
      <c r="N2002" s="15"/>
      <c r="O2002" s="17"/>
      <c r="P2002" s="21"/>
      <c r="Q2002" s="6"/>
      <c r="R2002" s="6"/>
      <c r="S2002" s="20"/>
      <c r="T2002" s="6"/>
      <c r="U2002" s="21"/>
      <c r="W2002" s="20"/>
      <c r="X2002" s="21"/>
      <c r="AD2002" s="17"/>
      <c r="AG2002" s="23"/>
    </row>
    <row r="2003" spans="2:33" ht="16">
      <c r="B2003" s="26" t="str">
        <f t="shared" si="8"/>
        <v/>
      </c>
      <c r="C2003" s="6"/>
      <c r="D2003" s="6"/>
      <c r="E2003" s="6"/>
      <c r="F2003" s="15"/>
      <c r="G2003" s="6"/>
      <c r="H2003" s="6"/>
      <c r="I2003" s="6"/>
      <c r="J2003" s="16"/>
      <c r="K2003" s="6"/>
      <c r="L2003" s="16"/>
      <c r="M2003" s="23"/>
      <c r="N2003" s="15"/>
      <c r="O2003" s="23"/>
      <c r="P2003" s="21"/>
      <c r="Q2003" s="6"/>
      <c r="R2003" s="6"/>
      <c r="S2003" s="20"/>
      <c r="T2003" s="6"/>
      <c r="U2003" s="21"/>
      <c r="W2003" s="20"/>
      <c r="X2003" s="21"/>
      <c r="AD2003" s="23"/>
      <c r="AG2003" s="23"/>
    </row>
    <row r="2004" spans="2:33" ht="16">
      <c r="B2004" s="26" t="str">
        <f t="shared" si="8"/>
        <v/>
      </c>
      <c r="C2004" s="6"/>
      <c r="D2004" s="6"/>
      <c r="E2004" s="6"/>
      <c r="F2004" s="15"/>
      <c r="G2004" s="6"/>
      <c r="H2004" s="6"/>
      <c r="I2004" s="6"/>
      <c r="J2004" s="16"/>
      <c r="K2004" s="6"/>
      <c r="L2004" s="16"/>
      <c r="M2004" s="23"/>
      <c r="N2004" s="15"/>
      <c r="O2004" s="23"/>
      <c r="P2004" s="21"/>
      <c r="Q2004" s="6"/>
      <c r="R2004" s="6"/>
      <c r="S2004" s="20"/>
      <c r="T2004" s="6"/>
      <c r="U2004" s="21"/>
      <c r="W2004" s="20"/>
      <c r="X2004" s="21"/>
      <c r="AD2004" s="23"/>
      <c r="AG2004" s="23"/>
    </row>
    <row r="2005" spans="2:33" ht="16">
      <c r="B2005" s="26" t="str">
        <f t="shared" si="8"/>
        <v/>
      </c>
      <c r="C2005" s="6"/>
      <c r="D2005" s="6"/>
      <c r="E2005" s="6"/>
      <c r="F2005" s="15"/>
      <c r="G2005" s="6"/>
      <c r="H2005" s="6"/>
      <c r="I2005" s="6"/>
      <c r="J2005" s="16"/>
      <c r="K2005" s="6"/>
      <c r="L2005" s="16"/>
      <c r="M2005" s="17"/>
      <c r="N2005" s="15"/>
      <c r="O2005" s="17"/>
      <c r="P2005" s="21"/>
      <c r="Q2005" s="6"/>
      <c r="R2005" s="6"/>
      <c r="S2005" s="20"/>
      <c r="T2005" s="6"/>
      <c r="U2005" s="21"/>
      <c r="W2005" s="20"/>
      <c r="X2005" s="21"/>
      <c r="AD2005" s="17"/>
      <c r="AG2005" s="23"/>
    </row>
    <row r="2006" spans="2:33" ht="16">
      <c r="B2006" s="26" t="str">
        <f t="shared" si="8"/>
        <v/>
      </c>
      <c r="C2006" s="6"/>
      <c r="D2006" s="6"/>
      <c r="E2006" s="6"/>
      <c r="F2006" s="15"/>
      <c r="G2006" s="6"/>
      <c r="H2006" s="6"/>
      <c r="I2006" s="6"/>
      <c r="J2006" s="16"/>
      <c r="K2006" s="6"/>
      <c r="L2006" s="16"/>
      <c r="M2006" s="23"/>
      <c r="N2006" s="15"/>
      <c r="O2006" s="23"/>
      <c r="P2006" s="21"/>
      <c r="Q2006" s="6"/>
      <c r="R2006" s="6"/>
      <c r="S2006" s="20"/>
      <c r="T2006" s="6"/>
      <c r="U2006" s="21"/>
      <c r="W2006" s="20"/>
      <c r="X2006" s="21"/>
      <c r="AD2006" s="23"/>
      <c r="AG2006" s="23"/>
    </row>
    <row r="2007" spans="2:33" ht="16">
      <c r="B2007" s="26" t="str">
        <f t="shared" si="8"/>
        <v/>
      </c>
      <c r="C2007" s="6"/>
      <c r="D2007" s="6"/>
      <c r="E2007" s="6"/>
      <c r="F2007" s="15"/>
      <c r="G2007" s="6"/>
      <c r="H2007" s="6"/>
      <c r="I2007" s="6"/>
      <c r="J2007" s="16"/>
      <c r="K2007" s="6"/>
      <c r="L2007" s="16"/>
      <c r="M2007" s="17"/>
      <c r="N2007" s="15"/>
      <c r="O2007" s="17"/>
      <c r="P2007" s="21"/>
      <c r="Q2007" s="6"/>
      <c r="R2007" s="6"/>
      <c r="S2007" s="20"/>
      <c r="T2007" s="6"/>
      <c r="U2007" s="21"/>
      <c r="W2007" s="20"/>
      <c r="X2007" s="21"/>
      <c r="AD2007" s="17"/>
      <c r="AG2007" s="23"/>
    </row>
    <row r="2008" spans="2:33" ht="16">
      <c r="B2008" s="26" t="str">
        <f t="shared" si="8"/>
        <v/>
      </c>
      <c r="C2008" s="6"/>
      <c r="D2008" s="6"/>
      <c r="E2008" s="6"/>
      <c r="F2008" s="15"/>
      <c r="G2008" s="6"/>
      <c r="H2008" s="6"/>
      <c r="I2008" s="6"/>
      <c r="J2008" s="16"/>
      <c r="K2008" s="6"/>
      <c r="L2008" s="16"/>
      <c r="M2008" s="23"/>
      <c r="N2008" s="15"/>
      <c r="O2008" s="23"/>
      <c r="P2008" s="21"/>
      <c r="Q2008" s="6"/>
      <c r="R2008" s="6"/>
      <c r="S2008" s="20"/>
      <c r="T2008" s="6"/>
      <c r="U2008" s="21"/>
      <c r="W2008" s="20"/>
      <c r="X2008" s="21"/>
      <c r="AD2008" s="17"/>
      <c r="AG2008" s="17"/>
    </row>
    <row r="2009" spans="2:33" ht="16">
      <c r="B2009" s="26" t="str">
        <f t="shared" si="8"/>
        <v/>
      </c>
      <c r="C2009" s="6"/>
      <c r="D2009" s="6"/>
      <c r="E2009" s="6"/>
      <c r="F2009" s="15"/>
      <c r="G2009" s="6"/>
      <c r="H2009" s="6"/>
      <c r="I2009" s="6"/>
      <c r="J2009" s="16"/>
      <c r="K2009" s="6"/>
      <c r="L2009" s="16"/>
      <c r="M2009" s="23"/>
      <c r="N2009" s="15"/>
      <c r="O2009" s="17"/>
      <c r="P2009" s="21"/>
      <c r="Q2009" s="6"/>
      <c r="R2009" s="6"/>
      <c r="S2009" s="20"/>
      <c r="T2009" s="6"/>
      <c r="U2009" s="21"/>
      <c r="W2009" s="20"/>
      <c r="X2009" s="21"/>
      <c r="AD2009" s="17"/>
      <c r="AG2009" s="17"/>
    </row>
    <row r="2010" spans="2:33" ht="16">
      <c r="B2010" s="26" t="str">
        <f t="shared" si="8"/>
        <v/>
      </c>
      <c r="C2010" s="6"/>
      <c r="D2010" s="6"/>
      <c r="E2010" s="6"/>
      <c r="F2010" s="15"/>
      <c r="G2010" s="6"/>
      <c r="H2010" s="6"/>
      <c r="I2010" s="6"/>
      <c r="J2010" s="16"/>
      <c r="K2010" s="6"/>
      <c r="L2010" s="16"/>
      <c r="M2010" s="23"/>
      <c r="N2010" s="15"/>
      <c r="O2010" s="23"/>
      <c r="P2010" s="21"/>
      <c r="Q2010" s="6"/>
      <c r="R2010" s="6"/>
      <c r="S2010" s="20"/>
      <c r="T2010" s="6"/>
      <c r="U2010" s="21"/>
      <c r="W2010" s="20"/>
      <c r="X2010" s="21"/>
      <c r="AD2010" s="23"/>
      <c r="AG2010" s="23"/>
    </row>
    <row r="2011" spans="2:33" ht="16">
      <c r="B2011" s="26" t="str">
        <f t="shared" si="8"/>
        <v/>
      </c>
      <c r="C2011" s="6"/>
      <c r="D2011" s="6"/>
      <c r="E2011" s="6"/>
      <c r="F2011" s="15"/>
      <c r="G2011" s="6"/>
      <c r="H2011" s="6"/>
      <c r="I2011" s="6"/>
      <c r="J2011" s="16"/>
      <c r="K2011" s="6"/>
      <c r="L2011" s="16"/>
      <c r="M2011" s="23"/>
      <c r="N2011" s="15"/>
      <c r="O2011" s="23"/>
      <c r="P2011" s="21"/>
      <c r="Q2011" s="6"/>
      <c r="R2011" s="6"/>
      <c r="S2011" s="20"/>
      <c r="T2011" s="6"/>
      <c r="U2011" s="21"/>
      <c r="W2011" s="20"/>
      <c r="X2011" s="21"/>
      <c r="AD2011" s="23"/>
      <c r="AG2011" s="23"/>
    </row>
    <row r="2012" spans="2:33" ht="16">
      <c r="B2012" s="26" t="str">
        <f t="shared" si="8"/>
        <v/>
      </c>
      <c r="C2012" s="6"/>
      <c r="D2012" s="6"/>
      <c r="E2012" s="6"/>
      <c r="F2012" s="15"/>
      <c r="G2012" s="6"/>
      <c r="H2012" s="6"/>
      <c r="I2012" s="6"/>
      <c r="J2012" s="16"/>
      <c r="K2012" s="6"/>
      <c r="L2012" s="16"/>
      <c r="M2012" s="23"/>
      <c r="N2012" s="15"/>
      <c r="O2012" s="23"/>
      <c r="P2012" s="21"/>
      <c r="Q2012" s="6"/>
      <c r="R2012" s="6"/>
      <c r="S2012" s="20"/>
      <c r="T2012" s="6"/>
      <c r="U2012" s="21"/>
      <c r="W2012" s="20"/>
      <c r="X2012" s="21"/>
      <c r="AD2012" s="17"/>
      <c r="AG2012" s="23"/>
    </row>
    <row r="2013" spans="2:33" ht="16">
      <c r="B2013" s="26" t="str">
        <f t="shared" si="8"/>
        <v/>
      </c>
      <c r="C2013" s="6"/>
      <c r="D2013" s="6"/>
      <c r="E2013" s="6"/>
      <c r="F2013" s="15"/>
      <c r="G2013" s="6"/>
      <c r="H2013" s="6"/>
      <c r="I2013" s="6"/>
      <c r="J2013" s="16"/>
      <c r="K2013" s="6"/>
      <c r="L2013" s="16"/>
      <c r="M2013" s="23"/>
      <c r="N2013" s="15"/>
      <c r="O2013" s="23"/>
      <c r="P2013" s="21"/>
      <c r="Q2013" s="6"/>
      <c r="R2013" s="6"/>
      <c r="S2013" s="20"/>
      <c r="T2013" s="6"/>
      <c r="U2013" s="21"/>
      <c r="W2013" s="20"/>
      <c r="X2013" s="21"/>
      <c r="AD2013" s="23"/>
      <c r="AG2013" s="17"/>
    </row>
    <row r="2014" spans="2:33" ht="16">
      <c r="B2014" s="26" t="str">
        <f t="shared" si="8"/>
        <v/>
      </c>
      <c r="C2014" s="6"/>
      <c r="D2014" s="6"/>
      <c r="E2014" s="6"/>
      <c r="F2014" s="15"/>
      <c r="G2014" s="6"/>
      <c r="H2014" s="6"/>
      <c r="I2014" s="6"/>
      <c r="J2014" s="16"/>
      <c r="K2014" s="6"/>
      <c r="L2014" s="16"/>
      <c r="M2014" s="23"/>
      <c r="N2014" s="15"/>
      <c r="O2014" s="17"/>
      <c r="P2014" s="21"/>
      <c r="Q2014" s="6"/>
      <c r="R2014" s="6"/>
      <c r="S2014" s="20"/>
      <c r="T2014" s="6"/>
      <c r="U2014" s="21"/>
      <c r="W2014" s="20"/>
      <c r="X2014" s="21"/>
      <c r="AD2014" s="17"/>
      <c r="AG2014" s="17"/>
    </row>
    <row r="2015" spans="2:33" ht="16">
      <c r="B2015" s="26" t="str">
        <f t="shared" si="8"/>
        <v/>
      </c>
      <c r="C2015" s="6"/>
      <c r="D2015" s="6"/>
      <c r="E2015" s="6"/>
      <c r="F2015" s="15"/>
      <c r="G2015" s="6"/>
      <c r="H2015" s="6"/>
      <c r="I2015" s="6"/>
      <c r="J2015" s="16"/>
      <c r="K2015" s="6"/>
      <c r="L2015" s="16"/>
      <c r="M2015" s="17"/>
      <c r="N2015" s="15"/>
      <c r="O2015" s="17"/>
      <c r="P2015" s="21"/>
      <c r="Q2015" s="6"/>
      <c r="R2015" s="6"/>
      <c r="S2015" s="20"/>
      <c r="T2015" s="6"/>
      <c r="U2015" s="21"/>
      <c r="W2015" s="20"/>
      <c r="X2015" s="21"/>
      <c r="AD2015" s="17"/>
      <c r="AG2015" s="23"/>
    </row>
    <row r="2016" spans="2:33" ht="16">
      <c r="B2016" s="26" t="str">
        <f t="shared" si="8"/>
        <v/>
      </c>
      <c r="C2016" s="6"/>
      <c r="D2016" s="6"/>
      <c r="E2016" s="6"/>
      <c r="F2016" s="15"/>
      <c r="G2016" s="6"/>
      <c r="H2016" s="6"/>
      <c r="I2016" s="6"/>
      <c r="J2016" s="16"/>
      <c r="K2016" s="6"/>
      <c r="L2016" s="16"/>
      <c r="M2016" s="17"/>
      <c r="N2016" s="15"/>
      <c r="O2016" s="17"/>
      <c r="P2016" s="21"/>
      <c r="Q2016" s="6"/>
      <c r="R2016" s="6"/>
      <c r="S2016" s="20"/>
      <c r="T2016" s="6"/>
      <c r="U2016" s="21"/>
      <c r="W2016" s="20"/>
      <c r="X2016" s="21"/>
      <c r="AD2016" s="17"/>
      <c r="AG2016" s="23"/>
    </row>
    <row r="2017" spans="2:33" ht="16">
      <c r="B2017" s="26" t="str">
        <f t="shared" si="8"/>
        <v/>
      </c>
      <c r="C2017" s="6"/>
      <c r="D2017" s="6"/>
      <c r="E2017" s="6"/>
      <c r="F2017" s="15"/>
      <c r="G2017" s="6"/>
      <c r="H2017" s="6"/>
      <c r="I2017" s="6"/>
      <c r="J2017" s="16"/>
      <c r="K2017" s="6"/>
      <c r="L2017" s="16"/>
      <c r="M2017" s="17"/>
      <c r="N2017" s="15"/>
      <c r="O2017" s="23"/>
      <c r="P2017" s="21"/>
      <c r="Q2017" s="6"/>
      <c r="R2017" s="6"/>
      <c r="S2017" s="20"/>
      <c r="T2017" s="6"/>
      <c r="U2017" s="21"/>
      <c r="W2017" s="20"/>
      <c r="X2017" s="21"/>
      <c r="AD2017" s="17"/>
      <c r="AG2017" s="23"/>
    </row>
    <row r="2018" spans="2:33" ht="16">
      <c r="B2018" s="26" t="str">
        <f t="shared" si="8"/>
        <v/>
      </c>
      <c r="C2018" s="6"/>
      <c r="D2018" s="6"/>
      <c r="E2018" s="6"/>
      <c r="F2018" s="15"/>
      <c r="G2018" s="6"/>
      <c r="H2018" s="6"/>
      <c r="I2018" s="6"/>
      <c r="J2018" s="16"/>
      <c r="K2018" s="6"/>
      <c r="L2018" s="16"/>
      <c r="M2018" s="23"/>
      <c r="N2018" s="15"/>
      <c r="O2018" s="23"/>
      <c r="P2018" s="21"/>
      <c r="Q2018" s="6"/>
      <c r="R2018" s="6"/>
      <c r="S2018" s="20"/>
      <c r="T2018" s="6"/>
      <c r="U2018" s="21"/>
      <c r="W2018" s="20"/>
      <c r="X2018" s="21"/>
      <c r="AD2018" s="23"/>
      <c r="AG2018" s="17"/>
    </row>
    <row r="2019" spans="2:33" ht="16">
      <c r="B2019" s="26" t="str">
        <f t="shared" si="8"/>
        <v/>
      </c>
      <c r="C2019" s="6"/>
      <c r="D2019" s="6"/>
      <c r="E2019" s="6"/>
      <c r="F2019" s="15"/>
      <c r="G2019" s="6"/>
      <c r="H2019" s="6"/>
      <c r="I2019" s="6"/>
      <c r="J2019" s="16"/>
      <c r="K2019" s="6"/>
      <c r="L2019" s="16"/>
      <c r="M2019" s="23"/>
      <c r="N2019" s="15"/>
      <c r="O2019" s="23"/>
      <c r="P2019" s="21"/>
      <c r="Q2019" s="6"/>
      <c r="R2019" s="6"/>
      <c r="S2019" s="20"/>
      <c r="T2019" s="6"/>
      <c r="U2019" s="21"/>
      <c r="W2019" s="20"/>
      <c r="X2019" s="21"/>
      <c r="AD2019" s="23"/>
      <c r="AG2019" s="17"/>
    </row>
    <row r="2020" spans="2:33" ht="16">
      <c r="B2020" s="26" t="str">
        <f t="shared" si="8"/>
        <v/>
      </c>
      <c r="C2020" s="6"/>
      <c r="D2020" s="6"/>
      <c r="E2020" s="6"/>
      <c r="F2020" s="15"/>
      <c r="G2020" s="6"/>
      <c r="H2020" s="6"/>
      <c r="I2020" s="6"/>
      <c r="J2020" s="16"/>
      <c r="K2020" s="6"/>
      <c r="L2020" s="16"/>
      <c r="M2020" s="17"/>
      <c r="N2020" s="15"/>
      <c r="O2020" s="17"/>
      <c r="P2020" s="21"/>
      <c r="Q2020" s="6"/>
      <c r="R2020" s="6"/>
      <c r="S2020" s="20"/>
      <c r="T2020" s="6"/>
      <c r="U2020" s="21"/>
      <c r="W2020" s="20"/>
      <c r="X2020" s="21"/>
      <c r="AD2020" s="17"/>
      <c r="AG2020" s="17"/>
    </row>
    <row r="2021" spans="2:33" ht="16">
      <c r="B2021" s="26" t="str">
        <f t="shared" si="8"/>
        <v/>
      </c>
      <c r="C2021" s="6"/>
      <c r="D2021" s="6"/>
      <c r="E2021" s="6"/>
      <c r="F2021" s="15"/>
      <c r="G2021" s="6"/>
      <c r="H2021" s="6"/>
      <c r="I2021" s="6"/>
      <c r="J2021" s="16"/>
      <c r="K2021" s="6"/>
      <c r="L2021" s="16"/>
      <c r="M2021" s="23"/>
      <c r="N2021" s="15"/>
      <c r="O2021" s="23"/>
      <c r="P2021" s="21"/>
      <c r="Q2021" s="6"/>
      <c r="R2021" s="6"/>
      <c r="S2021" s="20"/>
      <c r="T2021" s="6"/>
      <c r="U2021" s="21"/>
      <c r="W2021" s="20"/>
      <c r="X2021" s="21"/>
      <c r="AD2021" s="23"/>
      <c r="AG2021" s="23"/>
    </row>
    <row r="2022" spans="2:33" ht="16">
      <c r="B2022" s="26" t="str">
        <f t="shared" si="8"/>
        <v/>
      </c>
      <c r="C2022" s="6"/>
      <c r="D2022" s="6"/>
      <c r="E2022" s="6"/>
      <c r="F2022" s="15"/>
      <c r="G2022" s="6"/>
      <c r="H2022" s="6"/>
      <c r="I2022" s="6"/>
      <c r="J2022" s="16"/>
      <c r="K2022" s="6"/>
      <c r="L2022" s="16"/>
      <c r="M2022" s="23"/>
      <c r="N2022" s="15"/>
      <c r="O2022" s="23"/>
      <c r="P2022" s="21"/>
      <c r="Q2022" s="6"/>
      <c r="R2022" s="6"/>
      <c r="S2022" s="20"/>
      <c r="T2022" s="6"/>
      <c r="U2022" s="21"/>
      <c r="W2022" s="20"/>
      <c r="X2022" s="21"/>
      <c r="AD2022" s="23"/>
      <c r="AG2022" s="23"/>
    </row>
    <row r="2023" spans="2:33" ht="16">
      <c r="B2023" s="26" t="str">
        <f t="shared" si="8"/>
        <v/>
      </c>
      <c r="C2023" s="6"/>
      <c r="D2023" s="6"/>
      <c r="E2023" s="6"/>
      <c r="F2023" s="15"/>
      <c r="G2023" s="6"/>
      <c r="H2023" s="6"/>
      <c r="I2023" s="6"/>
      <c r="J2023" s="16"/>
      <c r="K2023" s="6"/>
      <c r="L2023" s="16"/>
      <c r="M2023" s="23"/>
      <c r="N2023" s="15"/>
      <c r="O2023" s="17"/>
      <c r="P2023" s="21"/>
      <c r="Q2023" s="6"/>
      <c r="R2023" s="6"/>
      <c r="S2023" s="20"/>
      <c r="T2023" s="6"/>
      <c r="U2023" s="21"/>
      <c r="W2023" s="20"/>
      <c r="X2023" s="21"/>
      <c r="AD2023" s="23"/>
      <c r="AG2023" s="17"/>
    </row>
    <row r="2024" spans="2:33" ht="16">
      <c r="B2024" s="26" t="str">
        <f t="shared" si="8"/>
        <v/>
      </c>
      <c r="C2024" s="6"/>
      <c r="D2024" s="6"/>
      <c r="E2024" s="6"/>
      <c r="F2024" s="15"/>
      <c r="G2024" s="6"/>
      <c r="H2024" s="6"/>
      <c r="I2024" s="6"/>
      <c r="J2024" s="16"/>
      <c r="K2024" s="6"/>
      <c r="L2024" s="16"/>
      <c r="M2024" s="23"/>
      <c r="N2024" s="15"/>
      <c r="O2024" s="23"/>
      <c r="P2024" s="21"/>
      <c r="Q2024" s="6"/>
      <c r="R2024" s="6"/>
      <c r="S2024" s="20"/>
      <c r="T2024" s="6"/>
      <c r="U2024" s="21"/>
      <c r="W2024" s="20"/>
      <c r="X2024" s="21"/>
      <c r="AD2024" s="23"/>
      <c r="AG2024" s="17"/>
    </row>
    <row r="2025" spans="2:33" ht="16">
      <c r="B2025" s="26" t="str">
        <f t="shared" si="8"/>
        <v/>
      </c>
      <c r="C2025" s="6"/>
      <c r="D2025" s="6"/>
      <c r="E2025" s="6"/>
      <c r="F2025" s="15"/>
      <c r="G2025" s="6"/>
      <c r="H2025" s="6"/>
      <c r="I2025" s="6"/>
      <c r="J2025" s="16"/>
      <c r="K2025" s="6"/>
      <c r="L2025" s="16"/>
      <c r="M2025" s="23"/>
      <c r="N2025" s="15"/>
      <c r="O2025" s="23"/>
      <c r="P2025" s="21"/>
      <c r="Q2025" s="6"/>
      <c r="R2025" s="6"/>
      <c r="S2025" s="20"/>
      <c r="T2025" s="6"/>
      <c r="U2025" s="21"/>
      <c r="W2025" s="20"/>
      <c r="X2025" s="21"/>
      <c r="AD2025" s="23"/>
      <c r="AG2025" s="17"/>
    </row>
    <row r="2026" spans="2:33" ht="16">
      <c r="B2026" s="26" t="str">
        <f t="shared" si="8"/>
        <v/>
      </c>
      <c r="C2026" s="6"/>
      <c r="D2026" s="6"/>
      <c r="E2026" s="6"/>
      <c r="F2026" s="15"/>
      <c r="G2026" s="6"/>
      <c r="H2026" s="6"/>
      <c r="I2026" s="6"/>
      <c r="J2026" s="16"/>
      <c r="K2026" s="6"/>
      <c r="L2026" s="16"/>
      <c r="M2026" s="23"/>
      <c r="N2026" s="15"/>
      <c r="O2026" s="23"/>
      <c r="P2026" s="21"/>
      <c r="Q2026" s="6"/>
      <c r="R2026" s="6"/>
      <c r="S2026" s="20"/>
      <c r="T2026" s="6"/>
      <c r="U2026" s="21"/>
      <c r="W2026" s="20"/>
      <c r="X2026" s="21"/>
      <c r="AD2026" s="23"/>
      <c r="AG2026" s="23"/>
    </row>
    <row r="2027" spans="2:33" ht="16">
      <c r="B2027" s="26" t="str">
        <f t="shared" si="8"/>
        <v/>
      </c>
      <c r="C2027" s="6"/>
      <c r="D2027" s="6"/>
      <c r="E2027" s="6"/>
      <c r="F2027" s="15"/>
      <c r="G2027" s="6"/>
      <c r="H2027" s="6"/>
      <c r="I2027" s="6"/>
      <c r="J2027" s="16"/>
      <c r="K2027" s="6"/>
      <c r="L2027" s="16"/>
      <c r="M2027" s="17"/>
      <c r="N2027" s="15"/>
      <c r="O2027" s="17"/>
      <c r="P2027" s="21"/>
      <c r="Q2027" s="6"/>
      <c r="R2027" s="6"/>
      <c r="S2027" s="20"/>
      <c r="T2027" s="6"/>
      <c r="U2027" s="21"/>
      <c r="W2027" s="20"/>
      <c r="X2027" s="21"/>
      <c r="AD2027" s="17"/>
      <c r="AG2027" s="23"/>
    </row>
    <row r="2028" spans="2:33" ht="16">
      <c r="B2028" s="26" t="str">
        <f t="shared" si="8"/>
        <v/>
      </c>
      <c r="C2028" s="6"/>
      <c r="D2028" s="6"/>
      <c r="E2028" s="6"/>
      <c r="F2028" s="15"/>
      <c r="G2028" s="6"/>
      <c r="H2028" s="6"/>
      <c r="I2028" s="6"/>
      <c r="J2028" s="16"/>
      <c r="K2028" s="6"/>
      <c r="L2028" s="16"/>
      <c r="M2028" s="23"/>
      <c r="N2028" s="15"/>
      <c r="O2028" s="17"/>
      <c r="P2028" s="21"/>
      <c r="Q2028" s="6"/>
      <c r="R2028" s="6"/>
      <c r="S2028" s="20"/>
      <c r="T2028" s="6"/>
      <c r="U2028" s="21"/>
      <c r="W2028" s="20"/>
      <c r="X2028" s="21"/>
      <c r="AD2028" s="23"/>
      <c r="AG2028" s="17"/>
    </row>
    <row r="2029" spans="2:33" ht="16">
      <c r="B2029" s="26" t="str">
        <f t="shared" si="8"/>
        <v/>
      </c>
      <c r="C2029" s="6"/>
      <c r="D2029" s="6"/>
      <c r="E2029" s="6"/>
      <c r="F2029" s="15"/>
      <c r="G2029" s="6"/>
      <c r="H2029" s="6"/>
      <c r="I2029" s="6"/>
      <c r="J2029" s="16"/>
      <c r="K2029" s="6"/>
      <c r="L2029" s="16"/>
      <c r="M2029" s="23"/>
      <c r="N2029" s="15"/>
      <c r="O2029" s="23"/>
      <c r="P2029" s="21"/>
      <c r="Q2029" s="6"/>
      <c r="R2029" s="6"/>
      <c r="S2029" s="20"/>
      <c r="T2029" s="6"/>
      <c r="U2029" s="21"/>
      <c r="W2029" s="20"/>
      <c r="X2029" s="21"/>
      <c r="AD2029" s="23"/>
      <c r="AG2029" s="23"/>
    </row>
    <row r="2030" spans="2:33" ht="16">
      <c r="B2030" s="26" t="str">
        <f t="shared" si="8"/>
        <v/>
      </c>
      <c r="C2030" s="6"/>
      <c r="D2030" s="6"/>
      <c r="E2030" s="6"/>
      <c r="F2030" s="15"/>
      <c r="G2030" s="6"/>
      <c r="H2030" s="6"/>
      <c r="I2030" s="6"/>
      <c r="J2030" s="16"/>
      <c r="K2030" s="6"/>
      <c r="L2030" s="16"/>
      <c r="M2030" s="23"/>
      <c r="N2030" s="15"/>
      <c r="O2030" s="23"/>
      <c r="P2030" s="21"/>
      <c r="Q2030" s="6"/>
      <c r="R2030" s="6"/>
      <c r="S2030" s="20"/>
      <c r="T2030" s="6"/>
      <c r="U2030" s="21"/>
      <c r="W2030" s="20"/>
      <c r="X2030" s="21"/>
      <c r="AD2030" s="23"/>
      <c r="AG2030" s="23"/>
    </row>
    <row r="2031" spans="2:33" ht="16">
      <c r="B2031" s="26" t="str">
        <f t="shared" si="8"/>
        <v/>
      </c>
      <c r="C2031" s="6"/>
      <c r="D2031" s="6"/>
      <c r="E2031" s="6"/>
      <c r="F2031" s="15"/>
      <c r="G2031" s="6"/>
      <c r="H2031" s="6"/>
      <c r="I2031" s="6"/>
      <c r="J2031" s="16"/>
      <c r="K2031" s="6"/>
      <c r="L2031" s="16"/>
      <c r="M2031" s="23"/>
      <c r="N2031" s="15"/>
      <c r="O2031" s="23"/>
      <c r="P2031" s="21"/>
      <c r="Q2031" s="6"/>
      <c r="R2031" s="6"/>
      <c r="S2031" s="20"/>
      <c r="T2031" s="6"/>
      <c r="U2031" s="21"/>
      <c r="W2031" s="20"/>
      <c r="X2031" s="21"/>
      <c r="AD2031" s="23"/>
      <c r="AG2031" s="23"/>
    </row>
    <row r="2032" spans="2:33" ht="16">
      <c r="B2032" s="26" t="str">
        <f t="shared" si="8"/>
        <v/>
      </c>
      <c r="C2032" s="6"/>
      <c r="D2032" s="6"/>
      <c r="E2032" s="6"/>
      <c r="F2032" s="15"/>
      <c r="G2032" s="6"/>
      <c r="H2032" s="6"/>
      <c r="I2032" s="6"/>
      <c r="J2032" s="16"/>
      <c r="K2032" s="6"/>
      <c r="L2032" s="16"/>
      <c r="M2032" s="17"/>
      <c r="N2032" s="15"/>
      <c r="O2032" s="23"/>
      <c r="P2032" s="21"/>
      <c r="Q2032" s="6"/>
      <c r="R2032" s="6"/>
      <c r="S2032" s="20"/>
      <c r="T2032" s="6"/>
      <c r="U2032" s="21"/>
      <c r="W2032" s="20"/>
      <c r="X2032" s="21"/>
      <c r="AD2032" s="23"/>
      <c r="AG2032" s="17"/>
    </row>
    <row r="2033" spans="2:37" ht="16">
      <c r="B2033" s="26" t="str">
        <f t="shared" si="8"/>
        <v/>
      </c>
      <c r="C2033" s="6"/>
      <c r="D2033" s="6"/>
      <c r="E2033" s="6"/>
      <c r="F2033" s="15"/>
      <c r="G2033" s="6"/>
      <c r="H2033" s="6"/>
      <c r="I2033" s="6"/>
      <c r="J2033" s="16"/>
      <c r="K2033" s="6"/>
      <c r="L2033" s="16"/>
      <c r="M2033" s="23"/>
      <c r="N2033" s="15"/>
      <c r="O2033" s="23"/>
      <c r="P2033" s="21"/>
      <c r="Q2033" s="6"/>
      <c r="R2033" s="6"/>
      <c r="S2033" s="20"/>
      <c r="T2033" s="6"/>
      <c r="U2033" s="21"/>
      <c r="W2033" s="20"/>
      <c r="X2033" s="21"/>
      <c r="AD2033" s="23"/>
      <c r="AG2033" s="23"/>
    </row>
    <row r="2034" spans="2:37" ht="16">
      <c r="B2034" s="26" t="str">
        <f t="shared" si="8"/>
        <v/>
      </c>
      <c r="C2034" s="6"/>
      <c r="D2034" s="6"/>
      <c r="E2034" s="6"/>
      <c r="F2034" s="15"/>
      <c r="G2034" s="6"/>
      <c r="H2034" s="6"/>
      <c r="I2034" s="6"/>
      <c r="J2034" s="16"/>
      <c r="K2034" s="6"/>
      <c r="L2034" s="16"/>
      <c r="M2034" s="23"/>
      <c r="N2034" s="15"/>
      <c r="O2034" s="23"/>
      <c r="P2034" s="21"/>
      <c r="Q2034" s="6"/>
      <c r="R2034" s="6"/>
      <c r="S2034" s="20"/>
      <c r="T2034" s="6"/>
      <c r="U2034" s="21"/>
      <c r="W2034" s="20"/>
      <c r="X2034" s="21"/>
      <c r="AD2034" s="23"/>
      <c r="AG2034" s="23"/>
    </row>
    <row r="2035" spans="2:37" ht="16">
      <c r="B2035" s="26" t="str">
        <f t="shared" si="8"/>
        <v/>
      </c>
      <c r="C2035" s="6"/>
      <c r="D2035" s="6"/>
      <c r="E2035" s="6"/>
      <c r="F2035" s="15"/>
      <c r="G2035" s="6"/>
      <c r="H2035" s="6"/>
      <c r="I2035" s="6"/>
      <c r="J2035" s="16"/>
      <c r="K2035" s="6"/>
      <c r="L2035" s="16"/>
      <c r="M2035" s="23"/>
      <c r="N2035" s="15"/>
      <c r="O2035" s="17"/>
      <c r="P2035" s="21"/>
      <c r="Q2035" s="6"/>
      <c r="R2035" s="6"/>
      <c r="S2035" s="20"/>
      <c r="T2035" s="6"/>
      <c r="U2035" s="21"/>
      <c r="W2035" s="20"/>
      <c r="X2035" s="21"/>
      <c r="AD2035" s="23"/>
      <c r="AG2035" s="23"/>
    </row>
    <row r="2036" spans="2:37" ht="16">
      <c r="B2036" s="26" t="str">
        <f t="shared" si="8"/>
        <v/>
      </c>
      <c r="C2036" s="6"/>
      <c r="D2036" s="6"/>
      <c r="E2036" s="6"/>
      <c r="F2036" s="15"/>
      <c r="G2036" s="6"/>
      <c r="H2036" s="6"/>
      <c r="I2036" s="6"/>
      <c r="J2036" s="16"/>
      <c r="K2036" s="6"/>
      <c r="L2036" s="16"/>
      <c r="M2036" s="23"/>
      <c r="N2036" s="15"/>
      <c r="O2036" s="23"/>
      <c r="P2036" s="21"/>
      <c r="Q2036" s="6"/>
      <c r="R2036" s="6"/>
      <c r="S2036" s="20"/>
      <c r="T2036" s="6"/>
      <c r="U2036" s="21"/>
      <c r="W2036" s="20"/>
      <c r="X2036" s="21"/>
      <c r="AD2036" s="23"/>
      <c r="AG2036" s="17"/>
    </row>
    <row r="2037" spans="2:37" ht="16">
      <c r="B2037" s="26" t="str">
        <f t="shared" si="8"/>
        <v/>
      </c>
      <c r="C2037" s="6"/>
      <c r="D2037" s="6"/>
      <c r="E2037" s="6"/>
      <c r="F2037" s="15"/>
      <c r="G2037" s="6"/>
      <c r="H2037" s="6"/>
      <c r="I2037" s="6"/>
      <c r="J2037" s="16"/>
      <c r="K2037" s="6"/>
      <c r="L2037" s="16"/>
      <c r="M2037" s="23"/>
      <c r="N2037" s="15"/>
      <c r="O2037" s="17"/>
      <c r="P2037" s="21"/>
      <c r="Q2037" s="6"/>
      <c r="R2037" s="6"/>
      <c r="S2037" s="20"/>
      <c r="T2037" s="6"/>
      <c r="U2037" s="21"/>
      <c r="W2037" s="20"/>
      <c r="X2037" s="21"/>
      <c r="AD2037" s="17"/>
      <c r="AG2037" s="17"/>
    </row>
    <row r="2038" spans="2:37" ht="16">
      <c r="B2038" s="26" t="str">
        <f t="shared" si="8"/>
        <v/>
      </c>
      <c r="C2038" s="6"/>
      <c r="D2038" s="6"/>
      <c r="E2038" s="6"/>
      <c r="F2038" s="15"/>
      <c r="G2038" s="6"/>
      <c r="H2038" s="6"/>
      <c r="I2038" s="6"/>
      <c r="J2038" s="16"/>
      <c r="K2038" s="6"/>
      <c r="L2038" s="16"/>
      <c r="M2038" s="23"/>
      <c r="N2038" s="15"/>
      <c r="O2038" s="23"/>
      <c r="P2038" s="21"/>
      <c r="Q2038" s="6"/>
      <c r="R2038" s="6"/>
      <c r="S2038" s="20"/>
      <c r="T2038" s="6"/>
      <c r="U2038" s="21"/>
      <c r="W2038" s="20"/>
      <c r="X2038" s="21"/>
      <c r="AD2038" s="23"/>
      <c r="AG2038" s="23"/>
    </row>
    <row r="2039" spans="2:37" ht="16">
      <c r="B2039" s="26" t="str">
        <f t="shared" si="8"/>
        <v/>
      </c>
      <c r="C2039" s="6"/>
      <c r="D2039" s="6"/>
      <c r="E2039" s="6"/>
      <c r="F2039" s="15"/>
      <c r="G2039" s="6"/>
      <c r="H2039" s="6"/>
      <c r="I2039" s="6"/>
      <c r="J2039" s="16"/>
      <c r="K2039" s="6"/>
      <c r="L2039" s="16"/>
      <c r="M2039" s="23"/>
      <c r="N2039" s="15"/>
      <c r="O2039" s="23"/>
      <c r="P2039" s="21"/>
      <c r="Q2039" s="6"/>
      <c r="R2039" s="6"/>
      <c r="S2039" s="20"/>
      <c r="T2039" s="6"/>
      <c r="U2039" s="21"/>
      <c r="W2039" s="20"/>
      <c r="X2039" s="21"/>
      <c r="AD2039" s="23"/>
      <c r="AG2039" s="23"/>
    </row>
    <row r="2040" spans="2:37" ht="16">
      <c r="B2040" s="26" t="str">
        <f t="shared" si="8"/>
        <v/>
      </c>
      <c r="C2040" s="6"/>
      <c r="D2040" s="6"/>
      <c r="E2040" s="6"/>
      <c r="F2040" s="15"/>
      <c r="G2040" s="6"/>
      <c r="H2040" s="6"/>
      <c r="I2040" s="6"/>
      <c r="J2040" s="16"/>
      <c r="K2040" s="6"/>
      <c r="L2040" s="16"/>
      <c r="M2040" s="23"/>
      <c r="N2040" s="15"/>
      <c r="O2040" s="23"/>
      <c r="P2040" s="21"/>
      <c r="Q2040" s="6"/>
      <c r="R2040" s="6"/>
      <c r="S2040" s="20"/>
      <c r="T2040" s="6"/>
      <c r="U2040" s="21"/>
      <c r="W2040" s="20"/>
      <c r="X2040" s="21"/>
      <c r="AD2040" s="23"/>
      <c r="AG2040" s="17"/>
    </row>
    <row r="2041" spans="2:37" ht="16">
      <c r="B2041" s="26" t="str">
        <f t="shared" si="8"/>
        <v/>
      </c>
      <c r="C2041" s="6"/>
      <c r="D2041" s="6"/>
      <c r="E2041" s="6"/>
      <c r="F2041" s="15"/>
      <c r="G2041" s="6"/>
      <c r="H2041" s="6"/>
      <c r="I2041" s="6"/>
      <c r="J2041" s="16"/>
      <c r="K2041" s="6"/>
      <c r="L2041" s="16"/>
      <c r="M2041" s="23"/>
      <c r="N2041" s="15"/>
      <c r="O2041" s="23"/>
      <c r="P2041" s="21"/>
      <c r="Q2041" s="6"/>
      <c r="R2041" s="6"/>
      <c r="S2041" s="20"/>
      <c r="T2041" s="6"/>
      <c r="U2041" s="21"/>
      <c r="W2041" s="20"/>
      <c r="X2041" s="21"/>
      <c r="AD2041" s="23"/>
      <c r="AG2041" s="23"/>
    </row>
    <row r="2042" spans="2:37" ht="16">
      <c r="B2042" s="26" t="str">
        <f t="shared" si="8"/>
        <v/>
      </c>
      <c r="C2042" s="6"/>
      <c r="D2042" s="6"/>
      <c r="E2042" s="6"/>
      <c r="F2042" s="15"/>
      <c r="G2042" s="6"/>
      <c r="H2042" s="6"/>
      <c r="I2042" s="6"/>
      <c r="J2042" s="16"/>
      <c r="K2042" s="6"/>
      <c r="L2042" s="16"/>
      <c r="M2042" s="23"/>
      <c r="N2042" s="15"/>
      <c r="O2042" s="23"/>
      <c r="P2042" s="21"/>
      <c r="Q2042" s="6"/>
      <c r="R2042" s="6"/>
      <c r="S2042" s="20"/>
      <c r="T2042" s="6"/>
      <c r="U2042" s="21"/>
      <c r="W2042" s="20"/>
      <c r="X2042" s="21"/>
      <c r="AD2042" s="23"/>
      <c r="AG2042" s="23"/>
    </row>
    <row r="2043" spans="2:37" ht="16">
      <c r="B2043" s="26" t="str">
        <f t="shared" si="8"/>
        <v/>
      </c>
      <c r="C2043" s="6"/>
      <c r="D2043" s="6"/>
      <c r="E2043" s="6"/>
      <c r="F2043" s="15"/>
      <c r="G2043" s="6"/>
      <c r="H2043" s="6"/>
      <c r="I2043" s="6"/>
      <c r="J2043" s="16"/>
      <c r="K2043" s="6"/>
      <c r="L2043" s="16"/>
      <c r="M2043" s="23"/>
      <c r="N2043" s="15"/>
      <c r="O2043" s="23"/>
      <c r="P2043" s="21"/>
      <c r="Q2043" s="6"/>
      <c r="R2043" s="6"/>
      <c r="S2043" s="20"/>
      <c r="T2043" s="6"/>
      <c r="U2043" s="21"/>
      <c r="W2043" s="20"/>
      <c r="X2043" s="21"/>
      <c r="AD2043" s="23"/>
      <c r="AG2043" s="17"/>
    </row>
    <row r="2044" spans="2:37" ht="16">
      <c r="B2044" s="26" t="str">
        <f t="shared" si="8"/>
        <v/>
      </c>
      <c r="C2044" s="6"/>
      <c r="D2044" s="6"/>
      <c r="E2044" s="6"/>
      <c r="F2044" s="15"/>
      <c r="G2044" s="6"/>
      <c r="H2044" s="6"/>
      <c r="I2044" s="6"/>
      <c r="J2044" s="16"/>
      <c r="K2044" s="6"/>
      <c r="L2044" s="16"/>
      <c r="M2044" s="17"/>
      <c r="N2044" s="15"/>
      <c r="O2044" s="23"/>
      <c r="P2044" s="21"/>
      <c r="Q2044" s="6"/>
      <c r="R2044" s="6"/>
      <c r="S2044" s="20"/>
      <c r="T2044" s="6"/>
      <c r="U2044" s="21"/>
      <c r="W2044" s="20"/>
      <c r="X2044" s="21"/>
      <c r="AD2044" s="17"/>
      <c r="AG2044" s="23"/>
    </row>
    <row r="2045" spans="2:37" ht="16">
      <c r="B2045" s="26" t="str">
        <f t="shared" si="8"/>
        <v/>
      </c>
      <c r="C2045" s="6"/>
      <c r="D2045" s="6"/>
      <c r="E2045" s="6"/>
      <c r="F2045" s="15"/>
      <c r="G2045" s="6"/>
      <c r="H2045" s="6"/>
      <c r="I2045" s="6"/>
      <c r="J2045" s="16"/>
      <c r="K2045" s="6"/>
      <c r="L2045" s="16"/>
      <c r="M2045" s="17"/>
      <c r="N2045" s="15"/>
      <c r="O2045" s="17"/>
      <c r="P2045" s="21"/>
      <c r="Q2045" s="6"/>
      <c r="R2045" s="6"/>
      <c r="S2045" s="20"/>
      <c r="T2045" s="6"/>
      <c r="U2045" s="21"/>
      <c r="W2045" s="20"/>
      <c r="X2045" s="21"/>
      <c r="AD2045" s="17"/>
      <c r="AG2045" s="23"/>
    </row>
    <row r="2046" spans="2:37" ht="16">
      <c r="B2046" s="26" t="str">
        <f t="shared" si="8"/>
        <v/>
      </c>
      <c r="C2046" s="6"/>
      <c r="D2046" s="6"/>
      <c r="E2046" s="6"/>
      <c r="F2046" s="15"/>
      <c r="G2046" s="6"/>
      <c r="H2046" s="6"/>
      <c r="I2046" s="6"/>
      <c r="J2046" s="16"/>
      <c r="K2046" s="6"/>
      <c r="L2046" s="16"/>
      <c r="M2046" s="23"/>
      <c r="N2046" s="15"/>
      <c r="O2046" s="23"/>
      <c r="P2046" s="21"/>
      <c r="Q2046" s="6"/>
      <c r="R2046" s="6"/>
      <c r="S2046" s="20"/>
      <c r="T2046" s="6"/>
      <c r="U2046" s="21"/>
      <c r="W2046" s="20"/>
      <c r="X2046" s="21"/>
      <c r="AD2046" s="23"/>
      <c r="AG2046" s="23"/>
    </row>
    <row r="2047" spans="2:37" ht="16">
      <c r="B2047" s="26" t="str">
        <f t="shared" si="8"/>
        <v/>
      </c>
      <c r="C2047" s="6"/>
      <c r="D2047" s="6"/>
      <c r="E2047" s="6"/>
      <c r="F2047" s="15"/>
      <c r="G2047" s="6"/>
      <c r="H2047" s="6"/>
      <c r="I2047" s="6"/>
      <c r="J2047" s="16"/>
      <c r="K2047" s="6"/>
      <c r="L2047" s="16"/>
      <c r="M2047" s="17"/>
      <c r="N2047" s="15"/>
      <c r="O2047" s="17"/>
      <c r="P2047" s="21"/>
      <c r="Q2047" s="6"/>
      <c r="R2047" s="6"/>
      <c r="S2047" s="20"/>
      <c r="T2047" s="6"/>
      <c r="U2047" s="21"/>
      <c r="W2047" s="20"/>
      <c r="X2047" s="21"/>
      <c r="AD2047" s="17"/>
      <c r="AG2047" s="23"/>
      <c r="AK2047" s="1"/>
    </row>
    <row r="2048" spans="2:37" ht="16">
      <c r="B2048" s="26" t="str">
        <f t="shared" si="8"/>
        <v/>
      </c>
      <c r="C2048" s="6"/>
      <c r="D2048" s="6"/>
      <c r="E2048" s="6"/>
      <c r="F2048" s="15"/>
      <c r="G2048" s="6"/>
      <c r="H2048" s="6"/>
      <c r="I2048" s="6"/>
      <c r="J2048" s="16"/>
      <c r="K2048" s="6"/>
      <c r="L2048" s="16"/>
      <c r="M2048" s="23"/>
      <c r="N2048" s="15"/>
      <c r="O2048" s="17"/>
      <c r="P2048" s="21"/>
      <c r="Q2048" s="6"/>
      <c r="R2048" s="6"/>
      <c r="S2048" s="20"/>
      <c r="T2048" s="6"/>
      <c r="U2048" s="21"/>
      <c r="W2048" s="20"/>
      <c r="X2048" s="21"/>
      <c r="AD2048" s="17"/>
      <c r="AG2048" s="23"/>
    </row>
    <row r="2049" spans="2:33" ht="16">
      <c r="B2049" s="26" t="str">
        <f t="shared" si="8"/>
        <v/>
      </c>
      <c r="C2049" s="6"/>
      <c r="D2049" s="6"/>
      <c r="E2049" s="6"/>
      <c r="F2049" s="15"/>
      <c r="G2049" s="6"/>
      <c r="H2049" s="6"/>
      <c r="I2049" s="6"/>
      <c r="J2049" s="16"/>
      <c r="K2049" s="6"/>
      <c r="L2049" s="16"/>
      <c r="M2049" s="17"/>
      <c r="N2049" s="15"/>
      <c r="O2049" s="17"/>
      <c r="P2049" s="21"/>
      <c r="Q2049" s="6"/>
      <c r="R2049" s="6"/>
      <c r="S2049" s="20"/>
      <c r="T2049" s="6"/>
      <c r="U2049" s="21"/>
      <c r="W2049" s="20"/>
      <c r="X2049" s="21"/>
      <c r="AD2049" s="17"/>
      <c r="AG2049" s="17"/>
    </row>
    <row r="2050" spans="2:33" ht="16">
      <c r="B2050" s="26" t="str">
        <f t="shared" si="8"/>
        <v/>
      </c>
      <c r="C2050" s="6"/>
      <c r="D2050" s="6"/>
      <c r="E2050" s="6"/>
      <c r="F2050" s="15"/>
      <c r="G2050" s="6"/>
      <c r="H2050" s="6"/>
      <c r="I2050" s="6"/>
      <c r="J2050" s="16"/>
      <c r="K2050" s="6"/>
      <c r="L2050" s="16"/>
      <c r="M2050" s="17"/>
      <c r="N2050" s="15"/>
      <c r="O2050" s="17"/>
      <c r="P2050" s="21"/>
      <c r="Q2050" s="6"/>
      <c r="R2050" s="6"/>
      <c r="S2050" s="20"/>
      <c r="T2050" s="6"/>
      <c r="U2050" s="21"/>
      <c r="W2050" s="20"/>
      <c r="X2050" s="21"/>
      <c r="AD2050" s="23"/>
      <c r="AG2050" s="23"/>
    </row>
    <row r="2051" spans="2:33" ht="16">
      <c r="B2051" s="26" t="str">
        <f t="shared" si="8"/>
        <v/>
      </c>
      <c r="C2051" s="6"/>
      <c r="D2051" s="6"/>
      <c r="E2051" s="6"/>
      <c r="F2051" s="15"/>
      <c r="G2051" s="6"/>
      <c r="H2051" s="6"/>
      <c r="I2051" s="6"/>
      <c r="J2051" s="16"/>
      <c r="K2051" s="6"/>
      <c r="L2051" s="16"/>
      <c r="M2051" s="23"/>
      <c r="N2051" s="15"/>
      <c r="O2051" s="17"/>
      <c r="P2051" s="21"/>
      <c r="Q2051" s="6"/>
      <c r="R2051" s="6"/>
      <c r="S2051" s="20"/>
      <c r="T2051" s="6"/>
      <c r="U2051" s="21"/>
      <c r="W2051" s="20"/>
      <c r="X2051" s="21"/>
      <c r="AD2051" s="17"/>
      <c r="AG2051" s="23"/>
    </row>
    <row r="2052" spans="2:33" ht="16">
      <c r="B2052" s="26" t="str">
        <f t="shared" si="8"/>
        <v/>
      </c>
      <c r="C2052" s="6"/>
      <c r="D2052" s="6"/>
      <c r="E2052" s="6"/>
      <c r="F2052" s="15"/>
      <c r="G2052" s="6"/>
      <c r="H2052" s="6"/>
      <c r="I2052" s="6"/>
      <c r="J2052" s="16"/>
      <c r="K2052" s="6"/>
      <c r="L2052" s="16"/>
      <c r="M2052" s="23"/>
      <c r="N2052" s="15"/>
      <c r="O2052" s="23"/>
      <c r="P2052" s="21"/>
      <c r="Q2052" s="6"/>
      <c r="R2052" s="6"/>
      <c r="S2052" s="20"/>
      <c r="T2052" s="6"/>
      <c r="U2052" s="21"/>
      <c r="W2052" s="20"/>
      <c r="X2052" s="21"/>
      <c r="AD2052" s="23"/>
      <c r="AG2052" s="23"/>
    </row>
    <row r="2053" spans="2:33" ht="16">
      <c r="B2053" s="26" t="str">
        <f t="shared" si="8"/>
        <v/>
      </c>
      <c r="C2053" s="6"/>
      <c r="D2053" s="6"/>
      <c r="E2053" s="6"/>
      <c r="F2053" s="15"/>
      <c r="G2053" s="6"/>
      <c r="H2053" s="6"/>
      <c r="I2053" s="6"/>
      <c r="J2053" s="16"/>
      <c r="K2053" s="6"/>
      <c r="L2053" s="16"/>
      <c r="M2053" s="23"/>
      <c r="N2053" s="15"/>
      <c r="O2053" s="23"/>
      <c r="P2053" s="21"/>
      <c r="Q2053" s="6"/>
      <c r="R2053" s="6"/>
      <c r="S2053" s="20"/>
      <c r="T2053" s="6"/>
      <c r="U2053" s="21"/>
      <c r="W2053" s="20"/>
      <c r="X2053" s="21"/>
      <c r="AD2053" s="23"/>
      <c r="AG2053" s="23"/>
    </row>
    <row r="2054" spans="2:33" ht="16">
      <c r="B2054" s="26" t="str">
        <f t="shared" si="8"/>
        <v/>
      </c>
      <c r="C2054" s="6"/>
      <c r="D2054" s="6"/>
      <c r="E2054" s="6"/>
      <c r="F2054" s="15"/>
      <c r="G2054" s="6"/>
      <c r="H2054" s="6"/>
      <c r="I2054" s="6"/>
      <c r="J2054" s="16"/>
      <c r="K2054" s="6"/>
      <c r="L2054" s="16"/>
      <c r="M2054" s="17"/>
      <c r="N2054" s="15"/>
      <c r="O2054" s="17"/>
      <c r="P2054" s="21"/>
      <c r="Q2054" s="6"/>
      <c r="R2054" s="6"/>
      <c r="S2054" s="20"/>
      <c r="T2054" s="6"/>
      <c r="U2054" s="21"/>
      <c r="W2054" s="20"/>
      <c r="X2054" s="21"/>
      <c r="AD2054" s="17"/>
      <c r="AG2054" s="23"/>
    </row>
    <row r="2055" spans="2:33" ht="16">
      <c r="B2055" s="26" t="str">
        <f t="shared" si="8"/>
        <v/>
      </c>
      <c r="C2055" s="6"/>
      <c r="D2055" s="6"/>
      <c r="E2055" s="6"/>
      <c r="F2055" s="15"/>
      <c r="G2055" s="6"/>
      <c r="H2055" s="6"/>
      <c r="I2055" s="6"/>
      <c r="J2055" s="16"/>
      <c r="K2055" s="6"/>
      <c r="L2055" s="16"/>
      <c r="M2055" s="23"/>
      <c r="N2055" s="15"/>
      <c r="O2055" s="17"/>
      <c r="P2055" s="21"/>
      <c r="Q2055" s="6"/>
      <c r="R2055" s="6"/>
      <c r="S2055" s="20"/>
      <c r="T2055" s="6"/>
      <c r="U2055" s="21"/>
      <c r="W2055" s="20"/>
      <c r="X2055" s="21"/>
      <c r="AD2055" s="17"/>
      <c r="AG2055" s="23"/>
    </row>
    <row r="2056" spans="2:33" ht="16">
      <c r="B2056" s="26" t="str">
        <f t="shared" si="8"/>
        <v/>
      </c>
      <c r="C2056" s="6"/>
      <c r="D2056" s="6"/>
      <c r="E2056" s="6"/>
      <c r="F2056" s="15"/>
      <c r="G2056" s="6"/>
      <c r="H2056" s="6"/>
      <c r="I2056" s="6"/>
      <c r="J2056" s="16"/>
      <c r="K2056" s="6"/>
      <c r="L2056" s="16"/>
      <c r="M2056" s="23"/>
      <c r="N2056" s="15"/>
      <c r="O2056" s="17"/>
      <c r="P2056" s="21"/>
      <c r="Q2056" s="6"/>
      <c r="R2056" s="6"/>
      <c r="S2056" s="20"/>
      <c r="T2056" s="6"/>
      <c r="U2056" s="21"/>
      <c r="W2056" s="20"/>
      <c r="X2056" s="21"/>
      <c r="AD2056" s="23"/>
      <c r="AG2056" s="23"/>
    </row>
    <row r="2057" spans="2:33" ht="16">
      <c r="B2057" s="26" t="str">
        <f t="shared" si="8"/>
        <v/>
      </c>
      <c r="C2057" s="6"/>
      <c r="D2057" s="6"/>
      <c r="E2057" s="6"/>
      <c r="F2057" s="15"/>
      <c r="G2057" s="6"/>
      <c r="H2057" s="6"/>
      <c r="I2057" s="6"/>
      <c r="J2057" s="16"/>
      <c r="K2057" s="6"/>
      <c r="L2057" s="16"/>
      <c r="M2057" s="17"/>
      <c r="N2057" s="15"/>
      <c r="O2057" s="17"/>
      <c r="P2057" s="21"/>
      <c r="Q2057" s="6"/>
      <c r="R2057" s="6"/>
      <c r="S2057" s="20"/>
      <c r="T2057" s="6"/>
      <c r="U2057" s="21"/>
      <c r="W2057" s="20"/>
      <c r="X2057" s="21"/>
      <c r="AD2057" s="17"/>
      <c r="AG2057" s="17"/>
    </row>
    <row r="2058" spans="2:33" ht="16">
      <c r="B2058" s="26" t="str">
        <f t="shared" si="8"/>
        <v/>
      </c>
      <c r="C2058" s="6"/>
      <c r="D2058" s="6"/>
      <c r="E2058" s="6"/>
      <c r="F2058" s="15"/>
      <c r="G2058" s="6"/>
      <c r="H2058" s="6"/>
      <c r="I2058" s="6"/>
      <c r="J2058" s="16"/>
      <c r="K2058" s="6"/>
      <c r="L2058" s="16"/>
      <c r="M2058" s="23"/>
      <c r="N2058" s="15"/>
      <c r="O2058" s="23"/>
      <c r="P2058" s="21"/>
      <c r="Q2058" s="6"/>
      <c r="R2058" s="6"/>
      <c r="S2058" s="20"/>
      <c r="T2058" s="6"/>
      <c r="U2058" s="21"/>
      <c r="W2058" s="20"/>
      <c r="X2058" s="21"/>
      <c r="AD2058" s="23"/>
      <c r="AG2058" s="23"/>
    </row>
    <row r="2059" spans="2:33" ht="16">
      <c r="B2059" s="26" t="str">
        <f t="shared" si="8"/>
        <v/>
      </c>
      <c r="C2059" s="6"/>
      <c r="D2059" s="6"/>
      <c r="E2059" s="6"/>
      <c r="F2059" s="15"/>
      <c r="G2059" s="6"/>
      <c r="H2059" s="6"/>
      <c r="I2059" s="6"/>
      <c r="J2059" s="16"/>
      <c r="K2059" s="6"/>
      <c r="L2059" s="16"/>
      <c r="M2059" s="23"/>
      <c r="N2059" s="15"/>
      <c r="O2059" s="23"/>
      <c r="P2059" s="21"/>
      <c r="Q2059" s="6"/>
      <c r="R2059" s="6"/>
      <c r="S2059" s="20"/>
      <c r="T2059" s="6"/>
      <c r="U2059" s="21"/>
      <c r="W2059" s="20"/>
      <c r="X2059" s="21"/>
      <c r="AD2059" s="23"/>
      <c r="AG2059" s="23"/>
    </row>
    <row r="2060" spans="2:33" ht="16">
      <c r="B2060" s="26" t="str">
        <f t="shared" si="8"/>
        <v/>
      </c>
      <c r="C2060" s="6"/>
      <c r="D2060" s="6"/>
      <c r="E2060" s="6"/>
      <c r="F2060" s="15"/>
      <c r="G2060" s="6"/>
      <c r="H2060" s="6"/>
      <c r="I2060" s="6"/>
      <c r="J2060" s="16"/>
      <c r="K2060" s="6"/>
      <c r="L2060" s="16"/>
      <c r="M2060" s="23"/>
      <c r="N2060" s="15"/>
      <c r="O2060" s="23"/>
      <c r="P2060" s="21"/>
      <c r="Q2060" s="6"/>
      <c r="R2060" s="6"/>
      <c r="S2060" s="20"/>
      <c r="T2060" s="6"/>
      <c r="U2060" s="21"/>
      <c r="W2060" s="20"/>
      <c r="X2060" s="21"/>
      <c r="AD2060" s="23"/>
      <c r="AG2060" s="17"/>
    </row>
    <row r="2061" spans="2:33" ht="16">
      <c r="B2061" s="26" t="str">
        <f t="shared" si="8"/>
        <v/>
      </c>
      <c r="C2061" s="6"/>
      <c r="D2061" s="6"/>
      <c r="E2061" s="6"/>
      <c r="F2061" s="15"/>
      <c r="G2061" s="6"/>
      <c r="H2061" s="6"/>
      <c r="I2061" s="6"/>
      <c r="J2061" s="16"/>
      <c r="K2061" s="6"/>
      <c r="L2061" s="16"/>
      <c r="M2061" s="23"/>
      <c r="N2061" s="15"/>
      <c r="O2061" s="23"/>
      <c r="P2061" s="21"/>
      <c r="Q2061" s="6"/>
      <c r="R2061" s="6"/>
      <c r="S2061" s="20"/>
      <c r="T2061" s="6"/>
      <c r="U2061" s="21"/>
      <c r="W2061" s="20"/>
      <c r="X2061" s="21"/>
      <c r="AD2061" s="23"/>
      <c r="AG2061" s="23"/>
    </row>
    <row r="2062" spans="2:33" ht="16">
      <c r="B2062" s="26" t="str">
        <f t="shared" si="8"/>
        <v/>
      </c>
      <c r="C2062" s="6"/>
      <c r="D2062" s="6"/>
      <c r="E2062" s="6"/>
      <c r="F2062" s="15"/>
      <c r="G2062" s="6"/>
      <c r="H2062" s="6"/>
      <c r="I2062" s="6"/>
      <c r="J2062" s="16"/>
      <c r="K2062" s="6"/>
      <c r="L2062" s="16"/>
      <c r="M2062" s="23"/>
      <c r="N2062" s="15"/>
      <c r="O2062" s="23"/>
      <c r="P2062" s="21"/>
      <c r="Q2062" s="6"/>
      <c r="R2062" s="6"/>
      <c r="S2062" s="20"/>
      <c r="T2062" s="6"/>
      <c r="U2062" s="21"/>
      <c r="W2062" s="20"/>
      <c r="X2062" s="21"/>
      <c r="AD2062" s="23"/>
      <c r="AG2062" s="17"/>
    </row>
    <row r="2063" spans="2:33" ht="16">
      <c r="B2063" s="26" t="str">
        <f t="shared" si="8"/>
        <v/>
      </c>
      <c r="C2063" s="6"/>
      <c r="D2063" s="6"/>
      <c r="E2063" s="6"/>
      <c r="F2063" s="15"/>
      <c r="G2063" s="6"/>
      <c r="H2063" s="6"/>
      <c r="I2063" s="6"/>
      <c r="J2063" s="16"/>
      <c r="K2063" s="6"/>
      <c r="L2063" s="16"/>
      <c r="M2063" s="23"/>
      <c r="N2063" s="15"/>
      <c r="O2063" s="23"/>
      <c r="P2063" s="21"/>
      <c r="Q2063" s="6"/>
      <c r="R2063" s="6"/>
      <c r="S2063" s="20"/>
      <c r="T2063" s="6"/>
      <c r="U2063" s="21"/>
      <c r="W2063" s="20"/>
      <c r="X2063" s="21"/>
      <c r="AD2063" s="23"/>
      <c r="AG2063" s="23"/>
    </row>
    <row r="2064" spans="2:33" ht="16">
      <c r="B2064" s="26" t="str">
        <f t="shared" si="8"/>
        <v/>
      </c>
      <c r="C2064" s="6"/>
      <c r="D2064" s="6"/>
      <c r="E2064" s="6"/>
      <c r="F2064" s="15"/>
      <c r="G2064" s="6"/>
      <c r="H2064" s="6"/>
      <c r="I2064" s="6"/>
      <c r="J2064" s="16"/>
      <c r="K2064" s="6"/>
      <c r="L2064" s="16"/>
      <c r="M2064" s="23"/>
      <c r="N2064" s="15"/>
      <c r="O2064" s="23"/>
      <c r="P2064" s="21"/>
      <c r="Q2064" s="6"/>
      <c r="R2064" s="6"/>
      <c r="S2064" s="20"/>
      <c r="T2064" s="6"/>
      <c r="U2064" s="21"/>
      <c r="W2064" s="20"/>
      <c r="X2064" s="21"/>
      <c r="AD2064" s="23"/>
      <c r="AG2064" s="23"/>
    </row>
    <row r="2065" spans="2:33" ht="16">
      <c r="B2065" s="26" t="str">
        <f t="shared" si="8"/>
        <v/>
      </c>
      <c r="C2065" s="6"/>
      <c r="D2065" s="6"/>
      <c r="E2065" s="6"/>
      <c r="F2065" s="15"/>
      <c r="G2065" s="6"/>
      <c r="H2065" s="6"/>
      <c r="I2065" s="6"/>
      <c r="J2065" s="16"/>
      <c r="K2065" s="6"/>
      <c r="L2065" s="16"/>
      <c r="M2065" s="17"/>
      <c r="N2065" s="15"/>
      <c r="O2065" s="17"/>
      <c r="P2065" s="21"/>
      <c r="Q2065" s="6"/>
      <c r="R2065" s="6"/>
      <c r="S2065" s="20"/>
      <c r="T2065" s="6"/>
      <c r="U2065" s="21"/>
      <c r="W2065" s="20"/>
      <c r="X2065" s="21"/>
      <c r="AD2065" s="17"/>
      <c r="AG2065" s="23"/>
    </row>
    <row r="2066" spans="2:33" ht="16">
      <c r="B2066" s="26" t="str">
        <f t="shared" si="8"/>
        <v/>
      </c>
      <c r="C2066" s="6"/>
      <c r="D2066" s="6"/>
      <c r="E2066" s="6"/>
      <c r="F2066" s="15"/>
      <c r="G2066" s="6"/>
      <c r="H2066" s="6"/>
      <c r="I2066" s="6"/>
      <c r="J2066" s="16"/>
      <c r="K2066" s="6"/>
      <c r="L2066" s="16"/>
      <c r="M2066" s="23"/>
      <c r="N2066" s="15"/>
      <c r="O2066" s="23"/>
      <c r="P2066" s="21"/>
      <c r="Q2066" s="6"/>
      <c r="R2066" s="6"/>
      <c r="S2066" s="20"/>
      <c r="T2066" s="6"/>
      <c r="U2066" s="21"/>
      <c r="W2066" s="20"/>
      <c r="X2066" s="21"/>
      <c r="AD2066" s="23"/>
      <c r="AG2066" s="23"/>
    </row>
    <row r="2067" spans="2:33" ht="16">
      <c r="B2067" s="26" t="str">
        <f t="shared" ref="B2067:B2321" si="9">IF($H2067="","",LEFT(C2067,3))</f>
        <v/>
      </c>
      <c r="C2067" s="6"/>
      <c r="D2067" s="6"/>
      <c r="E2067" s="6"/>
      <c r="F2067" s="15"/>
      <c r="G2067" s="6"/>
      <c r="H2067" s="6"/>
      <c r="I2067" s="6"/>
      <c r="J2067" s="16"/>
      <c r="K2067" s="6"/>
      <c r="L2067" s="16"/>
      <c r="M2067" s="23"/>
      <c r="N2067" s="15"/>
      <c r="O2067" s="17"/>
      <c r="P2067" s="21"/>
      <c r="Q2067" s="6"/>
      <c r="R2067" s="6"/>
      <c r="S2067" s="20"/>
      <c r="T2067" s="6"/>
      <c r="U2067" s="21"/>
      <c r="W2067" s="20"/>
      <c r="X2067" s="21"/>
      <c r="AD2067" s="17"/>
      <c r="AG2067" s="23"/>
    </row>
    <row r="2068" spans="2:33" ht="16">
      <c r="B2068" s="26" t="str">
        <f t="shared" si="9"/>
        <v/>
      </c>
      <c r="C2068" s="6"/>
      <c r="D2068" s="6"/>
      <c r="E2068" s="6"/>
      <c r="F2068" s="15"/>
      <c r="G2068" s="6"/>
      <c r="H2068" s="6"/>
      <c r="I2068" s="6"/>
      <c r="J2068" s="16"/>
      <c r="K2068" s="6"/>
      <c r="L2068" s="16"/>
      <c r="M2068" s="23"/>
      <c r="N2068" s="15"/>
      <c r="O2068" s="23"/>
      <c r="P2068" s="21"/>
      <c r="Q2068" s="6"/>
      <c r="R2068" s="6"/>
      <c r="S2068" s="20"/>
      <c r="T2068" s="6"/>
      <c r="U2068" s="21"/>
      <c r="W2068" s="20"/>
      <c r="X2068" s="21"/>
      <c r="AD2068" s="23"/>
      <c r="AG2068" s="23"/>
    </row>
    <row r="2069" spans="2:33" ht="16">
      <c r="B2069" s="26" t="str">
        <f t="shared" si="9"/>
        <v/>
      </c>
      <c r="C2069" s="6"/>
      <c r="D2069" s="6"/>
      <c r="E2069" s="6"/>
      <c r="F2069" s="15"/>
      <c r="G2069" s="6"/>
      <c r="H2069" s="6"/>
      <c r="I2069" s="6"/>
      <c r="J2069" s="16"/>
      <c r="K2069" s="6"/>
      <c r="L2069" s="16"/>
      <c r="M2069" s="23"/>
      <c r="N2069" s="15"/>
      <c r="O2069" s="23"/>
      <c r="P2069" s="21"/>
      <c r="Q2069" s="6"/>
      <c r="R2069" s="6"/>
      <c r="S2069" s="20"/>
      <c r="T2069" s="6"/>
      <c r="U2069" s="21"/>
      <c r="W2069" s="20"/>
      <c r="X2069" s="21"/>
      <c r="AD2069" s="23"/>
      <c r="AG2069" s="23"/>
    </row>
    <row r="2070" spans="2:33" ht="16">
      <c r="B2070" s="26" t="str">
        <f t="shared" si="9"/>
        <v/>
      </c>
      <c r="C2070" s="6"/>
      <c r="D2070" s="6"/>
      <c r="E2070" s="6"/>
      <c r="F2070" s="15"/>
      <c r="G2070" s="6"/>
      <c r="H2070" s="6"/>
      <c r="I2070" s="6"/>
      <c r="J2070" s="16"/>
      <c r="K2070" s="6"/>
      <c r="L2070" s="16"/>
      <c r="M2070" s="23"/>
      <c r="N2070" s="15"/>
      <c r="O2070" s="23"/>
      <c r="P2070" s="21"/>
      <c r="Q2070" s="6"/>
      <c r="R2070" s="6"/>
      <c r="S2070" s="20"/>
      <c r="T2070" s="6"/>
      <c r="U2070" s="21"/>
      <c r="W2070" s="20"/>
      <c r="X2070" s="21"/>
      <c r="AD2070" s="23"/>
      <c r="AG2070" s="23"/>
    </row>
    <row r="2071" spans="2:33" ht="16">
      <c r="B2071" s="26" t="str">
        <f t="shared" si="9"/>
        <v/>
      </c>
      <c r="C2071" s="6"/>
      <c r="D2071" s="6"/>
      <c r="E2071" s="6"/>
      <c r="F2071" s="15"/>
      <c r="G2071" s="6"/>
      <c r="H2071" s="6"/>
      <c r="I2071" s="6"/>
      <c r="J2071" s="16"/>
      <c r="K2071" s="6"/>
      <c r="L2071" s="16"/>
      <c r="M2071" s="23"/>
      <c r="N2071" s="15"/>
      <c r="O2071" s="17"/>
      <c r="P2071" s="21"/>
      <c r="Q2071" s="6"/>
      <c r="R2071" s="6"/>
      <c r="S2071" s="20"/>
      <c r="T2071" s="6"/>
      <c r="U2071" s="21"/>
      <c r="W2071" s="20"/>
      <c r="X2071" s="21"/>
      <c r="AD2071" s="23"/>
      <c r="AG2071" s="17"/>
    </row>
    <row r="2072" spans="2:33" ht="16">
      <c r="B2072" s="26" t="str">
        <f t="shared" si="9"/>
        <v/>
      </c>
      <c r="C2072" s="6"/>
      <c r="D2072" s="6"/>
      <c r="E2072" s="6"/>
      <c r="F2072" s="15"/>
      <c r="G2072" s="6"/>
      <c r="H2072" s="6"/>
      <c r="I2072" s="6"/>
      <c r="J2072" s="16"/>
      <c r="K2072" s="6"/>
      <c r="L2072" s="16"/>
      <c r="M2072" s="23"/>
      <c r="N2072" s="15"/>
      <c r="O2072" s="23"/>
      <c r="P2072" s="21"/>
      <c r="Q2072" s="6"/>
      <c r="R2072" s="6"/>
      <c r="S2072" s="20"/>
      <c r="T2072" s="6"/>
      <c r="U2072" s="21"/>
      <c r="W2072" s="20"/>
      <c r="X2072" s="21"/>
      <c r="AD2072" s="23"/>
      <c r="AG2072" s="23"/>
    </row>
    <row r="2073" spans="2:33" ht="16">
      <c r="B2073" s="26" t="str">
        <f t="shared" si="9"/>
        <v/>
      </c>
      <c r="C2073" s="6"/>
      <c r="D2073" s="6"/>
      <c r="E2073" s="6"/>
      <c r="F2073" s="15"/>
      <c r="G2073" s="6"/>
      <c r="H2073" s="6"/>
      <c r="I2073" s="6"/>
      <c r="J2073" s="16"/>
      <c r="K2073" s="6"/>
      <c r="L2073" s="16"/>
      <c r="M2073" s="23"/>
      <c r="N2073" s="15"/>
      <c r="O2073" s="17"/>
      <c r="P2073" s="21"/>
      <c r="Q2073" s="6"/>
      <c r="R2073" s="6"/>
      <c r="S2073" s="20"/>
      <c r="T2073" s="6"/>
      <c r="U2073" s="21"/>
      <c r="W2073" s="20"/>
      <c r="X2073" s="21"/>
      <c r="AD2073" s="23"/>
      <c r="AG2073" s="23"/>
    </row>
    <row r="2074" spans="2:33" ht="16">
      <c r="B2074" s="26" t="str">
        <f t="shared" si="9"/>
        <v/>
      </c>
      <c r="C2074" s="6"/>
      <c r="D2074" s="6"/>
      <c r="E2074" s="6"/>
      <c r="F2074" s="15"/>
      <c r="G2074" s="6"/>
      <c r="H2074" s="6"/>
      <c r="I2074" s="6"/>
      <c r="J2074" s="16"/>
      <c r="K2074" s="6"/>
      <c r="L2074" s="16"/>
      <c r="M2074" s="17"/>
      <c r="N2074" s="15"/>
      <c r="O2074" s="17"/>
      <c r="P2074" s="21"/>
      <c r="Q2074" s="6"/>
      <c r="R2074" s="6"/>
      <c r="S2074" s="20"/>
      <c r="T2074" s="6"/>
      <c r="U2074" s="21"/>
      <c r="W2074" s="20"/>
      <c r="X2074" s="21"/>
      <c r="AD2074" s="17"/>
      <c r="AG2074" s="23"/>
    </row>
    <row r="2075" spans="2:33" ht="16">
      <c r="B2075" s="26" t="str">
        <f t="shared" si="9"/>
        <v/>
      </c>
      <c r="C2075" s="6"/>
      <c r="D2075" s="6"/>
      <c r="E2075" s="6"/>
      <c r="F2075" s="15"/>
      <c r="G2075" s="6"/>
      <c r="H2075" s="6"/>
      <c r="I2075" s="6"/>
      <c r="J2075" s="16"/>
      <c r="K2075" s="6"/>
      <c r="L2075" s="16"/>
      <c r="M2075" s="23"/>
      <c r="N2075" s="15"/>
      <c r="O2075" s="23"/>
      <c r="P2075" s="21"/>
      <c r="Q2075" s="6"/>
      <c r="R2075" s="6"/>
      <c r="S2075" s="20"/>
      <c r="T2075" s="6"/>
      <c r="U2075" s="21"/>
      <c r="W2075" s="20"/>
      <c r="X2075" s="21"/>
      <c r="AD2075" s="23"/>
      <c r="AG2075" s="23"/>
    </row>
    <row r="2076" spans="2:33" ht="16">
      <c r="B2076" s="26" t="str">
        <f t="shared" si="9"/>
        <v/>
      </c>
      <c r="C2076" s="6"/>
      <c r="D2076" s="6"/>
      <c r="E2076" s="6"/>
      <c r="F2076" s="15"/>
      <c r="G2076" s="6"/>
      <c r="H2076" s="6"/>
      <c r="I2076" s="6"/>
      <c r="J2076" s="16"/>
      <c r="K2076" s="6"/>
      <c r="L2076" s="16"/>
      <c r="M2076" s="23"/>
      <c r="N2076" s="15"/>
      <c r="O2076" s="23"/>
      <c r="P2076" s="21"/>
      <c r="Q2076" s="6"/>
      <c r="R2076" s="6"/>
      <c r="S2076" s="20"/>
      <c r="T2076" s="6"/>
      <c r="U2076" s="21"/>
      <c r="W2076" s="20"/>
      <c r="X2076" s="21"/>
      <c r="AD2076" s="23"/>
      <c r="AG2076" s="23"/>
    </row>
    <row r="2077" spans="2:33" ht="16">
      <c r="B2077" s="26" t="str">
        <f t="shared" si="9"/>
        <v/>
      </c>
      <c r="C2077" s="6"/>
      <c r="D2077" s="6"/>
      <c r="E2077" s="6"/>
      <c r="F2077" s="15"/>
      <c r="G2077" s="6"/>
      <c r="H2077" s="6"/>
      <c r="I2077" s="6"/>
      <c r="J2077" s="16"/>
      <c r="K2077" s="6"/>
      <c r="L2077" s="16"/>
      <c r="M2077" s="23"/>
      <c r="N2077" s="15"/>
      <c r="O2077" s="23"/>
      <c r="P2077" s="21"/>
      <c r="Q2077" s="6"/>
      <c r="R2077" s="6"/>
      <c r="S2077" s="20"/>
      <c r="T2077" s="6"/>
      <c r="U2077" s="21"/>
      <c r="W2077" s="20"/>
      <c r="X2077" s="21"/>
      <c r="AD2077" s="23"/>
      <c r="AG2077" s="23"/>
    </row>
    <row r="2078" spans="2:33" ht="16">
      <c r="B2078" s="26" t="str">
        <f t="shared" si="9"/>
        <v/>
      </c>
      <c r="C2078" s="6"/>
      <c r="D2078" s="6"/>
      <c r="E2078" s="6"/>
      <c r="F2078" s="15"/>
      <c r="G2078" s="6"/>
      <c r="H2078" s="6"/>
      <c r="I2078" s="6"/>
      <c r="J2078" s="16"/>
      <c r="K2078" s="6"/>
      <c r="L2078" s="16"/>
      <c r="M2078" s="23"/>
      <c r="N2078" s="15"/>
      <c r="O2078" s="17"/>
      <c r="P2078" s="21"/>
      <c r="Q2078" s="6"/>
      <c r="R2078" s="6"/>
      <c r="S2078" s="20"/>
      <c r="T2078" s="6"/>
      <c r="U2078" s="21"/>
      <c r="W2078" s="20"/>
      <c r="X2078" s="21"/>
      <c r="AD2078" s="17"/>
      <c r="AG2078" s="23"/>
    </row>
    <row r="2079" spans="2:33" ht="16">
      <c r="B2079" s="26" t="str">
        <f t="shared" si="9"/>
        <v/>
      </c>
      <c r="C2079" s="6"/>
      <c r="D2079" s="6"/>
      <c r="E2079" s="6"/>
      <c r="F2079" s="15"/>
      <c r="G2079" s="6"/>
      <c r="H2079" s="6"/>
      <c r="I2079" s="6"/>
      <c r="J2079" s="16"/>
      <c r="K2079" s="6"/>
      <c r="L2079" s="16"/>
      <c r="M2079" s="17"/>
      <c r="N2079" s="15"/>
      <c r="O2079" s="17"/>
      <c r="P2079" s="21"/>
      <c r="Q2079" s="6"/>
      <c r="R2079" s="6"/>
      <c r="S2079" s="20"/>
      <c r="T2079" s="6"/>
      <c r="U2079" s="21"/>
      <c r="W2079" s="20"/>
      <c r="X2079" s="21"/>
      <c r="AD2079" s="17"/>
      <c r="AG2079" s="17"/>
    </row>
    <row r="2080" spans="2:33" ht="16">
      <c r="B2080" s="26" t="str">
        <f t="shared" si="9"/>
        <v/>
      </c>
      <c r="C2080" s="6"/>
      <c r="D2080" s="6"/>
      <c r="E2080" s="6"/>
      <c r="F2080" s="15"/>
      <c r="G2080" s="6"/>
      <c r="H2080" s="6"/>
      <c r="I2080" s="6"/>
      <c r="J2080" s="16"/>
      <c r="K2080" s="6"/>
      <c r="L2080" s="16"/>
      <c r="M2080" s="23"/>
      <c r="N2080" s="15"/>
      <c r="O2080" s="23"/>
      <c r="P2080" s="21"/>
      <c r="Q2080" s="6"/>
      <c r="R2080" s="6"/>
      <c r="S2080" s="20"/>
      <c r="T2080" s="6"/>
      <c r="U2080" s="21"/>
      <c r="W2080" s="20"/>
      <c r="X2080" s="21"/>
      <c r="AD2080" s="23"/>
      <c r="AG2080" s="23"/>
    </row>
    <row r="2081" spans="2:33" ht="16">
      <c r="B2081" s="26" t="str">
        <f t="shared" si="9"/>
        <v/>
      </c>
      <c r="C2081" s="6"/>
      <c r="D2081" s="6"/>
      <c r="E2081" s="6"/>
      <c r="F2081" s="15"/>
      <c r="G2081" s="6"/>
      <c r="H2081" s="6"/>
      <c r="I2081" s="6"/>
      <c r="J2081" s="16"/>
      <c r="K2081" s="6"/>
      <c r="L2081" s="16"/>
      <c r="M2081" s="23"/>
      <c r="N2081" s="15"/>
      <c r="O2081" s="23"/>
      <c r="P2081" s="21"/>
      <c r="Q2081" s="6"/>
      <c r="R2081" s="6"/>
      <c r="S2081" s="20"/>
      <c r="T2081" s="6"/>
      <c r="U2081" s="21"/>
      <c r="W2081" s="20"/>
      <c r="X2081" s="21"/>
      <c r="AD2081" s="23"/>
      <c r="AG2081" s="23"/>
    </row>
    <row r="2082" spans="2:33" ht="16">
      <c r="B2082" s="26" t="str">
        <f t="shared" si="9"/>
        <v/>
      </c>
      <c r="C2082" s="6"/>
      <c r="D2082" s="6"/>
      <c r="E2082" s="6"/>
      <c r="F2082" s="15"/>
      <c r="G2082" s="6"/>
      <c r="H2082" s="6"/>
      <c r="I2082" s="6"/>
      <c r="J2082" s="16"/>
      <c r="K2082" s="6"/>
      <c r="L2082" s="16"/>
      <c r="M2082" s="23"/>
      <c r="N2082" s="15"/>
      <c r="O2082" s="17"/>
      <c r="P2082" s="21"/>
      <c r="Q2082" s="6"/>
      <c r="R2082" s="6"/>
      <c r="S2082" s="20"/>
      <c r="T2082" s="6"/>
      <c r="U2082" s="21"/>
      <c r="W2082" s="20"/>
      <c r="X2082" s="21"/>
      <c r="AD2082" s="23"/>
      <c r="AG2082" s="23"/>
    </row>
    <row r="2083" spans="2:33" ht="16">
      <c r="B2083" s="26" t="str">
        <f t="shared" si="9"/>
        <v/>
      </c>
      <c r="C2083" s="6"/>
      <c r="D2083" s="6"/>
      <c r="E2083" s="6"/>
      <c r="F2083" s="15"/>
      <c r="G2083" s="6"/>
      <c r="H2083" s="6"/>
      <c r="I2083" s="6"/>
      <c r="J2083" s="16"/>
      <c r="K2083" s="6"/>
      <c r="L2083" s="16"/>
      <c r="M2083" s="23"/>
      <c r="N2083" s="15"/>
      <c r="O2083" s="23"/>
      <c r="P2083" s="21"/>
      <c r="Q2083" s="6"/>
      <c r="R2083" s="6"/>
      <c r="S2083" s="20"/>
      <c r="T2083" s="6"/>
      <c r="U2083" s="21"/>
      <c r="W2083" s="20"/>
      <c r="X2083" s="21"/>
      <c r="AD2083" s="23"/>
      <c r="AG2083" s="17"/>
    </row>
    <row r="2084" spans="2:33" ht="16">
      <c r="B2084" s="26" t="str">
        <f t="shared" si="9"/>
        <v/>
      </c>
      <c r="C2084" s="6"/>
      <c r="D2084" s="6"/>
      <c r="E2084" s="6"/>
      <c r="F2084" s="15"/>
      <c r="G2084" s="6"/>
      <c r="H2084" s="6"/>
      <c r="I2084" s="6"/>
      <c r="J2084" s="16"/>
      <c r="K2084" s="6"/>
      <c r="L2084" s="16"/>
      <c r="M2084" s="23"/>
      <c r="N2084" s="15"/>
      <c r="O2084" s="23"/>
      <c r="P2084" s="21"/>
      <c r="Q2084" s="6"/>
      <c r="R2084" s="6"/>
      <c r="S2084" s="20"/>
      <c r="T2084" s="6"/>
      <c r="U2084" s="21"/>
      <c r="W2084" s="20"/>
      <c r="X2084" s="21"/>
      <c r="AD2084" s="23"/>
      <c r="AG2084" s="23"/>
    </row>
    <row r="2085" spans="2:33" ht="16">
      <c r="B2085" s="26" t="str">
        <f t="shared" si="9"/>
        <v/>
      </c>
      <c r="C2085" s="6"/>
      <c r="D2085" s="6"/>
      <c r="E2085" s="6"/>
      <c r="F2085" s="15"/>
      <c r="G2085" s="6"/>
      <c r="H2085" s="6"/>
      <c r="I2085" s="6"/>
      <c r="J2085" s="16"/>
      <c r="K2085" s="6"/>
      <c r="L2085" s="16"/>
      <c r="M2085" s="17"/>
      <c r="N2085" s="15"/>
      <c r="O2085" s="23"/>
      <c r="P2085" s="21"/>
      <c r="Q2085" s="6"/>
      <c r="R2085" s="6"/>
      <c r="S2085" s="20"/>
      <c r="T2085" s="6"/>
      <c r="U2085" s="21"/>
      <c r="W2085" s="20"/>
      <c r="X2085" s="21"/>
      <c r="AD2085" s="17"/>
      <c r="AG2085" s="23"/>
    </row>
    <row r="2086" spans="2:33" ht="16">
      <c r="B2086" s="26" t="str">
        <f t="shared" si="9"/>
        <v/>
      </c>
      <c r="C2086" s="6"/>
      <c r="D2086" s="6"/>
      <c r="E2086" s="6"/>
      <c r="F2086" s="15"/>
      <c r="G2086" s="6"/>
      <c r="H2086" s="6"/>
      <c r="I2086" s="6"/>
      <c r="J2086" s="16"/>
      <c r="K2086" s="6"/>
      <c r="L2086" s="16"/>
      <c r="M2086" s="23"/>
      <c r="N2086" s="15"/>
      <c r="O2086" s="17"/>
      <c r="P2086" s="21"/>
      <c r="Q2086" s="6"/>
      <c r="R2086" s="6"/>
      <c r="S2086" s="20"/>
      <c r="T2086" s="6"/>
      <c r="U2086" s="21"/>
      <c r="W2086" s="20"/>
      <c r="X2086" s="21"/>
      <c r="AD2086" s="23"/>
      <c r="AG2086" s="23"/>
    </row>
    <row r="2087" spans="2:33" ht="16">
      <c r="B2087" s="26" t="str">
        <f t="shared" si="9"/>
        <v/>
      </c>
      <c r="C2087" s="6"/>
      <c r="D2087" s="6"/>
      <c r="E2087" s="6"/>
      <c r="F2087" s="15"/>
      <c r="G2087" s="6"/>
      <c r="H2087" s="6"/>
      <c r="I2087" s="6"/>
      <c r="J2087" s="16"/>
      <c r="K2087" s="6"/>
      <c r="L2087" s="16"/>
      <c r="M2087" s="17"/>
      <c r="N2087" s="15"/>
      <c r="O2087" s="17"/>
      <c r="P2087" s="21"/>
      <c r="Q2087" s="6"/>
      <c r="R2087" s="6"/>
      <c r="S2087" s="20"/>
      <c r="T2087" s="6"/>
      <c r="U2087" s="21"/>
      <c r="W2087" s="20"/>
      <c r="X2087" s="21"/>
      <c r="AD2087" s="23"/>
      <c r="AG2087" s="23"/>
    </row>
    <row r="2088" spans="2:33" ht="16">
      <c r="B2088" s="26" t="str">
        <f t="shared" si="9"/>
        <v/>
      </c>
      <c r="C2088" s="6"/>
      <c r="D2088" s="6"/>
      <c r="E2088" s="6"/>
      <c r="F2088" s="15"/>
      <c r="G2088" s="6"/>
      <c r="H2088" s="6"/>
      <c r="I2088" s="6"/>
      <c r="J2088" s="16"/>
      <c r="K2088" s="6"/>
      <c r="L2088" s="16"/>
      <c r="M2088" s="23"/>
      <c r="N2088" s="15"/>
      <c r="O2088" s="23"/>
      <c r="P2088" s="21"/>
      <c r="Q2088" s="6"/>
      <c r="R2088" s="6"/>
      <c r="S2088" s="20"/>
      <c r="T2088" s="6"/>
      <c r="U2088" s="21"/>
      <c r="W2088" s="20"/>
      <c r="X2088" s="21"/>
      <c r="AD2088" s="23"/>
      <c r="AG2088" s="23"/>
    </row>
    <row r="2089" spans="2:33" ht="16">
      <c r="B2089" s="26" t="str">
        <f t="shared" si="9"/>
        <v/>
      </c>
      <c r="C2089" s="6"/>
      <c r="D2089" s="6"/>
      <c r="E2089" s="6"/>
      <c r="F2089" s="15"/>
      <c r="G2089" s="6"/>
      <c r="H2089" s="6"/>
      <c r="I2089" s="6"/>
      <c r="J2089" s="16"/>
      <c r="K2089" s="6"/>
      <c r="L2089" s="16"/>
      <c r="M2089" s="23"/>
      <c r="N2089" s="15"/>
      <c r="O2089" s="23"/>
      <c r="P2089" s="21"/>
      <c r="Q2089" s="6"/>
      <c r="R2089" s="6"/>
      <c r="S2089" s="20"/>
      <c r="T2089" s="6"/>
      <c r="U2089" s="21"/>
      <c r="W2089" s="20"/>
      <c r="X2089" s="21"/>
      <c r="AD2089" s="17"/>
      <c r="AG2089" s="17"/>
    </row>
    <row r="2090" spans="2:33" ht="16">
      <c r="B2090" s="26" t="str">
        <f t="shared" si="9"/>
        <v/>
      </c>
      <c r="C2090" s="6"/>
      <c r="D2090" s="6"/>
      <c r="E2090" s="6"/>
      <c r="F2090" s="15"/>
      <c r="G2090" s="6"/>
      <c r="H2090" s="6"/>
      <c r="I2090" s="6"/>
      <c r="J2090" s="16"/>
      <c r="K2090" s="6"/>
      <c r="L2090" s="16"/>
      <c r="M2090" s="23"/>
      <c r="N2090" s="15"/>
      <c r="O2090" s="23"/>
      <c r="P2090" s="21"/>
      <c r="Q2090" s="6"/>
      <c r="R2090" s="6"/>
      <c r="S2090" s="20"/>
      <c r="T2090" s="6"/>
      <c r="U2090" s="21"/>
      <c r="W2090" s="20"/>
      <c r="X2090" s="21"/>
      <c r="AD2090" s="23"/>
      <c r="AG2090" s="23"/>
    </row>
    <row r="2091" spans="2:33" ht="16">
      <c r="B2091" s="26" t="str">
        <f t="shared" si="9"/>
        <v/>
      </c>
      <c r="C2091" s="6"/>
      <c r="D2091" s="6"/>
      <c r="E2091" s="6"/>
      <c r="F2091" s="15"/>
      <c r="G2091" s="6"/>
      <c r="H2091" s="6"/>
      <c r="I2091" s="6"/>
      <c r="J2091" s="16"/>
      <c r="K2091" s="6"/>
      <c r="L2091" s="16"/>
      <c r="M2091" s="23"/>
      <c r="N2091" s="15"/>
      <c r="O2091" s="23"/>
      <c r="P2091" s="21"/>
      <c r="Q2091" s="6"/>
      <c r="R2091" s="6"/>
      <c r="S2091" s="20"/>
      <c r="T2091" s="6"/>
      <c r="U2091" s="21"/>
      <c r="W2091" s="20"/>
      <c r="X2091" s="21"/>
      <c r="AD2091" s="23"/>
      <c r="AG2091" s="23"/>
    </row>
    <row r="2092" spans="2:33" ht="16">
      <c r="B2092" s="26" t="str">
        <f t="shared" si="9"/>
        <v/>
      </c>
      <c r="C2092" s="6"/>
      <c r="D2092" s="6"/>
      <c r="E2092" s="6"/>
      <c r="F2092" s="15"/>
      <c r="G2092" s="6"/>
      <c r="H2092" s="6"/>
      <c r="I2092" s="6"/>
      <c r="J2092" s="16"/>
      <c r="K2092" s="6"/>
      <c r="L2092" s="16"/>
      <c r="M2092" s="23"/>
      <c r="N2092" s="15"/>
      <c r="O2092" s="23"/>
      <c r="P2092" s="21"/>
      <c r="Q2092" s="6"/>
      <c r="R2092" s="6"/>
      <c r="S2092" s="20"/>
      <c r="T2092" s="6"/>
      <c r="U2092" s="21"/>
      <c r="W2092" s="20"/>
      <c r="X2092" s="21"/>
      <c r="AD2092" s="17"/>
      <c r="AG2092" s="17"/>
    </row>
    <row r="2093" spans="2:33" ht="16">
      <c r="B2093" s="26" t="str">
        <f t="shared" si="9"/>
        <v/>
      </c>
      <c r="C2093" s="6"/>
      <c r="D2093" s="6"/>
      <c r="E2093" s="6"/>
      <c r="F2093" s="15"/>
      <c r="G2093" s="6"/>
      <c r="H2093" s="6"/>
      <c r="I2093" s="6"/>
      <c r="J2093" s="16"/>
      <c r="K2093" s="6"/>
      <c r="L2093" s="16"/>
      <c r="M2093" s="23"/>
      <c r="N2093" s="15"/>
      <c r="O2093" s="23"/>
      <c r="P2093" s="21"/>
      <c r="Q2093" s="6"/>
      <c r="R2093" s="6"/>
      <c r="S2093" s="20"/>
      <c r="T2093" s="6"/>
      <c r="U2093" s="21"/>
      <c r="W2093" s="20"/>
      <c r="X2093" s="21"/>
      <c r="AD2093" s="17"/>
      <c r="AG2093" s="17"/>
    </row>
    <row r="2094" spans="2:33" ht="16">
      <c r="B2094" s="26" t="str">
        <f t="shared" si="9"/>
        <v/>
      </c>
      <c r="C2094" s="6"/>
      <c r="D2094" s="6"/>
      <c r="E2094" s="6"/>
      <c r="F2094" s="15"/>
      <c r="G2094" s="6"/>
      <c r="H2094" s="6"/>
      <c r="I2094" s="6"/>
      <c r="J2094" s="16"/>
      <c r="K2094" s="6"/>
      <c r="L2094" s="16"/>
      <c r="M2094" s="23"/>
      <c r="N2094" s="15"/>
      <c r="O2094" s="17"/>
      <c r="P2094" s="21"/>
      <c r="Q2094" s="6"/>
      <c r="R2094" s="6"/>
      <c r="S2094" s="20"/>
      <c r="T2094" s="6"/>
      <c r="U2094" s="21"/>
      <c r="W2094" s="20"/>
      <c r="X2094" s="21"/>
      <c r="AD2094" s="17"/>
      <c r="AG2094" s="23"/>
    </row>
    <row r="2095" spans="2:33" ht="16">
      <c r="B2095" s="26" t="str">
        <f t="shared" si="9"/>
        <v/>
      </c>
      <c r="C2095" s="6"/>
      <c r="D2095" s="6"/>
      <c r="E2095" s="6"/>
      <c r="F2095" s="15"/>
      <c r="G2095" s="6"/>
      <c r="H2095" s="6"/>
      <c r="I2095" s="6"/>
      <c r="J2095" s="16"/>
      <c r="K2095" s="6"/>
      <c r="L2095" s="16"/>
      <c r="M2095" s="17"/>
      <c r="N2095" s="15"/>
      <c r="O2095" s="17"/>
      <c r="P2095" s="21"/>
      <c r="Q2095" s="6"/>
      <c r="R2095" s="6"/>
      <c r="S2095" s="20"/>
      <c r="T2095" s="6"/>
      <c r="U2095" s="21"/>
      <c r="W2095" s="20"/>
      <c r="X2095" s="21"/>
      <c r="AD2095" s="23"/>
      <c r="AG2095" s="23"/>
    </row>
    <row r="2096" spans="2:33" ht="16">
      <c r="B2096" s="26" t="str">
        <f t="shared" si="9"/>
        <v/>
      </c>
      <c r="C2096" s="6"/>
      <c r="D2096" s="6"/>
      <c r="E2096" s="6"/>
      <c r="F2096" s="15"/>
      <c r="G2096" s="6"/>
      <c r="H2096" s="6"/>
      <c r="I2096" s="6"/>
      <c r="J2096" s="16"/>
      <c r="K2096" s="6"/>
      <c r="L2096" s="16"/>
      <c r="M2096" s="23"/>
      <c r="N2096" s="15"/>
      <c r="O2096" s="23"/>
      <c r="P2096" s="21"/>
      <c r="Q2096" s="6"/>
      <c r="R2096" s="6"/>
      <c r="S2096" s="20"/>
      <c r="T2096" s="6"/>
      <c r="U2096" s="21"/>
      <c r="W2096" s="20"/>
      <c r="X2096" s="21"/>
      <c r="AD2096" s="23"/>
      <c r="AG2096" s="23"/>
    </row>
    <row r="2097" spans="2:33" ht="16">
      <c r="B2097" s="26" t="str">
        <f t="shared" si="9"/>
        <v/>
      </c>
      <c r="C2097" s="6"/>
      <c r="D2097" s="6"/>
      <c r="E2097" s="6"/>
      <c r="F2097" s="15"/>
      <c r="G2097" s="6"/>
      <c r="H2097" s="6"/>
      <c r="I2097" s="6"/>
      <c r="J2097" s="16"/>
      <c r="K2097" s="6"/>
      <c r="L2097" s="16"/>
      <c r="M2097" s="23"/>
      <c r="N2097" s="15"/>
      <c r="O2097" s="23"/>
      <c r="P2097" s="21"/>
      <c r="Q2097" s="6"/>
      <c r="R2097" s="6"/>
      <c r="S2097" s="20"/>
      <c r="T2097" s="6"/>
      <c r="U2097" s="21"/>
      <c r="W2097" s="20"/>
      <c r="X2097" s="21"/>
      <c r="AD2097" s="23"/>
      <c r="AG2097" s="23"/>
    </row>
    <row r="2098" spans="2:33" ht="16">
      <c r="B2098" s="26" t="str">
        <f t="shared" si="9"/>
        <v/>
      </c>
      <c r="C2098" s="6"/>
      <c r="D2098" s="6"/>
      <c r="E2098" s="6"/>
      <c r="F2098" s="15"/>
      <c r="G2098" s="6"/>
      <c r="H2098" s="6"/>
      <c r="I2098" s="6"/>
      <c r="J2098" s="16"/>
      <c r="K2098" s="6"/>
      <c r="L2098" s="16"/>
      <c r="M2098" s="17"/>
      <c r="N2098" s="15"/>
      <c r="O2098" s="17"/>
      <c r="P2098" s="21"/>
      <c r="Q2098" s="6"/>
      <c r="R2098" s="6"/>
      <c r="S2098" s="20"/>
      <c r="T2098" s="6"/>
      <c r="U2098" s="21"/>
      <c r="W2098" s="20"/>
      <c r="X2098" s="21"/>
      <c r="AD2098" s="17"/>
      <c r="AG2098" s="23"/>
    </row>
    <row r="2099" spans="2:33" ht="16">
      <c r="B2099" s="26" t="str">
        <f t="shared" si="9"/>
        <v/>
      </c>
      <c r="C2099" s="6"/>
      <c r="D2099" s="6"/>
      <c r="E2099" s="6"/>
      <c r="F2099" s="15"/>
      <c r="G2099" s="6"/>
      <c r="H2099" s="6"/>
      <c r="I2099" s="6"/>
      <c r="J2099" s="16"/>
      <c r="K2099" s="6"/>
      <c r="L2099" s="16"/>
      <c r="M2099" s="23"/>
      <c r="N2099" s="15"/>
      <c r="O2099" s="23"/>
      <c r="P2099" s="21"/>
      <c r="Q2099" s="6"/>
      <c r="R2099" s="6"/>
      <c r="S2099" s="20"/>
      <c r="T2099" s="6"/>
      <c r="U2099" s="21"/>
      <c r="W2099" s="20"/>
      <c r="X2099" s="21"/>
      <c r="AD2099" s="23"/>
      <c r="AG2099" s="23"/>
    </row>
    <row r="2100" spans="2:33" ht="16">
      <c r="B2100" s="26" t="str">
        <f t="shared" si="9"/>
        <v/>
      </c>
      <c r="C2100" s="6"/>
      <c r="D2100" s="6"/>
      <c r="E2100" s="6"/>
      <c r="F2100" s="15"/>
      <c r="G2100" s="6"/>
      <c r="H2100" s="6"/>
      <c r="I2100" s="6"/>
      <c r="J2100" s="16"/>
      <c r="K2100" s="6"/>
      <c r="L2100" s="16"/>
      <c r="M2100" s="23"/>
      <c r="N2100" s="15"/>
      <c r="O2100" s="23"/>
      <c r="P2100" s="21"/>
      <c r="Q2100" s="6"/>
      <c r="R2100" s="6"/>
      <c r="S2100" s="20"/>
      <c r="T2100" s="6"/>
      <c r="U2100" s="21"/>
      <c r="W2100" s="20"/>
      <c r="X2100" s="21"/>
      <c r="AD2100" s="23"/>
      <c r="AG2100" s="23"/>
    </row>
    <row r="2101" spans="2:33" ht="16">
      <c r="B2101" s="26" t="str">
        <f t="shared" si="9"/>
        <v/>
      </c>
      <c r="C2101" s="6"/>
      <c r="D2101" s="6"/>
      <c r="E2101" s="6"/>
      <c r="F2101" s="15"/>
      <c r="G2101" s="6"/>
      <c r="H2101" s="6"/>
      <c r="I2101" s="6"/>
      <c r="J2101" s="16"/>
      <c r="K2101" s="6"/>
      <c r="L2101" s="16"/>
      <c r="M2101" s="23"/>
      <c r="N2101" s="15"/>
      <c r="O2101" s="23"/>
      <c r="P2101" s="21"/>
      <c r="Q2101" s="6"/>
      <c r="R2101" s="6"/>
      <c r="S2101" s="20"/>
      <c r="T2101" s="6"/>
      <c r="U2101" s="21"/>
      <c r="W2101" s="20"/>
      <c r="X2101" s="21"/>
      <c r="AD2101" s="23"/>
      <c r="AG2101" s="23"/>
    </row>
    <row r="2102" spans="2:33" ht="16">
      <c r="B2102" s="26" t="str">
        <f t="shared" si="9"/>
        <v/>
      </c>
      <c r="C2102" s="6"/>
      <c r="D2102" s="6"/>
      <c r="E2102" s="6"/>
      <c r="F2102" s="15"/>
      <c r="G2102" s="6"/>
      <c r="H2102" s="6"/>
      <c r="I2102" s="6"/>
      <c r="J2102" s="16"/>
      <c r="K2102" s="6"/>
      <c r="L2102" s="16"/>
      <c r="M2102" s="23"/>
      <c r="N2102" s="15"/>
      <c r="O2102" s="23"/>
      <c r="P2102" s="21"/>
      <c r="Q2102" s="6"/>
      <c r="R2102" s="6"/>
      <c r="S2102" s="20"/>
      <c r="T2102" s="6"/>
      <c r="U2102" s="21"/>
      <c r="W2102" s="20"/>
      <c r="X2102" s="21"/>
      <c r="AD2102" s="23"/>
      <c r="AG2102" s="23"/>
    </row>
    <row r="2103" spans="2:33" ht="16">
      <c r="B2103" s="26" t="str">
        <f t="shared" si="9"/>
        <v/>
      </c>
      <c r="C2103" s="6"/>
      <c r="D2103" s="6"/>
      <c r="E2103" s="6"/>
      <c r="F2103" s="15"/>
      <c r="G2103" s="6"/>
      <c r="H2103" s="6"/>
      <c r="I2103" s="6"/>
      <c r="J2103" s="16"/>
      <c r="K2103" s="6"/>
      <c r="L2103" s="16"/>
      <c r="M2103" s="23"/>
      <c r="N2103" s="15"/>
      <c r="O2103" s="23"/>
      <c r="P2103" s="21"/>
      <c r="Q2103" s="6"/>
      <c r="R2103" s="6"/>
      <c r="S2103" s="20"/>
      <c r="T2103" s="6"/>
      <c r="U2103" s="21"/>
      <c r="W2103" s="20"/>
      <c r="X2103" s="21"/>
      <c r="AD2103" s="23"/>
      <c r="AG2103" s="23"/>
    </row>
    <row r="2104" spans="2:33" ht="16">
      <c r="B2104" s="26" t="str">
        <f t="shared" si="9"/>
        <v/>
      </c>
      <c r="C2104" s="6"/>
      <c r="D2104" s="6"/>
      <c r="E2104" s="6"/>
      <c r="F2104" s="15"/>
      <c r="G2104" s="6"/>
      <c r="H2104" s="6"/>
      <c r="I2104" s="6"/>
      <c r="J2104" s="16"/>
      <c r="K2104" s="6"/>
      <c r="L2104" s="16"/>
      <c r="M2104" s="23"/>
      <c r="N2104" s="15"/>
      <c r="O2104" s="17"/>
      <c r="P2104" s="21"/>
      <c r="Q2104" s="6"/>
      <c r="R2104" s="6"/>
      <c r="S2104" s="20"/>
      <c r="T2104" s="6"/>
      <c r="U2104" s="21"/>
      <c r="W2104" s="20"/>
      <c r="X2104" s="21"/>
      <c r="AD2104" s="17"/>
      <c r="AG2104" s="17"/>
    </row>
    <row r="2105" spans="2:33" ht="16">
      <c r="B2105" s="26" t="str">
        <f t="shared" si="9"/>
        <v/>
      </c>
      <c r="C2105" s="6"/>
      <c r="D2105" s="6"/>
      <c r="E2105" s="6"/>
      <c r="F2105" s="15"/>
      <c r="G2105" s="6"/>
      <c r="H2105" s="6"/>
      <c r="I2105" s="6"/>
      <c r="J2105" s="16"/>
      <c r="K2105" s="6"/>
      <c r="L2105" s="16"/>
      <c r="M2105" s="23"/>
      <c r="N2105" s="15"/>
      <c r="O2105" s="17"/>
      <c r="P2105" s="21"/>
      <c r="Q2105" s="6"/>
      <c r="R2105" s="6"/>
      <c r="S2105" s="20"/>
      <c r="T2105" s="6"/>
      <c r="U2105" s="21"/>
      <c r="W2105" s="20"/>
      <c r="X2105" s="21"/>
      <c r="AD2105" s="23"/>
      <c r="AG2105" s="23"/>
    </row>
    <row r="2106" spans="2:33" ht="16">
      <c r="B2106" s="26" t="str">
        <f t="shared" si="9"/>
        <v/>
      </c>
      <c r="C2106" s="6"/>
      <c r="D2106" s="6"/>
      <c r="E2106" s="6"/>
      <c r="F2106" s="15"/>
      <c r="G2106" s="6"/>
      <c r="H2106" s="6"/>
      <c r="I2106" s="6"/>
      <c r="J2106" s="16"/>
      <c r="K2106" s="6"/>
      <c r="L2106" s="16"/>
      <c r="M2106" s="23"/>
      <c r="N2106" s="15"/>
      <c r="O2106" s="23"/>
      <c r="P2106" s="21"/>
      <c r="Q2106" s="6"/>
      <c r="R2106" s="6"/>
      <c r="S2106" s="20"/>
      <c r="T2106" s="6"/>
      <c r="U2106" s="21"/>
      <c r="W2106" s="20"/>
      <c r="X2106" s="21"/>
      <c r="AD2106" s="23"/>
      <c r="AG2106" s="23"/>
    </row>
    <row r="2107" spans="2:33" ht="16">
      <c r="B2107" s="26" t="str">
        <f t="shared" si="9"/>
        <v/>
      </c>
      <c r="C2107" s="6"/>
      <c r="D2107" s="6"/>
      <c r="E2107" s="6"/>
      <c r="F2107" s="15"/>
      <c r="G2107" s="6"/>
      <c r="H2107" s="6"/>
      <c r="I2107" s="6"/>
      <c r="J2107" s="16"/>
      <c r="K2107" s="6"/>
      <c r="L2107" s="16"/>
      <c r="M2107" s="23"/>
      <c r="N2107" s="15"/>
      <c r="O2107" s="23"/>
      <c r="P2107" s="21"/>
      <c r="Q2107" s="6"/>
      <c r="R2107" s="6"/>
      <c r="S2107" s="20"/>
      <c r="T2107" s="6"/>
      <c r="U2107" s="21"/>
      <c r="W2107" s="20"/>
      <c r="X2107" s="21"/>
      <c r="AD2107" s="23"/>
      <c r="AG2107" s="23"/>
    </row>
    <row r="2108" spans="2:33" ht="16">
      <c r="B2108" s="26" t="str">
        <f t="shared" si="9"/>
        <v/>
      </c>
      <c r="C2108" s="6"/>
      <c r="D2108" s="6"/>
      <c r="E2108" s="6"/>
      <c r="F2108" s="15"/>
      <c r="G2108" s="6"/>
      <c r="H2108" s="6"/>
      <c r="I2108" s="6"/>
      <c r="J2108" s="16"/>
      <c r="K2108" s="6"/>
      <c r="L2108" s="16"/>
      <c r="M2108" s="23"/>
      <c r="N2108" s="15"/>
      <c r="O2108" s="23"/>
      <c r="P2108" s="21"/>
      <c r="Q2108" s="6"/>
      <c r="R2108" s="6"/>
      <c r="S2108" s="20"/>
      <c r="T2108" s="6"/>
      <c r="U2108" s="21"/>
      <c r="W2108" s="20"/>
      <c r="X2108" s="21"/>
      <c r="AD2108" s="23"/>
      <c r="AG2108" s="23"/>
    </row>
    <row r="2109" spans="2:33" ht="16">
      <c r="B2109" s="26" t="str">
        <f t="shared" si="9"/>
        <v/>
      </c>
      <c r="C2109" s="6"/>
      <c r="D2109" s="6"/>
      <c r="E2109" s="6"/>
      <c r="F2109" s="15"/>
      <c r="G2109" s="6"/>
      <c r="H2109" s="6"/>
      <c r="I2109" s="6"/>
      <c r="J2109" s="16"/>
      <c r="K2109" s="6"/>
      <c r="L2109" s="16"/>
      <c r="M2109" s="23"/>
      <c r="N2109" s="15"/>
      <c r="O2109" s="23"/>
      <c r="P2109" s="21"/>
      <c r="Q2109" s="6"/>
      <c r="R2109" s="6"/>
      <c r="S2109" s="20"/>
      <c r="T2109" s="6"/>
      <c r="U2109" s="21"/>
      <c r="W2109" s="20"/>
      <c r="X2109" s="21"/>
      <c r="AD2109" s="23"/>
      <c r="AG2109" s="23"/>
    </row>
    <row r="2110" spans="2:33" ht="16">
      <c r="B2110" s="26" t="str">
        <f t="shared" si="9"/>
        <v/>
      </c>
      <c r="C2110" s="6"/>
      <c r="D2110" s="6"/>
      <c r="E2110" s="6"/>
      <c r="F2110" s="15"/>
      <c r="G2110" s="6"/>
      <c r="H2110" s="6"/>
      <c r="I2110" s="6"/>
      <c r="J2110" s="16"/>
      <c r="K2110" s="6"/>
      <c r="L2110" s="16"/>
      <c r="M2110" s="23"/>
      <c r="N2110" s="15"/>
      <c r="O2110" s="23"/>
      <c r="P2110" s="21"/>
      <c r="Q2110" s="6"/>
      <c r="R2110" s="6"/>
      <c r="S2110" s="20"/>
      <c r="T2110" s="6"/>
      <c r="U2110" s="21"/>
      <c r="W2110" s="20"/>
      <c r="X2110" s="21"/>
      <c r="AD2110" s="17"/>
      <c r="AG2110" s="23"/>
    </row>
    <row r="2111" spans="2:33" ht="16">
      <c r="B2111" s="26" t="str">
        <f t="shared" si="9"/>
        <v/>
      </c>
      <c r="C2111" s="6"/>
      <c r="D2111" s="6"/>
      <c r="E2111" s="6"/>
      <c r="F2111" s="15"/>
      <c r="G2111" s="6"/>
      <c r="H2111" s="6"/>
      <c r="I2111" s="6"/>
      <c r="J2111" s="16"/>
      <c r="K2111" s="6"/>
      <c r="L2111" s="16"/>
      <c r="M2111" s="23"/>
      <c r="N2111" s="15"/>
      <c r="O2111" s="17"/>
      <c r="P2111" s="21"/>
      <c r="Q2111" s="6"/>
      <c r="R2111" s="6"/>
      <c r="S2111" s="20"/>
      <c r="T2111" s="6"/>
      <c r="U2111" s="21"/>
      <c r="W2111" s="20"/>
      <c r="X2111" s="21"/>
      <c r="AD2111" s="17"/>
      <c r="AG2111" s="23"/>
    </row>
    <row r="2112" spans="2:33" ht="16">
      <c r="B2112" s="26" t="str">
        <f t="shared" si="9"/>
        <v/>
      </c>
      <c r="C2112" s="6"/>
      <c r="D2112" s="6"/>
      <c r="E2112" s="6"/>
      <c r="F2112" s="15"/>
      <c r="G2112" s="6"/>
      <c r="H2112" s="6"/>
      <c r="I2112" s="6"/>
      <c r="J2112" s="16"/>
      <c r="K2112" s="6"/>
      <c r="L2112" s="16"/>
      <c r="M2112" s="23"/>
      <c r="N2112" s="15"/>
      <c r="O2112" s="23"/>
      <c r="P2112" s="21"/>
      <c r="Q2112" s="6"/>
      <c r="R2112" s="6"/>
      <c r="S2112" s="20"/>
      <c r="T2112" s="6"/>
      <c r="U2112" s="21"/>
      <c r="W2112" s="20"/>
      <c r="X2112" s="21"/>
      <c r="AD2112" s="23"/>
      <c r="AG2112" s="23"/>
    </row>
    <row r="2113" spans="2:33" ht="16">
      <c r="B2113" s="26" t="str">
        <f t="shared" si="9"/>
        <v/>
      </c>
      <c r="C2113" s="6"/>
      <c r="D2113" s="6"/>
      <c r="E2113" s="6"/>
      <c r="F2113" s="15"/>
      <c r="G2113" s="6"/>
      <c r="H2113" s="6"/>
      <c r="I2113" s="6"/>
      <c r="J2113" s="16"/>
      <c r="K2113" s="6"/>
      <c r="L2113" s="16"/>
      <c r="M2113" s="17"/>
      <c r="N2113" s="15"/>
      <c r="O2113" s="17"/>
      <c r="P2113" s="21"/>
      <c r="Q2113" s="6"/>
      <c r="R2113" s="6"/>
      <c r="S2113" s="20"/>
      <c r="T2113" s="6"/>
      <c r="U2113" s="21"/>
      <c r="W2113" s="20"/>
      <c r="X2113" s="21"/>
      <c r="AD2113" s="23"/>
      <c r="AG2113" s="23"/>
    </row>
    <row r="2114" spans="2:33" ht="16">
      <c r="B2114" s="26" t="str">
        <f t="shared" si="9"/>
        <v/>
      </c>
      <c r="C2114" s="6"/>
      <c r="D2114" s="6"/>
      <c r="E2114" s="6"/>
      <c r="F2114" s="15"/>
      <c r="G2114" s="6"/>
      <c r="H2114" s="6"/>
      <c r="I2114" s="6"/>
      <c r="J2114" s="16"/>
      <c r="K2114" s="6"/>
      <c r="L2114" s="16"/>
      <c r="M2114" s="23"/>
      <c r="N2114" s="15"/>
      <c r="O2114" s="23"/>
      <c r="P2114" s="21"/>
      <c r="Q2114" s="6"/>
      <c r="R2114" s="6"/>
      <c r="S2114" s="20"/>
      <c r="T2114" s="6"/>
      <c r="U2114" s="21"/>
      <c r="W2114" s="20"/>
      <c r="X2114" s="21"/>
      <c r="AD2114" s="23"/>
      <c r="AG2114" s="17"/>
    </row>
    <row r="2115" spans="2:33" ht="16">
      <c r="B2115" s="26" t="str">
        <f t="shared" si="9"/>
        <v/>
      </c>
      <c r="C2115" s="6"/>
      <c r="D2115" s="6"/>
      <c r="E2115" s="6"/>
      <c r="F2115" s="15"/>
      <c r="G2115" s="6"/>
      <c r="H2115" s="6"/>
      <c r="I2115" s="6"/>
      <c r="J2115" s="16"/>
      <c r="K2115" s="6"/>
      <c r="L2115" s="16"/>
      <c r="M2115" s="17"/>
      <c r="N2115" s="15"/>
      <c r="O2115" s="17"/>
      <c r="P2115" s="21"/>
      <c r="Q2115" s="6"/>
      <c r="R2115" s="6"/>
      <c r="S2115" s="20"/>
      <c r="T2115" s="6"/>
      <c r="U2115" s="21"/>
      <c r="W2115" s="20"/>
      <c r="X2115" s="21"/>
      <c r="AD2115" s="17"/>
      <c r="AG2115" s="23"/>
    </row>
    <row r="2116" spans="2:33" ht="16">
      <c r="B2116" s="26" t="str">
        <f t="shared" si="9"/>
        <v/>
      </c>
      <c r="C2116" s="6"/>
      <c r="D2116" s="6"/>
      <c r="E2116" s="6"/>
      <c r="F2116" s="15"/>
      <c r="G2116" s="6"/>
      <c r="H2116" s="6"/>
      <c r="I2116" s="6"/>
      <c r="J2116" s="16"/>
      <c r="K2116" s="6"/>
      <c r="L2116" s="16"/>
      <c r="M2116" s="23"/>
      <c r="N2116" s="15"/>
      <c r="O2116" s="23"/>
      <c r="P2116" s="21"/>
      <c r="Q2116" s="6"/>
      <c r="R2116" s="6"/>
      <c r="S2116" s="20"/>
      <c r="T2116" s="6"/>
      <c r="U2116" s="21"/>
      <c r="W2116" s="20"/>
      <c r="X2116" s="21"/>
      <c r="AD2116" s="23"/>
      <c r="AG2116" s="23"/>
    </row>
    <row r="2117" spans="2:33" ht="16">
      <c r="B2117" s="26" t="str">
        <f t="shared" si="9"/>
        <v/>
      </c>
      <c r="C2117" s="6"/>
      <c r="D2117" s="6"/>
      <c r="E2117" s="6"/>
      <c r="F2117" s="15"/>
      <c r="G2117" s="6"/>
      <c r="H2117" s="6"/>
      <c r="I2117" s="6"/>
      <c r="J2117" s="16"/>
      <c r="K2117" s="6"/>
      <c r="L2117" s="16"/>
      <c r="M2117" s="23"/>
      <c r="N2117" s="15"/>
      <c r="O2117" s="23"/>
      <c r="P2117" s="21"/>
      <c r="Q2117" s="6"/>
      <c r="R2117" s="6"/>
      <c r="S2117" s="20"/>
      <c r="T2117" s="6"/>
      <c r="U2117" s="21"/>
      <c r="W2117" s="20"/>
      <c r="X2117" s="21"/>
      <c r="AD2117" s="23"/>
      <c r="AG2117" s="23"/>
    </row>
    <row r="2118" spans="2:33" ht="16">
      <c r="B2118" s="26" t="str">
        <f t="shared" si="9"/>
        <v/>
      </c>
      <c r="C2118" s="6"/>
      <c r="D2118" s="6"/>
      <c r="E2118" s="6"/>
      <c r="F2118" s="15"/>
      <c r="G2118" s="6"/>
      <c r="H2118" s="6"/>
      <c r="I2118" s="6"/>
      <c r="J2118" s="16"/>
      <c r="K2118" s="6"/>
      <c r="L2118" s="16"/>
      <c r="M2118" s="23"/>
      <c r="N2118" s="15"/>
      <c r="O2118" s="23"/>
      <c r="P2118" s="21"/>
      <c r="Q2118" s="6"/>
      <c r="R2118" s="6"/>
      <c r="S2118" s="20"/>
      <c r="T2118" s="6"/>
      <c r="U2118" s="21"/>
      <c r="W2118" s="20"/>
      <c r="X2118" s="21"/>
      <c r="AD2118" s="17"/>
      <c r="AG2118" s="17"/>
    </row>
    <row r="2119" spans="2:33" ht="16">
      <c r="B2119" s="26" t="str">
        <f t="shared" si="9"/>
        <v/>
      </c>
      <c r="C2119" s="6"/>
      <c r="D2119" s="6"/>
      <c r="E2119" s="6"/>
      <c r="F2119" s="15"/>
      <c r="G2119" s="6"/>
      <c r="H2119" s="6"/>
      <c r="I2119" s="6"/>
      <c r="J2119" s="16"/>
      <c r="K2119" s="6"/>
      <c r="L2119" s="16"/>
      <c r="M2119" s="23"/>
      <c r="N2119" s="15"/>
      <c r="O2119" s="23"/>
      <c r="P2119" s="21"/>
      <c r="Q2119" s="6"/>
      <c r="R2119" s="6"/>
      <c r="S2119" s="20"/>
      <c r="T2119" s="6"/>
      <c r="U2119" s="21"/>
      <c r="W2119" s="20"/>
      <c r="X2119" s="21"/>
      <c r="AD2119" s="23"/>
      <c r="AG2119" s="23"/>
    </row>
    <row r="2120" spans="2:33" ht="16">
      <c r="B2120" s="26" t="str">
        <f t="shared" si="9"/>
        <v/>
      </c>
      <c r="C2120" s="6"/>
      <c r="D2120" s="6"/>
      <c r="E2120" s="6"/>
      <c r="F2120" s="15"/>
      <c r="G2120" s="6"/>
      <c r="H2120" s="6"/>
      <c r="I2120" s="6"/>
      <c r="J2120" s="16"/>
      <c r="K2120" s="6"/>
      <c r="L2120" s="16"/>
      <c r="M2120" s="23"/>
      <c r="N2120" s="15"/>
      <c r="O2120" s="23"/>
      <c r="P2120" s="21"/>
      <c r="Q2120" s="6"/>
      <c r="R2120" s="6"/>
      <c r="S2120" s="20"/>
      <c r="T2120" s="6"/>
      <c r="U2120" s="21"/>
      <c r="W2120" s="20"/>
      <c r="X2120" s="21"/>
      <c r="AD2120" s="17"/>
      <c r="AG2120" s="23"/>
    </row>
    <row r="2121" spans="2:33" ht="16">
      <c r="B2121" s="26" t="str">
        <f t="shared" si="9"/>
        <v/>
      </c>
      <c r="C2121" s="6"/>
      <c r="D2121" s="6"/>
      <c r="E2121" s="6"/>
      <c r="F2121" s="15"/>
      <c r="G2121" s="6"/>
      <c r="H2121" s="6"/>
      <c r="I2121" s="6"/>
      <c r="J2121" s="16"/>
      <c r="K2121" s="6"/>
      <c r="L2121" s="16"/>
      <c r="M2121" s="23"/>
      <c r="N2121" s="15"/>
      <c r="O2121" s="23"/>
      <c r="P2121" s="21"/>
      <c r="Q2121" s="6"/>
      <c r="R2121" s="6"/>
      <c r="S2121" s="20"/>
      <c r="T2121" s="6"/>
      <c r="U2121" s="21"/>
      <c r="W2121" s="20"/>
      <c r="X2121" s="21"/>
      <c r="AD2121" s="23"/>
      <c r="AG2121" s="23"/>
    </row>
    <row r="2122" spans="2:33" ht="16">
      <c r="B2122" s="26" t="str">
        <f t="shared" si="9"/>
        <v/>
      </c>
      <c r="C2122" s="6"/>
      <c r="D2122" s="6"/>
      <c r="E2122" s="6"/>
      <c r="F2122" s="15"/>
      <c r="G2122" s="6"/>
      <c r="H2122" s="6"/>
      <c r="I2122" s="6"/>
      <c r="J2122" s="16"/>
      <c r="K2122" s="6"/>
      <c r="L2122" s="16"/>
      <c r="M2122" s="23"/>
      <c r="N2122" s="15"/>
      <c r="O2122" s="23"/>
      <c r="P2122" s="21"/>
      <c r="Q2122" s="6"/>
      <c r="R2122" s="6"/>
      <c r="S2122" s="20"/>
      <c r="T2122" s="6"/>
      <c r="U2122" s="21"/>
      <c r="W2122" s="20"/>
      <c r="X2122" s="21"/>
      <c r="AD2122" s="23"/>
      <c r="AG2122" s="23"/>
    </row>
    <row r="2123" spans="2:33" ht="16">
      <c r="B2123" s="26" t="str">
        <f t="shared" si="9"/>
        <v/>
      </c>
      <c r="C2123" s="6"/>
      <c r="D2123" s="6"/>
      <c r="E2123" s="6"/>
      <c r="F2123" s="15"/>
      <c r="G2123" s="6"/>
      <c r="H2123" s="6"/>
      <c r="I2123" s="6"/>
      <c r="J2123" s="16"/>
      <c r="K2123" s="6"/>
      <c r="L2123" s="16"/>
      <c r="M2123" s="17"/>
      <c r="N2123" s="15"/>
      <c r="O2123" s="17"/>
      <c r="P2123" s="21"/>
      <c r="Q2123" s="6"/>
      <c r="R2123" s="6"/>
      <c r="S2123" s="20"/>
      <c r="T2123" s="6"/>
      <c r="U2123" s="21"/>
      <c r="W2123" s="20"/>
      <c r="X2123" s="21"/>
      <c r="AD2123" s="17"/>
      <c r="AG2123" s="23"/>
    </row>
    <row r="2124" spans="2:33" ht="16">
      <c r="B2124" s="26" t="str">
        <f t="shared" si="9"/>
        <v/>
      </c>
      <c r="C2124" s="6"/>
      <c r="D2124" s="6"/>
      <c r="E2124" s="6"/>
      <c r="F2124" s="15"/>
      <c r="G2124" s="6"/>
      <c r="H2124" s="6"/>
      <c r="I2124" s="6"/>
      <c r="J2124" s="16"/>
      <c r="K2124" s="6"/>
      <c r="L2124" s="16"/>
      <c r="M2124" s="17"/>
      <c r="N2124" s="15"/>
      <c r="O2124" s="23"/>
      <c r="P2124" s="21"/>
      <c r="Q2124" s="6"/>
      <c r="R2124" s="6"/>
      <c r="S2124" s="20"/>
      <c r="T2124" s="6"/>
      <c r="U2124" s="21"/>
      <c r="W2124" s="20"/>
      <c r="X2124" s="21"/>
      <c r="AD2124" s="23"/>
      <c r="AG2124" s="17"/>
    </row>
    <row r="2125" spans="2:33" ht="16">
      <c r="B2125" s="26" t="str">
        <f t="shared" si="9"/>
        <v/>
      </c>
      <c r="C2125" s="6"/>
      <c r="D2125" s="6"/>
      <c r="E2125" s="6"/>
      <c r="F2125" s="15"/>
      <c r="G2125" s="6"/>
      <c r="H2125" s="6"/>
      <c r="I2125" s="6"/>
      <c r="J2125" s="16"/>
      <c r="K2125" s="6"/>
      <c r="L2125" s="16"/>
      <c r="M2125" s="23"/>
      <c r="N2125" s="15"/>
      <c r="O2125" s="23"/>
      <c r="P2125" s="21"/>
      <c r="Q2125" s="6"/>
      <c r="R2125" s="6"/>
      <c r="S2125" s="20"/>
      <c r="T2125" s="6"/>
      <c r="U2125" s="21"/>
      <c r="W2125" s="20"/>
      <c r="X2125" s="21"/>
      <c r="AD2125" s="23"/>
      <c r="AG2125" s="23"/>
    </row>
    <row r="2126" spans="2:33" ht="16">
      <c r="B2126" s="26" t="str">
        <f t="shared" si="9"/>
        <v/>
      </c>
      <c r="C2126" s="6"/>
      <c r="D2126" s="6"/>
      <c r="E2126" s="6"/>
      <c r="F2126" s="15"/>
      <c r="G2126" s="6"/>
      <c r="H2126" s="6"/>
      <c r="I2126" s="6"/>
      <c r="J2126" s="16"/>
      <c r="K2126" s="6"/>
      <c r="L2126" s="16"/>
      <c r="M2126" s="23"/>
      <c r="N2126" s="15"/>
      <c r="O2126" s="17"/>
      <c r="P2126" s="21"/>
      <c r="Q2126" s="6"/>
      <c r="R2126" s="6"/>
      <c r="S2126" s="20"/>
      <c r="T2126" s="6"/>
      <c r="U2126" s="21"/>
      <c r="W2126" s="20"/>
      <c r="X2126" s="21"/>
      <c r="AD2126" s="23"/>
      <c r="AG2126" s="23"/>
    </row>
    <row r="2127" spans="2:33" ht="16">
      <c r="B2127" s="26" t="str">
        <f t="shared" si="9"/>
        <v/>
      </c>
      <c r="C2127" s="6"/>
      <c r="D2127" s="6"/>
      <c r="E2127" s="6"/>
      <c r="F2127" s="15"/>
      <c r="G2127" s="6"/>
      <c r="H2127" s="6"/>
      <c r="I2127" s="6"/>
      <c r="J2127" s="16"/>
      <c r="K2127" s="6"/>
      <c r="L2127" s="16"/>
      <c r="M2127" s="23"/>
      <c r="N2127" s="15"/>
      <c r="O2127" s="23"/>
      <c r="P2127" s="21"/>
      <c r="Q2127" s="6"/>
      <c r="R2127" s="6"/>
      <c r="S2127" s="20"/>
      <c r="T2127" s="6"/>
      <c r="U2127" s="21"/>
      <c r="W2127" s="20"/>
      <c r="X2127" s="21"/>
      <c r="AD2127" s="23"/>
      <c r="AG2127" s="23"/>
    </row>
    <row r="2128" spans="2:33" ht="16">
      <c r="B2128" s="26" t="str">
        <f t="shared" si="9"/>
        <v/>
      </c>
      <c r="C2128" s="6"/>
      <c r="D2128" s="6"/>
      <c r="E2128" s="6"/>
      <c r="F2128" s="15"/>
      <c r="G2128" s="6"/>
      <c r="H2128" s="6"/>
      <c r="I2128" s="6"/>
      <c r="J2128" s="16"/>
      <c r="K2128" s="6"/>
      <c r="L2128" s="16"/>
      <c r="M2128" s="23"/>
      <c r="N2128" s="15"/>
      <c r="O2128" s="23"/>
      <c r="P2128" s="21"/>
      <c r="Q2128" s="6"/>
      <c r="R2128" s="6"/>
      <c r="S2128" s="20"/>
      <c r="T2128" s="6"/>
      <c r="U2128" s="21"/>
      <c r="W2128" s="20"/>
      <c r="X2128" s="21"/>
      <c r="AD2128" s="23"/>
      <c r="AG2128" s="23"/>
    </row>
    <row r="2129" spans="2:33" ht="16">
      <c r="B2129" s="26" t="str">
        <f t="shared" si="9"/>
        <v/>
      </c>
      <c r="C2129" s="6"/>
      <c r="D2129" s="6"/>
      <c r="E2129" s="6"/>
      <c r="F2129" s="15"/>
      <c r="G2129" s="6"/>
      <c r="H2129" s="6"/>
      <c r="I2129" s="6"/>
      <c r="J2129" s="16"/>
      <c r="K2129" s="6"/>
      <c r="L2129" s="16"/>
      <c r="M2129" s="17"/>
      <c r="N2129" s="15"/>
      <c r="O2129" s="17"/>
      <c r="P2129" s="21"/>
      <c r="Q2129" s="6"/>
      <c r="R2129" s="6"/>
      <c r="S2129" s="20"/>
      <c r="T2129" s="6"/>
      <c r="U2129" s="21"/>
      <c r="W2129" s="20"/>
      <c r="X2129" s="21"/>
      <c r="AD2129" s="17"/>
      <c r="AG2129" s="23"/>
    </row>
    <row r="2130" spans="2:33" ht="16">
      <c r="B2130" s="26" t="str">
        <f t="shared" si="9"/>
        <v/>
      </c>
      <c r="C2130" s="6"/>
      <c r="D2130" s="6"/>
      <c r="E2130" s="6"/>
      <c r="F2130" s="15"/>
      <c r="G2130" s="6"/>
      <c r="H2130" s="6"/>
      <c r="I2130" s="6"/>
      <c r="J2130" s="16"/>
      <c r="K2130" s="6"/>
      <c r="L2130" s="16"/>
      <c r="M2130" s="23"/>
      <c r="N2130" s="15"/>
      <c r="O2130" s="23"/>
      <c r="P2130" s="21"/>
      <c r="Q2130" s="6"/>
      <c r="R2130" s="6"/>
      <c r="S2130" s="20"/>
      <c r="T2130" s="6"/>
      <c r="U2130" s="21"/>
      <c r="W2130" s="20"/>
      <c r="X2130" s="21"/>
      <c r="AD2130" s="23"/>
      <c r="AG2130" s="23"/>
    </row>
    <row r="2131" spans="2:33" ht="16">
      <c r="B2131" s="26" t="str">
        <f t="shared" si="9"/>
        <v/>
      </c>
      <c r="C2131" s="6"/>
      <c r="D2131" s="6"/>
      <c r="E2131" s="6"/>
      <c r="F2131" s="15"/>
      <c r="G2131" s="6"/>
      <c r="H2131" s="6"/>
      <c r="I2131" s="6"/>
      <c r="J2131" s="16"/>
      <c r="K2131" s="6"/>
      <c r="L2131" s="16"/>
      <c r="M2131" s="23"/>
      <c r="N2131" s="15"/>
      <c r="O2131" s="17"/>
      <c r="P2131" s="21"/>
      <c r="Q2131" s="6"/>
      <c r="R2131" s="6"/>
      <c r="S2131" s="20"/>
      <c r="T2131" s="6"/>
      <c r="U2131" s="21"/>
      <c r="W2131" s="20"/>
      <c r="X2131" s="21"/>
      <c r="AD2131" s="17"/>
      <c r="AG2131" s="23"/>
    </row>
    <row r="2132" spans="2:33" ht="16">
      <c r="B2132" s="26" t="str">
        <f t="shared" si="9"/>
        <v/>
      </c>
      <c r="C2132" s="6"/>
      <c r="D2132" s="6"/>
      <c r="E2132" s="6"/>
      <c r="F2132" s="15"/>
      <c r="G2132" s="6"/>
      <c r="H2132" s="6"/>
      <c r="I2132" s="6"/>
      <c r="J2132" s="16"/>
      <c r="K2132" s="6"/>
      <c r="L2132" s="16"/>
      <c r="M2132" s="17"/>
      <c r="N2132" s="15"/>
      <c r="O2132" s="23"/>
      <c r="P2132" s="21"/>
      <c r="Q2132" s="6"/>
      <c r="R2132" s="6"/>
      <c r="S2132" s="20"/>
      <c r="T2132" s="6"/>
      <c r="U2132" s="21"/>
      <c r="W2132" s="20"/>
      <c r="X2132" s="21"/>
      <c r="AD2132" s="23"/>
      <c r="AG2132" s="23"/>
    </row>
    <row r="2133" spans="2:33" ht="16">
      <c r="B2133" s="26" t="str">
        <f t="shared" si="9"/>
        <v/>
      </c>
      <c r="C2133" s="23"/>
      <c r="D2133" s="6"/>
      <c r="E2133" s="6"/>
      <c r="F2133" s="15"/>
      <c r="G2133" s="6"/>
      <c r="H2133" s="6"/>
      <c r="I2133" s="6"/>
      <c r="J2133" s="16"/>
      <c r="K2133" s="6"/>
      <c r="L2133" s="16"/>
      <c r="M2133" s="17"/>
      <c r="N2133" s="15"/>
      <c r="O2133" s="17"/>
      <c r="P2133" s="21"/>
      <c r="Q2133" s="6"/>
      <c r="R2133" s="6"/>
      <c r="S2133" s="20"/>
      <c r="T2133" s="6"/>
      <c r="U2133" s="21"/>
      <c r="W2133" s="20"/>
      <c r="X2133" s="21"/>
      <c r="AD2133" s="17"/>
      <c r="AG2133" s="17"/>
    </row>
    <row r="2134" spans="2:33" ht="16">
      <c r="B2134" s="26" t="str">
        <f t="shared" si="9"/>
        <v/>
      </c>
      <c r="C2134" s="6"/>
      <c r="D2134" s="6"/>
      <c r="E2134" s="6"/>
      <c r="F2134" s="15"/>
      <c r="G2134" s="6"/>
      <c r="H2134" s="6"/>
      <c r="I2134" s="6"/>
      <c r="J2134" s="16"/>
      <c r="K2134" s="6"/>
      <c r="L2134" s="16"/>
      <c r="M2134" s="23"/>
      <c r="N2134" s="15"/>
      <c r="O2134" s="23"/>
      <c r="P2134" s="21"/>
      <c r="Q2134" s="6"/>
      <c r="R2134" s="6"/>
      <c r="S2134" s="20"/>
      <c r="T2134" s="6"/>
      <c r="U2134" s="21"/>
      <c r="W2134" s="20"/>
      <c r="X2134" s="21"/>
      <c r="AD2134" s="23"/>
      <c r="AG2134" s="23"/>
    </row>
    <row r="2135" spans="2:33" ht="16">
      <c r="B2135" s="26" t="str">
        <f t="shared" si="9"/>
        <v/>
      </c>
      <c r="C2135" s="6"/>
      <c r="D2135" s="6"/>
      <c r="E2135" s="6"/>
      <c r="F2135" s="15"/>
      <c r="G2135" s="6"/>
      <c r="H2135" s="6"/>
      <c r="I2135" s="6"/>
      <c r="J2135" s="16"/>
      <c r="K2135" s="6"/>
      <c r="L2135" s="16"/>
      <c r="M2135" s="23"/>
      <c r="N2135" s="15"/>
      <c r="O2135" s="23"/>
      <c r="P2135" s="21"/>
      <c r="Q2135" s="6"/>
      <c r="R2135" s="6"/>
      <c r="S2135" s="20"/>
      <c r="T2135" s="6"/>
      <c r="U2135" s="21"/>
      <c r="W2135" s="20"/>
      <c r="X2135" s="21"/>
      <c r="AD2135" s="23"/>
      <c r="AG2135" s="23"/>
    </row>
    <row r="2136" spans="2:33" ht="16">
      <c r="B2136" s="26" t="str">
        <f t="shared" si="9"/>
        <v/>
      </c>
      <c r="C2136" s="6"/>
      <c r="D2136" s="6"/>
      <c r="E2136" s="6"/>
      <c r="F2136" s="15"/>
      <c r="G2136" s="6"/>
      <c r="H2136" s="6"/>
      <c r="I2136" s="6"/>
      <c r="J2136" s="16"/>
      <c r="K2136" s="6"/>
      <c r="L2136" s="16"/>
      <c r="M2136" s="23"/>
      <c r="N2136" s="15"/>
      <c r="O2136" s="23"/>
      <c r="P2136" s="21"/>
      <c r="Q2136" s="6"/>
      <c r="R2136" s="6"/>
      <c r="S2136" s="20"/>
      <c r="T2136" s="6"/>
      <c r="U2136" s="21"/>
      <c r="W2136" s="20"/>
      <c r="X2136" s="21"/>
      <c r="AD2136" s="23"/>
      <c r="AG2136" s="17"/>
    </row>
    <row r="2137" spans="2:33" ht="16">
      <c r="B2137" s="26" t="str">
        <f t="shared" si="9"/>
        <v/>
      </c>
      <c r="C2137" s="6"/>
      <c r="D2137" s="6"/>
      <c r="E2137" s="6"/>
      <c r="F2137" s="15"/>
      <c r="G2137" s="6"/>
      <c r="H2137" s="6"/>
      <c r="I2137" s="6"/>
      <c r="J2137" s="16"/>
      <c r="K2137" s="6"/>
      <c r="L2137" s="16"/>
      <c r="M2137" s="23"/>
      <c r="N2137" s="15"/>
      <c r="O2137" s="17"/>
      <c r="P2137" s="21"/>
      <c r="Q2137" s="6"/>
      <c r="R2137" s="6"/>
      <c r="S2137" s="20"/>
      <c r="T2137" s="6"/>
      <c r="U2137" s="21"/>
      <c r="W2137" s="20"/>
      <c r="X2137" s="21"/>
      <c r="AD2137" s="17"/>
      <c r="AG2137" s="23"/>
    </row>
    <row r="2138" spans="2:33" ht="16">
      <c r="B2138" s="26" t="str">
        <f t="shared" si="9"/>
        <v/>
      </c>
      <c r="C2138" s="6"/>
      <c r="D2138" s="6"/>
      <c r="E2138" s="6"/>
      <c r="F2138" s="15"/>
      <c r="G2138" s="6"/>
      <c r="H2138" s="6"/>
      <c r="I2138" s="6"/>
      <c r="J2138" s="16"/>
      <c r="K2138" s="6"/>
      <c r="L2138" s="16"/>
      <c r="M2138" s="17"/>
      <c r="N2138" s="15"/>
      <c r="O2138" s="17"/>
      <c r="P2138" s="21"/>
      <c r="Q2138" s="6"/>
      <c r="R2138" s="6"/>
      <c r="S2138" s="20"/>
      <c r="T2138" s="6"/>
      <c r="U2138" s="21"/>
      <c r="W2138" s="20"/>
      <c r="X2138" s="21"/>
      <c r="AD2138" s="23"/>
      <c r="AG2138" s="17"/>
    </row>
    <row r="2139" spans="2:33" ht="16">
      <c r="B2139" s="26" t="str">
        <f t="shared" si="9"/>
        <v/>
      </c>
      <c r="C2139" s="6"/>
      <c r="D2139" s="6"/>
      <c r="E2139" s="6"/>
      <c r="F2139" s="15"/>
      <c r="G2139" s="6"/>
      <c r="H2139" s="6"/>
      <c r="I2139" s="6"/>
      <c r="J2139" s="16"/>
      <c r="K2139" s="6"/>
      <c r="L2139" s="16"/>
      <c r="M2139" s="17"/>
      <c r="N2139" s="15"/>
      <c r="O2139" s="17"/>
      <c r="P2139" s="21"/>
      <c r="Q2139" s="6"/>
      <c r="R2139" s="6"/>
      <c r="S2139" s="20"/>
      <c r="T2139" s="6"/>
      <c r="U2139" s="21"/>
      <c r="W2139" s="20"/>
      <c r="X2139" s="21"/>
      <c r="AD2139" s="17"/>
      <c r="AG2139" s="23"/>
    </row>
    <row r="2140" spans="2:33" ht="16">
      <c r="B2140" s="26" t="str">
        <f t="shared" si="9"/>
        <v/>
      </c>
      <c r="C2140" s="6"/>
      <c r="D2140" s="6"/>
      <c r="E2140" s="6"/>
      <c r="F2140" s="15"/>
      <c r="G2140" s="6"/>
      <c r="H2140" s="6"/>
      <c r="I2140" s="6"/>
      <c r="J2140" s="16"/>
      <c r="K2140" s="6"/>
      <c r="L2140" s="16"/>
      <c r="M2140" s="17"/>
      <c r="N2140" s="15"/>
      <c r="O2140" s="23"/>
      <c r="P2140" s="21"/>
      <c r="Q2140" s="6"/>
      <c r="R2140" s="6"/>
      <c r="S2140" s="20"/>
      <c r="T2140" s="6"/>
      <c r="U2140" s="21"/>
      <c r="W2140" s="20"/>
      <c r="X2140" s="21"/>
      <c r="AG2140" s="23"/>
    </row>
    <row r="2141" spans="2:33" ht="16">
      <c r="B2141" s="26" t="str">
        <f t="shared" si="9"/>
        <v/>
      </c>
      <c r="C2141" s="6"/>
      <c r="D2141" s="6"/>
      <c r="E2141" s="6"/>
      <c r="F2141" s="15"/>
      <c r="G2141" s="6"/>
      <c r="H2141" s="6"/>
      <c r="I2141" s="6"/>
      <c r="J2141" s="16"/>
      <c r="K2141" s="6"/>
      <c r="L2141" s="16"/>
      <c r="M2141" s="17"/>
      <c r="N2141" s="15"/>
      <c r="O2141" s="23"/>
      <c r="P2141" s="21"/>
      <c r="Q2141" s="6"/>
      <c r="R2141" s="6"/>
      <c r="S2141" s="20"/>
      <c r="T2141" s="6"/>
      <c r="U2141" s="21"/>
      <c r="W2141" s="20"/>
      <c r="X2141" s="21"/>
      <c r="AD2141" s="23"/>
      <c r="AG2141" s="23"/>
    </row>
    <row r="2142" spans="2:33" ht="16">
      <c r="B2142" s="26" t="str">
        <f t="shared" si="9"/>
        <v/>
      </c>
      <c r="C2142" s="6"/>
      <c r="D2142" s="6"/>
      <c r="E2142" s="6"/>
      <c r="F2142" s="15"/>
      <c r="G2142" s="6"/>
      <c r="H2142" s="6"/>
      <c r="I2142" s="6"/>
      <c r="J2142" s="16"/>
      <c r="K2142" s="6"/>
      <c r="L2142" s="16"/>
      <c r="M2142" s="17"/>
      <c r="N2142" s="15"/>
      <c r="O2142" s="23"/>
      <c r="P2142" s="21"/>
      <c r="Q2142" s="6"/>
      <c r="R2142" s="6"/>
      <c r="S2142" s="20"/>
      <c r="T2142" s="6"/>
      <c r="U2142" s="21"/>
      <c r="W2142" s="20"/>
      <c r="X2142" s="21"/>
      <c r="AD2142" s="23"/>
      <c r="AG2142" s="23"/>
    </row>
    <row r="2143" spans="2:33" ht="16">
      <c r="B2143" s="26" t="str">
        <f t="shared" si="9"/>
        <v/>
      </c>
      <c r="C2143" s="6"/>
      <c r="D2143" s="6"/>
      <c r="E2143" s="6"/>
      <c r="F2143" s="15"/>
      <c r="G2143" s="6"/>
      <c r="H2143" s="6"/>
      <c r="I2143" s="6"/>
      <c r="J2143" s="16"/>
      <c r="K2143" s="6"/>
      <c r="L2143" s="16"/>
      <c r="M2143" s="17"/>
      <c r="N2143" s="15"/>
      <c r="O2143" s="17"/>
      <c r="P2143" s="21"/>
      <c r="Q2143" s="6"/>
      <c r="R2143" s="6"/>
      <c r="S2143" s="20"/>
      <c r="T2143" s="6"/>
      <c r="U2143" s="21"/>
      <c r="W2143" s="20"/>
      <c r="X2143" s="21"/>
      <c r="AD2143" s="23"/>
      <c r="AG2143" s="23"/>
    </row>
    <row r="2144" spans="2:33" ht="16">
      <c r="B2144" s="26" t="str">
        <f t="shared" si="9"/>
        <v/>
      </c>
      <c r="C2144" s="6"/>
      <c r="D2144" s="6"/>
      <c r="E2144" s="6"/>
      <c r="F2144" s="15"/>
      <c r="G2144" s="6"/>
      <c r="H2144" s="6"/>
      <c r="I2144" s="6"/>
      <c r="J2144" s="16"/>
      <c r="K2144" s="6"/>
      <c r="L2144" s="16"/>
      <c r="M2144" s="17"/>
      <c r="N2144" s="15"/>
      <c r="O2144" s="23"/>
      <c r="P2144" s="21"/>
      <c r="Q2144" s="6"/>
      <c r="R2144" s="6"/>
      <c r="S2144" s="20"/>
      <c r="T2144" s="6"/>
      <c r="U2144" s="21"/>
      <c r="W2144" s="20"/>
      <c r="X2144" s="21"/>
      <c r="AD2144" s="23"/>
      <c r="AG2144" s="23"/>
    </row>
    <row r="2145" spans="2:33" ht="16">
      <c r="B2145" s="26" t="str">
        <f t="shared" si="9"/>
        <v/>
      </c>
      <c r="C2145" s="6"/>
      <c r="D2145" s="6"/>
      <c r="E2145" s="6"/>
      <c r="F2145" s="15"/>
      <c r="G2145" s="6"/>
      <c r="H2145" s="6"/>
      <c r="I2145" s="6"/>
      <c r="J2145" s="16"/>
      <c r="K2145" s="6"/>
      <c r="L2145" s="16"/>
      <c r="M2145" s="17"/>
      <c r="N2145" s="15"/>
      <c r="O2145" s="23"/>
      <c r="P2145" s="21"/>
      <c r="Q2145" s="6"/>
      <c r="R2145" s="6"/>
      <c r="S2145" s="20"/>
      <c r="T2145" s="6"/>
      <c r="U2145" s="21"/>
      <c r="W2145" s="20"/>
      <c r="X2145" s="21"/>
      <c r="AD2145" s="17"/>
      <c r="AG2145" s="23"/>
    </row>
    <row r="2146" spans="2:33" ht="16">
      <c r="B2146" s="26" t="str">
        <f t="shared" si="9"/>
        <v/>
      </c>
      <c r="C2146" s="6"/>
      <c r="D2146" s="6"/>
      <c r="E2146" s="6"/>
      <c r="F2146" s="15"/>
      <c r="G2146" s="6"/>
      <c r="H2146" s="6"/>
      <c r="I2146" s="6"/>
      <c r="J2146" s="16"/>
      <c r="K2146" s="6"/>
      <c r="L2146" s="16"/>
      <c r="M2146" s="17"/>
      <c r="N2146" s="15"/>
      <c r="O2146" s="23"/>
      <c r="P2146" s="21"/>
      <c r="Q2146" s="6"/>
      <c r="R2146" s="6"/>
      <c r="S2146" s="20"/>
      <c r="T2146" s="6"/>
      <c r="U2146" s="21"/>
      <c r="W2146" s="20"/>
      <c r="X2146" s="21"/>
      <c r="AD2146" s="17"/>
      <c r="AG2146" s="23"/>
    </row>
    <row r="2147" spans="2:33" ht="16">
      <c r="B2147" s="26" t="str">
        <f t="shared" si="9"/>
        <v/>
      </c>
      <c r="C2147" s="6"/>
      <c r="D2147" s="6"/>
      <c r="E2147" s="6"/>
      <c r="F2147" s="15"/>
      <c r="G2147" s="6"/>
      <c r="H2147" s="6"/>
      <c r="I2147" s="6"/>
      <c r="J2147" s="16"/>
      <c r="K2147" s="6"/>
      <c r="L2147" s="16"/>
      <c r="M2147" s="17"/>
      <c r="N2147" s="15"/>
      <c r="O2147" s="23"/>
      <c r="P2147" s="21"/>
      <c r="Q2147" s="6"/>
      <c r="R2147" s="6"/>
      <c r="S2147" s="20"/>
      <c r="T2147" s="6"/>
      <c r="U2147" s="21"/>
      <c r="W2147" s="20"/>
      <c r="X2147" s="21"/>
      <c r="AD2147" s="23"/>
      <c r="AG2147" s="17"/>
    </row>
    <row r="2148" spans="2:33" ht="16">
      <c r="B2148" s="26" t="str">
        <f t="shared" si="9"/>
        <v/>
      </c>
      <c r="C2148" s="6"/>
      <c r="D2148" s="6"/>
      <c r="E2148" s="6"/>
      <c r="F2148" s="15"/>
      <c r="G2148" s="6"/>
      <c r="H2148" s="6"/>
      <c r="I2148" s="6"/>
      <c r="J2148" s="16"/>
      <c r="K2148" s="6"/>
      <c r="L2148" s="16"/>
      <c r="M2148" s="23"/>
      <c r="N2148" s="15"/>
      <c r="O2148" s="23"/>
      <c r="P2148" s="21"/>
      <c r="Q2148" s="6"/>
      <c r="R2148" s="6"/>
      <c r="S2148" s="20"/>
      <c r="T2148" s="6"/>
      <c r="U2148" s="21"/>
      <c r="W2148" s="20"/>
      <c r="X2148" s="21"/>
      <c r="AD2148" s="17"/>
      <c r="AG2148" s="23"/>
    </row>
    <row r="2149" spans="2:33" ht="16">
      <c r="B2149" s="26" t="str">
        <f t="shared" si="9"/>
        <v/>
      </c>
      <c r="C2149" s="6"/>
      <c r="D2149" s="6"/>
      <c r="E2149" s="6"/>
      <c r="F2149" s="15"/>
      <c r="G2149" s="6"/>
      <c r="H2149" s="6"/>
      <c r="I2149" s="6"/>
      <c r="J2149" s="16"/>
      <c r="K2149" s="6"/>
      <c r="L2149" s="16"/>
      <c r="M2149" s="17"/>
      <c r="N2149" s="15"/>
      <c r="O2149" s="17"/>
      <c r="P2149" s="21"/>
      <c r="Q2149" s="6"/>
      <c r="R2149" s="6"/>
      <c r="S2149" s="20"/>
      <c r="T2149" s="6"/>
      <c r="U2149" s="21"/>
      <c r="W2149" s="20"/>
      <c r="X2149" s="21"/>
      <c r="AD2149" s="23"/>
      <c r="AG2149" s="23"/>
    </row>
    <row r="2150" spans="2:33" ht="16">
      <c r="B2150" s="26" t="str">
        <f t="shared" si="9"/>
        <v/>
      </c>
      <c r="C2150" s="6"/>
      <c r="D2150" s="6"/>
      <c r="E2150" s="6"/>
      <c r="F2150" s="15"/>
      <c r="G2150" s="6"/>
      <c r="H2150" s="6"/>
      <c r="I2150" s="6"/>
      <c r="J2150" s="16"/>
      <c r="K2150" s="6"/>
      <c r="L2150" s="16"/>
      <c r="M2150" s="23"/>
      <c r="N2150" s="15"/>
      <c r="O2150" s="23"/>
      <c r="P2150" s="21"/>
      <c r="Q2150" s="6"/>
      <c r="R2150" s="6"/>
      <c r="S2150" s="20"/>
      <c r="T2150" s="6"/>
      <c r="U2150" s="21"/>
      <c r="W2150" s="20"/>
      <c r="X2150" s="21"/>
      <c r="AD2150" s="17"/>
      <c r="AG2150" s="23"/>
    </row>
    <row r="2151" spans="2:33" ht="16">
      <c r="B2151" s="26" t="str">
        <f t="shared" si="9"/>
        <v/>
      </c>
      <c r="C2151" s="6"/>
      <c r="D2151" s="6"/>
      <c r="E2151" s="6"/>
      <c r="F2151" s="15"/>
      <c r="G2151" s="6"/>
      <c r="H2151" s="6"/>
      <c r="I2151" s="6"/>
      <c r="J2151" s="16"/>
      <c r="K2151" s="6"/>
      <c r="L2151" s="16"/>
      <c r="M2151" s="17"/>
      <c r="N2151" s="15"/>
      <c r="O2151" s="17"/>
      <c r="P2151" s="21"/>
      <c r="Q2151" s="6"/>
      <c r="R2151" s="6"/>
      <c r="S2151" s="20"/>
      <c r="T2151" s="6"/>
      <c r="U2151" s="21"/>
      <c r="W2151" s="20"/>
      <c r="X2151" s="21"/>
      <c r="AD2151" s="17"/>
      <c r="AG2151" s="23"/>
    </row>
    <row r="2152" spans="2:33" ht="16">
      <c r="B2152" s="26" t="str">
        <f t="shared" si="9"/>
        <v/>
      </c>
      <c r="C2152" s="6"/>
      <c r="D2152" s="6"/>
      <c r="E2152" s="6"/>
      <c r="F2152" s="15"/>
      <c r="G2152" s="6"/>
      <c r="H2152" s="6"/>
      <c r="I2152" s="6"/>
      <c r="J2152" s="16"/>
      <c r="K2152" s="6"/>
      <c r="L2152" s="16"/>
      <c r="M2152" s="23"/>
      <c r="N2152" s="15"/>
      <c r="O2152" s="17"/>
      <c r="P2152" s="21"/>
      <c r="Q2152" s="6"/>
      <c r="R2152" s="6"/>
      <c r="S2152" s="20"/>
      <c r="T2152" s="6"/>
      <c r="U2152" s="21"/>
      <c r="W2152" s="20"/>
      <c r="X2152" s="21"/>
      <c r="AD2152" s="17"/>
      <c r="AG2152" s="23"/>
    </row>
    <row r="2153" spans="2:33" ht="16">
      <c r="B2153" s="26" t="str">
        <f t="shared" si="9"/>
        <v/>
      </c>
      <c r="C2153" s="6"/>
      <c r="D2153" s="6"/>
      <c r="E2153" s="6"/>
      <c r="F2153" s="15"/>
      <c r="G2153" s="6"/>
      <c r="H2153" s="6"/>
      <c r="I2153" s="6"/>
      <c r="J2153" s="16"/>
      <c r="K2153" s="6"/>
      <c r="L2153" s="16"/>
      <c r="M2153" s="17"/>
      <c r="N2153" s="15"/>
      <c r="O2153" s="23"/>
      <c r="P2153" s="21"/>
      <c r="Q2153" s="6"/>
      <c r="R2153" s="6"/>
      <c r="S2153" s="20"/>
      <c r="T2153" s="6"/>
      <c r="U2153" s="21"/>
      <c r="W2153" s="20"/>
      <c r="X2153" s="21"/>
      <c r="AD2153" s="23"/>
      <c r="AG2153" s="23"/>
    </row>
    <row r="2154" spans="2:33" ht="16">
      <c r="B2154" s="26" t="str">
        <f t="shared" si="9"/>
        <v/>
      </c>
      <c r="C2154" s="6"/>
      <c r="D2154" s="6"/>
      <c r="E2154" s="6"/>
      <c r="F2154" s="15"/>
      <c r="G2154" s="6"/>
      <c r="H2154" s="6"/>
      <c r="I2154" s="6"/>
      <c r="J2154" s="16"/>
      <c r="K2154" s="6"/>
      <c r="L2154" s="16"/>
      <c r="M2154" s="23"/>
      <c r="N2154" s="15"/>
      <c r="O2154" s="23"/>
      <c r="P2154" s="21"/>
      <c r="Q2154" s="6"/>
      <c r="R2154" s="6"/>
      <c r="S2154" s="20"/>
      <c r="T2154" s="6"/>
      <c r="U2154" s="21"/>
      <c r="W2154" s="20"/>
      <c r="X2154" s="21"/>
      <c r="AD2154" s="23"/>
      <c r="AG2154" s="23"/>
    </row>
    <row r="2155" spans="2:33" ht="16">
      <c r="B2155" s="26" t="str">
        <f t="shared" si="9"/>
        <v/>
      </c>
      <c r="C2155" s="6"/>
      <c r="D2155" s="6"/>
      <c r="E2155" s="6"/>
      <c r="F2155" s="15"/>
      <c r="G2155" s="6"/>
      <c r="H2155" s="6"/>
      <c r="I2155" s="6"/>
      <c r="J2155" s="16"/>
      <c r="K2155" s="6"/>
      <c r="L2155" s="16"/>
      <c r="M2155" s="23"/>
      <c r="N2155" s="15"/>
      <c r="O2155" s="23"/>
      <c r="P2155" s="21"/>
      <c r="Q2155" s="6"/>
      <c r="R2155" s="6"/>
      <c r="S2155" s="20"/>
      <c r="T2155" s="6"/>
      <c r="U2155" s="21"/>
      <c r="W2155" s="20"/>
      <c r="X2155" s="21"/>
      <c r="AD2155" s="23"/>
      <c r="AG2155" s="17"/>
    </row>
    <row r="2156" spans="2:33" ht="16">
      <c r="B2156" s="26" t="str">
        <f t="shared" si="9"/>
        <v/>
      </c>
      <c r="C2156" s="6"/>
      <c r="D2156" s="6"/>
      <c r="E2156" s="6"/>
      <c r="F2156" s="15"/>
      <c r="G2156" s="6"/>
      <c r="H2156" s="6"/>
      <c r="I2156" s="6"/>
      <c r="J2156" s="16"/>
      <c r="K2156" s="6"/>
      <c r="L2156" s="16"/>
      <c r="M2156" s="23"/>
      <c r="N2156" s="15"/>
      <c r="O2156" s="23"/>
      <c r="P2156" s="21"/>
      <c r="Q2156" s="6"/>
      <c r="R2156" s="6"/>
      <c r="S2156" s="20"/>
      <c r="T2156" s="6"/>
      <c r="U2156" s="21"/>
      <c r="W2156" s="20"/>
      <c r="X2156" s="21"/>
      <c r="AD2156" s="23"/>
      <c r="AG2156" s="23"/>
    </row>
    <row r="2157" spans="2:33" ht="16">
      <c r="B2157" s="26" t="str">
        <f t="shared" si="9"/>
        <v/>
      </c>
      <c r="C2157" s="6"/>
      <c r="D2157" s="6"/>
      <c r="E2157" s="6"/>
      <c r="F2157" s="15"/>
      <c r="G2157" s="6"/>
      <c r="H2157" s="6"/>
      <c r="I2157" s="6"/>
      <c r="J2157" s="16"/>
      <c r="K2157" s="6"/>
      <c r="L2157" s="16"/>
      <c r="M2157" s="23"/>
      <c r="N2157" s="15"/>
      <c r="O2157" s="23"/>
      <c r="P2157" s="21"/>
      <c r="Q2157" s="6"/>
      <c r="R2157" s="6"/>
      <c r="S2157" s="20"/>
      <c r="T2157" s="6"/>
      <c r="U2157" s="21"/>
      <c r="W2157" s="20"/>
      <c r="X2157" s="21"/>
      <c r="AD2157" s="23"/>
      <c r="AG2157" s="23"/>
    </row>
    <row r="2158" spans="2:33" ht="16">
      <c r="B2158" s="26" t="str">
        <f t="shared" si="9"/>
        <v/>
      </c>
      <c r="C2158" s="6"/>
      <c r="D2158" s="6"/>
      <c r="E2158" s="6"/>
      <c r="F2158" s="15"/>
      <c r="G2158" s="6"/>
      <c r="H2158" s="6"/>
      <c r="I2158" s="6"/>
      <c r="J2158" s="16"/>
      <c r="K2158" s="6"/>
      <c r="L2158" s="16"/>
      <c r="M2158" s="23"/>
      <c r="N2158" s="15"/>
      <c r="O2158" s="23"/>
      <c r="P2158" s="21"/>
      <c r="Q2158" s="6"/>
      <c r="R2158" s="6"/>
      <c r="S2158" s="20"/>
      <c r="T2158" s="6"/>
      <c r="U2158" s="21"/>
      <c r="W2158" s="20"/>
      <c r="X2158" s="21"/>
      <c r="AD2158" s="17"/>
      <c r="AG2158" s="23"/>
    </row>
    <row r="2159" spans="2:33" ht="16">
      <c r="B2159" s="26" t="str">
        <f t="shared" si="9"/>
        <v/>
      </c>
      <c r="C2159" s="6"/>
      <c r="D2159" s="6"/>
      <c r="E2159" s="6"/>
      <c r="F2159" s="15"/>
      <c r="G2159" s="6"/>
      <c r="H2159" s="6"/>
      <c r="I2159" s="6"/>
      <c r="J2159" s="16"/>
      <c r="K2159" s="6"/>
      <c r="L2159" s="16"/>
      <c r="M2159" s="23"/>
      <c r="N2159" s="15"/>
      <c r="O2159" s="23"/>
      <c r="P2159" s="21"/>
      <c r="Q2159" s="6"/>
      <c r="R2159" s="6"/>
      <c r="S2159" s="20"/>
      <c r="T2159" s="6"/>
      <c r="U2159" s="21"/>
      <c r="W2159" s="20"/>
      <c r="X2159" s="21"/>
      <c r="AD2159" s="17"/>
      <c r="AG2159" s="23"/>
    </row>
    <row r="2160" spans="2:33" ht="16">
      <c r="B2160" s="26" t="str">
        <f t="shared" si="9"/>
        <v/>
      </c>
      <c r="C2160" s="23"/>
      <c r="D2160" s="6"/>
      <c r="E2160" s="6"/>
      <c r="F2160" s="15"/>
      <c r="G2160" s="6"/>
      <c r="H2160" s="6"/>
      <c r="I2160" s="6"/>
      <c r="J2160" s="16"/>
      <c r="K2160" s="6"/>
      <c r="L2160" s="16"/>
      <c r="M2160" s="17"/>
      <c r="N2160" s="15"/>
      <c r="O2160" s="17"/>
      <c r="P2160" s="21"/>
      <c r="Q2160" s="6"/>
      <c r="R2160" s="6"/>
      <c r="S2160" s="20"/>
      <c r="T2160" s="6"/>
      <c r="U2160" s="21"/>
      <c r="W2160" s="20"/>
      <c r="X2160" s="21"/>
      <c r="AD2160" s="17"/>
      <c r="AG2160" s="23"/>
    </row>
    <row r="2161" spans="2:33" ht="16">
      <c r="B2161" s="26" t="str">
        <f t="shared" si="9"/>
        <v/>
      </c>
      <c r="C2161" s="6"/>
      <c r="D2161" s="6"/>
      <c r="E2161" s="6"/>
      <c r="F2161" s="15"/>
      <c r="G2161" s="6"/>
      <c r="H2161" s="6"/>
      <c r="I2161" s="6"/>
      <c r="J2161" s="16"/>
      <c r="K2161" s="6"/>
      <c r="L2161" s="16"/>
      <c r="M2161" s="23"/>
      <c r="N2161" s="15"/>
      <c r="O2161" s="23"/>
      <c r="P2161" s="21"/>
      <c r="Q2161" s="6"/>
      <c r="R2161" s="6"/>
      <c r="S2161" s="20"/>
      <c r="T2161" s="6"/>
      <c r="U2161" s="21"/>
      <c r="W2161" s="20"/>
      <c r="X2161" s="21"/>
      <c r="AD2161" s="23"/>
      <c r="AG2161" s="23"/>
    </row>
    <row r="2162" spans="2:33" ht="16">
      <c r="B2162" s="26" t="str">
        <f t="shared" si="9"/>
        <v/>
      </c>
      <c r="C2162" s="6"/>
      <c r="D2162" s="6"/>
      <c r="E2162" s="6"/>
      <c r="F2162" s="15"/>
      <c r="G2162" s="6"/>
      <c r="H2162" s="6"/>
      <c r="I2162" s="6"/>
      <c r="J2162" s="16"/>
      <c r="K2162" s="6"/>
      <c r="L2162" s="16"/>
      <c r="M2162" s="23"/>
      <c r="N2162" s="15"/>
      <c r="O2162" s="23"/>
      <c r="P2162" s="21"/>
      <c r="Q2162" s="6"/>
      <c r="R2162" s="6"/>
      <c r="S2162" s="20"/>
      <c r="T2162" s="6"/>
      <c r="U2162" s="21"/>
      <c r="W2162" s="20"/>
      <c r="X2162" s="21"/>
      <c r="AD2162" s="23"/>
      <c r="AG2162" s="23"/>
    </row>
    <row r="2163" spans="2:33" ht="16">
      <c r="B2163" s="26" t="str">
        <f t="shared" si="9"/>
        <v/>
      </c>
      <c r="C2163" s="6"/>
      <c r="D2163" s="6"/>
      <c r="E2163" s="6"/>
      <c r="F2163" s="15"/>
      <c r="G2163" s="6"/>
      <c r="H2163" s="6"/>
      <c r="I2163" s="6"/>
      <c r="J2163" s="16"/>
      <c r="K2163" s="6"/>
      <c r="L2163" s="16"/>
      <c r="M2163" s="23"/>
      <c r="N2163" s="15"/>
      <c r="O2163" s="23"/>
      <c r="P2163" s="21"/>
      <c r="Q2163" s="6"/>
      <c r="R2163" s="6"/>
      <c r="S2163" s="20"/>
      <c r="T2163" s="6"/>
      <c r="U2163" s="21"/>
      <c r="W2163" s="20"/>
      <c r="X2163" s="21"/>
      <c r="AD2163" s="23"/>
      <c r="AG2163" s="23"/>
    </row>
    <row r="2164" spans="2:33" ht="16">
      <c r="B2164" s="26" t="str">
        <f t="shared" si="9"/>
        <v/>
      </c>
      <c r="C2164" s="6"/>
      <c r="D2164" s="6"/>
      <c r="E2164" s="6"/>
      <c r="F2164" s="15"/>
      <c r="G2164" s="6"/>
      <c r="H2164" s="6"/>
      <c r="I2164" s="6"/>
      <c r="J2164" s="16"/>
      <c r="K2164" s="6"/>
      <c r="L2164" s="16"/>
      <c r="M2164" s="23"/>
      <c r="N2164" s="15"/>
      <c r="O2164" s="17"/>
      <c r="P2164" s="21"/>
      <c r="Q2164" s="6"/>
      <c r="R2164" s="6"/>
      <c r="S2164" s="20"/>
      <c r="T2164" s="6"/>
      <c r="U2164" s="21"/>
      <c r="W2164" s="20"/>
      <c r="X2164" s="21"/>
      <c r="AD2164" s="23"/>
      <c r="AG2164" s="23"/>
    </row>
    <row r="2165" spans="2:33" ht="16">
      <c r="B2165" s="26" t="str">
        <f t="shared" si="9"/>
        <v/>
      </c>
      <c r="C2165" s="6"/>
      <c r="D2165" s="6"/>
      <c r="E2165" s="6"/>
      <c r="F2165" s="15"/>
      <c r="G2165" s="6"/>
      <c r="H2165" s="6"/>
      <c r="I2165" s="6"/>
      <c r="J2165" s="16"/>
      <c r="K2165" s="6"/>
      <c r="L2165" s="16"/>
      <c r="M2165" s="23"/>
      <c r="N2165" s="15"/>
      <c r="O2165" s="23"/>
      <c r="P2165" s="21"/>
      <c r="Q2165" s="6"/>
      <c r="R2165" s="6"/>
      <c r="S2165" s="20"/>
      <c r="T2165" s="6"/>
      <c r="U2165" s="21"/>
      <c r="W2165" s="20"/>
      <c r="X2165" s="21"/>
      <c r="AD2165" s="23"/>
      <c r="AG2165" s="23"/>
    </row>
    <row r="2166" spans="2:33" ht="16">
      <c r="B2166" s="26" t="str">
        <f t="shared" si="9"/>
        <v/>
      </c>
      <c r="C2166" s="6"/>
      <c r="D2166" s="6"/>
      <c r="E2166" s="6"/>
      <c r="F2166" s="15"/>
      <c r="G2166" s="6"/>
      <c r="H2166" s="6"/>
      <c r="I2166" s="6"/>
      <c r="J2166" s="16"/>
      <c r="K2166" s="6"/>
      <c r="L2166" s="16"/>
      <c r="M2166" s="23"/>
      <c r="N2166" s="15"/>
      <c r="O2166" s="23"/>
      <c r="P2166" s="21"/>
      <c r="Q2166" s="6"/>
      <c r="R2166" s="6"/>
      <c r="S2166" s="20"/>
      <c r="T2166" s="6"/>
      <c r="U2166" s="21"/>
      <c r="W2166" s="20"/>
      <c r="X2166" s="21"/>
      <c r="AD2166" s="23"/>
      <c r="AG2166" s="17"/>
    </row>
    <row r="2167" spans="2:33" ht="16">
      <c r="B2167" s="26" t="str">
        <f t="shared" si="9"/>
        <v/>
      </c>
      <c r="C2167" s="6"/>
      <c r="D2167" s="6"/>
      <c r="E2167" s="6"/>
      <c r="F2167" s="15"/>
      <c r="G2167" s="6"/>
      <c r="H2167" s="6"/>
      <c r="I2167" s="6"/>
      <c r="J2167" s="16"/>
      <c r="K2167" s="6"/>
      <c r="L2167" s="16"/>
      <c r="M2167" s="23"/>
      <c r="N2167" s="15"/>
      <c r="O2167" s="17"/>
      <c r="P2167" s="21"/>
      <c r="Q2167" s="6"/>
      <c r="R2167" s="6"/>
      <c r="S2167" s="20"/>
      <c r="T2167" s="6"/>
      <c r="U2167" s="21"/>
      <c r="W2167" s="20"/>
      <c r="X2167" s="21"/>
      <c r="AD2167" s="17"/>
      <c r="AG2167" s="23"/>
    </row>
    <row r="2168" spans="2:33" ht="16">
      <c r="B2168" s="26" t="str">
        <f t="shared" si="9"/>
        <v/>
      </c>
      <c r="C2168" s="6"/>
      <c r="D2168" s="6"/>
      <c r="E2168" s="6"/>
      <c r="F2168" s="15"/>
      <c r="G2168" s="6"/>
      <c r="H2168" s="6"/>
      <c r="I2168" s="6"/>
      <c r="J2168" s="16"/>
      <c r="K2168" s="6"/>
      <c r="L2168" s="16"/>
      <c r="M2168" s="23"/>
      <c r="N2168" s="15"/>
      <c r="O2168" s="17"/>
      <c r="P2168" s="21"/>
      <c r="Q2168" s="6"/>
      <c r="R2168" s="6"/>
      <c r="S2168" s="20"/>
      <c r="T2168" s="6"/>
      <c r="U2168" s="21"/>
      <c r="W2168" s="20"/>
      <c r="X2168" s="21"/>
      <c r="AD2168" s="17"/>
      <c r="AG2168" s="23"/>
    </row>
    <row r="2169" spans="2:33" ht="16">
      <c r="B2169" s="26" t="str">
        <f t="shared" si="9"/>
        <v/>
      </c>
      <c r="C2169" s="6"/>
      <c r="D2169" s="6"/>
      <c r="E2169" s="6"/>
      <c r="F2169" s="15"/>
      <c r="G2169" s="6"/>
      <c r="H2169" s="6"/>
      <c r="I2169" s="6"/>
      <c r="J2169" s="16"/>
      <c r="K2169" s="6"/>
      <c r="L2169" s="16"/>
      <c r="M2169" s="23"/>
      <c r="N2169" s="15"/>
      <c r="O2169" s="23"/>
      <c r="P2169" s="21"/>
      <c r="Q2169" s="6"/>
      <c r="R2169" s="6"/>
      <c r="S2169" s="20"/>
      <c r="T2169" s="6"/>
      <c r="U2169" s="21"/>
      <c r="W2169" s="20"/>
      <c r="X2169" s="21"/>
      <c r="AD2169" s="17"/>
      <c r="AG2169" s="23"/>
    </row>
    <row r="2170" spans="2:33" ht="16">
      <c r="B2170" s="26" t="str">
        <f t="shared" si="9"/>
        <v/>
      </c>
      <c r="C2170" s="6"/>
      <c r="D2170" s="6"/>
      <c r="E2170" s="6"/>
      <c r="F2170" s="15"/>
      <c r="G2170" s="6"/>
      <c r="H2170" s="6"/>
      <c r="I2170" s="6"/>
      <c r="J2170" s="16"/>
      <c r="K2170" s="6"/>
      <c r="L2170" s="16"/>
      <c r="M2170" s="23"/>
      <c r="N2170" s="15"/>
      <c r="O2170" s="23"/>
      <c r="P2170" s="21"/>
      <c r="Q2170" s="6"/>
      <c r="R2170" s="6"/>
      <c r="S2170" s="20"/>
      <c r="T2170" s="6"/>
      <c r="U2170" s="21"/>
      <c r="W2170" s="20"/>
      <c r="X2170" s="21"/>
      <c r="AD2170" s="23"/>
      <c r="AG2170" s="23"/>
    </row>
    <row r="2171" spans="2:33" ht="16">
      <c r="B2171" s="26" t="str">
        <f t="shared" si="9"/>
        <v/>
      </c>
      <c r="C2171" s="6"/>
      <c r="D2171" s="6"/>
      <c r="E2171" s="6"/>
      <c r="F2171" s="15"/>
      <c r="G2171" s="6"/>
      <c r="H2171" s="6"/>
      <c r="I2171" s="6"/>
      <c r="J2171" s="16"/>
      <c r="K2171" s="6"/>
      <c r="L2171" s="16"/>
      <c r="M2171" s="23"/>
      <c r="N2171" s="15"/>
      <c r="O2171" s="23"/>
      <c r="P2171" s="21"/>
      <c r="Q2171" s="6"/>
      <c r="R2171" s="6"/>
      <c r="S2171" s="20"/>
      <c r="T2171" s="6"/>
      <c r="U2171" s="21"/>
      <c r="W2171" s="20"/>
      <c r="X2171" s="21"/>
      <c r="AD2171" s="23"/>
      <c r="AG2171" s="23"/>
    </row>
    <row r="2172" spans="2:33" ht="16">
      <c r="B2172" s="26" t="str">
        <f t="shared" si="9"/>
        <v/>
      </c>
      <c r="C2172" s="6"/>
      <c r="D2172" s="6"/>
      <c r="E2172" s="6"/>
      <c r="F2172" s="15"/>
      <c r="G2172" s="6"/>
      <c r="H2172" s="6"/>
      <c r="I2172" s="6"/>
      <c r="J2172" s="16"/>
      <c r="K2172" s="6"/>
      <c r="L2172" s="16"/>
      <c r="M2172" s="17"/>
      <c r="N2172" s="15"/>
      <c r="O2172" s="23"/>
      <c r="P2172" s="21"/>
      <c r="Q2172" s="6"/>
      <c r="R2172" s="6"/>
      <c r="S2172" s="20"/>
      <c r="T2172" s="6"/>
      <c r="U2172" s="21"/>
      <c r="W2172" s="20"/>
      <c r="X2172" s="21"/>
      <c r="AD2172" s="17"/>
      <c r="AG2172" s="23"/>
    </row>
    <row r="2173" spans="2:33" ht="16">
      <c r="B2173" s="26" t="str">
        <f t="shared" si="9"/>
        <v/>
      </c>
      <c r="C2173" s="6"/>
      <c r="D2173" s="6"/>
      <c r="E2173" s="6"/>
      <c r="F2173" s="15"/>
      <c r="G2173" s="6"/>
      <c r="H2173" s="6"/>
      <c r="I2173" s="6"/>
      <c r="J2173" s="16"/>
      <c r="K2173" s="6"/>
      <c r="L2173" s="16"/>
      <c r="M2173" s="23"/>
      <c r="N2173" s="15"/>
      <c r="O2173" s="23"/>
      <c r="P2173" s="21"/>
      <c r="Q2173" s="6"/>
      <c r="R2173" s="6"/>
      <c r="S2173" s="20"/>
      <c r="T2173" s="6"/>
      <c r="U2173" s="21"/>
      <c r="W2173" s="20"/>
      <c r="X2173" s="21"/>
      <c r="AD2173" s="23"/>
      <c r="AG2173" s="23"/>
    </row>
    <row r="2174" spans="2:33" ht="16">
      <c r="B2174" s="26" t="str">
        <f t="shared" si="9"/>
        <v/>
      </c>
      <c r="C2174" s="6"/>
      <c r="D2174" s="6"/>
      <c r="E2174" s="6"/>
      <c r="F2174" s="15"/>
      <c r="G2174" s="6"/>
      <c r="H2174" s="6"/>
      <c r="I2174" s="6"/>
      <c r="J2174" s="16"/>
      <c r="K2174" s="6"/>
      <c r="L2174" s="16"/>
      <c r="M2174" s="23"/>
      <c r="N2174" s="15"/>
      <c r="O2174" s="23"/>
      <c r="P2174" s="21"/>
      <c r="Q2174" s="6"/>
      <c r="R2174" s="6"/>
      <c r="S2174" s="20"/>
      <c r="T2174" s="6"/>
      <c r="U2174" s="21"/>
      <c r="W2174" s="20"/>
      <c r="X2174" s="21"/>
      <c r="AD2174" s="23"/>
      <c r="AG2174" s="23"/>
    </row>
    <row r="2175" spans="2:33" ht="16">
      <c r="B2175" s="26" t="str">
        <f t="shared" si="9"/>
        <v/>
      </c>
      <c r="C2175" s="6"/>
      <c r="D2175" s="6"/>
      <c r="E2175" s="6"/>
      <c r="F2175" s="15"/>
      <c r="G2175" s="6"/>
      <c r="H2175" s="6"/>
      <c r="I2175" s="6"/>
      <c r="J2175" s="16"/>
      <c r="K2175" s="6"/>
      <c r="L2175" s="16"/>
      <c r="M2175" s="23"/>
      <c r="N2175" s="15"/>
      <c r="O2175" s="23"/>
      <c r="P2175" s="21"/>
      <c r="Q2175" s="6"/>
      <c r="R2175" s="6"/>
      <c r="S2175" s="20"/>
      <c r="T2175" s="6"/>
      <c r="U2175" s="21"/>
      <c r="W2175" s="20"/>
      <c r="X2175" s="21"/>
      <c r="AD2175" s="23"/>
      <c r="AG2175" s="23"/>
    </row>
    <row r="2176" spans="2:33" ht="16">
      <c r="B2176" s="26" t="str">
        <f t="shared" si="9"/>
        <v/>
      </c>
      <c r="C2176" s="6"/>
      <c r="D2176" s="6"/>
      <c r="E2176" s="6"/>
      <c r="F2176" s="15"/>
      <c r="G2176" s="6"/>
      <c r="H2176" s="6"/>
      <c r="I2176" s="6"/>
      <c r="J2176" s="16"/>
      <c r="K2176" s="6"/>
      <c r="L2176" s="16"/>
      <c r="M2176" s="23"/>
      <c r="N2176" s="15"/>
      <c r="O2176" s="23"/>
      <c r="P2176" s="21"/>
      <c r="Q2176" s="6"/>
      <c r="R2176" s="6"/>
      <c r="S2176" s="20"/>
      <c r="T2176" s="6"/>
      <c r="U2176" s="21"/>
      <c r="W2176" s="20"/>
      <c r="X2176" s="21"/>
      <c r="AD2176" s="23"/>
      <c r="AG2176" s="23"/>
    </row>
    <row r="2177" spans="2:33" ht="16">
      <c r="B2177" s="26" t="str">
        <f t="shared" si="9"/>
        <v/>
      </c>
      <c r="C2177" s="6"/>
      <c r="D2177" s="6"/>
      <c r="E2177" s="6"/>
      <c r="F2177" s="15"/>
      <c r="G2177" s="6"/>
      <c r="H2177" s="6"/>
      <c r="I2177" s="6"/>
      <c r="J2177" s="16"/>
      <c r="K2177" s="6"/>
      <c r="L2177" s="16"/>
      <c r="M2177" s="23"/>
      <c r="N2177" s="15"/>
      <c r="O2177" s="17"/>
      <c r="P2177" s="21"/>
      <c r="Q2177" s="6"/>
      <c r="R2177" s="6"/>
      <c r="S2177" s="20"/>
      <c r="T2177" s="6"/>
      <c r="U2177" s="21"/>
      <c r="W2177" s="20"/>
      <c r="X2177" s="21"/>
      <c r="AD2177" s="23"/>
      <c r="AG2177" s="23"/>
    </row>
    <row r="2178" spans="2:33" ht="16">
      <c r="B2178" s="26" t="str">
        <f t="shared" si="9"/>
        <v/>
      </c>
      <c r="C2178" s="6"/>
      <c r="D2178" s="6"/>
      <c r="E2178" s="6"/>
      <c r="F2178" s="15"/>
      <c r="G2178" s="6"/>
      <c r="H2178" s="6"/>
      <c r="I2178" s="6"/>
      <c r="J2178" s="16"/>
      <c r="K2178" s="6"/>
      <c r="L2178" s="16"/>
      <c r="M2178" s="17"/>
      <c r="N2178" s="15"/>
      <c r="O2178" s="17"/>
      <c r="P2178" s="21"/>
      <c r="Q2178" s="6"/>
      <c r="R2178" s="6"/>
      <c r="S2178" s="20"/>
      <c r="T2178" s="6"/>
      <c r="U2178" s="21"/>
      <c r="W2178" s="20"/>
      <c r="X2178" s="21"/>
      <c r="AD2178" s="17"/>
      <c r="AG2178" s="23"/>
    </row>
    <row r="2179" spans="2:33" ht="16">
      <c r="B2179" s="26" t="str">
        <f t="shared" si="9"/>
        <v/>
      </c>
      <c r="C2179" s="6"/>
      <c r="D2179" s="6"/>
      <c r="E2179" s="6"/>
      <c r="F2179" s="15"/>
      <c r="G2179" s="6"/>
      <c r="H2179" s="6"/>
      <c r="I2179" s="6"/>
      <c r="J2179" s="16"/>
      <c r="K2179" s="6"/>
      <c r="L2179" s="16"/>
      <c r="M2179" s="23"/>
      <c r="N2179" s="15"/>
      <c r="O2179" s="23"/>
      <c r="P2179" s="21"/>
      <c r="Q2179" s="6"/>
      <c r="R2179" s="6"/>
      <c r="S2179" s="20"/>
      <c r="T2179" s="6"/>
      <c r="U2179" s="21"/>
      <c r="W2179" s="20"/>
      <c r="X2179" s="21"/>
      <c r="AD2179" s="17"/>
      <c r="AG2179" s="23"/>
    </row>
    <row r="2180" spans="2:33" ht="16">
      <c r="B2180" s="26" t="str">
        <f t="shared" si="9"/>
        <v/>
      </c>
      <c r="C2180" s="6"/>
      <c r="D2180" s="6"/>
      <c r="E2180" s="6"/>
      <c r="F2180" s="15"/>
      <c r="G2180" s="6"/>
      <c r="H2180" s="6"/>
      <c r="I2180" s="6"/>
      <c r="J2180" s="16"/>
      <c r="K2180" s="6"/>
      <c r="L2180" s="16"/>
      <c r="M2180" s="23"/>
      <c r="N2180" s="15"/>
      <c r="O2180" s="23"/>
      <c r="P2180" s="21"/>
      <c r="Q2180" s="6"/>
      <c r="R2180" s="6"/>
      <c r="S2180" s="20"/>
      <c r="T2180" s="6"/>
      <c r="U2180" s="21"/>
      <c r="W2180" s="20"/>
      <c r="X2180" s="21"/>
      <c r="AD2180" s="23"/>
      <c r="AG2180" s="23"/>
    </row>
    <row r="2181" spans="2:33" ht="16">
      <c r="B2181" s="26" t="str">
        <f t="shared" si="9"/>
        <v/>
      </c>
      <c r="C2181" s="6"/>
      <c r="D2181" s="6"/>
      <c r="E2181" s="6"/>
      <c r="F2181" s="15"/>
      <c r="G2181" s="6"/>
      <c r="H2181" s="6"/>
      <c r="I2181" s="6"/>
      <c r="J2181" s="16"/>
      <c r="K2181" s="6"/>
      <c r="L2181" s="16"/>
      <c r="M2181" s="17"/>
      <c r="N2181" s="15"/>
      <c r="O2181" s="17"/>
      <c r="P2181" s="21"/>
      <c r="Q2181" s="6"/>
      <c r="R2181" s="6"/>
      <c r="S2181" s="20"/>
      <c r="T2181" s="6"/>
      <c r="U2181" s="21"/>
      <c r="W2181" s="20"/>
      <c r="X2181" s="21"/>
      <c r="AD2181" s="17"/>
      <c r="AG2181" s="23"/>
    </row>
    <row r="2182" spans="2:33" ht="16">
      <c r="B2182" s="26" t="str">
        <f t="shared" si="9"/>
        <v/>
      </c>
      <c r="C2182" s="6"/>
      <c r="D2182" s="6"/>
      <c r="E2182" s="6"/>
      <c r="F2182" s="15"/>
      <c r="G2182" s="6"/>
      <c r="H2182" s="6"/>
      <c r="I2182" s="6"/>
      <c r="J2182" s="16"/>
      <c r="K2182" s="6"/>
      <c r="L2182" s="16"/>
      <c r="M2182" s="23"/>
      <c r="N2182" s="15"/>
      <c r="O2182" s="23"/>
      <c r="P2182" s="21"/>
      <c r="Q2182" s="6"/>
      <c r="R2182" s="6"/>
      <c r="S2182" s="20"/>
      <c r="T2182" s="6"/>
      <c r="U2182" s="21"/>
      <c r="W2182" s="20"/>
      <c r="X2182" s="21"/>
      <c r="AD2182" s="23"/>
      <c r="AG2182" s="23"/>
    </row>
    <row r="2183" spans="2:33" ht="16">
      <c r="B2183" s="26" t="str">
        <f t="shared" si="9"/>
        <v/>
      </c>
      <c r="C2183" s="6"/>
      <c r="D2183" s="6"/>
      <c r="E2183" s="6"/>
      <c r="F2183" s="15"/>
      <c r="G2183" s="6"/>
      <c r="H2183" s="6"/>
      <c r="I2183" s="6"/>
      <c r="J2183" s="16"/>
      <c r="K2183" s="6"/>
      <c r="L2183" s="16"/>
      <c r="M2183" s="17"/>
      <c r="N2183" s="15"/>
      <c r="O2183" s="23"/>
      <c r="P2183" s="21"/>
      <c r="Q2183" s="6"/>
      <c r="R2183" s="6"/>
      <c r="S2183" s="20"/>
      <c r="T2183" s="6"/>
      <c r="U2183" s="21"/>
      <c r="W2183" s="20"/>
      <c r="X2183" s="21"/>
      <c r="AD2183" s="17"/>
      <c r="AG2183" s="23"/>
    </row>
    <row r="2184" spans="2:33" ht="16">
      <c r="B2184" s="26" t="str">
        <f t="shared" si="9"/>
        <v/>
      </c>
      <c r="C2184" s="6"/>
      <c r="D2184" s="6"/>
      <c r="E2184" s="6"/>
      <c r="F2184" s="15"/>
      <c r="G2184" s="6"/>
      <c r="H2184" s="6"/>
      <c r="I2184" s="6"/>
      <c r="J2184" s="16"/>
      <c r="K2184" s="6"/>
      <c r="L2184" s="16"/>
      <c r="M2184" s="23"/>
      <c r="N2184" s="15"/>
      <c r="O2184" s="23"/>
      <c r="P2184" s="21"/>
      <c r="Q2184" s="6"/>
      <c r="R2184" s="6"/>
      <c r="S2184" s="20"/>
      <c r="T2184" s="6"/>
      <c r="U2184" s="21"/>
      <c r="W2184" s="20"/>
      <c r="X2184" s="21"/>
      <c r="AD2184" s="23"/>
      <c r="AG2184" s="17"/>
    </row>
    <row r="2185" spans="2:33" ht="16">
      <c r="B2185" s="26" t="str">
        <f t="shared" si="9"/>
        <v/>
      </c>
      <c r="C2185" s="6"/>
      <c r="D2185" s="6"/>
      <c r="E2185" s="6"/>
      <c r="F2185" s="15"/>
      <c r="G2185" s="6"/>
      <c r="H2185" s="6"/>
      <c r="I2185" s="6"/>
      <c r="J2185" s="16"/>
      <c r="K2185" s="6"/>
      <c r="L2185" s="16"/>
      <c r="M2185" s="23"/>
      <c r="N2185" s="15"/>
      <c r="O2185" s="23"/>
      <c r="P2185" s="21"/>
      <c r="Q2185" s="6"/>
      <c r="R2185" s="6"/>
      <c r="S2185" s="20"/>
      <c r="T2185" s="6"/>
      <c r="U2185" s="21"/>
      <c r="W2185" s="20"/>
      <c r="X2185" s="21"/>
      <c r="AD2185" s="23"/>
      <c r="AG2185" s="23"/>
    </row>
    <row r="2186" spans="2:33" ht="16">
      <c r="B2186" s="26" t="str">
        <f t="shared" si="9"/>
        <v/>
      </c>
      <c r="C2186" s="6"/>
      <c r="D2186" s="6"/>
      <c r="E2186" s="6"/>
      <c r="F2186" s="15"/>
      <c r="G2186" s="6"/>
      <c r="H2186" s="6"/>
      <c r="I2186" s="6"/>
      <c r="J2186" s="16"/>
      <c r="K2186" s="6"/>
      <c r="L2186" s="16"/>
      <c r="M2186" s="23"/>
      <c r="N2186" s="15"/>
      <c r="O2186" s="23"/>
      <c r="P2186" s="21"/>
      <c r="Q2186" s="6"/>
      <c r="R2186" s="6"/>
      <c r="S2186" s="20"/>
      <c r="T2186" s="6"/>
      <c r="U2186" s="21"/>
      <c r="W2186" s="20"/>
      <c r="X2186" s="21"/>
      <c r="AD2186" s="17"/>
      <c r="AG2186" s="23"/>
    </row>
    <row r="2187" spans="2:33" ht="16">
      <c r="B2187" s="26" t="str">
        <f t="shared" si="9"/>
        <v/>
      </c>
      <c r="C2187" s="6"/>
      <c r="D2187" s="6"/>
      <c r="E2187" s="6"/>
      <c r="F2187" s="15"/>
      <c r="G2187" s="6"/>
      <c r="H2187" s="6"/>
      <c r="I2187" s="6"/>
      <c r="J2187" s="16"/>
      <c r="K2187" s="6"/>
      <c r="L2187" s="16"/>
      <c r="M2187" s="23"/>
      <c r="N2187" s="15"/>
      <c r="O2187" s="23"/>
      <c r="P2187" s="21"/>
      <c r="Q2187" s="6"/>
      <c r="R2187" s="6"/>
      <c r="S2187" s="20"/>
      <c r="T2187" s="6"/>
      <c r="U2187" s="21"/>
      <c r="W2187" s="20"/>
      <c r="X2187" s="21"/>
      <c r="AD2187" s="23"/>
      <c r="AG2187" s="23"/>
    </row>
    <row r="2188" spans="2:33" ht="16">
      <c r="B2188" s="26" t="str">
        <f t="shared" si="9"/>
        <v/>
      </c>
      <c r="C2188" s="6"/>
      <c r="D2188" s="6"/>
      <c r="E2188" s="6"/>
      <c r="F2188" s="15"/>
      <c r="G2188" s="6"/>
      <c r="H2188" s="6"/>
      <c r="I2188" s="6"/>
      <c r="J2188" s="16"/>
      <c r="K2188" s="6"/>
      <c r="L2188" s="16"/>
      <c r="M2188" s="17"/>
      <c r="N2188" s="15"/>
      <c r="O2188" s="23"/>
      <c r="P2188" s="21"/>
      <c r="Q2188" s="6"/>
      <c r="R2188" s="6"/>
      <c r="S2188" s="20"/>
      <c r="T2188" s="6"/>
      <c r="U2188" s="21"/>
      <c r="W2188" s="20"/>
      <c r="X2188" s="21"/>
      <c r="AD2188" s="17"/>
      <c r="AG2188" s="23"/>
    </row>
    <row r="2189" spans="2:33" ht="16">
      <c r="B2189" s="26" t="str">
        <f t="shared" si="9"/>
        <v/>
      </c>
      <c r="C2189" s="6"/>
      <c r="D2189" s="6"/>
      <c r="E2189" s="6"/>
      <c r="F2189" s="15"/>
      <c r="G2189" s="6"/>
      <c r="H2189" s="6"/>
      <c r="I2189" s="6"/>
      <c r="J2189" s="16"/>
      <c r="K2189" s="6"/>
      <c r="L2189" s="16"/>
      <c r="M2189" s="23"/>
      <c r="N2189" s="15"/>
      <c r="O2189" s="23"/>
      <c r="P2189" s="21"/>
      <c r="Q2189" s="6"/>
      <c r="R2189" s="6"/>
      <c r="S2189" s="20"/>
      <c r="T2189" s="6"/>
      <c r="U2189" s="21"/>
      <c r="W2189" s="20"/>
      <c r="X2189" s="21"/>
      <c r="AD2189" s="23"/>
      <c r="AG2189" s="23"/>
    </row>
    <row r="2190" spans="2:33" ht="16">
      <c r="B2190" s="26" t="str">
        <f t="shared" si="9"/>
        <v/>
      </c>
      <c r="C2190" s="6"/>
      <c r="D2190" s="6"/>
      <c r="E2190" s="6"/>
      <c r="F2190" s="15"/>
      <c r="G2190" s="6"/>
      <c r="H2190" s="6"/>
      <c r="I2190" s="6"/>
      <c r="J2190" s="16"/>
      <c r="K2190" s="6"/>
      <c r="L2190" s="16"/>
      <c r="M2190" s="23"/>
      <c r="N2190" s="15"/>
      <c r="O2190" s="23"/>
      <c r="P2190" s="21"/>
      <c r="Q2190" s="6"/>
      <c r="R2190" s="6"/>
      <c r="S2190" s="20"/>
      <c r="T2190" s="6"/>
      <c r="U2190" s="21"/>
      <c r="W2190" s="20"/>
      <c r="X2190" s="21"/>
      <c r="AD2190" s="23"/>
      <c r="AG2190" s="23"/>
    </row>
    <row r="2191" spans="2:33" ht="16">
      <c r="B2191" s="26" t="str">
        <f t="shared" si="9"/>
        <v/>
      </c>
      <c r="C2191" s="6"/>
      <c r="D2191" s="6"/>
      <c r="E2191" s="6"/>
      <c r="F2191" s="15"/>
      <c r="G2191" s="6"/>
      <c r="H2191" s="6"/>
      <c r="I2191" s="6"/>
      <c r="J2191" s="16"/>
      <c r="K2191" s="6"/>
      <c r="L2191" s="16"/>
      <c r="M2191" s="23"/>
      <c r="N2191" s="15"/>
      <c r="O2191" s="23"/>
      <c r="P2191" s="21"/>
      <c r="Q2191" s="6"/>
      <c r="R2191" s="6"/>
      <c r="S2191" s="20"/>
      <c r="T2191" s="6"/>
      <c r="U2191" s="21"/>
      <c r="W2191" s="20"/>
      <c r="X2191" s="21"/>
      <c r="AD2191" s="23"/>
      <c r="AG2191" s="23"/>
    </row>
    <row r="2192" spans="2:33" ht="16">
      <c r="B2192" s="26" t="str">
        <f t="shared" si="9"/>
        <v/>
      </c>
      <c r="C2192" s="6"/>
      <c r="D2192" s="6"/>
      <c r="E2192" s="6"/>
      <c r="F2192" s="15"/>
      <c r="G2192" s="6"/>
      <c r="H2192" s="6"/>
      <c r="I2192" s="6"/>
      <c r="J2192" s="16"/>
      <c r="K2192" s="6"/>
      <c r="L2192" s="16"/>
      <c r="M2192" s="23"/>
      <c r="N2192" s="15"/>
      <c r="O2192" s="23"/>
      <c r="P2192" s="21"/>
      <c r="Q2192" s="6"/>
      <c r="R2192" s="6"/>
      <c r="S2192" s="20"/>
      <c r="T2192" s="6"/>
      <c r="U2192" s="21"/>
      <c r="W2192" s="20"/>
      <c r="X2192" s="21"/>
      <c r="AD2192" s="23"/>
      <c r="AG2192" s="23"/>
    </row>
    <row r="2193" spans="2:33" ht="16">
      <c r="B2193" s="26" t="str">
        <f t="shared" si="9"/>
        <v/>
      </c>
      <c r="C2193" s="6"/>
      <c r="D2193" s="6"/>
      <c r="E2193" s="6"/>
      <c r="F2193" s="15"/>
      <c r="G2193" s="6"/>
      <c r="H2193" s="6"/>
      <c r="I2193" s="6"/>
      <c r="J2193" s="16"/>
      <c r="K2193" s="6"/>
      <c r="L2193" s="16"/>
      <c r="M2193" s="23"/>
      <c r="N2193" s="15"/>
      <c r="O2193" s="23"/>
      <c r="P2193" s="21"/>
      <c r="Q2193" s="6"/>
      <c r="R2193" s="6"/>
      <c r="S2193" s="20"/>
      <c r="T2193" s="6"/>
      <c r="U2193" s="21"/>
      <c r="W2193" s="20"/>
      <c r="X2193" s="21"/>
      <c r="AD2193" s="23"/>
      <c r="AG2193" s="23"/>
    </row>
    <row r="2194" spans="2:33" ht="16">
      <c r="B2194" s="26" t="str">
        <f t="shared" si="9"/>
        <v/>
      </c>
      <c r="C2194" s="6"/>
      <c r="D2194" s="6"/>
      <c r="E2194" s="6"/>
      <c r="F2194" s="15"/>
      <c r="G2194" s="6"/>
      <c r="H2194" s="6"/>
      <c r="I2194" s="6"/>
      <c r="J2194" s="16"/>
      <c r="K2194" s="6"/>
      <c r="L2194" s="16"/>
      <c r="M2194" s="23"/>
      <c r="N2194" s="15"/>
      <c r="O2194" s="17"/>
      <c r="P2194" s="21"/>
      <c r="Q2194" s="6"/>
      <c r="R2194" s="6"/>
      <c r="S2194" s="20"/>
      <c r="T2194" s="6"/>
      <c r="U2194" s="21"/>
      <c r="W2194" s="20"/>
      <c r="X2194" s="21"/>
      <c r="AD2194" s="23"/>
      <c r="AG2194" s="23"/>
    </row>
    <row r="2195" spans="2:33" ht="16">
      <c r="B2195" s="26" t="str">
        <f t="shared" si="9"/>
        <v/>
      </c>
      <c r="C2195" s="6"/>
      <c r="D2195" s="6"/>
      <c r="E2195" s="6"/>
      <c r="F2195" s="15"/>
      <c r="G2195" s="6"/>
      <c r="H2195" s="6"/>
      <c r="I2195" s="6"/>
      <c r="J2195" s="16"/>
      <c r="K2195" s="6"/>
      <c r="L2195" s="16"/>
      <c r="M2195" s="23"/>
      <c r="N2195" s="15"/>
      <c r="O2195" s="23"/>
      <c r="P2195" s="21"/>
      <c r="Q2195" s="6"/>
      <c r="R2195" s="6"/>
      <c r="S2195" s="20"/>
      <c r="T2195" s="6"/>
      <c r="U2195" s="21"/>
      <c r="W2195" s="20"/>
      <c r="X2195" s="21"/>
      <c r="AD2195" s="23"/>
      <c r="AG2195" s="23"/>
    </row>
    <row r="2196" spans="2:33" ht="16">
      <c r="B2196" s="26" t="str">
        <f t="shared" si="9"/>
        <v/>
      </c>
      <c r="C2196" s="6"/>
      <c r="D2196" s="6"/>
      <c r="E2196" s="6"/>
      <c r="F2196" s="15"/>
      <c r="G2196" s="6"/>
      <c r="H2196" s="6"/>
      <c r="I2196" s="6"/>
      <c r="J2196" s="16"/>
      <c r="K2196" s="6"/>
      <c r="L2196" s="16"/>
      <c r="M2196" s="23"/>
      <c r="N2196" s="15"/>
      <c r="O2196" s="23"/>
      <c r="P2196" s="21"/>
      <c r="Q2196" s="6"/>
      <c r="R2196" s="6"/>
      <c r="S2196" s="20"/>
      <c r="T2196" s="6"/>
      <c r="U2196" s="21"/>
      <c r="W2196" s="20"/>
      <c r="X2196" s="21"/>
      <c r="AD2196" s="23"/>
      <c r="AG2196" s="23"/>
    </row>
    <row r="2197" spans="2:33" ht="16">
      <c r="B2197" s="26" t="str">
        <f t="shared" si="9"/>
        <v/>
      </c>
      <c r="C2197" s="6"/>
      <c r="D2197" s="6"/>
      <c r="E2197" s="6"/>
      <c r="F2197" s="15"/>
      <c r="G2197" s="6"/>
      <c r="H2197" s="6"/>
      <c r="I2197" s="6"/>
      <c r="J2197" s="16"/>
      <c r="K2197" s="6"/>
      <c r="L2197" s="16"/>
      <c r="M2197" s="23"/>
      <c r="N2197" s="15"/>
      <c r="O2197" s="23"/>
      <c r="P2197" s="21"/>
      <c r="Q2197" s="6"/>
      <c r="R2197" s="6"/>
      <c r="S2197" s="20"/>
      <c r="T2197" s="6"/>
      <c r="U2197" s="21"/>
      <c r="W2197" s="20"/>
      <c r="X2197" s="21"/>
      <c r="AD2197" s="23"/>
      <c r="AG2197" s="23"/>
    </row>
    <row r="2198" spans="2:33" ht="16">
      <c r="B2198" s="26" t="str">
        <f t="shared" si="9"/>
        <v/>
      </c>
      <c r="C2198" s="6"/>
      <c r="D2198" s="6"/>
      <c r="E2198" s="6"/>
      <c r="F2198" s="15"/>
      <c r="G2198" s="6"/>
      <c r="H2198" s="6"/>
      <c r="I2198" s="6"/>
      <c r="J2198" s="16"/>
      <c r="K2198" s="6"/>
      <c r="L2198" s="16"/>
      <c r="M2198" s="23"/>
      <c r="N2198" s="15"/>
      <c r="O2198" s="23"/>
      <c r="P2198" s="21"/>
      <c r="Q2198" s="6"/>
      <c r="R2198" s="6"/>
      <c r="S2198" s="20"/>
      <c r="T2198" s="6"/>
      <c r="U2198" s="21"/>
      <c r="W2198" s="20"/>
      <c r="X2198" s="21"/>
      <c r="AD2198" s="23"/>
      <c r="AG2198" s="23"/>
    </row>
    <row r="2199" spans="2:33" ht="16">
      <c r="B2199" s="26" t="str">
        <f t="shared" si="9"/>
        <v/>
      </c>
      <c r="C2199" s="6"/>
      <c r="D2199" s="6"/>
      <c r="E2199" s="6"/>
      <c r="F2199" s="15"/>
      <c r="G2199" s="6"/>
      <c r="H2199" s="6"/>
      <c r="I2199" s="6"/>
      <c r="J2199" s="16"/>
      <c r="K2199" s="6"/>
      <c r="L2199" s="16"/>
      <c r="M2199" s="23"/>
      <c r="N2199" s="15"/>
      <c r="O2199" s="23"/>
      <c r="P2199" s="21"/>
      <c r="Q2199" s="6"/>
      <c r="R2199" s="6"/>
      <c r="S2199" s="20"/>
      <c r="T2199" s="6"/>
      <c r="U2199" s="21"/>
      <c r="W2199" s="20"/>
      <c r="X2199" s="21"/>
      <c r="AD2199" s="23"/>
      <c r="AG2199" s="23"/>
    </row>
    <row r="2200" spans="2:33" ht="16">
      <c r="B2200" s="26" t="str">
        <f t="shared" si="9"/>
        <v/>
      </c>
      <c r="C2200" s="6"/>
      <c r="D2200" s="6"/>
      <c r="E2200" s="6"/>
      <c r="F2200" s="15"/>
      <c r="G2200" s="6"/>
      <c r="H2200" s="6"/>
      <c r="I2200" s="6"/>
      <c r="J2200" s="16"/>
      <c r="K2200" s="6"/>
      <c r="L2200" s="16"/>
      <c r="M2200" s="23"/>
      <c r="N2200" s="15"/>
      <c r="O2200" s="23"/>
      <c r="P2200" s="21"/>
      <c r="Q2200" s="6"/>
      <c r="R2200" s="6"/>
      <c r="S2200" s="20"/>
      <c r="T2200" s="6"/>
      <c r="U2200" s="21"/>
      <c r="W2200" s="20"/>
      <c r="X2200" s="21"/>
      <c r="AD2200" s="23"/>
      <c r="AG2200" s="23"/>
    </row>
    <row r="2201" spans="2:33" ht="16">
      <c r="B2201" s="26" t="str">
        <f t="shared" si="9"/>
        <v/>
      </c>
      <c r="C2201" s="6"/>
      <c r="D2201" s="6"/>
      <c r="E2201" s="6"/>
      <c r="F2201" s="15"/>
      <c r="G2201" s="6"/>
      <c r="H2201" s="6"/>
      <c r="I2201" s="6"/>
      <c r="J2201" s="16"/>
      <c r="K2201" s="6"/>
      <c r="L2201" s="16"/>
      <c r="M2201" s="23"/>
      <c r="N2201" s="15"/>
      <c r="O2201" s="17"/>
      <c r="P2201" s="21"/>
      <c r="Q2201" s="6"/>
      <c r="R2201" s="6"/>
      <c r="S2201" s="20"/>
      <c r="T2201" s="6"/>
      <c r="U2201" s="21"/>
      <c r="W2201" s="20"/>
      <c r="X2201" s="21"/>
      <c r="AD2201" s="23"/>
      <c r="AG2201" s="23"/>
    </row>
    <row r="2202" spans="2:33" ht="16">
      <c r="B2202" s="26" t="str">
        <f t="shared" si="9"/>
        <v/>
      </c>
      <c r="C2202" s="6"/>
      <c r="D2202" s="6"/>
      <c r="E2202" s="6"/>
      <c r="F2202" s="15"/>
      <c r="G2202" s="6"/>
      <c r="H2202" s="6"/>
      <c r="I2202" s="6"/>
      <c r="J2202" s="16"/>
      <c r="K2202" s="6"/>
      <c r="L2202" s="16"/>
      <c r="M2202" s="23"/>
      <c r="N2202" s="15"/>
      <c r="O2202" s="23"/>
      <c r="P2202" s="21"/>
      <c r="Q2202" s="6"/>
      <c r="R2202" s="6"/>
      <c r="S2202" s="20"/>
      <c r="T2202" s="6"/>
      <c r="U2202" s="21"/>
      <c r="W2202" s="20"/>
      <c r="X2202" s="21"/>
      <c r="AD2202" s="23"/>
      <c r="AG2202" s="17"/>
    </row>
    <row r="2203" spans="2:33" ht="16">
      <c r="B2203" s="26" t="str">
        <f t="shared" si="9"/>
        <v/>
      </c>
      <c r="C2203" s="6"/>
      <c r="D2203" s="6"/>
      <c r="E2203" s="6"/>
      <c r="F2203" s="15"/>
      <c r="G2203" s="6"/>
      <c r="H2203" s="6"/>
      <c r="I2203" s="6"/>
      <c r="J2203" s="16"/>
      <c r="K2203" s="6"/>
      <c r="L2203" s="16"/>
      <c r="M2203" s="17"/>
      <c r="N2203" s="15"/>
      <c r="O2203" s="17"/>
      <c r="P2203" s="21"/>
      <c r="Q2203" s="6"/>
      <c r="R2203" s="6"/>
      <c r="S2203" s="20"/>
      <c r="T2203" s="6"/>
      <c r="U2203" s="21"/>
      <c r="W2203" s="20"/>
      <c r="X2203" s="21"/>
      <c r="AD2203" s="17"/>
      <c r="AG2203" s="17"/>
    </row>
    <row r="2204" spans="2:33" ht="16">
      <c r="B2204" s="26" t="str">
        <f t="shared" si="9"/>
        <v/>
      </c>
      <c r="C2204" s="6"/>
      <c r="D2204" s="6"/>
      <c r="E2204" s="6"/>
      <c r="F2204" s="15"/>
      <c r="G2204" s="6"/>
      <c r="H2204" s="6"/>
      <c r="I2204" s="6"/>
      <c r="J2204" s="16"/>
      <c r="K2204" s="6"/>
      <c r="L2204" s="16"/>
      <c r="M2204" s="17"/>
      <c r="N2204" s="15"/>
      <c r="O2204" s="17"/>
      <c r="P2204" s="21"/>
      <c r="Q2204" s="6"/>
      <c r="R2204" s="6"/>
      <c r="S2204" s="20"/>
      <c r="T2204" s="6"/>
      <c r="U2204" s="21"/>
      <c r="W2204" s="20"/>
      <c r="X2204" s="21"/>
      <c r="AD2204" s="23"/>
      <c r="AG2204" s="23"/>
    </row>
    <row r="2205" spans="2:33" ht="16">
      <c r="B2205" s="26" t="str">
        <f t="shared" si="9"/>
        <v/>
      </c>
      <c r="C2205" s="6"/>
      <c r="D2205" s="6"/>
      <c r="E2205" s="6"/>
      <c r="F2205" s="15"/>
      <c r="G2205" s="6"/>
      <c r="H2205" s="6"/>
      <c r="I2205" s="6"/>
      <c r="J2205" s="16"/>
      <c r="K2205" s="6"/>
      <c r="L2205" s="16"/>
      <c r="M2205" s="17"/>
      <c r="N2205" s="15"/>
      <c r="O2205" s="17"/>
      <c r="P2205" s="21"/>
      <c r="Q2205" s="6"/>
      <c r="R2205" s="6"/>
      <c r="S2205" s="20"/>
      <c r="T2205" s="6"/>
      <c r="U2205" s="21"/>
      <c r="W2205" s="20"/>
      <c r="X2205" s="21"/>
      <c r="AD2205" s="17"/>
      <c r="AG2205" s="23"/>
    </row>
    <row r="2206" spans="2:33" ht="16">
      <c r="B2206" s="26" t="str">
        <f t="shared" si="9"/>
        <v/>
      </c>
      <c r="C2206" s="6"/>
      <c r="D2206" s="6"/>
      <c r="E2206" s="6"/>
      <c r="F2206" s="15"/>
      <c r="G2206" s="6"/>
      <c r="H2206" s="6"/>
      <c r="I2206" s="6"/>
      <c r="J2206" s="16"/>
      <c r="K2206" s="6"/>
      <c r="L2206" s="16"/>
      <c r="M2206" s="23"/>
      <c r="N2206" s="15"/>
      <c r="O2206" s="17"/>
      <c r="P2206" s="21"/>
      <c r="Q2206" s="6"/>
      <c r="R2206" s="6"/>
      <c r="S2206" s="20"/>
      <c r="T2206" s="6"/>
      <c r="U2206" s="21"/>
      <c r="W2206" s="20"/>
      <c r="X2206" s="21"/>
      <c r="AD2206" s="17"/>
      <c r="AG2206" s="23"/>
    </row>
    <row r="2207" spans="2:33" ht="16">
      <c r="B2207" s="26" t="str">
        <f t="shared" si="9"/>
        <v/>
      </c>
      <c r="C2207" s="6"/>
      <c r="D2207" s="6"/>
      <c r="E2207" s="6"/>
      <c r="F2207" s="15"/>
      <c r="G2207" s="6"/>
      <c r="H2207" s="6"/>
      <c r="I2207" s="6"/>
      <c r="J2207" s="16"/>
      <c r="K2207" s="6"/>
      <c r="L2207" s="16"/>
      <c r="M2207" s="23"/>
      <c r="N2207" s="15"/>
      <c r="O2207" s="23"/>
      <c r="P2207" s="21"/>
      <c r="Q2207" s="6"/>
      <c r="R2207" s="6"/>
      <c r="S2207" s="20"/>
      <c r="T2207" s="6"/>
      <c r="U2207" s="21"/>
      <c r="W2207" s="20"/>
      <c r="X2207" s="21"/>
      <c r="AD2207" s="23"/>
      <c r="AG2207" s="23"/>
    </row>
    <row r="2208" spans="2:33" ht="16">
      <c r="B2208" s="26" t="str">
        <f t="shared" si="9"/>
        <v/>
      </c>
      <c r="C2208" s="6"/>
      <c r="D2208" s="6"/>
      <c r="E2208" s="6"/>
      <c r="F2208" s="15"/>
      <c r="G2208" s="6"/>
      <c r="H2208" s="6"/>
      <c r="I2208" s="6"/>
      <c r="J2208" s="16"/>
      <c r="K2208" s="6"/>
      <c r="L2208" s="16"/>
      <c r="M2208" s="17"/>
      <c r="N2208" s="15"/>
      <c r="O2208" s="17"/>
      <c r="P2208" s="21"/>
      <c r="Q2208" s="6"/>
      <c r="R2208" s="6"/>
      <c r="S2208" s="20"/>
      <c r="T2208" s="6"/>
      <c r="U2208" s="21"/>
      <c r="W2208" s="20"/>
      <c r="X2208" s="21"/>
      <c r="AD2208" s="17"/>
      <c r="AG2208" s="23"/>
    </row>
    <row r="2209" spans="2:33" ht="16">
      <c r="B2209" s="26" t="str">
        <f t="shared" si="9"/>
        <v/>
      </c>
      <c r="C2209" s="6"/>
      <c r="D2209" s="6"/>
      <c r="E2209" s="6"/>
      <c r="F2209" s="15"/>
      <c r="G2209" s="6"/>
      <c r="H2209" s="6"/>
      <c r="I2209" s="6"/>
      <c r="J2209" s="16"/>
      <c r="K2209" s="6"/>
      <c r="L2209" s="16"/>
      <c r="M2209" s="23"/>
      <c r="N2209" s="15"/>
      <c r="O2209" s="17"/>
      <c r="P2209" s="21"/>
      <c r="Q2209" s="6"/>
      <c r="R2209" s="6"/>
      <c r="S2209" s="20"/>
      <c r="T2209" s="6"/>
      <c r="U2209" s="21"/>
      <c r="W2209" s="20"/>
      <c r="X2209" s="21"/>
      <c r="AD2209" s="17"/>
      <c r="AG2209" s="17"/>
    </row>
    <row r="2210" spans="2:33" ht="16">
      <c r="B2210" s="26" t="str">
        <f t="shared" si="9"/>
        <v/>
      </c>
      <c r="C2210" s="6"/>
      <c r="D2210" s="6"/>
      <c r="E2210" s="6"/>
      <c r="F2210" s="15"/>
      <c r="G2210" s="6"/>
      <c r="H2210" s="6"/>
      <c r="I2210" s="6"/>
      <c r="J2210" s="16"/>
      <c r="K2210" s="6"/>
      <c r="L2210" s="16"/>
      <c r="M2210" s="23"/>
      <c r="N2210" s="15"/>
      <c r="O2210" s="23"/>
      <c r="P2210" s="21"/>
      <c r="Q2210" s="6"/>
      <c r="R2210" s="6"/>
      <c r="S2210" s="20"/>
      <c r="T2210" s="6"/>
      <c r="U2210" s="21"/>
      <c r="W2210" s="20"/>
      <c r="X2210" s="21"/>
      <c r="AD2210" s="23"/>
      <c r="AG2210" s="17"/>
    </row>
    <row r="2211" spans="2:33" ht="16">
      <c r="B2211" s="26" t="str">
        <f t="shared" si="9"/>
        <v/>
      </c>
      <c r="C2211" s="6"/>
      <c r="D2211" s="6"/>
      <c r="E2211" s="6"/>
      <c r="F2211" s="15"/>
      <c r="G2211" s="6"/>
      <c r="H2211" s="6"/>
      <c r="I2211" s="6"/>
      <c r="J2211" s="16"/>
      <c r="K2211" s="6"/>
      <c r="L2211" s="16"/>
      <c r="M2211" s="23"/>
      <c r="N2211" s="15"/>
      <c r="O2211" s="23"/>
      <c r="P2211" s="21"/>
      <c r="Q2211" s="6"/>
      <c r="R2211" s="6"/>
      <c r="S2211" s="20"/>
      <c r="T2211" s="6"/>
      <c r="U2211" s="21"/>
      <c r="W2211" s="20"/>
      <c r="X2211" s="21"/>
      <c r="AD2211" s="23"/>
      <c r="AG2211" s="17"/>
    </row>
    <row r="2212" spans="2:33" ht="16">
      <c r="B2212" s="26" t="str">
        <f t="shared" si="9"/>
        <v/>
      </c>
      <c r="C2212" s="6"/>
      <c r="D2212" s="6"/>
      <c r="E2212" s="6"/>
      <c r="F2212" s="15"/>
      <c r="G2212" s="6"/>
      <c r="H2212" s="6"/>
      <c r="I2212" s="6"/>
      <c r="J2212" s="16"/>
      <c r="K2212" s="6"/>
      <c r="L2212" s="16"/>
      <c r="M2212" s="17"/>
      <c r="N2212" s="15"/>
      <c r="O2212" s="23"/>
      <c r="P2212" s="21"/>
      <c r="Q2212" s="6"/>
      <c r="R2212" s="6"/>
      <c r="S2212" s="20"/>
      <c r="T2212" s="6"/>
      <c r="U2212" s="21"/>
      <c r="W2212" s="20"/>
      <c r="X2212" s="21"/>
      <c r="AD2212" s="23"/>
      <c r="AG2212" s="17"/>
    </row>
    <row r="2213" spans="2:33" ht="16">
      <c r="B2213" s="26" t="str">
        <f t="shared" si="9"/>
        <v/>
      </c>
      <c r="C2213" s="6"/>
      <c r="D2213" s="6"/>
      <c r="E2213" s="6"/>
      <c r="F2213" s="15"/>
      <c r="G2213" s="6"/>
      <c r="H2213" s="6"/>
      <c r="I2213" s="6"/>
      <c r="J2213" s="16"/>
      <c r="K2213" s="6"/>
      <c r="L2213" s="16"/>
      <c r="M2213" s="23"/>
      <c r="N2213" s="15"/>
      <c r="O2213" s="23"/>
      <c r="P2213" s="21"/>
      <c r="Q2213" s="6"/>
      <c r="R2213" s="6"/>
      <c r="S2213" s="20"/>
      <c r="T2213" s="6"/>
      <c r="U2213" s="21"/>
      <c r="W2213" s="20"/>
      <c r="X2213" s="21"/>
      <c r="AD2213" s="23"/>
      <c r="AG2213" s="17"/>
    </row>
    <row r="2214" spans="2:33" ht="16">
      <c r="B2214" s="26" t="str">
        <f t="shared" si="9"/>
        <v/>
      </c>
      <c r="C2214" s="6"/>
      <c r="D2214" s="6"/>
      <c r="E2214" s="6"/>
      <c r="F2214" s="15"/>
      <c r="G2214" s="6"/>
      <c r="H2214" s="6"/>
      <c r="I2214" s="6"/>
      <c r="J2214" s="16"/>
      <c r="K2214" s="6"/>
      <c r="L2214" s="16"/>
      <c r="M2214" s="23"/>
      <c r="N2214" s="15"/>
      <c r="O2214" s="23"/>
      <c r="P2214" s="21"/>
      <c r="Q2214" s="6"/>
      <c r="R2214" s="6"/>
      <c r="S2214" s="20"/>
      <c r="T2214" s="6"/>
      <c r="U2214" s="21"/>
      <c r="W2214" s="20"/>
      <c r="X2214" s="21"/>
      <c r="AD2214" s="23"/>
      <c r="AG2214" s="23"/>
    </row>
    <row r="2215" spans="2:33" ht="16">
      <c r="B2215" s="26" t="str">
        <f t="shared" si="9"/>
        <v/>
      </c>
      <c r="C2215" s="6"/>
      <c r="D2215" s="6"/>
      <c r="E2215" s="6"/>
      <c r="F2215" s="15"/>
      <c r="G2215" s="6"/>
      <c r="H2215" s="6"/>
      <c r="I2215" s="6"/>
      <c r="J2215" s="16"/>
      <c r="K2215" s="6"/>
      <c r="L2215" s="16"/>
      <c r="M2215" s="23"/>
      <c r="N2215" s="15"/>
      <c r="O2215" s="23"/>
      <c r="P2215" s="21"/>
      <c r="Q2215" s="6"/>
      <c r="R2215" s="6"/>
      <c r="S2215" s="20"/>
      <c r="T2215" s="6"/>
      <c r="U2215" s="21"/>
      <c r="W2215" s="20"/>
      <c r="X2215" s="21"/>
      <c r="AD2215" s="17"/>
      <c r="AG2215" s="23"/>
    </row>
    <row r="2216" spans="2:33" ht="16">
      <c r="B2216" s="26" t="str">
        <f t="shared" si="9"/>
        <v/>
      </c>
      <c r="C2216" s="6"/>
      <c r="D2216" s="6"/>
      <c r="E2216" s="6"/>
      <c r="F2216" s="15"/>
      <c r="G2216" s="6"/>
      <c r="H2216" s="6"/>
      <c r="I2216" s="6"/>
      <c r="J2216" s="16"/>
      <c r="K2216" s="6"/>
      <c r="L2216" s="16"/>
      <c r="M2216" s="23"/>
      <c r="N2216" s="15"/>
      <c r="O2216" s="23"/>
      <c r="P2216" s="21"/>
      <c r="Q2216" s="6"/>
      <c r="R2216" s="6"/>
      <c r="S2216" s="20"/>
      <c r="T2216" s="6"/>
      <c r="U2216" s="21"/>
      <c r="W2216" s="20"/>
      <c r="X2216" s="21"/>
      <c r="AD2216" s="23"/>
      <c r="AG2216" s="17"/>
    </row>
    <row r="2217" spans="2:33" ht="16">
      <c r="B2217" s="26" t="str">
        <f t="shared" si="9"/>
        <v/>
      </c>
      <c r="C2217" s="6"/>
      <c r="D2217" s="6"/>
      <c r="E2217" s="6"/>
      <c r="F2217" s="15"/>
      <c r="G2217" s="6"/>
      <c r="H2217" s="6"/>
      <c r="I2217" s="6"/>
      <c r="J2217" s="16"/>
      <c r="K2217" s="6"/>
      <c r="L2217" s="16"/>
      <c r="M2217" s="23"/>
      <c r="N2217" s="15"/>
      <c r="O2217" s="23"/>
      <c r="P2217" s="21"/>
      <c r="Q2217" s="6"/>
      <c r="R2217" s="6"/>
      <c r="S2217" s="20"/>
      <c r="T2217" s="6"/>
      <c r="U2217" s="21"/>
      <c r="W2217" s="20"/>
      <c r="X2217" s="21"/>
      <c r="AD2217" s="23"/>
      <c r="AG2217" s="23"/>
    </row>
    <row r="2218" spans="2:33" ht="16">
      <c r="B2218" s="26" t="str">
        <f t="shared" si="9"/>
        <v/>
      </c>
      <c r="C2218" s="6"/>
      <c r="D2218" s="6"/>
      <c r="E2218" s="6"/>
      <c r="F2218" s="15"/>
      <c r="G2218" s="6"/>
      <c r="H2218" s="6"/>
      <c r="I2218" s="6"/>
      <c r="J2218" s="16"/>
      <c r="K2218" s="6"/>
      <c r="L2218" s="16"/>
      <c r="M2218" s="23"/>
      <c r="N2218" s="15"/>
      <c r="O2218" s="23"/>
      <c r="P2218" s="21"/>
      <c r="Q2218" s="6"/>
      <c r="R2218" s="6"/>
      <c r="S2218" s="20"/>
      <c r="T2218" s="6"/>
      <c r="U2218" s="21"/>
      <c r="W2218" s="20"/>
      <c r="X2218" s="21"/>
      <c r="AD2218" s="23"/>
      <c r="AG2218" s="23"/>
    </row>
    <row r="2219" spans="2:33" ht="16">
      <c r="B2219" s="26" t="str">
        <f t="shared" si="9"/>
        <v/>
      </c>
      <c r="C2219" s="6"/>
      <c r="D2219" s="6"/>
      <c r="E2219" s="6"/>
      <c r="F2219" s="15"/>
      <c r="G2219" s="6"/>
      <c r="H2219" s="6"/>
      <c r="I2219" s="6"/>
      <c r="J2219" s="16"/>
      <c r="K2219" s="6"/>
      <c r="L2219" s="16"/>
      <c r="M2219" s="17"/>
      <c r="N2219" s="15"/>
      <c r="O2219" s="17"/>
      <c r="P2219" s="21"/>
      <c r="Q2219" s="6"/>
      <c r="R2219" s="6"/>
      <c r="S2219" s="20"/>
      <c r="T2219" s="6"/>
      <c r="U2219" s="21"/>
      <c r="W2219" s="20"/>
      <c r="X2219" s="21"/>
      <c r="AD2219" s="17"/>
      <c r="AG2219" s="17"/>
    </row>
    <row r="2220" spans="2:33" ht="16">
      <c r="B2220" s="26" t="str">
        <f t="shared" si="9"/>
        <v/>
      </c>
      <c r="C2220" s="6"/>
      <c r="D2220" s="6"/>
      <c r="E2220" s="6"/>
      <c r="F2220" s="15"/>
      <c r="G2220" s="6"/>
      <c r="H2220" s="6"/>
      <c r="I2220" s="6"/>
      <c r="J2220" s="16"/>
      <c r="K2220" s="6"/>
      <c r="L2220" s="16"/>
      <c r="M2220" s="23"/>
      <c r="N2220" s="15"/>
      <c r="O2220" s="23"/>
      <c r="P2220" s="21"/>
      <c r="Q2220" s="6"/>
      <c r="R2220" s="6"/>
      <c r="S2220" s="20"/>
      <c r="T2220" s="6"/>
      <c r="U2220" s="21"/>
      <c r="W2220" s="20"/>
      <c r="X2220" s="21"/>
      <c r="AD2220" s="23"/>
      <c r="AG2220" s="23"/>
    </row>
    <row r="2221" spans="2:33" ht="16">
      <c r="B2221" s="26" t="str">
        <f t="shared" si="9"/>
        <v/>
      </c>
      <c r="C2221" s="6"/>
      <c r="D2221" s="6"/>
      <c r="E2221" s="6"/>
      <c r="F2221" s="15"/>
      <c r="G2221" s="6"/>
      <c r="H2221" s="6"/>
      <c r="I2221" s="6"/>
      <c r="J2221" s="16"/>
      <c r="K2221" s="6"/>
      <c r="L2221" s="16"/>
      <c r="M2221" s="23"/>
      <c r="N2221" s="15"/>
      <c r="O2221" s="23"/>
      <c r="P2221" s="21"/>
      <c r="Q2221" s="6"/>
      <c r="R2221" s="6"/>
      <c r="S2221" s="20"/>
      <c r="T2221" s="6"/>
      <c r="U2221" s="21"/>
      <c r="W2221" s="20"/>
      <c r="X2221" s="21"/>
      <c r="AD2221" s="23"/>
      <c r="AG2221" s="23"/>
    </row>
    <row r="2222" spans="2:33" ht="16">
      <c r="B2222" s="26" t="str">
        <f t="shared" si="9"/>
        <v/>
      </c>
      <c r="C2222" s="6"/>
      <c r="D2222" s="6"/>
      <c r="E2222" s="6"/>
      <c r="F2222" s="15"/>
      <c r="G2222" s="6"/>
      <c r="H2222" s="6"/>
      <c r="I2222" s="6"/>
      <c r="J2222" s="16"/>
      <c r="K2222" s="6"/>
      <c r="L2222" s="16"/>
      <c r="M2222" s="23"/>
      <c r="N2222" s="15"/>
      <c r="O2222" s="17"/>
      <c r="P2222" s="21"/>
      <c r="Q2222" s="6"/>
      <c r="R2222" s="6"/>
      <c r="S2222" s="20"/>
      <c r="T2222" s="6"/>
      <c r="U2222" s="21"/>
      <c r="W2222" s="20"/>
      <c r="X2222" s="21"/>
      <c r="AD2222" s="17"/>
      <c r="AG2222" s="23"/>
    </row>
    <row r="2223" spans="2:33" ht="16">
      <c r="B2223" s="26" t="str">
        <f t="shared" si="9"/>
        <v/>
      </c>
      <c r="C2223" s="6"/>
      <c r="D2223" s="6"/>
      <c r="E2223" s="6"/>
      <c r="F2223" s="15"/>
      <c r="G2223" s="6"/>
      <c r="H2223" s="6"/>
      <c r="I2223" s="6"/>
      <c r="J2223" s="16"/>
      <c r="K2223" s="6"/>
      <c r="L2223" s="16"/>
      <c r="M2223" s="17"/>
      <c r="N2223" s="15"/>
      <c r="O2223" s="17"/>
      <c r="P2223" s="21"/>
      <c r="Q2223" s="6"/>
      <c r="R2223" s="6"/>
      <c r="S2223" s="20"/>
      <c r="T2223" s="6"/>
      <c r="U2223" s="21"/>
      <c r="W2223" s="20"/>
      <c r="X2223" s="21"/>
      <c r="AD2223" s="17"/>
      <c r="AG2223" s="17"/>
    </row>
    <row r="2224" spans="2:33" ht="16">
      <c r="B2224" s="26" t="str">
        <f t="shared" si="9"/>
        <v/>
      </c>
      <c r="C2224" s="6"/>
      <c r="D2224" s="6"/>
      <c r="E2224" s="6"/>
      <c r="F2224" s="15"/>
      <c r="G2224" s="6"/>
      <c r="H2224" s="6"/>
      <c r="I2224" s="6"/>
      <c r="J2224" s="16"/>
      <c r="K2224" s="6"/>
      <c r="L2224" s="16"/>
      <c r="M2224" s="23"/>
      <c r="N2224" s="15"/>
      <c r="O2224" s="23"/>
      <c r="P2224" s="21"/>
      <c r="Q2224" s="6"/>
      <c r="R2224" s="6"/>
      <c r="S2224" s="20"/>
      <c r="T2224" s="6"/>
      <c r="U2224" s="21"/>
      <c r="W2224" s="20"/>
      <c r="X2224" s="21"/>
      <c r="AD2224" s="23"/>
      <c r="AG2224" s="23"/>
    </row>
    <row r="2225" spans="2:33" ht="16">
      <c r="B2225" s="26" t="str">
        <f t="shared" si="9"/>
        <v/>
      </c>
      <c r="C2225" s="6"/>
      <c r="D2225" s="6"/>
      <c r="E2225" s="6"/>
      <c r="F2225" s="15"/>
      <c r="G2225" s="6"/>
      <c r="H2225" s="6"/>
      <c r="I2225" s="6"/>
      <c r="J2225" s="16"/>
      <c r="K2225" s="6"/>
      <c r="L2225" s="16"/>
      <c r="M2225" s="23"/>
      <c r="N2225" s="15"/>
      <c r="O2225" s="23"/>
      <c r="P2225" s="21"/>
      <c r="Q2225" s="6"/>
      <c r="R2225" s="6"/>
      <c r="S2225" s="20"/>
      <c r="T2225" s="6"/>
      <c r="U2225" s="21"/>
      <c r="W2225" s="20"/>
      <c r="X2225" s="21"/>
      <c r="AD2225" s="23"/>
      <c r="AG2225" s="23"/>
    </row>
    <row r="2226" spans="2:33" ht="16">
      <c r="B2226" s="26" t="str">
        <f t="shared" si="9"/>
        <v/>
      </c>
      <c r="C2226" s="6"/>
      <c r="D2226" s="6"/>
      <c r="E2226" s="6"/>
      <c r="F2226" s="15"/>
      <c r="G2226" s="6"/>
      <c r="H2226" s="6"/>
      <c r="I2226" s="6"/>
      <c r="J2226" s="16"/>
      <c r="K2226" s="6"/>
      <c r="L2226" s="16"/>
      <c r="M2226" s="17"/>
      <c r="N2226" s="15"/>
      <c r="O2226" s="17"/>
      <c r="P2226" s="21"/>
      <c r="Q2226" s="6"/>
      <c r="R2226" s="6"/>
      <c r="S2226" s="20"/>
      <c r="T2226" s="6"/>
      <c r="U2226" s="21"/>
      <c r="W2226" s="20"/>
      <c r="X2226" s="21"/>
      <c r="AD2226" s="17"/>
      <c r="AG2226" s="17"/>
    </row>
    <row r="2227" spans="2:33" ht="16">
      <c r="B2227" s="26" t="str">
        <f t="shared" si="9"/>
        <v/>
      </c>
      <c r="C2227" s="6"/>
      <c r="D2227" s="6"/>
      <c r="E2227" s="6"/>
      <c r="F2227" s="15"/>
      <c r="G2227" s="6"/>
      <c r="H2227" s="6"/>
      <c r="I2227" s="6"/>
      <c r="J2227" s="16"/>
      <c r="K2227" s="6"/>
      <c r="L2227" s="16"/>
      <c r="M2227" s="23"/>
      <c r="N2227" s="15"/>
      <c r="O2227" s="23"/>
      <c r="P2227" s="21"/>
      <c r="Q2227" s="6"/>
      <c r="R2227" s="6"/>
      <c r="S2227" s="20"/>
      <c r="T2227" s="6"/>
      <c r="U2227" s="21"/>
      <c r="W2227" s="20"/>
      <c r="X2227" s="21"/>
      <c r="AD2227" s="23"/>
      <c r="AG2227" s="23"/>
    </row>
    <row r="2228" spans="2:33" ht="16">
      <c r="B2228" s="26" t="str">
        <f t="shared" si="9"/>
        <v/>
      </c>
      <c r="C2228" s="6"/>
      <c r="D2228" s="6"/>
      <c r="E2228" s="6"/>
      <c r="F2228" s="15"/>
      <c r="G2228" s="6"/>
      <c r="H2228" s="6"/>
      <c r="I2228" s="6"/>
      <c r="J2228" s="16"/>
      <c r="K2228" s="6"/>
      <c r="L2228" s="16"/>
      <c r="M2228" s="23"/>
      <c r="N2228" s="15"/>
      <c r="O2228" s="17"/>
      <c r="P2228" s="21"/>
      <c r="Q2228" s="6"/>
      <c r="R2228" s="6"/>
      <c r="S2228" s="20"/>
      <c r="T2228" s="6"/>
      <c r="U2228" s="21"/>
      <c r="W2228" s="20"/>
      <c r="X2228" s="21"/>
      <c r="AD2228" s="23"/>
      <c r="AG2228" s="17"/>
    </row>
    <row r="2229" spans="2:33" ht="16">
      <c r="B2229" s="26" t="str">
        <f t="shared" si="9"/>
        <v/>
      </c>
      <c r="C2229" s="6"/>
      <c r="D2229" s="6"/>
      <c r="E2229" s="6"/>
      <c r="F2229" s="15"/>
      <c r="G2229" s="6"/>
      <c r="H2229" s="6"/>
      <c r="I2229" s="6"/>
      <c r="J2229" s="16"/>
      <c r="K2229" s="6"/>
      <c r="L2229" s="16"/>
      <c r="M2229" s="23"/>
      <c r="N2229" s="15"/>
      <c r="O2229" s="23"/>
      <c r="P2229" s="21"/>
      <c r="Q2229" s="6"/>
      <c r="R2229" s="6"/>
      <c r="S2229" s="20"/>
      <c r="T2229" s="6"/>
      <c r="U2229" s="21"/>
      <c r="W2229" s="20"/>
      <c r="X2229" s="21"/>
      <c r="AD2229" s="23"/>
      <c r="AG2229" s="23"/>
    </row>
    <row r="2230" spans="2:33" ht="16">
      <c r="B2230" s="26" t="str">
        <f t="shared" si="9"/>
        <v/>
      </c>
      <c r="C2230" s="6"/>
      <c r="D2230" s="6"/>
      <c r="E2230" s="6"/>
      <c r="F2230" s="15"/>
      <c r="G2230" s="6"/>
      <c r="H2230" s="6"/>
      <c r="I2230" s="6"/>
      <c r="J2230" s="16"/>
      <c r="K2230" s="6"/>
      <c r="L2230" s="16"/>
      <c r="M2230" s="23"/>
      <c r="N2230" s="15"/>
      <c r="O2230" s="17"/>
      <c r="P2230" s="21"/>
      <c r="Q2230" s="6"/>
      <c r="R2230" s="6"/>
      <c r="S2230" s="20"/>
      <c r="T2230" s="6"/>
      <c r="U2230" s="21"/>
      <c r="W2230" s="20"/>
      <c r="X2230" s="21"/>
      <c r="AD2230" s="23"/>
      <c r="AG2230" s="23"/>
    </row>
    <row r="2231" spans="2:33" ht="16">
      <c r="B2231" s="26" t="str">
        <f t="shared" si="9"/>
        <v/>
      </c>
      <c r="C2231" s="6"/>
      <c r="D2231" s="6"/>
      <c r="E2231" s="6"/>
      <c r="F2231" s="15"/>
      <c r="G2231" s="6"/>
      <c r="H2231" s="6"/>
      <c r="I2231" s="6"/>
      <c r="J2231" s="16"/>
      <c r="K2231" s="6"/>
      <c r="L2231" s="16"/>
      <c r="M2231" s="23"/>
      <c r="N2231" s="15"/>
      <c r="O2231" s="23"/>
      <c r="P2231" s="21"/>
      <c r="Q2231" s="6"/>
      <c r="R2231" s="6"/>
      <c r="S2231" s="20"/>
      <c r="T2231" s="6"/>
      <c r="U2231" s="21"/>
      <c r="W2231" s="20"/>
      <c r="X2231" s="21"/>
      <c r="AD2231" s="17"/>
      <c r="AG2231" s="23"/>
    </row>
    <row r="2232" spans="2:33" ht="16">
      <c r="B2232" s="26" t="str">
        <f t="shared" si="9"/>
        <v/>
      </c>
      <c r="C2232" s="6"/>
      <c r="D2232" s="6"/>
      <c r="E2232" s="6"/>
      <c r="F2232" s="15"/>
      <c r="G2232" s="6"/>
      <c r="H2232" s="6"/>
      <c r="I2232" s="6"/>
      <c r="J2232" s="16"/>
      <c r="K2232" s="6"/>
      <c r="L2232" s="16"/>
      <c r="M2232" s="23"/>
      <c r="N2232" s="15"/>
      <c r="O2232" s="23"/>
      <c r="P2232" s="21"/>
      <c r="Q2232" s="6"/>
      <c r="R2232" s="6"/>
      <c r="S2232" s="20"/>
      <c r="T2232" s="6"/>
      <c r="U2232" s="21"/>
      <c r="W2232" s="20"/>
      <c r="X2232" s="21"/>
      <c r="AD2232" s="23"/>
      <c r="AG2232" s="23"/>
    </row>
    <row r="2233" spans="2:33" ht="16">
      <c r="B2233" s="26" t="str">
        <f t="shared" si="9"/>
        <v/>
      </c>
      <c r="C2233" s="6"/>
      <c r="D2233" s="6"/>
      <c r="E2233" s="6"/>
      <c r="F2233" s="15"/>
      <c r="G2233" s="6"/>
      <c r="H2233" s="6"/>
      <c r="I2233" s="6"/>
      <c r="J2233" s="16"/>
      <c r="K2233" s="6"/>
      <c r="L2233" s="16"/>
      <c r="M2233" s="17"/>
      <c r="N2233" s="15"/>
      <c r="O2233" s="17"/>
      <c r="P2233" s="21"/>
      <c r="Q2233" s="6"/>
      <c r="R2233" s="6"/>
      <c r="S2233" s="20"/>
      <c r="T2233" s="6"/>
      <c r="U2233" s="21"/>
      <c r="W2233" s="20"/>
      <c r="X2233" s="21"/>
      <c r="AD2233" s="17"/>
      <c r="AG2233" s="17"/>
    </row>
    <row r="2234" spans="2:33" ht="16">
      <c r="B2234" s="26" t="str">
        <f t="shared" si="9"/>
        <v/>
      </c>
      <c r="C2234" s="6"/>
      <c r="D2234" s="6"/>
      <c r="E2234" s="6"/>
      <c r="F2234" s="15"/>
      <c r="G2234" s="6"/>
      <c r="H2234" s="6"/>
      <c r="I2234" s="6"/>
      <c r="J2234" s="16"/>
      <c r="K2234" s="6"/>
      <c r="L2234" s="16"/>
      <c r="M2234" s="17"/>
      <c r="N2234" s="15"/>
      <c r="O2234" s="17"/>
      <c r="P2234" s="21"/>
      <c r="Q2234" s="6"/>
      <c r="R2234" s="6"/>
      <c r="S2234" s="20"/>
      <c r="T2234" s="6"/>
      <c r="U2234" s="21"/>
      <c r="W2234" s="20"/>
      <c r="X2234" s="21"/>
      <c r="AD2234" s="23"/>
      <c r="AG2234" s="23"/>
    </row>
    <row r="2235" spans="2:33" ht="16">
      <c r="B2235" s="26" t="str">
        <f t="shared" si="9"/>
        <v/>
      </c>
      <c r="C2235" s="6"/>
      <c r="D2235" s="6"/>
      <c r="E2235" s="6"/>
      <c r="F2235" s="15"/>
      <c r="G2235" s="6"/>
      <c r="H2235" s="6"/>
      <c r="I2235" s="6"/>
      <c r="J2235" s="16"/>
      <c r="K2235" s="6"/>
      <c r="L2235" s="16"/>
      <c r="M2235" s="17"/>
      <c r="N2235" s="15"/>
      <c r="O2235" s="17"/>
      <c r="P2235" s="21"/>
      <c r="Q2235" s="6"/>
      <c r="R2235" s="6"/>
      <c r="S2235" s="20"/>
      <c r="T2235" s="6"/>
      <c r="U2235" s="21"/>
      <c r="W2235" s="20"/>
      <c r="X2235" s="21"/>
      <c r="AD2235" s="17"/>
      <c r="AG2235" s="23"/>
    </row>
    <row r="2236" spans="2:33" ht="16">
      <c r="B2236" s="26" t="str">
        <f t="shared" si="9"/>
        <v/>
      </c>
      <c r="C2236" s="6"/>
      <c r="D2236" s="6"/>
      <c r="E2236" s="6"/>
      <c r="F2236" s="15"/>
      <c r="G2236" s="6"/>
      <c r="H2236" s="6"/>
      <c r="I2236" s="6"/>
      <c r="J2236" s="16"/>
      <c r="K2236" s="6"/>
      <c r="L2236" s="16"/>
      <c r="M2236" s="23"/>
      <c r="N2236" s="15"/>
      <c r="O2236" s="23"/>
      <c r="P2236" s="21"/>
      <c r="Q2236" s="6"/>
      <c r="R2236" s="6"/>
      <c r="S2236" s="20"/>
      <c r="T2236" s="6"/>
      <c r="U2236" s="21"/>
      <c r="W2236" s="20"/>
      <c r="X2236" s="21"/>
      <c r="AD2236" s="17"/>
      <c r="AG2236" s="23"/>
    </row>
    <row r="2237" spans="2:33" ht="16">
      <c r="B2237" s="26" t="str">
        <f t="shared" si="9"/>
        <v/>
      </c>
      <c r="C2237" s="6"/>
      <c r="D2237" s="6"/>
      <c r="E2237" s="6"/>
      <c r="F2237" s="15"/>
      <c r="G2237" s="6"/>
      <c r="H2237" s="6"/>
      <c r="I2237" s="6"/>
      <c r="J2237" s="16"/>
      <c r="K2237" s="6"/>
      <c r="L2237" s="16"/>
      <c r="M2237" s="17"/>
      <c r="N2237" s="15"/>
      <c r="O2237" s="17"/>
      <c r="P2237" s="21"/>
      <c r="Q2237" s="6"/>
      <c r="R2237" s="6"/>
      <c r="S2237" s="20"/>
      <c r="T2237" s="6"/>
      <c r="U2237" s="21"/>
      <c r="W2237" s="20"/>
      <c r="X2237" s="21"/>
      <c r="AD2237" s="17"/>
      <c r="AG2237" s="23"/>
    </row>
    <row r="2238" spans="2:33" ht="16">
      <c r="B2238" s="26" t="str">
        <f t="shared" si="9"/>
        <v/>
      </c>
      <c r="C2238" s="6"/>
      <c r="D2238" s="6"/>
      <c r="E2238" s="6"/>
      <c r="F2238" s="15"/>
      <c r="G2238" s="6"/>
      <c r="H2238" s="6"/>
      <c r="I2238" s="6"/>
      <c r="J2238" s="16"/>
      <c r="K2238" s="6"/>
      <c r="L2238" s="16"/>
      <c r="M2238" s="23"/>
      <c r="N2238" s="15"/>
      <c r="O2238" s="23"/>
      <c r="P2238" s="21"/>
      <c r="Q2238" s="6"/>
      <c r="R2238" s="6"/>
      <c r="S2238" s="20"/>
      <c r="T2238" s="6"/>
      <c r="U2238" s="21"/>
      <c r="W2238" s="20"/>
      <c r="X2238" s="21"/>
      <c r="AD2238" s="17"/>
      <c r="AG2238" s="23"/>
    </row>
    <row r="2239" spans="2:33" ht="16">
      <c r="B2239" s="26" t="str">
        <f t="shared" si="9"/>
        <v/>
      </c>
      <c r="C2239" s="6"/>
      <c r="D2239" s="6"/>
      <c r="E2239" s="6"/>
      <c r="F2239" s="15"/>
      <c r="G2239" s="6"/>
      <c r="H2239" s="6"/>
      <c r="I2239" s="6"/>
      <c r="J2239" s="16"/>
      <c r="K2239" s="6"/>
      <c r="L2239" s="16"/>
      <c r="M2239" s="23"/>
      <c r="N2239" s="15"/>
      <c r="O2239" s="23"/>
      <c r="P2239" s="21"/>
      <c r="Q2239" s="6"/>
      <c r="R2239" s="6"/>
      <c r="S2239" s="20"/>
      <c r="T2239" s="6"/>
      <c r="U2239" s="21"/>
      <c r="W2239" s="20"/>
      <c r="X2239" s="21"/>
      <c r="AD2239" s="17"/>
      <c r="AG2239" s="23"/>
    </row>
    <row r="2240" spans="2:33" ht="16">
      <c r="B2240" s="26" t="str">
        <f t="shared" si="9"/>
        <v/>
      </c>
      <c r="C2240" s="6"/>
      <c r="D2240" s="6"/>
      <c r="E2240" s="6"/>
      <c r="F2240" s="15"/>
      <c r="G2240" s="6"/>
      <c r="H2240" s="6"/>
      <c r="I2240" s="6"/>
      <c r="J2240" s="16"/>
      <c r="K2240" s="6"/>
      <c r="L2240" s="16"/>
      <c r="M2240" s="17"/>
      <c r="N2240" s="15"/>
      <c r="O2240" s="17"/>
      <c r="P2240" s="21"/>
      <c r="Q2240" s="6"/>
      <c r="R2240" s="6"/>
      <c r="S2240" s="20"/>
      <c r="T2240" s="6"/>
      <c r="U2240" s="21"/>
      <c r="W2240" s="20"/>
      <c r="X2240" s="21"/>
      <c r="AD2240" s="17"/>
      <c r="AG2240" s="23"/>
    </row>
    <row r="2241" spans="2:33" ht="16">
      <c r="B2241" s="26" t="str">
        <f t="shared" si="9"/>
        <v/>
      </c>
      <c r="C2241" s="6"/>
      <c r="D2241" s="6"/>
      <c r="E2241" s="6"/>
      <c r="F2241" s="15"/>
      <c r="G2241" s="6"/>
      <c r="H2241" s="6"/>
      <c r="I2241" s="6"/>
      <c r="J2241" s="16"/>
      <c r="K2241" s="6"/>
      <c r="L2241" s="16"/>
      <c r="M2241" s="23"/>
      <c r="N2241" s="15"/>
      <c r="O2241" s="23"/>
      <c r="P2241" s="21"/>
      <c r="Q2241" s="6"/>
      <c r="R2241" s="6"/>
      <c r="S2241" s="20"/>
      <c r="T2241" s="6"/>
      <c r="U2241" s="21"/>
      <c r="W2241" s="20"/>
      <c r="X2241" s="21"/>
      <c r="AD2241" s="17"/>
      <c r="AG2241" s="23"/>
    </row>
    <row r="2242" spans="2:33" ht="16">
      <c r="B2242" s="26" t="str">
        <f t="shared" si="9"/>
        <v/>
      </c>
      <c r="C2242" s="6"/>
      <c r="D2242" s="6"/>
      <c r="E2242" s="6"/>
      <c r="F2242" s="15"/>
      <c r="G2242" s="6"/>
      <c r="H2242" s="6"/>
      <c r="I2242" s="6"/>
      <c r="J2242" s="16"/>
      <c r="K2242" s="6"/>
      <c r="L2242" s="16"/>
      <c r="M2242" s="23"/>
      <c r="N2242" s="15"/>
      <c r="O2242" s="17"/>
      <c r="P2242" s="21"/>
      <c r="Q2242" s="6"/>
      <c r="R2242" s="6"/>
      <c r="S2242" s="20"/>
      <c r="T2242" s="6"/>
      <c r="U2242" s="21"/>
      <c r="W2242" s="20"/>
      <c r="X2242" s="21"/>
      <c r="AD2242" s="17"/>
      <c r="AG2242" s="23"/>
    </row>
    <row r="2243" spans="2:33" ht="16">
      <c r="B2243" s="26" t="str">
        <f t="shared" si="9"/>
        <v/>
      </c>
      <c r="C2243" s="6"/>
      <c r="D2243" s="6"/>
      <c r="E2243" s="6"/>
      <c r="F2243" s="15"/>
      <c r="G2243" s="6"/>
      <c r="H2243" s="6"/>
      <c r="I2243" s="6"/>
      <c r="J2243" s="16"/>
      <c r="K2243" s="6"/>
      <c r="L2243" s="16"/>
      <c r="M2243" s="23"/>
      <c r="N2243" s="15"/>
      <c r="O2243" s="23"/>
      <c r="P2243" s="21"/>
      <c r="Q2243" s="6"/>
      <c r="R2243" s="6"/>
      <c r="S2243" s="20"/>
      <c r="T2243" s="6"/>
      <c r="U2243" s="21"/>
      <c r="W2243" s="20"/>
      <c r="X2243" s="21"/>
      <c r="AD2243" s="17"/>
      <c r="AG2243" s="23"/>
    </row>
    <row r="2244" spans="2:33" ht="16">
      <c r="B2244" s="26" t="str">
        <f t="shared" si="9"/>
        <v/>
      </c>
      <c r="C2244" s="6"/>
      <c r="D2244" s="6"/>
      <c r="E2244" s="6"/>
      <c r="F2244" s="15"/>
      <c r="G2244" s="6"/>
      <c r="H2244" s="6"/>
      <c r="I2244" s="6"/>
      <c r="J2244" s="16"/>
      <c r="K2244" s="6"/>
      <c r="L2244" s="16"/>
      <c r="M2244" s="23"/>
      <c r="N2244" s="15"/>
      <c r="O2244" s="23"/>
      <c r="P2244" s="21"/>
      <c r="Q2244" s="6"/>
      <c r="R2244" s="6"/>
      <c r="S2244" s="20"/>
      <c r="T2244" s="6"/>
      <c r="U2244" s="21"/>
      <c r="W2244" s="20"/>
      <c r="X2244" s="21"/>
      <c r="AD2244" s="17"/>
      <c r="AG2244" s="23"/>
    </row>
    <row r="2245" spans="2:33" ht="16">
      <c r="B2245" s="26" t="str">
        <f t="shared" si="9"/>
        <v/>
      </c>
      <c r="C2245" s="6"/>
      <c r="D2245" s="6"/>
      <c r="E2245" s="6"/>
      <c r="F2245" s="15"/>
      <c r="G2245" s="6"/>
      <c r="H2245" s="6"/>
      <c r="I2245" s="6"/>
      <c r="J2245" s="16"/>
      <c r="K2245" s="6"/>
      <c r="L2245" s="16"/>
      <c r="M2245" s="23"/>
      <c r="N2245" s="15"/>
      <c r="O2245" s="17"/>
      <c r="P2245" s="21"/>
      <c r="Q2245" s="6"/>
      <c r="R2245" s="6"/>
      <c r="S2245" s="20"/>
      <c r="T2245" s="6"/>
      <c r="U2245" s="21"/>
      <c r="W2245" s="20"/>
      <c r="X2245" s="21"/>
      <c r="AD2245" s="17"/>
      <c r="AG2245" s="17"/>
    </row>
    <row r="2246" spans="2:33" ht="16">
      <c r="B2246" s="26" t="str">
        <f t="shared" si="9"/>
        <v/>
      </c>
      <c r="C2246" s="6"/>
      <c r="D2246" s="6"/>
      <c r="E2246" s="6"/>
      <c r="F2246" s="15"/>
      <c r="G2246" s="6"/>
      <c r="H2246" s="6"/>
      <c r="I2246" s="6"/>
      <c r="J2246" s="16"/>
      <c r="K2246" s="6"/>
      <c r="L2246" s="16"/>
      <c r="M2246" s="17"/>
      <c r="N2246" s="15"/>
      <c r="O2246" s="17"/>
      <c r="P2246" s="21"/>
      <c r="Q2246" s="6"/>
      <c r="R2246" s="6"/>
      <c r="S2246" s="20"/>
      <c r="T2246" s="6"/>
      <c r="U2246" s="21"/>
      <c r="W2246" s="20"/>
      <c r="X2246" s="21"/>
      <c r="AD2246" s="17"/>
      <c r="AG2246" s="23"/>
    </row>
    <row r="2247" spans="2:33" ht="16">
      <c r="B2247" s="26" t="str">
        <f t="shared" si="9"/>
        <v/>
      </c>
      <c r="C2247" s="6"/>
      <c r="D2247" s="6"/>
      <c r="E2247" s="6"/>
      <c r="F2247" s="15"/>
      <c r="G2247" s="6"/>
      <c r="H2247" s="6"/>
      <c r="I2247" s="6"/>
      <c r="J2247" s="16"/>
      <c r="K2247" s="6"/>
      <c r="L2247" s="16"/>
      <c r="M2247" s="23"/>
      <c r="N2247" s="15"/>
      <c r="O2247" s="23"/>
      <c r="P2247" s="21"/>
      <c r="Q2247" s="6"/>
      <c r="R2247" s="6"/>
      <c r="S2247" s="20"/>
      <c r="T2247" s="6"/>
      <c r="U2247" s="21"/>
      <c r="W2247" s="20"/>
      <c r="X2247" s="21"/>
      <c r="AD2247" s="17"/>
      <c r="AG2247" s="23"/>
    </row>
    <row r="2248" spans="2:33" ht="16">
      <c r="B2248" s="26" t="str">
        <f t="shared" si="9"/>
        <v/>
      </c>
      <c r="C2248" s="6"/>
      <c r="D2248" s="6"/>
      <c r="E2248" s="6"/>
      <c r="F2248" s="15"/>
      <c r="G2248" s="6"/>
      <c r="H2248" s="6"/>
      <c r="I2248" s="6"/>
      <c r="J2248" s="16"/>
      <c r="K2248" s="6"/>
      <c r="L2248" s="16"/>
      <c r="M2248" s="17"/>
      <c r="N2248" s="15"/>
      <c r="O2248" s="17"/>
      <c r="P2248" s="21"/>
      <c r="Q2248" s="6"/>
      <c r="R2248" s="6"/>
      <c r="S2248" s="20"/>
      <c r="T2248" s="6"/>
      <c r="U2248" s="21"/>
      <c r="W2248" s="20"/>
      <c r="X2248" s="21"/>
      <c r="AD2248" s="17"/>
      <c r="AG2248" s="23"/>
    </row>
    <row r="2249" spans="2:33" ht="16">
      <c r="B2249" s="26" t="str">
        <f t="shared" si="9"/>
        <v/>
      </c>
      <c r="C2249" s="6"/>
      <c r="D2249" s="6"/>
      <c r="E2249" s="6"/>
      <c r="F2249" s="15"/>
      <c r="G2249" s="6"/>
      <c r="H2249" s="6"/>
      <c r="I2249" s="6"/>
      <c r="J2249" s="16"/>
      <c r="K2249" s="6"/>
      <c r="L2249" s="16"/>
      <c r="M2249" s="23"/>
      <c r="N2249" s="15"/>
      <c r="O2249" s="23"/>
      <c r="P2249" s="21"/>
      <c r="Q2249" s="6"/>
      <c r="R2249" s="6"/>
      <c r="S2249" s="20"/>
      <c r="T2249" s="6"/>
      <c r="U2249" s="21"/>
      <c r="W2249" s="20"/>
      <c r="X2249" s="21"/>
      <c r="AD2249" s="17"/>
      <c r="AG2249" s="23"/>
    </row>
    <row r="2250" spans="2:33" ht="16">
      <c r="B2250" s="26" t="str">
        <f t="shared" si="9"/>
        <v/>
      </c>
      <c r="C2250" s="6"/>
      <c r="D2250" s="6"/>
      <c r="E2250" s="6"/>
      <c r="F2250" s="15"/>
      <c r="G2250" s="6"/>
      <c r="H2250" s="6"/>
      <c r="I2250" s="6"/>
      <c r="J2250" s="16"/>
      <c r="K2250" s="6"/>
      <c r="L2250" s="16"/>
      <c r="M2250" s="23"/>
      <c r="N2250" s="15"/>
      <c r="O2250" s="17"/>
      <c r="P2250" s="21"/>
      <c r="Q2250" s="6"/>
      <c r="R2250" s="6"/>
      <c r="S2250" s="20"/>
      <c r="T2250" s="6"/>
      <c r="U2250" s="21"/>
      <c r="W2250" s="20"/>
      <c r="X2250" s="21"/>
      <c r="AD2250" s="17"/>
      <c r="AG2250" s="17"/>
    </row>
    <row r="2251" spans="2:33" ht="16">
      <c r="B2251" s="26" t="str">
        <f t="shared" si="9"/>
        <v/>
      </c>
      <c r="C2251" s="6"/>
      <c r="D2251" s="6"/>
      <c r="E2251" s="6"/>
      <c r="F2251" s="15"/>
      <c r="G2251" s="6"/>
      <c r="H2251" s="6"/>
      <c r="I2251" s="6"/>
      <c r="J2251" s="16"/>
      <c r="K2251" s="6"/>
      <c r="L2251" s="16"/>
      <c r="M2251" s="23"/>
      <c r="N2251" s="15"/>
      <c r="O2251" s="23"/>
      <c r="P2251" s="21"/>
      <c r="Q2251" s="6"/>
      <c r="R2251" s="6"/>
      <c r="S2251" s="20"/>
      <c r="T2251" s="6"/>
      <c r="U2251" s="21"/>
      <c r="W2251" s="20"/>
      <c r="X2251" s="21"/>
      <c r="AD2251" s="17"/>
      <c r="AG2251" s="23"/>
    </row>
    <row r="2252" spans="2:33" ht="16">
      <c r="B2252" s="26" t="str">
        <f t="shared" si="9"/>
        <v/>
      </c>
      <c r="C2252" s="6"/>
      <c r="D2252" s="6"/>
      <c r="E2252" s="6"/>
      <c r="F2252" s="15"/>
      <c r="G2252" s="6"/>
      <c r="H2252" s="6"/>
      <c r="I2252" s="6"/>
      <c r="J2252" s="16"/>
      <c r="K2252" s="6"/>
      <c r="L2252" s="16"/>
      <c r="M2252" s="23"/>
      <c r="N2252" s="15"/>
      <c r="O2252" s="23"/>
      <c r="P2252" s="21"/>
      <c r="Q2252" s="6"/>
      <c r="R2252" s="6"/>
      <c r="S2252" s="20"/>
      <c r="T2252" s="6"/>
      <c r="U2252" s="21"/>
      <c r="W2252" s="20"/>
      <c r="X2252" s="21"/>
      <c r="AD2252" s="17"/>
      <c r="AG2252" s="23"/>
    </row>
    <row r="2253" spans="2:33" ht="16">
      <c r="B2253" s="26" t="str">
        <f t="shared" si="9"/>
        <v/>
      </c>
      <c r="C2253" s="6"/>
      <c r="D2253" s="6"/>
      <c r="E2253" s="6"/>
      <c r="F2253" s="15"/>
      <c r="G2253" s="6"/>
      <c r="H2253" s="6"/>
      <c r="I2253" s="6"/>
      <c r="J2253" s="16"/>
      <c r="K2253" s="6"/>
      <c r="L2253" s="16"/>
      <c r="M2253" s="23"/>
      <c r="N2253" s="15"/>
      <c r="O2253" s="23"/>
      <c r="P2253" s="21"/>
      <c r="Q2253" s="6"/>
      <c r="R2253" s="6"/>
      <c r="S2253" s="20"/>
      <c r="T2253" s="6"/>
      <c r="U2253" s="21"/>
      <c r="W2253" s="20"/>
      <c r="X2253" s="21"/>
      <c r="AD2253" s="17"/>
      <c r="AG2253" s="23"/>
    </row>
    <row r="2254" spans="2:33" ht="16">
      <c r="B2254" s="26" t="str">
        <f t="shared" si="9"/>
        <v/>
      </c>
      <c r="C2254" s="6"/>
      <c r="D2254" s="6"/>
      <c r="E2254" s="6"/>
      <c r="F2254" s="15"/>
      <c r="G2254" s="6"/>
      <c r="H2254" s="6"/>
      <c r="I2254" s="6"/>
      <c r="J2254" s="16"/>
      <c r="K2254" s="6"/>
      <c r="L2254" s="16"/>
      <c r="M2254" s="23"/>
      <c r="N2254" s="15"/>
      <c r="O2254" s="23"/>
      <c r="P2254" s="21"/>
      <c r="Q2254" s="6"/>
      <c r="R2254" s="6"/>
      <c r="S2254" s="20"/>
      <c r="T2254" s="6"/>
      <c r="U2254" s="21"/>
      <c r="W2254" s="20"/>
      <c r="X2254" s="21"/>
      <c r="AD2254" s="17"/>
      <c r="AG2254" s="23"/>
    </row>
    <row r="2255" spans="2:33" ht="16">
      <c r="B2255" s="26" t="str">
        <f t="shared" si="9"/>
        <v/>
      </c>
      <c r="C2255" s="6"/>
      <c r="D2255" s="6"/>
      <c r="E2255" s="6"/>
      <c r="F2255" s="15"/>
      <c r="G2255" s="6"/>
      <c r="H2255" s="6"/>
      <c r="I2255" s="6"/>
      <c r="J2255" s="16"/>
      <c r="K2255" s="6"/>
      <c r="L2255" s="16"/>
      <c r="M2255" s="23"/>
      <c r="N2255" s="15"/>
      <c r="O2255" s="17"/>
      <c r="P2255" s="21"/>
      <c r="Q2255" s="6"/>
      <c r="R2255" s="6"/>
      <c r="S2255" s="20"/>
      <c r="T2255" s="6"/>
      <c r="U2255" s="21"/>
      <c r="W2255" s="20"/>
      <c r="X2255" s="21"/>
      <c r="AD2255" s="17"/>
      <c r="AG2255" s="23"/>
    </row>
    <row r="2256" spans="2:33" ht="16">
      <c r="B2256" s="26" t="str">
        <f t="shared" si="9"/>
        <v/>
      </c>
      <c r="C2256" s="6"/>
      <c r="D2256" s="6"/>
      <c r="E2256" s="6"/>
      <c r="F2256" s="15"/>
      <c r="G2256" s="6"/>
      <c r="H2256" s="6"/>
      <c r="I2256" s="6"/>
      <c r="J2256" s="16"/>
      <c r="K2256" s="6"/>
      <c r="L2256" s="16"/>
      <c r="M2256" s="23"/>
      <c r="N2256" s="15"/>
      <c r="O2256" s="23"/>
      <c r="P2256" s="21"/>
      <c r="Q2256" s="6"/>
      <c r="R2256" s="6"/>
      <c r="S2256" s="20"/>
      <c r="T2256" s="6"/>
      <c r="U2256" s="21"/>
      <c r="W2256" s="20"/>
      <c r="X2256" s="21"/>
      <c r="AD2256" s="17"/>
      <c r="AG2256" s="23"/>
    </row>
    <row r="2257" spans="2:33" ht="16">
      <c r="B2257" s="26" t="str">
        <f t="shared" si="9"/>
        <v/>
      </c>
      <c r="C2257" s="6"/>
      <c r="D2257" s="6"/>
      <c r="E2257" s="6"/>
      <c r="F2257" s="15"/>
      <c r="G2257" s="6"/>
      <c r="H2257" s="6"/>
      <c r="I2257" s="6"/>
      <c r="J2257" s="16"/>
      <c r="K2257" s="6"/>
      <c r="L2257" s="16"/>
      <c r="M2257" s="23"/>
      <c r="N2257" s="15"/>
      <c r="O2257" s="23"/>
      <c r="P2257" s="21"/>
      <c r="Q2257" s="6"/>
      <c r="R2257" s="6"/>
      <c r="S2257" s="20"/>
      <c r="T2257" s="6"/>
      <c r="U2257" s="21"/>
      <c r="W2257" s="20"/>
      <c r="X2257" s="21"/>
      <c r="AD2257" s="17"/>
      <c r="AG2257" s="23"/>
    </row>
    <row r="2258" spans="2:33" ht="16">
      <c r="B2258" s="26" t="str">
        <f t="shared" si="9"/>
        <v/>
      </c>
      <c r="C2258" s="6"/>
      <c r="D2258" s="6"/>
      <c r="E2258" s="6"/>
      <c r="F2258" s="15"/>
      <c r="G2258" s="6"/>
      <c r="H2258" s="6"/>
      <c r="I2258" s="6"/>
      <c r="J2258" s="16"/>
      <c r="K2258" s="6"/>
      <c r="L2258" s="16"/>
      <c r="M2258" s="17"/>
      <c r="N2258" s="15"/>
      <c r="O2258" s="23"/>
      <c r="P2258" s="21"/>
      <c r="Q2258" s="6"/>
      <c r="R2258" s="6"/>
      <c r="S2258" s="20"/>
      <c r="T2258" s="6"/>
      <c r="U2258" s="21"/>
      <c r="W2258" s="20"/>
      <c r="X2258" s="21"/>
      <c r="AD2258" s="17"/>
      <c r="AG2258" s="17"/>
    </row>
    <row r="2259" spans="2:33" ht="16">
      <c r="B2259" s="26" t="str">
        <f t="shared" si="9"/>
        <v/>
      </c>
      <c r="C2259" s="6"/>
      <c r="D2259" s="6"/>
      <c r="E2259" s="6"/>
      <c r="F2259" s="15"/>
      <c r="G2259" s="6"/>
      <c r="H2259" s="6"/>
      <c r="I2259" s="6"/>
      <c r="J2259" s="16"/>
      <c r="K2259" s="6"/>
      <c r="L2259" s="16"/>
      <c r="M2259" s="23"/>
      <c r="N2259" s="15"/>
      <c r="O2259" s="23"/>
      <c r="P2259" s="21"/>
      <c r="Q2259" s="6"/>
      <c r="R2259" s="6"/>
      <c r="S2259" s="20"/>
      <c r="T2259" s="6"/>
      <c r="U2259" s="21"/>
      <c r="W2259" s="20"/>
      <c r="X2259" s="21"/>
      <c r="AD2259" s="17"/>
      <c r="AG2259" s="23"/>
    </row>
    <row r="2260" spans="2:33" ht="16">
      <c r="B2260" s="26" t="str">
        <f t="shared" si="9"/>
        <v/>
      </c>
      <c r="C2260" s="6"/>
      <c r="D2260" s="6"/>
      <c r="E2260" s="6"/>
      <c r="F2260" s="15"/>
      <c r="G2260" s="6"/>
      <c r="H2260" s="6"/>
      <c r="I2260" s="6"/>
      <c r="J2260" s="16"/>
      <c r="K2260" s="6"/>
      <c r="L2260" s="16"/>
      <c r="M2260" s="23"/>
      <c r="N2260" s="15"/>
      <c r="O2260" s="23"/>
      <c r="P2260" s="21"/>
      <c r="Q2260" s="6"/>
      <c r="R2260" s="6"/>
      <c r="S2260" s="20"/>
      <c r="T2260" s="6"/>
      <c r="U2260" s="21"/>
      <c r="W2260" s="20"/>
      <c r="X2260" s="21"/>
      <c r="AD2260" s="17"/>
      <c r="AG2260" s="23"/>
    </row>
    <row r="2261" spans="2:33" ht="16">
      <c r="B2261" s="26" t="str">
        <f t="shared" si="9"/>
        <v/>
      </c>
      <c r="C2261" s="6"/>
      <c r="D2261" s="6"/>
      <c r="E2261" s="6"/>
      <c r="F2261" s="15"/>
      <c r="G2261" s="6"/>
      <c r="H2261" s="6"/>
      <c r="I2261" s="6"/>
      <c r="J2261" s="16"/>
      <c r="K2261" s="6"/>
      <c r="L2261" s="16"/>
      <c r="M2261" s="23"/>
      <c r="N2261" s="15"/>
      <c r="O2261" s="23"/>
      <c r="P2261" s="21"/>
      <c r="Q2261" s="6"/>
      <c r="R2261" s="6"/>
      <c r="S2261" s="20"/>
      <c r="T2261" s="6"/>
      <c r="U2261" s="21"/>
      <c r="W2261" s="20"/>
      <c r="X2261" s="21"/>
      <c r="AD2261" s="17"/>
      <c r="AG2261" s="17"/>
    </row>
    <row r="2262" spans="2:33" ht="16">
      <c r="B2262" s="26" t="str">
        <f t="shared" si="9"/>
        <v/>
      </c>
      <c r="C2262" s="6"/>
      <c r="D2262" s="6"/>
      <c r="E2262" s="6"/>
      <c r="F2262" s="15"/>
      <c r="G2262" s="6"/>
      <c r="H2262" s="6"/>
      <c r="I2262" s="6"/>
      <c r="J2262" s="16"/>
      <c r="K2262" s="6"/>
      <c r="L2262" s="16"/>
      <c r="M2262" s="23"/>
      <c r="N2262" s="15"/>
      <c r="O2262" s="23"/>
      <c r="P2262" s="21"/>
      <c r="Q2262" s="6"/>
      <c r="R2262" s="6"/>
      <c r="S2262" s="20"/>
      <c r="T2262" s="6"/>
      <c r="U2262" s="21"/>
      <c r="W2262" s="20"/>
      <c r="X2262" s="21"/>
      <c r="AD2262" s="17"/>
      <c r="AG2262" s="23"/>
    </row>
    <row r="2263" spans="2:33" ht="16">
      <c r="B2263" s="26" t="str">
        <f t="shared" si="9"/>
        <v/>
      </c>
      <c r="C2263" s="6"/>
      <c r="D2263" s="6"/>
      <c r="E2263" s="6"/>
      <c r="F2263" s="15"/>
      <c r="G2263" s="6"/>
      <c r="H2263" s="6"/>
      <c r="I2263" s="6"/>
      <c r="J2263" s="16"/>
      <c r="K2263" s="6"/>
      <c r="L2263" s="16"/>
      <c r="M2263" s="23"/>
      <c r="N2263" s="15"/>
      <c r="O2263" s="23"/>
      <c r="P2263" s="21"/>
      <c r="Q2263" s="6"/>
      <c r="R2263" s="6"/>
      <c r="S2263" s="20"/>
      <c r="T2263" s="6"/>
      <c r="U2263" s="21"/>
      <c r="W2263" s="20"/>
      <c r="X2263" s="21"/>
      <c r="AD2263" s="17"/>
      <c r="AG2263" s="23"/>
    </row>
    <row r="2264" spans="2:33" ht="16">
      <c r="B2264" s="26" t="str">
        <f t="shared" si="9"/>
        <v/>
      </c>
      <c r="C2264" s="6"/>
      <c r="D2264" s="6"/>
      <c r="E2264" s="6"/>
      <c r="F2264" s="15"/>
      <c r="G2264" s="6"/>
      <c r="H2264" s="6"/>
      <c r="I2264" s="6"/>
      <c r="J2264" s="16"/>
      <c r="K2264" s="6"/>
      <c r="L2264" s="16"/>
      <c r="M2264" s="17"/>
      <c r="N2264" s="15"/>
      <c r="O2264" s="17"/>
      <c r="P2264" s="21"/>
      <c r="Q2264" s="6"/>
      <c r="R2264" s="6"/>
      <c r="S2264" s="20"/>
      <c r="T2264" s="6"/>
      <c r="U2264" s="21"/>
      <c r="W2264" s="20"/>
      <c r="X2264" s="21"/>
      <c r="AD2264" s="17"/>
      <c r="AG2264" s="17"/>
    </row>
    <row r="2265" spans="2:33" ht="16">
      <c r="B2265" s="26" t="str">
        <f t="shared" si="9"/>
        <v/>
      </c>
      <c r="C2265" s="6"/>
      <c r="D2265" s="6"/>
      <c r="E2265" s="6"/>
      <c r="F2265" s="15"/>
      <c r="G2265" s="6"/>
      <c r="H2265" s="6"/>
      <c r="I2265" s="6"/>
      <c r="J2265" s="16"/>
      <c r="K2265" s="6"/>
      <c r="L2265" s="16"/>
      <c r="M2265" s="17"/>
      <c r="N2265" s="15"/>
      <c r="O2265" s="17"/>
      <c r="P2265" s="21"/>
      <c r="Q2265" s="6"/>
      <c r="R2265" s="6"/>
      <c r="S2265" s="20"/>
      <c r="T2265" s="6"/>
      <c r="U2265" s="21"/>
      <c r="W2265" s="20"/>
      <c r="X2265" s="21"/>
      <c r="AD2265" s="17"/>
      <c r="AG2265" s="17"/>
    </row>
    <row r="2266" spans="2:33" ht="16">
      <c r="B2266" s="26" t="str">
        <f t="shared" si="9"/>
        <v/>
      </c>
      <c r="C2266" s="6"/>
      <c r="D2266" s="6"/>
      <c r="E2266" s="6"/>
      <c r="F2266" s="15"/>
      <c r="G2266" s="6"/>
      <c r="H2266" s="6"/>
      <c r="I2266" s="6"/>
      <c r="J2266" s="16"/>
      <c r="K2266" s="6"/>
      <c r="L2266" s="16"/>
      <c r="M2266" s="17"/>
      <c r="N2266" s="15"/>
      <c r="O2266" s="17"/>
      <c r="P2266" s="21"/>
      <c r="Q2266" s="6"/>
      <c r="R2266" s="6"/>
      <c r="S2266" s="20"/>
      <c r="T2266" s="6"/>
      <c r="U2266" s="21"/>
      <c r="W2266" s="20"/>
      <c r="X2266" s="21"/>
      <c r="AD2266" s="23"/>
      <c r="AG2266" s="23"/>
    </row>
    <row r="2267" spans="2:33" ht="16">
      <c r="B2267" s="26" t="str">
        <f t="shared" si="9"/>
        <v/>
      </c>
      <c r="C2267" s="6"/>
      <c r="D2267" s="6"/>
      <c r="E2267" s="6"/>
      <c r="F2267" s="15"/>
      <c r="G2267" s="6"/>
      <c r="H2267" s="6"/>
      <c r="I2267" s="6"/>
      <c r="J2267" s="16"/>
      <c r="K2267" s="6"/>
      <c r="L2267" s="16"/>
      <c r="M2267" s="17"/>
      <c r="N2267" s="15"/>
      <c r="O2267" s="17"/>
      <c r="P2267" s="21"/>
      <c r="Q2267" s="6"/>
      <c r="R2267" s="6"/>
      <c r="S2267" s="20"/>
      <c r="T2267" s="6"/>
      <c r="U2267" s="21"/>
      <c r="W2267" s="20"/>
      <c r="X2267" s="21"/>
      <c r="AD2267" s="17"/>
      <c r="AG2267" s="23"/>
    </row>
    <row r="2268" spans="2:33" ht="16">
      <c r="B2268" s="26" t="str">
        <f t="shared" si="9"/>
        <v/>
      </c>
      <c r="C2268" s="6"/>
      <c r="D2268" s="6"/>
      <c r="E2268" s="6"/>
      <c r="F2268" s="15"/>
      <c r="G2268" s="6"/>
      <c r="H2268" s="6"/>
      <c r="I2268" s="6"/>
      <c r="J2268" s="16"/>
      <c r="K2268" s="6"/>
      <c r="L2268" s="16"/>
      <c r="M2268" s="17"/>
      <c r="N2268" s="15"/>
      <c r="O2268" s="17"/>
      <c r="P2268" s="21"/>
      <c r="Q2268" s="6"/>
      <c r="R2268" s="6"/>
      <c r="S2268" s="20"/>
      <c r="T2268" s="6"/>
      <c r="U2268" s="21"/>
      <c r="W2268" s="20"/>
      <c r="X2268" s="21"/>
      <c r="AD2268" s="17"/>
      <c r="AG2268" s="23"/>
    </row>
    <row r="2269" spans="2:33" ht="16">
      <c r="B2269" s="26" t="str">
        <f t="shared" si="9"/>
        <v/>
      </c>
      <c r="C2269" s="6"/>
      <c r="D2269" s="6"/>
      <c r="E2269" s="6"/>
      <c r="F2269" s="15"/>
      <c r="G2269" s="6"/>
      <c r="H2269" s="6"/>
      <c r="I2269" s="6"/>
      <c r="J2269" s="16"/>
      <c r="K2269" s="6"/>
      <c r="L2269" s="16"/>
      <c r="M2269" s="17"/>
      <c r="N2269" s="15"/>
      <c r="O2269" s="17"/>
      <c r="P2269" s="21"/>
      <c r="Q2269" s="6"/>
      <c r="R2269" s="6"/>
      <c r="S2269" s="20"/>
      <c r="T2269" s="6"/>
      <c r="U2269" s="21"/>
      <c r="W2269" s="20"/>
      <c r="X2269" s="21"/>
      <c r="AD2269" s="17"/>
      <c r="AG2269" s="17"/>
    </row>
    <row r="2270" spans="2:33" ht="16">
      <c r="B2270" s="26" t="str">
        <f t="shared" si="9"/>
        <v/>
      </c>
      <c r="C2270" s="6"/>
      <c r="D2270" s="6"/>
      <c r="E2270" s="6"/>
      <c r="F2270" s="15"/>
      <c r="G2270" s="6"/>
      <c r="H2270" s="6"/>
      <c r="I2270" s="6"/>
      <c r="J2270" s="16"/>
      <c r="K2270" s="6"/>
      <c r="L2270" s="16"/>
      <c r="M2270" s="23"/>
      <c r="N2270" s="15"/>
      <c r="O2270" s="17"/>
      <c r="P2270" s="21"/>
      <c r="Q2270" s="6"/>
      <c r="R2270" s="6"/>
      <c r="S2270" s="20"/>
      <c r="T2270" s="6"/>
      <c r="U2270" s="21"/>
      <c r="W2270" s="20"/>
      <c r="X2270" s="21"/>
      <c r="AD2270" s="17"/>
      <c r="AG2270" s="17"/>
    </row>
    <row r="2271" spans="2:33" ht="16">
      <c r="B2271" s="26" t="str">
        <f t="shared" si="9"/>
        <v/>
      </c>
      <c r="C2271" s="6"/>
      <c r="D2271" s="6"/>
      <c r="E2271" s="6"/>
      <c r="F2271" s="15"/>
      <c r="G2271" s="6"/>
      <c r="H2271" s="6"/>
      <c r="I2271" s="6"/>
      <c r="J2271" s="16"/>
      <c r="K2271" s="6"/>
      <c r="L2271" s="16"/>
      <c r="M2271" s="23"/>
      <c r="N2271" s="15"/>
      <c r="O2271" s="23"/>
      <c r="P2271" s="21"/>
      <c r="Q2271" s="6"/>
      <c r="R2271" s="6"/>
      <c r="S2271" s="20"/>
      <c r="T2271" s="6"/>
      <c r="U2271" s="21"/>
      <c r="W2271" s="20"/>
      <c r="X2271" s="21"/>
      <c r="AD2271" s="17"/>
      <c r="AG2271" s="23"/>
    </row>
    <row r="2272" spans="2:33" ht="16">
      <c r="B2272" s="26" t="str">
        <f t="shared" si="9"/>
        <v/>
      </c>
      <c r="C2272" s="6"/>
      <c r="D2272" s="6"/>
      <c r="E2272" s="6"/>
      <c r="F2272" s="15"/>
      <c r="G2272" s="6"/>
      <c r="H2272" s="6"/>
      <c r="I2272" s="6"/>
      <c r="J2272" s="16"/>
      <c r="K2272" s="6"/>
      <c r="L2272" s="16"/>
      <c r="M2272" s="23"/>
      <c r="N2272" s="15"/>
      <c r="O2272" s="23"/>
      <c r="P2272" s="21"/>
      <c r="Q2272" s="6"/>
      <c r="R2272" s="6"/>
      <c r="S2272" s="20"/>
      <c r="T2272" s="6"/>
      <c r="U2272" s="21"/>
      <c r="W2272" s="20"/>
      <c r="X2272" s="21"/>
      <c r="AD2272" s="17"/>
      <c r="AG2272" s="23"/>
    </row>
    <row r="2273" spans="2:33" ht="16">
      <c r="B2273" s="26" t="str">
        <f t="shared" si="9"/>
        <v/>
      </c>
      <c r="C2273" s="6"/>
      <c r="D2273" s="6"/>
      <c r="E2273" s="6"/>
      <c r="F2273" s="15"/>
      <c r="G2273" s="6"/>
      <c r="H2273" s="6"/>
      <c r="I2273" s="6"/>
      <c r="J2273" s="16"/>
      <c r="K2273" s="6"/>
      <c r="L2273" s="16"/>
      <c r="M2273" s="23"/>
      <c r="N2273" s="15"/>
      <c r="O2273" s="23"/>
      <c r="P2273" s="21"/>
      <c r="Q2273" s="6"/>
      <c r="R2273" s="6"/>
      <c r="S2273" s="20"/>
      <c r="T2273" s="6"/>
      <c r="U2273" s="21"/>
      <c r="W2273" s="20"/>
      <c r="X2273" s="21"/>
      <c r="AD2273" s="23"/>
      <c r="AG2273" s="23"/>
    </row>
    <row r="2274" spans="2:33" ht="16">
      <c r="B2274" s="26" t="str">
        <f t="shared" si="9"/>
        <v/>
      </c>
      <c r="C2274" s="6"/>
      <c r="D2274" s="6"/>
      <c r="E2274" s="6"/>
      <c r="F2274" s="15"/>
      <c r="G2274" s="6"/>
      <c r="H2274" s="6"/>
      <c r="I2274" s="6"/>
      <c r="J2274" s="16"/>
      <c r="K2274" s="6"/>
      <c r="L2274" s="16"/>
      <c r="M2274" s="23"/>
      <c r="N2274" s="15"/>
      <c r="O2274" s="23"/>
      <c r="P2274" s="21"/>
      <c r="Q2274" s="6"/>
      <c r="R2274" s="6"/>
      <c r="S2274" s="20"/>
      <c r="T2274" s="6"/>
      <c r="U2274" s="21"/>
      <c r="W2274" s="20"/>
      <c r="X2274" s="21"/>
      <c r="AD2274" s="23"/>
      <c r="AG2274" s="23"/>
    </row>
    <row r="2275" spans="2:33" ht="16">
      <c r="B2275" s="26" t="str">
        <f t="shared" si="9"/>
        <v/>
      </c>
      <c r="C2275" s="23"/>
      <c r="D2275" s="6"/>
      <c r="E2275" s="6"/>
      <c r="F2275" s="15"/>
      <c r="G2275" s="6"/>
      <c r="H2275" s="6"/>
      <c r="I2275" s="6"/>
      <c r="J2275" s="16"/>
      <c r="K2275" s="6"/>
      <c r="L2275" s="16"/>
      <c r="M2275" s="23"/>
      <c r="N2275" s="15"/>
      <c r="O2275" s="17"/>
      <c r="P2275" s="21"/>
      <c r="Q2275" s="6"/>
      <c r="R2275" s="6"/>
      <c r="S2275" s="20"/>
      <c r="T2275" s="6"/>
      <c r="U2275" s="21"/>
      <c r="W2275" s="20"/>
      <c r="X2275" s="21"/>
      <c r="AD2275" s="17"/>
      <c r="AG2275" s="17"/>
    </row>
    <row r="2276" spans="2:33" ht="16">
      <c r="B2276" s="26" t="str">
        <f t="shared" si="9"/>
        <v/>
      </c>
      <c r="C2276" s="6"/>
      <c r="D2276" s="6"/>
      <c r="E2276" s="6"/>
      <c r="F2276" s="15"/>
      <c r="G2276" s="6"/>
      <c r="H2276" s="6"/>
      <c r="I2276" s="6"/>
      <c r="J2276" s="16"/>
      <c r="K2276" s="6"/>
      <c r="L2276" s="16"/>
      <c r="M2276" s="17"/>
      <c r="N2276" s="15"/>
      <c r="O2276" s="17"/>
      <c r="P2276" s="21"/>
      <c r="Q2276" s="6"/>
      <c r="R2276" s="6"/>
      <c r="S2276" s="20"/>
      <c r="T2276" s="6"/>
      <c r="U2276" s="21"/>
      <c r="W2276" s="20"/>
      <c r="X2276" s="21"/>
      <c r="AD2276" s="17"/>
      <c r="AG2276" s="17"/>
    </row>
    <row r="2277" spans="2:33" ht="16">
      <c r="B2277" s="26" t="str">
        <f t="shared" si="9"/>
        <v/>
      </c>
      <c r="C2277" s="6"/>
      <c r="D2277" s="6"/>
      <c r="E2277" s="6"/>
      <c r="F2277" s="15"/>
      <c r="G2277" s="6"/>
      <c r="H2277" s="6"/>
      <c r="I2277" s="6"/>
      <c r="J2277" s="16"/>
      <c r="K2277" s="6"/>
      <c r="L2277" s="16"/>
      <c r="M2277" s="23"/>
      <c r="N2277" s="15"/>
      <c r="O2277" s="17"/>
      <c r="P2277" s="21"/>
      <c r="Q2277" s="6"/>
      <c r="R2277" s="6"/>
      <c r="S2277" s="20"/>
      <c r="T2277" s="6"/>
      <c r="U2277" s="21"/>
      <c r="W2277" s="20"/>
      <c r="X2277" s="21"/>
      <c r="AD2277" s="17"/>
      <c r="AG2277" s="17"/>
    </row>
    <row r="2278" spans="2:33" ht="16">
      <c r="B2278" s="26" t="str">
        <f t="shared" si="9"/>
        <v/>
      </c>
      <c r="C2278" s="6"/>
      <c r="D2278" s="6"/>
      <c r="E2278" s="6"/>
      <c r="F2278" s="15"/>
      <c r="G2278" s="6"/>
      <c r="H2278" s="6"/>
      <c r="I2278" s="6"/>
      <c r="J2278" s="16"/>
      <c r="K2278" s="6"/>
      <c r="L2278" s="16"/>
      <c r="M2278" s="17"/>
      <c r="N2278" s="15"/>
      <c r="O2278" s="23"/>
      <c r="P2278" s="21"/>
      <c r="Q2278" s="6"/>
      <c r="R2278" s="6"/>
      <c r="S2278" s="20"/>
      <c r="T2278" s="6"/>
      <c r="U2278" s="21"/>
      <c r="W2278" s="20"/>
      <c r="X2278" s="21"/>
      <c r="AD2278" s="17"/>
      <c r="AG2278" s="23"/>
    </row>
    <row r="2279" spans="2:33" ht="16">
      <c r="B2279" s="26" t="str">
        <f t="shared" si="9"/>
        <v/>
      </c>
      <c r="C2279" s="6"/>
      <c r="D2279" s="6"/>
      <c r="E2279" s="6"/>
      <c r="F2279" s="15"/>
      <c r="G2279" s="6"/>
      <c r="H2279" s="6"/>
      <c r="I2279" s="6"/>
      <c r="J2279" s="16"/>
      <c r="K2279" s="6"/>
      <c r="L2279" s="16"/>
      <c r="M2279" s="23"/>
      <c r="N2279" s="15"/>
      <c r="O2279" s="23"/>
      <c r="P2279" s="21"/>
      <c r="Q2279" s="6"/>
      <c r="R2279" s="6"/>
      <c r="S2279" s="20"/>
      <c r="T2279" s="6"/>
      <c r="U2279" s="21"/>
      <c r="W2279" s="20"/>
      <c r="X2279" s="21"/>
      <c r="AD2279" s="23"/>
      <c r="AG2279" s="23"/>
    </row>
    <row r="2280" spans="2:33" ht="16">
      <c r="B2280" s="26" t="str">
        <f t="shared" si="9"/>
        <v/>
      </c>
      <c r="C2280" s="6"/>
      <c r="D2280" s="6"/>
      <c r="E2280" s="6"/>
      <c r="F2280" s="15"/>
      <c r="G2280" s="6"/>
      <c r="H2280" s="6"/>
      <c r="I2280" s="6"/>
      <c r="J2280" s="16"/>
      <c r="K2280" s="6"/>
      <c r="L2280" s="16"/>
      <c r="M2280" s="17"/>
      <c r="N2280" s="15"/>
      <c r="O2280" s="17"/>
      <c r="P2280" s="21"/>
      <c r="Q2280" s="6"/>
      <c r="R2280" s="6"/>
      <c r="S2280" s="20"/>
      <c r="T2280" s="6"/>
      <c r="U2280" s="21"/>
      <c r="W2280" s="20"/>
      <c r="X2280" s="21"/>
      <c r="AD2280" s="17"/>
      <c r="AG2280" s="23"/>
    </row>
    <row r="2281" spans="2:33" ht="16">
      <c r="B2281" s="26" t="str">
        <f t="shared" si="9"/>
        <v/>
      </c>
      <c r="C2281" s="6"/>
      <c r="D2281" s="6"/>
      <c r="E2281" s="6"/>
      <c r="F2281" s="15"/>
      <c r="G2281" s="6"/>
      <c r="H2281" s="6"/>
      <c r="I2281" s="6"/>
      <c r="J2281" s="16"/>
      <c r="K2281" s="6"/>
      <c r="L2281" s="16"/>
      <c r="M2281" s="23"/>
      <c r="N2281" s="15"/>
      <c r="O2281" s="23"/>
      <c r="P2281" s="21"/>
      <c r="Q2281" s="6"/>
      <c r="R2281" s="6"/>
      <c r="S2281" s="20"/>
      <c r="T2281" s="6"/>
      <c r="U2281" s="21"/>
      <c r="W2281" s="20"/>
      <c r="X2281" s="21"/>
      <c r="AD2281" s="23"/>
      <c r="AG2281" s="23"/>
    </row>
    <row r="2282" spans="2:33" ht="16">
      <c r="B2282" s="26" t="str">
        <f t="shared" si="9"/>
        <v/>
      </c>
      <c r="C2282" s="6"/>
      <c r="D2282" s="6"/>
      <c r="E2282" s="6"/>
      <c r="F2282" s="15"/>
      <c r="G2282" s="6"/>
      <c r="H2282" s="6"/>
      <c r="I2282" s="6"/>
      <c r="J2282" s="16"/>
      <c r="K2282" s="6"/>
      <c r="L2282" s="16"/>
      <c r="M2282" s="23"/>
      <c r="N2282" s="15"/>
      <c r="O2282" s="23"/>
      <c r="P2282" s="21"/>
      <c r="Q2282" s="6"/>
      <c r="R2282" s="6"/>
      <c r="S2282" s="20"/>
      <c r="T2282" s="6"/>
      <c r="U2282" s="21"/>
      <c r="W2282" s="20"/>
      <c r="X2282" s="21"/>
      <c r="AD2282" s="23"/>
      <c r="AG2282" s="23"/>
    </row>
    <row r="2283" spans="2:33" ht="16">
      <c r="B2283" s="26" t="str">
        <f t="shared" si="9"/>
        <v/>
      </c>
      <c r="C2283" s="6"/>
      <c r="D2283" s="6"/>
      <c r="E2283" s="6"/>
      <c r="F2283" s="15"/>
      <c r="G2283" s="6"/>
      <c r="H2283" s="6"/>
      <c r="I2283" s="6"/>
      <c r="J2283" s="16"/>
      <c r="K2283" s="6"/>
      <c r="L2283" s="16"/>
      <c r="M2283" s="23"/>
      <c r="N2283" s="15"/>
      <c r="O2283" s="23"/>
      <c r="P2283" s="21"/>
      <c r="Q2283" s="6"/>
      <c r="R2283" s="6"/>
      <c r="S2283" s="20"/>
      <c r="T2283" s="6"/>
      <c r="U2283" s="21"/>
      <c r="W2283" s="20"/>
      <c r="X2283" s="21"/>
      <c r="AD2283" s="23"/>
      <c r="AG2283" s="23"/>
    </row>
    <row r="2284" spans="2:33" ht="16">
      <c r="B2284" s="26" t="str">
        <f t="shared" si="9"/>
        <v/>
      </c>
      <c r="C2284" s="6"/>
      <c r="D2284" s="6"/>
      <c r="E2284" s="6"/>
      <c r="F2284" s="15"/>
      <c r="G2284" s="6"/>
      <c r="H2284" s="6"/>
      <c r="I2284" s="6"/>
      <c r="J2284" s="16"/>
      <c r="K2284" s="6"/>
      <c r="L2284" s="16"/>
      <c r="M2284" s="23"/>
      <c r="N2284" s="15"/>
      <c r="O2284" s="23"/>
      <c r="P2284" s="21"/>
      <c r="Q2284" s="6"/>
      <c r="R2284" s="6"/>
      <c r="S2284" s="20"/>
      <c r="T2284" s="6"/>
      <c r="U2284" s="21"/>
      <c r="W2284" s="20"/>
      <c r="X2284" s="21"/>
      <c r="AD2284" s="23"/>
      <c r="AG2284" s="23"/>
    </row>
    <row r="2285" spans="2:33" ht="16">
      <c r="B2285" s="26" t="str">
        <f t="shared" si="9"/>
        <v/>
      </c>
      <c r="C2285" s="6"/>
      <c r="D2285" s="6"/>
      <c r="E2285" s="6"/>
      <c r="F2285" s="15"/>
      <c r="G2285" s="6"/>
      <c r="H2285" s="6"/>
      <c r="I2285" s="6"/>
      <c r="J2285" s="16"/>
      <c r="K2285" s="6"/>
      <c r="L2285" s="16"/>
      <c r="M2285" s="23"/>
      <c r="N2285" s="15"/>
      <c r="O2285" s="23"/>
      <c r="P2285" s="21"/>
      <c r="Q2285" s="6"/>
      <c r="R2285" s="6"/>
      <c r="S2285" s="20"/>
      <c r="T2285" s="6"/>
      <c r="U2285" s="21"/>
      <c r="W2285" s="20"/>
      <c r="X2285" s="21"/>
      <c r="AD2285" s="23"/>
      <c r="AG2285" s="23"/>
    </row>
    <row r="2286" spans="2:33" ht="16">
      <c r="B2286" s="26" t="str">
        <f t="shared" si="9"/>
        <v/>
      </c>
      <c r="C2286" s="6"/>
      <c r="D2286" s="6"/>
      <c r="E2286" s="6"/>
      <c r="F2286" s="15"/>
      <c r="G2286" s="6"/>
      <c r="H2286" s="6"/>
      <c r="I2286" s="6"/>
      <c r="J2286" s="16"/>
      <c r="K2286" s="6"/>
      <c r="L2286" s="16"/>
      <c r="M2286" s="17"/>
      <c r="N2286" s="15"/>
      <c r="O2286" s="17"/>
      <c r="P2286" s="21"/>
      <c r="Q2286" s="6"/>
      <c r="R2286" s="6"/>
      <c r="S2286" s="20"/>
      <c r="T2286" s="6"/>
      <c r="U2286" s="21"/>
      <c r="W2286" s="20"/>
      <c r="X2286" s="21"/>
      <c r="AD2286" s="23"/>
      <c r="AG2286" s="23"/>
    </row>
    <row r="2287" spans="2:33" ht="16">
      <c r="B2287" s="26" t="str">
        <f t="shared" si="9"/>
        <v/>
      </c>
      <c r="C2287" s="6"/>
      <c r="D2287" s="6"/>
      <c r="E2287" s="6"/>
      <c r="F2287" s="15"/>
      <c r="G2287" s="6"/>
      <c r="H2287" s="6"/>
      <c r="I2287" s="6"/>
      <c r="J2287" s="16"/>
      <c r="K2287" s="6"/>
      <c r="L2287" s="16"/>
      <c r="M2287" s="17"/>
      <c r="N2287" s="15"/>
      <c r="O2287" s="17"/>
      <c r="P2287" s="21"/>
      <c r="Q2287" s="6"/>
      <c r="R2287" s="6"/>
      <c r="S2287" s="20"/>
      <c r="T2287" s="6"/>
      <c r="U2287" s="21"/>
      <c r="W2287" s="20"/>
      <c r="X2287" s="21"/>
      <c r="AD2287" s="17"/>
      <c r="AG2287" s="17"/>
    </row>
    <row r="2288" spans="2:33" ht="16">
      <c r="B2288" s="26" t="str">
        <f t="shared" si="9"/>
        <v/>
      </c>
      <c r="C2288" s="6"/>
      <c r="D2288" s="6"/>
      <c r="E2288" s="6"/>
      <c r="F2288" s="15"/>
      <c r="G2288" s="6"/>
      <c r="H2288" s="6"/>
      <c r="I2288" s="6"/>
      <c r="J2288" s="16"/>
      <c r="K2288" s="6"/>
      <c r="L2288" s="16"/>
      <c r="M2288" s="23"/>
      <c r="N2288" s="15"/>
      <c r="O2288" s="17"/>
      <c r="P2288" s="21"/>
      <c r="Q2288" s="6"/>
      <c r="R2288" s="6"/>
      <c r="S2288" s="20"/>
      <c r="T2288" s="6"/>
      <c r="U2288" s="21"/>
      <c r="W2288" s="20"/>
      <c r="X2288" s="21"/>
      <c r="AD2288" s="17"/>
      <c r="AG2288" s="17"/>
    </row>
    <row r="2289" spans="2:33" ht="16">
      <c r="B2289" s="26" t="str">
        <f t="shared" si="9"/>
        <v/>
      </c>
      <c r="C2289" s="6"/>
      <c r="D2289" s="6"/>
      <c r="E2289" s="6"/>
      <c r="F2289" s="15"/>
      <c r="G2289" s="6"/>
      <c r="H2289" s="6"/>
      <c r="I2289" s="6"/>
      <c r="J2289" s="16"/>
      <c r="K2289" s="6"/>
      <c r="L2289" s="16"/>
      <c r="M2289" s="23"/>
      <c r="N2289" s="15"/>
      <c r="O2289" s="23"/>
      <c r="P2289" s="21"/>
      <c r="Q2289" s="6"/>
      <c r="R2289" s="6"/>
      <c r="S2289" s="20"/>
      <c r="T2289" s="6"/>
      <c r="U2289" s="21"/>
      <c r="W2289" s="20"/>
      <c r="X2289" s="21"/>
      <c r="AD2289" s="17"/>
      <c r="AG2289" s="23"/>
    </row>
    <row r="2290" spans="2:33" ht="16">
      <c r="B2290" s="26" t="str">
        <f t="shared" si="9"/>
        <v/>
      </c>
      <c r="C2290" s="6"/>
      <c r="D2290" s="6"/>
      <c r="E2290" s="6"/>
      <c r="F2290" s="15"/>
      <c r="G2290" s="6"/>
      <c r="H2290" s="6"/>
      <c r="I2290" s="6"/>
      <c r="J2290" s="16"/>
      <c r="K2290" s="6"/>
      <c r="L2290" s="16"/>
      <c r="M2290" s="23"/>
      <c r="N2290" s="15"/>
      <c r="O2290" s="23"/>
      <c r="P2290" s="21"/>
      <c r="Q2290" s="6"/>
      <c r="R2290" s="6"/>
      <c r="S2290" s="20"/>
      <c r="T2290" s="6"/>
      <c r="U2290" s="21"/>
      <c r="W2290" s="20"/>
      <c r="X2290" s="21"/>
      <c r="AD2290" s="23"/>
      <c r="AG2290" s="23"/>
    </row>
    <row r="2291" spans="2:33" ht="16">
      <c r="B2291" s="26" t="str">
        <f t="shared" si="9"/>
        <v/>
      </c>
      <c r="C2291" s="6"/>
      <c r="D2291" s="6"/>
      <c r="E2291" s="6"/>
      <c r="F2291" s="15"/>
      <c r="G2291" s="6"/>
      <c r="H2291" s="6"/>
      <c r="I2291" s="6"/>
      <c r="J2291" s="16"/>
      <c r="K2291" s="6"/>
      <c r="L2291" s="16"/>
      <c r="M2291" s="17"/>
      <c r="N2291" s="15"/>
      <c r="O2291" s="17"/>
      <c r="P2291" s="21"/>
      <c r="Q2291" s="6"/>
      <c r="R2291" s="6"/>
      <c r="S2291" s="20"/>
      <c r="T2291" s="6"/>
      <c r="U2291" s="21"/>
      <c r="W2291" s="20"/>
      <c r="X2291" s="21"/>
      <c r="AD2291" s="17"/>
      <c r="AG2291" s="17"/>
    </row>
    <row r="2292" spans="2:33" ht="16">
      <c r="B2292" s="26" t="str">
        <f t="shared" si="9"/>
        <v/>
      </c>
      <c r="C2292" s="6"/>
      <c r="D2292" s="6"/>
      <c r="E2292" s="6"/>
      <c r="F2292" s="15"/>
      <c r="G2292" s="6"/>
      <c r="H2292" s="6"/>
      <c r="I2292" s="6"/>
      <c r="J2292" s="16"/>
      <c r="K2292" s="6"/>
      <c r="L2292" s="16"/>
      <c r="M2292" s="17"/>
      <c r="N2292" s="15"/>
      <c r="O2292" s="23"/>
      <c r="P2292" s="21"/>
      <c r="Q2292" s="6"/>
      <c r="R2292" s="6"/>
      <c r="S2292" s="20"/>
      <c r="T2292" s="6"/>
      <c r="U2292" s="21"/>
      <c r="W2292" s="20"/>
      <c r="X2292" s="21"/>
      <c r="AD2292" s="17"/>
      <c r="AG2292" s="23"/>
    </row>
    <row r="2293" spans="2:33" ht="16">
      <c r="B2293" s="26" t="str">
        <f t="shared" si="9"/>
        <v/>
      </c>
      <c r="C2293" s="6"/>
      <c r="D2293" s="6"/>
      <c r="E2293" s="6"/>
      <c r="F2293" s="15"/>
      <c r="G2293" s="6"/>
      <c r="H2293" s="6"/>
      <c r="I2293" s="6"/>
      <c r="J2293" s="16"/>
      <c r="K2293" s="6"/>
      <c r="L2293" s="16"/>
      <c r="M2293" s="23"/>
      <c r="N2293" s="15"/>
      <c r="O2293" s="23"/>
      <c r="P2293" s="21"/>
      <c r="Q2293" s="6"/>
      <c r="R2293" s="6"/>
      <c r="S2293" s="20"/>
      <c r="T2293" s="6"/>
      <c r="U2293" s="21"/>
      <c r="W2293" s="20"/>
      <c r="X2293" s="21"/>
      <c r="AD2293" s="17"/>
      <c r="AG2293" s="17"/>
    </row>
    <row r="2294" spans="2:33" ht="16">
      <c r="B2294" s="26" t="str">
        <f t="shared" si="9"/>
        <v/>
      </c>
      <c r="C2294" s="6"/>
      <c r="D2294" s="6"/>
      <c r="E2294" s="6"/>
      <c r="F2294" s="15"/>
      <c r="G2294" s="6"/>
      <c r="H2294" s="6"/>
      <c r="I2294" s="6"/>
      <c r="J2294" s="16"/>
      <c r="K2294" s="6"/>
      <c r="L2294" s="16"/>
      <c r="M2294" s="23"/>
      <c r="N2294" s="15"/>
      <c r="O2294" s="23"/>
      <c r="P2294" s="21"/>
      <c r="Q2294" s="6"/>
      <c r="R2294" s="6"/>
      <c r="S2294" s="20"/>
      <c r="T2294" s="6"/>
      <c r="U2294" s="21"/>
      <c r="W2294" s="20"/>
      <c r="X2294" s="21"/>
      <c r="AD2294" s="17"/>
      <c r="AG2294" s="17"/>
    </row>
    <row r="2295" spans="2:33" ht="16">
      <c r="B2295" s="26" t="str">
        <f t="shared" si="9"/>
        <v/>
      </c>
      <c r="C2295" s="6"/>
      <c r="D2295" s="6"/>
      <c r="E2295" s="6"/>
      <c r="F2295" s="15"/>
      <c r="G2295" s="6"/>
      <c r="H2295" s="6"/>
      <c r="I2295" s="6"/>
      <c r="J2295" s="16"/>
      <c r="K2295" s="6"/>
      <c r="L2295" s="16"/>
      <c r="M2295" s="23"/>
      <c r="N2295" s="15"/>
      <c r="O2295" s="23"/>
      <c r="P2295" s="21"/>
      <c r="Q2295" s="6"/>
      <c r="R2295" s="6"/>
      <c r="S2295" s="20"/>
      <c r="T2295" s="6"/>
      <c r="U2295" s="21"/>
      <c r="W2295" s="20"/>
      <c r="X2295" s="21"/>
      <c r="AD2295" s="23"/>
      <c r="AG2295" s="23"/>
    </row>
    <row r="2296" spans="2:33" ht="16">
      <c r="B2296" s="26" t="str">
        <f t="shared" si="9"/>
        <v/>
      </c>
      <c r="C2296" s="6"/>
      <c r="D2296" s="6"/>
      <c r="E2296" s="6"/>
      <c r="F2296" s="15"/>
      <c r="G2296" s="6"/>
      <c r="H2296" s="6"/>
      <c r="I2296" s="6"/>
      <c r="J2296" s="16"/>
      <c r="K2296" s="6"/>
      <c r="L2296" s="16"/>
      <c r="M2296" s="23"/>
      <c r="N2296" s="15"/>
      <c r="O2296" s="23"/>
      <c r="P2296" s="21"/>
      <c r="Q2296" s="6"/>
      <c r="R2296" s="6"/>
      <c r="S2296" s="20"/>
      <c r="T2296" s="6"/>
      <c r="U2296" s="21"/>
      <c r="W2296" s="20"/>
      <c r="X2296" s="21"/>
      <c r="AD2296" s="23"/>
      <c r="AG2296" s="17"/>
    </row>
    <row r="2297" spans="2:33" ht="16">
      <c r="B2297" s="26" t="str">
        <f t="shared" si="9"/>
        <v/>
      </c>
      <c r="C2297" s="6"/>
      <c r="D2297" s="6"/>
      <c r="E2297" s="6"/>
      <c r="F2297" s="15"/>
      <c r="G2297" s="6"/>
      <c r="H2297" s="6"/>
      <c r="I2297" s="6"/>
      <c r="J2297" s="16"/>
      <c r="K2297" s="6"/>
      <c r="L2297" s="16"/>
      <c r="M2297" s="23"/>
      <c r="N2297" s="15"/>
      <c r="O2297" s="23"/>
      <c r="P2297" s="21"/>
      <c r="Q2297" s="6"/>
      <c r="R2297" s="6"/>
      <c r="S2297" s="20"/>
      <c r="T2297" s="6"/>
      <c r="U2297" s="21"/>
      <c r="W2297" s="20"/>
      <c r="X2297" s="21"/>
      <c r="AD2297" s="17"/>
      <c r="AG2297" s="23"/>
    </row>
    <row r="2298" spans="2:33" ht="16">
      <c r="B2298" s="26" t="str">
        <f t="shared" si="9"/>
        <v/>
      </c>
      <c r="C2298" s="6"/>
      <c r="D2298" s="6"/>
      <c r="E2298" s="6"/>
      <c r="F2298" s="15"/>
      <c r="G2298" s="6"/>
      <c r="H2298" s="6"/>
      <c r="I2298" s="6"/>
      <c r="J2298" s="16"/>
      <c r="K2298" s="6"/>
      <c r="L2298" s="16"/>
      <c r="M2298" s="23"/>
      <c r="N2298" s="15"/>
      <c r="O2298" s="23"/>
      <c r="P2298" s="21"/>
      <c r="Q2298" s="6"/>
      <c r="R2298" s="6"/>
      <c r="S2298" s="20"/>
      <c r="T2298" s="6"/>
      <c r="U2298" s="21"/>
      <c r="W2298" s="20"/>
      <c r="X2298" s="21"/>
      <c r="AD2298" s="17"/>
      <c r="AG2298" s="23"/>
    </row>
    <row r="2299" spans="2:33" ht="16">
      <c r="B2299" s="26" t="str">
        <f t="shared" si="9"/>
        <v/>
      </c>
      <c r="C2299" s="6"/>
      <c r="D2299" s="6"/>
      <c r="E2299" s="6"/>
      <c r="F2299" s="15"/>
      <c r="G2299" s="6"/>
      <c r="H2299" s="6"/>
      <c r="I2299" s="6"/>
      <c r="J2299" s="16"/>
      <c r="K2299" s="6"/>
      <c r="L2299" s="16"/>
      <c r="M2299" s="23"/>
      <c r="N2299" s="15"/>
      <c r="O2299" s="23"/>
      <c r="P2299" s="21"/>
      <c r="Q2299" s="6"/>
      <c r="R2299" s="6"/>
      <c r="S2299" s="20"/>
      <c r="T2299" s="6"/>
      <c r="U2299" s="21"/>
      <c r="W2299" s="20"/>
      <c r="X2299" s="21"/>
      <c r="AD2299" s="17"/>
      <c r="AG2299" s="23"/>
    </row>
    <row r="2300" spans="2:33" ht="16">
      <c r="B2300" s="26" t="str">
        <f t="shared" si="9"/>
        <v/>
      </c>
      <c r="C2300" s="6"/>
      <c r="D2300" s="6"/>
      <c r="E2300" s="6"/>
      <c r="F2300" s="15"/>
      <c r="G2300" s="6"/>
      <c r="H2300" s="6"/>
      <c r="I2300" s="6"/>
      <c r="J2300" s="16"/>
      <c r="K2300" s="6"/>
      <c r="L2300" s="16"/>
      <c r="M2300" s="23"/>
      <c r="N2300" s="15"/>
      <c r="O2300" s="23"/>
      <c r="P2300" s="21"/>
      <c r="Q2300" s="6"/>
      <c r="R2300" s="6"/>
      <c r="S2300" s="20"/>
      <c r="T2300" s="6"/>
      <c r="U2300" s="21"/>
      <c r="W2300" s="20"/>
      <c r="X2300" s="21"/>
      <c r="AD2300" s="17"/>
      <c r="AG2300" s="17"/>
    </row>
    <row r="2301" spans="2:33" ht="16">
      <c r="B2301" s="26" t="str">
        <f t="shared" si="9"/>
        <v/>
      </c>
      <c r="C2301" s="6"/>
      <c r="D2301" s="6"/>
      <c r="E2301" s="6"/>
      <c r="F2301" s="15"/>
      <c r="G2301" s="6"/>
      <c r="H2301" s="6"/>
      <c r="I2301" s="6"/>
      <c r="J2301" s="16"/>
      <c r="K2301" s="6"/>
      <c r="L2301" s="16"/>
      <c r="M2301" s="17"/>
      <c r="N2301" s="15"/>
      <c r="O2301" s="23"/>
      <c r="P2301" s="21"/>
      <c r="Q2301" s="6"/>
      <c r="R2301" s="6"/>
      <c r="S2301" s="20"/>
      <c r="T2301" s="6"/>
      <c r="U2301" s="21"/>
      <c r="W2301" s="20"/>
      <c r="X2301" s="21"/>
      <c r="AD2301" s="17"/>
      <c r="AG2301" s="23"/>
    </row>
    <row r="2302" spans="2:33" ht="16">
      <c r="B2302" s="26" t="str">
        <f t="shared" si="9"/>
        <v/>
      </c>
      <c r="C2302" s="6"/>
      <c r="D2302" s="6"/>
      <c r="E2302" s="6"/>
      <c r="F2302" s="15"/>
      <c r="G2302" s="6"/>
      <c r="H2302" s="6"/>
      <c r="I2302" s="6"/>
      <c r="J2302" s="16"/>
      <c r="K2302" s="6"/>
      <c r="L2302" s="16"/>
      <c r="M2302" s="23"/>
      <c r="N2302" s="15"/>
      <c r="O2302" s="23"/>
      <c r="P2302" s="21"/>
      <c r="Q2302" s="6"/>
      <c r="R2302" s="6"/>
      <c r="S2302" s="20"/>
      <c r="T2302" s="6"/>
      <c r="U2302" s="21"/>
      <c r="W2302" s="20"/>
      <c r="X2302" s="21"/>
      <c r="AD2302" s="17"/>
      <c r="AG2302" s="17"/>
    </row>
    <row r="2303" spans="2:33" ht="16">
      <c r="B2303" s="26" t="str">
        <f t="shared" si="9"/>
        <v/>
      </c>
      <c r="C2303" s="6"/>
      <c r="D2303" s="6"/>
      <c r="E2303" s="6"/>
      <c r="F2303" s="15"/>
      <c r="G2303" s="6"/>
      <c r="H2303" s="6"/>
      <c r="I2303" s="6"/>
      <c r="J2303" s="16"/>
      <c r="K2303" s="6"/>
      <c r="L2303" s="16"/>
      <c r="M2303" s="17"/>
      <c r="N2303" s="15"/>
      <c r="O2303" s="23"/>
      <c r="P2303" s="21"/>
      <c r="Q2303" s="6"/>
      <c r="R2303" s="6"/>
      <c r="S2303" s="20"/>
      <c r="T2303" s="6"/>
      <c r="U2303" s="21"/>
      <c r="W2303" s="20"/>
      <c r="X2303" s="21"/>
      <c r="AD2303" s="17"/>
      <c r="AG2303" s="23"/>
    </row>
    <row r="2304" spans="2:33" ht="16">
      <c r="B2304" s="26" t="str">
        <f t="shared" si="9"/>
        <v/>
      </c>
      <c r="C2304" s="6"/>
      <c r="D2304" s="6"/>
      <c r="E2304" s="6"/>
      <c r="F2304" s="15"/>
      <c r="G2304" s="6"/>
      <c r="H2304" s="6"/>
      <c r="I2304" s="6"/>
      <c r="J2304" s="16"/>
      <c r="K2304" s="6"/>
      <c r="L2304" s="16"/>
      <c r="M2304" s="17"/>
      <c r="N2304" s="15"/>
      <c r="O2304" s="17"/>
      <c r="P2304" s="21"/>
      <c r="Q2304" s="6"/>
      <c r="R2304" s="6"/>
      <c r="S2304" s="20"/>
      <c r="T2304" s="6"/>
      <c r="U2304" s="21"/>
      <c r="W2304" s="20"/>
      <c r="X2304" s="21"/>
      <c r="AD2304" s="17"/>
      <c r="AG2304" s="23"/>
    </row>
    <row r="2305" spans="2:33" ht="16">
      <c r="B2305" s="26" t="str">
        <f t="shared" si="9"/>
        <v/>
      </c>
      <c r="C2305" s="6"/>
      <c r="D2305" s="6"/>
      <c r="E2305" s="6"/>
      <c r="F2305" s="15"/>
      <c r="G2305" s="6"/>
      <c r="H2305" s="6"/>
      <c r="I2305" s="6"/>
      <c r="J2305" s="16"/>
      <c r="K2305" s="6"/>
      <c r="L2305" s="16"/>
      <c r="M2305" s="23"/>
      <c r="N2305" s="15"/>
      <c r="O2305" s="17"/>
      <c r="P2305" s="21"/>
      <c r="Q2305" s="6"/>
      <c r="R2305" s="6"/>
      <c r="S2305" s="20"/>
      <c r="T2305" s="6"/>
      <c r="U2305" s="21"/>
      <c r="W2305" s="20"/>
      <c r="X2305" s="21"/>
      <c r="AD2305" s="17"/>
      <c r="AG2305" s="23"/>
    </row>
    <row r="2306" spans="2:33" ht="16">
      <c r="B2306" s="26" t="str">
        <f t="shared" si="9"/>
        <v/>
      </c>
      <c r="C2306" s="6"/>
      <c r="D2306" s="6"/>
      <c r="E2306" s="6"/>
      <c r="F2306" s="15"/>
      <c r="G2306" s="6"/>
      <c r="H2306" s="6"/>
      <c r="I2306" s="6"/>
      <c r="J2306" s="16"/>
      <c r="K2306" s="6"/>
      <c r="L2306" s="16"/>
      <c r="M2306" s="23"/>
      <c r="N2306" s="15"/>
      <c r="O2306" s="23"/>
      <c r="P2306" s="21"/>
      <c r="Q2306" s="6"/>
      <c r="R2306" s="6"/>
      <c r="S2306" s="20"/>
      <c r="T2306" s="6"/>
      <c r="U2306" s="21"/>
      <c r="W2306" s="20"/>
      <c r="X2306" s="21"/>
      <c r="AD2306" s="17"/>
      <c r="AG2306" s="23"/>
    </row>
    <row r="2307" spans="2:33" ht="16">
      <c r="B2307" s="26" t="str">
        <f t="shared" si="9"/>
        <v/>
      </c>
      <c r="C2307" s="6"/>
      <c r="D2307" s="6"/>
      <c r="E2307" s="6"/>
      <c r="F2307" s="15"/>
      <c r="G2307" s="6"/>
      <c r="H2307" s="6"/>
      <c r="I2307" s="6"/>
      <c r="J2307" s="16"/>
      <c r="K2307" s="6"/>
      <c r="L2307" s="16"/>
      <c r="M2307" s="23"/>
      <c r="N2307" s="15"/>
      <c r="O2307" s="17"/>
      <c r="P2307" s="21"/>
      <c r="Q2307" s="6"/>
      <c r="R2307" s="6"/>
      <c r="S2307" s="20"/>
      <c r="T2307" s="6"/>
      <c r="U2307" s="21"/>
      <c r="W2307" s="20"/>
      <c r="X2307" s="21"/>
      <c r="AD2307" s="17"/>
      <c r="AG2307" s="23"/>
    </row>
    <row r="2308" spans="2:33" ht="16">
      <c r="B2308" s="26" t="str">
        <f t="shared" si="9"/>
        <v/>
      </c>
      <c r="C2308" s="6"/>
      <c r="D2308" s="6"/>
      <c r="E2308" s="6"/>
      <c r="F2308" s="15"/>
      <c r="G2308" s="6"/>
      <c r="H2308" s="6"/>
      <c r="I2308" s="6"/>
      <c r="J2308" s="16"/>
      <c r="K2308" s="6"/>
      <c r="L2308" s="16"/>
      <c r="M2308" s="17"/>
      <c r="N2308" s="15"/>
      <c r="O2308" s="17"/>
      <c r="P2308" s="21"/>
      <c r="Q2308" s="6"/>
      <c r="R2308" s="6"/>
      <c r="S2308" s="20"/>
      <c r="T2308" s="6"/>
      <c r="U2308" s="21"/>
      <c r="W2308" s="20"/>
      <c r="X2308" s="21"/>
      <c r="AD2308" s="17"/>
      <c r="AG2308" s="23"/>
    </row>
    <row r="2309" spans="2:33" ht="16">
      <c r="B2309" s="26" t="str">
        <f t="shared" si="9"/>
        <v/>
      </c>
      <c r="C2309" s="6"/>
      <c r="D2309" s="6"/>
      <c r="E2309" s="6"/>
      <c r="F2309" s="15"/>
      <c r="G2309" s="6"/>
      <c r="H2309" s="6"/>
      <c r="I2309" s="6"/>
      <c r="J2309" s="16"/>
      <c r="K2309" s="6"/>
      <c r="L2309" s="16"/>
      <c r="M2309" s="23"/>
      <c r="N2309" s="15"/>
      <c r="O2309" s="17"/>
      <c r="P2309" s="21"/>
      <c r="Q2309" s="6"/>
      <c r="R2309" s="6"/>
      <c r="S2309" s="20"/>
      <c r="T2309" s="6"/>
      <c r="U2309" s="21"/>
      <c r="W2309" s="20"/>
      <c r="X2309" s="21"/>
      <c r="AD2309" s="17"/>
      <c r="AG2309" s="23"/>
    </row>
    <row r="2310" spans="2:33" ht="16">
      <c r="B2310" s="26" t="str">
        <f t="shared" si="9"/>
        <v/>
      </c>
      <c r="C2310" s="6"/>
      <c r="D2310" s="6"/>
      <c r="E2310" s="6"/>
      <c r="F2310" s="15"/>
      <c r="G2310" s="6"/>
      <c r="H2310" s="6"/>
      <c r="I2310" s="6"/>
      <c r="J2310" s="16"/>
      <c r="K2310" s="6"/>
      <c r="L2310" s="16"/>
      <c r="M2310" s="17"/>
      <c r="N2310" s="15"/>
      <c r="O2310" s="17"/>
      <c r="P2310" s="21"/>
      <c r="Q2310" s="6"/>
      <c r="R2310" s="6"/>
      <c r="S2310" s="20"/>
      <c r="T2310" s="6"/>
      <c r="U2310" s="21"/>
      <c r="W2310" s="20"/>
      <c r="X2310" s="21"/>
      <c r="AD2310" s="17"/>
      <c r="AG2310" s="17"/>
    </row>
    <row r="2311" spans="2:33" ht="16">
      <c r="B2311" s="26" t="str">
        <f t="shared" si="9"/>
        <v/>
      </c>
      <c r="C2311" s="6"/>
      <c r="D2311" s="6"/>
      <c r="E2311" s="6"/>
      <c r="F2311" s="15"/>
      <c r="G2311" s="6"/>
      <c r="H2311" s="6"/>
      <c r="I2311" s="6"/>
      <c r="J2311" s="16"/>
      <c r="K2311" s="6"/>
      <c r="L2311" s="16"/>
      <c r="M2311" s="23"/>
      <c r="N2311" s="15"/>
      <c r="O2311" s="23"/>
      <c r="P2311" s="21"/>
      <c r="Q2311" s="6"/>
      <c r="R2311" s="6"/>
      <c r="S2311" s="20"/>
      <c r="T2311" s="6"/>
      <c r="U2311" s="21"/>
      <c r="W2311" s="20"/>
      <c r="X2311" s="21"/>
      <c r="AD2311" s="17"/>
      <c r="AG2311" s="23"/>
    </row>
    <row r="2312" spans="2:33" ht="16">
      <c r="B2312" s="26" t="str">
        <f t="shared" si="9"/>
        <v/>
      </c>
      <c r="C2312" s="6"/>
      <c r="D2312" s="6"/>
      <c r="E2312" s="6"/>
      <c r="F2312" s="15"/>
      <c r="G2312" s="6"/>
      <c r="H2312" s="6"/>
      <c r="I2312" s="6"/>
      <c r="J2312" s="16"/>
      <c r="K2312" s="6"/>
      <c r="L2312" s="16"/>
      <c r="M2312" s="17"/>
      <c r="N2312" s="15"/>
      <c r="O2312" s="17"/>
      <c r="P2312" s="21"/>
      <c r="Q2312" s="6"/>
      <c r="R2312" s="6"/>
      <c r="S2312" s="20"/>
      <c r="T2312" s="6"/>
      <c r="U2312" s="21"/>
      <c r="W2312" s="20"/>
      <c r="X2312" s="21"/>
      <c r="AD2312" s="17"/>
      <c r="AG2312" s="23"/>
    </row>
    <row r="2313" spans="2:33" ht="16">
      <c r="B2313" s="26" t="str">
        <f t="shared" si="9"/>
        <v/>
      </c>
      <c r="C2313" s="6"/>
      <c r="D2313" s="6"/>
      <c r="E2313" s="6"/>
      <c r="F2313" s="15"/>
      <c r="G2313" s="6"/>
      <c r="H2313" s="6"/>
      <c r="I2313" s="6"/>
      <c r="J2313" s="16"/>
      <c r="K2313" s="6"/>
      <c r="L2313" s="16"/>
      <c r="M2313" s="23"/>
      <c r="N2313" s="15"/>
      <c r="O2313" s="23"/>
      <c r="P2313" s="21"/>
      <c r="Q2313" s="6"/>
      <c r="R2313" s="6"/>
      <c r="S2313" s="20"/>
      <c r="T2313" s="6"/>
      <c r="U2313" s="21"/>
      <c r="W2313" s="20"/>
      <c r="X2313" s="21"/>
      <c r="AD2313" s="17"/>
      <c r="AG2313" s="23"/>
    </row>
    <row r="2314" spans="2:33" ht="16">
      <c r="B2314" s="26" t="str">
        <f t="shared" si="9"/>
        <v/>
      </c>
      <c r="C2314" s="6"/>
      <c r="D2314" s="6"/>
      <c r="E2314" s="6"/>
      <c r="F2314" s="15"/>
      <c r="G2314" s="6"/>
      <c r="H2314" s="6"/>
      <c r="I2314" s="6"/>
      <c r="J2314" s="16"/>
      <c r="K2314" s="6"/>
      <c r="L2314" s="16"/>
      <c r="M2314" s="23"/>
      <c r="N2314" s="15"/>
      <c r="O2314" s="23"/>
      <c r="P2314" s="21"/>
      <c r="Q2314" s="6"/>
      <c r="R2314" s="6"/>
      <c r="S2314" s="20"/>
      <c r="T2314" s="6"/>
      <c r="U2314" s="21"/>
      <c r="W2314" s="20"/>
      <c r="X2314" s="21"/>
      <c r="AD2314" s="17"/>
      <c r="AG2314" s="23"/>
    </row>
    <row r="2315" spans="2:33" ht="16">
      <c r="B2315" s="26" t="str">
        <f t="shared" si="9"/>
        <v/>
      </c>
      <c r="C2315" s="6"/>
      <c r="D2315" s="6"/>
      <c r="E2315" s="6"/>
      <c r="F2315" s="15"/>
      <c r="G2315" s="6"/>
      <c r="H2315" s="6"/>
      <c r="I2315" s="6"/>
      <c r="J2315" s="16"/>
      <c r="K2315" s="6"/>
      <c r="L2315" s="16"/>
      <c r="M2315" s="23"/>
      <c r="N2315" s="15"/>
      <c r="O2315" s="23"/>
      <c r="P2315" s="21"/>
      <c r="Q2315" s="6"/>
      <c r="R2315" s="6"/>
      <c r="S2315" s="20"/>
      <c r="T2315" s="6"/>
      <c r="U2315" s="21"/>
      <c r="W2315" s="20"/>
      <c r="X2315" s="21"/>
      <c r="AD2315" s="17"/>
      <c r="AG2315" s="23"/>
    </row>
    <row r="2316" spans="2:33" ht="16">
      <c r="B2316" s="26" t="str">
        <f t="shared" si="9"/>
        <v/>
      </c>
      <c r="C2316" s="6"/>
      <c r="D2316" s="6"/>
      <c r="E2316" s="6"/>
      <c r="F2316" s="15"/>
      <c r="G2316" s="6"/>
      <c r="H2316" s="6"/>
      <c r="I2316" s="6"/>
      <c r="J2316" s="16"/>
      <c r="K2316" s="6"/>
      <c r="L2316" s="16"/>
      <c r="M2316" s="17"/>
      <c r="N2316" s="15"/>
      <c r="O2316" s="23"/>
      <c r="P2316" s="21"/>
      <c r="Q2316" s="6"/>
      <c r="R2316" s="6"/>
      <c r="S2316" s="20"/>
      <c r="T2316" s="6"/>
      <c r="U2316" s="21"/>
      <c r="W2316" s="20"/>
      <c r="X2316" s="21"/>
      <c r="AD2316" s="17"/>
      <c r="AG2316" s="23"/>
    </row>
    <row r="2317" spans="2:33" ht="16">
      <c r="B2317" s="26" t="str">
        <f t="shared" si="9"/>
        <v/>
      </c>
      <c r="C2317" s="6"/>
      <c r="D2317" s="6"/>
      <c r="E2317" s="6"/>
      <c r="F2317" s="15"/>
      <c r="G2317" s="6"/>
      <c r="H2317" s="6"/>
      <c r="I2317" s="6"/>
      <c r="J2317" s="16"/>
      <c r="K2317" s="6"/>
      <c r="L2317" s="16"/>
      <c r="M2317" s="17"/>
      <c r="N2317" s="15"/>
      <c r="O2317" s="23"/>
      <c r="P2317" s="21"/>
      <c r="Q2317" s="6"/>
      <c r="R2317" s="6"/>
      <c r="S2317" s="20"/>
      <c r="T2317" s="6"/>
      <c r="U2317" s="21"/>
      <c r="W2317" s="20"/>
      <c r="X2317" s="21"/>
      <c r="AD2317" s="17"/>
      <c r="AG2317" s="23"/>
    </row>
    <row r="2318" spans="2:33" ht="16">
      <c r="B2318" s="26" t="str">
        <f t="shared" si="9"/>
        <v/>
      </c>
      <c r="C2318" s="6"/>
      <c r="D2318" s="6"/>
      <c r="E2318" s="6"/>
      <c r="F2318" s="15"/>
      <c r="G2318" s="6"/>
      <c r="H2318" s="6"/>
      <c r="I2318" s="6"/>
      <c r="J2318" s="16"/>
      <c r="K2318" s="6"/>
      <c r="L2318" s="16"/>
      <c r="M2318" s="23"/>
      <c r="N2318" s="15"/>
      <c r="O2318" s="17"/>
      <c r="P2318" s="21"/>
      <c r="Q2318" s="6"/>
      <c r="R2318" s="6"/>
      <c r="S2318" s="20"/>
      <c r="T2318" s="6"/>
      <c r="U2318" s="21"/>
      <c r="W2318" s="20"/>
      <c r="X2318" s="21"/>
      <c r="AD2318" s="17"/>
      <c r="AG2318" s="17"/>
    </row>
    <row r="2319" spans="2:33" ht="16">
      <c r="B2319" s="26" t="str">
        <f t="shared" si="9"/>
        <v/>
      </c>
      <c r="C2319" s="6"/>
      <c r="D2319" s="6"/>
      <c r="E2319" s="6"/>
      <c r="F2319" s="15"/>
      <c r="G2319" s="6"/>
      <c r="H2319" s="6"/>
      <c r="I2319" s="6"/>
      <c r="J2319" s="16"/>
      <c r="K2319" s="6"/>
      <c r="L2319" s="16"/>
      <c r="M2319" s="23"/>
      <c r="N2319" s="15"/>
      <c r="O2319" s="23"/>
      <c r="P2319" s="21"/>
      <c r="Q2319" s="6"/>
      <c r="R2319" s="6"/>
      <c r="S2319" s="20"/>
      <c r="T2319" s="6"/>
      <c r="U2319" s="21"/>
      <c r="W2319" s="20"/>
      <c r="X2319" s="21"/>
      <c r="AD2319" s="17"/>
      <c r="AG2319" s="23"/>
    </row>
    <row r="2320" spans="2:33" ht="16">
      <c r="B2320" s="26" t="str">
        <f t="shared" si="9"/>
        <v/>
      </c>
      <c r="C2320" s="6"/>
      <c r="D2320" s="6"/>
      <c r="E2320" s="6"/>
      <c r="F2320" s="15"/>
      <c r="G2320" s="6"/>
      <c r="H2320" s="6"/>
      <c r="I2320" s="6"/>
      <c r="J2320" s="16"/>
      <c r="K2320" s="6"/>
      <c r="L2320" s="16"/>
      <c r="M2320" s="23"/>
      <c r="N2320" s="15"/>
      <c r="O2320" s="17"/>
      <c r="P2320" s="21"/>
      <c r="Q2320" s="6"/>
      <c r="R2320" s="6"/>
      <c r="S2320" s="20"/>
      <c r="T2320" s="6"/>
      <c r="U2320" s="21"/>
      <c r="W2320" s="20"/>
      <c r="X2320" s="21"/>
      <c r="AD2320" s="17"/>
      <c r="AG2320" s="17"/>
    </row>
    <row r="2321" spans="2:33" ht="16">
      <c r="B2321" s="26" t="str">
        <f t="shared" si="9"/>
        <v/>
      </c>
      <c r="C2321" s="6"/>
      <c r="D2321" s="6"/>
      <c r="E2321" s="6"/>
      <c r="F2321" s="15"/>
      <c r="G2321" s="6"/>
      <c r="H2321" s="6"/>
      <c r="I2321" s="6"/>
      <c r="J2321" s="16"/>
      <c r="K2321" s="6"/>
      <c r="L2321" s="16"/>
      <c r="M2321" s="23"/>
      <c r="N2321" s="15"/>
      <c r="O2321" s="23"/>
      <c r="P2321" s="21"/>
      <c r="Q2321" s="6"/>
      <c r="R2321" s="6"/>
      <c r="S2321" s="20"/>
      <c r="T2321" s="6"/>
      <c r="U2321" s="21"/>
      <c r="W2321" s="20"/>
      <c r="X2321" s="21"/>
      <c r="AD2321" s="17"/>
      <c r="AG2321" s="23"/>
    </row>
    <row r="2322" spans="2:33" ht="16">
      <c r="B2322" s="26" t="str">
        <f t="shared" ref="B2322:B2576" si="10">IF($H2322="","",LEFT(C2322,3))</f>
        <v/>
      </c>
      <c r="C2322" s="6"/>
      <c r="D2322" s="6"/>
      <c r="E2322" s="6"/>
      <c r="F2322" s="15"/>
      <c r="G2322" s="6"/>
      <c r="H2322" s="6"/>
      <c r="I2322" s="6"/>
      <c r="J2322" s="16"/>
      <c r="K2322" s="6"/>
      <c r="L2322" s="16"/>
      <c r="M2322" s="17"/>
      <c r="N2322" s="15"/>
      <c r="O2322" s="17"/>
      <c r="P2322" s="21"/>
      <c r="Q2322" s="6"/>
      <c r="R2322" s="6"/>
      <c r="S2322" s="20"/>
      <c r="T2322" s="6"/>
      <c r="U2322" s="21"/>
      <c r="W2322" s="20"/>
      <c r="X2322" s="21"/>
      <c r="AD2322" s="17"/>
      <c r="AG2322" s="17"/>
    </row>
    <row r="2323" spans="2:33" ht="16">
      <c r="B2323" s="26" t="str">
        <f t="shared" si="10"/>
        <v/>
      </c>
      <c r="C2323" s="6"/>
      <c r="D2323" s="6"/>
      <c r="E2323" s="6"/>
      <c r="F2323" s="15"/>
      <c r="G2323" s="6"/>
      <c r="H2323" s="6"/>
      <c r="I2323" s="6"/>
      <c r="J2323" s="16"/>
      <c r="K2323" s="6"/>
      <c r="L2323" s="16"/>
      <c r="M2323" s="23"/>
      <c r="N2323" s="15"/>
      <c r="O2323" s="23"/>
      <c r="P2323" s="21"/>
      <c r="Q2323" s="6"/>
      <c r="R2323" s="6"/>
      <c r="S2323" s="20"/>
      <c r="T2323" s="6"/>
      <c r="U2323" s="21"/>
      <c r="W2323" s="20"/>
      <c r="X2323" s="21"/>
      <c r="AD2323" s="23"/>
      <c r="AG2323" s="23"/>
    </row>
    <row r="2324" spans="2:33" ht="16">
      <c r="B2324" s="26" t="str">
        <f t="shared" si="10"/>
        <v/>
      </c>
      <c r="C2324" s="6"/>
      <c r="D2324" s="6"/>
      <c r="E2324" s="6"/>
      <c r="F2324" s="15"/>
      <c r="G2324" s="6"/>
      <c r="H2324" s="6"/>
      <c r="I2324" s="6"/>
      <c r="J2324" s="16"/>
      <c r="K2324" s="6"/>
      <c r="L2324" s="16"/>
      <c r="M2324" s="23"/>
      <c r="N2324" s="15"/>
      <c r="O2324" s="23"/>
      <c r="P2324" s="21"/>
      <c r="Q2324" s="6"/>
      <c r="R2324" s="6"/>
      <c r="S2324" s="20"/>
      <c r="T2324" s="6"/>
      <c r="U2324" s="21"/>
      <c r="W2324" s="20"/>
      <c r="X2324" s="21"/>
      <c r="AD2324" s="17"/>
      <c r="AG2324" s="23"/>
    </row>
    <row r="2325" spans="2:33" ht="16">
      <c r="B2325" s="26" t="str">
        <f t="shared" si="10"/>
        <v/>
      </c>
      <c r="C2325" s="6"/>
      <c r="D2325" s="6"/>
      <c r="E2325" s="6"/>
      <c r="F2325" s="15"/>
      <c r="G2325" s="6"/>
      <c r="H2325" s="6"/>
      <c r="I2325" s="6"/>
      <c r="J2325" s="16"/>
      <c r="K2325" s="6"/>
      <c r="L2325" s="16"/>
      <c r="M2325" s="23"/>
      <c r="N2325" s="15"/>
      <c r="O2325" s="17"/>
      <c r="P2325" s="21"/>
      <c r="Q2325" s="6"/>
      <c r="R2325" s="6"/>
      <c r="S2325" s="20"/>
      <c r="T2325" s="6"/>
      <c r="U2325" s="21"/>
      <c r="W2325" s="20"/>
      <c r="X2325" s="21"/>
      <c r="AD2325" s="17"/>
      <c r="AG2325" s="23"/>
    </row>
    <row r="2326" spans="2:33" ht="16">
      <c r="B2326" s="26" t="str">
        <f t="shared" si="10"/>
        <v/>
      </c>
      <c r="C2326" s="6"/>
      <c r="D2326" s="6"/>
      <c r="E2326" s="6"/>
      <c r="F2326" s="15"/>
      <c r="G2326" s="6"/>
      <c r="H2326" s="6"/>
      <c r="I2326" s="6"/>
      <c r="J2326" s="16"/>
      <c r="K2326" s="6"/>
      <c r="L2326" s="16"/>
      <c r="M2326" s="23"/>
      <c r="N2326" s="15"/>
      <c r="O2326" s="23"/>
      <c r="P2326" s="21"/>
      <c r="Q2326" s="6"/>
      <c r="R2326" s="6"/>
      <c r="S2326" s="20"/>
      <c r="T2326" s="6"/>
      <c r="U2326" s="21"/>
      <c r="W2326" s="20"/>
      <c r="X2326" s="21"/>
      <c r="AD2326" s="23"/>
      <c r="AG2326" s="23"/>
    </row>
    <row r="2327" spans="2:33" ht="16">
      <c r="B2327" s="26" t="str">
        <f t="shared" si="10"/>
        <v/>
      </c>
      <c r="C2327" s="6"/>
      <c r="D2327" s="6"/>
      <c r="E2327" s="6"/>
      <c r="F2327" s="15"/>
      <c r="G2327" s="6"/>
      <c r="H2327" s="6"/>
      <c r="I2327" s="6"/>
      <c r="J2327" s="16"/>
      <c r="K2327" s="6"/>
      <c r="L2327" s="16"/>
      <c r="M2327" s="23"/>
      <c r="N2327" s="15"/>
      <c r="O2327" s="23"/>
      <c r="P2327" s="21"/>
      <c r="Q2327" s="6"/>
      <c r="R2327" s="6"/>
      <c r="S2327" s="20"/>
      <c r="T2327" s="6"/>
      <c r="U2327" s="21"/>
      <c r="W2327" s="20"/>
      <c r="X2327" s="21"/>
      <c r="AD2327" s="23"/>
      <c r="AG2327" s="23"/>
    </row>
    <row r="2328" spans="2:33" ht="16">
      <c r="B2328" s="26" t="str">
        <f t="shared" si="10"/>
        <v/>
      </c>
      <c r="C2328" s="6"/>
      <c r="D2328" s="6"/>
      <c r="E2328" s="6"/>
      <c r="F2328" s="15"/>
      <c r="G2328" s="6"/>
      <c r="H2328" s="6"/>
      <c r="I2328" s="6"/>
      <c r="J2328" s="16"/>
      <c r="K2328" s="6"/>
      <c r="L2328" s="16"/>
      <c r="M2328" s="17"/>
      <c r="N2328" s="15"/>
      <c r="O2328" s="23"/>
      <c r="P2328" s="21"/>
      <c r="Q2328" s="6"/>
      <c r="R2328" s="6"/>
      <c r="S2328" s="20"/>
      <c r="T2328" s="6"/>
      <c r="U2328" s="21"/>
      <c r="W2328" s="20"/>
      <c r="X2328" s="21"/>
      <c r="AD2328" s="17"/>
      <c r="AG2328" s="23"/>
    </row>
    <row r="2329" spans="2:33" ht="16">
      <c r="B2329" s="26" t="str">
        <f t="shared" si="10"/>
        <v/>
      </c>
      <c r="C2329" s="6"/>
      <c r="D2329" s="6"/>
      <c r="E2329" s="6"/>
      <c r="F2329" s="15"/>
      <c r="G2329" s="6"/>
      <c r="H2329" s="6"/>
      <c r="I2329" s="6"/>
      <c r="J2329" s="16"/>
      <c r="K2329" s="6"/>
      <c r="L2329" s="16"/>
      <c r="M2329" s="17"/>
      <c r="N2329" s="15"/>
      <c r="O2329" s="17"/>
      <c r="P2329" s="21"/>
      <c r="Q2329" s="6"/>
      <c r="R2329" s="6"/>
      <c r="S2329" s="20"/>
      <c r="T2329" s="6"/>
      <c r="U2329" s="21"/>
      <c r="W2329" s="20"/>
      <c r="X2329" s="21"/>
      <c r="AD2329" s="17"/>
      <c r="AG2329" s="23"/>
    </row>
    <row r="2330" spans="2:33" ht="16">
      <c r="B2330" s="26" t="str">
        <f t="shared" si="10"/>
        <v/>
      </c>
      <c r="C2330" s="6"/>
      <c r="D2330" s="6"/>
      <c r="E2330" s="6"/>
      <c r="F2330" s="15"/>
      <c r="G2330" s="6"/>
      <c r="H2330" s="6"/>
      <c r="I2330" s="6"/>
      <c r="J2330" s="16"/>
      <c r="K2330" s="6"/>
      <c r="L2330" s="16"/>
      <c r="M2330" s="23"/>
      <c r="N2330" s="15"/>
      <c r="O2330" s="23"/>
      <c r="P2330" s="21"/>
      <c r="Q2330" s="6"/>
      <c r="R2330" s="6"/>
      <c r="S2330" s="20"/>
      <c r="T2330" s="6"/>
      <c r="U2330" s="21"/>
      <c r="W2330" s="20"/>
      <c r="X2330" s="21"/>
      <c r="AD2330" s="23"/>
      <c r="AG2330" s="23"/>
    </row>
    <row r="2331" spans="2:33" ht="16">
      <c r="B2331" s="26" t="str">
        <f t="shared" si="10"/>
        <v/>
      </c>
      <c r="C2331" s="6"/>
      <c r="D2331" s="6"/>
      <c r="E2331" s="6"/>
      <c r="F2331" s="15"/>
      <c r="G2331" s="6"/>
      <c r="H2331" s="6"/>
      <c r="I2331" s="6"/>
      <c r="J2331" s="16"/>
      <c r="K2331" s="6"/>
      <c r="L2331" s="16"/>
      <c r="M2331" s="17"/>
      <c r="N2331" s="15"/>
      <c r="O2331" s="17"/>
      <c r="P2331" s="21"/>
      <c r="Q2331" s="6"/>
      <c r="R2331" s="6"/>
      <c r="S2331" s="20"/>
      <c r="T2331" s="6"/>
      <c r="U2331" s="21"/>
      <c r="W2331" s="20"/>
      <c r="X2331" s="21"/>
      <c r="AD2331" s="17"/>
      <c r="AG2331" s="23"/>
    </row>
    <row r="2332" spans="2:33" ht="16">
      <c r="B2332" s="26" t="str">
        <f t="shared" si="10"/>
        <v/>
      </c>
      <c r="C2332" s="6"/>
      <c r="D2332" s="6"/>
      <c r="E2332" s="6"/>
      <c r="F2332" s="15"/>
      <c r="G2332" s="6"/>
      <c r="H2332" s="6"/>
      <c r="I2332" s="6"/>
      <c r="J2332" s="16"/>
      <c r="K2332" s="6"/>
      <c r="L2332" s="16"/>
      <c r="M2332" s="17"/>
      <c r="N2332" s="15"/>
      <c r="O2332" s="17"/>
      <c r="P2332" s="21"/>
      <c r="Q2332" s="6"/>
      <c r="R2332" s="6"/>
      <c r="S2332" s="20"/>
      <c r="T2332" s="6"/>
      <c r="U2332" s="21"/>
      <c r="W2332" s="20"/>
      <c r="X2332" s="21"/>
      <c r="AD2332" s="17"/>
      <c r="AG2332" s="23"/>
    </row>
    <row r="2333" spans="2:33" ht="16">
      <c r="B2333" s="26" t="str">
        <f t="shared" si="10"/>
        <v/>
      </c>
      <c r="C2333" s="6"/>
      <c r="D2333" s="6"/>
      <c r="E2333" s="6"/>
      <c r="F2333" s="15"/>
      <c r="G2333" s="6"/>
      <c r="H2333" s="6"/>
      <c r="I2333" s="6"/>
      <c r="J2333" s="16"/>
      <c r="K2333" s="6"/>
      <c r="L2333" s="16"/>
      <c r="M2333" s="23"/>
      <c r="N2333" s="15"/>
      <c r="O2333" s="23"/>
      <c r="P2333" s="21"/>
      <c r="Q2333" s="6"/>
      <c r="R2333" s="6"/>
      <c r="S2333" s="20"/>
      <c r="T2333" s="6"/>
      <c r="U2333" s="21"/>
      <c r="W2333" s="20"/>
      <c r="X2333" s="21"/>
      <c r="AD2333" s="17"/>
      <c r="AG2333" s="23"/>
    </row>
    <row r="2334" spans="2:33" ht="16">
      <c r="B2334" s="26" t="str">
        <f t="shared" si="10"/>
        <v/>
      </c>
      <c r="C2334" s="6"/>
      <c r="D2334" s="6"/>
      <c r="E2334" s="6"/>
      <c r="F2334" s="15"/>
      <c r="G2334" s="6"/>
      <c r="H2334" s="6"/>
      <c r="I2334" s="6"/>
      <c r="J2334" s="16"/>
      <c r="K2334" s="6"/>
      <c r="L2334" s="16"/>
      <c r="M2334" s="23"/>
      <c r="N2334" s="15"/>
      <c r="O2334" s="23"/>
      <c r="P2334" s="21"/>
      <c r="Q2334" s="6"/>
      <c r="R2334" s="6"/>
      <c r="S2334" s="20"/>
      <c r="T2334" s="6"/>
      <c r="U2334" s="21"/>
      <c r="W2334" s="20"/>
      <c r="X2334" s="21"/>
      <c r="AD2334" s="17"/>
      <c r="AG2334" s="23"/>
    </row>
    <row r="2335" spans="2:33" ht="16">
      <c r="B2335" s="26" t="str">
        <f t="shared" si="10"/>
        <v/>
      </c>
      <c r="C2335" s="6"/>
      <c r="D2335" s="6"/>
      <c r="E2335" s="6"/>
      <c r="F2335" s="15"/>
      <c r="G2335" s="6"/>
      <c r="H2335" s="6"/>
      <c r="I2335" s="6"/>
      <c r="J2335" s="16"/>
      <c r="K2335" s="6"/>
      <c r="L2335" s="16"/>
      <c r="M2335" s="23"/>
      <c r="N2335" s="15"/>
      <c r="O2335" s="17"/>
      <c r="P2335" s="21"/>
      <c r="Q2335" s="6"/>
      <c r="R2335" s="6"/>
      <c r="S2335" s="20"/>
      <c r="T2335" s="6"/>
      <c r="U2335" s="21"/>
      <c r="W2335" s="20"/>
      <c r="X2335" s="21"/>
      <c r="AD2335" s="17"/>
      <c r="AG2335" s="17"/>
    </row>
    <row r="2336" spans="2:33" ht="16">
      <c r="B2336" s="26" t="str">
        <f t="shared" si="10"/>
        <v/>
      </c>
      <c r="C2336" s="6"/>
      <c r="D2336" s="6"/>
      <c r="E2336" s="6"/>
      <c r="F2336" s="15"/>
      <c r="G2336" s="6"/>
      <c r="H2336" s="6"/>
      <c r="I2336" s="6"/>
      <c r="J2336" s="16"/>
      <c r="K2336" s="6"/>
      <c r="L2336" s="16"/>
      <c r="M2336" s="23"/>
      <c r="N2336" s="15"/>
      <c r="O2336" s="23"/>
      <c r="P2336" s="21"/>
      <c r="Q2336" s="6"/>
      <c r="R2336" s="6"/>
      <c r="S2336" s="20"/>
      <c r="T2336" s="6"/>
      <c r="U2336" s="21"/>
      <c r="W2336" s="20"/>
      <c r="X2336" s="21"/>
      <c r="AD2336" s="17"/>
      <c r="AG2336" s="17"/>
    </row>
    <row r="2337" spans="2:33" ht="16">
      <c r="B2337" s="26" t="str">
        <f t="shared" si="10"/>
        <v/>
      </c>
      <c r="C2337" s="6"/>
      <c r="D2337" s="6"/>
      <c r="E2337" s="6"/>
      <c r="F2337" s="15"/>
      <c r="G2337" s="6"/>
      <c r="H2337" s="6"/>
      <c r="I2337" s="6"/>
      <c r="J2337" s="16"/>
      <c r="K2337" s="6"/>
      <c r="L2337" s="16"/>
      <c r="M2337" s="17"/>
      <c r="N2337" s="15"/>
      <c r="O2337" s="23"/>
      <c r="P2337" s="21"/>
      <c r="Q2337" s="6"/>
      <c r="R2337" s="6"/>
      <c r="S2337" s="20"/>
      <c r="T2337" s="6"/>
      <c r="U2337" s="21"/>
      <c r="W2337" s="20"/>
      <c r="X2337" s="21"/>
      <c r="AD2337" s="17"/>
      <c r="AG2337" s="23"/>
    </row>
    <row r="2338" spans="2:33" ht="16">
      <c r="B2338" s="26" t="str">
        <f t="shared" si="10"/>
        <v/>
      </c>
      <c r="C2338" s="6"/>
      <c r="D2338" s="6"/>
      <c r="E2338" s="6"/>
      <c r="F2338" s="15"/>
      <c r="G2338" s="6"/>
      <c r="H2338" s="6"/>
      <c r="I2338" s="6"/>
      <c r="J2338" s="16"/>
      <c r="K2338" s="6"/>
      <c r="L2338" s="16"/>
      <c r="M2338" s="23"/>
      <c r="N2338" s="15"/>
      <c r="O2338" s="17"/>
      <c r="P2338" s="21"/>
      <c r="Q2338" s="6"/>
      <c r="R2338" s="6"/>
      <c r="S2338" s="20"/>
      <c r="T2338" s="6"/>
      <c r="U2338" s="21"/>
      <c r="W2338" s="20"/>
      <c r="X2338" s="21"/>
      <c r="AD2338" s="17"/>
      <c r="AG2338" s="23"/>
    </row>
    <row r="2339" spans="2:33" ht="16">
      <c r="B2339" s="26" t="str">
        <f t="shared" si="10"/>
        <v/>
      </c>
      <c r="C2339" s="6"/>
      <c r="D2339" s="6"/>
      <c r="E2339" s="6"/>
      <c r="F2339" s="15"/>
      <c r="G2339" s="6"/>
      <c r="H2339" s="6"/>
      <c r="I2339" s="6"/>
      <c r="J2339" s="16"/>
      <c r="K2339" s="6"/>
      <c r="L2339" s="16"/>
      <c r="M2339" s="23"/>
      <c r="N2339" s="15"/>
      <c r="O2339" s="23"/>
      <c r="P2339" s="21"/>
      <c r="Q2339" s="6"/>
      <c r="R2339" s="6"/>
      <c r="S2339" s="20"/>
      <c r="T2339" s="6"/>
      <c r="U2339" s="21"/>
      <c r="W2339" s="20"/>
      <c r="X2339" s="21"/>
      <c r="AD2339" s="17"/>
      <c r="AG2339" s="23"/>
    </row>
    <row r="2340" spans="2:33" ht="16">
      <c r="B2340" s="26" t="str">
        <f t="shared" si="10"/>
        <v/>
      </c>
      <c r="C2340" s="6"/>
      <c r="D2340" s="6"/>
      <c r="E2340" s="6"/>
      <c r="F2340" s="15"/>
      <c r="G2340" s="6"/>
      <c r="H2340" s="6"/>
      <c r="I2340" s="6"/>
      <c r="J2340" s="16"/>
      <c r="K2340" s="6"/>
      <c r="L2340" s="16"/>
      <c r="M2340" s="17"/>
      <c r="N2340" s="15"/>
      <c r="O2340" s="17"/>
      <c r="P2340" s="21"/>
      <c r="Q2340" s="6"/>
      <c r="R2340" s="6"/>
      <c r="S2340" s="20"/>
      <c r="T2340" s="6"/>
      <c r="U2340" s="21"/>
      <c r="W2340" s="20"/>
      <c r="X2340" s="21"/>
      <c r="AD2340" s="17"/>
      <c r="AG2340" s="23"/>
    </row>
    <row r="2341" spans="2:33" ht="16">
      <c r="B2341" s="26" t="str">
        <f t="shared" si="10"/>
        <v/>
      </c>
      <c r="C2341" s="6"/>
      <c r="D2341" s="6"/>
      <c r="E2341" s="6"/>
      <c r="F2341" s="15"/>
      <c r="G2341" s="6"/>
      <c r="H2341" s="6"/>
      <c r="I2341" s="6"/>
      <c r="J2341" s="16"/>
      <c r="K2341" s="6"/>
      <c r="L2341" s="16"/>
      <c r="M2341" s="17"/>
      <c r="N2341" s="15"/>
      <c r="O2341" s="23"/>
      <c r="P2341" s="21"/>
      <c r="Q2341" s="6"/>
      <c r="R2341" s="6"/>
      <c r="S2341" s="20"/>
      <c r="T2341" s="6"/>
      <c r="U2341" s="21"/>
      <c r="W2341" s="20"/>
      <c r="X2341" s="21"/>
      <c r="AD2341" s="17"/>
      <c r="AG2341" s="23"/>
    </row>
    <row r="2342" spans="2:33" ht="16">
      <c r="B2342" s="26" t="str">
        <f t="shared" si="10"/>
        <v/>
      </c>
      <c r="C2342" s="6"/>
      <c r="D2342" s="6"/>
      <c r="E2342" s="6"/>
      <c r="F2342" s="15"/>
      <c r="G2342" s="6"/>
      <c r="H2342" s="6"/>
      <c r="I2342" s="6"/>
      <c r="J2342" s="16"/>
      <c r="K2342" s="6"/>
      <c r="L2342" s="16"/>
      <c r="M2342" s="23"/>
      <c r="N2342" s="15"/>
      <c r="O2342" s="23"/>
      <c r="P2342" s="21"/>
      <c r="Q2342" s="6"/>
      <c r="R2342" s="6"/>
      <c r="S2342" s="20"/>
      <c r="T2342" s="6"/>
      <c r="U2342" s="21"/>
      <c r="W2342" s="20"/>
      <c r="X2342" s="21"/>
      <c r="AD2342" s="17"/>
      <c r="AG2342" s="23"/>
    </row>
    <row r="2343" spans="2:33" ht="16">
      <c r="B2343" s="26" t="str">
        <f t="shared" si="10"/>
        <v/>
      </c>
      <c r="C2343" s="6"/>
      <c r="D2343" s="6"/>
      <c r="E2343" s="6"/>
      <c r="F2343" s="15"/>
      <c r="G2343" s="6"/>
      <c r="H2343" s="6"/>
      <c r="I2343" s="6"/>
      <c r="J2343" s="16"/>
      <c r="K2343" s="6"/>
      <c r="L2343" s="16"/>
      <c r="M2343" s="17"/>
      <c r="N2343" s="15"/>
      <c r="O2343" s="23"/>
      <c r="P2343" s="21"/>
      <c r="Q2343" s="6"/>
      <c r="R2343" s="6"/>
      <c r="S2343" s="20"/>
      <c r="T2343" s="6"/>
      <c r="U2343" s="21"/>
      <c r="W2343" s="20"/>
      <c r="X2343" s="21"/>
      <c r="AD2343" s="17"/>
      <c r="AG2343" s="23"/>
    </row>
    <row r="2344" spans="2:33" ht="16">
      <c r="B2344" s="26" t="str">
        <f t="shared" si="10"/>
        <v/>
      </c>
      <c r="C2344" s="6"/>
      <c r="D2344" s="6"/>
      <c r="E2344" s="6"/>
      <c r="F2344" s="15"/>
      <c r="G2344" s="6"/>
      <c r="H2344" s="6"/>
      <c r="I2344" s="6"/>
      <c r="J2344" s="16"/>
      <c r="K2344" s="6"/>
      <c r="L2344" s="16"/>
      <c r="M2344" s="17"/>
      <c r="N2344" s="15"/>
      <c r="O2344" s="17"/>
      <c r="P2344" s="21"/>
      <c r="Q2344" s="6"/>
      <c r="R2344" s="6"/>
      <c r="S2344" s="20"/>
      <c r="T2344" s="6"/>
      <c r="U2344" s="21"/>
      <c r="W2344" s="20"/>
      <c r="X2344" s="21"/>
      <c r="AD2344" s="17"/>
      <c r="AG2344" s="23"/>
    </row>
    <row r="2345" spans="2:33" ht="16">
      <c r="B2345" s="26" t="str">
        <f t="shared" si="10"/>
        <v/>
      </c>
      <c r="C2345" s="6"/>
      <c r="D2345" s="6"/>
      <c r="E2345" s="6"/>
      <c r="F2345" s="15"/>
      <c r="G2345" s="6"/>
      <c r="H2345" s="6"/>
      <c r="I2345" s="6"/>
      <c r="J2345" s="16"/>
      <c r="K2345" s="6"/>
      <c r="L2345" s="16"/>
      <c r="M2345" s="23"/>
      <c r="N2345" s="15"/>
      <c r="O2345" s="23"/>
      <c r="P2345" s="21"/>
      <c r="Q2345" s="6"/>
      <c r="R2345" s="6"/>
      <c r="S2345" s="20"/>
      <c r="T2345" s="6"/>
      <c r="U2345" s="21"/>
      <c r="W2345" s="20"/>
      <c r="X2345" s="21"/>
      <c r="AD2345" s="17"/>
      <c r="AG2345" s="23"/>
    </row>
    <row r="2346" spans="2:33" ht="16">
      <c r="B2346" s="26" t="str">
        <f t="shared" si="10"/>
        <v/>
      </c>
      <c r="C2346" s="6"/>
      <c r="D2346" s="6"/>
      <c r="E2346" s="6"/>
      <c r="F2346" s="15"/>
      <c r="G2346" s="6"/>
      <c r="H2346" s="6"/>
      <c r="I2346" s="6"/>
      <c r="J2346" s="16"/>
      <c r="K2346" s="6"/>
      <c r="L2346" s="16"/>
      <c r="M2346" s="23"/>
      <c r="N2346" s="15"/>
      <c r="O2346" s="23"/>
      <c r="P2346" s="21"/>
      <c r="Q2346" s="6"/>
      <c r="R2346" s="6"/>
      <c r="S2346" s="20"/>
      <c r="T2346" s="6"/>
      <c r="U2346" s="21"/>
      <c r="W2346" s="20"/>
      <c r="X2346" s="21"/>
      <c r="AD2346" s="17"/>
      <c r="AG2346" s="23"/>
    </row>
    <row r="2347" spans="2:33" ht="16">
      <c r="B2347" s="26" t="str">
        <f t="shared" si="10"/>
        <v/>
      </c>
      <c r="C2347" s="6"/>
      <c r="D2347" s="6"/>
      <c r="E2347" s="6"/>
      <c r="F2347" s="15"/>
      <c r="G2347" s="6"/>
      <c r="H2347" s="6"/>
      <c r="I2347" s="6"/>
      <c r="J2347" s="16"/>
      <c r="K2347" s="6"/>
      <c r="L2347" s="16"/>
      <c r="M2347" s="23"/>
      <c r="N2347" s="15"/>
      <c r="O2347" s="23"/>
      <c r="P2347" s="21"/>
      <c r="Q2347" s="6"/>
      <c r="R2347" s="6"/>
      <c r="S2347" s="20"/>
      <c r="T2347" s="6"/>
      <c r="U2347" s="21"/>
      <c r="W2347" s="20"/>
      <c r="X2347" s="21"/>
      <c r="AD2347" s="17"/>
      <c r="AG2347" s="23"/>
    </row>
    <row r="2348" spans="2:33" ht="16">
      <c r="B2348" s="26" t="str">
        <f t="shared" si="10"/>
        <v/>
      </c>
      <c r="C2348" s="6"/>
      <c r="D2348" s="6"/>
      <c r="E2348" s="6"/>
      <c r="F2348" s="15"/>
      <c r="G2348" s="6"/>
      <c r="H2348" s="6"/>
      <c r="I2348" s="6"/>
      <c r="J2348" s="16"/>
      <c r="K2348" s="6"/>
      <c r="L2348" s="16"/>
      <c r="M2348" s="17"/>
      <c r="N2348" s="15"/>
      <c r="O2348" s="17"/>
      <c r="P2348" s="21"/>
      <c r="Q2348" s="6"/>
      <c r="R2348" s="6"/>
      <c r="S2348" s="20"/>
      <c r="T2348" s="6"/>
      <c r="U2348" s="21"/>
      <c r="W2348" s="20"/>
      <c r="X2348" s="21"/>
      <c r="AD2348" s="17"/>
      <c r="AG2348" s="17"/>
    </row>
    <row r="2349" spans="2:33" ht="16">
      <c r="B2349" s="26" t="str">
        <f t="shared" si="10"/>
        <v/>
      </c>
      <c r="C2349" s="6"/>
      <c r="D2349" s="6"/>
      <c r="E2349" s="6"/>
      <c r="F2349" s="15"/>
      <c r="G2349" s="6"/>
      <c r="H2349" s="6"/>
      <c r="I2349" s="6"/>
      <c r="J2349" s="16"/>
      <c r="K2349" s="6"/>
      <c r="L2349" s="16"/>
      <c r="M2349" s="23"/>
      <c r="N2349" s="15"/>
      <c r="O2349" s="23"/>
      <c r="P2349" s="21"/>
      <c r="Q2349" s="6"/>
      <c r="R2349" s="6"/>
      <c r="S2349" s="20"/>
      <c r="T2349" s="6"/>
      <c r="U2349" s="21"/>
      <c r="W2349" s="20"/>
      <c r="X2349" s="21"/>
      <c r="AD2349" s="17"/>
      <c r="AG2349" s="23"/>
    </row>
    <row r="2350" spans="2:33" ht="16">
      <c r="B2350" s="26" t="str">
        <f t="shared" si="10"/>
        <v/>
      </c>
      <c r="C2350" s="6"/>
      <c r="D2350" s="6"/>
      <c r="E2350" s="6"/>
      <c r="F2350" s="15"/>
      <c r="G2350" s="6"/>
      <c r="H2350" s="6"/>
      <c r="I2350" s="6"/>
      <c r="J2350" s="16"/>
      <c r="K2350" s="6"/>
      <c r="L2350" s="16"/>
      <c r="M2350" s="23"/>
      <c r="N2350" s="15"/>
      <c r="O2350" s="23"/>
      <c r="P2350" s="21"/>
      <c r="Q2350" s="6"/>
      <c r="R2350" s="6"/>
      <c r="S2350" s="20"/>
      <c r="T2350" s="6"/>
      <c r="U2350" s="21"/>
      <c r="W2350" s="20"/>
      <c r="X2350" s="21"/>
      <c r="AD2350" s="17"/>
      <c r="AG2350" s="17"/>
    </row>
    <row r="2351" spans="2:33" ht="16">
      <c r="B2351" s="26" t="str">
        <f t="shared" si="10"/>
        <v/>
      </c>
      <c r="C2351" s="6"/>
      <c r="D2351" s="6"/>
      <c r="E2351" s="6"/>
      <c r="F2351" s="15"/>
      <c r="G2351" s="6"/>
      <c r="H2351" s="6"/>
      <c r="I2351" s="6"/>
      <c r="J2351" s="16"/>
      <c r="K2351" s="6"/>
      <c r="L2351" s="16"/>
      <c r="M2351" s="23"/>
      <c r="N2351" s="15"/>
      <c r="O2351" s="17"/>
      <c r="P2351" s="21"/>
      <c r="Q2351" s="6"/>
      <c r="R2351" s="6"/>
      <c r="S2351" s="20"/>
      <c r="T2351" s="6"/>
      <c r="U2351" s="21"/>
      <c r="W2351" s="20"/>
      <c r="X2351" s="21"/>
      <c r="AD2351" s="17"/>
      <c r="AG2351" s="23"/>
    </row>
    <row r="2352" spans="2:33" ht="16">
      <c r="B2352" s="26" t="str">
        <f t="shared" si="10"/>
        <v/>
      </c>
      <c r="C2352" s="6"/>
      <c r="D2352" s="6"/>
      <c r="E2352" s="6"/>
      <c r="F2352" s="15"/>
      <c r="G2352" s="6"/>
      <c r="H2352" s="6"/>
      <c r="I2352" s="6"/>
      <c r="J2352" s="16"/>
      <c r="K2352" s="6"/>
      <c r="L2352" s="16"/>
      <c r="M2352" s="17"/>
      <c r="N2352" s="15"/>
      <c r="O2352" s="17"/>
      <c r="P2352" s="21"/>
      <c r="Q2352" s="6"/>
      <c r="R2352" s="6"/>
      <c r="S2352" s="20"/>
      <c r="T2352" s="6"/>
      <c r="U2352" s="21"/>
      <c r="W2352" s="20"/>
      <c r="X2352" s="21"/>
      <c r="AD2352" s="17"/>
      <c r="AG2352" s="17"/>
    </row>
    <row r="2353" spans="2:33" ht="16">
      <c r="B2353" s="26" t="str">
        <f t="shared" si="10"/>
        <v/>
      </c>
      <c r="C2353" s="6"/>
      <c r="D2353" s="6"/>
      <c r="E2353" s="6"/>
      <c r="F2353" s="15"/>
      <c r="G2353" s="6"/>
      <c r="H2353" s="6"/>
      <c r="I2353" s="6"/>
      <c r="J2353" s="16"/>
      <c r="K2353" s="6"/>
      <c r="L2353" s="16"/>
      <c r="M2353" s="17"/>
      <c r="N2353" s="15"/>
      <c r="O2353" s="17"/>
      <c r="P2353" s="21"/>
      <c r="Q2353" s="6"/>
      <c r="R2353" s="6"/>
      <c r="S2353" s="20"/>
      <c r="T2353" s="6"/>
      <c r="U2353" s="21"/>
      <c r="W2353" s="20"/>
      <c r="X2353" s="21"/>
      <c r="AD2353" s="17"/>
      <c r="AG2353" s="23"/>
    </row>
    <row r="2354" spans="2:33" ht="16">
      <c r="B2354" s="26" t="str">
        <f t="shared" si="10"/>
        <v/>
      </c>
      <c r="C2354" s="6"/>
      <c r="D2354" s="6"/>
      <c r="E2354" s="6"/>
      <c r="F2354" s="15"/>
      <c r="G2354" s="6"/>
      <c r="H2354" s="6"/>
      <c r="I2354" s="6"/>
      <c r="J2354" s="16"/>
      <c r="K2354" s="6"/>
      <c r="L2354" s="16"/>
      <c r="M2354" s="23"/>
      <c r="N2354" s="15"/>
      <c r="O2354" s="23"/>
      <c r="P2354" s="21"/>
      <c r="Q2354" s="6"/>
      <c r="R2354" s="6"/>
      <c r="S2354" s="20"/>
      <c r="T2354" s="6"/>
      <c r="U2354" s="21"/>
      <c r="W2354" s="20"/>
      <c r="X2354" s="21"/>
      <c r="AD2354" s="17"/>
      <c r="AG2354" s="23"/>
    </row>
    <row r="2355" spans="2:33" ht="16">
      <c r="B2355" s="26" t="str">
        <f t="shared" si="10"/>
        <v/>
      </c>
      <c r="C2355" s="6"/>
      <c r="D2355" s="6"/>
      <c r="E2355" s="6"/>
      <c r="F2355" s="15"/>
      <c r="G2355" s="6"/>
      <c r="H2355" s="6"/>
      <c r="I2355" s="6"/>
      <c r="J2355" s="16"/>
      <c r="K2355" s="6"/>
      <c r="L2355" s="16"/>
      <c r="M2355" s="17"/>
      <c r="N2355" s="15"/>
      <c r="O2355" s="23"/>
      <c r="P2355" s="21"/>
      <c r="Q2355" s="6"/>
      <c r="R2355" s="6"/>
      <c r="S2355" s="20"/>
      <c r="T2355" s="6"/>
      <c r="U2355" s="21"/>
      <c r="W2355" s="20"/>
      <c r="X2355" s="21"/>
      <c r="AD2355" s="17"/>
      <c r="AG2355" s="23"/>
    </row>
    <row r="2356" spans="2:33" ht="16">
      <c r="B2356" s="26" t="str">
        <f t="shared" si="10"/>
        <v/>
      </c>
      <c r="C2356" s="6"/>
      <c r="D2356" s="6"/>
      <c r="E2356" s="6"/>
      <c r="F2356" s="15"/>
      <c r="G2356" s="6"/>
      <c r="H2356" s="6"/>
      <c r="I2356" s="6"/>
      <c r="J2356" s="16"/>
      <c r="K2356" s="6"/>
      <c r="L2356" s="16"/>
      <c r="M2356" s="23"/>
      <c r="N2356" s="15"/>
      <c r="O2356" s="23"/>
      <c r="P2356" s="21"/>
      <c r="Q2356" s="6"/>
      <c r="R2356" s="6"/>
      <c r="S2356" s="20"/>
      <c r="T2356" s="6"/>
      <c r="U2356" s="21"/>
      <c r="W2356" s="20"/>
      <c r="X2356" s="21"/>
      <c r="AD2356" s="17"/>
      <c r="AG2356" s="17"/>
    </row>
    <row r="2357" spans="2:33" ht="16">
      <c r="B2357" s="26" t="str">
        <f t="shared" si="10"/>
        <v/>
      </c>
      <c r="C2357" s="6"/>
      <c r="D2357" s="6"/>
      <c r="E2357" s="6"/>
      <c r="F2357" s="15"/>
      <c r="G2357" s="6"/>
      <c r="H2357" s="6"/>
      <c r="I2357" s="6"/>
      <c r="J2357" s="16"/>
      <c r="K2357" s="6"/>
      <c r="L2357" s="16"/>
      <c r="M2357" s="23"/>
      <c r="N2357" s="15"/>
      <c r="O2357" s="17"/>
      <c r="P2357" s="21"/>
      <c r="Q2357" s="6"/>
      <c r="R2357" s="6"/>
      <c r="S2357" s="20"/>
      <c r="T2357" s="6"/>
      <c r="U2357" s="21"/>
      <c r="W2357" s="20"/>
      <c r="X2357" s="21"/>
      <c r="AD2357" s="17"/>
      <c r="AG2357" s="23"/>
    </row>
    <row r="2358" spans="2:33" ht="16">
      <c r="B2358" s="26" t="str">
        <f t="shared" si="10"/>
        <v/>
      </c>
      <c r="C2358" s="6"/>
      <c r="D2358" s="6"/>
      <c r="E2358" s="6"/>
      <c r="F2358" s="15"/>
      <c r="G2358" s="6"/>
      <c r="H2358" s="6"/>
      <c r="I2358" s="6"/>
      <c r="J2358" s="16"/>
      <c r="K2358" s="6"/>
      <c r="L2358" s="16"/>
      <c r="M2358" s="23"/>
      <c r="N2358" s="15"/>
      <c r="O2358" s="23"/>
      <c r="P2358" s="21"/>
      <c r="Q2358" s="6"/>
      <c r="R2358" s="6"/>
      <c r="S2358" s="20"/>
      <c r="T2358" s="6"/>
      <c r="U2358" s="21"/>
      <c r="W2358" s="20"/>
      <c r="X2358" s="21"/>
      <c r="AD2358" s="17"/>
      <c r="AG2358" s="23"/>
    </row>
    <row r="2359" spans="2:33" ht="16">
      <c r="B2359" s="26" t="str">
        <f t="shared" si="10"/>
        <v/>
      </c>
      <c r="C2359" s="6"/>
      <c r="D2359" s="6"/>
      <c r="E2359" s="6"/>
      <c r="F2359" s="15"/>
      <c r="G2359" s="6"/>
      <c r="H2359" s="6"/>
      <c r="I2359" s="6"/>
      <c r="J2359" s="16"/>
      <c r="K2359" s="6"/>
      <c r="L2359" s="16"/>
      <c r="M2359" s="23"/>
      <c r="N2359" s="15"/>
      <c r="O2359" s="23"/>
      <c r="P2359" s="21"/>
      <c r="Q2359" s="6"/>
      <c r="R2359" s="6"/>
      <c r="S2359" s="20"/>
      <c r="T2359" s="6"/>
      <c r="U2359" s="21"/>
      <c r="W2359" s="20"/>
      <c r="X2359" s="21"/>
      <c r="AD2359" s="17"/>
      <c r="AG2359" s="17"/>
    </row>
    <row r="2360" spans="2:33" ht="16">
      <c r="B2360" s="26" t="str">
        <f t="shared" si="10"/>
        <v/>
      </c>
      <c r="C2360" s="6"/>
      <c r="D2360" s="6"/>
      <c r="E2360" s="6"/>
      <c r="F2360" s="15"/>
      <c r="G2360" s="6"/>
      <c r="H2360" s="6"/>
      <c r="I2360" s="6"/>
      <c r="J2360" s="16"/>
      <c r="K2360" s="6"/>
      <c r="L2360" s="16"/>
      <c r="M2360" s="23"/>
      <c r="N2360" s="15"/>
      <c r="O2360" s="23"/>
      <c r="P2360" s="21"/>
      <c r="Q2360" s="6"/>
      <c r="R2360" s="6"/>
      <c r="S2360" s="20"/>
      <c r="T2360" s="6"/>
      <c r="U2360" s="21"/>
      <c r="W2360" s="20"/>
      <c r="X2360" s="21"/>
      <c r="AD2360" s="23"/>
      <c r="AG2360" s="23"/>
    </row>
    <row r="2361" spans="2:33" ht="16">
      <c r="B2361" s="26" t="str">
        <f t="shared" si="10"/>
        <v/>
      </c>
      <c r="C2361" s="6"/>
      <c r="D2361" s="6"/>
      <c r="E2361" s="6"/>
      <c r="F2361" s="15"/>
      <c r="G2361" s="6"/>
      <c r="H2361" s="6"/>
      <c r="I2361" s="6"/>
      <c r="J2361" s="16"/>
      <c r="K2361" s="6"/>
      <c r="L2361" s="16"/>
      <c r="M2361" s="23"/>
      <c r="N2361" s="15"/>
      <c r="O2361" s="23"/>
      <c r="P2361" s="21"/>
      <c r="Q2361" s="6"/>
      <c r="R2361" s="6"/>
      <c r="S2361" s="20"/>
      <c r="T2361" s="6"/>
      <c r="U2361" s="21"/>
      <c r="W2361" s="20"/>
      <c r="X2361" s="21"/>
      <c r="AD2361" s="23"/>
      <c r="AG2361" s="23"/>
    </row>
    <row r="2362" spans="2:33" ht="16">
      <c r="B2362" s="26" t="str">
        <f t="shared" si="10"/>
        <v/>
      </c>
      <c r="C2362" s="6"/>
      <c r="D2362" s="6"/>
      <c r="E2362" s="6"/>
      <c r="F2362" s="15"/>
      <c r="G2362" s="6"/>
      <c r="H2362" s="6"/>
      <c r="I2362" s="6"/>
      <c r="J2362" s="16"/>
      <c r="K2362" s="6"/>
      <c r="L2362" s="16"/>
      <c r="M2362" s="23"/>
      <c r="N2362" s="15"/>
      <c r="O2362" s="23"/>
      <c r="P2362" s="21"/>
      <c r="Q2362" s="6"/>
      <c r="R2362" s="6"/>
      <c r="S2362" s="20"/>
      <c r="T2362" s="6"/>
      <c r="U2362" s="21"/>
      <c r="W2362" s="20"/>
      <c r="X2362" s="21"/>
      <c r="AD2362" s="17"/>
      <c r="AG2362" s="23"/>
    </row>
    <row r="2363" spans="2:33" ht="16">
      <c r="B2363" s="26" t="str">
        <f t="shared" si="10"/>
        <v/>
      </c>
      <c r="C2363" s="6"/>
      <c r="D2363" s="6"/>
      <c r="E2363" s="6"/>
      <c r="F2363" s="15"/>
      <c r="G2363" s="6"/>
      <c r="H2363" s="6"/>
      <c r="I2363" s="6"/>
      <c r="J2363" s="16"/>
      <c r="K2363" s="6"/>
      <c r="L2363" s="16"/>
      <c r="M2363" s="23"/>
      <c r="N2363" s="15"/>
      <c r="O2363" s="23"/>
      <c r="P2363" s="21"/>
      <c r="Q2363" s="6"/>
      <c r="R2363" s="6"/>
      <c r="S2363" s="20"/>
      <c r="T2363" s="6"/>
      <c r="U2363" s="21"/>
      <c r="W2363" s="20"/>
      <c r="X2363" s="21"/>
      <c r="AD2363" s="17"/>
      <c r="AG2363" s="23"/>
    </row>
    <row r="2364" spans="2:33" ht="16">
      <c r="B2364" s="26" t="str">
        <f t="shared" si="10"/>
        <v/>
      </c>
      <c r="C2364" s="6"/>
      <c r="D2364" s="6"/>
      <c r="E2364" s="6"/>
      <c r="F2364" s="15"/>
      <c r="G2364" s="6"/>
      <c r="H2364" s="6"/>
      <c r="I2364" s="6"/>
      <c r="J2364" s="16"/>
      <c r="K2364" s="6"/>
      <c r="L2364" s="16"/>
      <c r="M2364" s="23"/>
      <c r="N2364" s="15"/>
      <c r="O2364" s="23"/>
      <c r="P2364" s="21"/>
      <c r="Q2364" s="6"/>
      <c r="R2364" s="6"/>
      <c r="S2364" s="20"/>
      <c r="T2364" s="6"/>
      <c r="U2364" s="21"/>
      <c r="W2364" s="20"/>
      <c r="X2364" s="21"/>
      <c r="AD2364" s="23"/>
      <c r="AG2364" s="23"/>
    </row>
    <row r="2365" spans="2:33" ht="16">
      <c r="B2365" s="26" t="str">
        <f t="shared" si="10"/>
        <v/>
      </c>
      <c r="C2365" s="6"/>
      <c r="D2365" s="6"/>
      <c r="E2365" s="6"/>
      <c r="F2365" s="15"/>
      <c r="G2365" s="6"/>
      <c r="H2365" s="6"/>
      <c r="I2365" s="6"/>
      <c r="J2365" s="16"/>
      <c r="K2365" s="6"/>
      <c r="L2365" s="16"/>
      <c r="M2365" s="23"/>
      <c r="N2365" s="15"/>
      <c r="O2365" s="23"/>
      <c r="P2365" s="21"/>
      <c r="Q2365" s="6"/>
      <c r="R2365" s="6"/>
      <c r="S2365" s="20"/>
      <c r="T2365" s="6"/>
      <c r="U2365" s="21"/>
      <c r="W2365" s="20"/>
      <c r="X2365" s="21"/>
      <c r="AD2365" s="17"/>
      <c r="AG2365" s="23"/>
    </row>
    <row r="2366" spans="2:33" ht="16">
      <c r="B2366" s="26" t="str">
        <f t="shared" si="10"/>
        <v/>
      </c>
      <c r="C2366" s="6"/>
      <c r="D2366" s="6"/>
      <c r="E2366" s="6"/>
      <c r="F2366" s="15"/>
      <c r="G2366" s="6"/>
      <c r="H2366" s="6"/>
      <c r="I2366" s="6"/>
      <c r="J2366" s="16"/>
      <c r="K2366" s="6"/>
      <c r="L2366" s="16"/>
      <c r="M2366" s="23"/>
      <c r="N2366" s="15"/>
      <c r="O2366" s="23"/>
      <c r="P2366" s="21"/>
      <c r="Q2366" s="6"/>
      <c r="R2366" s="6"/>
      <c r="S2366" s="20"/>
      <c r="T2366" s="6"/>
      <c r="U2366" s="21"/>
      <c r="W2366" s="20"/>
      <c r="X2366" s="21"/>
      <c r="AD2366" s="23"/>
      <c r="AG2366" s="17"/>
    </row>
    <row r="2367" spans="2:33" ht="16">
      <c r="B2367" s="26" t="str">
        <f t="shared" si="10"/>
        <v/>
      </c>
      <c r="C2367" s="23"/>
      <c r="D2367" s="6"/>
      <c r="E2367" s="6"/>
      <c r="F2367" s="15"/>
      <c r="G2367" s="6"/>
      <c r="H2367" s="6"/>
      <c r="I2367" s="6"/>
      <c r="J2367" s="16"/>
      <c r="K2367" s="6"/>
      <c r="L2367" s="16"/>
      <c r="M2367" s="23"/>
      <c r="N2367" s="15"/>
      <c r="O2367" s="23"/>
      <c r="P2367" s="21"/>
      <c r="Q2367" s="6"/>
      <c r="R2367" s="6"/>
      <c r="S2367" s="20"/>
      <c r="T2367" s="6"/>
      <c r="U2367" s="21"/>
      <c r="W2367" s="20"/>
      <c r="X2367" s="21"/>
      <c r="AD2367" s="23"/>
      <c r="AG2367" s="17"/>
    </row>
    <row r="2368" spans="2:33" ht="16">
      <c r="B2368" s="26" t="str">
        <f t="shared" si="10"/>
        <v/>
      </c>
      <c r="C2368" s="6"/>
      <c r="D2368" s="6"/>
      <c r="E2368" s="6"/>
      <c r="F2368" s="15"/>
      <c r="G2368" s="6"/>
      <c r="H2368" s="6"/>
      <c r="I2368" s="6"/>
      <c r="J2368" s="16"/>
      <c r="K2368" s="6"/>
      <c r="L2368" s="16"/>
      <c r="M2368" s="23"/>
      <c r="N2368" s="15"/>
      <c r="O2368" s="23"/>
      <c r="P2368" s="21"/>
      <c r="Q2368" s="6"/>
      <c r="R2368" s="6"/>
      <c r="S2368" s="20"/>
      <c r="T2368" s="6"/>
      <c r="U2368" s="21"/>
      <c r="W2368" s="20"/>
      <c r="X2368" s="21"/>
      <c r="AD2368" s="23"/>
      <c r="AG2368" s="17"/>
    </row>
    <row r="2369" spans="2:33" ht="16">
      <c r="B2369" s="26" t="str">
        <f t="shared" si="10"/>
        <v/>
      </c>
      <c r="C2369" s="6"/>
      <c r="D2369" s="6"/>
      <c r="E2369" s="6"/>
      <c r="F2369" s="15"/>
      <c r="G2369" s="6"/>
      <c r="H2369" s="6"/>
      <c r="I2369" s="6"/>
      <c r="J2369" s="16"/>
      <c r="K2369" s="6"/>
      <c r="L2369" s="16"/>
      <c r="M2369" s="23"/>
      <c r="N2369" s="15"/>
      <c r="O2369" s="23"/>
      <c r="P2369" s="21"/>
      <c r="Q2369" s="6"/>
      <c r="R2369" s="6"/>
      <c r="S2369" s="20"/>
      <c r="T2369" s="6"/>
      <c r="U2369" s="21"/>
      <c r="W2369" s="20"/>
      <c r="X2369" s="21"/>
      <c r="AD2369" s="17"/>
      <c r="AG2369" s="17"/>
    </row>
    <row r="2370" spans="2:33" ht="16">
      <c r="B2370" s="26" t="str">
        <f t="shared" si="10"/>
        <v/>
      </c>
      <c r="C2370" s="6"/>
      <c r="D2370" s="6"/>
      <c r="E2370" s="6"/>
      <c r="F2370" s="15"/>
      <c r="G2370" s="6"/>
      <c r="H2370" s="6"/>
      <c r="I2370" s="6"/>
      <c r="J2370" s="16"/>
      <c r="K2370" s="6"/>
      <c r="L2370" s="16"/>
      <c r="M2370" s="23"/>
      <c r="N2370" s="15"/>
      <c r="O2370" s="23"/>
      <c r="P2370" s="21"/>
      <c r="Q2370" s="6"/>
      <c r="R2370" s="6"/>
      <c r="S2370" s="20"/>
      <c r="T2370" s="6"/>
      <c r="U2370" s="21"/>
      <c r="W2370" s="20"/>
      <c r="X2370" s="21"/>
      <c r="AD2370" s="23"/>
      <c r="AG2370" s="17"/>
    </row>
    <row r="2371" spans="2:33" ht="16">
      <c r="B2371" s="26" t="str">
        <f t="shared" si="10"/>
        <v/>
      </c>
      <c r="C2371" s="6"/>
      <c r="D2371" s="6"/>
      <c r="E2371" s="6"/>
      <c r="F2371" s="15"/>
      <c r="G2371" s="6"/>
      <c r="H2371" s="6"/>
      <c r="I2371" s="6"/>
      <c r="J2371" s="16"/>
      <c r="K2371" s="6"/>
      <c r="L2371" s="16"/>
      <c r="M2371" s="23"/>
      <c r="N2371" s="15"/>
      <c r="O2371" s="23"/>
      <c r="P2371" s="21"/>
      <c r="Q2371" s="6"/>
      <c r="R2371" s="6"/>
      <c r="S2371" s="20"/>
      <c r="T2371" s="6"/>
      <c r="U2371" s="21"/>
      <c r="W2371" s="20"/>
      <c r="X2371" s="21"/>
      <c r="AD2371" s="17"/>
      <c r="AG2371" s="23"/>
    </row>
    <row r="2372" spans="2:33" ht="16">
      <c r="B2372" s="26" t="str">
        <f t="shared" si="10"/>
        <v/>
      </c>
      <c r="C2372" s="6"/>
      <c r="D2372" s="6"/>
      <c r="E2372" s="6"/>
      <c r="F2372" s="15"/>
      <c r="G2372" s="6"/>
      <c r="H2372" s="6"/>
      <c r="I2372" s="6"/>
      <c r="J2372" s="16"/>
      <c r="K2372" s="6"/>
      <c r="L2372" s="16"/>
      <c r="M2372" s="23"/>
      <c r="N2372" s="15"/>
      <c r="O2372" s="17"/>
      <c r="P2372" s="21"/>
      <c r="Q2372" s="6"/>
      <c r="R2372" s="6"/>
      <c r="S2372" s="20"/>
      <c r="T2372" s="6"/>
      <c r="U2372" s="21"/>
      <c r="W2372" s="20"/>
      <c r="X2372" s="21"/>
      <c r="AD2372" s="23"/>
      <c r="AG2372" s="23"/>
    </row>
    <row r="2373" spans="2:33" ht="16">
      <c r="B2373" s="26" t="str">
        <f t="shared" si="10"/>
        <v/>
      </c>
      <c r="C2373" s="6"/>
      <c r="D2373" s="6"/>
      <c r="E2373" s="6"/>
      <c r="F2373" s="15"/>
      <c r="G2373" s="6"/>
      <c r="H2373" s="6"/>
      <c r="I2373" s="6"/>
      <c r="J2373" s="16"/>
      <c r="K2373" s="6"/>
      <c r="L2373" s="16"/>
      <c r="M2373" s="23"/>
      <c r="N2373" s="15"/>
      <c r="O2373" s="23"/>
      <c r="P2373" s="21"/>
      <c r="Q2373" s="6"/>
      <c r="R2373" s="6"/>
      <c r="S2373" s="20"/>
      <c r="T2373" s="6"/>
      <c r="U2373" s="21"/>
      <c r="W2373" s="20"/>
      <c r="X2373" s="21"/>
      <c r="AD2373" s="17"/>
      <c r="AG2373" s="23"/>
    </row>
    <row r="2374" spans="2:33" ht="16">
      <c r="B2374" s="26" t="str">
        <f t="shared" si="10"/>
        <v/>
      </c>
      <c r="C2374" s="6"/>
      <c r="D2374" s="6"/>
      <c r="E2374" s="6"/>
      <c r="F2374" s="15"/>
      <c r="G2374" s="6"/>
      <c r="H2374" s="6"/>
      <c r="I2374" s="6"/>
      <c r="J2374" s="16"/>
      <c r="K2374" s="6"/>
      <c r="L2374" s="16"/>
      <c r="M2374" s="23"/>
      <c r="N2374" s="15"/>
      <c r="O2374" s="23"/>
      <c r="P2374" s="21"/>
      <c r="Q2374" s="6"/>
      <c r="R2374" s="6"/>
      <c r="S2374" s="20"/>
      <c r="T2374" s="6"/>
      <c r="U2374" s="21"/>
      <c r="W2374" s="20"/>
      <c r="X2374" s="21"/>
      <c r="AD2374" s="23"/>
      <c r="AG2374" s="23"/>
    </row>
    <row r="2375" spans="2:33" ht="16">
      <c r="B2375" s="26" t="str">
        <f t="shared" si="10"/>
        <v/>
      </c>
      <c r="C2375" s="6"/>
      <c r="D2375" s="6"/>
      <c r="E2375" s="6"/>
      <c r="F2375" s="15"/>
      <c r="G2375" s="6"/>
      <c r="H2375" s="6"/>
      <c r="I2375" s="6"/>
      <c r="J2375" s="16"/>
      <c r="K2375" s="6"/>
      <c r="L2375" s="16"/>
      <c r="M2375" s="23"/>
      <c r="N2375" s="15"/>
      <c r="O2375" s="23"/>
      <c r="P2375" s="21"/>
      <c r="Q2375" s="6"/>
      <c r="R2375" s="6"/>
      <c r="S2375" s="20"/>
      <c r="T2375" s="6"/>
      <c r="U2375" s="21"/>
      <c r="W2375" s="20"/>
      <c r="X2375" s="21"/>
      <c r="AD2375" s="23"/>
      <c r="AG2375" s="23"/>
    </row>
    <row r="2376" spans="2:33" ht="16">
      <c r="B2376" s="26" t="str">
        <f t="shared" si="10"/>
        <v/>
      </c>
      <c r="C2376" s="6"/>
      <c r="D2376" s="6"/>
      <c r="E2376" s="6"/>
      <c r="F2376" s="15"/>
      <c r="G2376" s="6"/>
      <c r="H2376" s="6"/>
      <c r="I2376" s="6"/>
      <c r="J2376" s="16"/>
      <c r="K2376" s="6"/>
      <c r="L2376" s="16"/>
      <c r="M2376" s="23"/>
      <c r="N2376" s="15"/>
      <c r="O2376" s="23"/>
      <c r="P2376" s="21"/>
      <c r="Q2376" s="6"/>
      <c r="R2376" s="6"/>
      <c r="S2376" s="20"/>
      <c r="T2376" s="6"/>
      <c r="U2376" s="21"/>
      <c r="W2376" s="20"/>
      <c r="X2376" s="21"/>
      <c r="AD2376" s="17"/>
      <c r="AG2376" s="23"/>
    </row>
    <row r="2377" spans="2:33" ht="16">
      <c r="B2377" s="26" t="str">
        <f t="shared" si="10"/>
        <v/>
      </c>
      <c r="C2377" s="6"/>
      <c r="D2377" s="6"/>
      <c r="E2377" s="6"/>
      <c r="F2377" s="15"/>
      <c r="G2377" s="6"/>
      <c r="H2377" s="6"/>
      <c r="I2377" s="6"/>
      <c r="J2377" s="16"/>
      <c r="K2377" s="6"/>
      <c r="L2377" s="16"/>
      <c r="M2377" s="23"/>
      <c r="N2377" s="15"/>
      <c r="O2377" s="23"/>
      <c r="P2377" s="21"/>
      <c r="Q2377" s="6"/>
      <c r="R2377" s="6"/>
      <c r="S2377" s="20"/>
      <c r="T2377" s="6"/>
      <c r="U2377" s="21"/>
      <c r="W2377" s="20"/>
      <c r="X2377" s="21"/>
      <c r="AD2377" s="17"/>
      <c r="AG2377" s="23"/>
    </row>
    <row r="2378" spans="2:33" ht="16">
      <c r="B2378" s="26" t="str">
        <f t="shared" si="10"/>
        <v/>
      </c>
      <c r="C2378" s="6"/>
      <c r="D2378" s="6"/>
      <c r="E2378" s="6"/>
      <c r="F2378" s="15"/>
      <c r="G2378" s="6"/>
      <c r="H2378" s="6"/>
      <c r="I2378" s="6"/>
      <c r="J2378" s="16"/>
      <c r="K2378" s="6"/>
      <c r="L2378" s="16"/>
      <c r="M2378" s="23"/>
      <c r="N2378" s="15"/>
      <c r="O2378" s="23"/>
      <c r="P2378" s="21"/>
      <c r="Q2378" s="6"/>
      <c r="R2378" s="6"/>
      <c r="S2378" s="20"/>
      <c r="T2378" s="6"/>
      <c r="U2378" s="21"/>
      <c r="W2378" s="20"/>
      <c r="X2378" s="21"/>
      <c r="AD2378" s="23"/>
      <c r="AG2378" s="23"/>
    </row>
    <row r="2379" spans="2:33" ht="16">
      <c r="B2379" s="26" t="str">
        <f t="shared" si="10"/>
        <v/>
      </c>
      <c r="C2379" s="6"/>
      <c r="D2379" s="6"/>
      <c r="E2379" s="6"/>
      <c r="F2379" s="15"/>
      <c r="G2379" s="6"/>
      <c r="H2379" s="6"/>
      <c r="I2379" s="6"/>
      <c r="J2379" s="16"/>
      <c r="K2379" s="6"/>
      <c r="L2379" s="16"/>
      <c r="M2379" s="17"/>
      <c r="N2379" s="15"/>
      <c r="O2379" s="23"/>
      <c r="P2379" s="21"/>
      <c r="Q2379" s="6"/>
      <c r="R2379" s="6"/>
      <c r="S2379" s="20"/>
      <c r="T2379" s="6"/>
      <c r="U2379" s="21"/>
      <c r="W2379" s="20"/>
      <c r="X2379" s="21"/>
      <c r="AD2379" s="23"/>
      <c r="AG2379" s="23"/>
    </row>
    <row r="2380" spans="2:33" ht="16">
      <c r="B2380" s="26" t="str">
        <f t="shared" si="10"/>
        <v/>
      </c>
      <c r="C2380" s="6"/>
      <c r="D2380" s="6"/>
      <c r="E2380" s="6"/>
      <c r="F2380" s="15"/>
      <c r="G2380" s="6"/>
      <c r="H2380" s="6"/>
      <c r="I2380" s="6"/>
      <c r="J2380" s="16"/>
      <c r="K2380" s="6"/>
      <c r="L2380" s="16"/>
      <c r="M2380" s="23"/>
      <c r="N2380" s="15"/>
      <c r="O2380" s="23"/>
      <c r="P2380" s="21"/>
      <c r="Q2380" s="6"/>
      <c r="R2380" s="6"/>
      <c r="S2380" s="20"/>
      <c r="T2380" s="6"/>
      <c r="U2380" s="21"/>
      <c r="W2380" s="20"/>
      <c r="X2380" s="21"/>
      <c r="AD2380" s="23"/>
      <c r="AG2380" s="23"/>
    </row>
    <row r="2381" spans="2:33" ht="16">
      <c r="B2381" s="26" t="str">
        <f t="shared" si="10"/>
        <v/>
      </c>
      <c r="C2381" s="6"/>
      <c r="D2381" s="6"/>
      <c r="E2381" s="6"/>
      <c r="F2381" s="15"/>
      <c r="G2381" s="6"/>
      <c r="H2381" s="6"/>
      <c r="I2381" s="6"/>
      <c r="J2381" s="16"/>
      <c r="K2381" s="6"/>
      <c r="L2381" s="16"/>
      <c r="M2381" s="23"/>
      <c r="N2381" s="15"/>
      <c r="O2381" s="17"/>
      <c r="P2381" s="21"/>
      <c r="Q2381" s="6"/>
      <c r="R2381" s="6"/>
      <c r="S2381" s="20"/>
      <c r="T2381" s="6"/>
      <c r="U2381" s="21"/>
      <c r="W2381" s="20"/>
      <c r="X2381" s="21"/>
      <c r="AD2381" s="23"/>
      <c r="AG2381" s="23"/>
    </row>
    <row r="2382" spans="2:33" ht="16">
      <c r="B2382" s="26" t="str">
        <f t="shared" si="10"/>
        <v/>
      </c>
      <c r="C2382" s="6"/>
      <c r="D2382" s="6"/>
      <c r="E2382" s="6"/>
      <c r="F2382" s="15"/>
      <c r="G2382" s="6"/>
      <c r="H2382" s="6"/>
      <c r="I2382" s="6"/>
      <c r="J2382" s="16"/>
      <c r="K2382" s="6"/>
      <c r="L2382" s="16"/>
      <c r="M2382" s="23"/>
      <c r="N2382" s="15"/>
      <c r="O2382" s="23"/>
      <c r="P2382" s="21"/>
      <c r="Q2382" s="6"/>
      <c r="R2382" s="6"/>
      <c r="S2382" s="20"/>
      <c r="T2382" s="6"/>
      <c r="U2382" s="21"/>
      <c r="W2382" s="20"/>
      <c r="X2382" s="21"/>
      <c r="AD2382" s="23"/>
      <c r="AG2382" s="23"/>
    </row>
    <row r="2383" spans="2:33" ht="16">
      <c r="B2383" s="26" t="str">
        <f t="shared" si="10"/>
        <v/>
      </c>
      <c r="C2383" s="6"/>
      <c r="D2383" s="6"/>
      <c r="E2383" s="6"/>
      <c r="F2383" s="15"/>
      <c r="G2383" s="6"/>
      <c r="H2383" s="6"/>
      <c r="I2383" s="6"/>
      <c r="J2383" s="16"/>
      <c r="K2383" s="6"/>
      <c r="L2383" s="16"/>
      <c r="M2383" s="23"/>
      <c r="N2383" s="15"/>
      <c r="O2383" s="23"/>
      <c r="P2383" s="21"/>
      <c r="Q2383" s="6"/>
      <c r="R2383" s="6"/>
      <c r="S2383" s="20"/>
      <c r="T2383" s="6"/>
      <c r="U2383" s="21"/>
      <c r="W2383" s="20"/>
      <c r="X2383" s="21"/>
      <c r="AD2383" s="23"/>
      <c r="AG2383" s="23"/>
    </row>
    <row r="2384" spans="2:33" ht="16">
      <c r="B2384" s="26" t="str">
        <f t="shared" si="10"/>
        <v/>
      </c>
      <c r="C2384" s="6"/>
      <c r="D2384" s="6"/>
      <c r="E2384" s="6"/>
      <c r="F2384" s="15"/>
      <c r="G2384" s="6"/>
      <c r="H2384" s="6"/>
      <c r="I2384" s="6"/>
      <c r="J2384" s="16"/>
      <c r="K2384" s="6"/>
      <c r="L2384" s="16"/>
      <c r="M2384" s="23"/>
      <c r="N2384" s="15"/>
      <c r="O2384" s="23"/>
      <c r="P2384" s="21"/>
      <c r="Q2384" s="6"/>
      <c r="R2384" s="6"/>
      <c r="S2384" s="20"/>
      <c r="T2384" s="6"/>
      <c r="U2384" s="21"/>
      <c r="W2384" s="20"/>
      <c r="X2384" s="21"/>
      <c r="AD2384" s="23"/>
      <c r="AG2384" s="23"/>
    </row>
    <row r="2385" spans="2:33" ht="16">
      <c r="B2385" s="26" t="str">
        <f t="shared" si="10"/>
        <v/>
      </c>
      <c r="C2385" s="23"/>
      <c r="D2385" s="6"/>
      <c r="E2385" s="6"/>
      <c r="F2385" s="15"/>
      <c r="G2385" s="6"/>
      <c r="H2385" s="6"/>
      <c r="I2385" s="6"/>
      <c r="J2385" s="16"/>
      <c r="K2385" s="6"/>
      <c r="L2385" s="16"/>
      <c r="M2385" s="17"/>
      <c r="N2385" s="15"/>
      <c r="O2385" s="23"/>
      <c r="P2385" s="21"/>
      <c r="Q2385" s="6"/>
      <c r="R2385" s="6"/>
      <c r="S2385" s="20"/>
      <c r="T2385" s="6"/>
      <c r="U2385" s="21"/>
      <c r="W2385" s="20"/>
      <c r="X2385" s="21"/>
      <c r="AD2385" s="17"/>
      <c r="AG2385" s="23"/>
    </row>
    <row r="2386" spans="2:33" ht="16">
      <c r="B2386" s="26" t="str">
        <f t="shared" si="10"/>
        <v/>
      </c>
      <c r="C2386" s="6"/>
      <c r="D2386" s="6"/>
      <c r="E2386" s="6"/>
      <c r="F2386" s="15"/>
      <c r="G2386" s="6"/>
      <c r="H2386" s="6"/>
      <c r="I2386" s="6"/>
      <c r="J2386" s="16"/>
      <c r="K2386" s="6"/>
      <c r="L2386" s="16"/>
      <c r="M2386" s="23"/>
      <c r="N2386" s="15"/>
      <c r="O2386" s="23"/>
      <c r="P2386" s="21"/>
      <c r="Q2386" s="6"/>
      <c r="R2386" s="6"/>
      <c r="S2386" s="20"/>
      <c r="T2386" s="6"/>
      <c r="U2386" s="21"/>
      <c r="W2386" s="20"/>
      <c r="X2386" s="21"/>
      <c r="AD2386" s="23"/>
      <c r="AG2386" s="23"/>
    </row>
    <row r="2387" spans="2:33" ht="16">
      <c r="B2387" s="26" t="str">
        <f t="shared" si="10"/>
        <v/>
      </c>
      <c r="C2387" s="6"/>
      <c r="D2387" s="6"/>
      <c r="E2387" s="6"/>
      <c r="F2387" s="15"/>
      <c r="G2387" s="6"/>
      <c r="H2387" s="6"/>
      <c r="I2387" s="6"/>
      <c r="J2387" s="16"/>
      <c r="K2387" s="6"/>
      <c r="L2387" s="16"/>
      <c r="M2387" s="23"/>
      <c r="N2387" s="15"/>
      <c r="O2387" s="23"/>
      <c r="P2387" s="21"/>
      <c r="Q2387" s="6"/>
      <c r="R2387" s="6"/>
      <c r="S2387" s="20"/>
      <c r="T2387" s="6"/>
      <c r="U2387" s="21"/>
      <c r="W2387" s="20"/>
      <c r="X2387" s="21"/>
      <c r="AD2387" s="23"/>
      <c r="AG2387" s="17"/>
    </row>
    <row r="2388" spans="2:33" ht="16">
      <c r="B2388" s="26" t="str">
        <f t="shared" si="10"/>
        <v/>
      </c>
      <c r="C2388" s="6"/>
      <c r="D2388" s="6"/>
      <c r="E2388" s="6"/>
      <c r="F2388" s="15"/>
      <c r="G2388" s="6"/>
      <c r="H2388" s="6"/>
      <c r="I2388" s="6"/>
      <c r="J2388" s="16"/>
      <c r="K2388" s="6"/>
      <c r="L2388" s="16"/>
      <c r="M2388" s="23"/>
      <c r="N2388" s="15"/>
      <c r="O2388" s="23"/>
      <c r="P2388" s="21"/>
      <c r="Q2388" s="6"/>
      <c r="R2388" s="6"/>
      <c r="S2388" s="20"/>
      <c r="T2388" s="6"/>
      <c r="U2388" s="21"/>
      <c r="W2388" s="20"/>
      <c r="X2388" s="21"/>
      <c r="AD2388" s="17"/>
      <c r="AG2388" s="23"/>
    </row>
    <row r="2389" spans="2:33" ht="16">
      <c r="B2389" s="26" t="str">
        <f t="shared" si="10"/>
        <v/>
      </c>
      <c r="C2389" s="6"/>
      <c r="D2389" s="6"/>
      <c r="E2389" s="6"/>
      <c r="F2389" s="15"/>
      <c r="G2389" s="6"/>
      <c r="H2389" s="6"/>
      <c r="I2389" s="6"/>
      <c r="J2389" s="16"/>
      <c r="K2389" s="6"/>
      <c r="L2389" s="16"/>
      <c r="M2389" s="23"/>
      <c r="N2389" s="15"/>
      <c r="O2389" s="23"/>
      <c r="P2389" s="21"/>
      <c r="Q2389" s="6"/>
      <c r="R2389" s="6"/>
      <c r="S2389" s="20"/>
      <c r="T2389" s="6"/>
      <c r="U2389" s="21"/>
      <c r="W2389" s="20"/>
      <c r="X2389" s="21"/>
      <c r="AD2389" s="17"/>
      <c r="AG2389" s="17"/>
    </row>
    <row r="2390" spans="2:33" ht="16">
      <c r="B2390" s="26" t="str">
        <f t="shared" si="10"/>
        <v/>
      </c>
      <c r="C2390" s="6"/>
      <c r="D2390" s="6"/>
      <c r="E2390" s="6"/>
      <c r="F2390" s="15"/>
      <c r="G2390" s="6"/>
      <c r="H2390" s="6"/>
      <c r="I2390" s="6"/>
      <c r="J2390" s="16"/>
      <c r="K2390" s="6"/>
      <c r="L2390" s="16"/>
      <c r="M2390" s="23"/>
      <c r="N2390" s="15"/>
      <c r="O2390" s="23"/>
      <c r="P2390" s="21"/>
      <c r="Q2390" s="6"/>
      <c r="R2390" s="6"/>
      <c r="S2390" s="20"/>
      <c r="T2390" s="6"/>
      <c r="U2390" s="21"/>
      <c r="W2390" s="20"/>
      <c r="X2390" s="21"/>
      <c r="AD2390" s="17"/>
      <c r="AG2390" s="23"/>
    </row>
    <row r="2391" spans="2:33" ht="16">
      <c r="B2391" s="26" t="str">
        <f t="shared" si="10"/>
        <v/>
      </c>
      <c r="C2391" s="6"/>
      <c r="D2391" s="6"/>
      <c r="E2391" s="6"/>
      <c r="F2391" s="15"/>
      <c r="G2391" s="6"/>
      <c r="H2391" s="6"/>
      <c r="I2391" s="6"/>
      <c r="J2391" s="16"/>
      <c r="K2391" s="6"/>
      <c r="L2391" s="16"/>
      <c r="M2391" s="23"/>
      <c r="N2391" s="15"/>
      <c r="O2391" s="23"/>
      <c r="P2391" s="21"/>
      <c r="Q2391" s="6"/>
      <c r="R2391" s="6"/>
      <c r="S2391" s="20"/>
      <c r="T2391" s="6"/>
      <c r="U2391" s="21"/>
      <c r="W2391" s="20"/>
      <c r="X2391" s="21"/>
      <c r="AD2391" s="23"/>
      <c r="AG2391" s="23"/>
    </row>
    <row r="2392" spans="2:33" ht="16">
      <c r="B2392" s="26" t="str">
        <f t="shared" si="10"/>
        <v/>
      </c>
      <c r="C2392" s="6"/>
      <c r="D2392" s="6"/>
      <c r="E2392" s="6"/>
      <c r="F2392" s="15"/>
      <c r="G2392" s="6"/>
      <c r="H2392" s="6"/>
      <c r="I2392" s="6"/>
      <c r="J2392" s="16"/>
      <c r="K2392" s="6"/>
      <c r="L2392" s="16"/>
      <c r="M2392" s="23"/>
      <c r="N2392" s="15"/>
      <c r="O2392" s="23"/>
      <c r="P2392" s="21"/>
      <c r="Q2392" s="6"/>
      <c r="R2392" s="6"/>
      <c r="S2392" s="20"/>
      <c r="T2392" s="6"/>
      <c r="U2392" s="21"/>
      <c r="W2392" s="20"/>
      <c r="X2392" s="21"/>
      <c r="AD2392" s="23"/>
      <c r="AG2392" s="23"/>
    </row>
    <row r="2393" spans="2:33" ht="16">
      <c r="B2393" s="26" t="str">
        <f t="shared" si="10"/>
        <v/>
      </c>
      <c r="C2393" s="6"/>
      <c r="D2393" s="6"/>
      <c r="E2393" s="6"/>
      <c r="F2393" s="15"/>
      <c r="G2393" s="6"/>
      <c r="H2393" s="6"/>
      <c r="I2393" s="6"/>
      <c r="J2393" s="16"/>
      <c r="K2393" s="6"/>
      <c r="L2393" s="16"/>
      <c r="M2393" s="17"/>
      <c r="N2393" s="15"/>
      <c r="O2393" s="17"/>
      <c r="P2393" s="21"/>
      <c r="Q2393" s="6"/>
      <c r="R2393" s="6"/>
      <c r="S2393" s="20"/>
      <c r="T2393" s="6"/>
      <c r="U2393" s="21"/>
      <c r="W2393" s="20"/>
      <c r="X2393" s="21"/>
      <c r="AD2393" s="17"/>
      <c r="AG2393" s="23"/>
    </row>
    <row r="2394" spans="2:33" ht="16">
      <c r="B2394" s="26" t="str">
        <f t="shared" si="10"/>
        <v/>
      </c>
      <c r="C2394" s="6"/>
      <c r="D2394" s="6"/>
      <c r="E2394" s="6"/>
      <c r="F2394" s="15"/>
      <c r="G2394" s="6"/>
      <c r="H2394" s="6"/>
      <c r="I2394" s="6"/>
      <c r="J2394" s="16"/>
      <c r="K2394" s="6"/>
      <c r="L2394" s="16"/>
      <c r="M2394" s="23"/>
      <c r="N2394" s="15"/>
      <c r="O2394" s="23"/>
      <c r="P2394" s="21"/>
      <c r="Q2394" s="6"/>
      <c r="R2394" s="6"/>
      <c r="S2394" s="20"/>
      <c r="T2394" s="6"/>
      <c r="U2394" s="21"/>
      <c r="W2394" s="20"/>
      <c r="X2394" s="21"/>
      <c r="AD2394" s="17"/>
      <c r="AG2394" s="23"/>
    </row>
    <row r="2395" spans="2:33" ht="16">
      <c r="B2395" s="26" t="str">
        <f t="shared" si="10"/>
        <v/>
      </c>
      <c r="C2395" s="6"/>
      <c r="D2395" s="6"/>
      <c r="E2395" s="6"/>
      <c r="F2395" s="15"/>
      <c r="G2395" s="6"/>
      <c r="H2395" s="6"/>
      <c r="I2395" s="6"/>
      <c r="J2395" s="16"/>
      <c r="K2395" s="6"/>
      <c r="L2395" s="16"/>
      <c r="M2395" s="17"/>
      <c r="N2395" s="15"/>
      <c r="O2395" s="17"/>
      <c r="P2395" s="21"/>
      <c r="Q2395" s="6"/>
      <c r="R2395" s="6"/>
      <c r="S2395" s="20"/>
      <c r="T2395" s="6"/>
      <c r="U2395" s="21"/>
      <c r="W2395" s="20"/>
      <c r="X2395" s="21"/>
      <c r="AD2395" s="17"/>
      <c r="AG2395" s="23"/>
    </row>
    <row r="2396" spans="2:33" ht="16">
      <c r="B2396" s="26" t="str">
        <f t="shared" si="10"/>
        <v/>
      </c>
      <c r="C2396" s="6"/>
      <c r="D2396" s="6"/>
      <c r="E2396" s="6"/>
      <c r="F2396" s="15"/>
      <c r="G2396" s="6"/>
      <c r="H2396" s="6"/>
      <c r="I2396" s="6"/>
      <c r="J2396" s="16"/>
      <c r="K2396" s="6"/>
      <c r="L2396" s="16"/>
      <c r="M2396" s="23"/>
      <c r="N2396" s="15"/>
      <c r="O2396" s="23"/>
      <c r="P2396" s="21"/>
      <c r="Q2396" s="6"/>
      <c r="R2396" s="6"/>
      <c r="S2396" s="20"/>
      <c r="T2396" s="6"/>
      <c r="U2396" s="21"/>
      <c r="W2396" s="20"/>
      <c r="X2396" s="21"/>
      <c r="AD2396" s="17"/>
      <c r="AG2396" s="23"/>
    </row>
    <row r="2397" spans="2:33" ht="16">
      <c r="B2397" s="26" t="str">
        <f t="shared" si="10"/>
        <v/>
      </c>
      <c r="C2397" s="6"/>
      <c r="D2397" s="6"/>
      <c r="E2397" s="6"/>
      <c r="F2397" s="15"/>
      <c r="G2397" s="6"/>
      <c r="H2397" s="6"/>
      <c r="I2397" s="6"/>
      <c r="J2397" s="16"/>
      <c r="K2397" s="6"/>
      <c r="L2397" s="16"/>
      <c r="M2397" s="17"/>
      <c r="N2397" s="15"/>
      <c r="O2397" s="17"/>
      <c r="P2397" s="21"/>
      <c r="Q2397" s="6"/>
      <c r="R2397" s="6"/>
      <c r="S2397" s="20"/>
      <c r="T2397" s="6"/>
      <c r="U2397" s="21"/>
      <c r="W2397" s="20"/>
      <c r="X2397" s="21"/>
      <c r="AD2397" s="17"/>
      <c r="AG2397" s="23"/>
    </row>
    <row r="2398" spans="2:33" ht="16">
      <c r="B2398" s="26" t="str">
        <f t="shared" si="10"/>
        <v/>
      </c>
      <c r="C2398" s="6"/>
      <c r="D2398" s="6"/>
      <c r="E2398" s="6"/>
      <c r="F2398" s="15"/>
      <c r="G2398" s="6"/>
      <c r="H2398" s="6"/>
      <c r="I2398" s="6"/>
      <c r="J2398" s="16"/>
      <c r="K2398" s="6"/>
      <c r="L2398" s="16"/>
      <c r="M2398" s="17"/>
      <c r="N2398" s="15"/>
      <c r="O2398" s="23"/>
      <c r="P2398" s="21"/>
      <c r="Q2398" s="6"/>
      <c r="R2398" s="6"/>
      <c r="S2398" s="20"/>
      <c r="T2398" s="6"/>
      <c r="U2398" s="21"/>
      <c r="W2398" s="20"/>
      <c r="X2398" s="21"/>
      <c r="AD2398" s="17"/>
      <c r="AG2398" s="23"/>
    </row>
    <row r="2399" spans="2:33" ht="16">
      <c r="B2399" s="26" t="str">
        <f t="shared" si="10"/>
        <v/>
      </c>
      <c r="C2399" s="6"/>
      <c r="D2399" s="6"/>
      <c r="E2399" s="6"/>
      <c r="F2399" s="15"/>
      <c r="G2399" s="6"/>
      <c r="H2399" s="6"/>
      <c r="I2399" s="6"/>
      <c r="J2399" s="16"/>
      <c r="K2399" s="6"/>
      <c r="L2399" s="16"/>
      <c r="M2399" s="23"/>
      <c r="N2399" s="15"/>
      <c r="O2399" s="23"/>
      <c r="P2399" s="21"/>
      <c r="Q2399" s="6"/>
      <c r="R2399" s="6"/>
      <c r="S2399" s="20"/>
      <c r="T2399" s="6"/>
      <c r="U2399" s="21"/>
      <c r="W2399" s="20"/>
      <c r="X2399" s="21"/>
      <c r="AD2399" s="23"/>
      <c r="AG2399" s="23"/>
    </row>
    <row r="2400" spans="2:33" ht="16">
      <c r="B2400" s="26" t="str">
        <f t="shared" si="10"/>
        <v/>
      </c>
      <c r="C2400" s="6"/>
      <c r="D2400" s="6"/>
      <c r="E2400" s="6"/>
      <c r="F2400" s="15"/>
      <c r="G2400" s="6"/>
      <c r="H2400" s="6"/>
      <c r="I2400" s="6"/>
      <c r="J2400" s="16"/>
      <c r="K2400" s="6"/>
      <c r="L2400" s="16"/>
      <c r="M2400" s="23"/>
      <c r="N2400" s="15"/>
      <c r="O2400" s="23"/>
      <c r="P2400" s="21"/>
      <c r="Q2400" s="6"/>
      <c r="R2400" s="6"/>
      <c r="S2400" s="20"/>
      <c r="T2400" s="6"/>
      <c r="U2400" s="21"/>
      <c r="W2400" s="20"/>
      <c r="X2400" s="21"/>
      <c r="AD2400" s="23"/>
      <c r="AG2400" s="17"/>
    </row>
    <row r="2401" spans="2:33" ht="16">
      <c r="B2401" s="26" t="str">
        <f t="shared" si="10"/>
        <v/>
      </c>
      <c r="C2401" s="6"/>
      <c r="D2401" s="6"/>
      <c r="E2401" s="6"/>
      <c r="F2401" s="15"/>
      <c r="G2401" s="6"/>
      <c r="H2401" s="6"/>
      <c r="I2401" s="6"/>
      <c r="J2401" s="16"/>
      <c r="K2401" s="6"/>
      <c r="L2401" s="16"/>
      <c r="M2401" s="17"/>
      <c r="N2401" s="15"/>
      <c r="O2401" s="23"/>
      <c r="P2401" s="21"/>
      <c r="Q2401" s="6"/>
      <c r="R2401" s="6"/>
      <c r="S2401" s="20"/>
      <c r="T2401" s="6"/>
      <c r="U2401" s="21"/>
      <c r="W2401" s="20"/>
      <c r="X2401" s="21"/>
      <c r="AD2401" s="17"/>
      <c r="AG2401" s="17"/>
    </row>
    <row r="2402" spans="2:33" ht="16">
      <c r="B2402" s="26" t="str">
        <f t="shared" si="10"/>
        <v/>
      </c>
      <c r="C2402" s="6"/>
      <c r="D2402" s="6"/>
      <c r="E2402" s="6"/>
      <c r="F2402" s="15"/>
      <c r="G2402" s="6"/>
      <c r="H2402" s="6"/>
      <c r="I2402" s="6"/>
      <c r="J2402" s="16"/>
      <c r="K2402" s="6"/>
      <c r="L2402" s="16"/>
      <c r="M2402" s="23"/>
      <c r="N2402" s="15"/>
      <c r="O2402" s="23"/>
      <c r="P2402" s="21"/>
      <c r="Q2402" s="6"/>
      <c r="R2402" s="6"/>
      <c r="S2402" s="20"/>
      <c r="T2402" s="6"/>
      <c r="U2402" s="21"/>
      <c r="W2402" s="20"/>
      <c r="X2402" s="21"/>
      <c r="AD2402" s="23"/>
      <c r="AG2402" s="23"/>
    </row>
    <row r="2403" spans="2:33" ht="16">
      <c r="B2403" s="26" t="str">
        <f t="shared" si="10"/>
        <v/>
      </c>
      <c r="C2403" s="6"/>
      <c r="D2403" s="6"/>
      <c r="E2403" s="6"/>
      <c r="F2403" s="15"/>
      <c r="G2403" s="6"/>
      <c r="H2403" s="6"/>
      <c r="I2403" s="6"/>
      <c r="J2403" s="16"/>
      <c r="K2403" s="6"/>
      <c r="L2403" s="16"/>
      <c r="M2403" s="23"/>
      <c r="N2403" s="15"/>
      <c r="O2403" s="23"/>
      <c r="P2403" s="21"/>
      <c r="Q2403" s="6"/>
      <c r="R2403" s="6"/>
      <c r="S2403" s="20"/>
      <c r="T2403" s="6"/>
      <c r="U2403" s="21"/>
      <c r="W2403" s="20"/>
      <c r="X2403" s="21"/>
      <c r="AD2403" s="23"/>
      <c r="AG2403" s="23"/>
    </row>
    <row r="2404" spans="2:33" ht="16">
      <c r="B2404" s="26" t="str">
        <f t="shared" si="10"/>
        <v/>
      </c>
      <c r="C2404" s="6"/>
      <c r="D2404" s="6"/>
      <c r="E2404" s="6"/>
      <c r="F2404" s="15"/>
      <c r="G2404" s="6"/>
      <c r="H2404" s="6"/>
      <c r="I2404" s="6"/>
      <c r="J2404" s="16"/>
      <c r="K2404" s="6"/>
      <c r="L2404" s="16"/>
      <c r="M2404" s="17"/>
      <c r="N2404" s="15"/>
      <c r="O2404" s="17"/>
      <c r="P2404" s="21"/>
      <c r="Q2404" s="6"/>
      <c r="R2404" s="6"/>
      <c r="S2404" s="20"/>
      <c r="T2404" s="6"/>
      <c r="U2404" s="21"/>
      <c r="W2404" s="20"/>
      <c r="X2404" s="21"/>
      <c r="AD2404" s="17"/>
      <c r="AG2404" s="23"/>
    </row>
    <row r="2405" spans="2:33" ht="16">
      <c r="B2405" s="26" t="str">
        <f t="shared" si="10"/>
        <v/>
      </c>
      <c r="C2405" s="6"/>
      <c r="D2405" s="6"/>
      <c r="E2405" s="6"/>
      <c r="F2405" s="15"/>
      <c r="G2405" s="6"/>
      <c r="H2405" s="6"/>
      <c r="I2405" s="6"/>
      <c r="J2405" s="16"/>
      <c r="K2405" s="6"/>
      <c r="L2405" s="16"/>
      <c r="M2405" s="23"/>
      <c r="N2405" s="15"/>
      <c r="O2405" s="23"/>
      <c r="P2405" s="21"/>
      <c r="Q2405" s="6"/>
      <c r="R2405" s="6"/>
      <c r="S2405" s="20"/>
      <c r="T2405" s="6"/>
      <c r="U2405" s="21"/>
      <c r="W2405" s="20"/>
      <c r="X2405" s="21"/>
      <c r="AD2405" s="23"/>
      <c r="AG2405" s="17"/>
    </row>
    <row r="2406" spans="2:33" ht="16">
      <c r="B2406" s="26" t="str">
        <f t="shared" si="10"/>
        <v/>
      </c>
      <c r="C2406" s="6"/>
      <c r="D2406" s="6"/>
      <c r="E2406" s="6"/>
      <c r="F2406" s="15"/>
      <c r="G2406" s="6"/>
      <c r="H2406" s="6"/>
      <c r="I2406" s="6"/>
      <c r="J2406" s="16"/>
      <c r="K2406" s="6"/>
      <c r="L2406" s="16"/>
      <c r="M2406" s="23"/>
      <c r="N2406" s="15"/>
      <c r="O2406" s="23"/>
      <c r="P2406" s="21"/>
      <c r="Q2406" s="6"/>
      <c r="R2406" s="6"/>
      <c r="S2406" s="20"/>
      <c r="T2406" s="6"/>
      <c r="U2406" s="21"/>
      <c r="W2406" s="20"/>
      <c r="X2406" s="21"/>
      <c r="AD2406" s="23"/>
      <c r="AG2406" s="23"/>
    </row>
    <row r="2407" spans="2:33" ht="16">
      <c r="B2407" s="26" t="str">
        <f t="shared" si="10"/>
        <v/>
      </c>
      <c r="C2407" s="6"/>
      <c r="D2407" s="6"/>
      <c r="E2407" s="6"/>
      <c r="F2407" s="15"/>
      <c r="G2407" s="6"/>
      <c r="H2407" s="6"/>
      <c r="I2407" s="6"/>
      <c r="J2407" s="16"/>
      <c r="K2407" s="6"/>
      <c r="L2407" s="16"/>
      <c r="M2407" s="17"/>
      <c r="N2407" s="15"/>
      <c r="O2407" s="17"/>
      <c r="P2407" s="21"/>
      <c r="Q2407" s="6"/>
      <c r="R2407" s="6"/>
      <c r="S2407" s="20"/>
      <c r="T2407" s="6"/>
      <c r="U2407" s="21"/>
      <c r="W2407" s="20"/>
      <c r="X2407" s="21"/>
      <c r="AD2407" s="17"/>
      <c r="AG2407" s="17"/>
    </row>
    <row r="2408" spans="2:33" ht="16">
      <c r="B2408" s="26" t="str">
        <f t="shared" si="10"/>
        <v/>
      </c>
      <c r="C2408" s="6"/>
      <c r="D2408" s="6"/>
      <c r="E2408" s="6"/>
      <c r="F2408" s="15"/>
      <c r="G2408" s="6"/>
      <c r="H2408" s="6"/>
      <c r="I2408" s="6"/>
      <c r="J2408" s="16"/>
      <c r="K2408" s="6"/>
      <c r="L2408" s="16"/>
      <c r="M2408" s="23"/>
      <c r="N2408" s="15"/>
      <c r="O2408" s="23"/>
      <c r="P2408" s="21"/>
      <c r="Q2408" s="6"/>
      <c r="R2408" s="6"/>
      <c r="S2408" s="20"/>
      <c r="T2408" s="6"/>
      <c r="U2408" s="21"/>
      <c r="W2408" s="20"/>
      <c r="X2408" s="21"/>
      <c r="AD2408" s="23"/>
      <c r="AG2408" s="23"/>
    </row>
    <row r="2409" spans="2:33" ht="16">
      <c r="B2409" s="26" t="str">
        <f t="shared" si="10"/>
        <v/>
      </c>
      <c r="C2409" s="6"/>
      <c r="D2409" s="6"/>
      <c r="E2409" s="6"/>
      <c r="F2409" s="15"/>
      <c r="G2409" s="6"/>
      <c r="H2409" s="6"/>
      <c r="I2409" s="6"/>
      <c r="J2409" s="16"/>
      <c r="K2409" s="6"/>
      <c r="L2409" s="16"/>
      <c r="M2409" s="23"/>
      <c r="N2409" s="15"/>
      <c r="O2409" s="23"/>
      <c r="P2409" s="21"/>
      <c r="Q2409" s="6"/>
      <c r="R2409" s="6"/>
      <c r="S2409" s="20"/>
      <c r="T2409" s="6"/>
      <c r="U2409" s="21"/>
      <c r="W2409" s="20"/>
      <c r="X2409" s="21"/>
      <c r="AD2409" s="23"/>
      <c r="AG2409" s="17"/>
    </row>
    <row r="2410" spans="2:33" ht="16">
      <c r="B2410" s="26" t="str">
        <f t="shared" si="10"/>
        <v/>
      </c>
      <c r="C2410" s="6"/>
      <c r="D2410" s="6"/>
      <c r="E2410" s="6"/>
      <c r="F2410" s="15"/>
      <c r="G2410" s="6"/>
      <c r="H2410" s="6"/>
      <c r="I2410" s="6"/>
      <c r="J2410" s="16"/>
      <c r="K2410" s="6"/>
      <c r="L2410" s="16"/>
      <c r="M2410" s="23"/>
      <c r="N2410" s="15"/>
      <c r="O2410" s="23"/>
      <c r="P2410" s="21"/>
      <c r="Q2410" s="6"/>
      <c r="R2410" s="6"/>
      <c r="S2410" s="20"/>
      <c r="T2410" s="6"/>
      <c r="U2410" s="21"/>
      <c r="W2410" s="20"/>
      <c r="X2410" s="21"/>
      <c r="AD2410" s="23"/>
      <c r="AG2410" s="23"/>
    </row>
    <row r="2411" spans="2:33" ht="16">
      <c r="B2411" s="26" t="str">
        <f t="shared" si="10"/>
        <v/>
      </c>
      <c r="C2411" s="6"/>
      <c r="D2411" s="6"/>
      <c r="E2411" s="6"/>
      <c r="F2411" s="15"/>
      <c r="G2411" s="6"/>
      <c r="H2411" s="6"/>
      <c r="I2411" s="6"/>
      <c r="J2411" s="16"/>
      <c r="K2411" s="6"/>
      <c r="L2411" s="16"/>
      <c r="M2411" s="23"/>
      <c r="N2411" s="15"/>
      <c r="O2411" s="17"/>
      <c r="P2411" s="21"/>
      <c r="Q2411" s="6"/>
      <c r="R2411" s="6"/>
      <c r="S2411" s="20"/>
      <c r="T2411" s="6"/>
      <c r="U2411" s="21"/>
      <c r="W2411" s="20"/>
      <c r="X2411" s="21"/>
      <c r="AD2411" s="23"/>
      <c r="AG2411" s="23"/>
    </row>
    <row r="2412" spans="2:33" ht="16">
      <c r="B2412" s="26" t="str">
        <f t="shared" si="10"/>
        <v/>
      </c>
      <c r="C2412" s="6"/>
      <c r="D2412" s="6"/>
      <c r="E2412" s="6"/>
      <c r="F2412" s="15"/>
      <c r="G2412" s="6"/>
      <c r="H2412" s="6"/>
      <c r="I2412" s="6"/>
      <c r="J2412" s="16"/>
      <c r="K2412" s="6"/>
      <c r="L2412" s="16"/>
      <c r="M2412" s="23"/>
      <c r="N2412" s="15"/>
      <c r="O2412" s="23"/>
      <c r="P2412" s="21"/>
      <c r="Q2412" s="6"/>
      <c r="R2412" s="6"/>
      <c r="S2412" s="20"/>
      <c r="T2412" s="6"/>
      <c r="U2412" s="21"/>
      <c r="W2412" s="20"/>
      <c r="X2412" s="21"/>
      <c r="AD2412" s="17"/>
      <c r="AG2412" s="17"/>
    </row>
    <row r="2413" spans="2:33" ht="16">
      <c r="B2413" s="26" t="str">
        <f t="shared" si="10"/>
        <v/>
      </c>
      <c r="C2413" s="6"/>
      <c r="D2413" s="6"/>
      <c r="E2413" s="6"/>
      <c r="F2413" s="15"/>
      <c r="G2413" s="6"/>
      <c r="H2413" s="6"/>
      <c r="I2413" s="6"/>
      <c r="J2413" s="16"/>
      <c r="K2413" s="6"/>
      <c r="L2413" s="16"/>
      <c r="M2413" s="23"/>
      <c r="N2413" s="15"/>
      <c r="O2413" s="23"/>
      <c r="P2413" s="21"/>
      <c r="Q2413" s="6"/>
      <c r="R2413" s="6"/>
      <c r="S2413" s="20"/>
      <c r="T2413" s="6"/>
      <c r="U2413" s="21"/>
      <c r="W2413" s="20"/>
      <c r="X2413" s="21"/>
      <c r="AD2413" s="17"/>
      <c r="AG2413" s="23"/>
    </row>
    <row r="2414" spans="2:33" ht="16">
      <c r="B2414" s="26" t="str">
        <f t="shared" si="10"/>
        <v/>
      </c>
      <c r="C2414" s="6"/>
      <c r="D2414" s="6"/>
      <c r="E2414" s="6"/>
      <c r="F2414" s="15"/>
      <c r="G2414" s="6"/>
      <c r="H2414" s="6"/>
      <c r="I2414" s="6"/>
      <c r="J2414" s="16"/>
      <c r="K2414" s="6"/>
      <c r="L2414" s="16"/>
      <c r="M2414" s="23"/>
      <c r="N2414" s="15"/>
      <c r="O2414" s="23"/>
      <c r="P2414" s="21"/>
      <c r="Q2414" s="6"/>
      <c r="R2414" s="6"/>
      <c r="S2414" s="20"/>
      <c r="T2414" s="6"/>
      <c r="U2414" s="21"/>
      <c r="W2414" s="20"/>
      <c r="X2414" s="21"/>
      <c r="AD2414" s="23"/>
      <c r="AG2414" s="17"/>
    </row>
    <row r="2415" spans="2:33" ht="16">
      <c r="B2415" s="26" t="str">
        <f t="shared" si="10"/>
        <v/>
      </c>
      <c r="C2415" s="6"/>
      <c r="D2415" s="6"/>
      <c r="E2415" s="6"/>
      <c r="F2415" s="15"/>
      <c r="G2415" s="6"/>
      <c r="H2415" s="6"/>
      <c r="I2415" s="6"/>
      <c r="J2415" s="16"/>
      <c r="K2415" s="6"/>
      <c r="L2415" s="16"/>
      <c r="M2415" s="23"/>
      <c r="N2415" s="15"/>
      <c r="O2415" s="23"/>
      <c r="P2415" s="21"/>
      <c r="Q2415" s="6"/>
      <c r="R2415" s="6"/>
      <c r="S2415" s="20"/>
      <c r="T2415" s="6"/>
      <c r="U2415" s="21"/>
      <c r="W2415" s="20"/>
      <c r="X2415" s="21"/>
      <c r="AD2415" s="23"/>
      <c r="AG2415" s="17"/>
    </row>
    <row r="2416" spans="2:33" ht="16">
      <c r="B2416" s="26" t="str">
        <f t="shared" si="10"/>
        <v/>
      </c>
      <c r="C2416" s="6"/>
      <c r="D2416" s="6"/>
      <c r="E2416" s="6"/>
      <c r="F2416" s="15"/>
      <c r="G2416" s="6"/>
      <c r="H2416" s="6"/>
      <c r="I2416" s="6"/>
      <c r="J2416" s="16"/>
      <c r="K2416" s="6"/>
      <c r="L2416" s="16"/>
      <c r="M2416" s="23"/>
      <c r="N2416" s="15"/>
      <c r="O2416" s="23"/>
      <c r="P2416" s="21"/>
      <c r="Q2416" s="6"/>
      <c r="R2416" s="6"/>
      <c r="S2416" s="20"/>
      <c r="T2416" s="6"/>
      <c r="U2416" s="21"/>
      <c r="W2416" s="20"/>
      <c r="X2416" s="21"/>
      <c r="AD2416" s="23"/>
      <c r="AG2416" s="23"/>
    </row>
    <row r="2417" spans="2:33" ht="16">
      <c r="B2417" s="26" t="str">
        <f t="shared" si="10"/>
        <v/>
      </c>
      <c r="C2417" s="6"/>
      <c r="D2417" s="6"/>
      <c r="E2417" s="6"/>
      <c r="F2417" s="15"/>
      <c r="G2417" s="6"/>
      <c r="H2417" s="6"/>
      <c r="I2417" s="6"/>
      <c r="J2417" s="16"/>
      <c r="K2417" s="6"/>
      <c r="L2417" s="16"/>
      <c r="M2417" s="23"/>
      <c r="N2417" s="15"/>
      <c r="O2417" s="23"/>
      <c r="P2417" s="21"/>
      <c r="Q2417" s="6"/>
      <c r="R2417" s="6"/>
      <c r="S2417" s="20"/>
      <c r="T2417" s="6"/>
      <c r="U2417" s="21"/>
      <c r="W2417" s="20"/>
      <c r="X2417" s="21"/>
      <c r="AD2417" s="23"/>
      <c r="AG2417" s="23"/>
    </row>
    <row r="2418" spans="2:33" ht="16">
      <c r="B2418" s="26" t="str">
        <f t="shared" si="10"/>
        <v/>
      </c>
      <c r="C2418" s="6"/>
      <c r="D2418" s="6"/>
      <c r="E2418" s="6"/>
      <c r="F2418" s="15"/>
      <c r="G2418" s="6"/>
      <c r="H2418" s="6"/>
      <c r="I2418" s="6"/>
      <c r="J2418" s="16"/>
      <c r="K2418" s="6"/>
      <c r="L2418" s="16"/>
      <c r="M2418" s="23"/>
      <c r="N2418" s="15"/>
      <c r="O2418" s="23"/>
      <c r="P2418" s="21"/>
      <c r="Q2418" s="6"/>
      <c r="R2418" s="6"/>
      <c r="S2418" s="20"/>
      <c r="T2418" s="6"/>
      <c r="U2418" s="21"/>
      <c r="W2418" s="20"/>
      <c r="X2418" s="21"/>
      <c r="AD2418" s="17"/>
      <c r="AG2418" s="23"/>
    </row>
    <row r="2419" spans="2:33" ht="16">
      <c r="B2419" s="26" t="str">
        <f t="shared" si="10"/>
        <v/>
      </c>
      <c r="C2419" s="6"/>
      <c r="D2419" s="6"/>
      <c r="E2419" s="6"/>
      <c r="F2419" s="15"/>
      <c r="G2419" s="6"/>
      <c r="H2419" s="6"/>
      <c r="I2419" s="6"/>
      <c r="J2419" s="16"/>
      <c r="K2419" s="6"/>
      <c r="L2419" s="16"/>
      <c r="M2419" s="23"/>
      <c r="N2419" s="15"/>
      <c r="O2419" s="23"/>
      <c r="P2419" s="21"/>
      <c r="Q2419" s="6"/>
      <c r="R2419" s="6"/>
      <c r="S2419" s="20"/>
      <c r="T2419" s="6"/>
      <c r="U2419" s="21"/>
      <c r="W2419" s="20"/>
      <c r="X2419" s="21"/>
      <c r="AD2419" s="23"/>
      <c r="AG2419" s="23"/>
    </row>
    <row r="2420" spans="2:33" ht="16">
      <c r="B2420" s="26" t="str">
        <f t="shared" si="10"/>
        <v/>
      </c>
      <c r="C2420" s="6"/>
      <c r="D2420" s="6"/>
      <c r="E2420" s="6"/>
      <c r="F2420" s="15"/>
      <c r="G2420" s="6"/>
      <c r="H2420" s="6"/>
      <c r="I2420" s="6"/>
      <c r="J2420" s="16"/>
      <c r="K2420" s="6"/>
      <c r="L2420" s="16"/>
      <c r="M2420" s="23"/>
      <c r="N2420" s="15"/>
      <c r="O2420" s="17"/>
      <c r="P2420" s="21"/>
      <c r="Q2420" s="6"/>
      <c r="R2420" s="6"/>
      <c r="S2420" s="20"/>
      <c r="T2420" s="6"/>
      <c r="U2420" s="21"/>
      <c r="W2420" s="20"/>
      <c r="X2420" s="21"/>
      <c r="AD2420" s="17"/>
      <c r="AG2420" s="23"/>
    </row>
    <row r="2421" spans="2:33" ht="16">
      <c r="B2421" s="26" t="str">
        <f t="shared" si="10"/>
        <v/>
      </c>
      <c r="C2421" s="6"/>
      <c r="D2421" s="6"/>
      <c r="E2421" s="6"/>
      <c r="F2421" s="15"/>
      <c r="G2421" s="6"/>
      <c r="H2421" s="6"/>
      <c r="I2421" s="6"/>
      <c r="J2421" s="16"/>
      <c r="K2421" s="6"/>
      <c r="L2421" s="16"/>
      <c r="M2421" s="23"/>
      <c r="N2421" s="15"/>
      <c r="O2421" s="23"/>
      <c r="P2421" s="21"/>
      <c r="Q2421" s="6"/>
      <c r="R2421" s="6"/>
      <c r="S2421" s="20"/>
      <c r="T2421" s="6"/>
      <c r="U2421" s="21"/>
      <c r="W2421" s="20"/>
      <c r="X2421" s="21"/>
      <c r="AD2421" s="23"/>
      <c r="AG2421" s="23"/>
    </row>
    <row r="2422" spans="2:33" ht="16">
      <c r="B2422" s="26" t="str">
        <f t="shared" si="10"/>
        <v/>
      </c>
      <c r="C2422" s="6"/>
      <c r="D2422" s="6"/>
      <c r="E2422" s="6"/>
      <c r="F2422" s="15"/>
      <c r="G2422" s="6"/>
      <c r="H2422" s="6"/>
      <c r="I2422" s="6"/>
      <c r="J2422" s="16"/>
      <c r="K2422" s="6"/>
      <c r="L2422" s="16"/>
      <c r="M2422" s="23"/>
      <c r="N2422" s="15"/>
      <c r="O2422" s="23"/>
      <c r="P2422" s="21"/>
      <c r="Q2422" s="6"/>
      <c r="R2422" s="6"/>
      <c r="S2422" s="20"/>
      <c r="T2422" s="6"/>
      <c r="U2422" s="21"/>
      <c r="W2422" s="20"/>
      <c r="X2422" s="21"/>
      <c r="AD2422" s="17"/>
      <c r="AG2422" s="17"/>
    </row>
    <row r="2423" spans="2:33" ht="16">
      <c r="B2423" s="26" t="str">
        <f t="shared" si="10"/>
        <v/>
      </c>
      <c r="C2423" s="6"/>
      <c r="D2423" s="6"/>
      <c r="E2423" s="6"/>
      <c r="F2423" s="15"/>
      <c r="G2423" s="6"/>
      <c r="H2423" s="6"/>
      <c r="I2423" s="6"/>
      <c r="J2423" s="16"/>
      <c r="K2423" s="6"/>
      <c r="L2423" s="16"/>
      <c r="M2423" s="23"/>
      <c r="N2423" s="15"/>
      <c r="O2423" s="23"/>
      <c r="P2423" s="21"/>
      <c r="Q2423" s="6"/>
      <c r="R2423" s="6"/>
      <c r="S2423" s="20"/>
      <c r="T2423" s="6"/>
      <c r="U2423" s="21"/>
      <c r="W2423" s="20"/>
      <c r="X2423" s="21"/>
      <c r="AD2423" s="23"/>
      <c r="AG2423" s="23"/>
    </row>
    <row r="2424" spans="2:33" ht="16">
      <c r="B2424" s="26" t="str">
        <f t="shared" si="10"/>
        <v/>
      </c>
      <c r="C2424" s="6"/>
      <c r="D2424" s="6"/>
      <c r="E2424" s="6"/>
      <c r="F2424" s="15"/>
      <c r="G2424" s="6"/>
      <c r="H2424" s="6"/>
      <c r="I2424" s="6"/>
      <c r="J2424" s="16"/>
      <c r="K2424" s="6"/>
      <c r="L2424" s="16"/>
      <c r="M2424" s="23"/>
      <c r="N2424" s="15"/>
      <c r="O2424" s="17"/>
      <c r="P2424" s="21"/>
      <c r="Q2424" s="6"/>
      <c r="R2424" s="6"/>
      <c r="S2424" s="20"/>
      <c r="T2424" s="6"/>
      <c r="U2424" s="21"/>
      <c r="W2424" s="20"/>
      <c r="X2424" s="21"/>
      <c r="AD2424" s="17"/>
      <c r="AG2424" s="23"/>
    </row>
    <row r="2425" spans="2:33" ht="16">
      <c r="B2425" s="26" t="str">
        <f t="shared" si="10"/>
        <v/>
      </c>
      <c r="C2425" s="6"/>
      <c r="D2425" s="6"/>
      <c r="E2425" s="6"/>
      <c r="F2425" s="15"/>
      <c r="G2425" s="6"/>
      <c r="H2425" s="6"/>
      <c r="I2425" s="6"/>
      <c r="J2425" s="16"/>
      <c r="K2425" s="6"/>
      <c r="L2425" s="16"/>
      <c r="M2425" s="23"/>
      <c r="N2425" s="15"/>
      <c r="O2425" s="17"/>
      <c r="P2425" s="21"/>
      <c r="Q2425" s="6"/>
      <c r="R2425" s="6"/>
      <c r="S2425" s="20"/>
      <c r="T2425" s="6"/>
      <c r="U2425" s="21"/>
      <c r="W2425" s="20"/>
      <c r="X2425" s="21"/>
      <c r="AD2425" s="23"/>
      <c r="AG2425" s="17"/>
    </row>
    <row r="2426" spans="2:33" ht="16">
      <c r="B2426" s="26" t="str">
        <f t="shared" si="10"/>
        <v/>
      </c>
      <c r="C2426" s="6"/>
      <c r="D2426" s="6"/>
      <c r="E2426" s="6"/>
      <c r="F2426" s="15"/>
      <c r="G2426" s="6"/>
      <c r="H2426" s="6"/>
      <c r="I2426" s="6"/>
      <c r="J2426" s="16"/>
      <c r="K2426" s="6"/>
      <c r="L2426" s="16"/>
      <c r="M2426" s="23"/>
      <c r="N2426" s="15"/>
      <c r="O2426" s="23"/>
      <c r="P2426" s="21"/>
      <c r="Q2426" s="6"/>
      <c r="R2426" s="6"/>
      <c r="S2426" s="20"/>
      <c r="T2426" s="6"/>
      <c r="U2426" s="21"/>
      <c r="W2426" s="20"/>
      <c r="X2426" s="21"/>
      <c r="AD2426" s="17"/>
      <c r="AG2426" s="23"/>
    </row>
    <row r="2427" spans="2:33" ht="16">
      <c r="B2427" s="26" t="str">
        <f t="shared" si="10"/>
        <v/>
      </c>
      <c r="C2427" s="6"/>
      <c r="D2427" s="6"/>
      <c r="E2427" s="6"/>
      <c r="F2427" s="15"/>
      <c r="G2427" s="6"/>
      <c r="H2427" s="6"/>
      <c r="I2427" s="6"/>
      <c r="J2427" s="16"/>
      <c r="K2427" s="6"/>
      <c r="L2427" s="16"/>
      <c r="M2427" s="23"/>
      <c r="N2427" s="15"/>
      <c r="O2427" s="23"/>
      <c r="P2427" s="21"/>
      <c r="Q2427" s="6"/>
      <c r="R2427" s="6"/>
      <c r="S2427" s="20"/>
      <c r="T2427" s="6"/>
      <c r="U2427" s="21"/>
      <c r="W2427" s="20"/>
      <c r="X2427" s="21"/>
      <c r="AD2427" s="17"/>
      <c r="AG2427" s="23"/>
    </row>
    <row r="2428" spans="2:33" ht="16">
      <c r="B2428" s="26" t="str">
        <f t="shared" si="10"/>
        <v/>
      </c>
      <c r="C2428" s="6"/>
      <c r="D2428" s="6"/>
      <c r="E2428" s="6"/>
      <c r="F2428" s="15"/>
      <c r="G2428" s="6"/>
      <c r="H2428" s="6"/>
      <c r="I2428" s="6"/>
      <c r="J2428" s="16"/>
      <c r="K2428" s="6"/>
      <c r="L2428" s="16"/>
      <c r="M2428" s="23"/>
      <c r="N2428" s="15"/>
      <c r="O2428" s="23"/>
      <c r="P2428" s="21"/>
      <c r="Q2428" s="6"/>
      <c r="R2428" s="6"/>
      <c r="S2428" s="20"/>
      <c r="T2428" s="6"/>
      <c r="U2428" s="21"/>
      <c r="W2428" s="20"/>
      <c r="X2428" s="21"/>
      <c r="AD2428" s="17"/>
      <c r="AG2428" s="23"/>
    </row>
    <row r="2429" spans="2:33" ht="16">
      <c r="B2429" s="26" t="str">
        <f t="shared" si="10"/>
        <v/>
      </c>
      <c r="C2429" s="6"/>
      <c r="D2429" s="6"/>
      <c r="E2429" s="6"/>
      <c r="F2429" s="15"/>
      <c r="G2429" s="6"/>
      <c r="H2429" s="6"/>
      <c r="I2429" s="6"/>
      <c r="J2429" s="16"/>
      <c r="K2429" s="6"/>
      <c r="L2429" s="16"/>
      <c r="M2429" s="23"/>
      <c r="N2429" s="15"/>
      <c r="O2429" s="23"/>
      <c r="P2429" s="21"/>
      <c r="Q2429" s="6"/>
      <c r="R2429" s="6"/>
      <c r="S2429" s="20"/>
      <c r="T2429" s="6"/>
      <c r="U2429" s="21"/>
      <c r="W2429" s="20"/>
      <c r="X2429" s="21"/>
      <c r="AD2429" s="23"/>
      <c r="AG2429" s="23"/>
    </row>
    <row r="2430" spans="2:33" ht="16">
      <c r="B2430" s="26" t="str">
        <f t="shared" si="10"/>
        <v/>
      </c>
      <c r="C2430" s="6"/>
      <c r="D2430" s="6"/>
      <c r="E2430" s="6"/>
      <c r="F2430" s="15"/>
      <c r="G2430" s="6"/>
      <c r="H2430" s="6"/>
      <c r="I2430" s="6"/>
      <c r="J2430" s="16"/>
      <c r="K2430" s="6"/>
      <c r="L2430" s="16"/>
      <c r="M2430" s="23"/>
      <c r="N2430" s="15"/>
      <c r="O2430" s="23"/>
      <c r="P2430" s="21"/>
      <c r="Q2430" s="6"/>
      <c r="R2430" s="6"/>
      <c r="S2430" s="20"/>
      <c r="T2430" s="6"/>
      <c r="U2430" s="21"/>
      <c r="W2430" s="20"/>
      <c r="X2430" s="21"/>
      <c r="AD2430" s="17"/>
      <c r="AG2430" s="23"/>
    </row>
    <row r="2431" spans="2:33" ht="16">
      <c r="B2431" s="26" t="str">
        <f t="shared" si="10"/>
        <v/>
      </c>
      <c r="C2431" s="6"/>
      <c r="D2431" s="6"/>
      <c r="E2431" s="6"/>
      <c r="F2431" s="15"/>
      <c r="G2431" s="6"/>
      <c r="H2431" s="6"/>
      <c r="I2431" s="6"/>
      <c r="J2431" s="16"/>
      <c r="K2431" s="6"/>
      <c r="L2431" s="16"/>
      <c r="M2431" s="23"/>
      <c r="N2431" s="15"/>
      <c r="O2431" s="23"/>
      <c r="P2431" s="21"/>
      <c r="Q2431" s="6"/>
      <c r="R2431" s="6"/>
      <c r="S2431" s="20"/>
      <c r="T2431" s="6"/>
      <c r="U2431" s="21"/>
      <c r="W2431" s="20"/>
      <c r="X2431" s="21"/>
      <c r="AD2431" s="17"/>
      <c r="AG2431" s="17"/>
    </row>
    <row r="2432" spans="2:33" ht="16">
      <c r="B2432" s="26" t="str">
        <f t="shared" si="10"/>
        <v/>
      </c>
      <c r="C2432" s="6"/>
      <c r="D2432" s="6"/>
      <c r="E2432" s="6"/>
      <c r="F2432" s="15"/>
      <c r="G2432" s="6"/>
      <c r="H2432" s="6"/>
      <c r="I2432" s="6"/>
      <c r="J2432" s="16"/>
      <c r="K2432" s="6"/>
      <c r="L2432" s="16"/>
      <c r="M2432" s="23"/>
      <c r="N2432" s="15"/>
      <c r="O2432" s="23"/>
      <c r="P2432" s="21"/>
      <c r="Q2432" s="6"/>
      <c r="R2432" s="6"/>
      <c r="S2432" s="20"/>
      <c r="T2432" s="6"/>
      <c r="U2432" s="21"/>
      <c r="W2432" s="20"/>
      <c r="X2432" s="21"/>
      <c r="AD2432" s="23"/>
      <c r="AG2432" s="17"/>
    </row>
    <row r="2433" spans="2:33" ht="16">
      <c r="B2433" s="26" t="str">
        <f t="shared" si="10"/>
        <v/>
      </c>
      <c r="C2433" s="6"/>
      <c r="D2433" s="6"/>
      <c r="E2433" s="6"/>
      <c r="F2433" s="15"/>
      <c r="G2433" s="6"/>
      <c r="H2433" s="6"/>
      <c r="I2433" s="6"/>
      <c r="J2433" s="16"/>
      <c r="K2433" s="6"/>
      <c r="L2433" s="16"/>
      <c r="M2433" s="17"/>
      <c r="N2433" s="15"/>
      <c r="O2433" s="17"/>
      <c r="P2433" s="21"/>
      <c r="Q2433" s="6"/>
      <c r="R2433" s="6"/>
      <c r="S2433" s="20"/>
      <c r="T2433" s="6"/>
      <c r="U2433" s="21"/>
      <c r="W2433" s="20"/>
      <c r="X2433" s="21"/>
      <c r="AD2433" s="17"/>
      <c r="AG2433" s="17"/>
    </row>
    <row r="2434" spans="2:33" ht="16">
      <c r="B2434" s="26" t="str">
        <f t="shared" si="10"/>
        <v/>
      </c>
      <c r="C2434" s="6"/>
      <c r="D2434" s="6"/>
      <c r="E2434" s="6"/>
      <c r="F2434" s="15"/>
      <c r="G2434" s="6"/>
      <c r="H2434" s="6"/>
      <c r="I2434" s="6"/>
      <c r="J2434" s="16"/>
      <c r="K2434" s="6"/>
      <c r="L2434" s="16"/>
      <c r="M2434" s="23"/>
      <c r="N2434" s="15"/>
      <c r="O2434" s="17"/>
      <c r="P2434" s="21"/>
      <c r="Q2434" s="6"/>
      <c r="R2434" s="6"/>
      <c r="S2434" s="20"/>
      <c r="T2434" s="6"/>
      <c r="U2434" s="21"/>
      <c r="W2434" s="20"/>
      <c r="X2434" s="21"/>
      <c r="AD2434" s="17"/>
      <c r="AG2434" s="23"/>
    </row>
    <row r="2435" spans="2:33" ht="16">
      <c r="B2435" s="26" t="str">
        <f t="shared" si="10"/>
        <v/>
      </c>
      <c r="C2435" s="6"/>
      <c r="D2435" s="6"/>
      <c r="E2435" s="6"/>
      <c r="F2435" s="15"/>
      <c r="G2435" s="6"/>
      <c r="H2435" s="6"/>
      <c r="I2435" s="6"/>
      <c r="J2435" s="16"/>
      <c r="K2435" s="6"/>
      <c r="L2435" s="16"/>
      <c r="M2435" s="23"/>
      <c r="N2435" s="15"/>
      <c r="O2435" s="17"/>
      <c r="P2435" s="21"/>
      <c r="Q2435" s="6"/>
      <c r="R2435" s="6"/>
      <c r="S2435" s="20"/>
      <c r="T2435" s="6"/>
      <c r="U2435" s="21"/>
      <c r="W2435" s="20"/>
      <c r="X2435" s="21"/>
      <c r="AD2435" s="17"/>
      <c r="AG2435" s="17"/>
    </row>
    <row r="2436" spans="2:33" ht="16">
      <c r="B2436" s="26" t="str">
        <f t="shared" si="10"/>
        <v/>
      </c>
      <c r="C2436" s="6"/>
      <c r="D2436" s="6"/>
      <c r="E2436" s="6"/>
      <c r="F2436" s="15"/>
      <c r="G2436" s="6"/>
      <c r="H2436" s="6"/>
      <c r="I2436" s="6"/>
      <c r="J2436" s="16"/>
      <c r="K2436" s="6"/>
      <c r="L2436" s="16"/>
      <c r="M2436" s="23"/>
      <c r="N2436" s="15"/>
      <c r="O2436" s="17"/>
      <c r="P2436" s="21"/>
      <c r="Q2436" s="6"/>
      <c r="R2436" s="6"/>
      <c r="S2436" s="20"/>
      <c r="T2436" s="6"/>
      <c r="U2436" s="21"/>
      <c r="W2436" s="20"/>
      <c r="X2436" s="21"/>
      <c r="AD2436" s="17"/>
      <c r="AG2436" s="23"/>
    </row>
    <row r="2437" spans="2:33" ht="16">
      <c r="B2437" s="26" t="str">
        <f t="shared" si="10"/>
        <v/>
      </c>
      <c r="C2437" s="6"/>
      <c r="D2437" s="6"/>
      <c r="E2437" s="6"/>
      <c r="F2437" s="15"/>
      <c r="G2437" s="6"/>
      <c r="H2437" s="6"/>
      <c r="I2437" s="6"/>
      <c r="J2437" s="16"/>
      <c r="K2437" s="6"/>
      <c r="L2437" s="16"/>
      <c r="M2437" s="23"/>
      <c r="N2437" s="15"/>
      <c r="O2437" s="23"/>
      <c r="P2437" s="21"/>
      <c r="Q2437" s="6"/>
      <c r="R2437" s="6"/>
      <c r="S2437" s="20"/>
      <c r="T2437" s="6"/>
      <c r="U2437" s="21"/>
      <c r="W2437" s="20"/>
      <c r="X2437" s="21"/>
      <c r="AD2437" s="17"/>
      <c r="AG2437" s="23"/>
    </row>
    <row r="2438" spans="2:33" ht="16">
      <c r="B2438" s="26" t="str">
        <f t="shared" si="10"/>
        <v/>
      </c>
      <c r="C2438" s="6"/>
      <c r="D2438" s="6"/>
      <c r="E2438" s="6"/>
      <c r="F2438" s="15"/>
      <c r="G2438" s="6"/>
      <c r="H2438" s="6"/>
      <c r="I2438" s="6"/>
      <c r="J2438" s="16"/>
      <c r="K2438" s="6"/>
      <c r="L2438" s="16"/>
      <c r="M2438" s="23"/>
      <c r="N2438" s="15"/>
      <c r="O2438" s="23"/>
      <c r="P2438" s="21"/>
      <c r="Q2438" s="6"/>
      <c r="R2438" s="6"/>
      <c r="S2438" s="20"/>
      <c r="T2438" s="6"/>
      <c r="U2438" s="21"/>
      <c r="W2438" s="20"/>
      <c r="X2438" s="21"/>
      <c r="AD2438" s="17"/>
      <c r="AG2438" s="23"/>
    </row>
    <row r="2439" spans="2:33" ht="16">
      <c r="B2439" s="26" t="str">
        <f t="shared" si="10"/>
        <v/>
      </c>
      <c r="C2439" s="6"/>
      <c r="D2439" s="6"/>
      <c r="E2439" s="6"/>
      <c r="F2439" s="15"/>
      <c r="G2439" s="6"/>
      <c r="H2439" s="6"/>
      <c r="I2439" s="6"/>
      <c r="J2439" s="16"/>
      <c r="K2439" s="6"/>
      <c r="L2439" s="16"/>
      <c r="M2439" s="23"/>
      <c r="N2439" s="15"/>
      <c r="O2439" s="23"/>
      <c r="P2439" s="21"/>
      <c r="Q2439" s="6"/>
      <c r="R2439" s="6"/>
      <c r="S2439" s="20"/>
      <c r="T2439" s="6"/>
      <c r="U2439" s="21"/>
      <c r="W2439" s="20"/>
      <c r="X2439" s="21"/>
      <c r="AD2439" s="17"/>
      <c r="AG2439" s="23"/>
    </row>
    <row r="2440" spans="2:33" ht="16">
      <c r="B2440" s="26" t="str">
        <f t="shared" si="10"/>
        <v/>
      </c>
      <c r="C2440" s="6"/>
      <c r="D2440" s="6"/>
      <c r="E2440" s="6"/>
      <c r="F2440" s="15"/>
      <c r="G2440" s="6"/>
      <c r="H2440" s="6"/>
      <c r="I2440" s="6"/>
      <c r="J2440" s="16"/>
      <c r="K2440" s="6"/>
      <c r="L2440" s="16"/>
      <c r="M2440" s="23"/>
      <c r="N2440" s="15"/>
      <c r="O2440" s="23"/>
      <c r="P2440" s="21"/>
      <c r="Q2440" s="6"/>
      <c r="R2440" s="6"/>
      <c r="S2440" s="20"/>
      <c r="T2440" s="6"/>
      <c r="U2440" s="21"/>
      <c r="W2440" s="20"/>
      <c r="X2440" s="21"/>
      <c r="AD2440" s="17"/>
      <c r="AG2440" s="23"/>
    </row>
    <row r="2441" spans="2:33" ht="16">
      <c r="B2441" s="26" t="str">
        <f t="shared" si="10"/>
        <v/>
      </c>
      <c r="C2441" s="6"/>
      <c r="D2441" s="6"/>
      <c r="E2441" s="6"/>
      <c r="F2441" s="15"/>
      <c r="G2441" s="6"/>
      <c r="H2441" s="6"/>
      <c r="I2441" s="6"/>
      <c r="J2441" s="16"/>
      <c r="K2441" s="6"/>
      <c r="L2441" s="16"/>
      <c r="M2441" s="23"/>
      <c r="N2441" s="15"/>
      <c r="O2441" s="23"/>
      <c r="P2441" s="21"/>
      <c r="Q2441" s="6"/>
      <c r="R2441" s="6"/>
      <c r="S2441" s="20"/>
      <c r="T2441" s="6"/>
      <c r="U2441" s="21"/>
      <c r="W2441" s="20"/>
      <c r="X2441" s="21"/>
      <c r="AD2441" s="17"/>
      <c r="AG2441" s="23"/>
    </row>
    <row r="2442" spans="2:33" ht="16">
      <c r="B2442" s="26" t="str">
        <f t="shared" si="10"/>
        <v/>
      </c>
      <c r="C2442" s="6"/>
      <c r="D2442" s="6"/>
      <c r="E2442" s="6"/>
      <c r="F2442" s="15"/>
      <c r="G2442" s="6"/>
      <c r="H2442" s="6"/>
      <c r="I2442" s="6"/>
      <c r="J2442" s="16"/>
      <c r="K2442" s="6"/>
      <c r="L2442" s="16"/>
      <c r="M2442" s="23"/>
      <c r="N2442" s="15"/>
      <c r="O2442" s="23"/>
      <c r="P2442" s="21"/>
      <c r="Q2442" s="6"/>
      <c r="R2442" s="6"/>
      <c r="S2442" s="20"/>
      <c r="T2442" s="6"/>
      <c r="U2442" s="21"/>
      <c r="W2442" s="20"/>
      <c r="X2442" s="21"/>
      <c r="AD2442" s="17"/>
      <c r="AG2442" s="23"/>
    </row>
    <row r="2443" spans="2:33" ht="16">
      <c r="B2443" s="26" t="str">
        <f t="shared" si="10"/>
        <v/>
      </c>
      <c r="C2443" s="6"/>
      <c r="D2443" s="6"/>
      <c r="E2443" s="6"/>
      <c r="F2443" s="15"/>
      <c r="G2443" s="6"/>
      <c r="H2443" s="6"/>
      <c r="I2443" s="6"/>
      <c r="J2443" s="16"/>
      <c r="K2443" s="6"/>
      <c r="L2443" s="16"/>
      <c r="M2443" s="23"/>
      <c r="N2443" s="15"/>
      <c r="O2443" s="23"/>
      <c r="P2443" s="21"/>
      <c r="Q2443" s="6"/>
      <c r="R2443" s="6"/>
      <c r="S2443" s="20"/>
      <c r="T2443" s="6"/>
      <c r="U2443" s="21"/>
      <c r="W2443" s="20"/>
      <c r="X2443" s="21"/>
      <c r="AD2443" s="23"/>
      <c r="AG2443" s="23"/>
    </row>
    <row r="2444" spans="2:33" ht="16">
      <c r="B2444" s="26" t="str">
        <f t="shared" si="10"/>
        <v/>
      </c>
      <c r="C2444" s="6"/>
      <c r="D2444" s="6"/>
      <c r="E2444" s="6"/>
      <c r="F2444" s="15"/>
      <c r="G2444" s="6"/>
      <c r="H2444" s="6"/>
      <c r="I2444" s="6"/>
      <c r="J2444" s="16"/>
      <c r="K2444" s="6"/>
      <c r="L2444" s="16"/>
      <c r="M2444" s="23"/>
      <c r="N2444" s="15"/>
      <c r="O2444" s="23"/>
      <c r="P2444" s="21"/>
      <c r="Q2444" s="6"/>
      <c r="R2444" s="6"/>
      <c r="S2444" s="20"/>
      <c r="T2444" s="6"/>
      <c r="U2444" s="21"/>
      <c r="W2444" s="20"/>
      <c r="X2444" s="21"/>
      <c r="AD2444" s="17"/>
      <c r="AG2444" s="23"/>
    </row>
    <row r="2445" spans="2:33" ht="16">
      <c r="B2445" s="26" t="str">
        <f t="shared" si="10"/>
        <v/>
      </c>
      <c r="C2445" s="6"/>
      <c r="D2445" s="6"/>
      <c r="E2445" s="6"/>
      <c r="F2445" s="15"/>
      <c r="G2445" s="6"/>
      <c r="H2445" s="6"/>
      <c r="I2445" s="6"/>
      <c r="J2445" s="16"/>
      <c r="K2445" s="6"/>
      <c r="L2445" s="16"/>
      <c r="M2445" s="23"/>
      <c r="N2445" s="15"/>
      <c r="O2445" s="23"/>
      <c r="P2445" s="21"/>
      <c r="Q2445" s="6"/>
      <c r="R2445" s="6"/>
      <c r="S2445" s="20"/>
      <c r="T2445" s="6"/>
      <c r="U2445" s="21"/>
      <c r="W2445" s="20"/>
      <c r="X2445" s="21"/>
      <c r="AD2445" s="23"/>
      <c r="AG2445" s="23"/>
    </row>
    <row r="2446" spans="2:33" ht="16">
      <c r="B2446" s="26" t="str">
        <f t="shared" si="10"/>
        <v/>
      </c>
      <c r="C2446" s="6"/>
      <c r="D2446" s="6"/>
      <c r="E2446" s="6"/>
      <c r="F2446" s="15"/>
      <c r="G2446" s="6"/>
      <c r="H2446" s="6"/>
      <c r="I2446" s="6"/>
      <c r="J2446" s="16"/>
      <c r="K2446" s="6"/>
      <c r="L2446" s="16"/>
      <c r="M2446" s="23"/>
      <c r="N2446" s="15"/>
      <c r="O2446" s="23"/>
      <c r="P2446" s="21"/>
      <c r="Q2446" s="6"/>
      <c r="R2446" s="6"/>
      <c r="S2446" s="20"/>
      <c r="T2446" s="6"/>
      <c r="U2446" s="21"/>
      <c r="W2446" s="20"/>
      <c r="X2446" s="21"/>
      <c r="AD2446" s="17"/>
      <c r="AG2446" s="23"/>
    </row>
    <row r="2447" spans="2:33" ht="16">
      <c r="B2447" s="26" t="str">
        <f t="shared" si="10"/>
        <v/>
      </c>
      <c r="C2447" s="6"/>
      <c r="D2447" s="6"/>
      <c r="E2447" s="6"/>
      <c r="F2447" s="15"/>
      <c r="G2447" s="6"/>
      <c r="H2447" s="6"/>
      <c r="I2447" s="6"/>
      <c r="J2447" s="16"/>
      <c r="K2447" s="6"/>
      <c r="L2447" s="16"/>
      <c r="M2447" s="23"/>
      <c r="N2447" s="15"/>
      <c r="O2447" s="23"/>
      <c r="P2447" s="21"/>
      <c r="Q2447" s="6"/>
      <c r="R2447" s="6"/>
      <c r="S2447" s="20"/>
      <c r="T2447" s="6"/>
      <c r="U2447" s="21"/>
      <c r="W2447" s="20"/>
      <c r="X2447" s="21"/>
      <c r="AD2447" s="23"/>
      <c r="AG2447" s="23"/>
    </row>
    <row r="2448" spans="2:33" ht="16">
      <c r="B2448" s="26" t="str">
        <f t="shared" si="10"/>
        <v/>
      </c>
      <c r="C2448" s="6"/>
      <c r="D2448" s="6"/>
      <c r="E2448" s="6"/>
      <c r="F2448" s="15"/>
      <c r="G2448" s="6"/>
      <c r="H2448" s="6"/>
      <c r="I2448" s="6"/>
      <c r="J2448" s="16"/>
      <c r="K2448" s="6"/>
      <c r="L2448" s="16"/>
      <c r="M2448" s="17"/>
      <c r="N2448" s="15"/>
      <c r="O2448" s="17"/>
      <c r="P2448" s="21"/>
      <c r="Q2448" s="6"/>
      <c r="R2448" s="6"/>
      <c r="S2448" s="20"/>
      <c r="T2448" s="6"/>
      <c r="U2448" s="21"/>
      <c r="W2448" s="20"/>
      <c r="X2448" s="21"/>
      <c r="AD2448" s="17"/>
      <c r="AG2448" s="23"/>
    </row>
    <row r="2449" spans="2:33" ht="16">
      <c r="B2449" s="26" t="str">
        <f t="shared" si="10"/>
        <v/>
      </c>
      <c r="C2449" s="6"/>
      <c r="D2449" s="6"/>
      <c r="E2449" s="6"/>
      <c r="F2449" s="15"/>
      <c r="G2449" s="6"/>
      <c r="H2449" s="6"/>
      <c r="I2449" s="6"/>
      <c r="J2449" s="16"/>
      <c r="K2449" s="6"/>
      <c r="L2449" s="16"/>
      <c r="M2449" s="23"/>
      <c r="N2449" s="15"/>
      <c r="O2449" s="23"/>
      <c r="P2449" s="21"/>
      <c r="Q2449" s="6"/>
      <c r="R2449" s="6"/>
      <c r="S2449" s="20"/>
      <c r="T2449" s="6"/>
      <c r="U2449" s="21"/>
      <c r="W2449" s="20"/>
      <c r="X2449" s="21"/>
      <c r="AD2449" s="17"/>
      <c r="AG2449" s="17"/>
    </row>
    <row r="2450" spans="2:33" ht="16">
      <c r="B2450" s="26" t="str">
        <f t="shared" si="10"/>
        <v/>
      </c>
      <c r="C2450" s="6"/>
      <c r="D2450" s="6"/>
      <c r="E2450" s="6"/>
      <c r="F2450" s="15"/>
      <c r="G2450" s="6"/>
      <c r="H2450" s="6"/>
      <c r="I2450" s="6"/>
      <c r="J2450" s="16"/>
      <c r="K2450" s="6"/>
      <c r="L2450" s="16"/>
      <c r="M2450" s="23"/>
      <c r="N2450" s="15"/>
      <c r="O2450" s="17"/>
      <c r="P2450" s="21"/>
      <c r="Q2450" s="6"/>
      <c r="R2450" s="6"/>
      <c r="S2450" s="20"/>
      <c r="T2450" s="6"/>
      <c r="U2450" s="21"/>
      <c r="W2450" s="20"/>
      <c r="X2450" s="21"/>
      <c r="AD2450" s="17"/>
      <c r="AG2450" s="23"/>
    </row>
    <row r="2451" spans="2:33" ht="16">
      <c r="B2451" s="26" t="str">
        <f t="shared" si="10"/>
        <v/>
      </c>
      <c r="C2451" s="6"/>
      <c r="D2451" s="6"/>
      <c r="E2451" s="6"/>
      <c r="F2451" s="15"/>
      <c r="G2451" s="6"/>
      <c r="H2451" s="6"/>
      <c r="I2451" s="6"/>
      <c r="J2451" s="16"/>
      <c r="K2451" s="6"/>
      <c r="L2451" s="16"/>
      <c r="M2451" s="23"/>
      <c r="N2451" s="15"/>
      <c r="O2451" s="23"/>
      <c r="P2451" s="21"/>
      <c r="Q2451" s="6"/>
      <c r="R2451" s="6"/>
      <c r="S2451" s="20"/>
      <c r="T2451" s="6"/>
      <c r="U2451" s="21"/>
      <c r="W2451" s="20"/>
      <c r="X2451" s="21"/>
      <c r="AD2451" s="17"/>
      <c r="AG2451" s="17"/>
    </row>
    <row r="2452" spans="2:33" ht="16">
      <c r="B2452" s="26" t="str">
        <f t="shared" si="10"/>
        <v/>
      </c>
      <c r="C2452" s="6"/>
      <c r="D2452" s="6"/>
      <c r="E2452" s="6"/>
      <c r="F2452" s="15"/>
      <c r="G2452" s="6"/>
      <c r="H2452" s="6"/>
      <c r="I2452" s="6"/>
      <c r="J2452" s="16"/>
      <c r="K2452" s="6"/>
      <c r="L2452" s="16"/>
      <c r="M2452" s="23"/>
      <c r="N2452" s="15"/>
      <c r="O2452" s="23"/>
      <c r="P2452" s="21"/>
      <c r="Q2452" s="6"/>
      <c r="R2452" s="6"/>
      <c r="S2452" s="20"/>
      <c r="T2452" s="6"/>
      <c r="U2452" s="21"/>
      <c r="W2452" s="20"/>
      <c r="X2452" s="21"/>
      <c r="AD2452" s="17"/>
      <c r="AG2452" s="23"/>
    </row>
    <row r="2453" spans="2:33" ht="16">
      <c r="B2453" s="26" t="str">
        <f t="shared" si="10"/>
        <v/>
      </c>
      <c r="C2453" s="6"/>
      <c r="D2453" s="6"/>
      <c r="E2453" s="6"/>
      <c r="F2453" s="15"/>
      <c r="G2453" s="6"/>
      <c r="H2453" s="6"/>
      <c r="I2453" s="6"/>
      <c r="J2453" s="16"/>
      <c r="K2453" s="6"/>
      <c r="L2453" s="16"/>
      <c r="M2453" s="17"/>
      <c r="N2453" s="15"/>
      <c r="O2453" s="23"/>
      <c r="P2453" s="21"/>
      <c r="Q2453" s="6"/>
      <c r="R2453" s="6"/>
      <c r="S2453" s="20"/>
      <c r="T2453" s="6"/>
      <c r="U2453" s="21"/>
      <c r="W2453" s="20"/>
      <c r="X2453" s="21"/>
      <c r="AD2453" s="17"/>
      <c r="AG2453" s="23"/>
    </row>
    <row r="2454" spans="2:33" ht="16">
      <c r="B2454" s="26" t="str">
        <f t="shared" si="10"/>
        <v/>
      </c>
      <c r="C2454" s="6"/>
      <c r="D2454" s="6"/>
      <c r="E2454" s="6"/>
      <c r="F2454" s="15"/>
      <c r="G2454" s="6"/>
      <c r="H2454" s="6"/>
      <c r="I2454" s="6"/>
      <c r="J2454" s="16"/>
      <c r="K2454" s="6"/>
      <c r="L2454" s="16"/>
      <c r="M2454" s="23"/>
      <c r="N2454" s="15"/>
      <c r="O2454" s="23"/>
      <c r="P2454" s="21"/>
      <c r="Q2454" s="6"/>
      <c r="R2454" s="6"/>
      <c r="S2454" s="20"/>
      <c r="T2454" s="6"/>
      <c r="U2454" s="21"/>
      <c r="W2454" s="20"/>
      <c r="X2454" s="21"/>
      <c r="AD2454" s="23"/>
      <c r="AG2454" s="23"/>
    </row>
    <row r="2455" spans="2:33" ht="16">
      <c r="B2455" s="26" t="str">
        <f t="shared" si="10"/>
        <v/>
      </c>
      <c r="C2455" s="6"/>
      <c r="D2455" s="6"/>
      <c r="E2455" s="6"/>
      <c r="F2455" s="15"/>
      <c r="G2455" s="6"/>
      <c r="H2455" s="6"/>
      <c r="I2455" s="6"/>
      <c r="J2455" s="16"/>
      <c r="K2455" s="6"/>
      <c r="L2455" s="16"/>
      <c r="M2455" s="23"/>
      <c r="N2455" s="15"/>
      <c r="O2455" s="23"/>
      <c r="P2455" s="21"/>
      <c r="Q2455" s="6"/>
      <c r="R2455" s="6"/>
      <c r="S2455" s="20"/>
      <c r="T2455" s="6"/>
      <c r="U2455" s="21"/>
      <c r="W2455" s="20"/>
      <c r="X2455" s="21"/>
      <c r="AG2455" s="23"/>
    </row>
    <row r="2456" spans="2:33" ht="16">
      <c r="B2456" s="26" t="str">
        <f t="shared" si="10"/>
        <v/>
      </c>
      <c r="C2456" s="6"/>
      <c r="D2456" s="6"/>
      <c r="E2456" s="6"/>
      <c r="F2456" s="15"/>
      <c r="G2456" s="6"/>
      <c r="H2456" s="6"/>
      <c r="I2456" s="6"/>
      <c r="J2456" s="16"/>
      <c r="K2456" s="6"/>
      <c r="L2456" s="16"/>
      <c r="M2456" s="23"/>
      <c r="N2456" s="15"/>
      <c r="O2456" s="17"/>
      <c r="P2456" s="21"/>
      <c r="Q2456" s="6"/>
      <c r="R2456" s="6"/>
      <c r="S2456" s="20"/>
      <c r="T2456" s="6"/>
      <c r="U2456" s="21"/>
      <c r="W2456" s="20"/>
      <c r="X2456" s="21"/>
      <c r="AD2456" s="17"/>
      <c r="AG2456" s="23"/>
    </row>
    <row r="2457" spans="2:33" ht="16">
      <c r="B2457" s="26" t="str">
        <f t="shared" si="10"/>
        <v/>
      </c>
      <c r="C2457" s="6"/>
      <c r="D2457" s="6"/>
      <c r="E2457" s="6"/>
      <c r="F2457" s="15"/>
      <c r="G2457" s="6"/>
      <c r="H2457" s="6"/>
      <c r="I2457" s="6"/>
      <c r="J2457" s="16"/>
      <c r="K2457" s="6"/>
      <c r="L2457" s="16"/>
      <c r="M2457" s="23"/>
      <c r="N2457" s="15"/>
      <c r="O2457" s="17"/>
      <c r="P2457" s="21"/>
      <c r="Q2457" s="6"/>
      <c r="R2457" s="6"/>
      <c r="S2457" s="20"/>
      <c r="T2457" s="6"/>
      <c r="U2457" s="21"/>
      <c r="W2457" s="20"/>
      <c r="X2457" s="21"/>
      <c r="AD2457" s="17"/>
      <c r="AG2457" s="23"/>
    </row>
    <row r="2458" spans="2:33" ht="16">
      <c r="B2458" s="26" t="str">
        <f t="shared" si="10"/>
        <v/>
      </c>
      <c r="C2458" s="6"/>
      <c r="D2458" s="6"/>
      <c r="E2458" s="6"/>
      <c r="F2458" s="15"/>
      <c r="G2458" s="6"/>
      <c r="H2458" s="6"/>
      <c r="I2458" s="6"/>
      <c r="J2458" s="16"/>
      <c r="K2458" s="6"/>
      <c r="L2458" s="16"/>
      <c r="M2458" s="17"/>
      <c r="N2458" s="15"/>
      <c r="O2458" s="17"/>
      <c r="P2458" s="21"/>
      <c r="Q2458" s="6"/>
      <c r="R2458" s="6"/>
      <c r="S2458" s="20"/>
      <c r="T2458" s="6"/>
      <c r="U2458" s="21"/>
      <c r="W2458" s="20"/>
      <c r="X2458" s="21"/>
      <c r="AD2458" s="17"/>
      <c r="AG2458" s="23"/>
    </row>
    <row r="2459" spans="2:33" ht="16">
      <c r="B2459" s="26" t="str">
        <f t="shared" si="10"/>
        <v/>
      </c>
      <c r="C2459" s="6"/>
      <c r="D2459" s="6"/>
      <c r="E2459" s="6"/>
      <c r="F2459" s="15"/>
      <c r="G2459" s="6"/>
      <c r="H2459" s="6"/>
      <c r="I2459" s="6"/>
      <c r="J2459" s="16"/>
      <c r="K2459" s="6"/>
      <c r="L2459" s="16"/>
      <c r="M2459" s="17"/>
      <c r="N2459" s="15"/>
      <c r="O2459" s="23"/>
      <c r="P2459" s="21"/>
      <c r="Q2459" s="6"/>
      <c r="R2459" s="6"/>
      <c r="S2459" s="20"/>
      <c r="T2459" s="6"/>
      <c r="U2459" s="21"/>
      <c r="W2459" s="20"/>
      <c r="X2459" s="21"/>
      <c r="AD2459" s="17"/>
      <c r="AG2459" s="23"/>
    </row>
    <row r="2460" spans="2:33" ht="16">
      <c r="B2460" s="26" t="str">
        <f t="shared" si="10"/>
        <v/>
      </c>
      <c r="C2460" s="6"/>
      <c r="D2460" s="6"/>
      <c r="E2460" s="6"/>
      <c r="F2460" s="15"/>
      <c r="G2460" s="6"/>
      <c r="H2460" s="6"/>
      <c r="I2460" s="6"/>
      <c r="J2460" s="16"/>
      <c r="K2460" s="6"/>
      <c r="L2460" s="16"/>
      <c r="M2460" s="23"/>
      <c r="N2460" s="15"/>
      <c r="O2460" s="23"/>
      <c r="P2460" s="21"/>
      <c r="Q2460" s="6"/>
      <c r="R2460" s="6"/>
      <c r="S2460" s="20"/>
      <c r="T2460" s="6"/>
      <c r="U2460" s="21"/>
      <c r="W2460" s="20"/>
      <c r="X2460" s="21"/>
      <c r="AD2460" s="23"/>
      <c r="AG2460" s="23"/>
    </row>
    <row r="2461" spans="2:33" ht="16">
      <c r="B2461" s="26" t="str">
        <f t="shared" si="10"/>
        <v/>
      </c>
      <c r="C2461" s="6"/>
      <c r="D2461" s="6"/>
      <c r="E2461" s="6"/>
      <c r="F2461" s="15"/>
      <c r="G2461" s="6"/>
      <c r="H2461" s="6"/>
      <c r="I2461" s="6"/>
      <c r="J2461" s="16"/>
      <c r="K2461" s="6"/>
      <c r="L2461" s="16"/>
      <c r="M2461" s="23"/>
      <c r="N2461" s="15"/>
      <c r="O2461" s="23"/>
      <c r="P2461" s="21"/>
      <c r="Q2461" s="6"/>
      <c r="R2461" s="6"/>
      <c r="S2461" s="20"/>
      <c r="T2461" s="6"/>
      <c r="U2461" s="21"/>
      <c r="W2461" s="20"/>
      <c r="X2461" s="21"/>
      <c r="AD2461" s="17"/>
      <c r="AG2461" s="23"/>
    </row>
    <row r="2462" spans="2:33" ht="16">
      <c r="B2462" s="26" t="str">
        <f t="shared" si="10"/>
        <v/>
      </c>
      <c r="C2462" s="6"/>
      <c r="D2462" s="6"/>
      <c r="E2462" s="6"/>
      <c r="F2462" s="15"/>
      <c r="G2462" s="6"/>
      <c r="H2462" s="6"/>
      <c r="I2462" s="6"/>
      <c r="J2462" s="16"/>
      <c r="K2462" s="6"/>
      <c r="L2462" s="16"/>
      <c r="M2462" s="23"/>
      <c r="N2462" s="15"/>
      <c r="O2462" s="23"/>
      <c r="P2462" s="21"/>
      <c r="Q2462" s="6"/>
      <c r="R2462" s="6"/>
      <c r="S2462" s="20"/>
      <c r="T2462" s="6"/>
      <c r="U2462" s="21"/>
      <c r="W2462" s="20"/>
      <c r="X2462" s="21"/>
      <c r="AD2462" s="17"/>
      <c r="AG2462" s="17"/>
    </row>
    <row r="2463" spans="2:33" ht="16">
      <c r="B2463" s="26" t="str">
        <f t="shared" si="10"/>
        <v/>
      </c>
      <c r="C2463" s="6"/>
      <c r="D2463" s="6"/>
      <c r="E2463" s="6"/>
      <c r="F2463" s="15"/>
      <c r="G2463" s="6"/>
      <c r="H2463" s="6"/>
      <c r="I2463" s="6"/>
      <c r="J2463" s="16"/>
      <c r="K2463" s="6"/>
      <c r="L2463" s="16"/>
      <c r="M2463" s="23"/>
      <c r="N2463" s="15"/>
      <c r="O2463" s="23"/>
      <c r="P2463" s="21"/>
      <c r="Q2463" s="6"/>
      <c r="R2463" s="6"/>
      <c r="S2463" s="20"/>
      <c r="T2463" s="6"/>
      <c r="U2463" s="21"/>
      <c r="W2463" s="20"/>
      <c r="X2463" s="21"/>
      <c r="AD2463" s="23"/>
      <c r="AG2463" s="23"/>
    </row>
    <row r="2464" spans="2:33" ht="16">
      <c r="B2464" s="26" t="str">
        <f t="shared" si="10"/>
        <v/>
      </c>
      <c r="C2464" s="6"/>
      <c r="D2464" s="6"/>
      <c r="E2464" s="6"/>
      <c r="F2464" s="15"/>
      <c r="G2464" s="6"/>
      <c r="H2464" s="6"/>
      <c r="I2464" s="6"/>
      <c r="J2464" s="16"/>
      <c r="K2464" s="6"/>
      <c r="L2464" s="16"/>
      <c r="M2464" s="23"/>
      <c r="N2464" s="15"/>
      <c r="O2464" s="23"/>
      <c r="P2464" s="21"/>
      <c r="Q2464" s="6"/>
      <c r="R2464" s="6"/>
      <c r="S2464" s="20"/>
      <c r="T2464" s="6"/>
      <c r="U2464" s="21"/>
      <c r="W2464" s="20"/>
      <c r="X2464" s="21"/>
      <c r="AD2464" s="23"/>
      <c r="AG2464" s="17"/>
    </row>
    <row r="2465" spans="2:33" ht="16">
      <c r="B2465" s="26" t="str">
        <f t="shared" si="10"/>
        <v/>
      </c>
      <c r="C2465" s="6"/>
      <c r="D2465" s="6"/>
      <c r="E2465" s="6"/>
      <c r="F2465" s="15"/>
      <c r="G2465" s="6"/>
      <c r="H2465" s="6"/>
      <c r="I2465" s="6"/>
      <c r="J2465" s="16"/>
      <c r="K2465" s="6"/>
      <c r="L2465" s="16"/>
      <c r="M2465" s="23"/>
      <c r="N2465" s="15"/>
      <c r="O2465" s="23"/>
      <c r="P2465" s="21"/>
      <c r="Q2465" s="6"/>
      <c r="R2465" s="6"/>
      <c r="S2465" s="20"/>
      <c r="T2465" s="6"/>
      <c r="U2465" s="21"/>
      <c r="W2465" s="20"/>
      <c r="X2465" s="21"/>
      <c r="AD2465" s="17"/>
      <c r="AG2465" s="23"/>
    </row>
    <row r="2466" spans="2:33" ht="16">
      <c r="B2466" s="26" t="str">
        <f t="shared" si="10"/>
        <v/>
      </c>
      <c r="C2466" s="6"/>
      <c r="D2466" s="6"/>
      <c r="E2466" s="6"/>
      <c r="F2466" s="15"/>
      <c r="G2466" s="6"/>
      <c r="H2466" s="6"/>
      <c r="I2466" s="6"/>
      <c r="J2466" s="16"/>
      <c r="K2466" s="6"/>
      <c r="L2466" s="16"/>
      <c r="M2466" s="23"/>
      <c r="N2466" s="15"/>
      <c r="O2466" s="23"/>
      <c r="P2466" s="21"/>
      <c r="Q2466" s="6"/>
      <c r="R2466" s="6"/>
      <c r="S2466" s="20"/>
      <c r="T2466" s="6"/>
      <c r="U2466" s="21"/>
      <c r="W2466" s="20"/>
      <c r="AD2466" s="17"/>
      <c r="AG2466" s="17"/>
    </row>
    <row r="2467" spans="2:33" ht="16">
      <c r="B2467" s="26" t="str">
        <f t="shared" si="10"/>
        <v/>
      </c>
      <c r="C2467" s="6"/>
      <c r="D2467" s="6"/>
      <c r="E2467" s="6"/>
      <c r="F2467" s="15"/>
      <c r="G2467" s="6"/>
      <c r="H2467" s="6"/>
      <c r="I2467" s="6"/>
      <c r="J2467" s="16"/>
      <c r="K2467" s="6"/>
      <c r="L2467" s="16"/>
      <c r="M2467" s="23"/>
      <c r="N2467" s="15"/>
      <c r="O2467" s="23"/>
      <c r="P2467" s="21"/>
      <c r="Q2467" s="6"/>
      <c r="R2467" s="6"/>
      <c r="S2467" s="20"/>
      <c r="T2467" s="6"/>
      <c r="U2467" s="21"/>
      <c r="W2467" s="20"/>
      <c r="AD2467" s="23"/>
      <c r="AG2467" s="17"/>
    </row>
    <row r="2468" spans="2:33" ht="16">
      <c r="B2468" s="26" t="str">
        <f t="shared" si="10"/>
        <v/>
      </c>
      <c r="C2468" s="6"/>
      <c r="D2468" s="6"/>
      <c r="E2468" s="6"/>
      <c r="F2468" s="15"/>
      <c r="G2468" s="6"/>
      <c r="H2468" s="6"/>
      <c r="I2468" s="6"/>
      <c r="J2468" s="16"/>
      <c r="K2468" s="6"/>
      <c r="L2468" s="16"/>
      <c r="M2468" s="17"/>
      <c r="N2468" s="15"/>
      <c r="O2468" s="17"/>
      <c r="P2468" s="21"/>
      <c r="Q2468" s="6"/>
      <c r="R2468" s="6"/>
      <c r="S2468" s="20"/>
      <c r="T2468" s="6"/>
      <c r="U2468" s="21"/>
      <c r="W2468" s="20"/>
      <c r="AD2468" s="17"/>
      <c r="AG2468" s="17"/>
    </row>
    <row r="2469" spans="2:33" ht="16">
      <c r="B2469" s="26" t="str">
        <f t="shared" si="10"/>
        <v/>
      </c>
      <c r="C2469" s="6"/>
      <c r="D2469" s="6"/>
      <c r="E2469" s="6"/>
      <c r="F2469" s="15"/>
      <c r="G2469" s="6"/>
      <c r="H2469" s="6"/>
      <c r="I2469" s="6"/>
      <c r="J2469" s="16"/>
      <c r="K2469" s="6"/>
      <c r="L2469" s="16"/>
      <c r="M2469" s="23"/>
      <c r="N2469" s="15"/>
      <c r="O2469" s="23"/>
      <c r="P2469" s="21"/>
      <c r="Q2469" s="6"/>
      <c r="R2469" s="6"/>
      <c r="S2469" s="20"/>
      <c r="T2469" s="6"/>
      <c r="U2469" s="21"/>
      <c r="W2469" s="20"/>
      <c r="X2469" s="21"/>
      <c r="AD2469" s="23"/>
      <c r="AG2469" s="17"/>
    </row>
    <row r="2470" spans="2:33" ht="16">
      <c r="B2470" s="26" t="str">
        <f t="shared" si="10"/>
        <v/>
      </c>
      <c r="C2470" s="6"/>
      <c r="D2470" s="6"/>
      <c r="E2470" s="6"/>
      <c r="F2470" s="15"/>
      <c r="G2470" s="6"/>
      <c r="H2470" s="6"/>
      <c r="I2470" s="6"/>
      <c r="J2470" s="16"/>
      <c r="K2470" s="6"/>
      <c r="L2470" s="16"/>
      <c r="M2470" s="23"/>
      <c r="N2470" s="15"/>
      <c r="O2470" s="23"/>
      <c r="P2470" s="21"/>
      <c r="Q2470" s="6"/>
      <c r="R2470" s="6"/>
      <c r="S2470" s="20"/>
      <c r="T2470" s="6"/>
      <c r="U2470" s="21"/>
      <c r="W2470" s="20"/>
      <c r="X2470" s="21"/>
      <c r="AD2470" s="17"/>
      <c r="AG2470" s="23"/>
    </row>
    <row r="2471" spans="2:33" ht="16">
      <c r="B2471" s="26" t="str">
        <f t="shared" si="10"/>
        <v/>
      </c>
      <c r="C2471" s="6"/>
      <c r="D2471" s="6"/>
      <c r="E2471" s="6"/>
      <c r="F2471" s="15"/>
      <c r="G2471" s="6"/>
      <c r="H2471" s="6"/>
      <c r="I2471" s="6"/>
      <c r="J2471" s="16"/>
      <c r="K2471" s="6"/>
      <c r="L2471" s="16"/>
      <c r="M2471" s="23"/>
      <c r="N2471" s="15"/>
      <c r="O2471" s="17"/>
      <c r="P2471" s="21"/>
      <c r="Q2471" s="6"/>
      <c r="R2471" s="6"/>
      <c r="S2471" s="20"/>
      <c r="T2471" s="6"/>
      <c r="U2471" s="21"/>
      <c r="W2471" s="20"/>
      <c r="X2471" s="21"/>
      <c r="AD2471" s="17"/>
      <c r="AG2471" s="17"/>
    </row>
    <row r="2472" spans="2:33" ht="16">
      <c r="B2472" s="26" t="str">
        <f t="shared" si="10"/>
        <v/>
      </c>
      <c r="C2472" s="6"/>
      <c r="D2472" s="6"/>
      <c r="E2472" s="6"/>
      <c r="F2472" s="15"/>
      <c r="G2472" s="6"/>
      <c r="H2472" s="6"/>
      <c r="I2472" s="6"/>
      <c r="J2472" s="16"/>
      <c r="K2472" s="6"/>
      <c r="L2472" s="16"/>
      <c r="M2472" s="23"/>
      <c r="N2472" s="15"/>
      <c r="O2472" s="23"/>
      <c r="P2472" s="21"/>
      <c r="Q2472" s="6"/>
      <c r="R2472" s="6"/>
      <c r="S2472" s="20"/>
      <c r="T2472" s="6"/>
      <c r="U2472" s="21"/>
      <c r="W2472" s="20"/>
      <c r="X2472" s="21"/>
      <c r="AD2472" s="23"/>
      <c r="AG2472" s="17"/>
    </row>
    <row r="2473" spans="2:33" ht="16">
      <c r="B2473" s="26" t="str">
        <f t="shared" si="10"/>
        <v/>
      </c>
      <c r="C2473" s="6"/>
      <c r="D2473" s="6"/>
      <c r="E2473" s="6"/>
      <c r="F2473" s="15"/>
      <c r="G2473" s="6"/>
      <c r="H2473" s="6"/>
      <c r="I2473" s="6"/>
      <c r="J2473" s="16"/>
      <c r="K2473" s="6"/>
      <c r="L2473" s="16"/>
      <c r="M2473" s="23"/>
      <c r="N2473" s="15"/>
      <c r="O2473" s="23"/>
      <c r="P2473" s="21"/>
      <c r="Q2473" s="6"/>
      <c r="R2473" s="6"/>
      <c r="S2473" s="20"/>
      <c r="T2473" s="6"/>
      <c r="U2473" s="21"/>
      <c r="W2473" s="20"/>
      <c r="AD2473" s="17"/>
      <c r="AG2473" s="17"/>
    </row>
    <row r="2474" spans="2:33" ht="16">
      <c r="B2474" s="26" t="str">
        <f t="shared" si="10"/>
        <v/>
      </c>
      <c r="C2474" s="6"/>
      <c r="D2474" s="6"/>
      <c r="E2474" s="6"/>
      <c r="F2474" s="15"/>
      <c r="G2474" s="6"/>
      <c r="H2474" s="6"/>
      <c r="I2474" s="6"/>
      <c r="J2474" s="16"/>
      <c r="K2474" s="6"/>
      <c r="L2474" s="16"/>
      <c r="M2474" s="17"/>
      <c r="N2474" s="15"/>
      <c r="O2474" s="17"/>
      <c r="P2474" s="21"/>
      <c r="Q2474" s="6"/>
      <c r="R2474" s="6"/>
      <c r="S2474" s="20"/>
      <c r="T2474" s="6"/>
      <c r="U2474" s="21"/>
      <c r="W2474" s="20"/>
      <c r="AD2474" s="17"/>
      <c r="AG2474" s="17"/>
    </row>
    <row r="2475" spans="2:33" ht="16">
      <c r="B2475" s="26" t="str">
        <f t="shared" si="10"/>
        <v/>
      </c>
      <c r="C2475" s="6"/>
      <c r="D2475" s="6"/>
      <c r="E2475" s="6"/>
      <c r="F2475" s="15"/>
      <c r="G2475" s="6"/>
      <c r="H2475" s="6"/>
      <c r="I2475" s="6"/>
      <c r="J2475" s="16"/>
      <c r="K2475" s="6"/>
      <c r="L2475" s="16"/>
      <c r="M2475" s="17"/>
      <c r="N2475" s="15"/>
      <c r="O2475" s="17"/>
      <c r="P2475" s="21"/>
      <c r="Q2475" s="6"/>
      <c r="R2475" s="6"/>
      <c r="S2475" s="20"/>
      <c r="T2475" s="6"/>
      <c r="U2475" s="21"/>
      <c r="W2475" s="20"/>
      <c r="AD2475" s="23"/>
      <c r="AG2475" s="23"/>
    </row>
    <row r="2476" spans="2:33" ht="16">
      <c r="B2476" s="26" t="str">
        <f t="shared" si="10"/>
        <v/>
      </c>
      <c r="C2476" s="6"/>
      <c r="D2476" s="6"/>
      <c r="E2476" s="6"/>
      <c r="F2476" s="15"/>
      <c r="G2476" s="6"/>
      <c r="H2476" s="6"/>
      <c r="I2476" s="6"/>
      <c r="J2476" s="16"/>
      <c r="K2476" s="6"/>
      <c r="L2476" s="16"/>
      <c r="M2476" s="23"/>
      <c r="N2476" s="15"/>
      <c r="O2476" s="23"/>
      <c r="P2476" s="21"/>
      <c r="Q2476" s="6"/>
      <c r="R2476" s="6"/>
      <c r="S2476" s="20"/>
      <c r="T2476" s="6"/>
      <c r="U2476" s="21"/>
      <c r="W2476" s="20"/>
      <c r="AD2476" s="17"/>
      <c r="AG2476" s="17"/>
    </row>
    <row r="2477" spans="2:33" ht="16">
      <c r="B2477" s="26" t="str">
        <f t="shared" si="10"/>
        <v/>
      </c>
      <c r="C2477" s="6"/>
      <c r="D2477" s="6"/>
      <c r="E2477" s="6"/>
      <c r="F2477" s="15"/>
      <c r="G2477" s="6"/>
      <c r="H2477" s="6"/>
      <c r="I2477" s="6"/>
      <c r="J2477" s="16"/>
      <c r="K2477" s="6"/>
      <c r="L2477" s="16"/>
      <c r="M2477" s="17"/>
      <c r="N2477" s="15"/>
      <c r="O2477" s="23"/>
      <c r="P2477" s="21"/>
      <c r="Q2477" s="6"/>
      <c r="R2477" s="6"/>
      <c r="S2477" s="20"/>
      <c r="T2477" s="6"/>
      <c r="U2477" s="21"/>
      <c r="W2477" s="20"/>
      <c r="X2477" s="21"/>
      <c r="AD2477" s="17"/>
      <c r="AG2477" s="17"/>
    </row>
    <row r="2478" spans="2:33" ht="16">
      <c r="B2478" s="26" t="str">
        <f t="shared" si="10"/>
        <v/>
      </c>
      <c r="C2478" s="6"/>
      <c r="D2478" s="6"/>
      <c r="E2478" s="6"/>
      <c r="F2478" s="15"/>
      <c r="G2478" s="6"/>
      <c r="H2478" s="6"/>
      <c r="I2478" s="6"/>
      <c r="J2478" s="16"/>
      <c r="K2478" s="6"/>
      <c r="L2478" s="16"/>
      <c r="M2478" s="23"/>
      <c r="N2478" s="15"/>
      <c r="O2478" s="17"/>
      <c r="P2478" s="21"/>
      <c r="Q2478" s="6"/>
      <c r="R2478" s="6"/>
      <c r="S2478" s="20"/>
      <c r="T2478" s="6"/>
      <c r="U2478" s="21"/>
      <c r="W2478" s="20"/>
      <c r="X2478" s="21"/>
      <c r="AD2478" s="17"/>
      <c r="AG2478" s="17"/>
    </row>
    <row r="2479" spans="2:33" ht="16">
      <c r="B2479" s="26" t="str">
        <f t="shared" si="10"/>
        <v/>
      </c>
      <c r="C2479" s="6"/>
      <c r="D2479" s="6"/>
      <c r="E2479" s="6"/>
      <c r="F2479" s="15"/>
      <c r="G2479" s="6"/>
      <c r="H2479" s="6"/>
      <c r="I2479" s="6"/>
      <c r="J2479" s="16"/>
      <c r="K2479" s="6"/>
      <c r="L2479" s="16"/>
      <c r="M2479" s="23"/>
      <c r="N2479" s="15"/>
      <c r="O2479" s="17"/>
      <c r="P2479" s="21"/>
      <c r="Q2479" s="6"/>
      <c r="R2479" s="6"/>
      <c r="S2479" s="20"/>
      <c r="T2479" s="6"/>
      <c r="U2479" s="21"/>
      <c r="W2479" s="20"/>
      <c r="X2479" s="21"/>
      <c r="AD2479" s="17"/>
      <c r="AG2479" s="23"/>
    </row>
    <row r="2480" spans="2:33" ht="16">
      <c r="B2480" s="26" t="str">
        <f t="shared" si="10"/>
        <v/>
      </c>
      <c r="C2480" s="6"/>
      <c r="D2480" s="6"/>
      <c r="E2480" s="6"/>
      <c r="F2480" s="15"/>
      <c r="G2480" s="6"/>
      <c r="H2480" s="6"/>
      <c r="I2480" s="6"/>
      <c r="J2480" s="16"/>
      <c r="K2480" s="6"/>
      <c r="L2480" s="16"/>
      <c r="M2480" s="23"/>
      <c r="N2480" s="15"/>
      <c r="O2480" s="23"/>
      <c r="P2480" s="21"/>
      <c r="Q2480" s="6"/>
      <c r="R2480" s="6"/>
      <c r="S2480" s="20"/>
      <c r="T2480" s="6"/>
      <c r="U2480" s="21"/>
      <c r="W2480" s="20"/>
      <c r="AD2480" s="17"/>
      <c r="AG2480" s="17"/>
    </row>
    <row r="2481" spans="2:33" ht="16">
      <c r="B2481" s="26" t="str">
        <f t="shared" si="10"/>
        <v/>
      </c>
      <c r="C2481" s="6"/>
      <c r="D2481" s="6"/>
      <c r="E2481" s="6"/>
      <c r="F2481" s="15"/>
      <c r="G2481" s="6"/>
      <c r="H2481" s="6"/>
      <c r="I2481" s="6"/>
      <c r="J2481" s="16"/>
      <c r="K2481" s="6"/>
      <c r="L2481" s="16"/>
      <c r="M2481" s="23"/>
      <c r="N2481" s="15"/>
      <c r="O2481" s="23"/>
      <c r="P2481" s="21"/>
      <c r="Q2481" s="6"/>
      <c r="R2481" s="6"/>
      <c r="S2481" s="20"/>
      <c r="T2481" s="6"/>
      <c r="U2481" s="21"/>
      <c r="W2481" s="20"/>
      <c r="AD2481" s="17"/>
      <c r="AG2481" s="23"/>
    </row>
    <row r="2482" spans="2:33" ht="16">
      <c r="B2482" s="26" t="str">
        <f t="shared" si="10"/>
        <v/>
      </c>
      <c r="C2482" s="6"/>
      <c r="D2482" s="6"/>
      <c r="E2482" s="6"/>
      <c r="F2482" s="15"/>
      <c r="G2482" s="6"/>
      <c r="H2482" s="6"/>
      <c r="I2482" s="6"/>
      <c r="J2482" s="16"/>
      <c r="K2482" s="6"/>
      <c r="L2482" s="16"/>
      <c r="M2482" s="17"/>
      <c r="N2482" s="15"/>
      <c r="O2482" s="17"/>
      <c r="P2482" s="21"/>
      <c r="Q2482" s="6"/>
      <c r="R2482" s="6"/>
      <c r="S2482" s="20"/>
      <c r="T2482" s="6"/>
      <c r="U2482" s="21"/>
      <c r="W2482" s="20"/>
      <c r="X2482" s="21"/>
      <c r="AD2482" s="17"/>
      <c r="AG2482" s="23"/>
    </row>
    <row r="2483" spans="2:33" ht="16">
      <c r="B2483" s="26" t="str">
        <f t="shared" si="10"/>
        <v/>
      </c>
      <c r="C2483" s="6"/>
      <c r="D2483" s="6"/>
      <c r="E2483" s="6"/>
      <c r="F2483" s="15"/>
      <c r="G2483" s="6"/>
      <c r="H2483" s="6"/>
      <c r="I2483" s="6"/>
      <c r="J2483" s="16"/>
      <c r="K2483" s="6"/>
      <c r="L2483" s="16"/>
      <c r="M2483" s="17"/>
      <c r="N2483" s="15"/>
      <c r="O2483" s="17"/>
      <c r="P2483" s="21"/>
      <c r="Q2483" s="6"/>
      <c r="R2483" s="6"/>
      <c r="S2483" s="20"/>
      <c r="T2483" s="6"/>
      <c r="U2483" s="21"/>
      <c r="W2483" s="20"/>
      <c r="AD2483" s="17"/>
      <c r="AG2483" s="17"/>
    </row>
    <row r="2484" spans="2:33" ht="16">
      <c r="B2484" s="26" t="str">
        <f t="shared" si="10"/>
        <v/>
      </c>
      <c r="C2484" s="6"/>
      <c r="D2484" s="6"/>
      <c r="E2484" s="6"/>
      <c r="F2484" s="15"/>
      <c r="G2484" s="6"/>
      <c r="H2484" s="6"/>
      <c r="I2484" s="6"/>
      <c r="J2484" s="16"/>
      <c r="K2484" s="6"/>
      <c r="L2484" s="16"/>
      <c r="M2484" s="23"/>
      <c r="N2484" s="15"/>
      <c r="O2484" s="23"/>
      <c r="P2484" s="21"/>
      <c r="Q2484" s="6"/>
      <c r="R2484" s="6"/>
      <c r="S2484" s="20"/>
      <c r="T2484" s="6"/>
      <c r="U2484" s="21"/>
      <c r="W2484" s="20"/>
      <c r="X2484" s="21"/>
      <c r="AD2484" s="17"/>
      <c r="AG2484" s="17"/>
    </row>
    <row r="2485" spans="2:33" ht="16">
      <c r="B2485" s="26" t="str">
        <f t="shared" si="10"/>
        <v/>
      </c>
      <c r="C2485" s="6"/>
      <c r="D2485" s="6"/>
      <c r="E2485" s="6"/>
      <c r="F2485" s="15"/>
      <c r="G2485" s="6"/>
      <c r="H2485" s="6"/>
      <c r="I2485" s="6"/>
      <c r="J2485" s="16"/>
      <c r="K2485" s="6"/>
      <c r="L2485" s="16"/>
      <c r="M2485" s="23"/>
      <c r="N2485" s="15"/>
      <c r="O2485" s="23"/>
      <c r="P2485" s="21"/>
      <c r="Q2485" s="6"/>
      <c r="R2485" s="6"/>
      <c r="S2485" s="20"/>
      <c r="T2485" s="6"/>
      <c r="U2485" s="21"/>
      <c r="W2485" s="20"/>
      <c r="X2485" s="21"/>
      <c r="AD2485" s="23"/>
      <c r="AG2485" s="17"/>
    </row>
    <row r="2486" spans="2:33" ht="16">
      <c r="B2486" s="26" t="str">
        <f t="shared" si="10"/>
        <v/>
      </c>
      <c r="C2486" s="6"/>
      <c r="D2486" s="6"/>
      <c r="E2486" s="6"/>
      <c r="F2486" s="15"/>
      <c r="G2486" s="6"/>
      <c r="H2486" s="6"/>
      <c r="I2486" s="6"/>
      <c r="J2486" s="16"/>
      <c r="K2486" s="6"/>
      <c r="L2486" s="16"/>
      <c r="M2486" s="23"/>
      <c r="N2486" s="15"/>
      <c r="O2486" s="23"/>
      <c r="P2486" s="21"/>
      <c r="Q2486" s="6"/>
      <c r="R2486" s="6"/>
      <c r="S2486" s="20"/>
      <c r="T2486" s="6"/>
      <c r="U2486" s="21"/>
      <c r="W2486" s="20"/>
      <c r="X2486" s="21"/>
      <c r="AD2486" s="23"/>
      <c r="AG2486" s="23"/>
    </row>
    <row r="2487" spans="2:33" ht="16">
      <c r="B2487" s="26" t="str">
        <f t="shared" si="10"/>
        <v/>
      </c>
      <c r="C2487" s="6"/>
      <c r="D2487" s="6"/>
      <c r="E2487" s="6"/>
      <c r="F2487" s="15"/>
      <c r="G2487" s="6"/>
      <c r="H2487" s="6"/>
      <c r="I2487" s="6"/>
      <c r="J2487" s="16"/>
      <c r="K2487" s="6"/>
      <c r="L2487" s="16"/>
      <c r="M2487" s="23"/>
      <c r="N2487" s="15"/>
      <c r="O2487" s="23"/>
      <c r="P2487" s="21"/>
      <c r="Q2487" s="6"/>
      <c r="R2487" s="6"/>
      <c r="S2487" s="20"/>
      <c r="T2487" s="6"/>
      <c r="U2487" s="21"/>
      <c r="W2487" s="20"/>
      <c r="AD2487" s="23"/>
      <c r="AG2487" s="23"/>
    </row>
    <row r="2488" spans="2:33" ht="16">
      <c r="B2488" s="26" t="str">
        <f t="shared" si="10"/>
        <v/>
      </c>
      <c r="C2488" s="6"/>
      <c r="D2488" s="6"/>
      <c r="E2488" s="6"/>
      <c r="F2488" s="15"/>
      <c r="G2488" s="6"/>
      <c r="H2488" s="6"/>
      <c r="I2488" s="6"/>
      <c r="J2488" s="16"/>
      <c r="K2488" s="6"/>
      <c r="L2488" s="16"/>
      <c r="M2488" s="17"/>
      <c r="N2488" s="15"/>
      <c r="O2488" s="17"/>
      <c r="P2488" s="21"/>
      <c r="Q2488" s="6"/>
      <c r="R2488" s="6"/>
      <c r="S2488" s="20"/>
      <c r="T2488" s="6"/>
      <c r="U2488" s="21"/>
      <c r="W2488" s="20"/>
      <c r="AD2488" s="17"/>
      <c r="AG2488" s="23"/>
    </row>
    <row r="2489" spans="2:33" ht="16">
      <c r="B2489" s="26" t="str">
        <f t="shared" si="10"/>
        <v/>
      </c>
      <c r="C2489" s="6"/>
      <c r="D2489" s="6"/>
      <c r="E2489" s="6"/>
      <c r="F2489" s="15"/>
      <c r="G2489" s="6"/>
      <c r="H2489" s="6"/>
      <c r="I2489" s="6"/>
      <c r="J2489" s="16"/>
      <c r="K2489" s="6"/>
      <c r="L2489" s="16"/>
      <c r="M2489" s="17"/>
      <c r="N2489" s="15"/>
      <c r="O2489" s="17"/>
      <c r="P2489" s="21"/>
      <c r="Q2489" s="6"/>
      <c r="R2489" s="6"/>
      <c r="S2489" s="20"/>
      <c r="T2489" s="6"/>
      <c r="U2489" s="21"/>
      <c r="W2489" s="20"/>
      <c r="AD2489" s="17"/>
      <c r="AG2489" s="17"/>
    </row>
    <row r="2490" spans="2:33" ht="16">
      <c r="B2490" s="26" t="str">
        <f t="shared" si="10"/>
        <v/>
      </c>
      <c r="C2490" s="6"/>
      <c r="D2490" s="6"/>
      <c r="E2490" s="6"/>
      <c r="F2490" s="15"/>
      <c r="G2490" s="6"/>
      <c r="H2490" s="6"/>
      <c r="I2490" s="6"/>
      <c r="J2490" s="16"/>
      <c r="K2490" s="6"/>
      <c r="L2490" s="16"/>
      <c r="M2490" s="23"/>
      <c r="N2490" s="15"/>
      <c r="O2490" s="23"/>
      <c r="P2490" s="21"/>
      <c r="Q2490" s="6"/>
      <c r="R2490" s="6"/>
      <c r="S2490" s="20"/>
      <c r="T2490" s="6"/>
      <c r="U2490" s="21"/>
      <c r="W2490" s="20"/>
      <c r="AD2490" s="23"/>
      <c r="AG2490" s="17"/>
    </row>
    <row r="2491" spans="2:33" ht="16">
      <c r="B2491" s="26" t="str">
        <f t="shared" si="10"/>
        <v/>
      </c>
      <c r="C2491" s="6"/>
      <c r="D2491" s="6"/>
      <c r="E2491" s="6"/>
      <c r="F2491" s="15"/>
      <c r="G2491" s="6"/>
      <c r="H2491" s="6"/>
      <c r="I2491" s="6"/>
      <c r="J2491" s="16"/>
      <c r="K2491" s="6"/>
      <c r="L2491" s="16"/>
      <c r="M2491" s="17"/>
      <c r="N2491" s="15"/>
      <c r="O2491" s="23"/>
      <c r="P2491" s="21"/>
      <c r="Q2491" s="6"/>
      <c r="R2491" s="6"/>
      <c r="S2491" s="20"/>
      <c r="T2491" s="6"/>
      <c r="U2491" s="21"/>
      <c r="W2491" s="20"/>
      <c r="X2491" s="21"/>
      <c r="AD2491" s="17"/>
      <c r="AG2491" s="17"/>
    </row>
    <row r="2492" spans="2:33" ht="16">
      <c r="B2492" s="26" t="str">
        <f t="shared" si="10"/>
        <v/>
      </c>
      <c r="C2492" s="6"/>
      <c r="D2492" s="6"/>
      <c r="E2492" s="6"/>
      <c r="F2492" s="15"/>
      <c r="G2492" s="6"/>
      <c r="H2492" s="6"/>
      <c r="I2492" s="6"/>
      <c r="J2492" s="16"/>
      <c r="K2492" s="6"/>
      <c r="L2492" s="16"/>
      <c r="M2492" s="23"/>
      <c r="N2492" s="15"/>
      <c r="O2492" s="17"/>
      <c r="P2492" s="21"/>
      <c r="Q2492" s="6"/>
      <c r="R2492" s="6"/>
      <c r="S2492" s="20"/>
      <c r="T2492" s="6"/>
      <c r="U2492" s="21"/>
      <c r="W2492" s="20"/>
      <c r="X2492" s="21"/>
      <c r="AD2492" s="23"/>
      <c r="AG2492" s="17"/>
    </row>
    <row r="2493" spans="2:33" ht="16">
      <c r="B2493" s="26" t="str">
        <f t="shared" si="10"/>
        <v/>
      </c>
      <c r="C2493" s="6"/>
      <c r="D2493" s="6"/>
      <c r="E2493" s="6"/>
      <c r="F2493" s="15"/>
      <c r="G2493" s="6"/>
      <c r="H2493" s="6"/>
      <c r="I2493" s="6"/>
      <c r="J2493" s="16"/>
      <c r="K2493" s="6"/>
      <c r="L2493" s="16"/>
      <c r="M2493" s="23"/>
      <c r="N2493" s="15"/>
      <c r="O2493" s="23"/>
      <c r="P2493" s="21"/>
      <c r="Q2493" s="6"/>
      <c r="R2493" s="6"/>
      <c r="S2493" s="20"/>
      <c r="T2493" s="6"/>
      <c r="U2493" s="21"/>
      <c r="W2493" s="20"/>
      <c r="AD2493" s="17"/>
      <c r="AG2493" s="17"/>
    </row>
    <row r="2494" spans="2:33" ht="16">
      <c r="B2494" s="26" t="str">
        <f t="shared" si="10"/>
        <v/>
      </c>
      <c r="C2494" s="6"/>
      <c r="D2494" s="6"/>
      <c r="E2494" s="6"/>
      <c r="F2494" s="15"/>
      <c r="G2494" s="6"/>
      <c r="H2494" s="6"/>
      <c r="I2494" s="6"/>
      <c r="J2494" s="16"/>
      <c r="K2494" s="6"/>
      <c r="L2494" s="16"/>
      <c r="M2494" s="23"/>
      <c r="N2494" s="15"/>
      <c r="O2494" s="23"/>
      <c r="P2494" s="21"/>
      <c r="Q2494" s="6"/>
      <c r="R2494" s="6"/>
      <c r="S2494" s="20"/>
      <c r="T2494" s="6"/>
      <c r="U2494" s="21"/>
      <c r="W2494" s="20"/>
      <c r="AD2494" s="17"/>
      <c r="AG2494" s="17"/>
    </row>
    <row r="2495" spans="2:33" ht="16">
      <c r="B2495" s="26" t="str">
        <f t="shared" si="10"/>
        <v/>
      </c>
      <c r="C2495" s="6"/>
      <c r="D2495" s="6"/>
      <c r="E2495" s="6"/>
      <c r="F2495" s="15"/>
      <c r="G2495" s="6"/>
      <c r="H2495" s="6"/>
      <c r="I2495" s="6"/>
      <c r="J2495" s="16"/>
      <c r="K2495" s="6"/>
      <c r="L2495" s="16"/>
      <c r="M2495" s="23"/>
      <c r="N2495" s="15"/>
      <c r="O2495" s="17"/>
      <c r="P2495" s="21"/>
      <c r="Q2495" s="6"/>
      <c r="R2495" s="6"/>
      <c r="S2495" s="20"/>
      <c r="T2495" s="6"/>
      <c r="U2495" s="21"/>
      <c r="W2495" s="20"/>
      <c r="X2495" s="21"/>
      <c r="AD2495" s="23"/>
      <c r="AG2495" s="17"/>
    </row>
    <row r="2496" spans="2:33" ht="16">
      <c r="B2496" s="26" t="str">
        <f t="shared" si="10"/>
        <v/>
      </c>
      <c r="C2496" s="6"/>
      <c r="D2496" s="6"/>
      <c r="E2496" s="6"/>
      <c r="F2496" s="15"/>
      <c r="G2496" s="6"/>
      <c r="H2496" s="6"/>
      <c r="I2496" s="6"/>
      <c r="J2496" s="16"/>
      <c r="K2496" s="6"/>
      <c r="L2496" s="16"/>
      <c r="M2496" s="23"/>
      <c r="N2496" s="15"/>
      <c r="O2496" s="23"/>
      <c r="P2496" s="21"/>
      <c r="Q2496" s="6"/>
      <c r="R2496" s="6"/>
      <c r="S2496" s="20"/>
      <c r="T2496" s="6"/>
      <c r="U2496" s="21"/>
      <c r="W2496" s="20"/>
      <c r="AD2496" s="17"/>
      <c r="AG2496" s="17"/>
    </row>
    <row r="2497" spans="2:33" ht="16">
      <c r="B2497" s="26" t="str">
        <f t="shared" si="10"/>
        <v/>
      </c>
      <c r="C2497" s="6"/>
      <c r="D2497" s="6"/>
      <c r="E2497" s="6"/>
      <c r="F2497" s="15"/>
      <c r="G2497" s="6"/>
      <c r="H2497" s="6"/>
      <c r="I2497" s="6"/>
      <c r="J2497" s="16"/>
      <c r="K2497" s="6"/>
      <c r="L2497" s="16"/>
      <c r="M2497" s="17"/>
      <c r="N2497" s="15"/>
      <c r="O2497" s="17"/>
      <c r="P2497" s="21"/>
      <c r="Q2497" s="6"/>
      <c r="R2497" s="6"/>
      <c r="S2497" s="20"/>
      <c r="T2497" s="6"/>
      <c r="U2497" s="21"/>
      <c r="W2497" s="20"/>
      <c r="AD2497" s="17"/>
      <c r="AG2497" s="23"/>
    </row>
    <row r="2498" spans="2:33" ht="16">
      <c r="B2498" s="26" t="str">
        <f t="shared" si="10"/>
        <v/>
      </c>
      <c r="C2498" s="6"/>
      <c r="D2498" s="6"/>
      <c r="E2498" s="6"/>
      <c r="F2498" s="15"/>
      <c r="G2498" s="6"/>
      <c r="H2498" s="6"/>
      <c r="I2498" s="6"/>
      <c r="J2498" s="16"/>
      <c r="K2498" s="6"/>
      <c r="L2498" s="16"/>
      <c r="M2498" s="17"/>
      <c r="N2498" s="15"/>
      <c r="O2498" s="17"/>
      <c r="P2498" s="21"/>
      <c r="Q2498" s="6"/>
      <c r="R2498" s="6"/>
      <c r="S2498" s="20"/>
      <c r="T2498" s="6"/>
      <c r="U2498" s="21"/>
      <c r="W2498" s="20"/>
      <c r="X2498" s="21"/>
      <c r="AD2498" s="17"/>
      <c r="AG2498" s="23"/>
    </row>
    <row r="2499" spans="2:33" ht="16">
      <c r="B2499" s="26" t="str">
        <f t="shared" si="10"/>
        <v/>
      </c>
      <c r="C2499" s="6"/>
      <c r="D2499" s="6"/>
      <c r="E2499" s="6"/>
      <c r="F2499" s="15"/>
      <c r="G2499" s="6"/>
      <c r="H2499" s="6"/>
      <c r="I2499" s="6"/>
      <c r="J2499" s="16"/>
      <c r="K2499" s="6"/>
      <c r="L2499" s="16"/>
      <c r="M2499" s="23"/>
      <c r="N2499" s="15"/>
      <c r="O2499" s="23"/>
      <c r="P2499" s="21"/>
      <c r="Q2499" s="6"/>
      <c r="R2499" s="6"/>
      <c r="S2499" s="20"/>
      <c r="T2499" s="6"/>
      <c r="U2499" s="21"/>
      <c r="W2499" s="20"/>
      <c r="X2499" s="21"/>
      <c r="AD2499" s="17"/>
      <c r="AG2499" s="23"/>
    </row>
    <row r="2500" spans="2:33" ht="16">
      <c r="B2500" s="26" t="str">
        <f t="shared" si="10"/>
        <v/>
      </c>
      <c r="C2500" s="6"/>
      <c r="D2500" s="6"/>
      <c r="E2500" s="6"/>
      <c r="F2500" s="15"/>
      <c r="G2500" s="6"/>
      <c r="H2500" s="6"/>
      <c r="I2500" s="6"/>
      <c r="J2500" s="16"/>
      <c r="K2500" s="6"/>
      <c r="L2500" s="16"/>
      <c r="M2500" s="23"/>
      <c r="N2500" s="15"/>
      <c r="O2500" s="23"/>
      <c r="P2500" s="21"/>
      <c r="Q2500" s="6"/>
      <c r="R2500" s="6"/>
      <c r="S2500" s="20"/>
      <c r="T2500" s="6"/>
      <c r="U2500" s="21"/>
      <c r="W2500" s="20"/>
      <c r="AD2500" s="17"/>
      <c r="AG2500" s="17"/>
    </row>
    <row r="2501" spans="2:33" ht="16">
      <c r="B2501" s="26" t="str">
        <f t="shared" si="10"/>
        <v/>
      </c>
      <c r="C2501" s="6"/>
      <c r="D2501" s="6"/>
      <c r="E2501" s="6"/>
      <c r="F2501" s="15"/>
      <c r="G2501" s="6"/>
      <c r="H2501" s="6"/>
      <c r="I2501" s="6"/>
      <c r="J2501" s="16"/>
      <c r="K2501" s="6"/>
      <c r="L2501" s="16"/>
      <c r="M2501" s="23"/>
      <c r="N2501" s="15"/>
      <c r="O2501" s="23"/>
      <c r="P2501" s="21"/>
      <c r="Q2501" s="6"/>
      <c r="R2501" s="6"/>
      <c r="S2501" s="20"/>
      <c r="T2501" s="6"/>
      <c r="U2501" s="21"/>
      <c r="W2501" s="20"/>
      <c r="AD2501" s="17"/>
      <c r="AG2501" s="17"/>
    </row>
    <row r="2502" spans="2:33" ht="16">
      <c r="B2502" s="26" t="str">
        <f t="shared" si="10"/>
        <v/>
      </c>
      <c r="C2502" s="6"/>
      <c r="D2502" s="6"/>
      <c r="E2502" s="6"/>
      <c r="F2502" s="15"/>
      <c r="G2502" s="6"/>
      <c r="H2502" s="6"/>
      <c r="I2502" s="6"/>
      <c r="J2502" s="16"/>
      <c r="K2502" s="6"/>
      <c r="L2502" s="16"/>
      <c r="M2502" s="23"/>
      <c r="N2502" s="15"/>
      <c r="O2502" s="23"/>
      <c r="P2502" s="21"/>
      <c r="Q2502" s="6"/>
      <c r="R2502" s="6"/>
      <c r="S2502" s="20"/>
      <c r="T2502" s="6"/>
      <c r="U2502" s="21"/>
      <c r="W2502" s="20"/>
      <c r="AD2502" s="17"/>
      <c r="AG2502" s="17"/>
    </row>
    <row r="2503" spans="2:33" ht="16">
      <c r="B2503" s="26" t="str">
        <f t="shared" si="10"/>
        <v/>
      </c>
      <c r="C2503" s="6"/>
      <c r="D2503" s="6"/>
      <c r="E2503" s="6"/>
      <c r="F2503" s="15"/>
      <c r="G2503" s="6"/>
      <c r="H2503" s="6"/>
      <c r="I2503" s="6"/>
      <c r="J2503" s="16"/>
      <c r="K2503" s="6"/>
      <c r="L2503" s="16"/>
      <c r="M2503" s="23"/>
      <c r="N2503" s="15"/>
      <c r="O2503" s="23"/>
      <c r="P2503" s="21"/>
      <c r="Q2503" s="6"/>
      <c r="R2503" s="6"/>
      <c r="S2503" s="20"/>
      <c r="T2503" s="6"/>
      <c r="U2503" s="21"/>
      <c r="W2503" s="20"/>
      <c r="X2503" s="21"/>
      <c r="AD2503" s="17"/>
      <c r="AG2503" s="17"/>
    </row>
    <row r="2504" spans="2:33" ht="16">
      <c r="B2504" s="26" t="str">
        <f t="shared" si="10"/>
        <v/>
      </c>
      <c r="C2504" s="6"/>
      <c r="D2504" s="6"/>
      <c r="E2504" s="6"/>
      <c r="F2504" s="15"/>
      <c r="G2504" s="6"/>
      <c r="H2504" s="6"/>
      <c r="I2504" s="6"/>
      <c r="J2504" s="16"/>
      <c r="K2504" s="6"/>
      <c r="L2504" s="16"/>
      <c r="M2504" s="17"/>
      <c r="N2504" s="15"/>
      <c r="O2504" s="17"/>
      <c r="P2504" s="21"/>
      <c r="Q2504" s="6"/>
      <c r="R2504" s="6"/>
      <c r="S2504" s="20"/>
      <c r="T2504" s="6"/>
      <c r="U2504" s="21"/>
      <c r="W2504" s="20"/>
      <c r="X2504" s="21"/>
      <c r="AD2504" s="17"/>
      <c r="AG2504" s="17"/>
    </row>
    <row r="2505" spans="2:33" ht="16">
      <c r="B2505" s="26" t="str">
        <f t="shared" si="10"/>
        <v/>
      </c>
      <c r="C2505" s="6"/>
      <c r="D2505" s="6"/>
      <c r="E2505" s="6"/>
      <c r="F2505" s="15"/>
      <c r="G2505" s="6"/>
      <c r="H2505" s="6"/>
      <c r="I2505" s="6"/>
      <c r="J2505" s="16"/>
      <c r="K2505" s="6"/>
      <c r="L2505" s="16"/>
      <c r="M2505" s="23"/>
      <c r="N2505" s="15"/>
      <c r="O2505" s="23"/>
      <c r="P2505" s="21"/>
      <c r="Q2505" s="6"/>
      <c r="R2505" s="6"/>
      <c r="S2505" s="20"/>
      <c r="T2505" s="6"/>
      <c r="U2505" s="21"/>
      <c r="W2505" s="20"/>
      <c r="X2505" s="21"/>
      <c r="AD2505" s="17"/>
      <c r="AG2505" s="17"/>
    </row>
    <row r="2506" spans="2:33" ht="16">
      <c r="B2506" s="26" t="str">
        <f t="shared" si="10"/>
        <v/>
      </c>
      <c r="C2506" s="6"/>
      <c r="D2506" s="6"/>
      <c r="E2506" s="6"/>
      <c r="F2506" s="15"/>
      <c r="G2506" s="6"/>
      <c r="H2506" s="6"/>
      <c r="I2506" s="6"/>
      <c r="J2506" s="16"/>
      <c r="K2506" s="6"/>
      <c r="L2506" s="16"/>
      <c r="M2506" s="17"/>
      <c r="N2506" s="15"/>
      <c r="O2506" s="17"/>
      <c r="P2506" s="21"/>
      <c r="Q2506" s="6"/>
      <c r="R2506" s="6"/>
      <c r="S2506" s="20"/>
      <c r="T2506" s="6"/>
      <c r="U2506" s="21"/>
      <c r="W2506" s="20"/>
      <c r="X2506" s="21"/>
      <c r="AD2506" s="17"/>
      <c r="AG2506" s="23"/>
    </row>
    <row r="2507" spans="2:33" ht="16">
      <c r="B2507" s="26" t="str">
        <f t="shared" si="10"/>
        <v/>
      </c>
      <c r="C2507" s="6"/>
      <c r="D2507" s="6"/>
      <c r="E2507" s="6"/>
      <c r="F2507" s="15"/>
      <c r="G2507" s="6"/>
      <c r="H2507" s="6"/>
      <c r="I2507" s="6"/>
      <c r="J2507" s="16"/>
      <c r="K2507" s="6"/>
      <c r="L2507" s="16"/>
      <c r="M2507" s="23"/>
      <c r="N2507" s="15"/>
      <c r="O2507" s="23"/>
      <c r="P2507" s="21"/>
      <c r="Q2507" s="6"/>
      <c r="R2507" s="6"/>
      <c r="S2507" s="20"/>
      <c r="T2507" s="6"/>
      <c r="U2507" s="21"/>
      <c r="W2507" s="20"/>
      <c r="X2507" s="21"/>
      <c r="AD2507" s="17"/>
      <c r="AG2507" s="17"/>
    </row>
    <row r="2508" spans="2:33" ht="16">
      <c r="B2508" s="26" t="str">
        <f t="shared" si="10"/>
        <v/>
      </c>
      <c r="C2508" s="6"/>
      <c r="D2508" s="6"/>
      <c r="E2508" s="6"/>
      <c r="F2508" s="15"/>
      <c r="G2508" s="6"/>
      <c r="H2508" s="6"/>
      <c r="I2508" s="6"/>
      <c r="J2508" s="16"/>
      <c r="K2508" s="6"/>
      <c r="L2508" s="16"/>
      <c r="M2508" s="23"/>
      <c r="N2508" s="15"/>
      <c r="O2508" s="23"/>
      <c r="P2508" s="21"/>
      <c r="Q2508" s="6"/>
      <c r="R2508" s="6"/>
      <c r="S2508" s="20"/>
      <c r="T2508" s="6"/>
      <c r="U2508" s="21"/>
      <c r="W2508" s="20"/>
      <c r="X2508" s="21"/>
      <c r="AD2508" s="23"/>
      <c r="AG2508" s="17"/>
    </row>
    <row r="2509" spans="2:33" ht="16">
      <c r="B2509" s="26" t="str">
        <f t="shared" si="10"/>
        <v/>
      </c>
      <c r="C2509" s="6"/>
      <c r="D2509" s="6"/>
      <c r="E2509" s="6"/>
      <c r="F2509" s="15"/>
      <c r="G2509" s="6"/>
      <c r="H2509" s="6"/>
      <c r="I2509" s="6"/>
      <c r="J2509" s="16"/>
      <c r="K2509" s="6"/>
      <c r="L2509" s="16"/>
      <c r="M2509" s="17"/>
      <c r="N2509" s="15"/>
      <c r="O2509" s="17"/>
      <c r="P2509" s="21"/>
      <c r="Q2509" s="6"/>
      <c r="R2509" s="6"/>
      <c r="S2509" s="20"/>
      <c r="T2509" s="6"/>
      <c r="U2509" s="21"/>
      <c r="W2509" s="20"/>
      <c r="X2509" s="21"/>
      <c r="AD2509" s="17"/>
      <c r="AG2509" s="17"/>
    </row>
    <row r="2510" spans="2:33" ht="16">
      <c r="B2510" s="26" t="str">
        <f t="shared" si="10"/>
        <v/>
      </c>
      <c r="C2510" s="6"/>
      <c r="D2510" s="6"/>
      <c r="E2510" s="6"/>
      <c r="F2510" s="15"/>
      <c r="G2510" s="6"/>
      <c r="H2510" s="6"/>
      <c r="I2510" s="6"/>
      <c r="J2510" s="16"/>
      <c r="K2510" s="6"/>
      <c r="L2510" s="16"/>
      <c r="M2510" s="17"/>
      <c r="N2510" s="15"/>
      <c r="O2510" s="17"/>
      <c r="P2510" s="21"/>
      <c r="Q2510" s="6"/>
      <c r="R2510" s="6"/>
      <c r="S2510" s="20"/>
      <c r="T2510" s="6"/>
      <c r="U2510" s="21"/>
      <c r="W2510" s="20"/>
      <c r="X2510" s="21"/>
      <c r="AD2510" s="17"/>
      <c r="AG2510" s="23"/>
    </row>
    <row r="2511" spans="2:33" ht="16">
      <c r="B2511" s="26" t="str">
        <f t="shared" si="10"/>
        <v/>
      </c>
      <c r="C2511" s="6"/>
      <c r="D2511" s="6"/>
      <c r="E2511" s="6"/>
      <c r="F2511" s="15"/>
      <c r="G2511" s="6"/>
      <c r="H2511" s="6"/>
      <c r="I2511" s="6"/>
      <c r="J2511" s="16"/>
      <c r="K2511" s="6"/>
      <c r="L2511" s="16"/>
      <c r="M2511" s="23"/>
      <c r="N2511" s="15"/>
      <c r="O2511" s="23"/>
      <c r="P2511" s="21"/>
      <c r="Q2511" s="6"/>
      <c r="R2511" s="6"/>
      <c r="S2511" s="20"/>
      <c r="T2511" s="6"/>
      <c r="U2511" s="21"/>
      <c r="W2511" s="20"/>
      <c r="X2511" s="21"/>
      <c r="AD2511" s="23"/>
      <c r="AG2511" s="17"/>
    </row>
    <row r="2512" spans="2:33" ht="16">
      <c r="B2512" s="26" t="str">
        <f t="shared" si="10"/>
        <v/>
      </c>
      <c r="C2512" s="6"/>
      <c r="D2512" s="6"/>
      <c r="E2512" s="6"/>
      <c r="F2512" s="15"/>
      <c r="G2512" s="6"/>
      <c r="H2512" s="6"/>
      <c r="I2512" s="6"/>
      <c r="J2512" s="16"/>
      <c r="K2512" s="6"/>
      <c r="L2512" s="16"/>
      <c r="M2512" s="23"/>
      <c r="N2512" s="15"/>
      <c r="O2512" s="23"/>
      <c r="P2512" s="21"/>
      <c r="Q2512" s="6"/>
      <c r="R2512" s="6"/>
      <c r="S2512" s="20"/>
      <c r="T2512" s="6"/>
      <c r="U2512" s="21"/>
      <c r="W2512" s="20"/>
      <c r="X2512" s="21"/>
      <c r="AD2512" s="17"/>
      <c r="AG2512" s="17"/>
    </row>
    <row r="2513" spans="2:33" ht="16">
      <c r="B2513" s="26" t="str">
        <f t="shared" si="10"/>
        <v/>
      </c>
      <c r="C2513" s="6"/>
      <c r="D2513" s="6"/>
      <c r="E2513" s="6"/>
      <c r="F2513" s="15"/>
      <c r="G2513" s="6"/>
      <c r="H2513" s="6"/>
      <c r="I2513" s="6"/>
      <c r="J2513" s="16"/>
      <c r="K2513" s="6"/>
      <c r="L2513" s="16"/>
      <c r="M2513" s="17"/>
      <c r="N2513" s="15"/>
      <c r="O2513" s="23"/>
      <c r="P2513" s="21"/>
      <c r="Q2513" s="6"/>
      <c r="R2513" s="6"/>
      <c r="S2513" s="20"/>
      <c r="T2513" s="6"/>
      <c r="U2513" s="21"/>
      <c r="W2513" s="20"/>
      <c r="X2513" s="21"/>
      <c r="AD2513" s="23"/>
      <c r="AG2513" s="17"/>
    </row>
    <row r="2514" spans="2:33" ht="16">
      <c r="B2514" s="26" t="str">
        <f t="shared" si="10"/>
        <v/>
      </c>
      <c r="C2514" s="6"/>
      <c r="D2514" s="6"/>
      <c r="E2514" s="6"/>
      <c r="F2514" s="15"/>
      <c r="G2514" s="6"/>
      <c r="H2514" s="6"/>
      <c r="I2514" s="6"/>
      <c r="J2514" s="16"/>
      <c r="K2514" s="6"/>
      <c r="L2514" s="16"/>
      <c r="M2514" s="23"/>
      <c r="N2514" s="15"/>
      <c r="O2514" s="23"/>
      <c r="P2514" s="21"/>
      <c r="Q2514" s="6"/>
      <c r="R2514" s="6"/>
      <c r="S2514" s="20"/>
      <c r="T2514" s="6"/>
      <c r="U2514" s="21"/>
      <c r="W2514" s="20"/>
      <c r="X2514" s="21"/>
      <c r="AD2514" s="23"/>
      <c r="AG2514" s="23"/>
    </row>
    <row r="2515" spans="2:33" ht="16">
      <c r="B2515" s="26" t="str">
        <f t="shared" si="10"/>
        <v/>
      </c>
      <c r="C2515" s="6"/>
      <c r="D2515" s="6"/>
      <c r="E2515" s="6"/>
      <c r="F2515" s="15"/>
      <c r="G2515" s="6"/>
      <c r="H2515" s="6"/>
      <c r="I2515" s="6"/>
      <c r="J2515" s="16"/>
      <c r="K2515" s="6"/>
      <c r="L2515" s="16"/>
      <c r="M2515" s="23"/>
      <c r="N2515" s="15"/>
      <c r="O2515" s="17"/>
      <c r="P2515" s="21"/>
      <c r="Q2515" s="6"/>
      <c r="R2515" s="6"/>
      <c r="S2515" s="20"/>
      <c r="T2515" s="6"/>
      <c r="U2515" s="21"/>
      <c r="W2515" s="20"/>
      <c r="X2515" s="21"/>
      <c r="AD2515" s="17"/>
      <c r="AG2515" s="17"/>
    </row>
    <row r="2516" spans="2:33" ht="16">
      <c r="B2516" s="26" t="str">
        <f t="shared" si="10"/>
        <v/>
      </c>
      <c r="C2516" s="6"/>
      <c r="D2516" s="6"/>
      <c r="E2516" s="6"/>
      <c r="F2516" s="15"/>
      <c r="G2516" s="6"/>
      <c r="H2516" s="6"/>
      <c r="I2516" s="6"/>
      <c r="J2516" s="16"/>
      <c r="K2516" s="6"/>
      <c r="L2516" s="16"/>
      <c r="M2516" s="17"/>
      <c r="N2516" s="15"/>
      <c r="O2516" s="23"/>
      <c r="P2516" s="21"/>
      <c r="Q2516" s="6"/>
      <c r="R2516" s="6"/>
      <c r="S2516" s="20"/>
      <c r="T2516" s="6"/>
      <c r="U2516" s="21"/>
      <c r="W2516" s="20"/>
      <c r="X2516" s="21"/>
      <c r="AD2516" s="23"/>
      <c r="AG2516" s="17"/>
    </row>
    <row r="2517" spans="2:33" ht="16">
      <c r="B2517" s="26" t="str">
        <f t="shared" si="10"/>
        <v/>
      </c>
      <c r="C2517" s="6"/>
      <c r="D2517" s="6"/>
      <c r="E2517" s="6"/>
      <c r="F2517" s="15"/>
      <c r="G2517" s="6"/>
      <c r="H2517" s="6"/>
      <c r="I2517" s="6"/>
      <c r="J2517" s="16"/>
      <c r="K2517" s="6"/>
      <c r="L2517" s="16"/>
      <c r="M2517" s="23"/>
      <c r="N2517" s="15"/>
      <c r="O2517" s="23"/>
      <c r="P2517" s="21"/>
      <c r="Q2517" s="6"/>
      <c r="R2517" s="6"/>
      <c r="S2517" s="20"/>
      <c r="T2517" s="6"/>
      <c r="U2517" s="21"/>
      <c r="W2517" s="20"/>
      <c r="X2517" s="21"/>
      <c r="AD2517" s="17"/>
      <c r="AG2517" s="23"/>
    </row>
    <row r="2518" spans="2:33" ht="16">
      <c r="B2518" s="26" t="str">
        <f t="shared" si="10"/>
        <v/>
      </c>
      <c r="C2518" s="6"/>
      <c r="D2518" s="6"/>
      <c r="E2518" s="6"/>
      <c r="F2518" s="15"/>
      <c r="G2518" s="6"/>
      <c r="H2518" s="6"/>
      <c r="I2518" s="6"/>
      <c r="J2518" s="16"/>
      <c r="K2518" s="6"/>
      <c r="L2518" s="16"/>
      <c r="M2518" s="23"/>
      <c r="N2518" s="15"/>
      <c r="O2518" s="23"/>
      <c r="P2518" s="21"/>
      <c r="Q2518" s="6"/>
      <c r="R2518" s="6"/>
      <c r="S2518" s="20"/>
      <c r="T2518" s="6"/>
      <c r="U2518" s="21"/>
      <c r="W2518" s="20"/>
      <c r="X2518" s="21"/>
      <c r="AD2518" s="17"/>
      <c r="AG2518" s="17"/>
    </row>
    <row r="2519" spans="2:33" ht="16">
      <c r="B2519" s="26" t="str">
        <f t="shared" si="10"/>
        <v/>
      </c>
      <c r="C2519" s="6"/>
      <c r="D2519" s="6"/>
      <c r="E2519" s="6"/>
      <c r="F2519" s="15"/>
      <c r="G2519" s="6"/>
      <c r="H2519" s="6"/>
      <c r="I2519" s="6"/>
      <c r="J2519" s="16"/>
      <c r="K2519" s="6"/>
      <c r="L2519" s="16"/>
      <c r="M2519" s="17"/>
      <c r="N2519" s="15"/>
      <c r="O2519" s="23"/>
      <c r="P2519" s="21"/>
      <c r="Q2519" s="6"/>
      <c r="R2519" s="6"/>
      <c r="S2519" s="20"/>
      <c r="T2519" s="6"/>
      <c r="U2519" s="21"/>
      <c r="W2519" s="20"/>
      <c r="X2519" s="21"/>
      <c r="AD2519" s="17"/>
      <c r="AG2519" s="17"/>
    </row>
    <row r="2520" spans="2:33" ht="16">
      <c r="B2520" s="26" t="str">
        <f t="shared" si="10"/>
        <v/>
      </c>
      <c r="C2520" s="6"/>
      <c r="D2520" s="6"/>
      <c r="E2520" s="6"/>
      <c r="F2520" s="15"/>
      <c r="G2520" s="6"/>
      <c r="H2520" s="6"/>
      <c r="I2520" s="6"/>
      <c r="J2520" s="16"/>
      <c r="K2520" s="6"/>
      <c r="L2520" s="16"/>
      <c r="M2520" s="17"/>
      <c r="N2520" s="15"/>
      <c r="O2520" s="17"/>
      <c r="P2520" s="21"/>
      <c r="Q2520" s="6"/>
      <c r="R2520" s="6"/>
      <c r="S2520" s="20"/>
      <c r="T2520" s="6"/>
      <c r="U2520" s="21"/>
      <c r="W2520" s="20"/>
      <c r="X2520" s="21"/>
      <c r="AD2520" s="17"/>
      <c r="AG2520" s="17"/>
    </row>
    <row r="2521" spans="2:33" ht="16">
      <c r="B2521" s="26" t="str">
        <f t="shared" si="10"/>
        <v/>
      </c>
      <c r="C2521" s="6"/>
      <c r="D2521" s="6"/>
      <c r="E2521" s="6"/>
      <c r="F2521" s="15"/>
      <c r="G2521" s="6"/>
      <c r="H2521" s="6"/>
      <c r="I2521" s="6"/>
      <c r="J2521" s="16"/>
      <c r="K2521" s="6"/>
      <c r="L2521" s="16"/>
      <c r="M2521" s="23"/>
      <c r="N2521" s="15"/>
      <c r="O2521" s="17"/>
      <c r="P2521" s="21"/>
      <c r="Q2521" s="6"/>
      <c r="R2521" s="6"/>
      <c r="S2521" s="20"/>
      <c r="T2521" s="6"/>
      <c r="U2521" s="21"/>
      <c r="W2521" s="20"/>
      <c r="X2521" s="21"/>
      <c r="AD2521" s="17"/>
      <c r="AG2521" s="23"/>
    </row>
    <row r="2522" spans="2:33" ht="16">
      <c r="B2522" s="26" t="str">
        <f t="shared" si="10"/>
        <v/>
      </c>
      <c r="C2522" s="6"/>
      <c r="D2522" s="6"/>
      <c r="E2522" s="6"/>
      <c r="F2522" s="15"/>
      <c r="G2522" s="6"/>
      <c r="H2522" s="6"/>
      <c r="I2522" s="6"/>
      <c r="J2522" s="16"/>
      <c r="K2522" s="6"/>
      <c r="L2522" s="16"/>
      <c r="M2522" s="23"/>
      <c r="N2522" s="15"/>
      <c r="O2522" s="23"/>
      <c r="P2522" s="21"/>
      <c r="Q2522" s="6"/>
      <c r="R2522" s="6"/>
      <c r="S2522" s="20"/>
      <c r="T2522" s="6"/>
      <c r="U2522" s="21"/>
      <c r="W2522" s="20"/>
      <c r="X2522" s="21"/>
      <c r="AD2522" s="17"/>
      <c r="AG2522" s="23"/>
    </row>
    <row r="2523" spans="2:33" ht="16">
      <c r="B2523" s="26" t="str">
        <f t="shared" si="10"/>
        <v/>
      </c>
      <c r="C2523" s="6"/>
      <c r="D2523" s="6"/>
      <c r="E2523" s="6"/>
      <c r="F2523" s="15"/>
      <c r="G2523" s="6"/>
      <c r="H2523" s="6"/>
      <c r="I2523" s="6"/>
      <c r="J2523" s="16"/>
      <c r="K2523" s="6"/>
      <c r="L2523" s="16"/>
      <c r="M2523" s="17"/>
      <c r="N2523" s="15"/>
      <c r="O2523" s="23"/>
      <c r="P2523" s="21"/>
      <c r="Q2523" s="6"/>
      <c r="R2523" s="6"/>
      <c r="S2523" s="20"/>
      <c r="T2523" s="6"/>
      <c r="U2523" s="21"/>
      <c r="W2523" s="20"/>
      <c r="X2523" s="21"/>
      <c r="AD2523" s="17"/>
      <c r="AG2523" s="17"/>
    </row>
    <row r="2524" spans="2:33" ht="16">
      <c r="B2524" s="26" t="str">
        <f t="shared" si="10"/>
        <v/>
      </c>
      <c r="C2524" s="6"/>
      <c r="D2524" s="6"/>
      <c r="E2524" s="6"/>
      <c r="F2524" s="15"/>
      <c r="G2524" s="6"/>
      <c r="H2524" s="6"/>
      <c r="I2524" s="6"/>
      <c r="J2524" s="16"/>
      <c r="K2524" s="6"/>
      <c r="L2524" s="16"/>
      <c r="M2524" s="17"/>
      <c r="N2524" s="15"/>
      <c r="O2524" s="23"/>
      <c r="P2524" s="21"/>
      <c r="Q2524" s="6"/>
      <c r="R2524" s="6"/>
      <c r="S2524" s="20"/>
      <c r="T2524" s="6"/>
      <c r="U2524" s="21"/>
      <c r="W2524" s="20"/>
      <c r="X2524" s="21"/>
      <c r="AD2524" s="17"/>
      <c r="AG2524" s="17"/>
    </row>
    <row r="2525" spans="2:33" ht="16">
      <c r="B2525" s="26" t="str">
        <f t="shared" si="10"/>
        <v/>
      </c>
      <c r="C2525" s="6"/>
      <c r="D2525" s="6"/>
      <c r="E2525" s="6"/>
      <c r="F2525" s="15"/>
      <c r="G2525" s="6"/>
      <c r="H2525" s="6"/>
      <c r="I2525" s="6"/>
      <c r="J2525" s="16"/>
      <c r="K2525" s="6"/>
      <c r="L2525" s="16"/>
      <c r="M2525" s="23"/>
      <c r="N2525" s="15"/>
      <c r="O2525" s="23"/>
      <c r="P2525" s="21"/>
      <c r="Q2525" s="6"/>
      <c r="R2525" s="6"/>
      <c r="S2525" s="20"/>
      <c r="T2525" s="6"/>
      <c r="U2525" s="21"/>
      <c r="W2525" s="20"/>
      <c r="X2525" s="21"/>
      <c r="AD2525" s="17"/>
      <c r="AG2525" s="23"/>
    </row>
    <row r="2526" spans="2:33" ht="16">
      <c r="B2526" s="26" t="str">
        <f t="shared" si="10"/>
        <v/>
      </c>
      <c r="C2526" s="6"/>
      <c r="D2526" s="6"/>
      <c r="E2526" s="6"/>
      <c r="F2526" s="15"/>
      <c r="G2526" s="6"/>
      <c r="H2526" s="6"/>
      <c r="I2526" s="6"/>
      <c r="J2526" s="16"/>
      <c r="K2526" s="6"/>
      <c r="L2526" s="16"/>
      <c r="M2526" s="23"/>
      <c r="N2526" s="15"/>
      <c r="O2526" s="17"/>
      <c r="P2526" s="21"/>
      <c r="Q2526" s="6"/>
      <c r="R2526" s="6"/>
      <c r="S2526" s="20"/>
      <c r="T2526" s="6"/>
      <c r="U2526" s="21"/>
      <c r="W2526" s="20"/>
      <c r="X2526" s="21"/>
      <c r="AD2526" s="17"/>
      <c r="AG2526" s="23"/>
    </row>
    <row r="2527" spans="2:33" ht="16">
      <c r="B2527" s="26" t="str">
        <f t="shared" si="10"/>
        <v/>
      </c>
      <c r="C2527" s="6"/>
      <c r="D2527" s="6"/>
      <c r="E2527" s="6"/>
      <c r="F2527" s="15"/>
      <c r="G2527" s="6"/>
      <c r="H2527" s="6"/>
      <c r="I2527" s="6"/>
      <c r="J2527" s="16"/>
      <c r="K2527" s="6"/>
      <c r="L2527" s="16"/>
      <c r="M2527" s="17"/>
      <c r="N2527" s="15"/>
      <c r="O2527" s="17"/>
      <c r="P2527" s="21"/>
      <c r="Q2527" s="6"/>
      <c r="R2527" s="6"/>
      <c r="S2527" s="20"/>
      <c r="T2527" s="6"/>
      <c r="U2527" s="21"/>
      <c r="W2527" s="20"/>
      <c r="X2527" s="21"/>
      <c r="AD2527" s="23"/>
      <c r="AG2527" s="17"/>
    </row>
    <row r="2528" spans="2:33" ht="16">
      <c r="B2528" s="26" t="str">
        <f t="shared" si="10"/>
        <v/>
      </c>
      <c r="C2528" s="6"/>
      <c r="D2528" s="6"/>
      <c r="E2528" s="6"/>
      <c r="F2528" s="15"/>
      <c r="G2528" s="6"/>
      <c r="H2528" s="6"/>
      <c r="I2528" s="6"/>
      <c r="J2528" s="16"/>
      <c r="K2528" s="6"/>
      <c r="L2528" s="16"/>
      <c r="M2528" s="23"/>
      <c r="N2528" s="15"/>
      <c r="O2528" s="23"/>
      <c r="P2528" s="21"/>
      <c r="Q2528" s="6"/>
      <c r="R2528" s="6"/>
      <c r="S2528" s="20"/>
      <c r="T2528" s="6"/>
      <c r="U2528" s="21"/>
      <c r="W2528" s="20"/>
      <c r="X2528" s="21"/>
      <c r="AD2528" s="17"/>
      <c r="AG2528" s="17"/>
    </row>
    <row r="2529" spans="2:33" ht="16">
      <c r="B2529" s="26" t="str">
        <f t="shared" si="10"/>
        <v/>
      </c>
      <c r="C2529" s="6"/>
      <c r="D2529" s="6"/>
      <c r="E2529" s="6"/>
      <c r="F2529" s="15"/>
      <c r="G2529" s="6"/>
      <c r="H2529" s="6"/>
      <c r="I2529" s="6"/>
      <c r="J2529" s="16"/>
      <c r="K2529" s="6"/>
      <c r="L2529" s="16"/>
      <c r="M2529" s="23"/>
      <c r="N2529" s="15"/>
      <c r="O2529" s="17"/>
      <c r="P2529" s="21"/>
      <c r="Q2529" s="6"/>
      <c r="R2529" s="6"/>
      <c r="S2529" s="20"/>
      <c r="T2529" s="6"/>
      <c r="U2529" s="21"/>
      <c r="W2529" s="20"/>
      <c r="X2529" s="21"/>
      <c r="AD2529" s="17"/>
      <c r="AG2529" s="23"/>
    </row>
    <row r="2530" spans="2:33" ht="16">
      <c r="B2530" s="26" t="str">
        <f t="shared" si="10"/>
        <v/>
      </c>
      <c r="C2530" s="6"/>
      <c r="D2530" s="6"/>
      <c r="E2530" s="6"/>
      <c r="F2530" s="15"/>
      <c r="G2530" s="6"/>
      <c r="H2530" s="6"/>
      <c r="I2530" s="6"/>
      <c r="J2530" s="16"/>
      <c r="K2530" s="6"/>
      <c r="L2530" s="16"/>
      <c r="M2530" s="23"/>
      <c r="N2530" s="15"/>
      <c r="O2530" s="23"/>
      <c r="P2530" s="21"/>
      <c r="Q2530" s="6"/>
      <c r="R2530" s="6"/>
      <c r="S2530" s="20"/>
      <c r="T2530" s="6"/>
      <c r="U2530" s="21"/>
      <c r="W2530" s="20"/>
      <c r="X2530" s="21"/>
      <c r="AG2530" s="23"/>
    </row>
    <row r="2531" spans="2:33" ht="16">
      <c r="B2531" s="26" t="str">
        <f t="shared" si="10"/>
        <v/>
      </c>
      <c r="C2531" s="6"/>
      <c r="D2531" s="6"/>
      <c r="E2531" s="6"/>
      <c r="F2531" s="15"/>
      <c r="G2531" s="6"/>
      <c r="H2531" s="6"/>
      <c r="I2531" s="6"/>
      <c r="J2531" s="16"/>
      <c r="K2531" s="6"/>
      <c r="L2531" s="16"/>
      <c r="M2531" s="17"/>
      <c r="N2531" s="15"/>
      <c r="O2531" s="17"/>
      <c r="P2531" s="21"/>
      <c r="Q2531" s="6"/>
      <c r="R2531" s="6"/>
      <c r="S2531" s="20"/>
      <c r="T2531" s="6"/>
      <c r="U2531" s="21"/>
      <c r="W2531" s="20"/>
      <c r="X2531" s="21"/>
      <c r="AD2531" s="17"/>
      <c r="AG2531" s="23"/>
    </row>
    <row r="2532" spans="2:33" ht="16">
      <c r="B2532" s="26" t="str">
        <f t="shared" si="10"/>
        <v/>
      </c>
      <c r="C2532" s="6"/>
      <c r="D2532" s="6"/>
      <c r="E2532" s="6"/>
      <c r="F2532" s="15"/>
      <c r="G2532" s="6"/>
      <c r="H2532" s="6"/>
      <c r="I2532" s="6"/>
      <c r="J2532" s="16"/>
      <c r="K2532" s="6"/>
      <c r="L2532" s="16"/>
      <c r="M2532" s="23"/>
      <c r="N2532" s="15"/>
      <c r="O2532" s="23"/>
      <c r="P2532" s="21"/>
      <c r="Q2532" s="6"/>
      <c r="R2532" s="6"/>
      <c r="S2532" s="20"/>
      <c r="T2532" s="6"/>
      <c r="U2532" s="21"/>
      <c r="W2532" s="20"/>
      <c r="X2532" s="21"/>
      <c r="AD2532" s="17"/>
      <c r="AG2532" s="17"/>
    </row>
    <row r="2533" spans="2:33" ht="16">
      <c r="B2533" s="26" t="str">
        <f t="shared" si="10"/>
        <v/>
      </c>
      <c r="C2533" s="6"/>
      <c r="D2533" s="6"/>
      <c r="E2533" s="6"/>
      <c r="F2533" s="15"/>
      <c r="G2533" s="6"/>
      <c r="H2533" s="6"/>
      <c r="I2533" s="6"/>
      <c r="J2533" s="16"/>
      <c r="K2533" s="6"/>
      <c r="L2533" s="16"/>
      <c r="M2533" s="23"/>
      <c r="N2533" s="15"/>
      <c r="O2533" s="23"/>
      <c r="P2533" s="21"/>
      <c r="Q2533" s="6"/>
      <c r="R2533" s="6"/>
      <c r="S2533" s="20"/>
      <c r="T2533" s="6"/>
      <c r="U2533" s="21"/>
      <c r="W2533" s="20"/>
      <c r="X2533" s="21"/>
      <c r="AG2533" s="23"/>
    </row>
    <row r="2534" spans="2:33" ht="16">
      <c r="B2534" s="26" t="str">
        <f t="shared" si="10"/>
        <v/>
      </c>
      <c r="C2534" s="6"/>
      <c r="D2534" s="6"/>
      <c r="E2534" s="6"/>
      <c r="F2534" s="15"/>
      <c r="G2534" s="6"/>
      <c r="H2534" s="6"/>
      <c r="I2534" s="6"/>
      <c r="J2534" s="16"/>
      <c r="K2534" s="6"/>
      <c r="L2534" s="16"/>
      <c r="M2534" s="23"/>
      <c r="N2534" s="15"/>
      <c r="O2534" s="23"/>
      <c r="P2534" s="21"/>
      <c r="Q2534" s="6"/>
      <c r="R2534" s="6"/>
      <c r="S2534" s="20"/>
      <c r="T2534" s="6"/>
      <c r="U2534" s="21"/>
      <c r="W2534" s="20"/>
      <c r="X2534" s="21"/>
      <c r="AG2534" s="23"/>
    </row>
    <row r="2535" spans="2:33" ht="16">
      <c r="B2535" s="26" t="str">
        <f t="shared" si="10"/>
        <v/>
      </c>
      <c r="C2535" s="6"/>
      <c r="D2535" s="6"/>
      <c r="E2535" s="6"/>
      <c r="F2535" s="15"/>
      <c r="G2535" s="6"/>
      <c r="H2535" s="6"/>
      <c r="I2535" s="6"/>
      <c r="J2535" s="16"/>
      <c r="K2535" s="6"/>
      <c r="L2535" s="16"/>
      <c r="M2535" s="23"/>
      <c r="N2535" s="15"/>
      <c r="O2535" s="23"/>
      <c r="P2535" s="21"/>
      <c r="Q2535" s="6"/>
      <c r="R2535" s="6"/>
      <c r="S2535" s="20"/>
      <c r="T2535" s="6"/>
      <c r="U2535" s="21"/>
      <c r="W2535" s="20"/>
      <c r="X2535" s="21"/>
      <c r="AG2535" s="23"/>
    </row>
    <row r="2536" spans="2:33" ht="16">
      <c r="B2536" s="26" t="str">
        <f t="shared" si="10"/>
        <v/>
      </c>
      <c r="C2536" s="6"/>
      <c r="D2536" s="6"/>
      <c r="E2536" s="6"/>
      <c r="F2536" s="15"/>
      <c r="G2536" s="6"/>
      <c r="H2536" s="6"/>
      <c r="I2536" s="6"/>
      <c r="J2536" s="16"/>
      <c r="K2536" s="6"/>
      <c r="L2536" s="16"/>
      <c r="M2536" s="23"/>
      <c r="N2536" s="15"/>
      <c r="O2536" s="23"/>
      <c r="P2536" s="21"/>
      <c r="Q2536" s="6"/>
      <c r="R2536" s="6"/>
      <c r="S2536" s="20"/>
      <c r="T2536" s="6"/>
      <c r="U2536" s="21"/>
      <c r="W2536" s="20"/>
      <c r="X2536" s="21"/>
      <c r="AG2536" s="17"/>
    </row>
    <row r="2537" spans="2:33" ht="16">
      <c r="B2537" s="26" t="str">
        <f t="shared" si="10"/>
        <v/>
      </c>
      <c r="C2537" s="6"/>
      <c r="D2537" s="6"/>
      <c r="E2537" s="6"/>
      <c r="F2537" s="15"/>
      <c r="G2537" s="6"/>
      <c r="H2537" s="6"/>
      <c r="I2537" s="6"/>
      <c r="J2537" s="16"/>
      <c r="K2537" s="6"/>
      <c r="L2537" s="16"/>
      <c r="M2537" s="23"/>
      <c r="N2537" s="15"/>
      <c r="O2537" s="17"/>
      <c r="P2537" s="21"/>
      <c r="Q2537" s="6"/>
      <c r="R2537" s="6"/>
      <c r="S2537" s="20"/>
      <c r="T2537" s="6"/>
      <c r="U2537" s="21"/>
      <c r="W2537" s="20"/>
      <c r="X2537" s="21"/>
      <c r="AG2537" s="17"/>
    </row>
    <row r="2538" spans="2:33" ht="16">
      <c r="B2538" s="26" t="str">
        <f t="shared" si="10"/>
        <v/>
      </c>
      <c r="C2538" s="6"/>
      <c r="D2538" s="6"/>
      <c r="E2538" s="6"/>
      <c r="F2538" s="15"/>
      <c r="G2538" s="6"/>
      <c r="H2538" s="6"/>
      <c r="I2538" s="6"/>
      <c r="J2538" s="16"/>
      <c r="K2538" s="6"/>
      <c r="L2538" s="16"/>
      <c r="M2538" s="23"/>
      <c r="N2538" s="15"/>
      <c r="O2538" s="17"/>
      <c r="P2538" s="21"/>
      <c r="Q2538" s="6"/>
      <c r="R2538" s="6"/>
      <c r="S2538" s="20"/>
      <c r="T2538" s="6"/>
      <c r="U2538" s="21"/>
      <c r="W2538" s="20"/>
      <c r="X2538" s="21"/>
      <c r="AD2538" s="17"/>
      <c r="AG2538" s="23"/>
    </row>
    <row r="2539" spans="2:33" ht="16">
      <c r="B2539" s="26" t="str">
        <f t="shared" si="10"/>
        <v/>
      </c>
      <c r="C2539" s="6"/>
      <c r="D2539" s="6"/>
      <c r="E2539" s="6"/>
      <c r="F2539" s="15"/>
      <c r="G2539" s="6"/>
      <c r="H2539" s="6"/>
      <c r="I2539" s="6"/>
      <c r="J2539" s="16"/>
      <c r="K2539" s="6"/>
      <c r="L2539" s="16"/>
      <c r="M2539" s="23"/>
      <c r="N2539" s="15"/>
      <c r="O2539" s="23"/>
      <c r="P2539" s="21"/>
      <c r="Q2539" s="6"/>
      <c r="R2539" s="6"/>
      <c r="S2539" s="20"/>
      <c r="T2539" s="6"/>
      <c r="U2539" s="21"/>
      <c r="W2539" s="20"/>
      <c r="X2539" s="21"/>
      <c r="AD2539" s="23"/>
      <c r="AG2539" s="17"/>
    </row>
    <row r="2540" spans="2:33" ht="16">
      <c r="B2540" s="26" t="str">
        <f t="shared" si="10"/>
        <v/>
      </c>
      <c r="C2540" s="6"/>
      <c r="D2540" s="6"/>
      <c r="E2540" s="6"/>
      <c r="F2540" s="15"/>
      <c r="G2540" s="6"/>
      <c r="H2540" s="6"/>
      <c r="I2540" s="6"/>
      <c r="J2540" s="16"/>
      <c r="K2540" s="6"/>
      <c r="L2540" s="16"/>
      <c r="M2540" s="23"/>
      <c r="N2540" s="15"/>
      <c r="O2540" s="17"/>
      <c r="P2540" s="21"/>
      <c r="Q2540" s="6"/>
      <c r="R2540" s="6"/>
      <c r="S2540" s="20"/>
      <c r="T2540" s="6"/>
      <c r="U2540" s="21"/>
      <c r="W2540" s="20"/>
      <c r="X2540" s="21"/>
      <c r="AG2540" s="17"/>
    </row>
    <row r="2541" spans="2:33" ht="16">
      <c r="B2541" s="26" t="str">
        <f t="shared" si="10"/>
        <v/>
      </c>
      <c r="C2541" s="6"/>
      <c r="D2541" s="6"/>
      <c r="E2541" s="6"/>
      <c r="F2541" s="15"/>
      <c r="G2541" s="6"/>
      <c r="H2541" s="6"/>
      <c r="I2541" s="6"/>
      <c r="J2541" s="16"/>
      <c r="K2541" s="6"/>
      <c r="L2541" s="16"/>
      <c r="M2541" s="23"/>
      <c r="N2541" s="15"/>
      <c r="O2541" s="23"/>
      <c r="P2541" s="21"/>
      <c r="Q2541" s="6"/>
      <c r="R2541" s="6"/>
      <c r="S2541" s="20"/>
      <c r="T2541" s="6"/>
      <c r="U2541" s="21"/>
      <c r="W2541" s="20"/>
      <c r="X2541" s="21"/>
      <c r="AD2541" s="23"/>
      <c r="AG2541" s="17"/>
    </row>
    <row r="2542" spans="2:33" ht="16">
      <c r="B2542" s="26" t="str">
        <f t="shared" si="10"/>
        <v/>
      </c>
      <c r="C2542" s="6"/>
      <c r="D2542" s="6"/>
      <c r="E2542" s="6"/>
      <c r="F2542" s="15"/>
      <c r="G2542" s="6"/>
      <c r="H2542" s="6"/>
      <c r="I2542" s="6"/>
      <c r="J2542" s="16"/>
      <c r="K2542" s="6"/>
      <c r="L2542" s="16"/>
      <c r="M2542" s="23"/>
      <c r="N2542" s="15"/>
      <c r="O2542" s="23"/>
      <c r="P2542" s="21"/>
      <c r="Q2542" s="6"/>
      <c r="R2542" s="6"/>
      <c r="S2542" s="20"/>
      <c r="T2542" s="6"/>
      <c r="U2542" s="21"/>
      <c r="W2542" s="20"/>
      <c r="X2542" s="21"/>
      <c r="AD2542" s="23"/>
      <c r="AG2542" s="17"/>
    </row>
    <row r="2543" spans="2:33" ht="16">
      <c r="B2543" s="26" t="str">
        <f t="shared" si="10"/>
        <v/>
      </c>
      <c r="C2543" s="6"/>
      <c r="D2543" s="6"/>
      <c r="E2543" s="6"/>
      <c r="F2543" s="15"/>
      <c r="G2543" s="6"/>
      <c r="H2543" s="6"/>
      <c r="I2543" s="6"/>
      <c r="J2543" s="16"/>
      <c r="K2543" s="6"/>
      <c r="L2543" s="16"/>
      <c r="M2543" s="23"/>
      <c r="N2543" s="15"/>
      <c r="O2543" s="23"/>
      <c r="P2543" s="21"/>
      <c r="Q2543" s="6"/>
      <c r="R2543" s="6"/>
      <c r="S2543" s="20"/>
      <c r="T2543" s="6"/>
      <c r="U2543" s="21"/>
      <c r="W2543" s="20"/>
      <c r="X2543" s="21"/>
      <c r="AG2543" s="23"/>
    </row>
    <row r="2544" spans="2:33" ht="16">
      <c r="B2544" s="26" t="str">
        <f t="shared" si="10"/>
        <v/>
      </c>
      <c r="C2544" s="6"/>
      <c r="D2544" s="6"/>
      <c r="E2544" s="6"/>
      <c r="F2544" s="15"/>
      <c r="G2544" s="6"/>
      <c r="H2544" s="6"/>
      <c r="I2544" s="6"/>
      <c r="J2544" s="16"/>
      <c r="K2544" s="6"/>
      <c r="L2544" s="16"/>
      <c r="M2544" s="23"/>
      <c r="N2544" s="15"/>
      <c r="O2544" s="17"/>
      <c r="P2544" s="21"/>
      <c r="Q2544" s="6"/>
      <c r="R2544" s="6"/>
      <c r="S2544" s="20"/>
      <c r="T2544" s="6"/>
      <c r="U2544" s="21"/>
      <c r="W2544" s="20"/>
      <c r="X2544" s="21"/>
      <c r="AD2544" s="17"/>
      <c r="AG2544" s="17"/>
    </row>
    <row r="2545" spans="2:33" ht="16">
      <c r="B2545" s="26" t="str">
        <f t="shared" si="10"/>
        <v/>
      </c>
      <c r="C2545" s="6"/>
      <c r="D2545" s="6"/>
      <c r="E2545" s="6"/>
      <c r="F2545" s="15"/>
      <c r="G2545" s="6"/>
      <c r="H2545" s="6"/>
      <c r="I2545" s="6"/>
      <c r="J2545" s="16"/>
      <c r="K2545" s="6"/>
      <c r="L2545" s="16"/>
      <c r="M2545" s="23"/>
      <c r="N2545" s="15"/>
      <c r="O2545" s="23"/>
      <c r="P2545" s="21"/>
      <c r="Q2545" s="6"/>
      <c r="R2545" s="6"/>
      <c r="S2545" s="20"/>
      <c r="T2545" s="6"/>
      <c r="U2545" s="21"/>
      <c r="W2545" s="20"/>
      <c r="X2545" s="21"/>
      <c r="AD2545" s="17"/>
      <c r="AG2545" s="23"/>
    </row>
    <row r="2546" spans="2:33" ht="16">
      <c r="B2546" s="26" t="str">
        <f t="shared" si="10"/>
        <v/>
      </c>
      <c r="C2546" s="6"/>
      <c r="D2546" s="6"/>
      <c r="E2546" s="6"/>
      <c r="F2546" s="15"/>
      <c r="G2546" s="6"/>
      <c r="H2546" s="6"/>
      <c r="I2546" s="6"/>
      <c r="J2546" s="16"/>
      <c r="K2546" s="6"/>
      <c r="L2546" s="16"/>
      <c r="M2546" s="23"/>
      <c r="N2546" s="15"/>
      <c r="O2546" s="23"/>
      <c r="P2546" s="21"/>
      <c r="Q2546" s="6"/>
      <c r="R2546" s="6"/>
      <c r="S2546" s="20"/>
      <c r="T2546" s="6"/>
      <c r="U2546" s="21"/>
      <c r="W2546" s="20"/>
      <c r="X2546" s="21"/>
      <c r="AD2546" s="17"/>
      <c r="AG2546" s="17"/>
    </row>
    <row r="2547" spans="2:33" ht="16">
      <c r="B2547" s="26" t="str">
        <f t="shared" si="10"/>
        <v/>
      </c>
      <c r="C2547" s="6"/>
      <c r="D2547" s="6"/>
      <c r="E2547" s="6"/>
      <c r="F2547" s="15"/>
      <c r="G2547" s="6"/>
      <c r="H2547" s="6"/>
      <c r="I2547" s="6"/>
      <c r="J2547" s="16"/>
      <c r="K2547" s="6"/>
      <c r="L2547" s="16"/>
      <c r="M2547" s="23"/>
      <c r="N2547" s="15"/>
      <c r="O2547" s="17"/>
      <c r="P2547" s="21"/>
      <c r="Q2547" s="6"/>
      <c r="R2547" s="6"/>
      <c r="S2547" s="20"/>
      <c r="T2547" s="6"/>
      <c r="U2547" s="21"/>
      <c r="W2547" s="20"/>
      <c r="X2547" s="21"/>
      <c r="AD2547" s="23"/>
      <c r="AG2547" s="17"/>
    </row>
    <row r="2548" spans="2:33" ht="16">
      <c r="B2548" s="26" t="str">
        <f t="shared" si="10"/>
        <v/>
      </c>
      <c r="C2548" s="6"/>
      <c r="D2548" s="6"/>
      <c r="E2548" s="6"/>
      <c r="F2548" s="15"/>
      <c r="G2548" s="6"/>
      <c r="H2548" s="6"/>
      <c r="I2548" s="6"/>
      <c r="J2548" s="16"/>
      <c r="K2548" s="6"/>
      <c r="L2548" s="16"/>
      <c r="M2548" s="23"/>
      <c r="N2548" s="15"/>
      <c r="O2548" s="23"/>
      <c r="P2548" s="21"/>
      <c r="Q2548" s="6"/>
      <c r="R2548" s="6"/>
      <c r="S2548" s="20"/>
      <c r="T2548" s="6"/>
      <c r="U2548" s="21"/>
      <c r="W2548" s="20"/>
      <c r="X2548" s="21"/>
      <c r="AG2548" s="23"/>
    </row>
    <row r="2549" spans="2:33" ht="16">
      <c r="B2549" s="26" t="str">
        <f t="shared" si="10"/>
        <v/>
      </c>
      <c r="C2549" s="6"/>
      <c r="D2549" s="6"/>
      <c r="E2549" s="6"/>
      <c r="F2549" s="15"/>
      <c r="G2549" s="6"/>
      <c r="H2549" s="6"/>
      <c r="I2549" s="6"/>
      <c r="J2549" s="16"/>
      <c r="K2549" s="6"/>
      <c r="L2549" s="16"/>
      <c r="M2549" s="23"/>
      <c r="N2549" s="15"/>
      <c r="O2549" s="23"/>
      <c r="P2549" s="21"/>
      <c r="Q2549" s="6"/>
      <c r="R2549" s="6"/>
      <c r="S2549" s="20"/>
      <c r="T2549" s="6"/>
      <c r="U2549" s="21"/>
      <c r="W2549" s="20"/>
      <c r="X2549" s="21"/>
      <c r="AG2549" s="23"/>
    </row>
    <row r="2550" spans="2:33" ht="16">
      <c r="B2550" s="26" t="str">
        <f t="shared" si="10"/>
        <v/>
      </c>
      <c r="C2550" s="6"/>
      <c r="D2550" s="6"/>
      <c r="E2550" s="6"/>
      <c r="F2550" s="15"/>
      <c r="G2550" s="6"/>
      <c r="H2550" s="6"/>
      <c r="I2550" s="6"/>
      <c r="J2550" s="16"/>
      <c r="K2550" s="6"/>
      <c r="L2550" s="16"/>
      <c r="M2550" s="23"/>
      <c r="N2550" s="15"/>
      <c r="O2550" s="23"/>
      <c r="P2550" s="21"/>
      <c r="Q2550" s="6"/>
      <c r="R2550" s="6"/>
      <c r="S2550" s="20"/>
      <c r="T2550" s="6"/>
      <c r="U2550" s="21"/>
      <c r="W2550" s="20"/>
      <c r="X2550" s="21"/>
      <c r="AG2550" s="23"/>
    </row>
    <row r="2551" spans="2:33" ht="16">
      <c r="B2551" s="26" t="str">
        <f t="shared" si="10"/>
        <v/>
      </c>
      <c r="C2551" s="6"/>
      <c r="D2551" s="6"/>
      <c r="E2551" s="6"/>
      <c r="F2551" s="15"/>
      <c r="G2551" s="6"/>
      <c r="H2551" s="6"/>
      <c r="I2551" s="6"/>
      <c r="J2551" s="16"/>
      <c r="K2551" s="6"/>
      <c r="L2551" s="16"/>
      <c r="M2551" s="23"/>
      <c r="N2551" s="15"/>
      <c r="O2551" s="17"/>
      <c r="P2551" s="21"/>
      <c r="Q2551" s="6"/>
      <c r="R2551" s="6"/>
      <c r="S2551" s="20"/>
      <c r="T2551" s="6"/>
      <c r="U2551" s="21"/>
      <c r="W2551" s="20"/>
      <c r="X2551" s="21"/>
      <c r="AD2551" s="17"/>
      <c r="AG2551" s="17"/>
    </row>
    <row r="2552" spans="2:33" ht="16">
      <c r="B2552" s="26" t="str">
        <f t="shared" si="10"/>
        <v/>
      </c>
      <c r="C2552" s="6"/>
      <c r="D2552" s="6"/>
      <c r="E2552" s="6"/>
      <c r="F2552" s="15"/>
      <c r="G2552" s="6"/>
      <c r="H2552" s="6"/>
      <c r="I2552" s="6"/>
      <c r="J2552" s="16"/>
      <c r="K2552" s="6"/>
      <c r="L2552" s="16"/>
      <c r="M2552" s="23"/>
      <c r="N2552" s="15"/>
      <c r="O2552" s="23"/>
      <c r="P2552" s="21"/>
      <c r="Q2552" s="6"/>
      <c r="R2552" s="6"/>
      <c r="S2552" s="20"/>
      <c r="T2552" s="6"/>
      <c r="U2552" s="21"/>
      <c r="W2552" s="20"/>
      <c r="X2552" s="21"/>
      <c r="AG2552" s="17"/>
    </row>
    <row r="2553" spans="2:33" ht="16">
      <c r="B2553" s="26" t="str">
        <f t="shared" si="10"/>
        <v/>
      </c>
      <c r="C2553" s="6"/>
      <c r="D2553" s="6"/>
      <c r="E2553" s="6"/>
      <c r="F2553" s="15"/>
      <c r="G2553" s="6"/>
      <c r="H2553" s="6"/>
      <c r="I2553" s="6"/>
      <c r="J2553" s="16"/>
      <c r="K2553" s="6"/>
      <c r="L2553" s="16"/>
      <c r="M2553" s="23"/>
      <c r="N2553" s="15"/>
      <c r="O2553" s="17"/>
      <c r="P2553" s="21"/>
      <c r="Q2553" s="6"/>
      <c r="R2553" s="6"/>
      <c r="S2553" s="20"/>
      <c r="T2553" s="6"/>
      <c r="U2553" s="21"/>
      <c r="W2553" s="20"/>
      <c r="X2553" s="21"/>
      <c r="AD2553" s="17"/>
      <c r="AG2553" s="17"/>
    </row>
    <row r="2554" spans="2:33" ht="16">
      <c r="B2554" s="26" t="str">
        <f t="shared" si="10"/>
        <v/>
      </c>
      <c r="C2554" s="6"/>
      <c r="D2554" s="6"/>
      <c r="E2554" s="6"/>
      <c r="F2554" s="15"/>
      <c r="G2554" s="6"/>
      <c r="H2554" s="6"/>
      <c r="I2554" s="6"/>
      <c r="J2554" s="16"/>
      <c r="K2554" s="6"/>
      <c r="L2554" s="16"/>
      <c r="M2554" s="23"/>
      <c r="N2554" s="15"/>
      <c r="O2554" s="17"/>
      <c r="P2554" s="21"/>
      <c r="Q2554" s="6"/>
      <c r="R2554" s="6"/>
      <c r="S2554" s="20"/>
      <c r="T2554" s="6"/>
      <c r="U2554" s="21"/>
      <c r="W2554" s="20"/>
      <c r="X2554" s="21"/>
      <c r="AD2554" s="23"/>
      <c r="AG2554" s="23"/>
    </row>
    <row r="2555" spans="2:33" ht="16">
      <c r="B2555" s="26" t="str">
        <f t="shared" si="10"/>
        <v/>
      </c>
      <c r="C2555" s="6"/>
      <c r="D2555" s="6"/>
      <c r="E2555" s="6"/>
      <c r="F2555" s="15"/>
      <c r="G2555" s="6"/>
      <c r="H2555" s="6"/>
      <c r="I2555" s="6"/>
      <c r="J2555" s="16"/>
      <c r="K2555" s="6"/>
      <c r="L2555" s="16"/>
      <c r="M2555" s="23"/>
      <c r="N2555" s="15"/>
      <c r="O2555" s="23"/>
      <c r="P2555" s="21"/>
      <c r="Q2555" s="6"/>
      <c r="R2555" s="6"/>
      <c r="S2555" s="20"/>
      <c r="T2555" s="6"/>
      <c r="U2555" s="21"/>
      <c r="W2555" s="20"/>
      <c r="X2555" s="21"/>
      <c r="AG2555" s="23"/>
    </row>
    <row r="2556" spans="2:33" ht="16">
      <c r="B2556" s="26" t="str">
        <f t="shared" si="10"/>
        <v/>
      </c>
      <c r="C2556" s="6"/>
      <c r="D2556" s="6"/>
      <c r="E2556" s="6"/>
      <c r="F2556" s="15"/>
      <c r="G2556" s="6"/>
      <c r="H2556" s="6"/>
      <c r="I2556" s="6"/>
      <c r="J2556" s="16"/>
      <c r="K2556" s="6"/>
      <c r="L2556" s="16"/>
      <c r="M2556" s="23"/>
      <c r="N2556" s="15"/>
      <c r="O2556" s="23"/>
      <c r="P2556" s="21"/>
      <c r="Q2556" s="6"/>
      <c r="R2556" s="6"/>
      <c r="S2556" s="20"/>
      <c r="T2556" s="6"/>
      <c r="U2556" s="21"/>
      <c r="W2556" s="20"/>
      <c r="X2556" s="21"/>
      <c r="AD2556" s="23"/>
      <c r="AG2556" s="17"/>
    </row>
    <row r="2557" spans="2:33" ht="16">
      <c r="B2557" s="26" t="str">
        <f t="shared" si="10"/>
        <v/>
      </c>
      <c r="C2557" s="6"/>
      <c r="D2557" s="6"/>
      <c r="E2557" s="6"/>
      <c r="F2557" s="15"/>
      <c r="G2557" s="6"/>
      <c r="H2557" s="6"/>
      <c r="I2557" s="6"/>
      <c r="J2557" s="16"/>
      <c r="K2557" s="6"/>
      <c r="L2557" s="16"/>
      <c r="M2557" s="23"/>
      <c r="N2557" s="15"/>
      <c r="O2557" s="23"/>
      <c r="P2557" s="21"/>
      <c r="Q2557" s="6"/>
      <c r="R2557" s="6"/>
      <c r="S2557" s="20"/>
      <c r="T2557" s="6"/>
      <c r="U2557" s="21"/>
      <c r="W2557" s="20"/>
      <c r="X2557" s="21"/>
      <c r="AD2557" s="23"/>
      <c r="AG2557" s="23"/>
    </row>
    <row r="2558" spans="2:33" ht="16">
      <c r="B2558" s="26" t="str">
        <f t="shared" si="10"/>
        <v/>
      </c>
      <c r="C2558" s="6"/>
      <c r="D2558" s="6"/>
      <c r="E2558" s="6"/>
      <c r="F2558" s="15"/>
      <c r="G2558" s="6"/>
      <c r="H2558" s="6"/>
      <c r="I2558" s="6"/>
      <c r="J2558" s="16"/>
      <c r="K2558" s="6"/>
      <c r="L2558" s="16"/>
      <c r="M2558" s="23"/>
      <c r="N2558" s="15"/>
      <c r="O2558" s="23"/>
      <c r="P2558" s="21"/>
      <c r="Q2558" s="6"/>
      <c r="R2558" s="6"/>
      <c r="S2558" s="20"/>
      <c r="T2558" s="6"/>
      <c r="U2558" s="21"/>
      <c r="W2558" s="20"/>
      <c r="AD2558" s="17"/>
      <c r="AG2558" s="23"/>
    </row>
    <row r="2559" spans="2:33" ht="16">
      <c r="B2559" s="26" t="str">
        <f t="shared" si="10"/>
        <v/>
      </c>
      <c r="C2559" s="6"/>
      <c r="D2559" s="6"/>
      <c r="E2559" s="6"/>
      <c r="F2559" s="15"/>
      <c r="G2559" s="6"/>
      <c r="H2559" s="6"/>
      <c r="I2559" s="6"/>
      <c r="J2559" s="16"/>
      <c r="K2559" s="6"/>
      <c r="L2559" s="16"/>
      <c r="M2559" s="23"/>
      <c r="N2559" s="15"/>
      <c r="O2559" s="23"/>
      <c r="P2559" s="21"/>
      <c r="Q2559" s="6"/>
      <c r="R2559" s="6"/>
      <c r="S2559" s="20"/>
      <c r="T2559" s="6"/>
      <c r="U2559" s="21"/>
      <c r="W2559" s="20"/>
      <c r="X2559" s="21"/>
      <c r="AG2559" s="17"/>
    </row>
    <row r="2560" spans="2:33" ht="16">
      <c r="B2560" s="26" t="str">
        <f t="shared" si="10"/>
        <v/>
      </c>
      <c r="C2560" s="6"/>
      <c r="D2560" s="6"/>
      <c r="E2560" s="6"/>
      <c r="F2560" s="15"/>
      <c r="G2560" s="6"/>
      <c r="H2560" s="6"/>
      <c r="I2560" s="6"/>
      <c r="J2560" s="16"/>
      <c r="K2560" s="6"/>
      <c r="L2560" s="16"/>
      <c r="M2560" s="23"/>
      <c r="N2560" s="15"/>
      <c r="O2560" s="23"/>
      <c r="P2560" s="21"/>
      <c r="Q2560" s="6"/>
      <c r="R2560" s="6"/>
      <c r="S2560" s="20"/>
      <c r="T2560" s="6"/>
      <c r="U2560" s="21"/>
      <c r="W2560" s="20"/>
      <c r="AD2560" s="17"/>
      <c r="AG2560" s="17"/>
    </row>
    <row r="2561" spans="2:33" ht="16">
      <c r="B2561" s="26" t="str">
        <f t="shared" si="10"/>
        <v/>
      </c>
      <c r="C2561" s="6"/>
      <c r="D2561" s="6"/>
      <c r="E2561" s="6"/>
      <c r="F2561" s="15"/>
      <c r="G2561" s="6"/>
      <c r="H2561" s="6"/>
      <c r="I2561" s="6"/>
      <c r="J2561" s="16"/>
      <c r="K2561" s="6"/>
      <c r="L2561" s="16"/>
      <c r="M2561" s="23"/>
      <c r="N2561" s="15"/>
      <c r="O2561" s="17"/>
      <c r="P2561" s="21"/>
      <c r="Q2561" s="6"/>
      <c r="R2561" s="6"/>
      <c r="S2561" s="20"/>
      <c r="T2561" s="6"/>
      <c r="U2561" s="21"/>
      <c r="W2561" s="20"/>
      <c r="AD2561" s="17"/>
      <c r="AG2561" s="17"/>
    </row>
    <row r="2562" spans="2:33" ht="16">
      <c r="B2562" s="26" t="str">
        <f t="shared" si="10"/>
        <v/>
      </c>
      <c r="C2562" s="6"/>
      <c r="D2562" s="6"/>
      <c r="E2562" s="6"/>
      <c r="F2562" s="15"/>
      <c r="G2562" s="6"/>
      <c r="H2562" s="6"/>
      <c r="I2562" s="6"/>
      <c r="J2562" s="16"/>
      <c r="K2562" s="6"/>
      <c r="L2562" s="16"/>
      <c r="M2562" s="17"/>
      <c r="N2562" s="15"/>
      <c r="O2562" s="23"/>
      <c r="P2562" s="21"/>
      <c r="Q2562" s="6"/>
      <c r="R2562" s="6"/>
      <c r="S2562" s="20"/>
      <c r="T2562" s="6"/>
      <c r="U2562" s="21"/>
      <c r="W2562" s="20"/>
      <c r="X2562" s="21"/>
      <c r="AD2562" s="23"/>
      <c r="AG2562" s="23"/>
    </row>
    <row r="2563" spans="2:33" ht="16">
      <c r="B2563" s="26" t="str">
        <f t="shared" si="10"/>
        <v/>
      </c>
      <c r="C2563" s="6"/>
      <c r="D2563" s="6"/>
      <c r="E2563" s="6"/>
      <c r="F2563" s="15"/>
      <c r="G2563" s="6"/>
      <c r="H2563" s="6"/>
      <c r="I2563" s="6"/>
      <c r="J2563" s="16"/>
      <c r="K2563" s="6"/>
      <c r="L2563" s="16"/>
      <c r="M2563" s="17"/>
      <c r="N2563" s="15"/>
      <c r="O2563" s="23"/>
      <c r="P2563" s="21"/>
      <c r="Q2563" s="6"/>
      <c r="R2563" s="6"/>
      <c r="S2563" s="20"/>
      <c r="T2563" s="6"/>
      <c r="U2563" s="21"/>
      <c r="W2563" s="20"/>
      <c r="X2563" s="21"/>
      <c r="AG2563" s="17"/>
    </row>
    <row r="2564" spans="2:33" ht="16">
      <c r="B2564" s="26" t="str">
        <f t="shared" si="10"/>
        <v/>
      </c>
      <c r="C2564" s="6"/>
      <c r="D2564" s="6"/>
      <c r="E2564" s="6"/>
      <c r="F2564" s="15"/>
      <c r="G2564" s="6"/>
      <c r="H2564" s="6"/>
      <c r="I2564" s="6"/>
      <c r="J2564" s="16"/>
      <c r="K2564" s="6"/>
      <c r="L2564" s="16"/>
      <c r="M2564" s="17"/>
      <c r="N2564" s="15"/>
      <c r="O2564" s="23"/>
      <c r="P2564" s="21"/>
      <c r="Q2564" s="6"/>
      <c r="R2564" s="6"/>
      <c r="S2564" s="20"/>
      <c r="T2564" s="6"/>
      <c r="U2564" s="21"/>
      <c r="W2564" s="20"/>
      <c r="AD2564" s="17"/>
      <c r="AG2564" s="17"/>
    </row>
    <row r="2565" spans="2:33" ht="16">
      <c r="B2565" s="26" t="str">
        <f t="shared" si="10"/>
        <v/>
      </c>
      <c r="C2565" s="6"/>
      <c r="D2565" s="6"/>
      <c r="E2565" s="6"/>
      <c r="F2565" s="15"/>
      <c r="G2565" s="6"/>
      <c r="H2565" s="6"/>
      <c r="I2565" s="6"/>
      <c r="J2565" s="16"/>
      <c r="K2565" s="6"/>
      <c r="L2565" s="16"/>
      <c r="M2565" s="17"/>
      <c r="N2565" s="15"/>
      <c r="O2565" s="23"/>
      <c r="P2565" s="21"/>
      <c r="Q2565" s="6"/>
      <c r="R2565" s="6"/>
      <c r="S2565" s="20"/>
      <c r="T2565" s="6"/>
      <c r="U2565" s="21"/>
      <c r="W2565" s="20"/>
      <c r="X2565" s="21"/>
      <c r="AG2565" s="17"/>
    </row>
    <row r="2566" spans="2:33" ht="16">
      <c r="B2566" s="26" t="str">
        <f t="shared" si="10"/>
        <v/>
      </c>
      <c r="C2566" s="6"/>
      <c r="D2566" s="6"/>
      <c r="E2566" s="6"/>
      <c r="F2566" s="15"/>
      <c r="G2566" s="6"/>
      <c r="H2566" s="6"/>
      <c r="I2566" s="6"/>
      <c r="J2566" s="16"/>
      <c r="K2566" s="6"/>
      <c r="L2566" s="16"/>
      <c r="M2566" s="17"/>
      <c r="N2566" s="15"/>
      <c r="O2566" s="23"/>
      <c r="P2566" s="21"/>
      <c r="Q2566" s="6"/>
      <c r="R2566" s="6"/>
      <c r="S2566" s="20"/>
      <c r="T2566" s="6"/>
      <c r="U2566" s="21"/>
      <c r="W2566" s="20"/>
      <c r="X2566" s="21"/>
      <c r="AG2566" s="23"/>
    </row>
    <row r="2567" spans="2:33" ht="16">
      <c r="B2567" s="26" t="str">
        <f t="shared" si="10"/>
        <v/>
      </c>
      <c r="C2567" s="6"/>
      <c r="D2567" s="6"/>
      <c r="E2567" s="6"/>
      <c r="F2567" s="15"/>
      <c r="G2567" s="6"/>
      <c r="H2567" s="6"/>
      <c r="I2567" s="6"/>
      <c r="J2567" s="16"/>
      <c r="K2567" s="6"/>
      <c r="L2567" s="16"/>
      <c r="M2567" s="17"/>
      <c r="N2567" s="15"/>
      <c r="O2567" s="23"/>
      <c r="P2567" s="21"/>
      <c r="Q2567" s="6"/>
      <c r="R2567" s="6"/>
      <c r="S2567" s="20"/>
      <c r="T2567" s="6"/>
      <c r="U2567" s="21"/>
      <c r="W2567" s="20"/>
      <c r="X2567" s="21"/>
      <c r="AG2567" s="23"/>
    </row>
    <row r="2568" spans="2:33" ht="16">
      <c r="B2568" s="26" t="str">
        <f t="shared" si="10"/>
        <v/>
      </c>
      <c r="C2568" s="6"/>
      <c r="D2568" s="6"/>
      <c r="E2568" s="6"/>
      <c r="F2568" s="15"/>
      <c r="G2568" s="6"/>
      <c r="H2568" s="6"/>
      <c r="I2568" s="6"/>
      <c r="J2568" s="16"/>
      <c r="K2568" s="6"/>
      <c r="L2568" s="16"/>
      <c r="M2568" s="17"/>
      <c r="N2568" s="15"/>
      <c r="O2568" s="23"/>
      <c r="P2568" s="21"/>
      <c r="Q2568" s="6"/>
      <c r="R2568" s="6"/>
      <c r="S2568" s="20"/>
      <c r="T2568" s="6"/>
      <c r="U2568" s="21"/>
      <c r="W2568" s="20"/>
      <c r="AD2568" s="23"/>
      <c r="AG2568" s="17"/>
    </row>
    <row r="2569" spans="2:33" ht="16">
      <c r="B2569" s="26" t="str">
        <f t="shared" si="10"/>
        <v/>
      </c>
      <c r="C2569" s="6"/>
      <c r="D2569" s="6"/>
      <c r="E2569" s="6"/>
      <c r="F2569" s="15"/>
      <c r="G2569" s="6"/>
      <c r="H2569" s="6"/>
      <c r="I2569" s="6"/>
      <c r="J2569" s="16"/>
      <c r="K2569" s="6"/>
      <c r="L2569" s="16"/>
      <c r="M2569" s="17"/>
      <c r="N2569" s="15"/>
      <c r="O2569" s="23"/>
      <c r="P2569" s="21"/>
      <c r="Q2569" s="6"/>
      <c r="R2569" s="6"/>
      <c r="S2569" s="20"/>
      <c r="T2569" s="6"/>
      <c r="U2569" s="21"/>
      <c r="W2569" s="20"/>
      <c r="AD2569" s="23"/>
      <c r="AG2569" s="23"/>
    </row>
    <row r="2570" spans="2:33" ht="16">
      <c r="B2570" s="26" t="str">
        <f t="shared" si="10"/>
        <v/>
      </c>
      <c r="C2570" s="6"/>
      <c r="D2570" s="6"/>
      <c r="E2570" s="6"/>
      <c r="F2570" s="15"/>
      <c r="G2570" s="6"/>
      <c r="H2570" s="6"/>
      <c r="I2570" s="6"/>
      <c r="J2570" s="16"/>
      <c r="K2570" s="6"/>
      <c r="L2570" s="16"/>
      <c r="M2570" s="17"/>
      <c r="N2570" s="15"/>
      <c r="O2570" s="17"/>
      <c r="P2570" s="21"/>
      <c r="Q2570" s="6"/>
      <c r="R2570" s="6"/>
      <c r="S2570" s="20"/>
      <c r="T2570" s="6"/>
      <c r="U2570" s="21"/>
      <c r="W2570" s="20"/>
      <c r="AD2570" s="23"/>
      <c r="AG2570" s="17"/>
    </row>
    <row r="2571" spans="2:33" ht="16">
      <c r="B2571" s="26" t="str">
        <f t="shared" si="10"/>
        <v/>
      </c>
      <c r="C2571" s="6"/>
      <c r="D2571" s="6"/>
      <c r="E2571" s="6"/>
      <c r="F2571" s="15"/>
      <c r="G2571" s="6"/>
      <c r="H2571" s="6"/>
      <c r="I2571" s="6"/>
      <c r="J2571" s="16"/>
      <c r="K2571" s="6"/>
      <c r="L2571" s="16"/>
      <c r="M2571" s="17"/>
      <c r="N2571" s="15"/>
      <c r="O2571" s="23"/>
      <c r="P2571" s="21"/>
      <c r="Q2571" s="6"/>
      <c r="R2571" s="6"/>
      <c r="S2571" s="20"/>
      <c r="T2571" s="6"/>
      <c r="U2571" s="21"/>
      <c r="W2571" s="20"/>
      <c r="AD2571" s="17"/>
      <c r="AG2571" s="23"/>
    </row>
    <row r="2572" spans="2:33" ht="16">
      <c r="B2572" s="26" t="str">
        <f t="shared" si="10"/>
        <v/>
      </c>
      <c r="C2572" s="6"/>
      <c r="D2572" s="6"/>
      <c r="E2572" s="6"/>
      <c r="F2572" s="15"/>
      <c r="G2572" s="6"/>
      <c r="H2572" s="6"/>
      <c r="I2572" s="6"/>
      <c r="J2572" s="16"/>
      <c r="K2572" s="6"/>
      <c r="L2572" s="16"/>
      <c r="M2572" s="17"/>
      <c r="N2572" s="15"/>
      <c r="O2572" s="23"/>
      <c r="P2572" s="21"/>
      <c r="Q2572" s="6"/>
      <c r="R2572" s="6"/>
      <c r="S2572" s="20"/>
      <c r="T2572" s="6"/>
      <c r="U2572" s="21"/>
      <c r="W2572" s="20"/>
      <c r="X2572" s="21"/>
      <c r="AG2572" s="17"/>
    </row>
    <row r="2573" spans="2:33" ht="16">
      <c r="B2573" s="26" t="str">
        <f t="shared" si="10"/>
        <v/>
      </c>
      <c r="C2573" s="6"/>
      <c r="D2573" s="6"/>
      <c r="E2573" s="6"/>
      <c r="F2573" s="15"/>
      <c r="G2573" s="6"/>
      <c r="H2573" s="6"/>
      <c r="I2573" s="6"/>
      <c r="J2573" s="16"/>
      <c r="K2573" s="6"/>
      <c r="L2573" s="16"/>
      <c r="M2573" s="17"/>
      <c r="N2573" s="15"/>
      <c r="O2573" s="17"/>
      <c r="P2573" s="21"/>
      <c r="Q2573" s="6"/>
      <c r="R2573" s="6"/>
      <c r="S2573" s="20"/>
      <c r="T2573" s="6"/>
      <c r="U2573" s="21"/>
      <c r="W2573" s="20"/>
      <c r="AD2573" s="17"/>
      <c r="AG2573" s="17"/>
    </row>
    <row r="2574" spans="2:33" ht="16">
      <c r="B2574" s="26" t="str">
        <f t="shared" si="10"/>
        <v/>
      </c>
      <c r="C2574" s="6"/>
      <c r="D2574" s="6"/>
      <c r="E2574" s="6"/>
      <c r="F2574" s="15"/>
      <c r="G2574" s="6"/>
      <c r="H2574" s="6"/>
      <c r="I2574" s="6"/>
      <c r="J2574" s="16"/>
      <c r="K2574" s="6"/>
      <c r="L2574" s="16"/>
      <c r="M2574" s="17"/>
      <c r="N2574" s="15"/>
      <c r="O2574" s="23"/>
      <c r="P2574" s="21"/>
      <c r="Q2574" s="6"/>
      <c r="R2574" s="6"/>
      <c r="S2574" s="20"/>
      <c r="T2574" s="6"/>
      <c r="U2574" s="21"/>
      <c r="W2574" s="20"/>
      <c r="X2574" s="21"/>
      <c r="AG2574" s="17"/>
    </row>
    <row r="2575" spans="2:33" ht="16">
      <c r="B2575" s="26" t="str">
        <f t="shared" si="10"/>
        <v/>
      </c>
      <c r="C2575" s="6"/>
      <c r="D2575" s="6"/>
      <c r="E2575" s="6"/>
      <c r="F2575" s="15"/>
      <c r="G2575" s="6"/>
      <c r="H2575" s="6"/>
      <c r="I2575" s="6"/>
      <c r="J2575" s="16"/>
      <c r="K2575" s="6"/>
      <c r="L2575" s="16"/>
      <c r="M2575" s="17"/>
      <c r="N2575" s="15"/>
      <c r="O2575" s="23"/>
      <c r="P2575" s="21"/>
      <c r="Q2575" s="6"/>
      <c r="R2575" s="6"/>
      <c r="S2575" s="20"/>
      <c r="T2575" s="6"/>
      <c r="U2575" s="21"/>
      <c r="W2575" s="20"/>
      <c r="AD2575" s="17"/>
      <c r="AG2575" s="23"/>
    </row>
    <row r="2576" spans="2:33" ht="16">
      <c r="B2576" s="26" t="str">
        <f t="shared" si="10"/>
        <v/>
      </c>
      <c r="C2576" s="6"/>
      <c r="D2576" s="6"/>
      <c r="E2576" s="6"/>
      <c r="F2576" s="15"/>
      <c r="G2576" s="6"/>
      <c r="H2576" s="6"/>
      <c r="I2576" s="6"/>
      <c r="J2576" s="16"/>
      <c r="K2576" s="6"/>
      <c r="L2576" s="16"/>
      <c r="M2576" s="17"/>
      <c r="N2576" s="15"/>
      <c r="O2576" s="23"/>
      <c r="P2576" s="21"/>
      <c r="Q2576" s="6"/>
      <c r="R2576" s="6"/>
      <c r="S2576" s="20"/>
      <c r="T2576" s="6"/>
      <c r="U2576" s="21"/>
      <c r="W2576" s="20"/>
      <c r="X2576" s="21"/>
      <c r="AD2576" s="23"/>
      <c r="AG2576" s="23"/>
    </row>
    <row r="2577" spans="2:33" ht="16">
      <c r="B2577" s="26" t="str">
        <f t="shared" ref="B2577:B2831" si="11">IF($H2577="","",LEFT(C2577,3))</f>
        <v/>
      </c>
      <c r="C2577" s="6"/>
      <c r="D2577" s="6"/>
      <c r="E2577" s="6"/>
      <c r="F2577" s="15"/>
      <c r="G2577" s="6"/>
      <c r="H2577" s="6"/>
      <c r="I2577" s="6"/>
      <c r="J2577" s="16"/>
      <c r="K2577" s="6"/>
      <c r="L2577" s="16"/>
      <c r="M2577" s="17"/>
      <c r="N2577" s="15"/>
      <c r="O2577" s="17"/>
      <c r="P2577" s="21"/>
      <c r="Q2577" s="6"/>
      <c r="R2577" s="6"/>
      <c r="S2577" s="20"/>
      <c r="T2577" s="6"/>
      <c r="U2577" s="21"/>
      <c r="W2577" s="20"/>
      <c r="AD2577" s="17"/>
      <c r="AG2577" s="17"/>
    </row>
    <row r="2578" spans="2:33" ht="16">
      <c r="B2578" s="26" t="str">
        <f t="shared" si="11"/>
        <v/>
      </c>
      <c r="C2578" s="6"/>
      <c r="D2578" s="6"/>
      <c r="E2578" s="6"/>
      <c r="F2578" s="15"/>
      <c r="G2578" s="6"/>
      <c r="H2578" s="6"/>
      <c r="I2578" s="6"/>
      <c r="J2578" s="16"/>
      <c r="K2578" s="6"/>
      <c r="L2578" s="16"/>
      <c r="M2578" s="23"/>
      <c r="N2578" s="15"/>
      <c r="O2578" s="23"/>
      <c r="P2578" s="21"/>
      <c r="Q2578" s="6"/>
      <c r="R2578" s="6"/>
      <c r="S2578" s="20"/>
      <c r="T2578" s="6"/>
      <c r="U2578" s="21"/>
      <c r="W2578" s="20"/>
      <c r="AD2578" s="17"/>
      <c r="AG2578" s="23"/>
    </row>
    <row r="2579" spans="2:33" ht="16">
      <c r="B2579" s="26" t="str">
        <f t="shared" si="11"/>
        <v/>
      </c>
      <c r="C2579" s="6"/>
      <c r="D2579" s="6"/>
      <c r="E2579" s="6"/>
      <c r="F2579" s="15"/>
      <c r="G2579" s="6"/>
      <c r="H2579" s="6"/>
      <c r="I2579" s="6"/>
      <c r="J2579" s="16"/>
      <c r="K2579" s="6"/>
      <c r="L2579" s="16"/>
      <c r="M2579" s="23"/>
      <c r="N2579" s="15"/>
      <c r="O2579" s="23"/>
      <c r="P2579" s="21"/>
      <c r="Q2579" s="6"/>
      <c r="R2579" s="6"/>
      <c r="S2579" s="20"/>
      <c r="T2579" s="6"/>
      <c r="U2579" s="21"/>
      <c r="W2579" s="20"/>
      <c r="AD2579" s="17"/>
      <c r="AG2579" s="23"/>
    </row>
    <row r="2580" spans="2:33" ht="16">
      <c r="B2580" s="26" t="str">
        <f t="shared" si="11"/>
        <v/>
      </c>
      <c r="C2580" s="6"/>
      <c r="D2580" s="6"/>
      <c r="E2580" s="6"/>
      <c r="F2580" s="15"/>
      <c r="G2580" s="6"/>
      <c r="H2580" s="6"/>
      <c r="I2580" s="6"/>
      <c r="J2580" s="16"/>
      <c r="K2580" s="6"/>
      <c r="L2580" s="16"/>
      <c r="M2580" s="23"/>
      <c r="N2580" s="15"/>
      <c r="O2580" s="23"/>
      <c r="P2580" s="21"/>
      <c r="Q2580" s="6"/>
      <c r="R2580" s="6"/>
      <c r="S2580" s="20"/>
      <c r="T2580" s="6"/>
      <c r="U2580" s="21"/>
      <c r="W2580" s="20"/>
      <c r="X2580" s="21"/>
      <c r="AD2580" s="17"/>
      <c r="AG2580" s="23"/>
    </row>
    <row r="2581" spans="2:33" ht="16">
      <c r="B2581" s="26" t="str">
        <f t="shared" si="11"/>
        <v/>
      </c>
      <c r="C2581" s="6"/>
      <c r="D2581" s="6"/>
      <c r="E2581" s="6"/>
      <c r="F2581" s="15"/>
      <c r="G2581" s="6"/>
      <c r="H2581" s="6"/>
      <c r="I2581" s="6"/>
      <c r="J2581" s="16"/>
      <c r="K2581" s="6"/>
      <c r="L2581" s="16"/>
      <c r="M2581" s="23"/>
      <c r="N2581" s="15"/>
      <c r="O2581" s="23"/>
      <c r="P2581" s="21"/>
      <c r="Q2581" s="6"/>
      <c r="R2581" s="6"/>
      <c r="S2581" s="20"/>
      <c r="T2581" s="6"/>
      <c r="U2581" s="21"/>
      <c r="W2581" s="20"/>
      <c r="X2581" s="21"/>
      <c r="AD2581" s="17"/>
      <c r="AG2581" s="17"/>
    </row>
    <row r="2582" spans="2:33" ht="16">
      <c r="B2582" s="26" t="str">
        <f t="shared" si="11"/>
        <v/>
      </c>
      <c r="C2582" s="6"/>
      <c r="D2582" s="6"/>
      <c r="E2582" s="6"/>
      <c r="F2582" s="15"/>
      <c r="G2582" s="6"/>
      <c r="H2582" s="6"/>
      <c r="I2582" s="6"/>
      <c r="J2582" s="16"/>
      <c r="K2582" s="6"/>
      <c r="L2582" s="16"/>
      <c r="M2582" s="17"/>
      <c r="N2582" s="15"/>
      <c r="O2582" s="17"/>
      <c r="P2582" s="21"/>
      <c r="Q2582" s="6"/>
      <c r="R2582" s="6"/>
      <c r="S2582" s="20"/>
      <c r="T2582" s="6"/>
      <c r="U2582" s="21"/>
      <c r="W2582" s="20"/>
      <c r="X2582" s="21"/>
      <c r="AD2582" s="17"/>
      <c r="AG2582" s="23"/>
    </row>
    <row r="2583" spans="2:33" ht="16">
      <c r="B2583" s="26" t="str">
        <f t="shared" si="11"/>
        <v/>
      </c>
      <c r="C2583" s="6"/>
      <c r="D2583" s="6"/>
      <c r="E2583" s="6"/>
      <c r="F2583" s="15"/>
      <c r="G2583" s="6"/>
      <c r="H2583" s="6"/>
      <c r="I2583" s="6"/>
      <c r="J2583" s="16"/>
      <c r="K2583" s="6"/>
      <c r="L2583" s="16"/>
      <c r="M2583" s="23"/>
      <c r="N2583" s="15"/>
      <c r="O2583" s="23"/>
      <c r="P2583" s="21"/>
      <c r="Q2583" s="6"/>
      <c r="R2583" s="6"/>
      <c r="S2583" s="20"/>
      <c r="T2583" s="6"/>
      <c r="U2583" s="21"/>
      <c r="W2583" s="20"/>
      <c r="X2583" s="21"/>
      <c r="AD2583" s="17"/>
      <c r="AG2583" s="17"/>
    </row>
    <row r="2584" spans="2:33" ht="16">
      <c r="B2584" s="26" t="str">
        <f t="shared" si="11"/>
        <v/>
      </c>
      <c r="C2584" s="6"/>
      <c r="D2584" s="6"/>
      <c r="E2584" s="6"/>
      <c r="F2584" s="15"/>
      <c r="G2584" s="6"/>
      <c r="H2584" s="6"/>
      <c r="I2584" s="6"/>
      <c r="J2584" s="16"/>
      <c r="K2584" s="6"/>
      <c r="L2584" s="16"/>
      <c r="M2584" s="23"/>
      <c r="N2584" s="15"/>
      <c r="O2584" s="23"/>
      <c r="P2584" s="21"/>
      <c r="Q2584" s="6"/>
      <c r="R2584" s="6"/>
      <c r="S2584" s="20"/>
      <c r="T2584" s="6"/>
      <c r="U2584" s="21"/>
      <c r="W2584" s="20"/>
      <c r="X2584" s="21"/>
      <c r="AD2584" s="17"/>
      <c r="AG2584" s="23"/>
    </row>
    <row r="2585" spans="2:33" ht="16">
      <c r="B2585" s="26" t="str">
        <f t="shared" si="11"/>
        <v/>
      </c>
      <c r="C2585" s="6"/>
      <c r="D2585" s="6"/>
      <c r="E2585" s="6"/>
      <c r="F2585" s="15"/>
      <c r="G2585" s="6"/>
      <c r="H2585" s="6"/>
      <c r="I2585" s="6"/>
      <c r="J2585" s="16"/>
      <c r="K2585" s="6"/>
      <c r="L2585" s="16"/>
      <c r="M2585" s="17"/>
      <c r="N2585" s="15"/>
      <c r="O2585" s="23"/>
      <c r="P2585" s="21"/>
      <c r="Q2585" s="6"/>
      <c r="R2585" s="6"/>
      <c r="S2585" s="20"/>
      <c r="T2585" s="6"/>
      <c r="U2585" s="21"/>
      <c r="W2585" s="20"/>
      <c r="X2585" s="21"/>
      <c r="AD2585" s="17"/>
      <c r="AG2585" s="23"/>
    </row>
    <row r="2586" spans="2:33" ht="16">
      <c r="B2586" s="26" t="str">
        <f t="shared" si="11"/>
        <v/>
      </c>
      <c r="C2586" s="6"/>
      <c r="D2586" s="6"/>
      <c r="E2586" s="6"/>
      <c r="F2586" s="15"/>
      <c r="G2586" s="6"/>
      <c r="H2586" s="6"/>
      <c r="I2586" s="6"/>
      <c r="J2586" s="16"/>
      <c r="K2586" s="6"/>
      <c r="L2586" s="16"/>
      <c r="M2586" s="23"/>
      <c r="N2586" s="15"/>
      <c r="O2586" s="23"/>
      <c r="P2586" s="21"/>
      <c r="Q2586" s="6"/>
      <c r="R2586" s="6"/>
      <c r="S2586" s="20"/>
      <c r="T2586" s="6"/>
      <c r="U2586" s="21"/>
      <c r="W2586" s="20"/>
      <c r="X2586" s="21"/>
      <c r="AD2586" s="23"/>
      <c r="AG2586" s="17"/>
    </row>
    <row r="2587" spans="2:33" ht="16">
      <c r="B2587" s="26" t="str">
        <f t="shared" si="11"/>
        <v/>
      </c>
      <c r="C2587" s="6"/>
      <c r="D2587" s="6"/>
      <c r="E2587" s="6"/>
      <c r="F2587" s="15"/>
      <c r="G2587" s="6"/>
      <c r="H2587" s="6"/>
      <c r="I2587" s="6"/>
      <c r="J2587" s="16"/>
      <c r="K2587" s="6"/>
      <c r="L2587" s="16"/>
      <c r="M2587" s="23"/>
      <c r="N2587" s="15"/>
      <c r="O2587" s="23"/>
      <c r="P2587" s="21"/>
      <c r="Q2587" s="6"/>
      <c r="R2587" s="6"/>
      <c r="S2587" s="20"/>
      <c r="T2587" s="6"/>
      <c r="U2587" s="21"/>
      <c r="W2587" s="20"/>
      <c r="X2587" s="21"/>
      <c r="AD2587" s="23"/>
      <c r="AG2587" s="23"/>
    </row>
    <row r="2588" spans="2:33" ht="16">
      <c r="B2588" s="26" t="str">
        <f t="shared" si="11"/>
        <v/>
      </c>
      <c r="C2588" s="6"/>
      <c r="D2588" s="6"/>
      <c r="E2588" s="6"/>
      <c r="F2588" s="15"/>
      <c r="G2588" s="6"/>
      <c r="H2588" s="6"/>
      <c r="I2588" s="6"/>
      <c r="J2588" s="16"/>
      <c r="K2588" s="6"/>
      <c r="L2588" s="16"/>
      <c r="M2588" s="23"/>
      <c r="N2588" s="15"/>
      <c r="O2588" s="17"/>
      <c r="P2588" s="21"/>
      <c r="Q2588" s="6"/>
      <c r="R2588" s="6"/>
      <c r="S2588" s="20"/>
      <c r="T2588" s="6"/>
      <c r="U2588" s="21"/>
      <c r="W2588" s="20"/>
      <c r="X2588" s="21"/>
      <c r="AD2588" s="17"/>
      <c r="AG2588" s="23"/>
    </row>
    <row r="2589" spans="2:33" ht="16">
      <c r="B2589" s="26" t="str">
        <f t="shared" si="11"/>
        <v/>
      </c>
      <c r="C2589" s="6"/>
      <c r="D2589" s="6"/>
      <c r="E2589" s="6"/>
      <c r="F2589" s="15"/>
      <c r="G2589" s="6"/>
      <c r="H2589" s="6"/>
      <c r="I2589" s="6"/>
      <c r="J2589" s="16"/>
      <c r="K2589" s="6"/>
      <c r="L2589" s="16"/>
      <c r="M2589" s="23"/>
      <c r="N2589" s="15"/>
      <c r="O2589" s="23"/>
      <c r="P2589" s="21"/>
      <c r="Q2589" s="6"/>
      <c r="R2589" s="6"/>
      <c r="S2589" s="20"/>
      <c r="T2589" s="6"/>
      <c r="U2589" s="21"/>
      <c r="W2589" s="20"/>
      <c r="X2589" s="21"/>
      <c r="AD2589" s="23"/>
      <c r="AG2589" s="17"/>
    </row>
    <row r="2590" spans="2:33" ht="16">
      <c r="B2590" s="26" t="str">
        <f t="shared" si="11"/>
        <v/>
      </c>
      <c r="C2590" s="6"/>
      <c r="D2590" s="6"/>
      <c r="E2590" s="6"/>
      <c r="F2590" s="15"/>
      <c r="G2590" s="6"/>
      <c r="H2590" s="6"/>
      <c r="I2590" s="6"/>
      <c r="J2590" s="16"/>
      <c r="K2590" s="6"/>
      <c r="L2590" s="16"/>
      <c r="M2590" s="23"/>
      <c r="N2590" s="15"/>
      <c r="O2590" s="23"/>
      <c r="P2590" s="21"/>
      <c r="Q2590" s="6"/>
      <c r="R2590" s="6"/>
      <c r="S2590" s="20"/>
      <c r="T2590" s="6"/>
      <c r="U2590" s="21"/>
      <c r="W2590" s="20"/>
      <c r="X2590" s="21"/>
      <c r="AD2590" s="17"/>
      <c r="AG2590" s="17"/>
    </row>
    <row r="2591" spans="2:33" ht="16">
      <c r="B2591" s="26" t="str">
        <f t="shared" si="11"/>
        <v/>
      </c>
      <c r="C2591" s="6"/>
      <c r="D2591" s="6"/>
      <c r="E2591" s="6"/>
      <c r="F2591" s="15"/>
      <c r="G2591" s="6"/>
      <c r="H2591" s="6"/>
      <c r="I2591" s="6"/>
      <c r="J2591" s="16"/>
      <c r="K2591" s="6"/>
      <c r="L2591" s="16"/>
      <c r="M2591" s="23"/>
      <c r="N2591" s="15"/>
      <c r="O2591" s="23"/>
      <c r="P2591" s="21"/>
      <c r="Q2591" s="6"/>
      <c r="R2591" s="6"/>
      <c r="S2591" s="20"/>
      <c r="T2591" s="6"/>
      <c r="U2591" s="21"/>
      <c r="W2591" s="20"/>
      <c r="X2591" s="21"/>
      <c r="AD2591" s="17"/>
      <c r="AG2591" s="23"/>
    </row>
    <row r="2592" spans="2:33" ht="16">
      <c r="B2592" s="26" t="str">
        <f t="shared" si="11"/>
        <v/>
      </c>
      <c r="C2592" s="6"/>
      <c r="D2592" s="6"/>
      <c r="E2592" s="6"/>
      <c r="F2592" s="15"/>
      <c r="G2592" s="6"/>
      <c r="H2592" s="6"/>
      <c r="I2592" s="6"/>
      <c r="J2592" s="16"/>
      <c r="K2592" s="6"/>
      <c r="L2592" s="16"/>
      <c r="M2592" s="23"/>
      <c r="N2592" s="15"/>
      <c r="O2592" s="17"/>
      <c r="P2592" s="21"/>
      <c r="Q2592" s="6"/>
      <c r="R2592" s="6"/>
      <c r="S2592" s="20"/>
      <c r="T2592" s="6"/>
      <c r="U2592" s="21"/>
      <c r="W2592" s="20"/>
      <c r="X2592" s="21"/>
      <c r="AD2592" s="17"/>
      <c r="AG2592" s="17"/>
    </row>
    <row r="2593" spans="2:33" ht="16">
      <c r="B2593" s="26" t="str">
        <f t="shared" si="11"/>
        <v/>
      </c>
      <c r="C2593" s="6"/>
      <c r="D2593" s="6"/>
      <c r="E2593" s="6"/>
      <c r="F2593" s="15"/>
      <c r="G2593" s="6"/>
      <c r="H2593" s="6"/>
      <c r="I2593" s="6"/>
      <c r="J2593" s="16"/>
      <c r="K2593" s="6"/>
      <c r="L2593" s="16"/>
      <c r="M2593" s="17"/>
      <c r="N2593" s="15"/>
      <c r="O2593" s="17"/>
      <c r="P2593" s="21"/>
      <c r="Q2593" s="6"/>
      <c r="R2593" s="6"/>
      <c r="S2593" s="20"/>
      <c r="T2593" s="6"/>
      <c r="U2593" s="21"/>
      <c r="W2593" s="20"/>
      <c r="X2593" s="21"/>
      <c r="AD2593" s="17"/>
      <c r="AG2593" s="17"/>
    </row>
    <row r="2594" spans="2:33" ht="16">
      <c r="B2594" s="26" t="str">
        <f t="shared" si="11"/>
        <v/>
      </c>
      <c r="C2594" s="6"/>
      <c r="D2594" s="6"/>
      <c r="E2594" s="6"/>
      <c r="F2594" s="15"/>
      <c r="G2594" s="6"/>
      <c r="H2594" s="6"/>
      <c r="I2594" s="6"/>
      <c r="J2594" s="16"/>
      <c r="K2594" s="6"/>
      <c r="L2594" s="16"/>
      <c r="M2594" s="23"/>
      <c r="N2594" s="15"/>
      <c r="O2594" s="23"/>
      <c r="P2594" s="21"/>
      <c r="Q2594" s="6"/>
      <c r="R2594" s="6"/>
      <c r="S2594" s="20"/>
      <c r="T2594" s="6"/>
      <c r="U2594" s="21"/>
      <c r="W2594" s="20"/>
      <c r="X2594" s="21"/>
      <c r="AD2594" s="17"/>
      <c r="AG2594" s="23"/>
    </row>
    <row r="2595" spans="2:33" ht="16">
      <c r="B2595" s="26" t="str">
        <f t="shared" si="11"/>
        <v/>
      </c>
      <c r="C2595" s="6"/>
      <c r="D2595" s="6"/>
      <c r="E2595" s="6"/>
      <c r="F2595" s="15"/>
      <c r="G2595" s="6"/>
      <c r="H2595" s="6"/>
      <c r="I2595" s="6"/>
      <c r="J2595" s="16"/>
      <c r="K2595" s="6"/>
      <c r="L2595" s="16"/>
      <c r="M2595" s="17"/>
      <c r="N2595" s="15"/>
      <c r="O2595" s="17"/>
      <c r="P2595" s="21"/>
      <c r="Q2595" s="6"/>
      <c r="R2595" s="6"/>
      <c r="S2595" s="20"/>
      <c r="T2595" s="6"/>
      <c r="U2595" s="21"/>
      <c r="W2595" s="20"/>
      <c r="X2595" s="21"/>
      <c r="AD2595" s="17"/>
      <c r="AG2595" s="23"/>
    </row>
    <row r="2596" spans="2:33" ht="16">
      <c r="B2596" s="26" t="str">
        <f t="shared" si="11"/>
        <v/>
      </c>
      <c r="C2596" s="6"/>
      <c r="D2596" s="6"/>
      <c r="E2596" s="6"/>
      <c r="F2596" s="15"/>
      <c r="G2596" s="6"/>
      <c r="H2596" s="6"/>
      <c r="I2596" s="6"/>
      <c r="J2596" s="16"/>
      <c r="K2596" s="6"/>
      <c r="L2596" s="16"/>
      <c r="M2596" s="23"/>
      <c r="N2596" s="15"/>
      <c r="O2596" s="23"/>
      <c r="P2596" s="21"/>
      <c r="Q2596" s="6"/>
      <c r="R2596" s="6"/>
      <c r="S2596" s="20"/>
      <c r="T2596" s="6"/>
      <c r="U2596" s="21"/>
      <c r="W2596" s="20"/>
      <c r="X2596" s="21"/>
      <c r="AD2596" s="17"/>
      <c r="AG2596" s="23"/>
    </row>
    <row r="2597" spans="2:33" ht="16">
      <c r="B2597" s="26" t="str">
        <f t="shared" si="11"/>
        <v/>
      </c>
      <c r="C2597" s="6"/>
      <c r="D2597" s="6"/>
      <c r="E2597" s="6"/>
      <c r="F2597" s="15"/>
      <c r="G2597" s="6"/>
      <c r="H2597" s="6"/>
      <c r="I2597" s="6"/>
      <c r="J2597" s="16"/>
      <c r="K2597" s="6"/>
      <c r="L2597" s="16"/>
      <c r="M2597" s="23"/>
      <c r="N2597" s="15"/>
      <c r="O2597" s="23"/>
      <c r="P2597" s="21"/>
      <c r="Q2597" s="6"/>
      <c r="R2597" s="6"/>
      <c r="S2597" s="20"/>
      <c r="T2597" s="6"/>
      <c r="U2597" s="21"/>
      <c r="W2597" s="20"/>
      <c r="X2597" s="21"/>
      <c r="AD2597" s="17"/>
      <c r="AG2597" s="17"/>
    </row>
    <row r="2598" spans="2:33" ht="16">
      <c r="B2598" s="26" t="str">
        <f t="shared" si="11"/>
        <v/>
      </c>
      <c r="C2598" s="6"/>
      <c r="D2598" s="6"/>
      <c r="E2598" s="6"/>
      <c r="F2598" s="15"/>
      <c r="G2598" s="6"/>
      <c r="H2598" s="6"/>
      <c r="I2598" s="6"/>
      <c r="J2598" s="16"/>
      <c r="K2598" s="6"/>
      <c r="L2598" s="16"/>
      <c r="M2598" s="23"/>
      <c r="N2598" s="15"/>
      <c r="O2598" s="23"/>
      <c r="P2598" s="21"/>
      <c r="Q2598" s="6"/>
      <c r="R2598" s="6"/>
      <c r="S2598" s="20"/>
      <c r="T2598" s="6"/>
      <c r="U2598" s="21"/>
      <c r="W2598" s="20"/>
      <c r="X2598" s="21"/>
      <c r="AD2598" s="23"/>
      <c r="AG2598" s="17"/>
    </row>
    <row r="2599" spans="2:33" ht="16">
      <c r="B2599" s="26" t="str">
        <f t="shared" si="11"/>
        <v/>
      </c>
      <c r="C2599" s="6"/>
      <c r="D2599" s="6"/>
      <c r="E2599" s="6"/>
      <c r="F2599" s="15"/>
      <c r="G2599" s="6"/>
      <c r="H2599" s="6"/>
      <c r="I2599" s="6"/>
      <c r="J2599" s="16"/>
      <c r="K2599" s="6"/>
      <c r="L2599" s="16"/>
      <c r="M2599" s="23"/>
      <c r="N2599" s="15"/>
      <c r="O2599" s="23"/>
      <c r="P2599" s="21"/>
      <c r="Q2599" s="6"/>
      <c r="R2599" s="6"/>
      <c r="S2599" s="20"/>
      <c r="T2599" s="6"/>
      <c r="U2599" s="21"/>
      <c r="W2599" s="20"/>
      <c r="X2599" s="21"/>
      <c r="AD2599" s="17"/>
      <c r="AG2599" s="17"/>
    </row>
    <row r="2600" spans="2:33" ht="16">
      <c r="B2600" s="26" t="str">
        <f t="shared" si="11"/>
        <v/>
      </c>
      <c r="C2600" s="6"/>
      <c r="D2600" s="6"/>
      <c r="E2600" s="6"/>
      <c r="F2600" s="15"/>
      <c r="G2600" s="6"/>
      <c r="H2600" s="6"/>
      <c r="I2600" s="6"/>
      <c r="J2600" s="16"/>
      <c r="K2600" s="6"/>
      <c r="L2600" s="16"/>
      <c r="M2600" s="23"/>
      <c r="N2600" s="15"/>
      <c r="O2600" s="23"/>
      <c r="P2600" s="21"/>
      <c r="Q2600" s="6"/>
      <c r="R2600" s="6"/>
      <c r="S2600" s="20"/>
      <c r="T2600" s="6"/>
      <c r="U2600" s="21"/>
      <c r="W2600" s="20"/>
      <c r="X2600" s="21"/>
      <c r="AD2600" s="17"/>
      <c r="AG2600" s="17"/>
    </row>
    <row r="2601" spans="2:33" ht="16">
      <c r="B2601" s="26" t="str">
        <f t="shared" si="11"/>
        <v/>
      </c>
      <c r="C2601" s="6"/>
      <c r="D2601" s="6"/>
      <c r="E2601" s="6"/>
      <c r="F2601" s="15"/>
      <c r="G2601" s="6"/>
      <c r="H2601" s="6"/>
      <c r="I2601" s="6"/>
      <c r="J2601" s="16"/>
      <c r="K2601" s="6"/>
      <c r="L2601" s="16"/>
      <c r="M2601" s="23"/>
      <c r="N2601" s="15"/>
      <c r="O2601" s="23"/>
      <c r="P2601" s="21"/>
      <c r="Q2601" s="6"/>
      <c r="R2601" s="6"/>
      <c r="S2601" s="20"/>
      <c r="T2601" s="6"/>
      <c r="U2601" s="21"/>
      <c r="W2601" s="20"/>
      <c r="X2601" s="21"/>
      <c r="AD2601" s="23"/>
      <c r="AG2601" s="17"/>
    </row>
    <row r="2602" spans="2:33" ht="16">
      <c r="B2602" s="26" t="str">
        <f t="shared" si="11"/>
        <v/>
      </c>
      <c r="C2602" s="6"/>
      <c r="D2602" s="6"/>
      <c r="E2602" s="6"/>
      <c r="F2602" s="15"/>
      <c r="G2602" s="6"/>
      <c r="H2602" s="6"/>
      <c r="I2602" s="6"/>
      <c r="J2602" s="16"/>
      <c r="K2602" s="6"/>
      <c r="L2602" s="16"/>
      <c r="M2602" s="23"/>
      <c r="N2602" s="15"/>
      <c r="O2602" s="23"/>
      <c r="P2602" s="21"/>
      <c r="Q2602" s="6"/>
      <c r="R2602" s="6"/>
      <c r="S2602" s="20"/>
      <c r="T2602" s="6"/>
      <c r="U2602" s="21"/>
      <c r="W2602" s="20"/>
      <c r="X2602" s="21"/>
      <c r="AD2602" s="17"/>
      <c r="AG2602" s="17"/>
    </row>
    <row r="2603" spans="2:33" ht="16">
      <c r="B2603" s="26" t="str">
        <f t="shared" si="11"/>
        <v/>
      </c>
      <c r="C2603" s="6"/>
      <c r="D2603" s="6"/>
      <c r="E2603" s="6"/>
      <c r="F2603" s="15"/>
      <c r="G2603" s="6"/>
      <c r="H2603" s="6"/>
      <c r="I2603" s="6"/>
      <c r="J2603" s="16"/>
      <c r="K2603" s="6"/>
      <c r="L2603" s="16"/>
      <c r="M2603" s="23"/>
      <c r="N2603" s="15"/>
      <c r="O2603" s="23"/>
      <c r="P2603" s="21"/>
      <c r="Q2603" s="6"/>
      <c r="R2603" s="6"/>
      <c r="S2603" s="20"/>
      <c r="T2603" s="6"/>
      <c r="U2603" s="21"/>
      <c r="W2603" s="20"/>
      <c r="X2603" s="21"/>
      <c r="AD2603" s="23"/>
      <c r="AG2603" s="17"/>
    </row>
    <row r="2604" spans="2:33" ht="16">
      <c r="B2604" s="26" t="str">
        <f t="shared" si="11"/>
        <v/>
      </c>
      <c r="C2604" s="6"/>
      <c r="D2604" s="6"/>
      <c r="E2604" s="6"/>
      <c r="F2604" s="15"/>
      <c r="G2604" s="6"/>
      <c r="H2604" s="6"/>
      <c r="I2604" s="6"/>
      <c r="J2604" s="16"/>
      <c r="K2604" s="6"/>
      <c r="L2604" s="16"/>
      <c r="M2604" s="23"/>
      <c r="N2604" s="15"/>
      <c r="O2604" s="23"/>
      <c r="P2604" s="21"/>
      <c r="Q2604" s="6"/>
      <c r="R2604" s="6"/>
      <c r="S2604" s="20"/>
      <c r="T2604" s="6"/>
      <c r="U2604" s="21"/>
      <c r="W2604" s="20"/>
      <c r="X2604" s="21"/>
      <c r="AD2604" s="23"/>
      <c r="AG2604" s="17"/>
    </row>
    <row r="2605" spans="2:33" ht="16">
      <c r="B2605" s="26" t="str">
        <f t="shared" si="11"/>
        <v/>
      </c>
      <c r="C2605" s="6"/>
      <c r="D2605" s="6"/>
      <c r="E2605" s="6"/>
      <c r="F2605" s="15"/>
      <c r="G2605" s="6"/>
      <c r="H2605" s="6"/>
      <c r="I2605" s="6"/>
      <c r="J2605" s="16"/>
      <c r="K2605" s="6"/>
      <c r="L2605" s="16"/>
      <c r="M2605" s="23"/>
      <c r="N2605" s="15"/>
      <c r="O2605" s="23"/>
      <c r="P2605" s="21"/>
      <c r="Q2605" s="6"/>
      <c r="R2605" s="6"/>
      <c r="S2605" s="20"/>
      <c r="T2605" s="6"/>
      <c r="U2605" s="21"/>
      <c r="W2605" s="20"/>
      <c r="X2605" s="21"/>
      <c r="AD2605" s="23"/>
      <c r="AG2605" s="23"/>
    </row>
    <row r="2606" spans="2:33" ht="16">
      <c r="B2606" s="26" t="str">
        <f t="shared" si="11"/>
        <v/>
      </c>
      <c r="C2606" s="6"/>
      <c r="D2606" s="6"/>
      <c r="E2606" s="6"/>
      <c r="F2606" s="15"/>
      <c r="G2606" s="6"/>
      <c r="H2606" s="6"/>
      <c r="I2606" s="6"/>
      <c r="J2606" s="16"/>
      <c r="K2606" s="6"/>
      <c r="L2606" s="16"/>
      <c r="M2606" s="23"/>
      <c r="N2606" s="15"/>
      <c r="O2606" s="23"/>
      <c r="P2606" s="21"/>
      <c r="Q2606" s="6"/>
      <c r="R2606" s="6"/>
      <c r="S2606" s="20"/>
      <c r="T2606" s="6"/>
      <c r="U2606" s="21"/>
      <c r="W2606" s="20"/>
      <c r="X2606" s="21"/>
      <c r="AD2606" s="23"/>
      <c r="AG2606" s="23"/>
    </row>
    <row r="2607" spans="2:33" ht="16">
      <c r="B2607" s="26" t="str">
        <f t="shared" si="11"/>
        <v/>
      </c>
      <c r="C2607" s="6"/>
      <c r="D2607" s="6"/>
      <c r="E2607" s="6"/>
      <c r="F2607" s="15"/>
      <c r="G2607" s="6"/>
      <c r="H2607" s="6"/>
      <c r="I2607" s="6"/>
      <c r="J2607" s="16"/>
      <c r="K2607" s="6"/>
      <c r="L2607" s="16"/>
      <c r="M2607" s="23"/>
      <c r="N2607" s="15"/>
      <c r="O2607" s="23"/>
      <c r="P2607" s="21"/>
      <c r="Q2607" s="6"/>
      <c r="R2607" s="6"/>
      <c r="S2607" s="20"/>
      <c r="T2607" s="6"/>
      <c r="U2607" s="21"/>
      <c r="W2607" s="20"/>
      <c r="X2607" s="21"/>
      <c r="AD2607" s="23"/>
      <c r="AG2607" s="17"/>
    </row>
    <row r="2608" spans="2:33" ht="16">
      <c r="B2608" s="26" t="str">
        <f t="shared" si="11"/>
        <v/>
      </c>
      <c r="C2608" s="6"/>
      <c r="D2608" s="6"/>
      <c r="E2608" s="6"/>
      <c r="F2608" s="15"/>
      <c r="G2608" s="6"/>
      <c r="H2608" s="6"/>
      <c r="I2608" s="6"/>
      <c r="J2608" s="16"/>
      <c r="K2608" s="6"/>
      <c r="L2608" s="16"/>
      <c r="M2608" s="23"/>
      <c r="N2608" s="15"/>
      <c r="O2608" s="23"/>
      <c r="P2608" s="21"/>
      <c r="Q2608" s="6"/>
      <c r="R2608" s="6"/>
      <c r="S2608" s="20"/>
      <c r="T2608" s="6"/>
      <c r="U2608" s="21"/>
      <c r="W2608" s="20"/>
      <c r="X2608" s="21"/>
      <c r="AD2608" s="17"/>
      <c r="AG2608" s="23"/>
    </row>
    <row r="2609" spans="2:33" ht="16">
      <c r="B2609" s="26" t="str">
        <f t="shared" si="11"/>
        <v/>
      </c>
      <c r="C2609" s="6"/>
      <c r="D2609" s="6"/>
      <c r="E2609" s="6"/>
      <c r="F2609" s="15"/>
      <c r="G2609" s="6"/>
      <c r="H2609" s="6"/>
      <c r="I2609" s="6"/>
      <c r="J2609" s="16"/>
      <c r="K2609" s="6"/>
      <c r="L2609" s="16"/>
      <c r="M2609" s="23"/>
      <c r="N2609" s="15"/>
      <c r="O2609" s="23"/>
      <c r="P2609" s="21"/>
      <c r="Q2609" s="6"/>
      <c r="R2609" s="6"/>
      <c r="S2609" s="20"/>
      <c r="T2609" s="6"/>
      <c r="U2609" s="21"/>
      <c r="W2609" s="20"/>
      <c r="X2609" s="21"/>
      <c r="AD2609" s="17"/>
      <c r="AG2609" s="17"/>
    </row>
    <row r="2610" spans="2:33" ht="16">
      <c r="B2610" s="26" t="str">
        <f t="shared" si="11"/>
        <v/>
      </c>
      <c r="C2610" s="6"/>
      <c r="D2610" s="6"/>
      <c r="E2610" s="6"/>
      <c r="F2610" s="15"/>
      <c r="G2610" s="6"/>
      <c r="H2610" s="6"/>
      <c r="I2610" s="6"/>
      <c r="J2610" s="16"/>
      <c r="K2610" s="6"/>
      <c r="L2610" s="16"/>
      <c r="M2610" s="23"/>
      <c r="N2610" s="15"/>
      <c r="O2610" s="23"/>
      <c r="P2610" s="21"/>
      <c r="Q2610" s="6"/>
      <c r="R2610" s="6"/>
      <c r="S2610" s="20"/>
      <c r="T2610" s="6"/>
      <c r="U2610" s="21"/>
      <c r="W2610" s="20"/>
      <c r="X2610" s="21"/>
      <c r="AD2610" s="23"/>
      <c r="AG2610" s="23"/>
    </row>
    <row r="2611" spans="2:33" ht="16">
      <c r="B2611" s="26" t="str">
        <f t="shared" si="11"/>
        <v/>
      </c>
      <c r="C2611" s="6"/>
      <c r="D2611" s="6"/>
      <c r="E2611" s="6"/>
      <c r="F2611" s="15"/>
      <c r="G2611" s="6"/>
      <c r="H2611" s="6"/>
      <c r="I2611" s="6"/>
      <c r="J2611" s="16"/>
      <c r="K2611" s="6"/>
      <c r="L2611" s="16"/>
      <c r="M2611" s="23"/>
      <c r="N2611" s="15"/>
      <c r="O2611" s="23"/>
      <c r="P2611" s="21"/>
      <c r="Q2611" s="6"/>
      <c r="R2611" s="6"/>
      <c r="S2611" s="20"/>
      <c r="T2611" s="6"/>
      <c r="U2611" s="21"/>
      <c r="W2611" s="20"/>
      <c r="X2611" s="21"/>
      <c r="AD2611" s="17"/>
      <c r="AG2611" s="17"/>
    </row>
    <row r="2612" spans="2:33" ht="16">
      <c r="B2612" s="26" t="str">
        <f t="shared" si="11"/>
        <v/>
      </c>
      <c r="C2612" s="6"/>
      <c r="D2612" s="6"/>
      <c r="E2612" s="6"/>
      <c r="F2612" s="15"/>
      <c r="G2612" s="6"/>
      <c r="H2612" s="6"/>
      <c r="I2612" s="6"/>
      <c r="J2612" s="16"/>
      <c r="K2612" s="6"/>
      <c r="L2612" s="16"/>
      <c r="M2612" s="23"/>
      <c r="N2612" s="15"/>
      <c r="O2612" s="23"/>
      <c r="P2612" s="21"/>
      <c r="Q2612" s="6"/>
      <c r="R2612" s="6"/>
      <c r="S2612" s="20"/>
      <c r="T2612" s="6"/>
      <c r="U2612" s="21"/>
      <c r="W2612" s="20"/>
      <c r="X2612" s="21"/>
      <c r="AD2612" s="17"/>
      <c r="AG2612" s="23"/>
    </row>
    <row r="2613" spans="2:33" ht="16">
      <c r="B2613" s="26" t="str">
        <f t="shared" si="11"/>
        <v/>
      </c>
      <c r="C2613" s="6"/>
      <c r="D2613" s="6"/>
      <c r="E2613" s="6"/>
      <c r="F2613" s="15"/>
      <c r="G2613" s="6"/>
      <c r="H2613" s="6"/>
      <c r="I2613" s="6"/>
      <c r="J2613" s="16"/>
      <c r="K2613" s="6"/>
      <c r="L2613" s="16"/>
      <c r="M2613" s="23"/>
      <c r="N2613" s="15"/>
      <c r="O2613" s="17"/>
      <c r="P2613" s="21"/>
      <c r="Q2613" s="6"/>
      <c r="R2613" s="6"/>
      <c r="S2613" s="20"/>
      <c r="T2613" s="6"/>
      <c r="U2613" s="21"/>
      <c r="W2613" s="20"/>
      <c r="X2613" s="21"/>
      <c r="AD2613" s="17"/>
      <c r="AG2613" s="23"/>
    </row>
    <row r="2614" spans="2:33" ht="16">
      <c r="B2614" s="26" t="str">
        <f t="shared" si="11"/>
        <v/>
      </c>
      <c r="C2614" s="6"/>
      <c r="D2614" s="6"/>
      <c r="E2614" s="6"/>
      <c r="F2614" s="15"/>
      <c r="G2614" s="6"/>
      <c r="H2614" s="6"/>
      <c r="I2614" s="6"/>
      <c r="J2614" s="16"/>
      <c r="K2614" s="6"/>
      <c r="L2614" s="16"/>
      <c r="M2614" s="17"/>
      <c r="N2614" s="15"/>
      <c r="O2614" s="17"/>
      <c r="P2614" s="21"/>
      <c r="Q2614" s="6"/>
      <c r="R2614" s="6"/>
      <c r="S2614" s="20"/>
      <c r="T2614" s="6"/>
      <c r="U2614" s="21"/>
      <c r="W2614" s="20"/>
      <c r="X2614" s="21"/>
      <c r="AD2614" s="17"/>
      <c r="AG2614" s="17"/>
    </row>
    <row r="2615" spans="2:33" ht="16">
      <c r="B2615" s="26" t="str">
        <f t="shared" si="11"/>
        <v/>
      </c>
      <c r="C2615" s="6"/>
      <c r="D2615" s="6"/>
      <c r="E2615" s="6"/>
      <c r="F2615" s="15"/>
      <c r="G2615" s="6"/>
      <c r="H2615" s="6"/>
      <c r="I2615" s="6"/>
      <c r="J2615" s="16"/>
      <c r="K2615" s="6"/>
      <c r="L2615" s="16"/>
      <c r="M2615" s="23"/>
      <c r="N2615" s="15"/>
      <c r="O2615" s="17"/>
      <c r="P2615" s="21"/>
      <c r="Q2615" s="6"/>
      <c r="R2615" s="6"/>
      <c r="S2615" s="20"/>
      <c r="T2615" s="6"/>
      <c r="U2615" s="21"/>
      <c r="W2615" s="20"/>
      <c r="X2615" s="21"/>
      <c r="AD2615" s="23"/>
      <c r="AG2615" s="17"/>
    </row>
    <row r="2616" spans="2:33" ht="16">
      <c r="B2616" s="26" t="str">
        <f t="shared" si="11"/>
        <v/>
      </c>
      <c r="C2616" s="6"/>
      <c r="D2616" s="6"/>
      <c r="E2616" s="6"/>
      <c r="F2616" s="15"/>
      <c r="G2616" s="6"/>
      <c r="H2616" s="6"/>
      <c r="I2616" s="6"/>
      <c r="J2616" s="16"/>
      <c r="K2616" s="6"/>
      <c r="L2616" s="16"/>
      <c r="M2616" s="23"/>
      <c r="N2616" s="15"/>
      <c r="O2616" s="23"/>
      <c r="P2616" s="21"/>
      <c r="Q2616" s="6"/>
      <c r="R2616" s="6"/>
      <c r="S2616" s="20"/>
      <c r="T2616" s="6"/>
      <c r="U2616" s="21"/>
      <c r="W2616" s="20"/>
      <c r="X2616" s="21"/>
      <c r="AD2616" s="23"/>
      <c r="AG2616" s="17"/>
    </row>
    <row r="2617" spans="2:33" ht="16">
      <c r="B2617" s="26" t="str">
        <f t="shared" si="11"/>
        <v/>
      </c>
      <c r="C2617" s="6"/>
      <c r="D2617" s="6"/>
      <c r="E2617" s="6"/>
      <c r="F2617" s="15"/>
      <c r="G2617" s="6"/>
      <c r="H2617" s="6"/>
      <c r="I2617" s="6"/>
      <c r="J2617" s="16"/>
      <c r="K2617" s="6"/>
      <c r="L2617" s="16"/>
      <c r="M2617" s="17"/>
      <c r="N2617" s="15"/>
      <c r="O2617" s="17"/>
      <c r="P2617" s="21"/>
      <c r="Q2617" s="6"/>
      <c r="R2617" s="6"/>
      <c r="S2617" s="20"/>
      <c r="T2617" s="6"/>
      <c r="U2617" s="21"/>
      <c r="W2617" s="20"/>
      <c r="X2617" s="21"/>
      <c r="AG2617" s="17"/>
    </row>
    <row r="2618" spans="2:33" ht="16">
      <c r="B2618" s="26" t="str">
        <f t="shared" si="11"/>
        <v/>
      </c>
      <c r="C2618" s="6"/>
      <c r="D2618" s="6"/>
      <c r="E2618" s="6"/>
      <c r="F2618" s="15"/>
      <c r="G2618" s="6"/>
      <c r="H2618" s="6"/>
      <c r="I2618" s="6"/>
      <c r="J2618" s="16"/>
      <c r="K2618" s="6"/>
      <c r="L2618" s="16"/>
      <c r="M2618" s="17"/>
      <c r="N2618" s="15"/>
      <c r="O2618" s="17"/>
      <c r="P2618" s="21"/>
      <c r="Q2618" s="6"/>
      <c r="R2618" s="6"/>
      <c r="S2618" s="20"/>
      <c r="T2618" s="6"/>
      <c r="U2618" s="21"/>
      <c r="W2618" s="20"/>
      <c r="X2618" s="21"/>
      <c r="AD2618" s="17"/>
      <c r="AG2618" s="23"/>
    </row>
    <row r="2619" spans="2:33" ht="16">
      <c r="B2619" s="26" t="str">
        <f t="shared" si="11"/>
        <v/>
      </c>
      <c r="C2619" s="6"/>
      <c r="D2619" s="6"/>
      <c r="E2619" s="6"/>
      <c r="F2619" s="15"/>
      <c r="G2619" s="6"/>
      <c r="H2619" s="6"/>
      <c r="I2619" s="6"/>
      <c r="J2619" s="16"/>
      <c r="K2619" s="6"/>
      <c r="L2619" s="16"/>
      <c r="M2619" s="17"/>
      <c r="N2619" s="15"/>
      <c r="O2619" s="23"/>
      <c r="P2619" s="21"/>
      <c r="Q2619" s="6"/>
      <c r="R2619" s="6"/>
      <c r="S2619" s="20"/>
      <c r="T2619" s="6"/>
      <c r="U2619" s="21"/>
      <c r="W2619" s="20"/>
      <c r="X2619" s="21"/>
      <c r="AG2619" s="17"/>
    </row>
    <row r="2620" spans="2:33" ht="16">
      <c r="B2620" s="26" t="str">
        <f t="shared" si="11"/>
        <v/>
      </c>
      <c r="C2620" s="6"/>
      <c r="D2620" s="6"/>
      <c r="E2620" s="6"/>
      <c r="F2620" s="15"/>
      <c r="G2620" s="6"/>
      <c r="H2620" s="6"/>
      <c r="I2620" s="6"/>
      <c r="J2620" s="16"/>
      <c r="K2620" s="6"/>
      <c r="L2620" s="16"/>
      <c r="M2620" s="17"/>
      <c r="N2620" s="15"/>
      <c r="O2620" s="17"/>
      <c r="P2620" s="21"/>
      <c r="Q2620" s="6"/>
      <c r="R2620" s="6"/>
      <c r="S2620" s="20"/>
      <c r="T2620" s="6"/>
      <c r="U2620" s="21"/>
      <c r="W2620" s="20"/>
      <c r="X2620" s="21"/>
      <c r="AD2620" s="17"/>
      <c r="AG2620" s="23"/>
    </row>
    <row r="2621" spans="2:33" ht="16">
      <c r="B2621" s="26" t="str">
        <f t="shared" si="11"/>
        <v/>
      </c>
      <c r="C2621" s="6"/>
      <c r="D2621" s="6"/>
      <c r="E2621" s="6"/>
      <c r="F2621" s="15"/>
      <c r="G2621" s="6"/>
      <c r="H2621" s="6"/>
      <c r="I2621" s="6"/>
      <c r="J2621" s="16"/>
      <c r="K2621" s="6"/>
      <c r="L2621" s="16"/>
      <c r="M2621" s="17"/>
      <c r="N2621" s="15"/>
      <c r="O2621" s="23"/>
      <c r="P2621" s="21"/>
      <c r="Q2621" s="6"/>
      <c r="R2621" s="6"/>
      <c r="S2621" s="20"/>
      <c r="T2621" s="6"/>
      <c r="U2621" s="21"/>
      <c r="W2621" s="20"/>
      <c r="X2621" s="21"/>
      <c r="AG2621" s="17"/>
    </row>
    <row r="2622" spans="2:33" ht="16">
      <c r="B2622" s="26" t="str">
        <f t="shared" si="11"/>
        <v/>
      </c>
      <c r="C2622" s="6"/>
      <c r="D2622" s="6"/>
      <c r="E2622" s="6"/>
      <c r="F2622" s="15"/>
      <c r="G2622" s="6"/>
      <c r="H2622" s="6"/>
      <c r="I2622" s="6"/>
      <c r="J2622" s="16"/>
      <c r="K2622" s="6"/>
      <c r="L2622" s="16"/>
      <c r="M2622" s="17"/>
      <c r="N2622" s="15"/>
      <c r="O2622" s="23"/>
      <c r="P2622" s="21"/>
      <c r="Q2622" s="6"/>
      <c r="R2622" s="6"/>
      <c r="S2622" s="20"/>
      <c r="T2622" s="6"/>
      <c r="U2622" s="21"/>
      <c r="W2622" s="20"/>
      <c r="X2622" s="21"/>
      <c r="AG2622" s="23"/>
    </row>
    <row r="2623" spans="2:33" ht="16">
      <c r="B2623" s="26" t="str">
        <f t="shared" si="11"/>
        <v/>
      </c>
      <c r="C2623" s="6"/>
      <c r="D2623" s="6"/>
      <c r="E2623" s="6"/>
      <c r="F2623" s="15"/>
      <c r="G2623" s="6"/>
      <c r="H2623" s="6"/>
      <c r="I2623" s="6"/>
      <c r="J2623" s="16"/>
      <c r="K2623" s="6"/>
      <c r="L2623" s="16"/>
      <c r="M2623" s="17"/>
      <c r="N2623" s="15"/>
      <c r="O2623" s="23"/>
      <c r="P2623" s="21"/>
      <c r="Q2623" s="6"/>
      <c r="R2623" s="6"/>
      <c r="S2623" s="20"/>
      <c r="T2623" s="6"/>
      <c r="U2623" s="21"/>
      <c r="W2623" s="20"/>
      <c r="X2623" s="21"/>
      <c r="AG2623" s="17"/>
    </row>
    <row r="2624" spans="2:33" ht="16">
      <c r="B2624" s="26" t="str">
        <f t="shared" si="11"/>
        <v/>
      </c>
      <c r="C2624" s="6"/>
      <c r="D2624" s="6"/>
      <c r="E2624" s="6"/>
      <c r="F2624" s="15"/>
      <c r="G2624" s="6"/>
      <c r="H2624" s="6"/>
      <c r="I2624" s="6"/>
      <c r="J2624" s="16"/>
      <c r="K2624" s="6"/>
      <c r="L2624" s="16"/>
      <c r="M2624" s="17"/>
      <c r="N2624" s="15"/>
      <c r="O2624" s="17"/>
      <c r="P2624" s="21"/>
      <c r="Q2624" s="6"/>
      <c r="R2624" s="6"/>
      <c r="S2624" s="20"/>
      <c r="T2624" s="6"/>
      <c r="U2624" s="21"/>
      <c r="W2624" s="20"/>
      <c r="X2624" s="21"/>
      <c r="AD2624" s="17"/>
      <c r="AG2624" s="23"/>
    </row>
    <row r="2625" spans="2:33" ht="16">
      <c r="B2625" s="26" t="str">
        <f t="shared" si="11"/>
        <v/>
      </c>
      <c r="C2625" s="6"/>
      <c r="D2625" s="6"/>
      <c r="E2625" s="6"/>
      <c r="F2625" s="15"/>
      <c r="G2625" s="6"/>
      <c r="H2625" s="6"/>
      <c r="I2625" s="6"/>
      <c r="J2625" s="16"/>
      <c r="K2625" s="6"/>
      <c r="L2625" s="16"/>
      <c r="M2625" s="17"/>
      <c r="N2625" s="15"/>
      <c r="O2625" s="23"/>
      <c r="P2625" s="21"/>
      <c r="Q2625" s="6"/>
      <c r="R2625" s="6"/>
      <c r="S2625" s="20"/>
      <c r="T2625" s="6"/>
      <c r="U2625" s="21"/>
      <c r="W2625" s="20"/>
      <c r="X2625" s="21"/>
      <c r="AG2625" s="23"/>
    </row>
    <row r="2626" spans="2:33" ht="16">
      <c r="B2626" s="26" t="str">
        <f t="shared" si="11"/>
        <v/>
      </c>
      <c r="C2626" s="6"/>
      <c r="D2626" s="6"/>
      <c r="E2626" s="6"/>
      <c r="F2626" s="15"/>
      <c r="G2626" s="6"/>
      <c r="H2626" s="6"/>
      <c r="I2626" s="6"/>
      <c r="J2626" s="16"/>
      <c r="K2626" s="6"/>
      <c r="L2626" s="16"/>
      <c r="M2626" s="17"/>
      <c r="N2626" s="15"/>
      <c r="O2626" s="23"/>
      <c r="P2626" s="21"/>
      <c r="Q2626" s="6"/>
      <c r="R2626" s="6"/>
      <c r="S2626" s="20"/>
      <c r="T2626" s="6"/>
      <c r="U2626" s="21"/>
      <c r="W2626" s="20"/>
      <c r="X2626" s="21"/>
      <c r="AD2626" s="17"/>
      <c r="AG2626" s="17"/>
    </row>
    <row r="2627" spans="2:33" ht="16">
      <c r="B2627" s="26" t="str">
        <f t="shared" si="11"/>
        <v/>
      </c>
      <c r="C2627" s="6"/>
      <c r="D2627" s="6"/>
      <c r="E2627" s="6"/>
      <c r="F2627" s="15"/>
      <c r="G2627" s="6"/>
      <c r="H2627" s="6"/>
      <c r="I2627" s="6"/>
      <c r="J2627" s="16"/>
      <c r="K2627" s="6"/>
      <c r="L2627" s="16"/>
      <c r="M2627" s="17"/>
      <c r="N2627" s="15"/>
      <c r="O2627" s="17"/>
      <c r="P2627" s="21"/>
      <c r="Q2627" s="6"/>
      <c r="R2627" s="6"/>
      <c r="S2627" s="20"/>
      <c r="T2627" s="6"/>
      <c r="U2627" s="21"/>
      <c r="W2627" s="20"/>
      <c r="X2627" s="21"/>
      <c r="AD2627" s="17"/>
      <c r="AG2627" s="17"/>
    </row>
    <row r="2628" spans="2:33" ht="16">
      <c r="B2628" s="26" t="str">
        <f t="shared" si="11"/>
        <v/>
      </c>
      <c r="C2628" s="6"/>
      <c r="D2628" s="6"/>
      <c r="E2628" s="6"/>
      <c r="F2628" s="15"/>
      <c r="G2628" s="6"/>
      <c r="H2628" s="6"/>
      <c r="I2628" s="6"/>
      <c r="J2628" s="16"/>
      <c r="K2628" s="6"/>
      <c r="L2628" s="16"/>
      <c r="M2628" s="17"/>
      <c r="N2628" s="15"/>
      <c r="O2628" s="17"/>
      <c r="P2628" s="21"/>
      <c r="Q2628" s="6"/>
      <c r="R2628" s="6"/>
      <c r="S2628" s="20"/>
      <c r="T2628" s="6"/>
      <c r="U2628" s="21"/>
      <c r="W2628" s="20"/>
      <c r="X2628" s="21"/>
      <c r="AD2628" s="17"/>
      <c r="AG2628" s="17"/>
    </row>
    <row r="2629" spans="2:33" ht="16">
      <c r="B2629" s="26" t="str">
        <f t="shared" si="11"/>
        <v/>
      </c>
      <c r="C2629" s="6"/>
      <c r="D2629" s="6"/>
      <c r="E2629" s="6"/>
      <c r="F2629" s="15"/>
      <c r="G2629" s="6"/>
      <c r="H2629" s="6"/>
      <c r="I2629" s="6"/>
      <c r="J2629" s="16"/>
      <c r="K2629" s="6"/>
      <c r="L2629" s="16"/>
      <c r="M2629" s="17"/>
      <c r="N2629" s="15"/>
      <c r="O2629" s="23"/>
      <c r="P2629" s="21"/>
      <c r="Q2629" s="6"/>
      <c r="R2629" s="6"/>
      <c r="S2629" s="20"/>
      <c r="T2629" s="6"/>
      <c r="U2629" s="21"/>
      <c r="W2629" s="20"/>
      <c r="X2629" s="21"/>
      <c r="AG2629" s="17"/>
    </row>
    <row r="2630" spans="2:33" ht="16">
      <c r="B2630" s="26" t="str">
        <f t="shared" si="11"/>
        <v/>
      </c>
      <c r="C2630" s="6"/>
      <c r="D2630" s="6"/>
      <c r="E2630" s="6"/>
      <c r="F2630" s="15"/>
      <c r="G2630" s="6"/>
      <c r="H2630" s="6"/>
      <c r="I2630" s="6"/>
      <c r="J2630" s="16"/>
      <c r="K2630" s="6"/>
      <c r="L2630" s="16"/>
      <c r="M2630" s="17"/>
      <c r="N2630" s="15"/>
      <c r="O2630" s="23"/>
      <c r="P2630" s="21"/>
      <c r="Q2630" s="6"/>
      <c r="R2630" s="6"/>
      <c r="S2630" s="20"/>
      <c r="T2630" s="6"/>
      <c r="U2630" s="21"/>
      <c r="W2630" s="20"/>
      <c r="X2630" s="21"/>
      <c r="AG2630" s="23"/>
    </row>
    <row r="2631" spans="2:33" ht="16">
      <c r="B2631" s="26" t="str">
        <f t="shared" si="11"/>
        <v/>
      </c>
      <c r="C2631" s="6"/>
      <c r="D2631" s="6"/>
      <c r="E2631" s="6"/>
      <c r="F2631" s="15"/>
      <c r="G2631" s="6"/>
      <c r="H2631" s="6"/>
      <c r="I2631" s="6"/>
      <c r="J2631" s="16"/>
      <c r="K2631" s="6"/>
      <c r="L2631" s="16"/>
      <c r="M2631" s="17"/>
      <c r="N2631" s="15"/>
      <c r="O2631" s="23"/>
      <c r="P2631" s="21"/>
      <c r="Q2631" s="6"/>
      <c r="R2631" s="6"/>
      <c r="S2631" s="20"/>
      <c r="T2631" s="6"/>
      <c r="U2631" s="21"/>
      <c r="W2631" s="20"/>
      <c r="X2631" s="21"/>
      <c r="AG2631" s="17"/>
    </row>
    <row r="2632" spans="2:33" ht="16">
      <c r="B2632" s="26" t="str">
        <f t="shared" si="11"/>
        <v/>
      </c>
      <c r="C2632" s="6"/>
      <c r="D2632" s="6"/>
      <c r="E2632" s="6"/>
      <c r="F2632" s="15"/>
      <c r="G2632" s="6"/>
      <c r="H2632" s="6"/>
      <c r="I2632" s="6"/>
      <c r="J2632" s="16"/>
      <c r="K2632" s="6"/>
      <c r="L2632" s="16"/>
      <c r="M2632" s="17"/>
      <c r="N2632" s="15"/>
      <c r="O2632" s="17"/>
      <c r="P2632" s="21"/>
      <c r="Q2632" s="6"/>
      <c r="R2632" s="6"/>
      <c r="S2632" s="20"/>
      <c r="T2632" s="6"/>
      <c r="U2632" s="21"/>
      <c r="W2632" s="20"/>
      <c r="X2632" s="21"/>
      <c r="AG2632" s="17"/>
    </row>
    <row r="2633" spans="2:33" ht="16">
      <c r="B2633" s="26" t="str">
        <f t="shared" si="11"/>
        <v/>
      </c>
      <c r="C2633" s="6"/>
      <c r="D2633" s="6"/>
      <c r="E2633" s="6"/>
      <c r="F2633" s="15"/>
      <c r="G2633" s="6"/>
      <c r="H2633" s="6"/>
      <c r="I2633" s="6"/>
      <c r="J2633" s="16"/>
      <c r="K2633" s="6"/>
      <c r="L2633" s="16"/>
      <c r="M2633" s="17"/>
      <c r="N2633" s="15"/>
      <c r="O2633" s="17"/>
      <c r="P2633" s="21"/>
      <c r="Q2633" s="6"/>
      <c r="R2633" s="6"/>
      <c r="S2633" s="20"/>
      <c r="T2633" s="6"/>
      <c r="U2633" s="21"/>
      <c r="W2633" s="20"/>
      <c r="X2633" s="21"/>
      <c r="AD2633" s="17"/>
      <c r="AG2633" s="17"/>
    </row>
    <row r="2634" spans="2:33" ht="16">
      <c r="B2634" s="26" t="str">
        <f t="shared" si="11"/>
        <v/>
      </c>
      <c r="C2634" s="6"/>
      <c r="D2634" s="6"/>
      <c r="E2634" s="6"/>
      <c r="F2634" s="15"/>
      <c r="G2634" s="6"/>
      <c r="H2634" s="6"/>
      <c r="I2634" s="6"/>
      <c r="J2634" s="16"/>
      <c r="K2634" s="6"/>
      <c r="L2634" s="16"/>
      <c r="M2634" s="17"/>
      <c r="N2634" s="15"/>
      <c r="O2634" s="23"/>
      <c r="P2634" s="21"/>
      <c r="Q2634" s="6"/>
      <c r="R2634" s="6"/>
      <c r="S2634" s="20"/>
      <c r="T2634" s="6"/>
      <c r="U2634" s="21"/>
      <c r="W2634" s="20"/>
      <c r="X2634" s="21"/>
      <c r="AG2634" s="17"/>
    </row>
    <row r="2635" spans="2:33" ht="16">
      <c r="B2635" s="26" t="str">
        <f t="shared" si="11"/>
        <v/>
      </c>
      <c r="C2635" s="6"/>
      <c r="D2635" s="6"/>
      <c r="E2635" s="6"/>
      <c r="F2635" s="15"/>
      <c r="G2635" s="6"/>
      <c r="H2635" s="6"/>
      <c r="I2635" s="6"/>
      <c r="J2635" s="16"/>
      <c r="K2635" s="6"/>
      <c r="L2635" s="16"/>
      <c r="M2635" s="17"/>
      <c r="N2635" s="15"/>
      <c r="O2635" s="17"/>
      <c r="P2635" s="21"/>
      <c r="Q2635" s="6"/>
      <c r="R2635" s="6"/>
      <c r="S2635" s="20"/>
      <c r="T2635" s="6"/>
      <c r="U2635" s="21"/>
      <c r="W2635" s="20"/>
      <c r="X2635" s="21"/>
      <c r="AD2635" s="17"/>
      <c r="AG2635" s="17"/>
    </row>
    <row r="2636" spans="2:33" ht="16">
      <c r="B2636" s="26" t="str">
        <f t="shared" si="11"/>
        <v/>
      </c>
      <c r="C2636" s="6"/>
      <c r="D2636" s="6"/>
      <c r="E2636" s="6"/>
      <c r="F2636" s="15"/>
      <c r="G2636" s="6"/>
      <c r="H2636" s="6"/>
      <c r="I2636" s="6"/>
      <c r="J2636" s="16"/>
      <c r="K2636" s="6"/>
      <c r="L2636" s="16"/>
      <c r="M2636" s="17"/>
      <c r="N2636" s="15"/>
      <c r="O2636" s="23"/>
      <c r="P2636" s="21"/>
      <c r="Q2636" s="6"/>
      <c r="R2636" s="6"/>
      <c r="S2636" s="20"/>
      <c r="T2636" s="6"/>
      <c r="U2636" s="21"/>
      <c r="W2636" s="20"/>
      <c r="X2636" s="21"/>
      <c r="AG2636" s="17"/>
    </row>
    <row r="2637" spans="2:33" ht="16">
      <c r="B2637" s="26" t="str">
        <f t="shared" si="11"/>
        <v/>
      </c>
      <c r="C2637" s="6"/>
      <c r="D2637" s="6"/>
      <c r="E2637" s="6"/>
      <c r="F2637" s="15"/>
      <c r="G2637" s="6"/>
      <c r="H2637" s="6"/>
      <c r="I2637" s="6"/>
      <c r="J2637" s="16"/>
      <c r="K2637" s="6"/>
      <c r="L2637" s="16"/>
      <c r="M2637" s="17"/>
      <c r="N2637" s="15"/>
      <c r="O2637" s="17"/>
      <c r="P2637" s="21"/>
      <c r="Q2637" s="6"/>
      <c r="R2637" s="6"/>
      <c r="S2637" s="20"/>
      <c r="T2637" s="6"/>
      <c r="U2637" s="21"/>
      <c r="W2637" s="20"/>
      <c r="X2637" s="21"/>
      <c r="AD2637" s="17"/>
      <c r="AG2637" s="17"/>
    </row>
    <row r="2638" spans="2:33" ht="16">
      <c r="B2638" s="26" t="str">
        <f t="shared" si="11"/>
        <v/>
      </c>
      <c r="C2638" s="6"/>
      <c r="D2638" s="6"/>
      <c r="E2638" s="6"/>
      <c r="F2638" s="15"/>
      <c r="G2638" s="6"/>
      <c r="H2638" s="6"/>
      <c r="I2638" s="6"/>
      <c r="J2638" s="16"/>
      <c r="K2638" s="6"/>
      <c r="L2638" s="16"/>
      <c r="M2638" s="17"/>
      <c r="N2638" s="15"/>
      <c r="O2638" s="17"/>
      <c r="P2638" s="21"/>
      <c r="Q2638" s="6"/>
      <c r="R2638" s="6"/>
      <c r="S2638" s="20"/>
      <c r="T2638" s="6"/>
      <c r="U2638" s="21"/>
      <c r="W2638" s="20"/>
      <c r="X2638" s="21"/>
      <c r="AG2638" s="17"/>
    </row>
    <row r="2639" spans="2:33" ht="16">
      <c r="B2639" s="26" t="str">
        <f t="shared" si="11"/>
        <v/>
      </c>
      <c r="C2639" s="6"/>
      <c r="D2639" s="6"/>
      <c r="E2639" s="6"/>
      <c r="F2639" s="15"/>
      <c r="G2639" s="6"/>
      <c r="H2639" s="6"/>
      <c r="I2639" s="6"/>
      <c r="J2639" s="16"/>
      <c r="K2639" s="6"/>
      <c r="L2639" s="16"/>
      <c r="M2639" s="17"/>
      <c r="N2639" s="15"/>
      <c r="O2639" s="23"/>
      <c r="P2639" s="21"/>
      <c r="Q2639" s="6"/>
      <c r="R2639" s="6"/>
      <c r="S2639" s="20"/>
      <c r="T2639" s="6"/>
      <c r="U2639" s="21"/>
      <c r="W2639" s="20"/>
      <c r="X2639" s="21"/>
      <c r="AG2639" s="17"/>
    </row>
    <row r="2640" spans="2:33" ht="16">
      <c r="B2640" s="26" t="str">
        <f t="shared" si="11"/>
        <v/>
      </c>
      <c r="C2640" s="6"/>
      <c r="D2640" s="6"/>
      <c r="E2640" s="6"/>
      <c r="F2640" s="15"/>
      <c r="G2640" s="6"/>
      <c r="H2640" s="6"/>
      <c r="I2640" s="6"/>
      <c r="J2640" s="16"/>
      <c r="K2640" s="6"/>
      <c r="L2640" s="16"/>
      <c r="M2640" s="17"/>
      <c r="N2640" s="15"/>
      <c r="O2640" s="23"/>
      <c r="P2640" s="21"/>
      <c r="Q2640" s="6"/>
      <c r="R2640" s="6"/>
      <c r="S2640" s="20"/>
      <c r="T2640" s="6"/>
      <c r="U2640" s="21"/>
      <c r="W2640" s="20"/>
      <c r="X2640" s="21"/>
      <c r="AG2640" s="17"/>
    </row>
    <row r="2641" spans="2:33" ht="16">
      <c r="B2641" s="26" t="str">
        <f t="shared" si="11"/>
        <v/>
      </c>
      <c r="C2641" s="6"/>
      <c r="D2641" s="6"/>
      <c r="E2641" s="6"/>
      <c r="F2641" s="15"/>
      <c r="G2641" s="6"/>
      <c r="H2641" s="6"/>
      <c r="I2641" s="6"/>
      <c r="J2641" s="16"/>
      <c r="K2641" s="6"/>
      <c r="L2641" s="16"/>
      <c r="M2641" s="17"/>
      <c r="N2641" s="15"/>
      <c r="O2641" s="23"/>
      <c r="P2641" s="21"/>
      <c r="Q2641" s="6"/>
      <c r="R2641" s="6"/>
      <c r="S2641" s="20"/>
      <c r="T2641" s="6"/>
      <c r="U2641" s="21"/>
      <c r="W2641" s="20"/>
      <c r="X2641" s="21"/>
      <c r="AG2641" s="17"/>
    </row>
    <row r="2642" spans="2:33" ht="16">
      <c r="B2642" s="26" t="str">
        <f t="shared" si="11"/>
        <v/>
      </c>
      <c r="C2642" s="6"/>
      <c r="D2642" s="6"/>
      <c r="E2642" s="6"/>
      <c r="F2642" s="15"/>
      <c r="G2642" s="6"/>
      <c r="H2642" s="6"/>
      <c r="I2642" s="6"/>
      <c r="J2642" s="16"/>
      <c r="K2642" s="6"/>
      <c r="L2642" s="16"/>
      <c r="M2642" s="17"/>
      <c r="N2642" s="15"/>
      <c r="O2642" s="23"/>
      <c r="P2642" s="21"/>
      <c r="Q2642" s="6"/>
      <c r="R2642" s="6"/>
      <c r="S2642" s="20"/>
      <c r="T2642" s="6"/>
      <c r="U2642" s="21"/>
      <c r="W2642" s="20"/>
      <c r="X2642" s="21"/>
      <c r="AG2642" s="17"/>
    </row>
    <row r="2643" spans="2:33" ht="16">
      <c r="B2643" s="26" t="str">
        <f t="shared" si="11"/>
        <v/>
      </c>
      <c r="C2643" s="6"/>
      <c r="D2643" s="6"/>
      <c r="E2643" s="6"/>
      <c r="F2643" s="15"/>
      <c r="G2643" s="6"/>
      <c r="H2643" s="6"/>
      <c r="I2643" s="6"/>
      <c r="J2643" s="16"/>
      <c r="K2643" s="6"/>
      <c r="L2643" s="16"/>
      <c r="M2643" s="17"/>
      <c r="N2643" s="15"/>
      <c r="O2643" s="23"/>
      <c r="P2643" s="21"/>
      <c r="Q2643" s="6"/>
      <c r="R2643" s="6"/>
      <c r="S2643" s="20"/>
      <c r="T2643" s="6"/>
      <c r="U2643" s="21"/>
      <c r="W2643" s="20"/>
      <c r="X2643" s="21"/>
      <c r="AD2643" s="17"/>
      <c r="AG2643" s="17"/>
    </row>
    <row r="2644" spans="2:33" ht="16">
      <c r="B2644" s="26" t="str">
        <f t="shared" si="11"/>
        <v/>
      </c>
      <c r="C2644" s="6"/>
      <c r="D2644" s="6"/>
      <c r="E2644" s="6"/>
      <c r="F2644" s="15"/>
      <c r="G2644" s="6"/>
      <c r="H2644" s="6"/>
      <c r="I2644" s="6"/>
      <c r="J2644" s="16"/>
      <c r="K2644" s="6"/>
      <c r="L2644" s="16"/>
      <c r="M2644" s="17"/>
      <c r="N2644" s="15"/>
      <c r="O2644" s="23"/>
      <c r="P2644" s="21"/>
      <c r="Q2644" s="6"/>
      <c r="R2644" s="6"/>
      <c r="S2644" s="20"/>
      <c r="T2644" s="6"/>
      <c r="U2644" s="21"/>
      <c r="W2644" s="20"/>
      <c r="X2644" s="21"/>
      <c r="AG2644" s="17"/>
    </row>
    <row r="2645" spans="2:33" ht="16">
      <c r="B2645" s="26" t="str">
        <f t="shared" si="11"/>
        <v/>
      </c>
      <c r="C2645" s="6"/>
      <c r="D2645" s="6"/>
      <c r="E2645" s="6"/>
      <c r="F2645" s="15"/>
      <c r="G2645" s="6"/>
      <c r="H2645" s="6"/>
      <c r="I2645" s="6"/>
      <c r="J2645" s="16"/>
      <c r="K2645" s="6"/>
      <c r="L2645" s="16"/>
      <c r="M2645" s="17"/>
      <c r="N2645" s="15"/>
      <c r="O2645" s="23"/>
      <c r="P2645" s="21"/>
      <c r="Q2645" s="6"/>
      <c r="R2645" s="6"/>
      <c r="S2645" s="20"/>
      <c r="T2645" s="6"/>
      <c r="U2645" s="21"/>
      <c r="W2645" s="20"/>
      <c r="X2645" s="21"/>
      <c r="AG2645" s="17"/>
    </row>
    <row r="2646" spans="2:33" ht="16">
      <c r="B2646" s="26" t="str">
        <f t="shared" si="11"/>
        <v/>
      </c>
      <c r="C2646" s="6"/>
      <c r="D2646" s="6"/>
      <c r="E2646" s="6"/>
      <c r="F2646" s="15"/>
      <c r="G2646" s="6"/>
      <c r="H2646" s="6"/>
      <c r="I2646" s="6"/>
      <c r="J2646" s="16"/>
      <c r="K2646" s="6"/>
      <c r="L2646" s="16"/>
      <c r="M2646" s="17"/>
      <c r="N2646" s="15"/>
      <c r="O2646" s="23"/>
      <c r="P2646" s="21"/>
      <c r="Q2646" s="6"/>
      <c r="R2646" s="6"/>
      <c r="S2646" s="20"/>
      <c r="T2646" s="6"/>
      <c r="U2646" s="21"/>
      <c r="W2646" s="20"/>
      <c r="X2646" s="21"/>
      <c r="AG2646" s="17"/>
    </row>
    <row r="2647" spans="2:33" ht="16">
      <c r="B2647" s="26" t="str">
        <f t="shared" si="11"/>
        <v/>
      </c>
      <c r="C2647" s="6"/>
      <c r="D2647" s="6"/>
      <c r="E2647" s="6"/>
      <c r="F2647" s="15"/>
      <c r="G2647" s="6"/>
      <c r="H2647" s="6"/>
      <c r="I2647" s="6"/>
      <c r="J2647" s="16"/>
      <c r="K2647" s="6"/>
      <c r="L2647" s="16"/>
      <c r="M2647" s="17"/>
      <c r="N2647" s="15"/>
      <c r="O2647" s="23"/>
      <c r="P2647" s="21"/>
      <c r="Q2647" s="6"/>
      <c r="R2647" s="6"/>
      <c r="S2647" s="20"/>
      <c r="T2647" s="6"/>
      <c r="U2647" s="21"/>
      <c r="W2647" s="20"/>
      <c r="X2647" s="21"/>
      <c r="AG2647" s="17"/>
    </row>
    <row r="2648" spans="2:33" ht="16">
      <c r="B2648" s="26" t="str">
        <f t="shared" si="11"/>
        <v/>
      </c>
      <c r="C2648" s="6"/>
      <c r="D2648" s="6"/>
      <c r="E2648" s="6"/>
      <c r="F2648" s="15"/>
      <c r="G2648" s="6"/>
      <c r="H2648" s="6"/>
      <c r="I2648" s="6"/>
      <c r="J2648" s="16"/>
      <c r="K2648" s="6"/>
      <c r="L2648" s="16"/>
      <c r="M2648" s="17"/>
      <c r="N2648" s="15"/>
      <c r="O2648" s="23"/>
      <c r="P2648" s="21"/>
      <c r="Q2648" s="6"/>
      <c r="R2648" s="6"/>
      <c r="S2648" s="20"/>
      <c r="T2648" s="6"/>
      <c r="U2648" s="21"/>
      <c r="W2648" s="20"/>
      <c r="X2648" s="21"/>
      <c r="AG2648" s="17"/>
    </row>
    <row r="2649" spans="2:33" ht="16">
      <c r="B2649" s="26" t="str">
        <f t="shared" si="11"/>
        <v/>
      </c>
      <c r="C2649" s="6"/>
      <c r="D2649" s="6"/>
      <c r="E2649" s="6"/>
      <c r="F2649" s="15"/>
      <c r="G2649" s="6"/>
      <c r="H2649" s="6"/>
      <c r="I2649" s="6"/>
      <c r="J2649" s="16"/>
      <c r="K2649" s="6"/>
      <c r="L2649" s="16"/>
      <c r="M2649" s="17"/>
      <c r="N2649" s="15"/>
      <c r="O2649" s="17"/>
      <c r="P2649" s="21"/>
      <c r="Q2649" s="6"/>
      <c r="R2649" s="6"/>
      <c r="S2649" s="20"/>
      <c r="T2649" s="6"/>
      <c r="U2649" s="21"/>
      <c r="W2649" s="20"/>
      <c r="X2649" s="21"/>
      <c r="AG2649" s="17"/>
    </row>
    <row r="2650" spans="2:33" ht="16">
      <c r="B2650" s="26" t="str">
        <f t="shared" si="11"/>
        <v/>
      </c>
      <c r="C2650" s="6"/>
      <c r="D2650" s="6"/>
      <c r="E2650" s="6"/>
      <c r="F2650" s="15"/>
      <c r="G2650" s="6"/>
      <c r="H2650" s="6"/>
      <c r="I2650" s="6"/>
      <c r="J2650" s="16"/>
      <c r="K2650" s="6"/>
      <c r="L2650" s="16"/>
      <c r="M2650" s="17"/>
      <c r="N2650" s="15"/>
      <c r="O2650" s="17"/>
      <c r="P2650" s="21"/>
      <c r="Q2650" s="6"/>
      <c r="R2650" s="6"/>
      <c r="S2650" s="20"/>
      <c r="T2650" s="6"/>
      <c r="U2650" s="21"/>
      <c r="W2650" s="20"/>
      <c r="X2650" s="21"/>
      <c r="AG2650" s="17"/>
    </row>
    <row r="2651" spans="2:33" ht="16">
      <c r="B2651" s="26" t="str">
        <f t="shared" si="11"/>
        <v/>
      </c>
      <c r="C2651" s="6"/>
      <c r="D2651" s="6"/>
      <c r="E2651" s="6"/>
      <c r="F2651" s="15"/>
      <c r="G2651" s="6"/>
      <c r="H2651" s="6"/>
      <c r="I2651" s="6"/>
      <c r="J2651" s="16"/>
      <c r="K2651" s="6"/>
      <c r="L2651" s="16"/>
      <c r="M2651" s="17"/>
      <c r="N2651" s="15"/>
      <c r="O2651" s="23"/>
      <c r="P2651" s="21"/>
      <c r="Q2651" s="6"/>
      <c r="R2651" s="6"/>
      <c r="S2651" s="20"/>
      <c r="T2651" s="6"/>
      <c r="U2651" s="21"/>
      <c r="W2651" s="20"/>
      <c r="X2651" s="21"/>
      <c r="AG2651" s="17"/>
    </row>
    <row r="2652" spans="2:33" ht="16">
      <c r="B2652" s="26" t="str">
        <f t="shared" si="11"/>
        <v/>
      </c>
      <c r="C2652" s="6"/>
      <c r="D2652" s="6"/>
      <c r="E2652" s="6"/>
      <c r="F2652" s="15"/>
      <c r="G2652" s="6"/>
      <c r="H2652" s="6"/>
      <c r="I2652" s="6"/>
      <c r="J2652" s="16"/>
      <c r="K2652" s="6"/>
      <c r="L2652" s="16"/>
      <c r="M2652" s="17"/>
      <c r="N2652" s="15"/>
      <c r="O2652" s="23"/>
      <c r="P2652" s="21"/>
      <c r="Q2652" s="6"/>
      <c r="R2652" s="6"/>
      <c r="S2652" s="20"/>
      <c r="T2652" s="6"/>
      <c r="U2652" s="21"/>
      <c r="W2652" s="20"/>
      <c r="X2652" s="21"/>
      <c r="AD2652" s="17"/>
      <c r="AG2652" s="17"/>
    </row>
    <row r="2653" spans="2:33" ht="16">
      <c r="B2653" s="26" t="str">
        <f t="shared" si="11"/>
        <v/>
      </c>
      <c r="C2653" s="6"/>
      <c r="D2653" s="6"/>
      <c r="E2653" s="6"/>
      <c r="F2653" s="15"/>
      <c r="G2653" s="6"/>
      <c r="H2653" s="6"/>
      <c r="I2653" s="6"/>
      <c r="J2653" s="16"/>
      <c r="K2653" s="6"/>
      <c r="L2653" s="16"/>
      <c r="M2653" s="17"/>
      <c r="N2653" s="15"/>
      <c r="O2653" s="23"/>
      <c r="P2653" s="21"/>
      <c r="Q2653" s="6"/>
      <c r="R2653" s="6"/>
      <c r="S2653" s="20"/>
      <c r="T2653" s="6"/>
      <c r="U2653" s="21"/>
      <c r="W2653" s="20"/>
      <c r="X2653" s="21"/>
      <c r="AG2653" s="17"/>
    </row>
    <row r="2654" spans="2:33" ht="16">
      <c r="B2654" s="26" t="str">
        <f t="shared" si="11"/>
        <v/>
      </c>
      <c r="C2654" s="6"/>
      <c r="D2654" s="6"/>
      <c r="E2654" s="6"/>
      <c r="F2654" s="15"/>
      <c r="G2654" s="6"/>
      <c r="H2654" s="6"/>
      <c r="I2654" s="6"/>
      <c r="J2654" s="16"/>
      <c r="K2654" s="6"/>
      <c r="L2654" s="16"/>
      <c r="M2654" s="17"/>
      <c r="N2654" s="15"/>
      <c r="O2654" s="23"/>
      <c r="P2654" s="21"/>
      <c r="Q2654" s="6"/>
      <c r="R2654" s="6"/>
      <c r="S2654" s="20"/>
      <c r="T2654" s="6"/>
      <c r="U2654" s="21"/>
      <c r="W2654" s="20"/>
      <c r="X2654" s="21"/>
      <c r="AG2654" s="17"/>
    </row>
    <row r="2655" spans="2:33" ht="16">
      <c r="B2655" s="26" t="str">
        <f t="shared" si="11"/>
        <v/>
      </c>
      <c r="C2655" s="6"/>
      <c r="D2655" s="6"/>
      <c r="E2655" s="6"/>
      <c r="F2655" s="15"/>
      <c r="G2655" s="6"/>
      <c r="H2655" s="6"/>
      <c r="I2655" s="6"/>
      <c r="J2655" s="16"/>
      <c r="K2655" s="6"/>
      <c r="L2655" s="16"/>
      <c r="M2655" s="17"/>
      <c r="N2655" s="15"/>
      <c r="O2655" s="23"/>
      <c r="P2655" s="21"/>
      <c r="Q2655" s="6"/>
      <c r="R2655" s="6"/>
      <c r="S2655" s="20"/>
      <c r="T2655" s="6"/>
      <c r="U2655" s="21"/>
      <c r="W2655" s="20"/>
      <c r="X2655" s="21"/>
      <c r="AG2655" s="17"/>
    </row>
    <row r="2656" spans="2:33" ht="16">
      <c r="B2656" s="26" t="str">
        <f t="shared" si="11"/>
        <v/>
      </c>
      <c r="C2656" s="6"/>
      <c r="D2656" s="6"/>
      <c r="E2656" s="6"/>
      <c r="F2656" s="15"/>
      <c r="G2656" s="6"/>
      <c r="H2656" s="6"/>
      <c r="I2656" s="6"/>
      <c r="J2656" s="16"/>
      <c r="K2656" s="6"/>
      <c r="L2656" s="16"/>
      <c r="M2656" s="17"/>
      <c r="N2656" s="15"/>
      <c r="O2656" s="23"/>
      <c r="P2656" s="21"/>
      <c r="Q2656" s="6"/>
      <c r="R2656" s="6"/>
      <c r="S2656" s="20"/>
      <c r="T2656" s="6"/>
      <c r="U2656" s="21"/>
      <c r="W2656" s="20"/>
      <c r="X2656" s="21"/>
      <c r="AG2656" s="23"/>
    </row>
    <row r="2657" spans="2:33" ht="16">
      <c r="B2657" s="26" t="str">
        <f t="shared" si="11"/>
        <v/>
      </c>
      <c r="C2657" s="6"/>
      <c r="D2657" s="6"/>
      <c r="E2657" s="6"/>
      <c r="F2657" s="15"/>
      <c r="G2657" s="6"/>
      <c r="H2657" s="6"/>
      <c r="I2657" s="6"/>
      <c r="J2657" s="16"/>
      <c r="K2657" s="6"/>
      <c r="L2657" s="16"/>
      <c r="M2657" s="17"/>
      <c r="N2657" s="15"/>
      <c r="O2657" s="17"/>
      <c r="P2657" s="21"/>
      <c r="Q2657" s="6"/>
      <c r="R2657" s="6"/>
      <c r="S2657" s="20"/>
      <c r="T2657" s="6"/>
      <c r="U2657" s="21"/>
      <c r="W2657" s="20"/>
      <c r="X2657" s="21"/>
      <c r="AD2657" s="17"/>
      <c r="AG2657" s="17"/>
    </row>
    <row r="2658" spans="2:33" ht="16">
      <c r="B2658" s="26" t="str">
        <f t="shared" si="11"/>
        <v/>
      </c>
      <c r="C2658" s="6"/>
      <c r="D2658" s="6"/>
      <c r="E2658" s="6"/>
      <c r="F2658" s="15"/>
      <c r="G2658" s="6"/>
      <c r="H2658" s="6"/>
      <c r="I2658" s="6"/>
      <c r="J2658" s="16"/>
      <c r="K2658" s="6"/>
      <c r="L2658" s="16"/>
      <c r="M2658" s="17"/>
      <c r="N2658" s="15"/>
      <c r="O2658" s="23"/>
      <c r="P2658" s="21"/>
      <c r="Q2658" s="6"/>
      <c r="R2658" s="6"/>
      <c r="S2658" s="20"/>
      <c r="T2658" s="6"/>
      <c r="U2658" s="21"/>
      <c r="W2658" s="20"/>
      <c r="X2658" s="21"/>
      <c r="AG2658" s="17"/>
    </row>
    <row r="2659" spans="2:33" ht="16">
      <c r="B2659" s="26" t="str">
        <f t="shared" si="11"/>
        <v/>
      </c>
      <c r="C2659" s="6"/>
      <c r="D2659" s="6"/>
      <c r="E2659" s="6"/>
      <c r="F2659" s="15"/>
      <c r="G2659" s="6"/>
      <c r="H2659" s="6"/>
      <c r="I2659" s="6"/>
      <c r="J2659" s="16"/>
      <c r="K2659" s="6"/>
      <c r="L2659" s="16"/>
      <c r="M2659" s="17"/>
      <c r="N2659" s="15"/>
      <c r="O2659" s="17"/>
      <c r="P2659" s="21"/>
      <c r="Q2659" s="6"/>
      <c r="R2659" s="6"/>
      <c r="S2659" s="20"/>
      <c r="T2659" s="6"/>
      <c r="U2659" s="21"/>
      <c r="W2659" s="20"/>
      <c r="X2659" s="21"/>
      <c r="AD2659" s="17"/>
      <c r="AG2659" s="17"/>
    </row>
    <row r="2660" spans="2:33" ht="16">
      <c r="B2660" s="26" t="str">
        <f t="shared" si="11"/>
        <v/>
      </c>
      <c r="C2660" s="6"/>
      <c r="D2660" s="6"/>
      <c r="E2660" s="6"/>
      <c r="F2660" s="15"/>
      <c r="G2660" s="6"/>
      <c r="H2660" s="6"/>
      <c r="I2660" s="6"/>
      <c r="J2660" s="16"/>
      <c r="K2660" s="6"/>
      <c r="L2660" s="16"/>
      <c r="M2660" s="23"/>
      <c r="N2660" s="15"/>
      <c r="O2660" s="23"/>
      <c r="P2660" s="21"/>
      <c r="Q2660" s="6"/>
      <c r="R2660" s="6"/>
      <c r="S2660" s="20"/>
      <c r="T2660" s="6"/>
      <c r="U2660" s="21"/>
      <c r="W2660" s="20"/>
      <c r="X2660" s="21"/>
      <c r="AD2660" s="23"/>
      <c r="AG2660" s="17"/>
    </row>
    <row r="2661" spans="2:33" ht="16">
      <c r="B2661" s="26" t="str">
        <f t="shared" si="11"/>
        <v/>
      </c>
      <c r="C2661" s="6"/>
      <c r="D2661" s="6"/>
      <c r="E2661" s="6"/>
      <c r="F2661" s="15"/>
      <c r="G2661" s="6"/>
      <c r="H2661" s="6"/>
      <c r="I2661" s="6"/>
      <c r="J2661" s="16"/>
      <c r="K2661" s="6"/>
      <c r="L2661" s="16"/>
      <c r="M2661" s="23"/>
      <c r="N2661" s="15"/>
      <c r="O2661" s="17"/>
      <c r="P2661" s="21"/>
      <c r="Q2661" s="6"/>
      <c r="R2661" s="6"/>
      <c r="S2661" s="20"/>
      <c r="T2661" s="6"/>
      <c r="U2661" s="21"/>
      <c r="W2661" s="20"/>
      <c r="X2661" s="21"/>
      <c r="AD2661" s="17"/>
      <c r="AG2661" s="17"/>
    </row>
    <row r="2662" spans="2:33" ht="16">
      <c r="B2662" s="26" t="str">
        <f t="shared" si="11"/>
        <v/>
      </c>
      <c r="C2662" s="6"/>
      <c r="D2662" s="6"/>
      <c r="E2662" s="6"/>
      <c r="F2662" s="15"/>
      <c r="G2662" s="6"/>
      <c r="H2662" s="6"/>
      <c r="I2662" s="6"/>
      <c r="J2662" s="16"/>
      <c r="K2662" s="6"/>
      <c r="L2662" s="16"/>
      <c r="M2662" s="23"/>
      <c r="N2662" s="15"/>
      <c r="O2662" s="23"/>
      <c r="P2662" s="21"/>
      <c r="Q2662" s="6"/>
      <c r="R2662" s="6"/>
      <c r="S2662" s="20"/>
      <c r="T2662" s="6"/>
      <c r="U2662" s="21"/>
      <c r="W2662" s="20"/>
      <c r="X2662" s="21"/>
      <c r="AD2662" s="23"/>
      <c r="AG2662" s="17"/>
    </row>
    <row r="2663" spans="2:33" ht="16">
      <c r="B2663" s="26" t="str">
        <f t="shared" si="11"/>
        <v/>
      </c>
      <c r="C2663" s="6"/>
      <c r="D2663" s="6"/>
      <c r="E2663" s="6"/>
      <c r="F2663" s="15"/>
      <c r="G2663" s="6"/>
      <c r="H2663" s="6"/>
      <c r="I2663" s="6"/>
      <c r="J2663" s="16"/>
      <c r="K2663" s="6"/>
      <c r="L2663" s="16"/>
      <c r="M2663" s="17"/>
      <c r="N2663" s="15"/>
      <c r="O2663" s="17"/>
      <c r="P2663" s="21"/>
      <c r="Q2663" s="6"/>
      <c r="R2663" s="6"/>
      <c r="S2663" s="20"/>
      <c r="T2663" s="6"/>
      <c r="U2663" s="21"/>
      <c r="W2663" s="20"/>
      <c r="X2663" s="21"/>
      <c r="AD2663" s="17"/>
      <c r="AG2663" s="17"/>
    </row>
    <row r="2664" spans="2:33" ht="16">
      <c r="B2664" s="26" t="str">
        <f t="shared" si="11"/>
        <v/>
      </c>
      <c r="C2664" s="6"/>
      <c r="D2664" s="6"/>
      <c r="E2664" s="6"/>
      <c r="F2664" s="15"/>
      <c r="G2664" s="6"/>
      <c r="H2664" s="6"/>
      <c r="I2664" s="6"/>
      <c r="J2664" s="16"/>
      <c r="K2664" s="6"/>
      <c r="L2664" s="16"/>
      <c r="M2664" s="23"/>
      <c r="N2664" s="15"/>
      <c r="O2664" s="23"/>
      <c r="P2664" s="21"/>
      <c r="Q2664" s="6"/>
      <c r="R2664" s="6"/>
      <c r="S2664" s="20"/>
      <c r="T2664" s="6"/>
      <c r="U2664" s="21"/>
      <c r="W2664" s="20"/>
      <c r="X2664" s="21"/>
      <c r="AD2664" s="23"/>
      <c r="AG2664" s="23"/>
    </row>
    <row r="2665" spans="2:33" ht="16">
      <c r="B2665" s="26" t="str">
        <f t="shared" si="11"/>
        <v/>
      </c>
      <c r="C2665" s="6"/>
      <c r="D2665" s="6"/>
      <c r="E2665" s="6"/>
      <c r="F2665" s="15"/>
      <c r="G2665" s="6"/>
      <c r="H2665" s="6"/>
      <c r="I2665" s="6"/>
      <c r="J2665" s="16"/>
      <c r="K2665" s="6"/>
      <c r="L2665" s="16"/>
      <c r="M2665" s="23"/>
      <c r="N2665" s="15"/>
      <c r="O2665" s="23"/>
      <c r="P2665" s="21"/>
      <c r="Q2665" s="6"/>
      <c r="R2665" s="6"/>
      <c r="S2665" s="20"/>
      <c r="T2665" s="6"/>
      <c r="U2665" s="21"/>
      <c r="W2665" s="20"/>
      <c r="X2665" s="21"/>
      <c r="AD2665" s="23"/>
      <c r="AG2665" s="17"/>
    </row>
    <row r="2666" spans="2:33" ht="16">
      <c r="B2666" s="26" t="str">
        <f t="shared" si="11"/>
        <v/>
      </c>
      <c r="C2666" s="6"/>
      <c r="D2666" s="6"/>
      <c r="E2666" s="6"/>
      <c r="F2666" s="15"/>
      <c r="G2666" s="6"/>
      <c r="H2666" s="6"/>
      <c r="I2666" s="6"/>
      <c r="J2666" s="16"/>
      <c r="K2666" s="6"/>
      <c r="L2666" s="16"/>
      <c r="M2666" s="23"/>
      <c r="N2666" s="15"/>
      <c r="O2666" s="23"/>
      <c r="P2666" s="21"/>
      <c r="Q2666" s="6"/>
      <c r="R2666" s="6"/>
      <c r="S2666" s="20"/>
      <c r="T2666" s="6"/>
      <c r="U2666" s="21"/>
      <c r="W2666" s="20"/>
      <c r="X2666" s="21"/>
      <c r="AD2666" s="23"/>
      <c r="AG2666" s="17"/>
    </row>
    <row r="2667" spans="2:33" ht="16">
      <c r="B2667" s="26" t="str">
        <f t="shared" si="11"/>
        <v/>
      </c>
      <c r="C2667" s="6"/>
      <c r="D2667" s="6"/>
      <c r="E2667" s="6"/>
      <c r="F2667" s="15"/>
      <c r="G2667" s="6"/>
      <c r="H2667" s="6"/>
      <c r="I2667" s="6"/>
      <c r="J2667" s="16"/>
      <c r="K2667" s="6"/>
      <c r="L2667" s="16"/>
      <c r="M2667" s="23"/>
      <c r="N2667" s="15"/>
      <c r="O2667" s="17"/>
      <c r="P2667" s="21"/>
      <c r="Q2667" s="6"/>
      <c r="R2667" s="6"/>
      <c r="S2667" s="20"/>
      <c r="T2667" s="6"/>
      <c r="U2667" s="21"/>
      <c r="W2667" s="20"/>
      <c r="X2667" s="21"/>
      <c r="AD2667" s="23"/>
      <c r="AG2667" s="17"/>
    </row>
    <row r="2668" spans="2:33" ht="16">
      <c r="B2668" s="26" t="str">
        <f t="shared" si="11"/>
        <v/>
      </c>
      <c r="C2668" s="6"/>
      <c r="D2668" s="6"/>
      <c r="E2668" s="6"/>
      <c r="F2668" s="15"/>
      <c r="G2668" s="6"/>
      <c r="H2668" s="6"/>
      <c r="I2668" s="6"/>
      <c r="J2668" s="16"/>
      <c r="K2668" s="6"/>
      <c r="L2668" s="16"/>
      <c r="M2668" s="17"/>
      <c r="N2668" s="15"/>
      <c r="O2668" s="17"/>
      <c r="P2668" s="21"/>
      <c r="Q2668" s="6"/>
      <c r="R2668" s="6"/>
      <c r="S2668" s="20"/>
      <c r="T2668" s="6"/>
      <c r="U2668" s="21"/>
      <c r="W2668" s="20"/>
      <c r="X2668" s="21"/>
      <c r="AD2668" s="17"/>
      <c r="AG2668" s="23"/>
    </row>
    <row r="2669" spans="2:33" ht="16">
      <c r="B2669" s="26" t="str">
        <f t="shared" si="11"/>
        <v/>
      </c>
      <c r="C2669" s="6"/>
      <c r="D2669" s="6"/>
      <c r="E2669" s="6"/>
      <c r="F2669" s="15"/>
      <c r="G2669" s="6"/>
      <c r="H2669" s="6"/>
      <c r="I2669" s="6"/>
      <c r="J2669" s="16"/>
      <c r="K2669" s="6"/>
      <c r="L2669" s="16"/>
      <c r="M2669" s="23"/>
      <c r="N2669" s="15"/>
      <c r="O2669" s="23"/>
      <c r="P2669" s="21"/>
      <c r="Q2669" s="6"/>
      <c r="R2669" s="6"/>
      <c r="S2669" s="20"/>
      <c r="T2669" s="6"/>
      <c r="U2669" s="21"/>
      <c r="W2669" s="20"/>
      <c r="X2669" s="21"/>
      <c r="AD2669" s="17"/>
      <c r="AG2669" s="17"/>
    </row>
    <row r="2670" spans="2:33" ht="16">
      <c r="B2670" s="26" t="str">
        <f t="shared" si="11"/>
        <v/>
      </c>
      <c r="C2670" s="6"/>
      <c r="D2670" s="6"/>
      <c r="E2670" s="6"/>
      <c r="F2670" s="15"/>
      <c r="G2670" s="6"/>
      <c r="H2670" s="6"/>
      <c r="I2670" s="6"/>
      <c r="J2670" s="16"/>
      <c r="K2670" s="6"/>
      <c r="L2670" s="16"/>
      <c r="M2670" s="17"/>
      <c r="N2670" s="15"/>
      <c r="O2670" s="17"/>
      <c r="P2670" s="21"/>
      <c r="Q2670" s="6"/>
      <c r="R2670" s="6"/>
      <c r="S2670" s="20"/>
      <c r="T2670" s="6"/>
      <c r="U2670" s="21"/>
      <c r="W2670" s="20"/>
      <c r="X2670" s="21"/>
      <c r="AD2670" s="17"/>
      <c r="AG2670" s="17"/>
    </row>
    <row r="2671" spans="2:33" ht="16">
      <c r="B2671" s="26" t="str">
        <f t="shared" si="11"/>
        <v/>
      </c>
      <c r="C2671" s="6"/>
      <c r="D2671" s="6"/>
      <c r="E2671" s="6"/>
      <c r="F2671" s="15"/>
      <c r="G2671" s="6"/>
      <c r="H2671" s="6"/>
      <c r="I2671" s="6"/>
      <c r="J2671" s="16"/>
      <c r="K2671" s="6"/>
      <c r="L2671" s="16"/>
      <c r="M2671" s="23"/>
      <c r="N2671" s="15"/>
      <c r="O2671" s="23"/>
      <c r="P2671" s="21"/>
      <c r="Q2671" s="6"/>
      <c r="R2671" s="6"/>
      <c r="S2671" s="20"/>
      <c r="T2671" s="6"/>
      <c r="U2671" s="21"/>
      <c r="W2671" s="20"/>
      <c r="X2671" s="21"/>
      <c r="AD2671" s="23"/>
      <c r="AG2671" s="17"/>
    </row>
    <row r="2672" spans="2:33" ht="16">
      <c r="B2672" s="26" t="str">
        <f t="shared" si="11"/>
        <v/>
      </c>
      <c r="C2672" s="6"/>
      <c r="D2672" s="6"/>
      <c r="E2672" s="6"/>
      <c r="F2672" s="15"/>
      <c r="G2672" s="6"/>
      <c r="H2672" s="6"/>
      <c r="I2672" s="6"/>
      <c r="J2672" s="16"/>
      <c r="K2672" s="6"/>
      <c r="L2672" s="16"/>
      <c r="M2672" s="17"/>
      <c r="N2672" s="15"/>
      <c r="O2672" s="17"/>
      <c r="P2672" s="21"/>
      <c r="Q2672" s="6"/>
      <c r="R2672" s="6"/>
      <c r="S2672" s="20"/>
      <c r="T2672" s="6"/>
      <c r="U2672" s="21"/>
      <c r="W2672" s="20"/>
      <c r="X2672" s="21"/>
      <c r="AD2672" s="17"/>
      <c r="AG2672" s="23"/>
    </row>
    <row r="2673" spans="2:33" ht="16">
      <c r="B2673" s="26" t="str">
        <f t="shared" si="11"/>
        <v/>
      </c>
      <c r="C2673" s="6"/>
      <c r="D2673" s="6"/>
      <c r="E2673" s="6"/>
      <c r="F2673" s="15"/>
      <c r="G2673" s="6"/>
      <c r="H2673" s="6"/>
      <c r="I2673" s="6"/>
      <c r="J2673" s="16"/>
      <c r="K2673" s="6"/>
      <c r="L2673" s="16"/>
      <c r="M2673" s="23"/>
      <c r="N2673" s="15"/>
      <c r="O2673" s="23"/>
      <c r="P2673" s="21"/>
      <c r="Q2673" s="6"/>
      <c r="R2673" s="6"/>
      <c r="S2673" s="20"/>
      <c r="T2673" s="6"/>
      <c r="U2673" s="21"/>
      <c r="W2673" s="20"/>
      <c r="X2673" s="21"/>
      <c r="AD2673" s="23"/>
      <c r="AG2673" s="17"/>
    </row>
    <row r="2674" spans="2:33" ht="16">
      <c r="B2674" s="26" t="str">
        <f t="shared" si="11"/>
        <v/>
      </c>
      <c r="C2674" s="6"/>
      <c r="D2674" s="6"/>
      <c r="E2674" s="6"/>
      <c r="F2674" s="15"/>
      <c r="G2674" s="6"/>
      <c r="H2674" s="6"/>
      <c r="I2674" s="6"/>
      <c r="J2674" s="16"/>
      <c r="K2674" s="6"/>
      <c r="L2674" s="16"/>
      <c r="M2674" s="23"/>
      <c r="N2674" s="15"/>
      <c r="O2674" s="23"/>
      <c r="P2674" s="21"/>
      <c r="Q2674" s="6"/>
      <c r="R2674" s="6"/>
      <c r="S2674" s="20"/>
      <c r="T2674" s="6"/>
      <c r="U2674" s="21"/>
      <c r="W2674" s="20"/>
      <c r="X2674" s="21"/>
      <c r="AD2674" s="23"/>
      <c r="AG2674" s="17"/>
    </row>
    <row r="2675" spans="2:33" ht="16">
      <c r="B2675" s="26" t="str">
        <f t="shared" si="11"/>
        <v/>
      </c>
      <c r="C2675" s="6"/>
      <c r="D2675" s="6"/>
      <c r="E2675" s="6"/>
      <c r="F2675" s="15"/>
      <c r="G2675" s="6"/>
      <c r="H2675" s="6"/>
      <c r="I2675" s="6"/>
      <c r="J2675" s="16"/>
      <c r="K2675" s="6"/>
      <c r="L2675" s="16"/>
      <c r="M2675" s="23"/>
      <c r="N2675" s="15"/>
      <c r="O2675" s="17"/>
      <c r="P2675" s="21"/>
      <c r="Q2675" s="6"/>
      <c r="R2675" s="6"/>
      <c r="S2675" s="20"/>
      <c r="T2675" s="6"/>
      <c r="U2675" s="21"/>
      <c r="W2675" s="20"/>
      <c r="X2675" s="21"/>
      <c r="AD2675" s="17"/>
      <c r="AG2675" s="17"/>
    </row>
    <row r="2676" spans="2:33" ht="16">
      <c r="B2676" s="26" t="str">
        <f t="shared" si="11"/>
        <v/>
      </c>
      <c r="C2676" s="6"/>
      <c r="D2676" s="6"/>
      <c r="E2676" s="6"/>
      <c r="F2676" s="15"/>
      <c r="G2676" s="6"/>
      <c r="H2676" s="6"/>
      <c r="I2676" s="6"/>
      <c r="J2676" s="16"/>
      <c r="K2676" s="6"/>
      <c r="L2676" s="16"/>
      <c r="M2676" s="23"/>
      <c r="N2676" s="15"/>
      <c r="O2676" s="23"/>
      <c r="P2676" s="21"/>
      <c r="Q2676" s="6"/>
      <c r="R2676" s="6"/>
      <c r="S2676" s="20"/>
      <c r="T2676" s="6"/>
      <c r="U2676" s="21"/>
      <c r="W2676" s="20"/>
      <c r="X2676" s="21"/>
      <c r="AD2676" s="17"/>
      <c r="AG2676" s="17"/>
    </row>
    <row r="2677" spans="2:33" ht="16">
      <c r="B2677" s="26" t="str">
        <f t="shared" si="11"/>
        <v/>
      </c>
      <c r="C2677" s="6"/>
      <c r="D2677" s="6"/>
      <c r="E2677" s="6"/>
      <c r="F2677" s="15"/>
      <c r="G2677" s="6"/>
      <c r="H2677" s="6"/>
      <c r="I2677" s="6"/>
      <c r="J2677" s="16"/>
      <c r="K2677" s="6"/>
      <c r="L2677" s="16"/>
      <c r="M2677" s="23"/>
      <c r="N2677" s="15"/>
      <c r="O2677" s="23"/>
      <c r="P2677" s="21"/>
      <c r="Q2677" s="6"/>
      <c r="R2677" s="6"/>
      <c r="S2677" s="20"/>
      <c r="T2677" s="6"/>
      <c r="U2677" s="21"/>
      <c r="W2677" s="20"/>
      <c r="X2677" s="21"/>
      <c r="AD2677" s="23"/>
      <c r="AG2677" s="17"/>
    </row>
    <row r="2678" spans="2:33" ht="16">
      <c r="B2678" s="26" t="str">
        <f t="shared" si="11"/>
        <v/>
      </c>
      <c r="C2678" s="6"/>
      <c r="D2678" s="6"/>
      <c r="E2678" s="6"/>
      <c r="F2678" s="15"/>
      <c r="G2678" s="6"/>
      <c r="H2678" s="6"/>
      <c r="I2678" s="6"/>
      <c r="J2678" s="16"/>
      <c r="K2678" s="6"/>
      <c r="L2678" s="16"/>
      <c r="M2678" s="23"/>
      <c r="N2678" s="15"/>
      <c r="O2678" s="23"/>
      <c r="P2678" s="21"/>
      <c r="Q2678" s="6"/>
      <c r="R2678" s="6"/>
      <c r="S2678" s="20"/>
      <c r="T2678" s="6"/>
      <c r="U2678" s="21"/>
      <c r="W2678" s="20"/>
      <c r="X2678" s="21"/>
      <c r="AD2678" s="17"/>
      <c r="AG2678" s="17"/>
    </row>
    <row r="2679" spans="2:33" ht="16">
      <c r="B2679" s="26" t="str">
        <f t="shared" si="11"/>
        <v/>
      </c>
      <c r="C2679" s="6"/>
      <c r="D2679" s="6"/>
      <c r="E2679" s="6"/>
      <c r="F2679" s="15"/>
      <c r="G2679" s="6"/>
      <c r="H2679" s="6"/>
      <c r="I2679" s="6"/>
      <c r="J2679" s="16"/>
      <c r="K2679" s="6"/>
      <c r="L2679" s="16"/>
      <c r="M2679" s="23"/>
      <c r="N2679" s="15"/>
      <c r="O2679" s="23"/>
      <c r="P2679" s="21"/>
      <c r="Q2679" s="6"/>
      <c r="R2679" s="6"/>
      <c r="S2679" s="20"/>
      <c r="T2679" s="6"/>
      <c r="U2679" s="21"/>
      <c r="W2679" s="20"/>
      <c r="X2679" s="21"/>
      <c r="AD2679" s="17"/>
      <c r="AG2679" s="17"/>
    </row>
    <row r="2680" spans="2:33" ht="16">
      <c r="B2680" s="26" t="str">
        <f t="shared" si="11"/>
        <v/>
      </c>
      <c r="C2680" s="6"/>
      <c r="D2680" s="6"/>
      <c r="E2680" s="6"/>
      <c r="F2680" s="15"/>
      <c r="G2680" s="6"/>
      <c r="H2680" s="6"/>
      <c r="I2680" s="6"/>
      <c r="J2680" s="16"/>
      <c r="K2680" s="6"/>
      <c r="L2680" s="16"/>
      <c r="M2680" s="23"/>
      <c r="N2680" s="15"/>
      <c r="O2680" s="23"/>
      <c r="P2680" s="21"/>
      <c r="Q2680" s="6"/>
      <c r="R2680" s="6"/>
      <c r="S2680" s="20"/>
      <c r="T2680" s="6"/>
      <c r="U2680" s="21"/>
      <c r="W2680" s="20"/>
      <c r="X2680" s="21"/>
      <c r="AD2680" s="23"/>
      <c r="AG2680" s="17"/>
    </row>
    <row r="2681" spans="2:33" ht="16">
      <c r="B2681" s="26" t="str">
        <f t="shared" si="11"/>
        <v/>
      </c>
      <c r="C2681" s="6"/>
      <c r="D2681" s="6"/>
      <c r="E2681" s="6"/>
      <c r="F2681" s="15"/>
      <c r="G2681" s="6"/>
      <c r="H2681" s="6"/>
      <c r="I2681" s="6"/>
      <c r="J2681" s="16"/>
      <c r="K2681" s="6"/>
      <c r="L2681" s="16"/>
      <c r="M2681" s="23"/>
      <c r="N2681" s="15"/>
      <c r="O2681" s="23"/>
      <c r="P2681" s="21"/>
      <c r="Q2681" s="6"/>
      <c r="R2681" s="6"/>
      <c r="S2681" s="20"/>
      <c r="T2681" s="6"/>
      <c r="U2681" s="21"/>
      <c r="W2681" s="20"/>
      <c r="X2681" s="21"/>
      <c r="AD2681" s="17"/>
      <c r="AG2681" s="17"/>
    </row>
    <row r="2682" spans="2:33" ht="16">
      <c r="B2682" s="26" t="str">
        <f t="shared" si="11"/>
        <v/>
      </c>
      <c r="C2682" s="6"/>
      <c r="D2682" s="6"/>
      <c r="E2682" s="6"/>
      <c r="F2682" s="15"/>
      <c r="G2682" s="6"/>
      <c r="H2682" s="6"/>
      <c r="I2682" s="6"/>
      <c r="J2682" s="16"/>
      <c r="K2682" s="6"/>
      <c r="L2682" s="16"/>
      <c r="M2682" s="23"/>
      <c r="N2682" s="15"/>
      <c r="O2682" s="23"/>
      <c r="P2682" s="21"/>
      <c r="Q2682" s="6"/>
      <c r="R2682" s="6"/>
      <c r="S2682" s="20"/>
      <c r="T2682" s="6"/>
      <c r="U2682" s="21"/>
      <c r="W2682" s="20"/>
      <c r="X2682" s="21"/>
      <c r="AD2682" s="17"/>
      <c r="AG2682" s="17"/>
    </row>
    <row r="2683" spans="2:33" ht="16">
      <c r="B2683" s="26" t="str">
        <f t="shared" si="11"/>
        <v/>
      </c>
      <c r="C2683" s="6"/>
      <c r="D2683" s="6"/>
      <c r="E2683" s="6"/>
      <c r="F2683" s="15"/>
      <c r="G2683" s="6"/>
      <c r="H2683" s="6"/>
      <c r="I2683" s="6"/>
      <c r="J2683" s="16"/>
      <c r="K2683" s="6"/>
      <c r="L2683" s="16"/>
      <c r="M2683" s="17"/>
      <c r="N2683" s="15"/>
      <c r="O2683" s="17"/>
      <c r="P2683" s="21"/>
      <c r="Q2683" s="6"/>
      <c r="R2683" s="6"/>
      <c r="S2683" s="20"/>
      <c r="T2683" s="6"/>
      <c r="U2683" s="21"/>
      <c r="W2683" s="20"/>
      <c r="X2683" s="21"/>
      <c r="AD2683" s="17"/>
      <c r="AG2683" s="17"/>
    </row>
    <row r="2684" spans="2:33" ht="16">
      <c r="B2684" s="26" t="str">
        <f t="shared" si="11"/>
        <v/>
      </c>
      <c r="C2684" s="6"/>
      <c r="D2684" s="6"/>
      <c r="E2684" s="6"/>
      <c r="F2684" s="15"/>
      <c r="G2684" s="6"/>
      <c r="H2684" s="6"/>
      <c r="I2684" s="6"/>
      <c r="J2684" s="16"/>
      <c r="K2684" s="6"/>
      <c r="L2684" s="16"/>
      <c r="M2684" s="23"/>
      <c r="N2684" s="15"/>
      <c r="O2684" s="23"/>
      <c r="P2684" s="21"/>
      <c r="Q2684" s="6"/>
      <c r="R2684" s="6"/>
      <c r="S2684" s="20"/>
      <c r="T2684" s="6"/>
      <c r="U2684" s="21"/>
      <c r="W2684" s="20"/>
      <c r="X2684" s="21"/>
      <c r="AD2684" s="17"/>
      <c r="AG2684" s="17"/>
    </row>
    <row r="2685" spans="2:33" ht="16">
      <c r="B2685" s="26" t="str">
        <f t="shared" si="11"/>
        <v/>
      </c>
      <c r="C2685" s="6"/>
      <c r="D2685" s="6"/>
      <c r="E2685" s="6"/>
      <c r="F2685" s="15"/>
      <c r="G2685" s="6"/>
      <c r="H2685" s="6"/>
      <c r="I2685" s="6"/>
      <c r="J2685" s="16"/>
      <c r="K2685" s="6"/>
      <c r="L2685" s="16"/>
      <c r="M2685" s="17"/>
      <c r="N2685" s="15"/>
      <c r="O2685" s="17"/>
      <c r="P2685" s="21"/>
      <c r="Q2685" s="6"/>
      <c r="R2685" s="6"/>
      <c r="S2685" s="20"/>
      <c r="T2685" s="6"/>
      <c r="U2685" s="21"/>
      <c r="W2685" s="20"/>
      <c r="X2685" s="21"/>
      <c r="AD2685" s="17"/>
      <c r="AG2685" s="17"/>
    </row>
    <row r="2686" spans="2:33" ht="16">
      <c r="B2686" s="26" t="str">
        <f t="shared" si="11"/>
        <v/>
      </c>
      <c r="C2686" s="6"/>
      <c r="D2686" s="6"/>
      <c r="E2686" s="6"/>
      <c r="F2686" s="15"/>
      <c r="G2686" s="6"/>
      <c r="H2686" s="6"/>
      <c r="I2686" s="6"/>
      <c r="J2686" s="16"/>
      <c r="K2686" s="6"/>
      <c r="L2686" s="16"/>
      <c r="M2686" s="23"/>
      <c r="N2686" s="15"/>
      <c r="O2686" s="23"/>
      <c r="P2686" s="21"/>
      <c r="Q2686" s="6"/>
      <c r="R2686" s="6"/>
      <c r="S2686" s="20"/>
      <c r="T2686" s="6"/>
      <c r="U2686" s="21"/>
      <c r="W2686" s="20"/>
      <c r="X2686" s="21"/>
      <c r="AD2686" s="17"/>
      <c r="AG2686" s="17"/>
    </row>
    <row r="2687" spans="2:33" ht="16">
      <c r="B2687" s="26" t="str">
        <f t="shared" si="11"/>
        <v/>
      </c>
      <c r="C2687" s="6"/>
      <c r="D2687" s="6"/>
      <c r="E2687" s="6"/>
      <c r="F2687" s="15"/>
      <c r="G2687" s="6"/>
      <c r="H2687" s="6"/>
      <c r="I2687" s="6"/>
      <c r="J2687" s="16"/>
      <c r="K2687" s="6"/>
      <c r="L2687" s="16"/>
      <c r="M2687" s="23"/>
      <c r="N2687" s="15"/>
      <c r="O2687" s="23"/>
      <c r="P2687" s="21"/>
      <c r="Q2687" s="6"/>
      <c r="R2687" s="6"/>
      <c r="S2687" s="20"/>
      <c r="T2687" s="6"/>
      <c r="U2687" s="21"/>
      <c r="W2687" s="20"/>
      <c r="X2687" s="21"/>
      <c r="AD2687" s="23"/>
      <c r="AG2687" s="17"/>
    </row>
    <row r="2688" spans="2:33" ht="16">
      <c r="B2688" s="26" t="str">
        <f t="shared" si="11"/>
        <v/>
      </c>
      <c r="C2688" s="6"/>
      <c r="D2688" s="6"/>
      <c r="E2688" s="6"/>
      <c r="F2688" s="15"/>
      <c r="G2688" s="6"/>
      <c r="H2688" s="6"/>
      <c r="I2688" s="6"/>
      <c r="J2688" s="16"/>
      <c r="K2688" s="6"/>
      <c r="L2688" s="16"/>
      <c r="M2688" s="23"/>
      <c r="N2688" s="15"/>
      <c r="O2688" s="23"/>
      <c r="P2688" s="21"/>
      <c r="Q2688" s="6"/>
      <c r="R2688" s="6"/>
      <c r="S2688" s="20"/>
      <c r="T2688" s="6"/>
      <c r="U2688" s="21"/>
      <c r="W2688" s="20"/>
      <c r="X2688" s="21"/>
      <c r="AD2688" s="17"/>
      <c r="AG2688" s="17"/>
    </row>
    <row r="2689" spans="2:33" ht="16">
      <c r="B2689" s="26" t="str">
        <f t="shared" si="11"/>
        <v/>
      </c>
      <c r="C2689" s="6"/>
      <c r="D2689" s="6"/>
      <c r="E2689" s="6"/>
      <c r="F2689" s="15"/>
      <c r="G2689" s="6"/>
      <c r="H2689" s="6"/>
      <c r="I2689" s="6"/>
      <c r="J2689" s="16"/>
      <c r="K2689" s="6"/>
      <c r="L2689" s="16"/>
      <c r="M2689" s="17"/>
      <c r="N2689" s="15"/>
      <c r="O2689" s="17"/>
      <c r="P2689" s="21"/>
      <c r="Q2689" s="6"/>
      <c r="R2689" s="6"/>
      <c r="S2689" s="20"/>
      <c r="T2689" s="6"/>
      <c r="U2689" s="21"/>
      <c r="W2689" s="20"/>
      <c r="X2689" s="21"/>
      <c r="AD2689" s="17"/>
      <c r="AG2689" s="17"/>
    </row>
    <row r="2690" spans="2:33" ht="16">
      <c r="B2690" s="26" t="str">
        <f t="shared" si="11"/>
        <v/>
      </c>
      <c r="C2690" s="6"/>
      <c r="D2690" s="6"/>
      <c r="E2690" s="6"/>
      <c r="F2690" s="15"/>
      <c r="G2690" s="6"/>
      <c r="H2690" s="6"/>
      <c r="I2690" s="6"/>
      <c r="J2690" s="16"/>
      <c r="K2690" s="6"/>
      <c r="L2690" s="16"/>
      <c r="M2690" s="23"/>
      <c r="N2690" s="15"/>
      <c r="O2690" s="23"/>
      <c r="P2690" s="21"/>
      <c r="Q2690" s="6"/>
      <c r="R2690" s="6"/>
      <c r="S2690" s="20"/>
      <c r="T2690" s="6"/>
      <c r="U2690" s="21"/>
      <c r="W2690" s="20"/>
      <c r="X2690" s="21"/>
      <c r="AD2690" s="23"/>
      <c r="AG2690" s="17"/>
    </row>
    <row r="2691" spans="2:33" ht="16">
      <c r="B2691" s="26" t="str">
        <f t="shared" si="11"/>
        <v/>
      </c>
      <c r="C2691" s="6"/>
      <c r="D2691" s="6"/>
      <c r="E2691" s="6"/>
      <c r="F2691" s="15"/>
      <c r="G2691" s="6"/>
      <c r="H2691" s="6"/>
      <c r="I2691" s="6"/>
      <c r="J2691" s="16"/>
      <c r="K2691" s="6"/>
      <c r="L2691" s="16"/>
      <c r="M2691" s="23"/>
      <c r="N2691" s="15"/>
      <c r="O2691" s="23"/>
      <c r="P2691" s="21"/>
      <c r="Q2691" s="6"/>
      <c r="R2691" s="6"/>
      <c r="S2691" s="20"/>
      <c r="T2691" s="6"/>
      <c r="U2691" s="21"/>
      <c r="W2691" s="20"/>
      <c r="X2691" s="21"/>
      <c r="AD2691" s="17"/>
      <c r="AG2691" s="17"/>
    </row>
    <row r="2692" spans="2:33" ht="16">
      <c r="B2692" s="26" t="str">
        <f t="shared" si="11"/>
        <v/>
      </c>
      <c r="C2692" s="6"/>
      <c r="D2692" s="6"/>
      <c r="E2692" s="6"/>
      <c r="F2692" s="15"/>
      <c r="G2692" s="6"/>
      <c r="H2692" s="6"/>
      <c r="I2692" s="6"/>
      <c r="J2692" s="16"/>
      <c r="K2692" s="6"/>
      <c r="L2692" s="16"/>
      <c r="M2692" s="23"/>
      <c r="N2692" s="15"/>
      <c r="O2692" s="23"/>
      <c r="P2692" s="21"/>
      <c r="Q2692" s="6"/>
      <c r="R2692" s="6"/>
      <c r="S2692" s="20"/>
      <c r="T2692" s="6"/>
      <c r="U2692" s="21"/>
      <c r="W2692" s="20"/>
      <c r="X2692" s="21"/>
      <c r="AD2692" s="17"/>
      <c r="AG2692" s="17"/>
    </row>
    <row r="2693" spans="2:33" ht="16">
      <c r="B2693" s="26" t="str">
        <f t="shared" si="11"/>
        <v/>
      </c>
      <c r="C2693" s="6"/>
      <c r="D2693" s="6"/>
      <c r="E2693" s="6"/>
      <c r="F2693" s="15"/>
      <c r="G2693" s="6"/>
      <c r="H2693" s="6"/>
      <c r="I2693" s="6"/>
      <c r="J2693" s="16"/>
      <c r="K2693" s="6"/>
      <c r="L2693" s="16"/>
      <c r="M2693" s="17"/>
      <c r="N2693" s="15"/>
      <c r="O2693" s="23"/>
      <c r="P2693" s="21"/>
      <c r="Q2693" s="6"/>
      <c r="R2693" s="6"/>
      <c r="S2693" s="20"/>
      <c r="T2693" s="6"/>
      <c r="U2693" s="21"/>
      <c r="W2693" s="20"/>
      <c r="X2693" s="21"/>
      <c r="AD2693" s="17"/>
      <c r="AG2693" s="17"/>
    </row>
    <row r="2694" spans="2:33" ht="16">
      <c r="B2694" s="26" t="str">
        <f t="shared" si="11"/>
        <v/>
      </c>
      <c r="C2694" s="6"/>
      <c r="D2694" s="6"/>
      <c r="E2694" s="6"/>
      <c r="F2694" s="15"/>
      <c r="G2694" s="6"/>
      <c r="H2694" s="6"/>
      <c r="I2694" s="6"/>
      <c r="J2694" s="16"/>
      <c r="K2694" s="6"/>
      <c r="L2694" s="16"/>
      <c r="M2694" s="17"/>
      <c r="N2694" s="15"/>
      <c r="O2694" s="17"/>
      <c r="P2694" s="21"/>
      <c r="Q2694" s="6"/>
      <c r="R2694" s="6"/>
      <c r="S2694" s="20"/>
      <c r="T2694" s="6"/>
      <c r="U2694" s="21"/>
      <c r="W2694" s="20"/>
      <c r="X2694" s="21"/>
      <c r="AD2694" s="17"/>
      <c r="AG2694" s="17"/>
    </row>
    <row r="2695" spans="2:33" ht="16">
      <c r="B2695" s="26" t="str">
        <f t="shared" si="11"/>
        <v/>
      </c>
      <c r="C2695" s="6"/>
      <c r="D2695" s="6"/>
      <c r="E2695" s="6"/>
      <c r="F2695" s="15"/>
      <c r="G2695" s="6"/>
      <c r="H2695" s="6"/>
      <c r="I2695" s="6"/>
      <c r="J2695" s="16"/>
      <c r="K2695" s="6"/>
      <c r="L2695" s="16"/>
      <c r="M2695" s="17"/>
      <c r="N2695" s="15"/>
      <c r="O2695" s="17"/>
      <c r="P2695" s="21"/>
      <c r="Q2695" s="6"/>
      <c r="R2695" s="6"/>
      <c r="S2695" s="20"/>
      <c r="T2695" s="6"/>
      <c r="U2695" s="21"/>
      <c r="W2695" s="20"/>
      <c r="X2695" s="21"/>
      <c r="AD2695" s="17"/>
      <c r="AG2695" s="17"/>
    </row>
    <row r="2696" spans="2:33" ht="16">
      <c r="B2696" s="26" t="str">
        <f t="shared" si="11"/>
        <v/>
      </c>
      <c r="C2696" s="6"/>
      <c r="D2696" s="6"/>
      <c r="E2696" s="6"/>
      <c r="F2696" s="15"/>
      <c r="G2696" s="6"/>
      <c r="H2696" s="6"/>
      <c r="I2696" s="6"/>
      <c r="J2696" s="16"/>
      <c r="K2696" s="6"/>
      <c r="L2696" s="16"/>
      <c r="M2696" s="23"/>
      <c r="N2696" s="15"/>
      <c r="O2696" s="23"/>
      <c r="P2696" s="21"/>
      <c r="Q2696" s="6"/>
      <c r="R2696" s="6"/>
      <c r="S2696" s="20"/>
      <c r="T2696" s="6"/>
      <c r="U2696" s="21"/>
      <c r="W2696" s="20"/>
      <c r="X2696" s="21"/>
      <c r="AD2696" s="23"/>
      <c r="AG2696" s="17"/>
    </row>
    <row r="2697" spans="2:33" ht="16">
      <c r="B2697" s="26" t="str">
        <f t="shared" si="11"/>
        <v/>
      </c>
      <c r="C2697" s="6"/>
      <c r="D2697" s="6"/>
      <c r="E2697" s="6"/>
      <c r="F2697" s="15"/>
      <c r="G2697" s="6"/>
      <c r="H2697" s="6"/>
      <c r="I2697" s="6"/>
      <c r="J2697" s="16"/>
      <c r="K2697" s="6"/>
      <c r="L2697" s="16"/>
      <c r="M2697" s="23"/>
      <c r="N2697" s="15"/>
      <c r="O2697" s="23"/>
      <c r="P2697" s="21"/>
      <c r="Q2697" s="6"/>
      <c r="R2697" s="6"/>
      <c r="S2697" s="20"/>
      <c r="T2697" s="6"/>
      <c r="U2697" s="21"/>
      <c r="W2697" s="20"/>
      <c r="X2697" s="21"/>
      <c r="AD2697" s="17"/>
      <c r="AG2697" s="17"/>
    </row>
    <row r="2698" spans="2:33" ht="16">
      <c r="B2698" s="26" t="str">
        <f t="shared" si="11"/>
        <v/>
      </c>
      <c r="C2698" s="6"/>
      <c r="D2698" s="6"/>
      <c r="E2698" s="6"/>
      <c r="F2698" s="15"/>
      <c r="G2698" s="6"/>
      <c r="H2698" s="6"/>
      <c r="I2698" s="6"/>
      <c r="J2698" s="16"/>
      <c r="K2698" s="6"/>
      <c r="L2698" s="16"/>
      <c r="M2698" s="23"/>
      <c r="N2698" s="15"/>
      <c r="O2698" s="23"/>
      <c r="P2698" s="21"/>
      <c r="Q2698" s="6"/>
      <c r="R2698" s="6"/>
      <c r="S2698" s="20"/>
      <c r="T2698" s="6"/>
      <c r="U2698" s="21"/>
      <c r="W2698" s="20"/>
      <c r="X2698" s="21"/>
      <c r="AD2698" s="17"/>
      <c r="AG2698" s="17"/>
    </row>
    <row r="2699" spans="2:33" ht="16">
      <c r="B2699" s="26" t="str">
        <f t="shared" si="11"/>
        <v/>
      </c>
      <c r="C2699" s="6"/>
      <c r="D2699" s="6"/>
      <c r="E2699" s="6"/>
      <c r="F2699" s="15"/>
      <c r="G2699" s="6"/>
      <c r="H2699" s="6"/>
      <c r="I2699" s="6"/>
      <c r="J2699" s="16"/>
      <c r="K2699" s="6"/>
      <c r="L2699" s="16"/>
      <c r="M2699" s="17"/>
      <c r="N2699" s="15"/>
      <c r="O2699" s="17"/>
      <c r="P2699" s="21"/>
      <c r="Q2699" s="6"/>
      <c r="R2699" s="6"/>
      <c r="S2699" s="20"/>
      <c r="T2699" s="6"/>
      <c r="U2699" s="21"/>
      <c r="W2699" s="20"/>
      <c r="X2699" s="21"/>
      <c r="AD2699" s="17"/>
      <c r="AG2699" s="17"/>
    </row>
    <row r="2700" spans="2:33" ht="16">
      <c r="B2700" s="26" t="str">
        <f t="shared" si="11"/>
        <v/>
      </c>
      <c r="C2700" s="6"/>
      <c r="D2700" s="6"/>
      <c r="E2700" s="6"/>
      <c r="F2700" s="15"/>
      <c r="G2700" s="6"/>
      <c r="H2700" s="6"/>
      <c r="I2700" s="6"/>
      <c r="J2700" s="16"/>
      <c r="K2700" s="6"/>
      <c r="L2700" s="16"/>
      <c r="M2700" s="17"/>
      <c r="N2700" s="15"/>
      <c r="O2700" s="17"/>
      <c r="P2700" s="21"/>
      <c r="Q2700" s="6"/>
      <c r="R2700" s="6"/>
      <c r="S2700" s="20"/>
      <c r="T2700" s="6"/>
      <c r="U2700" s="21"/>
      <c r="W2700" s="20"/>
      <c r="X2700" s="21"/>
      <c r="AD2700" s="17"/>
      <c r="AG2700" s="17"/>
    </row>
    <row r="2701" spans="2:33" ht="16">
      <c r="B2701" s="26" t="str">
        <f t="shared" si="11"/>
        <v/>
      </c>
      <c r="C2701" s="6"/>
      <c r="D2701" s="6"/>
      <c r="E2701" s="6"/>
      <c r="F2701" s="15"/>
      <c r="G2701" s="6"/>
      <c r="H2701" s="6"/>
      <c r="I2701" s="6"/>
      <c r="J2701" s="16"/>
      <c r="K2701" s="6"/>
      <c r="L2701" s="16"/>
      <c r="M2701" s="23"/>
      <c r="N2701" s="15"/>
      <c r="O2701" s="23"/>
      <c r="P2701" s="21"/>
      <c r="Q2701" s="6"/>
      <c r="R2701" s="6"/>
      <c r="S2701" s="20"/>
      <c r="T2701" s="6"/>
      <c r="U2701" s="21"/>
      <c r="W2701" s="20"/>
      <c r="X2701" s="21"/>
      <c r="AD2701" s="23"/>
      <c r="AG2701" s="17"/>
    </row>
    <row r="2702" spans="2:33" ht="16">
      <c r="B2702" s="26" t="str">
        <f t="shared" si="11"/>
        <v/>
      </c>
      <c r="C2702" s="6"/>
      <c r="D2702" s="6"/>
      <c r="E2702" s="6"/>
      <c r="F2702" s="15"/>
      <c r="G2702" s="6"/>
      <c r="H2702" s="6"/>
      <c r="I2702" s="6"/>
      <c r="J2702" s="16"/>
      <c r="K2702" s="6"/>
      <c r="L2702" s="16"/>
      <c r="M2702" s="17"/>
      <c r="N2702" s="15"/>
      <c r="O2702" s="17"/>
      <c r="P2702" s="21"/>
      <c r="Q2702" s="6"/>
      <c r="R2702" s="6"/>
      <c r="S2702" s="20"/>
      <c r="T2702" s="6"/>
      <c r="U2702" s="21"/>
      <c r="W2702" s="20"/>
      <c r="X2702" s="21"/>
      <c r="AD2702" s="17"/>
      <c r="AG2702" s="17"/>
    </row>
    <row r="2703" spans="2:33" ht="16">
      <c r="B2703" s="26" t="str">
        <f t="shared" si="11"/>
        <v/>
      </c>
      <c r="C2703" s="6"/>
      <c r="D2703" s="6"/>
      <c r="E2703" s="6"/>
      <c r="F2703" s="15"/>
      <c r="G2703" s="6"/>
      <c r="H2703" s="6"/>
      <c r="I2703" s="6"/>
      <c r="J2703" s="16"/>
      <c r="K2703" s="6"/>
      <c r="L2703" s="16"/>
      <c r="M2703" s="17"/>
      <c r="N2703" s="15"/>
      <c r="O2703" s="23"/>
      <c r="P2703" s="21"/>
      <c r="Q2703" s="6"/>
      <c r="R2703" s="6"/>
      <c r="S2703" s="20"/>
      <c r="T2703" s="6"/>
      <c r="U2703" s="21"/>
      <c r="W2703" s="20"/>
      <c r="X2703" s="21"/>
      <c r="AD2703" s="23"/>
      <c r="AG2703" s="17"/>
    </row>
    <row r="2704" spans="2:33" ht="16">
      <c r="B2704" s="26" t="str">
        <f t="shared" si="11"/>
        <v/>
      </c>
      <c r="C2704" s="6"/>
      <c r="D2704" s="6"/>
      <c r="E2704" s="6"/>
      <c r="F2704" s="15"/>
      <c r="G2704" s="6"/>
      <c r="H2704" s="6"/>
      <c r="I2704" s="6"/>
      <c r="J2704" s="16"/>
      <c r="K2704" s="6"/>
      <c r="L2704" s="16"/>
      <c r="M2704" s="23"/>
      <c r="N2704" s="15"/>
      <c r="O2704" s="23"/>
      <c r="P2704" s="21"/>
      <c r="Q2704" s="6"/>
      <c r="R2704" s="6"/>
      <c r="S2704" s="20"/>
      <c r="T2704" s="6"/>
      <c r="U2704" s="21"/>
      <c r="W2704" s="20"/>
      <c r="X2704" s="21"/>
      <c r="AD2704" s="17"/>
      <c r="AG2704" s="17"/>
    </row>
    <row r="2705" spans="2:33" ht="16">
      <c r="B2705" s="26" t="str">
        <f t="shared" si="11"/>
        <v/>
      </c>
      <c r="C2705" s="6"/>
      <c r="D2705" s="6"/>
      <c r="E2705" s="6"/>
      <c r="F2705" s="15"/>
      <c r="G2705" s="6"/>
      <c r="H2705" s="6"/>
      <c r="I2705" s="6"/>
      <c r="J2705" s="16"/>
      <c r="K2705" s="6"/>
      <c r="L2705" s="16"/>
      <c r="M2705" s="23"/>
      <c r="N2705" s="15"/>
      <c r="O2705" s="23"/>
      <c r="P2705" s="21"/>
      <c r="Q2705" s="6"/>
      <c r="R2705" s="6"/>
      <c r="S2705" s="20"/>
      <c r="T2705" s="6"/>
      <c r="U2705" s="21"/>
      <c r="W2705" s="20"/>
      <c r="X2705" s="21"/>
      <c r="AD2705" s="23"/>
      <c r="AG2705" s="17"/>
    </row>
    <row r="2706" spans="2:33" ht="16">
      <c r="B2706" s="26" t="str">
        <f t="shared" si="11"/>
        <v/>
      </c>
      <c r="C2706" s="6"/>
      <c r="D2706" s="6"/>
      <c r="E2706" s="6"/>
      <c r="F2706" s="15"/>
      <c r="G2706" s="6"/>
      <c r="H2706" s="6"/>
      <c r="I2706" s="6"/>
      <c r="J2706" s="16"/>
      <c r="K2706" s="6"/>
      <c r="L2706" s="16"/>
      <c r="M2706" s="17"/>
      <c r="N2706" s="15"/>
      <c r="O2706" s="17"/>
      <c r="P2706" s="21"/>
      <c r="Q2706" s="6"/>
      <c r="R2706" s="6"/>
      <c r="S2706" s="20"/>
      <c r="T2706" s="6"/>
      <c r="U2706" s="21"/>
      <c r="W2706" s="20"/>
      <c r="X2706" s="21"/>
      <c r="AD2706" s="17"/>
      <c r="AG2706" s="17"/>
    </row>
    <row r="2707" spans="2:33" ht="16">
      <c r="B2707" s="26" t="str">
        <f t="shared" si="11"/>
        <v/>
      </c>
      <c r="C2707" s="6"/>
      <c r="D2707" s="6"/>
      <c r="E2707" s="6"/>
      <c r="F2707" s="15"/>
      <c r="G2707" s="6"/>
      <c r="H2707" s="6"/>
      <c r="I2707" s="6"/>
      <c r="J2707" s="16"/>
      <c r="K2707" s="6"/>
      <c r="L2707" s="16"/>
      <c r="M2707" s="17"/>
      <c r="N2707" s="15"/>
      <c r="O2707" s="17"/>
      <c r="P2707" s="21"/>
      <c r="Q2707" s="6"/>
      <c r="R2707" s="6"/>
      <c r="S2707" s="20"/>
      <c r="T2707" s="6"/>
      <c r="U2707" s="21"/>
      <c r="W2707" s="20"/>
      <c r="X2707" s="21"/>
      <c r="AD2707" s="17"/>
      <c r="AG2707" s="17"/>
    </row>
    <row r="2708" spans="2:33" ht="16">
      <c r="B2708" s="26" t="str">
        <f t="shared" si="11"/>
        <v/>
      </c>
      <c r="C2708" s="6"/>
      <c r="D2708" s="6"/>
      <c r="E2708" s="6"/>
      <c r="F2708" s="15"/>
      <c r="G2708" s="6"/>
      <c r="H2708" s="6"/>
      <c r="I2708" s="6"/>
      <c r="J2708" s="16"/>
      <c r="K2708" s="6"/>
      <c r="L2708" s="16"/>
      <c r="M2708" s="23"/>
      <c r="N2708" s="15"/>
      <c r="O2708" s="23"/>
      <c r="P2708" s="21"/>
      <c r="Q2708" s="6"/>
      <c r="R2708" s="6"/>
      <c r="S2708" s="20"/>
      <c r="T2708" s="6"/>
      <c r="U2708" s="21"/>
      <c r="W2708" s="20"/>
      <c r="X2708" s="21"/>
      <c r="AD2708" s="17"/>
      <c r="AG2708" s="17"/>
    </row>
    <row r="2709" spans="2:33" ht="16">
      <c r="B2709" s="26" t="str">
        <f t="shared" si="11"/>
        <v/>
      </c>
      <c r="C2709" s="6"/>
      <c r="D2709" s="6"/>
      <c r="E2709" s="6"/>
      <c r="F2709" s="15"/>
      <c r="G2709" s="6"/>
      <c r="H2709" s="6"/>
      <c r="I2709" s="6"/>
      <c r="J2709" s="16"/>
      <c r="K2709" s="6"/>
      <c r="L2709" s="16"/>
      <c r="M2709" s="23"/>
      <c r="N2709" s="15"/>
      <c r="O2709" s="23"/>
      <c r="P2709" s="21"/>
      <c r="Q2709" s="6"/>
      <c r="R2709" s="6"/>
      <c r="S2709" s="20"/>
      <c r="T2709" s="6"/>
      <c r="U2709" s="21"/>
      <c r="W2709" s="20"/>
      <c r="X2709" s="21"/>
      <c r="AD2709" s="17"/>
      <c r="AG2709" s="17"/>
    </row>
    <row r="2710" spans="2:33" ht="16">
      <c r="B2710" s="26" t="str">
        <f t="shared" si="11"/>
        <v/>
      </c>
      <c r="C2710" s="6"/>
      <c r="D2710" s="6"/>
      <c r="E2710" s="6"/>
      <c r="F2710" s="15"/>
      <c r="G2710" s="6"/>
      <c r="H2710" s="6"/>
      <c r="I2710" s="6"/>
      <c r="J2710" s="16"/>
      <c r="K2710" s="6"/>
      <c r="L2710" s="16"/>
      <c r="M2710" s="23"/>
      <c r="N2710" s="15"/>
      <c r="O2710" s="23"/>
      <c r="P2710" s="21"/>
      <c r="Q2710" s="6"/>
      <c r="R2710" s="6"/>
      <c r="S2710" s="20"/>
      <c r="T2710" s="6"/>
      <c r="U2710" s="21"/>
      <c r="W2710" s="20"/>
      <c r="X2710" s="21"/>
      <c r="AD2710" s="17"/>
      <c r="AG2710" s="17"/>
    </row>
    <row r="2711" spans="2:33" ht="16">
      <c r="B2711" s="26" t="str">
        <f t="shared" si="11"/>
        <v/>
      </c>
      <c r="C2711" s="6"/>
      <c r="D2711" s="6"/>
      <c r="E2711" s="6"/>
      <c r="F2711" s="15"/>
      <c r="G2711" s="6"/>
      <c r="H2711" s="6"/>
      <c r="I2711" s="6"/>
      <c r="J2711" s="16"/>
      <c r="K2711" s="6"/>
      <c r="L2711" s="16"/>
      <c r="M2711" s="23"/>
      <c r="N2711" s="15"/>
      <c r="O2711" s="23"/>
      <c r="P2711" s="21"/>
      <c r="Q2711" s="6"/>
      <c r="R2711" s="6"/>
      <c r="S2711" s="20"/>
      <c r="T2711" s="6"/>
      <c r="U2711" s="21"/>
      <c r="W2711" s="20"/>
      <c r="X2711" s="21"/>
      <c r="AD2711" s="17"/>
      <c r="AG2711" s="17"/>
    </row>
    <row r="2712" spans="2:33" ht="16">
      <c r="B2712" s="26" t="str">
        <f t="shared" si="11"/>
        <v/>
      </c>
      <c r="C2712" s="6"/>
      <c r="D2712" s="6"/>
      <c r="E2712" s="6"/>
      <c r="F2712" s="15"/>
      <c r="G2712" s="6"/>
      <c r="H2712" s="6"/>
      <c r="I2712" s="6"/>
      <c r="J2712" s="16"/>
      <c r="K2712" s="6"/>
      <c r="L2712" s="16"/>
      <c r="M2712" s="23"/>
      <c r="N2712" s="15"/>
      <c r="O2712" s="17"/>
      <c r="P2712" s="21"/>
      <c r="Q2712" s="6"/>
      <c r="R2712" s="6"/>
      <c r="S2712" s="20"/>
      <c r="T2712" s="6"/>
      <c r="U2712" s="21"/>
      <c r="W2712" s="20"/>
      <c r="X2712" s="21"/>
      <c r="AD2712" s="17"/>
      <c r="AG2712" s="17"/>
    </row>
    <row r="2713" spans="2:33" ht="16">
      <c r="B2713" s="26" t="str">
        <f t="shared" si="11"/>
        <v/>
      </c>
      <c r="C2713" s="6"/>
      <c r="D2713" s="6"/>
      <c r="E2713" s="6"/>
      <c r="F2713" s="15"/>
      <c r="G2713" s="6"/>
      <c r="H2713" s="6"/>
      <c r="I2713" s="6"/>
      <c r="J2713" s="16"/>
      <c r="K2713" s="6"/>
      <c r="L2713" s="16"/>
      <c r="M2713" s="23"/>
      <c r="N2713" s="15"/>
      <c r="O2713" s="23"/>
      <c r="P2713" s="21"/>
      <c r="Q2713" s="6"/>
      <c r="R2713" s="6"/>
      <c r="S2713" s="20"/>
      <c r="T2713" s="6"/>
      <c r="U2713" s="21"/>
      <c r="W2713" s="20"/>
      <c r="X2713" s="21"/>
      <c r="AD2713" s="17"/>
      <c r="AG2713" s="17"/>
    </row>
    <row r="2714" spans="2:33" ht="16">
      <c r="B2714" s="26" t="str">
        <f t="shared" si="11"/>
        <v/>
      </c>
      <c r="C2714" s="6"/>
      <c r="D2714" s="6"/>
      <c r="E2714" s="6"/>
      <c r="F2714" s="15"/>
      <c r="G2714" s="6"/>
      <c r="H2714" s="6"/>
      <c r="I2714" s="6"/>
      <c r="J2714" s="16"/>
      <c r="K2714" s="6"/>
      <c r="L2714" s="16"/>
      <c r="M2714" s="23"/>
      <c r="N2714" s="15"/>
      <c r="O2714" s="23"/>
      <c r="P2714" s="21"/>
      <c r="Q2714" s="6"/>
      <c r="R2714" s="6"/>
      <c r="S2714" s="20"/>
      <c r="T2714" s="6"/>
      <c r="U2714" s="21"/>
      <c r="W2714" s="20"/>
      <c r="X2714" s="21"/>
      <c r="AD2714" s="23"/>
      <c r="AG2714" s="17"/>
    </row>
    <row r="2715" spans="2:33" ht="16">
      <c r="B2715" s="26" t="str">
        <f t="shared" si="11"/>
        <v/>
      </c>
      <c r="C2715" s="6"/>
      <c r="D2715" s="6"/>
      <c r="E2715" s="6"/>
      <c r="F2715" s="15"/>
      <c r="G2715" s="6"/>
      <c r="H2715" s="6"/>
      <c r="I2715" s="6"/>
      <c r="J2715" s="16"/>
      <c r="K2715" s="6"/>
      <c r="L2715" s="16"/>
      <c r="M2715" s="23"/>
      <c r="N2715" s="15"/>
      <c r="O2715" s="23"/>
      <c r="P2715" s="21"/>
      <c r="Q2715" s="6"/>
      <c r="R2715" s="6"/>
      <c r="S2715" s="20"/>
      <c r="T2715" s="6"/>
      <c r="U2715" s="21"/>
      <c r="W2715" s="20"/>
      <c r="X2715" s="21"/>
      <c r="AD2715" s="17"/>
      <c r="AG2715" s="17"/>
    </row>
    <row r="2716" spans="2:33" ht="16">
      <c r="B2716" s="26" t="str">
        <f t="shared" si="11"/>
        <v/>
      </c>
      <c r="C2716" s="6"/>
      <c r="D2716" s="6"/>
      <c r="E2716" s="6"/>
      <c r="F2716" s="15"/>
      <c r="G2716" s="6"/>
      <c r="H2716" s="6"/>
      <c r="I2716" s="6"/>
      <c r="J2716" s="16"/>
      <c r="K2716" s="6"/>
      <c r="L2716" s="16"/>
      <c r="M2716" s="23"/>
      <c r="N2716" s="15"/>
      <c r="O2716" s="23"/>
      <c r="P2716" s="21"/>
      <c r="Q2716" s="6"/>
      <c r="R2716" s="6"/>
      <c r="S2716" s="20"/>
      <c r="T2716" s="6"/>
      <c r="U2716" s="21"/>
      <c r="W2716" s="20"/>
      <c r="X2716" s="21"/>
      <c r="AD2716" s="17"/>
      <c r="AG2716" s="17"/>
    </row>
    <row r="2717" spans="2:33" ht="16">
      <c r="B2717" s="26" t="str">
        <f t="shared" si="11"/>
        <v/>
      </c>
      <c r="C2717" s="6"/>
      <c r="D2717" s="6"/>
      <c r="E2717" s="6"/>
      <c r="F2717" s="15"/>
      <c r="G2717" s="6"/>
      <c r="H2717" s="6"/>
      <c r="I2717" s="6"/>
      <c r="J2717" s="16"/>
      <c r="K2717" s="6"/>
      <c r="L2717" s="16"/>
      <c r="M2717" s="23"/>
      <c r="N2717" s="15"/>
      <c r="O2717" s="23"/>
      <c r="P2717" s="21"/>
      <c r="Q2717" s="6"/>
      <c r="R2717" s="6"/>
      <c r="S2717" s="20"/>
      <c r="T2717" s="6"/>
      <c r="U2717" s="21"/>
      <c r="W2717" s="20"/>
      <c r="X2717" s="21"/>
      <c r="AD2717" s="17"/>
      <c r="AG2717" s="17"/>
    </row>
    <row r="2718" spans="2:33" ht="16">
      <c r="B2718" s="26" t="str">
        <f t="shared" si="11"/>
        <v/>
      </c>
      <c r="C2718" s="6"/>
      <c r="D2718" s="6"/>
      <c r="E2718" s="6"/>
      <c r="F2718" s="15"/>
      <c r="G2718" s="6"/>
      <c r="H2718" s="6"/>
      <c r="I2718" s="6"/>
      <c r="J2718" s="16"/>
      <c r="K2718" s="6"/>
      <c r="L2718" s="16"/>
      <c r="M2718" s="23"/>
      <c r="N2718" s="15"/>
      <c r="O2718" s="23"/>
      <c r="P2718" s="21"/>
      <c r="Q2718" s="6"/>
      <c r="R2718" s="6"/>
      <c r="S2718" s="20"/>
      <c r="T2718" s="6"/>
      <c r="U2718" s="21"/>
      <c r="W2718" s="20"/>
      <c r="X2718" s="21"/>
      <c r="AD2718" s="17"/>
      <c r="AG2718" s="17"/>
    </row>
    <row r="2719" spans="2:33" ht="16">
      <c r="B2719" s="26" t="str">
        <f t="shared" si="11"/>
        <v/>
      </c>
      <c r="C2719" s="6"/>
      <c r="D2719" s="6"/>
      <c r="E2719" s="6"/>
      <c r="F2719" s="15"/>
      <c r="G2719" s="6"/>
      <c r="H2719" s="6"/>
      <c r="I2719" s="6"/>
      <c r="J2719" s="16"/>
      <c r="K2719" s="6"/>
      <c r="L2719" s="16"/>
      <c r="M2719" s="23"/>
      <c r="N2719" s="15"/>
      <c r="O2719" s="23"/>
      <c r="P2719" s="21"/>
      <c r="Q2719" s="6"/>
      <c r="R2719" s="6"/>
      <c r="S2719" s="20"/>
      <c r="T2719" s="6"/>
      <c r="U2719" s="21"/>
      <c r="W2719" s="20"/>
      <c r="X2719" s="21"/>
      <c r="AD2719" s="17"/>
      <c r="AG2719" s="17"/>
    </row>
    <row r="2720" spans="2:33" ht="16">
      <c r="B2720" s="26" t="str">
        <f t="shared" si="11"/>
        <v/>
      </c>
      <c r="C2720" s="6"/>
      <c r="D2720" s="6"/>
      <c r="E2720" s="6"/>
      <c r="F2720" s="15"/>
      <c r="G2720" s="6"/>
      <c r="H2720" s="6"/>
      <c r="I2720" s="6"/>
      <c r="J2720" s="16"/>
      <c r="K2720" s="6"/>
      <c r="L2720" s="16"/>
      <c r="M2720" s="23"/>
      <c r="N2720" s="15"/>
      <c r="O2720" s="23"/>
      <c r="P2720" s="21"/>
      <c r="Q2720" s="6"/>
      <c r="R2720" s="6"/>
      <c r="S2720" s="20"/>
      <c r="T2720" s="6"/>
      <c r="U2720" s="21"/>
      <c r="W2720" s="20"/>
      <c r="X2720" s="21"/>
      <c r="AD2720" s="17"/>
      <c r="AG2720" s="17"/>
    </row>
    <row r="2721" spans="2:33" ht="16">
      <c r="B2721" s="26" t="str">
        <f t="shared" si="11"/>
        <v/>
      </c>
      <c r="C2721" s="6"/>
      <c r="D2721" s="6"/>
      <c r="E2721" s="6"/>
      <c r="F2721" s="15"/>
      <c r="G2721" s="6"/>
      <c r="H2721" s="6"/>
      <c r="I2721" s="6"/>
      <c r="J2721" s="16"/>
      <c r="K2721" s="6"/>
      <c r="L2721" s="16"/>
      <c r="M2721" s="23"/>
      <c r="N2721" s="15"/>
      <c r="O2721" s="23"/>
      <c r="P2721" s="21"/>
      <c r="Q2721" s="6"/>
      <c r="R2721" s="6"/>
      <c r="S2721" s="20"/>
      <c r="T2721" s="6"/>
      <c r="U2721" s="21"/>
      <c r="W2721" s="20"/>
      <c r="X2721" s="21"/>
      <c r="AD2721" s="17"/>
      <c r="AG2721" s="17"/>
    </row>
    <row r="2722" spans="2:33" ht="16">
      <c r="B2722" s="26" t="str">
        <f t="shared" si="11"/>
        <v/>
      </c>
      <c r="C2722" s="6"/>
      <c r="D2722" s="6"/>
      <c r="E2722" s="6"/>
      <c r="F2722" s="15"/>
      <c r="G2722" s="6"/>
      <c r="H2722" s="6"/>
      <c r="I2722" s="6"/>
      <c r="J2722" s="16"/>
      <c r="K2722" s="6"/>
      <c r="L2722" s="16"/>
      <c r="M2722" s="23"/>
      <c r="N2722" s="15"/>
      <c r="O2722" s="23"/>
      <c r="P2722" s="21"/>
      <c r="Q2722" s="6"/>
      <c r="R2722" s="6"/>
      <c r="S2722" s="20"/>
      <c r="T2722" s="6"/>
      <c r="U2722" s="21"/>
      <c r="W2722" s="20"/>
      <c r="X2722" s="21"/>
      <c r="AD2722" s="23"/>
      <c r="AG2722" s="17"/>
    </row>
    <row r="2723" spans="2:33" ht="16">
      <c r="B2723" s="26" t="str">
        <f t="shared" si="11"/>
        <v/>
      </c>
      <c r="C2723" s="6"/>
      <c r="D2723" s="6"/>
      <c r="E2723" s="6"/>
      <c r="F2723" s="15"/>
      <c r="G2723" s="6"/>
      <c r="H2723" s="6"/>
      <c r="I2723" s="6"/>
      <c r="J2723" s="16"/>
      <c r="K2723" s="6"/>
      <c r="L2723" s="16"/>
      <c r="M2723" s="23"/>
      <c r="N2723" s="15"/>
      <c r="O2723" s="17"/>
      <c r="P2723" s="21"/>
      <c r="Q2723" s="6"/>
      <c r="R2723" s="6"/>
      <c r="S2723" s="20"/>
      <c r="T2723" s="6"/>
      <c r="U2723" s="21"/>
      <c r="W2723" s="20"/>
      <c r="X2723" s="21"/>
      <c r="AD2723" s="17"/>
      <c r="AG2723" s="17"/>
    </row>
    <row r="2724" spans="2:33" ht="16">
      <c r="B2724" s="26" t="str">
        <f t="shared" si="11"/>
        <v/>
      </c>
      <c r="C2724" s="6"/>
      <c r="D2724" s="6"/>
      <c r="E2724" s="6"/>
      <c r="F2724" s="15"/>
      <c r="G2724" s="6"/>
      <c r="H2724" s="6"/>
      <c r="I2724" s="6"/>
      <c r="J2724" s="16"/>
      <c r="K2724" s="6"/>
      <c r="L2724" s="16"/>
      <c r="M2724" s="17"/>
      <c r="N2724" s="15"/>
      <c r="O2724" s="17"/>
      <c r="P2724" s="21"/>
      <c r="Q2724" s="6"/>
      <c r="R2724" s="6"/>
      <c r="S2724" s="20"/>
      <c r="T2724" s="6"/>
      <c r="U2724" s="21"/>
      <c r="W2724" s="20"/>
      <c r="X2724" s="21"/>
      <c r="AD2724" s="17"/>
      <c r="AG2724" s="17"/>
    </row>
    <row r="2725" spans="2:33" ht="16">
      <c r="B2725" s="26" t="str">
        <f t="shared" si="11"/>
        <v/>
      </c>
      <c r="C2725" s="6"/>
      <c r="D2725" s="6"/>
      <c r="E2725" s="6"/>
      <c r="F2725" s="15"/>
      <c r="G2725" s="6"/>
      <c r="H2725" s="6"/>
      <c r="I2725" s="6"/>
      <c r="J2725" s="16"/>
      <c r="K2725" s="6"/>
      <c r="L2725" s="16"/>
      <c r="M2725" s="23"/>
      <c r="N2725" s="15"/>
      <c r="O2725" s="17"/>
      <c r="P2725" s="21"/>
      <c r="Q2725" s="6"/>
      <c r="R2725" s="6"/>
      <c r="S2725" s="20"/>
      <c r="T2725" s="6"/>
      <c r="U2725" s="21"/>
      <c r="W2725" s="20"/>
      <c r="X2725" s="21"/>
      <c r="AD2725" s="17"/>
      <c r="AG2725" s="17"/>
    </row>
    <row r="2726" spans="2:33" ht="16">
      <c r="B2726" s="26" t="str">
        <f t="shared" si="11"/>
        <v/>
      </c>
      <c r="C2726" s="6"/>
      <c r="D2726" s="6"/>
      <c r="E2726" s="6"/>
      <c r="F2726" s="15"/>
      <c r="G2726" s="6"/>
      <c r="H2726" s="6"/>
      <c r="I2726" s="6"/>
      <c r="J2726" s="16"/>
      <c r="K2726" s="6"/>
      <c r="L2726" s="16"/>
      <c r="M2726" s="23"/>
      <c r="N2726" s="15"/>
      <c r="O2726" s="17"/>
      <c r="P2726" s="21"/>
      <c r="Q2726" s="6"/>
      <c r="R2726" s="6"/>
      <c r="S2726" s="20"/>
      <c r="T2726" s="6"/>
      <c r="U2726" s="21"/>
      <c r="W2726" s="20"/>
      <c r="X2726" s="21"/>
      <c r="AD2726" s="17"/>
      <c r="AG2726" s="17"/>
    </row>
    <row r="2727" spans="2:33" ht="16">
      <c r="B2727" s="26" t="str">
        <f t="shared" si="11"/>
        <v/>
      </c>
      <c r="C2727" s="6"/>
      <c r="D2727" s="6"/>
      <c r="E2727" s="6"/>
      <c r="F2727" s="15"/>
      <c r="G2727" s="6"/>
      <c r="H2727" s="6"/>
      <c r="I2727" s="6"/>
      <c r="J2727" s="16"/>
      <c r="K2727" s="6"/>
      <c r="L2727" s="16"/>
      <c r="M2727" s="23"/>
      <c r="N2727" s="15"/>
      <c r="O2727" s="23"/>
      <c r="P2727" s="21"/>
      <c r="Q2727" s="6"/>
      <c r="R2727" s="6"/>
      <c r="S2727" s="20"/>
      <c r="T2727" s="6"/>
      <c r="U2727" s="21"/>
      <c r="W2727" s="20"/>
      <c r="X2727" s="21"/>
      <c r="AD2727" s="17"/>
      <c r="AG2727" s="17"/>
    </row>
    <row r="2728" spans="2:33" ht="16">
      <c r="B2728" s="26" t="str">
        <f t="shared" si="11"/>
        <v/>
      </c>
      <c r="C2728" s="6"/>
      <c r="D2728" s="6"/>
      <c r="E2728" s="6"/>
      <c r="F2728" s="15"/>
      <c r="G2728" s="6"/>
      <c r="H2728" s="6"/>
      <c r="I2728" s="6"/>
      <c r="J2728" s="16"/>
      <c r="K2728" s="6"/>
      <c r="L2728" s="16"/>
      <c r="M2728" s="23"/>
      <c r="N2728" s="15"/>
      <c r="O2728" s="23"/>
      <c r="P2728" s="21"/>
      <c r="Q2728" s="6"/>
      <c r="R2728" s="6"/>
      <c r="S2728" s="20"/>
      <c r="T2728" s="6"/>
      <c r="U2728" s="21"/>
      <c r="W2728" s="20"/>
      <c r="X2728" s="21"/>
      <c r="AD2728" s="17"/>
      <c r="AG2728" s="17"/>
    </row>
    <row r="2729" spans="2:33" ht="16">
      <c r="B2729" s="26" t="str">
        <f t="shared" si="11"/>
        <v/>
      </c>
      <c r="C2729" s="6"/>
      <c r="D2729" s="6"/>
      <c r="E2729" s="6"/>
      <c r="F2729" s="15"/>
      <c r="G2729" s="6"/>
      <c r="H2729" s="6"/>
      <c r="I2729" s="6"/>
      <c r="J2729" s="16"/>
      <c r="K2729" s="6"/>
      <c r="L2729" s="16"/>
      <c r="M2729" s="23"/>
      <c r="N2729" s="15"/>
      <c r="O2729" s="23"/>
      <c r="P2729" s="21"/>
      <c r="Q2729" s="6"/>
      <c r="R2729" s="6"/>
      <c r="S2729" s="20"/>
      <c r="T2729" s="6"/>
      <c r="U2729" s="21"/>
      <c r="W2729" s="20"/>
      <c r="X2729" s="21"/>
      <c r="AD2729" s="17"/>
      <c r="AG2729" s="17"/>
    </row>
    <row r="2730" spans="2:33" ht="16">
      <c r="B2730" s="26" t="str">
        <f t="shared" si="11"/>
        <v/>
      </c>
      <c r="C2730" s="6"/>
      <c r="D2730" s="6"/>
      <c r="E2730" s="6"/>
      <c r="F2730" s="15"/>
      <c r="G2730" s="6"/>
      <c r="H2730" s="6"/>
      <c r="I2730" s="6"/>
      <c r="J2730" s="16"/>
      <c r="K2730" s="6"/>
      <c r="L2730" s="16"/>
      <c r="M2730" s="23"/>
      <c r="N2730" s="15"/>
      <c r="O2730" s="23"/>
      <c r="P2730" s="21"/>
      <c r="Q2730" s="6"/>
      <c r="R2730" s="6"/>
      <c r="S2730" s="20"/>
      <c r="T2730" s="6"/>
      <c r="U2730" s="21"/>
      <c r="W2730" s="20"/>
      <c r="X2730" s="21"/>
      <c r="AD2730" s="17"/>
      <c r="AG2730" s="17"/>
    </row>
    <row r="2731" spans="2:33" ht="16">
      <c r="B2731" s="26" t="str">
        <f t="shared" si="11"/>
        <v/>
      </c>
      <c r="C2731" s="6"/>
      <c r="D2731" s="6"/>
      <c r="E2731" s="6"/>
      <c r="F2731" s="15"/>
      <c r="G2731" s="6"/>
      <c r="H2731" s="6"/>
      <c r="I2731" s="6"/>
      <c r="J2731" s="16"/>
      <c r="K2731" s="6"/>
      <c r="L2731" s="16"/>
      <c r="M2731" s="23"/>
      <c r="N2731" s="15"/>
      <c r="O2731" s="23"/>
      <c r="P2731" s="21"/>
      <c r="Q2731" s="6"/>
      <c r="R2731" s="6"/>
      <c r="S2731" s="20"/>
      <c r="T2731" s="6"/>
      <c r="U2731" s="21"/>
      <c r="W2731" s="20"/>
      <c r="X2731" s="21"/>
      <c r="AD2731" s="17"/>
      <c r="AG2731" s="17"/>
    </row>
    <row r="2732" spans="2:33" ht="16">
      <c r="B2732" s="26" t="str">
        <f t="shared" si="11"/>
        <v/>
      </c>
      <c r="C2732" s="6"/>
      <c r="D2732" s="6"/>
      <c r="E2732" s="6"/>
      <c r="F2732" s="15"/>
      <c r="G2732" s="6"/>
      <c r="H2732" s="6"/>
      <c r="I2732" s="6"/>
      <c r="J2732" s="16"/>
      <c r="K2732" s="6"/>
      <c r="L2732" s="16"/>
      <c r="M2732" s="23"/>
      <c r="N2732" s="15"/>
      <c r="O2732" s="23"/>
      <c r="P2732" s="21"/>
      <c r="Q2732" s="6"/>
      <c r="R2732" s="6"/>
      <c r="S2732" s="20"/>
      <c r="T2732" s="6"/>
      <c r="U2732" s="21"/>
      <c r="W2732" s="20"/>
      <c r="X2732" s="21"/>
      <c r="AD2732" s="17"/>
      <c r="AG2732" s="17"/>
    </row>
    <row r="2733" spans="2:33" ht="16">
      <c r="B2733" s="26" t="str">
        <f t="shared" si="11"/>
        <v/>
      </c>
      <c r="C2733" s="6"/>
      <c r="D2733" s="6"/>
      <c r="E2733" s="6"/>
      <c r="F2733" s="15"/>
      <c r="G2733" s="6"/>
      <c r="H2733" s="6"/>
      <c r="I2733" s="6"/>
      <c r="J2733" s="16"/>
      <c r="K2733" s="6"/>
      <c r="L2733" s="16"/>
      <c r="M2733" s="23"/>
      <c r="N2733" s="15"/>
      <c r="O2733" s="17"/>
      <c r="P2733" s="21"/>
      <c r="Q2733" s="6"/>
      <c r="R2733" s="6"/>
      <c r="S2733" s="20"/>
      <c r="T2733" s="6"/>
      <c r="U2733" s="21"/>
      <c r="W2733" s="20"/>
      <c r="X2733" s="21"/>
      <c r="AD2733" s="17"/>
      <c r="AG2733" s="17"/>
    </row>
    <row r="2734" spans="2:33" ht="16">
      <c r="B2734" s="26" t="str">
        <f t="shared" si="11"/>
        <v/>
      </c>
      <c r="C2734" s="6"/>
      <c r="D2734" s="6"/>
      <c r="E2734" s="6"/>
      <c r="F2734" s="15"/>
      <c r="G2734" s="6"/>
      <c r="H2734" s="6"/>
      <c r="I2734" s="6"/>
      <c r="J2734" s="16"/>
      <c r="K2734" s="6"/>
      <c r="L2734" s="16"/>
      <c r="M2734" s="17"/>
      <c r="N2734" s="15"/>
      <c r="O2734" s="17"/>
      <c r="P2734" s="21"/>
      <c r="Q2734" s="6"/>
      <c r="R2734" s="6"/>
      <c r="S2734" s="20"/>
      <c r="T2734" s="6"/>
      <c r="U2734" s="21"/>
      <c r="W2734" s="20"/>
      <c r="X2734" s="21"/>
      <c r="AD2734" s="17"/>
      <c r="AG2734" s="17"/>
    </row>
    <row r="2735" spans="2:33" ht="16">
      <c r="B2735" s="26" t="str">
        <f t="shared" si="11"/>
        <v/>
      </c>
      <c r="C2735" s="6"/>
      <c r="D2735" s="6"/>
      <c r="E2735" s="6"/>
      <c r="F2735" s="15"/>
      <c r="G2735" s="6"/>
      <c r="H2735" s="6"/>
      <c r="I2735" s="6"/>
      <c r="J2735" s="16"/>
      <c r="K2735" s="6"/>
      <c r="L2735" s="16"/>
      <c r="M2735" s="23"/>
      <c r="N2735" s="15"/>
      <c r="O2735" s="23"/>
      <c r="P2735" s="21"/>
      <c r="Q2735" s="6"/>
      <c r="R2735" s="6"/>
      <c r="S2735" s="20"/>
      <c r="T2735" s="6"/>
      <c r="U2735" s="21"/>
      <c r="W2735" s="20"/>
      <c r="X2735" s="21"/>
      <c r="AD2735" s="17"/>
      <c r="AG2735" s="17"/>
    </row>
    <row r="2736" spans="2:33" ht="16">
      <c r="B2736" s="26" t="str">
        <f t="shared" si="11"/>
        <v/>
      </c>
      <c r="C2736" s="6"/>
      <c r="D2736" s="6"/>
      <c r="E2736" s="6"/>
      <c r="F2736" s="15"/>
      <c r="G2736" s="6"/>
      <c r="H2736" s="6"/>
      <c r="I2736" s="6"/>
      <c r="J2736" s="16"/>
      <c r="K2736" s="6"/>
      <c r="L2736" s="16"/>
      <c r="M2736" s="23"/>
      <c r="N2736" s="15"/>
      <c r="O2736" s="23"/>
      <c r="P2736" s="21"/>
      <c r="Q2736" s="6"/>
      <c r="R2736" s="6"/>
      <c r="S2736" s="20"/>
      <c r="T2736" s="6"/>
      <c r="U2736" s="21"/>
      <c r="W2736" s="20"/>
      <c r="X2736" s="21"/>
      <c r="AD2736" s="17"/>
      <c r="AG2736" s="17"/>
    </row>
    <row r="2737" spans="2:33" ht="16">
      <c r="B2737" s="26" t="str">
        <f t="shared" si="11"/>
        <v/>
      </c>
      <c r="C2737" s="6"/>
      <c r="D2737" s="6"/>
      <c r="E2737" s="6"/>
      <c r="F2737" s="15"/>
      <c r="G2737" s="6"/>
      <c r="H2737" s="6"/>
      <c r="I2737" s="6"/>
      <c r="J2737" s="16"/>
      <c r="K2737" s="6"/>
      <c r="L2737" s="16"/>
      <c r="M2737" s="17"/>
      <c r="N2737" s="15"/>
      <c r="O2737" s="17"/>
      <c r="P2737" s="21"/>
      <c r="Q2737" s="6"/>
      <c r="R2737" s="6"/>
      <c r="S2737" s="20"/>
      <c r="T2737" s="6"/>
      <c r="U2737" s="21"/>
      <c r="W2737" s="20"/>
      <c r="X2737" s="21"/>
      <c r="AD2737" s="17"/>
      <c r="AG2737" s="17"/>
    </row>
    <row r="2738" spans="2:33" ht="16">
      <c r="B2738" s="26" t="str">
        <f t="shared" si="11"/>
        <v/>
      </c>
      <c r="C2738" s="6"/>
      <c r="D2738" s="6"/>
      <c r="E2738" s="6"/>
      <c r="F2738" s="15"/>
      <c r="G2738" s="6"/>
      <c r="H2738" s="6"/>
      <c r="I2738" s="6"/>
      <c r="J2738" s="16"/>
      <c r="K2738" s="6"/>
      <c r="L2738" s="16"/>
      <c r="M2738" s="23"/>
      <c r="N2738" s="15"/>
      <c r="O2738" s="17"/>
      <c r="P2738" s="21"/>
      <c r="Q2738" s="6"/>
      <c r="R2738" s="6"/>
      <c r="S2738" s="20"/>
      <c r="T2738" s="6"/>
      <c r="U2738" s="21"/>
      <c r="W2738" s="20"/>
      <c r="X2738" s="21"/>
      <c r="AD2738" s="23"/>
      <c r="AG2738" s="17"/>
    </row>
    <row r="2739" spans="2:33" ht="16">
      <c r="B2739" s="26" t="str">
        <f t="shared" si="11"/>
        <v/>
      </c>
      <c r="C2739" s="6"/>
      <c r="D2739" s="6"/>
      <c r="E2739" s="6"/>
      <c r="F2739" s="15"/>
      <c r="G2739" s="6"/>
      <c r="H2739" s="6"/>
      <c r="I2739" s="6"/>
      <c r="J2739" s="16"/>
      <c r="K2739" s="6"/>
      <c r="L2739" s="16"/>
      <c r="M2739" s="17"/>
      <c r="N2739" s="15"/>
      <c r="O2739" s="17"/>
      <c r="P2739" s="21"/>
      <c r="Q2739" s="6"/>
      <c r="R2739" s="6"/>
      <c r="S2739" s="20"/>
      <c r="T2739" s="6"/>
      <c r="U2739" s="21"/>
      <c r="W2739" s="20"/>
      <c r="X2739" s="21"/>
      <c r="AD2739" s="17"/>
      <c r="AG2739" s="17"/>
    </row>
    <row r="2740" spans="2:33" ht="16">
      <c r="B2740" s="26" t="str">
        <f t="shared" si="11"/>
        <v/>
      </c>
      <c r="C2740" s="6"/>
      <c r="D2740" s="6"/>
      <c r="E2740" s="6"/>
      <c r="F2740" s="15"/>
      <c r="G2740" s="6"/>
      <c r="H2740" s="6"/>
      <c r="I2740" s="6"/>
      <c r="J2740" s="16"/>
      <c r="K2740" s="6"/>
      <c r="L2740" s="16"/>
      <c r="M2740" s="23"/>
      <c r="N2740" s="15"/>
      <c r="O2740" s="23"/>
      <c r="P2740" s="21"/>
      <c r="Q2740" s="6"/>
      <c r="R2740" s="6"/>
      <c r="S2740" s="20"/>
      <c r="T2740" s="6"/>
      <c r="U2740" s="21"/>
      <c r="W2740" s="20"/>
      <c r="X2740" s="21"/>
      <c r="AD2740" s="17"/>
      <c r="AG2740" s="17"/>
    </row>
    <row r="2741" spans="2:33" ht="16">
      <c r="B2741" s="26" t="str">
        <f t="shared" si="11"/>
        <v/>
      </c>
      <c r="C2741" s="6"/>
      <c r="D2741" s="6"/>
      <c r="E2741" s="6"/>
      <c r="F2741" s="15"/>
      <c r="G2741" s="6"/>
      <c r="H2741" s="6"/>
      <c r="I2741" s="6"/>
      <c r="J2741" s="16"/>
      <c r="K2741" s="6"/>
      <c r="L2741" s="16"/>
      <c r="M2741" s="23"/>
      <c r="N2741" s="15"/>
      <c r="O2741" s="23"/>
      <c r="P2741" s="21"/>
      <c r="Q2741" s="6"/>
      <c r="R2741" s="6"/>
      <c r="S2741" s="20"/>
      <c r="T2741" s="6"/>
      <c r="U2741" s="21"/>
      <c r="W2741" s="20"/>
      <c r="X2741" s="21"/>
      <c r="AD2741" s="17"/>
      <c r="AG2741" s="17"/>
    </row>
    <row r="2742" spans="2:33" ht="16">
      <c r="B2742" s="26" t="str">
        <f t="shared" si="11"/>
        <v/>
      </c>
      <c r="C2742" s="6"/>
      <c r="D2742" s="6"/>
      <c r="E2742" s="6"/>
      <c r="F2742" s="15"/>
      <c r="G2742" s="6"/>
      <c r="H2742" s="6"/>
      <c r="I2742" s="6"/>
      <c r="J2742" s="16"/>
      <c r="K2742" s="6"/>
      <c r="L2742" s="16"/>
      <c r="M2742" s="23"/>
      <c r="N2742" s="15"/>
      <c r="O2742" s="17"/>
      <c r="P2742" s="21"/>
      <c r="Q2742" s="6"/>
      <c r="R2742" s="6"/>
      <c r="S2742" s="20"/>
      <c r="T2742" s="6"/>
      <c r="U2742" s="21"/>
      <c r="W2742" s="20"/>
      <c r="X2742" s="21"/>
      <c r="AD2742" s="17"/>
      <c r="AG2742" s="17"/>
    </row>
    <row r="2743" spans="2:33" ht="16">
      <c r="B2743" s="26" t="str">
        <f t="shared" si="11"/>
        <v/>
      </c>
      <c r="C2743" s="6"/>
      <c r="D2743" s="6"/>
      <c r="E2743" s="6"/>
      <c r="F2743" s="15"/>
      <c r="G2743" s="6"/>
      <c r="H2743" s="6"/>
      <c r="I2743" s="6"/>
      <c r="J2743" s="16"/>
      <c r="K2743" s="6"/>
      <c r="L2743" s="16"/>
      <c r="M2743" s="17"/>
      <c r="N2743" s="15"/>
      <c r="O2743" s="17"/>
      <c r="P2743" s="21"/>
      <c r="Q2743" s="6"/>
      <c r="R2743" s="6"/>
      <c r="S2743" s="20"/>
      <c r="T2743" s="6"/>
      <c r="U2743" s="21"/>
      <c r="W2743" s="20"/>
      <c r="X2743" s="21"/>
      <c r="AD2743" s="17"/>
      <c r="AG2743" s="17"/>
    </row>
    <row r="2744" spans="2:33" ht="16">
      <c r="B2744" s="26" t="str">
        <f t="shared" si="11"/>
        <v/>
      </c>
      <c r="C2744" s="6"/>
      <c r="D2744" s="6"/>
      <c r="E2744" s="6"/>
      <c r="F2744" s="15"/>
      <c r="G2744" s="6"/>
      <c r="H2744" s="6"/>
      <c r="I2744" s="6"/>
      <c r="J2744" s="16"/>
      <c r="K2744" s="6"/>
      <c r="L2744" s="16"/>
      <c r="M2744" s="17"/>
      <c r="N2744" s="15"/>
      <c r="O2744" s="17"/>
      <c r="P2744" s="21"/>
      <c r="Q2744" s="6"/>
      <c r="R2744" s="6"/>
      <c r="S2744" s="20"/>
      <c r="T2744" s="6"/>
      <c r="U2744" s="21"/>
      <c r="W2744" s="20"/>
      <c r="X2744" s="21"/>
      <c r="AD2744" s="17"/>
      <c r="AG2744" s="17"/>
    </row>
    <row r="2745" spans="2:33" ht="16">
      <c r="B2745" s="26" t="str">
        <f t="shared" si="11"/>
        <v/>
      </c>
      <c r="C2745" s="6"/>
      <c r="D2745" s="6"/>
      <c r="E2745" s="6"/>
      <c r="F2745" s="15"/>
      <c r="G2745" s="6"/>
      <c r="H2745" s="6"/>
      <c r="I2745" s="6"/>
      <c r="J2745" s="16"/>
      <c r="K2745" s="6"/>
      <c r="L2745" s="16"/>
      <c r="M2745" s="23"/>
      <c r="N2745" s="15"/>
      <c r="O2745" s="23"/>
      <c r="P2745" s="21"/>
      <c r="Q2745" s="6"/>
      <c r="R2745" s="6"/>
      <c r="S2745" s="20"/>
      <c r="T2745" s="6"/>
      <c r="U2745" s="21"/>
      <c r="W2745" s="20"/>
      <c r="X2745" s="21"/>
      <c r="AD2745" s="17"/>
      <c r="AG2745" s="17"/>
    </row>
    <row r="2746" spans="2:33" ht="16">
      <c r="B2746" s="26" t="str">
        <f t="shared" si="11"/>
        <v/>
      </c>
      <c r="C2746" s="6"/>
      <c r="D2746" s="6"/>
      <c r="E2746" s="6"/>
      <c r="F2746" s="15"/>
      <c r="G2746" s="6"/>
      <c r="H2746" s="6"/>
      <c r="I2746" s="6"/>
      <c r="J2746" s="16"/>
      <c r="K2746" s="6"/>
      <c r="L2746" s="16"/>
      <c r="M2746" s="23"/>
      <c r="N2746" s="15"/>
      <c r="O2746" s="23"/>
      <c r="P2746" s="21"/>
      <c r="Q2746" s="6"/>
      <c r="R2746" s="6"/>
      <c r="S2746" s="20"/>
      <c r="T2746" s="6"/>
      <c r="U2746" s="21"/>
      <c r="W2746" s="20"/>
      <c r="X2746" s="21"/>
      <c r="AD2746" s="17"/>
      <c r="AG2746" s="17"/>
    </row>
    <row r="2747" spans="2:33" ht="16">
      <c r="B2747" s="26" t="str">
        <f t="shared" si="11"/>
        <v/>
      </c>
      <c r="C2747" s="6"/>
      <c r="D2747" s="6"/>
      <c r="E2747" s="6"/>
      <c r="F2747" s="15"/>
      <c r="G2747" s="6"/>
      <c r="H2747" s="6"/>
      <c r="I2747" s="6"/>
      <c r="J2747" s="16"/>
      <c r="K2747" s="6"/>
      <c r="L2747" s="16"/>
      <c r="M2747" s="23"/>
      <c r="N2747" s="15"/>
      <c r="O2747" s="23"/>
      <c r="P2747" s="21"/>
      <c r="Q2747" s="6"/>
      <c r="R2747" s="6"/>
      <c r="S2747" s="20"/>
      <c r="T2747" s="6"/>
      <c r="U2747" s="21"/>
      <c r="W2747" s="20"/>
      <c r="X2747" s="21"/>
      <c r="AD2747" s="17"/>
      <c r="AG2747" s="17"/>
    </row>
    <row r="2748" spans="2:33" ht="16">
      <c r="B2748" s="26" t="str">
        <f t="shared" si="11"/>
        <v/>
      </c>
      <c r="C2748" s="6"/>
      <c r="D2748" s="6"/>
      <c r="E2748" s="6"/>
      <c r="F2748" s="15"/>
      <c r="G2748" s="6"/>
      <c r="H2748" s="6"/>
      <c r="I2748" s="6"/>
      <c r="J2748" s="16"/>
      <c r="K2748" s="6"/>
      <c r="L2748" s="16"/>
      <c r="M2748" s="17"/>
      <c r="N2748" s="15"/>
      <c r="O2748" s="17"/>
      <c r="P2748" s="21"/>
      <c r="Q2748" s="6"/>
      <c r="R2748" s="6"/>
      <c r="S2748" s="20"/>
      <c r="T2748" s="6"/>
      <c r="U2748" s="21"/>
      <c r="W2748" s="20"/>
      <c r="X2748" s="21"/>
      <c r="AD2748" s="17"/>
      <c r="AG2748" s="17"/>
    </row>
    <row r="2749" spans="2:33" ht="16">
      <c r="B2749" s="26" t="str">
        <f t="shared" si="11"/>
        <v/>
      </c>
      <c r="C2749" s="6"/>
      <c r="D2749" s="6"/>
      <c r="E2749" s="6"/>
      <c r="F2749" s="15"/>
      <c r="G2749" s="6"/>
      <c r="H2749" s="6"/>
      <c r="I2749" s="6"/>
      <c r="J2749" s="16"/>
      <c r="K2749" s="6"/>
      <c r="L2749" s="16"/>
      <c r="M2749" s="23"/>
      <c r="N2749" s="15"/>
      <c r="O2749" s="23"/>
      <c r="P2749" s="21"/>
      <c r="Q2749" s="6"/>
      <c r="R2749" s="6"/>
      <c r="S2749" s="20"/>
      <c r="T2749" s="6"/>
      <c r="U2749" s="21"/>
      <c r="W2749" s="20"/>
      <c r="X2749" s="21"/>
      <c r="AD2749" s="23"/>
      <c r="AG2749" s="17"/>
    </row>
    <row r="2750" spans="2:33" ht="16">
      <c r="B2750" s="26" t="str">
        <f t="shared" si="11"/>
        <v/>
      </c>
      <c r="C2750" s="6"/>
      <c r="D2750" s="6"/>
      <c r="E2750" s="6"/>
      <c r="F2750" s="15"/>
      <c r="G2750" s="6"/>
      <c r="H2750" s="6"/>
      <c r="I2750" s="6"/>
      <c r="J2750" s="16"/>
      <c r="K2750" s="6"/>
      <c r="L2750" s="16"/>
      <c r="M2750" s="23"/>
      <c r="N2750" s="15"/>
      <c r="O2750" s="23"/>
      <c r="P2750" s="21"/>
      <c r="Q2750" s="6"/>
      <c r="R2750" s="6"/>
      <c r="S2750" s="20"/>
      <c r="T2750" s="6"/>
      <c r="U2750" s="21"/>
      <c r="W2750" s="20"/>
      <c r="X2750" s="21"/>
      <c r="AD2750" s="17"/>
      <c r="AG2750" s="17"/>
    </row>
    <row r="2751" spans="2:33" ht="16">
      <c r="B2751" s="26" t="str">
        <f t="shared" si="11"/>
        <v/>
      </c>
      <c r="C2751" s="6"/>
      <c r="D2751" s="6"/>
      <c r="E2751" s="6"/>
      <c r="F2751" s="15"/>
      <c r="G2751" s="6"/>
      <c r="H2751" s="6"/>
      <c r="I2751" s="6"/>
      <c r="J2751" s="16"/>
      <c r="K2751" s="6"/>
      <c r="L2751" s="16"/>
      <c r="M2751" s="17"/>
      <c r="N2751" s="15"/>
      <c r="O2751" s="17"/>
      <c r="P2751" s="21"/>
      <c r="Q2751" s="6"/>
      <c r="R2751" s="6"/>
      <c r="S2751" s="20"/>
      <c r="T2751" s="6"/>
      <c r="U2751" s="21"/>
      <c r="W2751" s="20"/>
      <c r="X2751" s="21"/>
      <c r="AD2751" s="17"/>
      <c r="AG2751" s="17"/>
    </row>
    <row r="2752" spans="2:33" ht="16">
      <c r="B2752" s="26" t="str">
        <f t="shared" si="11"/>
        <v/>
      </c>
      <c r="C2752" s="6"/>
      <c r="D2752" s="6"/>
      <c r="E2752" s="6"/>
      <c r="F2752" s="15"/>
      <c r="G2752" s="6"/>
      <c r="H2752" s="6"/>
      <c r="I2752" s="6"/>
      <c r="J2752" s="16"/>
      <c r="K2752" s="6"/>
      <c r="L2752" s="16"/>
      <c r="M2752" s="23"/>
      <c r="N2752" s="15"/>
      <c r="O2752" s="23"/>
      <c r="P2752" s="21"/>
      <c r="Q2752" s="6"/>
      <c r="R2752" s="6"/>
      <c r="S2752" s="20"/>
      <c r="T2752" s="6"/>
      <c r="U2752" s="21"/>
      <c r="W2752" s="20"/>
      <c r="X2752" s="21"/>
      <c r="AD2752" s="17"/>
      <c r="AG2752" s="17"/>
    </row>
    <row r="2753" spans="2:33" ht="16">
      <c r="B2753" s="26" t="str">
        <f t="shared" si="11"/>
        <v/>
      </c>
      <c r="C2753" s="6"/>
      <c r="D2753" s="6"/>
      <c r="E2753" s="6"/>
      <c r="F2753" s="15"/>
      <c r="G2753" s="6"/>
      <c r="H2753" s="6"/>
      <c r="I2753" s="6"/>
      <c r="J2753" s="16"/>
      <c r="K2753" s="6"/>
      <c r="L2753" s="16"/>
      <c r="M2753" s="23"/>
      <c r="N2753" s="15"/>
      <c r="O2753" s="23"/>
      <c r="P2753" s="21"/>
      <c r="Q2753" s="6"/>
      <c r="R2753" s="6"/>
      <c r="S2753" s="20"/>
      <c r="T2753" s="6"/>
      <c r="U2753" s="21"/>
      <c r="W2753" s="20"/>
      <c r="X2753" s="21"/>
      <c r="AD2753" s="17"/>
      <c r="AG2753" s="17"/>
    </row>
    <row r="2754" spans="2:33" ht="16">
      <c r="B2754" s="26" t="str">
        <f t="shared" si="11"/>
        <v/>
      </c>
      <c r="C2754" s="6"/>
      <c r="D2754" s="6"/>
      <c r="E2754" s="6"/>
      <c r="F2754" s="15"/>
      <c r="G2754" s="6"/>
      <c r="H2754" s="6"/>
      <c r="I2754" s="6"/>
      <c r="J2754" s="16"/>
      <c r="K2754" s="6"/>
      <c r="L2754" s="16"/>
      <c r="M2754" s="17"/>
      <c r="N2754" s="15"/>
      <c r="O2754" s="17"/>
      <c r="P2754" s="21"/>
      <c r="Q2754" s="6"/>
      <c r="R2754" s="6"/>
      <c r="S2754" s="20"/>
      <c r="T2754" s="6"/>
      <c r="U2754" s="21"/>
      <c r="W2754" s="20"/>
      <c r="X2754" s="21"/>
      <c r="AD2754" s="17"/>
      <c r="AG2754" s="17"/>
    </row>
    <row r="2755" spans="2:33" ht="16">
      <c r="B2755" s="26" t="str">
        <f t="shared" si="11"/>
        <v/>
      </c>
      <c r="C2755" s="6"/>
      <c r="D2755" s="6"/>
      <c r="E2755" s="6"/>
      <c r="F2755" s="15"/>
      <c r="G2755" s="6"/>
      <c r="H2755" s="6"/>
      <c r="I2755" s="6"/>
      <c r="J2755" s="16"/>
      <c r="K2755" s="6"/>
      <c r="L2755" s="16"/>
      <c r="M2755" s="17"/>
      <c r="N2755" s="15"/>
      <c r="O2755" s="17"/>
      <c r="P2755" s="21"/>
      <c r="Q2755" s="6"/>
      <c r="R2755" s="6"/>
      <c r="S2755" s="20"/>
      <c r="T2755" s="6"/>
      <c r="U2755" s="21"/>
      <c r="W2755" s="20"/>
      <c r="X2755" s="21"/>
      <c r="AD2755" s="17"/>
      <c r="AG2755" s="17"/>
    </row>
    <row r="2756" spans="2:33" ht="16">
      <c r="B2756" s="26" t="str">
        <f t="shared" si="11"/>
        <v/>
      </c>
      <c r="C2756" s="6"/>
      <c r="D2756" s="6"/>
      <c r="E2756" s="6"/>
      <c r="F2756" s="15"/>
      <c r="G2756" s="6"/>
      <c r="H2756" s="6"/>
      <c r="I2756" s="6"/>
      <c r="J2756" s="16"/>
      <c r="K2756" s="6"/>
      <c r="L2756" s="16"/>
      <c r="M2756" s="23"/>
      <c r="N2756" s="15"/>
      <c r="O2756" s="17"/>
      <c r="P2756" s="21"/>
      <c r="Q2756" s="6"/>
      <c r="R2756" s="6"/>
      <c r="S2756" s="20"/>
      <c r="T2756" s="6"/>
      <c r="U2756" s="21"/>
      <c r="W2756" s="20"/>
      <c r="X2756" s="21"/>
      <c r="AD2756" s="17"/>
      <c r="AG2756" s="17"/>
    </row>
    <row r="2757" spans="2:33" ht="16">
      <c r="B2757" s="26" t="str">
        <f t="shared" si="11"/>
        <v/>
      </c>
      <c r="C2757" s="6"/>
      <c r="D2757" s="6"/>
      <c r="E2757" s="6"/>
      <c r="F2757" s="15"/>
      <c r="G2757" s="6"/>
      <c r="H2757" s="6"/>
      <c r="I2757" s="6"/>
      <c r="J2757" s="16"/>
      <c r="K2757" s="6"/>
      <c r="L2757" s="16"/>
      <c r="M2757" s="23"/>
      <c r="N2757" s="15"/>
      <c r="O2757" s="23"/>
      <c r="P2757" s="21"/>
      <c r="Q2757" s="6"/>
      <c r="R2757" s="6"/>
      <c r="S2757" s="20"/>
      <c r="T2757" s="6"/>
      <c r="U2757" s="21"/>
      <c r="W2757" s="20"/>
      <c r="X2757" s="21"/>
      <c r="AD2757" s="23"/>
      <c r="AG2757" s="17"/>
    </row>
    <row r="2758" spans="2:33" ht="16">
      <c r="B2758" s="26" t="str">
        <f t="shared" si="11"/>
        <v/>
      </c>
      <c r="C2758" s="6"/>
      <c r="D2758" s="6"/>
      <c r="E2758" s="6"/>
      <c r="F2758" s="15"/>
      <c r="G2758" s="6"/>
      <c r="H2758" s="6"/>
      <c r="I2758" s="6"/>
      <c r="J2758" s="16"/>
      <c r="K2758" s="6"/>
      <c r="L2758" s="16"/>
      <c r="M2758" s="17"/>
      <c r="N2758" s="15"/>
      <c r="O2758" s="17"/>
      <c r="P2758" s="21"/>
      <c r="Q2758" s="6"/>
      <c r="R2758" s="6"/>
      <c r="S2758" s="20"/>
      <c r="T2758" s="6"/>
      <c r="U2758" s="21"/>
      <c r="W2758" s="20"/>
      <c r="X2758" s="21"/>
      <c r="AD2758" s="17"/>
      <c r="AG2758" s="17"/>
    </row>
    <row r="2759" spans="2:33" ht="16">
      <c r="B2759" s="26" t="str">
        <f t="shared" si="11"/>
        <v/>
      </c>
      <c r="C2759" s="6"/>
      <c r="D2759" s="6"/>
      <c r="E2759" s="6"/>
      <c r="F2759" s="15"/>
      <c r="G2759" s="6"/>
      <c r="H2759" s="6"/>
      <c r="I2759" s="6"/>
      <c r="J2759" s="16"/>
      <c r="K2759" s="6"/>
      <c r="L2759" s="16"/>
      <c r="M2759" s="23"/>
      <c r="N2759" s="15"/>
      <c r="O2759" s="23"/>
      <c r="P2759" s="21"/>
      <c r="Q2759" s="6"/>
      <c r="R2759" s="6"/>
      <c r="S2759" s="20"/>
      <c r="T2759" s="6"/>
      <c r="U2759" s="21"/>
      <c r="W2759" s="20"/>
      <c r="X2759" s="21"/>
      <c r="AD2759" s="17"/>
      <c r="AG2759" s="17"/>
    </row>
    <row r="2760" spans="2:33" ht="16">
      <c r="B2760" s="26" t="str">
        <f t="shared" si="11"/>
        <v/>
      </c>
      <c r="C2760" s="6"/>
      <c r="D2760" s="6"/>
      <c r="E2760" s="6"/>
      <c r="F2760" s="15"/>
      <c r="G2760" s="6"/>
      <c r="H2760" s="6"/>
      <c r="I2760" s="6"/>
      <c r="J2760" s="16"/>
      <c r="K2760" s="6"/>
      <c r="L2760" s="16"/>
      <c r="M2760" s="23"/>
      <c r="N2760" s="15"/>
      <c r="O2760" s="23"/>
      <c r="P2760" s="21"/>
      <c r="Q2760" s="6"/>
      <c r="R2760" s="6"/>
      <c r="S2760" s="20"/>
      <c r="T2760" s="6"/>
      <c r="U2760" s="21"/>
      <c r="W2760" s="20"/>
      <c r="X2760" s="21"/>
      <c r="AD2760" s="17"/>
      <c r="AG2760" s="17"/>
    </row>
    <row r="2761" spans="2:33" ht="16">
      <c r="B2761" s="26" t="str">
        <f t="shared" si="11"/>
        <v/>
      </c>
      <c r="C2761" s="6"/>
      <c r="D2761" s="6"/>
      <c r="E2761" s="6"/>
      <c r="F2761" s="15"/>
      <c r="G2761" s="6"/>
      <c r="H2761" s="6"/>
      <c r="I2761" s="6"/>
      <c r="J2761" s="16"/>
      <c r="K2761" s="6"/>
      <c r="L2761" s="16"/>
      <c r="M2761" s="23"/>
      <c r="N2761" s="15"/>
      <c r="O2761" s="23"/>
      <c r="P2761" s="21"/>
      <c r="Q2761" s="6"/>
      <c r="R2761" s="6"/>
      <c r="S2761" s="20"/>
      <c r="T2761" s="6"/>
      <c r="U2761" s="21"/>
      <c r="W2761" s="20"/>
      <c r="X2761" s="21"/>
      <c r="AD2761" s="23"/>
      <c r="AG2761" s="17"/>
    </row>
    <row r="2762" spans="2:33" ht="16">
      <c r="B2762" s="26" t="str">
        <f t="shared" si="11"/>
        <v/>
      </c>
      <c r="C2762" s="6"/>
      <c r="D2762" s="6"/>
      <c r="E2762" s="6"/>
      <c r="F2762" s="15"/>
      <c r="G2762" s="6"/>
      <c r="H2762" s="6"/>
      <c r="I2762" s="6"/>
      <c r="J2762" s="16"/>
      <c r="K2762" s="6"/>
      <c r="L2762" s="16"/>
      <c r="M2762" s="23"/>
      <c r="N2762" s="15"/>
      <c r="O2762" s="23"/>
      <c r="P2762" s="21"/>
      <c r="Q2762" s="6"/>
      <c r="R2762" s="6"/>
      <c r="S2762" s="20"/>
      <c r="T2762" s="6"/>
      <c r="U2762" s="21"/>
      <c r="W2762" s="20"/>
      <c r="X2762" s="21"/>
      <c r="AD2762" s="23"/>
      <c r="AG2762" s="17"/>
    </row>
    <row r="2763" spans="2:33" ht="16">
      <c r="B2763" s="26" t="str">
        <f t="shared" si="11"/>
        <v/>
      </c>
      <c r="C2763" s="6"/>
      <c r="D2763" s="6"/>
      <c r="E2763" s="6"/>
      <c r="F2763" s="15"/>
      <c r="G2763" s="6"/>
      <c r="H2763" s="6"/>
      <c r="I2763" s="6"/>
      <c r="J2763" s="16"/>
      <c r="K2763" s="6"/>
      <c r="L2763" s="16"/>
      <c r="M2763" s="23"/>
      <c r="N2763" s="15"/>
      <c r="O2763" s="23"/>
      <c r="P2763" s="21"/>
      <c r="Q2763" s="6"/>
      <c r="R2763" s="6"/>
      <c r="S2763" s="20"/>
      <c r="T2763" s="6"/>
      <c r="U2763" s="21"/>
      <c r="W2763" s="20"/>
      <c r="X2763" s="21"/>
      <c r="AD2763" s="17"/>
      <c r="AG2763" s="17"/>
    </row>
    <row r="2764" spans="2:33" ht="16">
      <c r="B2764" s="26" t="str">
        <f t="shared" si="11"/>
        <v/>
      </c>
      <c r="C2764" s="6"/>
      <c r="D2764" s="6"/>
      <c r="E2764" s="6"/>
      <c r="F2764" s="15"/>
      <c r="G2764" s="6"/>
      <c r="H2764" s="6"/>
      <c r="I2764" s="6"/>
      <c r="J2764" s="16"/>
      <c r="K2764" s="6"/>
      <c r="L2764" s="16"/>
      <c r="M2764" s="23"/>
      <c r="N2764" s="15"/>
      <c r="O2764" s="23"/>
      <c r="P2764" s="21"/>
      <c r="Q2764" s="6"/>
      <c r="R2764" s="6"/>
      <c r="S2764" s="20"/>
      <c r="T2764" s="6"/>
      <c r="U2764" s="21"/>
      <c r="W2764" s="20"/>
      <c r="X2764" s="21"/>
      <c r="AD2764" s="17"/>
      <c r="AG2764" s="17"/>
    </row>
    <row r="2765" spans="2:33" ht="16">
      <c r="B2765" s="26" t="str">
        <f t="shared" si="11"/>
        <v/>
      </c>
      <c r="C2765" s="6"/>
      <c r="D2765" s="6"/>
      <c r="E2765" s="6"/>
      <c r="F2765" s="15"/>
      <c r="G2765" s="6"/>
      <c r="H2765" s="6"/>
      <c r="I2765" s="6"/>
      <c r="J2765" s="16"/>
      <c r="K2765" s="6"/>
      <c r="L2765" s="16"/>
      <c r="M2765" s="23"/>
      <c r="N2765" s="15"/>
      <c r="O2765" s="23"/>
      <c r="P2765" s="21"/>
      <c r="Q2765" s="6"/>
      <c r="R2765" s="6"/>
      <c r="S2765" s="20"/>
      <c r="T2765" s="6"/>
      <c r="U2765" s="21"/>
      <c r="W2765" s="20"/>
      <c r="X2765" s="21"/>
      <c r="AD2765" s="23"/>
      <c r="AG2765" s="23"/>
    </row>
    <row r="2766" spans="2:33" ht="16">
      <c r="B2766" s="26" t="str">
        <f t="shared" si="11"/>
        <v/>
      </c>
      <c r="C2766" s="6"/>
      <c r="D2766" s="6"/>
      <c r="E2766" s="6"/>
      <c r="F2766" s="15"/>
      <c r="G2766" s="6"/>
      <c r="H2766" s="6"/>
      <c r="I2766" s="6"/>
      <c r="J2766" s="16"/>
      <c r="K2766" s="6"/>
      <c r="L2766" s="16"/>
      <c r="M2766" s="17"/>
      <c r="N2766" s="15"/>
      <c r="O2766" s="17"/>
      <c r="P2766" s="21"/>
      <c r="Q2766" s="6"/>
      <c r="R2766" s="6"/>
      <c r="S2766" s="20"/>
      <c r="T2766" s="6"/>
      <c r="U2766" s="21"/>
      <c r="W2766" s="20"/>
      <c r="X2766" s="21"/>
      <c r="AD2766" s="17"/>
      <c r="AG2766" s="23"/>
    </row>
    <row r="2767" spans="2:33" ht="16">
      <c r="B2767" s="26" t="str">
        <f t="shared" si="11"/>
        <v/>
      </c>
      <c r="C2767" s="6"/>
      <c r="D2767" s="6"/>
      <c r="E2767" s="6"/>
      <c r="F2767" s="15"/>
      <c r="G2767" s="6"/>
      <c r="H2767" s="6"/>
      <c r="I2767" s="6"/>
      <c r="J2767" s="16"/>
      <c r="K2767" s="6"/>
      <c r="L2767" s="16"/>
      <c r="M2767" s="23"/>
      <c r="N2767" s="15"/>
      <c r="O2767" s="23"/>
      <c r="P2767" s="21"/>
      <c r="Q2767" s="6"/>
      <c r="R2767" s="6"/>
      <c r="S2767" s="20"/>
      <c r="T2767" s="6"/>
      <c r="U2767" s="21"/>
      <c r="W2767" s="20"/>
      <c r="X2767" s="21"/>
      <c r="AD2767" s="23"/>
      <c r="AG2767" s="17"/>
    </row>
    <row r="2768" spans="2:33" ht="16">
      <c r="B2768" s="26" t="str">
        <f t="shared" si="11"/>
        <v/>
      </c>
      <c r="C2768" s="6"/>
      <c r="D2768" s="6"/>
      <c r="E2768" s="6"/>
      <c r="F2768" s="15"/>
      <c r="G2768" s="6"/>
      <c r="H2768" s="6"/>
      <c r="I2768" s="6"/>
      <c r="J2768" s="16"/>
      <c r="K2768" s="6"/>
      <c r="L2768" s="16"/>
      <c r="M2768" s="23"/>
      <c r="N2768" s="15"/>
      <c r="O2768" s="23"/>
      <c r="P2768" s="21"/>
      <c r="Q2768" s="6"/>
      <c r="R2768" s="6"/>
      <c r="S2768" s="20"/>
      <c r="T2768" s="6"/>
      <c r="U2768" s="21"/>
      <c r="W2768" s="20"/>
      <c r="X2768" s="21"/>
      <c r="AD2768" s="23"/>
    </row>
    <row r="2769" spans="2:33" ht="16">
      <c r="B2769" s="26" t="str">
        <f t="shared" si="11"/>
        <v/>
      </c>
      <c r="C2769" s="6"/>
      <c r="D2769" s="6"/>
      <c r="E2769" s="6"/>
      <c r="F2769" s="15"/>
      <c r="G2769" s="6"/>
      <c r="H2769" s="6"/>
      <c r="I2769" s="6"/>
      <c r="J2769" s="16"/>
      <c r="K2769" s="6"/>
      <c r="L2769" s="16"/>
      <c r="M2769" s="23"/>
      <c r="N2769" s="15"/>
      <c r="O2769" s="23"/>
      <c r="P2769" s="21"/>
      <c r="Q2769" s="6"/>
      <c r="R2769" s="6"/>
      <c r="S2769" s="20"/>
      <c r="T2769" s="6"/>
      <c r="U2769" s="21"/>
      <c r="W2769" s="20"/>
      <c r="X2769" s="21"/>
      <c r="AD2769" s="17"/>
      <c r="AG2769" s="17"/>
    </row>
    <row r="2770" spans="2:33" ht="16">
      <c r="B2770" s="26" t="str">
        <f t="shared" si="11"/>
        <v/>
      </c>
      <c r="C2770" s="6"/>
      <c r="D2770" s="6"/>
      <c r="E2770" s="6"/>
      <c r="F2770" s="15"/>
      <c r="G2770" s="6"/>
      <c r="H2770" s="6"/>
      <c r="I2770" s="6"/>
      <c r="J2770" s="16"/>
      <c r="K2770" s="6"/>
      <c r="L2770" s="16"/>
      <c r="M2770" s="23"/>
      <c r="N2770" s="15"/>
      <c r="O2770" s="23"/>
      <c r="P2770" s="21"/>
      <c r="Q2770" s="6"/>
      <c r="R2770" s="6"/>
      <c r="S2770" s="20"/>
      <c r="T2770" s="6"/>
      <c r="U2770" s="21"/>
      <c r="W2770" s="20"/>
      <c r="X2770" s="21"/>
      <c r="AD2770" s="17"/>
      <c r="AG2770" s="17"/>
    </row>
    <row r="2771" spans="2:33" ht="16">
      <c r="B2771" s="26" t="str">
        <f t="shared" si="11"/>
        <v/>
      </c>
      <c r="C2771" s="6"/>
      <c r="D2771" s="6"/>
      <c r="E2771" s="6"/>
      <c r="F2771" s="15"/>
      <c r="G2771" s="6"/>
      <c r="H2771" s="6"/>
      <c r="I2771" s="6"/>
      <c r="J2771" s="16"/>
      <c r="K2771" s="6"/>
      <c r="L2771" s="16"/>
      <c r="M2771" s="23"/>
      <c r="N2771" s="15"/>
      <c r="O2771" s="23"/>
      <c r="P2771" s="21"/>
      <c r="Q2771" s="6"/>
      <c r="R2771" s="6"/>
      <c r="S2771" s="20"/>
      <c r="T2771" s="6"/>
      <c r="U2771" s="21"/>
      <c r="W2771" s="20"/>
      <c r="X2771" s="21"/>
      <c r="AD2771" s="23"/>
      <c r="AG2771" s="17"/>
    </row>
    <row r="2772" spans="2:33" ht="16">
      <c r="B2772" s="26" t="str">
        <f t="shared" si="11"/>
        <v/>
      </c>
      <c r="C2772" s="6"/>
      <c r="D2772" s="6"/>
      <c r="E2772" s="6"/>
      <c r="F2772" s="15"/>
      <c r="G2772" s="6"/>
      <c r="H2772" s="6"/>
      <c r="I2772" s="6"/>
      <c r="J2772" s="16"/>
      <c r="K2772" s="6"/>
      <c r="L2772" s="16"/>
      <c r="M2772" s="17"/>
      <c r="N2772" s="15"/>
      <c r="O2772" s="17"/>
      <c r="P2772" s="21"/>
      <c r="Q2772" s="6"/>
      <c r="R2772" s="6"/>
      <c r="S2772" s="20"/>
      <c r="T2772" s="6"/>
      <c r="U2772" s="21"/>
      <c r="W2772" s="20"/>
      <c r="AD2772" s="17"/>
      <c r="AG2772" s="17"/>
    </row>
    <row r="2773" spans="2:33" ht="16">
      <c r="B2773" s="26" t="str">
        <f t="shared" si="11"/>
        <v/>
      </c>
      <c r="C2773" s="6"/>
      <c r="D2773" s="6"/>
      <c r="E2773" s="6"/>
      <c r="F2773" s="15"/>
      <c r="G2773" s="6"/>
      <c r="H2773" s="6"/>
      <c r="I2773" s="6"/>
      <c r="J2773" s="16"/>
      <c r="K2773" s="6"/>
      <c r="L2773" s="16"/>
      <c r="M2773" s="23"/>
      <c r="N2773" s="15"/>
      <c r="O2773" s="23"/>
      <c r="P2773" s="21"/>
      <c r="Q2773" s="6"/>
      <c r="R2773" s="6"/>
      <c r="S2773" s="20"/>
      <c r="T2773" s="6"/>
      <c r="U2773" s="21"/>
      <c r="W2773" s="20"/>
      <c r="AD2773" s="17"/>
      <c r="AG2773" s="23"/>
    </row>
    <row r="2774" spans="2:33" ht="16">
      <c r="B2774" s="26" t="str">
        <f t="shared" si="11"/>
        <v/>
      </c>
      <c r="C2774" s="6"/>
      <c r="D2774" s="6"/>
      <c r="E2774" s="6"/>
      <c r="F2774" s="15"/>
      <c r="G2774" s="6"/>
      <c r="H2774" s="6"/>
      <c r="I2774" s="6"/>
      <c r="J2774" s="16"/>
      <c r="K2774" s="6"/>
      <c r="L2774" s="16"/>
      <c r="M2774" s="23"/>
      <c r="N2774" s="15"/>
      <c r="O2774" s="23"/>
      <c r="P2774" s="21"/>
      <c r="Q2774" s="6"/>
      <c r="R2774" s="6"/>
      <c r="S2774" s="20"/>
      <c r="T2774" s="6"/>
      <c r="U2774" s="21"/>
      <c r="W2774" s="20"/>
      <c r="X2774" s="21"/>
      <c r="AD2774" s="17"/>
      <c r="AG2774" s="23"/>
    </row>
    <row r="2775" spans="2:33" ht="16">
      <c r="B2775" s="26" t="str">
        <f t="shared" si="11"/>
        <v/>
      </c>
      <c r="C2775" s="6"/>
      <c r="D2775" s="6"/>
      <c r="E2775" s="6"/>
      <c r="F2775" s="15"/>
      <c r="G2775" s="6"/>
      <c r="H2775" s="6"/>
      <c r="I2775" s="6"/>
      <c r="J2775" s="16"/>
      <c r="K2775" s="6"/>
      <c r="L2775" s="16"/>
      <c r="M2775" s="23"/>
      <c r="N2775" s="15"/>
      <c r="O2775" s="23"/>
      <c r="P2775" s="21"/>
      <c r="Q2775" s="6"/>
      <c r="R2775" s="6"/>
      <c r="S2775" s="20"/>
      <c r="T2775" s="6"/>
      <c r="U2775" s="21"/>
      <c r="W2775" s="20"/>
      <c r="X2775" s="21"/>
      <c r="AD2775" s="23"/>
      <c r="AG2775" s="23"/>
    </row>
    <row r="2776" spans="2:33" ht="16">
      <c r="B2776" s="26" t="str">
        <f t="shared" si="11"/>
        <v/>
      </c>
      <c r="C2776" s="6"/>
      <c r="D2776" s="6"/>
      <c r="E2776" s="6"/>
      <c r="F2776" s="15"/>
      <c r="G2776" s="6"/>
      <c r="H2776" s="6"/>
      <c r="I2776" s="6"/>
      <c r="J2776" s="16"/>
      <c r="K2776" s="6"/>
      <c r="L2776" s="16"/>
      <c r="M2776" s="23"/>
      <c r="N2776" s="15"/>
      <c r="O2776" s="23"/>
      <c r="P2776" s="21"/>
      <c r="Q2776" s="6"/>
      <c r="R2776" s="6"/>
      <c r="S2776" s="20"/>
      <c r="T2776" s="6"/>
      <c r="U2776" s="21"/>
      <c r="W2776" s="20"/>
      <c r="AD2776" s="17"/>
      <c r="AG2776" s="23"/>
    </row>
    <row r="2777" spans="2:33" ht="16">
      <c r="B2777" s="26" t="str">
        <f t="shared" si="11"/>
        <v/>
      </c>
      <c r="C2777" s="6"/>
      <c r="D2777" s="6"/>
      <c r="E2777" s="6"/>
      <c r="F2777" s="15"/>
      <c r="G2777" s="6"/>
      <c r="H2777" s="6"/>
      <c r="I2777" s="6"/>
      <c r="J2777" s="16"/>
      <c r="K2777" s="6"/>
      <c r="L2777" s="16"/>
      <c r="M2777" s="23"/>
      <c r="N2777" s="15"/>
      <c r="O2777" s="23"/>
      <c r="P2777" s="21"/>
      <c r="Q2777" s="6"/>
      <c r="R2777" s="6"/>
      <c r="S2777" s="20"/>
      <c r="T2777" s="6"/>
      <c r="U2777" s="21"/>
      <c r="W2777" s="20"/>
      <c r="AD2777" s="23"/>
      <c r="AG2777" s="23"/>
    </row>
    <row r="2778" spans="2:33" ht="16">
      <c r="B2778" s="26" t="str">
        <f t="shared" si="11"/>
        <v/>
      </c>
      <c r="C2778" s="6"/>
      <c r="D2778" s="6"/>
      <c r="E2778" s="6"/>
      <c r="F2778" s="15"/>
      <c r="G2778" s="6"/>
      <c r="H2778" s="6"/>
      <c r="I2778" s="6"/>
      <c r="J2778" s="16"/>
      <c r="K2778" s="6"/>
      <c r="L2778" s="16"/>
      <c r="M2778" s="23"/>
      <c r="N2778" s="15"/>
      <c r="O2778" s="23"/>
      <c r="P2778" s="21"/>
      <c r="Q2778" s="6"/>
      <c r="R2778" s="6"/>
      <c r="S2778" s="20"/>
      <c r="T2778" s="6"/>
      <c r="U2778" s="21"/>
      <c r="W2778" s="20"/>
      <c r="X2778" s="21"/>
      <c r="AD2778" s="17"/>
      <c r="AG2778" s="23"/>
    </row>
    <row r="2779" spans="2:33" ht="16">
      <c r="B2779" s="26" t="str">
        <f t="shared" si="11"/>
        <v/>
      </c>
      <c r="C2779" s="6"/>
      <c r="D2779" s="6"/>
      <c r="E2779" s="6"/>
      <c r="F2779" s="15"/>
      <c r="G2779" s="6"/>
      <c r="H2779" s="6"/>
      <c r="I2779" s="6"/>
      <c r="J2779" s="16"/>
      <c r="K2779" s="6"/>
      <c r="L2779" s="16"/>
      <c r="M2779" s="17"/>
      <c r="N2779" s="15"/>
      <c r="O2779" s="23"/>
      <c r="P2779" s="21"/>
      <c r="Q2779" s="6"/>
      <c r="R2779" s="6"/>
      <c r="S2779" s="20"/>
      <c r="T2779" s="6"/>
      <c r="U2779" s="21"/>
      <c r="W2779" s="20"/>
      <c r="X2779" s="21"/>
      <c r="AD2779" s="17"/>
      <c r="AG2779" s="17"/>
    </row>
    <row r="2780" spans="2:33" ht="16">
      <c r="B2780" s="26" t="str">
        <f t="shared" si="11"/>
        <v/>
      </c>
      <c r="C2780" s="6"/>
      <c r="D2780" s="6"/>
      <c r="E2780" s="6"/>
      <c r="F2780" s="15"/>
      <c r="G2780" s="6"/>
      <c r="H2780" s="6"/>
      <c r="I2780" s="6"/>
      <c r="J2780" s="16"/>
      <c r="K2780" s="6"/>
      <c r="L2780" s="16"/>
      <c r="M2780" s="23"/>
      <c r="N2780" s="15"/>
      <c r="O2780" s="23"/>
      <c r="P2780" s="21"/>
      <c r="Q2780" s="6"/>
      <c r="R2780" s="6"/>
      <c r="S2780" s="20"/>
      <c r="T2780" s="6"/>
      <c r="U2780" s="21"/>
      <c r="W2780" s="20"/>
      <c r="X2780" s="21"/>
      <c r="AD2780" s="23"/>
      <c r="AG2780" s="17"/>
    </row>
    <row r="2781" spans="2:33" ht="16">
      <c r="B2781" s="26" t="str">
        <f t="shared" si="11"/>
        <v/>
      </c>
      <c r="C2781" s="6"/>
      <c r="D2781" s="6"/>
      <c r="E2781" s="6"/>
      <c r="F2781" s="15"/>
      <c r="G2781" s="6"/>
      <c r="H2781" s="6"/>
      <c r="I2781" s="6"/>
      <c r="J2781" s="16"/>
      <c r="K2781" s="6"/>
      <c r="L2781" s="16"/>
      <c r="M2781" s="23"/>
      <c r="N2781" s="15"/>
      <c r="O2781" s="23"/>
      <c r="P2781" s="21"/>
      <c r="Q2781" s="6"/>
      <c r="R2781" s="6"/>
      <c r="S2781" s="20"/>
      <c r="T2781" s="6"/>
      <c r="U2781" s="21"/>
      <c r="W2781" s="20"/>
      <c r="AD2781" s="23"/>
      <c r="AG2781" s="23"/>
    </row>
    <row r="2782" spans="2:33" ht="16">
      <c r="B2782" s="26" t="str">
        <f t="shared" si="11"/>
        <v/>
      </c>
      <c r="C2782" s="6"/>
      <c r="D2782" s="6"/>
      <c r="E2782" s="6"/>
      <c r="F2782" s="15"/>
      <c r="G2782" s="6"/>
      <c r="H2782" s="6"/>
      <c r="I2782" s="6"/>
      <c r="J2782" s="16"/>
      <c r="K2782" s="6"/>
      <c r="L2782" s="16"/>
      <c r="M2782" s="23"/>
      <c r="N2782" s="15"/>
      <c r="O2782" s="23"/>
      <c r="P2782" s="21"/>
      <c r="Q2782" s="6"/>
      <c r="R2782" s="6"/>
      <c r="S2782" s="20"/>
      <c r="T2782" s="6"/>
      <c r="U2782" s="21"/>
      <c r="W2782" s="20"/>
      <c r="X2782" s="21"/>
      <c r="AD2782" s="23"/>
      <c r="AG2782" s="23"/>
    </row>
    <row r="2783" spans="2:33" ht="16">
      <c r="B2783" s="26" t="str">
        <f t="shared" si="11"/>
        <v/>
      </c>
      <c r="C2783" s="6"/>
      <c r="D2783" s="6"/>
      <c r="E2783" s="6"/>
      <c r="F2783" s="15"/>
      <c r="G2783" s="6"/>
      <c r="H2783" s="6"/>
      <c r="I2783" s="6"/>
      <c r="J2783" s="16"/>
      <c r="K2783" s="6"/>
      <c r="L2783" s="16"/>
      <c r="M2783" s="23"/>
      <c r="N2783" s="15"/>
      <c r="O2783" s="23"/>
      <c r="P2783" s="21"/>
      <c r="Q2783" s="6"/>
      <c r="R2783" s="6"/>
      <c r="S2783" s="20"/>
      <c r="T2783" s="6"/>
      <c r="U2783" s="21"/>
      <c r="W2783" s="20"/>
      <c r="X2783" s="21"/>
      <c r="AD2783" s="23"/>
      <c r="AG2783" s="23"/>
    </row>
    <row r="2784" spans="2:33" ht="16">
      <c r="B2784" s="26" t="str">
        <f t="shared" si="11"/>
        <v/>
      </c>
      <c r="C2784" s="6"/>
      <c r="D2784" s="6"/>
      <c r="E2784" s="6"/>
      <c r="F2784" s="15"/>
      <c r="G2784" s="6"/>
      <c r="H2784" s="6"/>
      <c r="I2784" s="6"/>
      <c r="J2784" s="16"/>
      <c r="K2784" s="6"/>
      <c r="L2784" s="16"/>
      <c r="M2784" s="17"/>
      <c r="N2784" s="15"/>
      <c r="O2784" s="23"/>
      <c r="P2784" s="21"/>
      <c r="Q2784" s="6"/>
      <c r="R2784" s="6"/>
      <c r="S2784" s="20"/>
      <c r="T2784" s="6"/>
      <c r="U2784" s="21"/>
      <c r="W2784" s="20"/>
      <c r="AD2784" s="17"/>
      <c r="AG2784" s="23"/>
    </row>
    <row r="2785" spans="2:33" ht="16">
      <c r="B2785" s="26" t="str">
        <f t="shared" si="11"/>
        <v/>
      </c>
      <c r="C2785" s="6"/>
      <c r="D2785" s="6"/>
      <c r="E2785" s="6"/>
      <c r="F2785" s="15"/>
      <c r="G2785" s="6"/>
      <c r="H2785" s="6"/>
      <c r="I2785" s="6"/>
      <c r="J2785" s="16"/>
      <c r="K2785" s="6"/>
      <c r="L2785" s="16"/>
      <c r="M2785" s="23"/>
      <c r="N2785" s="15"/>
      <c r="O2785" s="23"/>
      <c r="P2785" s="21"/>
      <c r="Q2785" s="6"/>
      <c r="R2785" s="6"/>
      <c r="S2785" s="20"/>
      <c r="T2785" s="6"/>
      <c r="U2785" s="21"/>
      <c r="W2785" s="20"/>
      <c r="X2785" s="21"/>
      <c r="AD2785" s="17"/>
      <c r="AG2785" s="23"/>
    </row>
    <row r="2786" spans="2:33" ht="16">
      <c r="B2786" s="26" t="str">
        <f t="shared" si="11"/>
        <v/>
      </c>
      <c r="C2786" s="6"/>
      <c r="D2786" s="6"/>
      <c r="E2786" s="6"/>
      <c r="F2786" s="15"/>
      <c r="G2786" s="6"/>
      <c r="H2786" s="6"/>
      <c r="I2786" s="6"/>
      <c r="J2786" s="16"/>
      <c r="K2786" s="6"/>
      <c r="L2786" s="16"/>
      <c r="M2786" s="17"/>
      <c r="N2786" s="15"/>
      <c r="O2786" s="17"/>
      <c r="P2786" s="21"/>
      <c r="Q2786" s="6"/>
      <c r="R2786" s="6"/>
      <c r="S2786" s="20"/>
      <c r="T2786" s="6"/>
      <c r="U2786" s="21"/>
      <c r="W2786" s="20"/>
      <c r="X2786" s="21"/>
      <c r="AD2786" s="17"/>
      <c r="AG2786" s="23"/>
    </row>
    <row r="2787" spans="2:33" ht="16">
      <c r="B2787" s="26" t="str">
        <f t="shared" si="11"/>
        <v/>
      </c>
      <c r="C2787" s="6"/>
      <c r="D2787" s="6"/>
      <c r="E2787" s="6"/>
      <c r="F2787" s="15"/>
      <c r="G2787" s="6"/>
      <c r="H2787" s="6"/>
      <c r="I2787" s="6"/>
      <c r="J2787" s="16"/>
      <c r="K2787" s="6"/>
      <c r="L2787" s="16"/>
      <c r="M2787" s="23"/>
      <c r="N2787" s="15"/>
      <c r="O2787" s="23"/>
      <c r="P2787" s="21"/>
      <c r="Q2787" s="6"/>
      <c r="R2787" s="6"/>
      <c r="S2787" s="20"/>
      <c r="T2787" s="6"/>
      <c r="U2787" s="21"/>
      <c r="W2787" s="20"/>
      <c r="X2787" s="21"/>
      <c r="AD2787" s="23"/>
      <c r="AG2787" s="23"/>
    </row>
    <row r="2788" spans="2:33" ht="16">
      <c r="B2788" s="26" t="str">
        <f t="shared" si="11"/>
        <v/>
      </c>
      <c r="C2788" s="6"/>
      <c r="D2788" s="6"/>
      <c r="E2788" s="6"/>
      <c r="F2788" s="15"/>
      <c r="G2788" s="6"/>
      <c r="H2788" s="6"/>
      <c r="I2788" s="6"/>
      <c r="J2788" s="16"/>
      <c r="K2788" s="6"/>
      <c r="L2788" s="16"/>
      <c r="M2788" s="17"/>
      <c r="N2788" s="15"/>
      <c r="O2788" s="17"/>
      <c r="P2788" s="21"/>
      <c r="Q2788" s="6"/>
      <c r="R2788" s="6"/>
      <c r="S2788" s="20"/>
      <c r="T2788" s="6"/>
      <c r="U2788" s="21"/>
      <c r="W2788" s="20"/>
      <c r="X2788" s="21"/>
      <c r="AD2788" s="17"/>
      <c r="AG2788" s="23"/>
    </row>
    <row r="2789" spans="2:33" ht="16">
      <c r="B2789" s="26" t="str">
        <f t="shared" si="11"/>
        <v/>
      </c>
      <c r="C2789" s="6"/>
      <c r="D2789" s="6"/>
      <c r="E2789" s="6"/>
      <c r="F2789" s="15"/>
      <c r="G2789" s="6"/>
      <c r="H2789" s="6"/>
      <c r="I2789" s="6"/>
      <c r="J2789" s="16"/>
      <c r="K2789" s="6"/>
      <c r="L2789" s="16"/>
      <c r="M2789" s="23"/>
      <c r="N2789" s="15"/>
      <c r="O2789" s="23"/>
      <c r="P2789" s="21"/>
      <c r="Q2789" s="6"/>
      <c r="R2789" s="6"/>
      <c r="S2789" s="20"/>
      <c r="T2789" s="6"/>
      <c r="U2789" s="21"/>
      <c r="W2789" s="20"/>
      <c r="X2789" s="21"/>
      <c r="AD2789" s="23"/>
      <c r="AG2789" s="17"/>
    </row>
    <row r="2790" spans="2:33" ht="16">
      <c r="B2790" s="26" t="str">
        <f t="shared" si="11"/>
        <v/>
      </c>
      <c r="C2790" s="6"/>
      <c r="D2790" s="6"/>
      <c r="E2790" s="6"/>
      <c r="F2790" s="15"/>
      <c r="G2790" s="6"/>
      <c r="H2790" s="6"/>
      <c r="I2790" s="6"/>
      <c r="J2790" s="16"/>
      <c r="K2790" s="6"/>
      <c r="L2790" s="16"/>
      <c r="M2790" s="17"/>
      <c r="N2790" s="15"/>
      <c r="O2790" s="17"/>
      <c r="P2790" s="21"/>
      <c r="Q2790" s="6"/>
      <c r="R2790" s="6"/>
      <c r="S2790" s="20"/>
      <c r="T2790" s="6"/>
      <c r="U2790" s="21"/>
      <c r="W2790" s="20"/>
      <c r="X2790" s="21"/>
      <c r="AD2790" s="17"/>
      <c r="AG2790" s="23"/>
    </row>
    <row r="2791" spans="2:33" ht="16">
      <c r="B2791" s="26" t="str">
        <f t="shared" si="11"/>
        <v/>
      </c>
      <c r="C2791" s="6"/>
      <c r="D2791" s="6"/>
      <c r="E2791" s="6"/>
      <c r="F2791" s="15"/>
      <c r="G2791" s="6"/>
      <c r="H2791" s="6"/>
      <c r="I2791" s="6"/>
      <c r="J2791" s="16"/>
      <c r="K2791" s="6"/>
      <c r="L2791" s="16"/>
      <c r="M2791" s="17"/>
      <c r="N2791" s="15"/>
      <c r="O2791" s="17"/>
      <c r="P2791" s="21"/>
      <c r="Q2791" s="6"/>
      <c r="R2791" s="6"/>
      <c r="S2791" s="20"/>
      <c r="T2791" s="6"/>
      <c r="U2791" s="21"/>
      <c r="W2791" s="20"/>
      <c r="X2791" s="21"/>
      <c r="AD2791" s="17"/>
      <c r="AG2791" s="17"/>
    </row>
    <row r="2792" spans="2:33" ht="16">
      <c r="B2792" s="26" t="str">
        <f t="shared" si="11"/>
        <v/>
      </c>
      <c r="C2792" s="6"/>
      <c r="D2792" s="6"/>
      <c r="E2792" s="6"/>
      <c r="F2792" s="15"/>
      <c r="G2792" s="6"/>
      <c r="H2792" s="6"/>
      <c r="I2792" s="6"/>
      <c r="J2792" s="16"/>
      <c r="K2792" s="6"/>
      <c r="L2792" s="16"/>
      <c r="M2792" s="17"/>
      <c r="N2792" s="15"/>
      <c r="O2792" s="23"/>
      <c r="P2792" s="21"/>
      <c r="Q2792" s="6"/>
      <c r="R2792" s="6"/>
      <c r="S2792" s="20"/>
      <c r="T2792" s="6"/>
      <c r="U2792" s="21"/>
      <c r="W2792" s="20"/>
      <c r="X2792" s="21"/>
      <c r="AD2792" s="17"/>
      <c r="AG2792" s="23"/>
    </row>
    <row r="2793" spans="2:33" ht="16">
      <c r="B2793" s="26" t="str">
        <f t="shared" si="11"/>
        <v/>
      </c>
      <c r="C2793" s="6"/>
      <c r="D2793" s="6"/>
      <c r="E2793" s="6"/>
      <c r="F2793" s="15"/>
      <c r="G2793" s="6"/>
      <c r="H2793" s="6"/>
      <c r="I2793" s="6"/>
      <c r="J2793" s="16"/>
      <c r="K2793" s="6"/>
      <c r="L2793" s="16"/>
      <c r="M2793" s="17"/>
      <c r="N2793" s="15"/>
      <c r="O2793" s="23"/>
      <c r="P2793" s="21"/>
      <c r="Q2793" s="6"/>
      <c r="R2793" s="6"/>
      <c r="S2793" s="20"/>
      <c r="T2793" s="6"/>
      <c r="U2793" s="21"/>
      <c r="W2793" s="20"/>
      <c r="X2793" s="21"/>
      <c r="AD2793" s="17"/>
      <c r="AG2793" s="23"/>
    </row>
    <row r="2794" spans="2:33" ht="16">
      <c r="B2794" s="26" t="str">
        <f t="shared" si="11"/>
        <v/>
      </c>
      <c r="C2794" s="6"/>
      <c r="D2794" s="6"/>
      <c r="E2794" s="6"/>
      <c r="F2794" s="15"/>
      <c r="G2794" s="6"/>
      <c r="H2794" s="6"/>
      <c r="I2794" s="6"/>
      <c r="J2794" s="16"/>
      <c r="K2794" s="6"/>
      <c r="L2794" s="16"/>
      <c r="M2794" s="23"/>
      <c r="N2794" s="15"/>
      <c r="O2794" s="17"/>
      <c r="P2794" s="21"/>
      <c r="Q2794" s="6"/>
      <c r="R2794" s="6"/>
      <c r="S2794" s="20"/>
      <c r="T2794" s="6"/>
      <c r="U2794" s="21"/>
      <c r="W2794" s="20"/>
      <c r="X2794" s="21"/>
      <c r="AD2794" s="17"/>
      <c r="AG2794" s="17"/>
    </row>
    <row r="2795" spans="2:33" ht="16">
      <c r="B2795" s="26" t="str">
        <f t="shared" si="11"/>
        <v/>
      </c>
      <c r="C2795" s="6"/>
      <c r="D2795" s="6"/>
      <c r="E2795" s="6"/>
      <c r="F2795" s="15"/>
      <c r="G2795" s="6"/>
      <c r="H2795" s="6"/>
      <c r="I2795" s="6"/>
      <c r="J2795" s="16"/>
      <c r="K2795" s="6"/>
      <c r="L2795" s="16"/>
      <c r="M2795" s="23"/>
      <c r="N2795" s="15"/>
      <c r="O2795" s="23"/>
      <c r="P2795" s="21"/>
      <c r="Q2795" s="6"/>
      <c r="R2795" s="6"/>
      <c r="S2795" s="20"/>
      <c r="T2795" s="6"/>
      <c r="U2795" s="21"/>
      <c r="W2795" s="20"/>
      <c r="X2795" s="21"/>
      <c r="AD2795" s="17"/>
      <c r="AG2795" s="23"/>
    </row>
    <row r="2796" spans="2:33" ht="16">
      <c r="B2796" s="26" t="str">
        <f t="shared" si="11"/>
        <v/>
      </c>
      <c r="C2796" s="6"/>
      <c r="D2796" s="6"/>
      <c r="E2796" s="6"/>
      <c r="F2796" s="15"/>
      <c r="G2796" s="6"/>
      <c r="H2796" s="6"/>
      <c r="I2796" s="6"/>
      <c r="J2796" s="16"/>
      <c r="K2796" s="6"/>
      <c r="L2796" s="16"/>
      <c r="M2796" s="17"/>
      <c r="N2796" s="15"/>
      <c r="O2796" s="23"/>
      <c r="P2796" s="21"/>
      <c r="Q2796" s="6"/>
      <c r="R2796" s="6"/>
      <c r="S2796" s="20"/>
      <c r="T2796" s="6"/>
      <c r="U2796" s="21"/>
      <c r="W2796" s="20"/>
      <c r="X2796" s="21"/>
      <c r="AD2796" s="17"/>
      <c r="AG2796" s="23"/>
    </row>
    <row r="2797" spans="2:33" ht="16">
      <c r="B2797" s="26" t="str">
        <f t="shared" si="11"/>
        <v/>
      </c>
      <c r="C2797" s="6"/>
      <c r="D2797" s="6"/>
      <c r="E2797" s="6"/>
      <c r="F2797" s="15"/>
      <c r="G2797" s="6"/>
      <c r="H2797" s="6"/>
      <c r="I2797" s="6"/>
      <c r="J2797" s="16"/>
      <c r="K2797" s="6"/>
      <c r="L2797" s="16"/>
      <c r="M2797" s="17"/>
      <c r="N2797" s="15"/>
      <c r="O2797" s="23"/>
      <c r="P2797" s="21"/>
      <c r="Q2797" s="6"/>
      <c r="R2797" s="6"/>
      <c r="S2797" s="20"/>
      <c r="T2797" s="6"/>
      <c r="U2797" s="21"/>
      <c r="W2797" s="20"/>
      <c r="X2797" s="21"/>
      <c r="AD2797" s="17"/>
      <c r="AG2797" s="23"/>
    </row>
    <row r="2798" spans="2:33" ht="16">
      <c r="B2798" s="26" t="str">
        <f t="shared" si="11"/>
        <v/>
      </c>
      <c r="C2798" s="6"/>
      <c r="D2798" s="6"/>
      <c r="E2798" s="6"/>
      <c r="F2798" s="15"/>
      <c r="G2798" s="6"/>
      <c r="H2798" s="6"/>
      <c r="I2798" s="6"/>
      <c r="J2798" s="16"/>
      <c r="K2798" s="6"/>
      <c r="L2798" s="16"/>
      <c r="M2798" s="23"/>
      <c r="N2798" s="15"/>
      <c r="O2798" s="23"/>
      <c r="P2798" s="21"/>
      <c r="Q2798" s="6"/>
      <c r="R2798" s="6"/>
      <c r="S2798" s="20"/>
      <c r="T2798" s="6"/>
      <c r="U2798" s="21"/>
      <c r="W2798" s="20"/>
      <c r="X2798" s="21"/>
      <c r="AD2798" s="23"/>
      <c r="AG2798" s="23"/>
    </row>
    <row r="2799" spans="2:33" ht="16">
      <c r="B2799" s="26" t="str">
        <f t="shared" si="11"/>
        <v/>
      </c>
      <c r="C2799" s="6"/>
      <c r="D2799" s="6"/>
      <c r="E2799" s="6"/>
      <c r="F2799" s="15"/>
      <c r="G2799" s="6"/>
      <c r="H2799" s="6"/>
      <c r="I2799" s="6"/>
      <c r="J2799" s="16"/>
      <c r="K2799" s="6"/>
      <c r="L2799" s="16"/>
      <c r="M2799" s="23"/>
      <c r="N2799" s="15"/>
      <c r="O2799" s="23"/>
      <c r="P2799" s="21"/>
      <c r="Q2799" s="6"/>
      <c r="R2799" s="6"/>
      <c r="S2799" s="20"/>
      <c r="T2799" s="6"/>
      <c r="U2799" s="21"/>
      <c r="W2799" s="20"/>
      <c r="X2799" s="21"/>
      <c r="AD2799" s="17"/>
      <c r="AG2799" s="23"/>
    </row>
    <row r="2800" spans="2:33" ht="16">
      <c r="B2800" s="26" t="str">
        <f t="shared" si="11"/>
        <v/>
      </c>
      <c r="C2800" s="6"/>
      <c r="D2800" s="6"/>
      <c r="E2800" s="6"/>
      <c r="F2800" s="15"/>
      <c r="G2800" s="6"/>
      <c r="H2800" s="6"/>
      <c r="I2800" s="6"/>
      <c r="J2800" s="16"/>
      <c r="K2800" s="6"/>
      <c r="L2800" s="16"/>
      <c r="M2800" s="23"/>
      <c r="N2800" s="15"/>
      <c r="O2800" s="23"/>
      <c r="P2800" s="21"/>
      <c r="Q2800" s="6"/>
      <c r="R2800" s="6"/>
      <c r="S2800" s="20"/>
      <c r="T2800" s="6"/>
      <c r="U2800" s="21"/>
      <c r="W2800" s="20"/>
      <c r="AD2800" s="17"/>
      <c r="AG2800" s="17"/>
    </row>
    <row r="2801" spans="2:33" ht="16">
      <c r="B2801" s="26" t="str">
        <f t="shared" si="11"/>
        <v/>
      </c>
      <c r="C2801" s="6"/>
      <c r="D2801" s="6"/>
      <c r="E2801" s="6"/>
      <c r="F2801" s="15"/>
      <c r="G2801" s="6"/>
      <c r="H2801" s="6"/>
      <c r="I2801" s="6"/>
      <c r="J2801" s="16"/>
      <c r="K2801" s="6"/>
      <c r="L2801" s="16"/>
      <c r="M2801" s="17"/>
      <c r="N2801" s="15"/>
      <c r="O2801" s="17"/>
      <c r="P2801" s="21"/>
      <c r="Q2801" s="6"/>
      <c r="R2801" s="6"/>
      <c r="S2801" s="20"/>
      <c r="T2801" s="6"/>
      <c r="U2801" s="21"/>
      <c r="W2801" s="20"/>
      <c r="X2801" s="21"/>
      <c r="AD2801" s="17"/>
      <c r="AG2801" s="23"/>
    </row>
    <row r="2802" spans="2:33" ht="16">
      <c r="B2802" s="26" t="str">
        <f t="shared" si="11"/>
        <v/>
      </c>
      <c r="C2802" s="6"/>
      <c r="D2802" s="6"/>
      <c r="E2802" s="6"/>
      <c r="F2802" s="15"/>
      <c r="G2802" s="6"/>
      <c r="H2802" s="6"/>
      <c r="I2802" s="6"/>
      <c r="J2802" s="16"/>
      <c r="K2802" s="6"/>
      <c r="L2802" s="16"/>
      <c r="M2802" s="23"/>
      <c r="N2802" s="15"/>
      <c r="O2802" s="23"/>
      <c r="P2802" s="21"/>
      <c r="Q2802" s="6"/>
      <c r="R2802" s="6"/>
      <c r="S2802" s="20"/>
      <c r="T2802" s="6"/>
      <c r="U2802" s="21"/>
      <c r="W2802" s="20"/>
      <c r="AD2802" s="23"/>
      <c r="AG2802" s="23"/>
    </row>
    <row r="2803" spans="2:33" ht="16">
      <c r="B2803" s="26" t="str">
        <f t="shared" si="11"/>
        <v/>
      </c>
      <c r="C2803" s="6"/>
      <c r="D2803" s="6"/>
      <c r="E2803" s="6"/>
      <c r="F2803" s="15"/>
      <c r="G2803" s="6"/>
      <c r="H2803" s="6"/>
      <c r="I2803" s="6"/>
      <c r="J2803" s="16"/>
      <c r="K2803" s="6"/>
      <c r="L2803" s="16"/>
      <c r="M2803" s="23"/>
      <c r="N2803" s="15"/>
      <c r="O2803" s="23"/>
      <c r="P2803" s="21"/>
      <c r="Q2803" s="6"/>
      <c r="R2803" s="6"/>
      <c r="S2803" s="20"/>
      <c r="T2803" s="6"/>
      <c r="U2803" s="21"/>
      <c r="W2803" s="20"/>
      <c r="AD2803" s="17"/>
      <c r="AG2803" s="23"/>
    </row>
    <row r="2804" spans="2:33" ht="16">
      <c r="B2804" s="26" t="str">
        <f t="shared" si="11"/>
        <v/>
      </c>
      <c r="C2804" s="6"/>
      <c r="D2804" s="6"/>
      <c r="E2804" s="6"/>
      <c r="F2804" s="15"/>
      <c r="G2804" s="6"/>
      <c r="H2804" s="6"/>
      <c r="I2804" s="6"/>
      <c r="J2804" s="16"/>
      <c r="K2804" s="6"/>
      <c r="L2804" s="16"/>
      <c r="M2804" s="23"/>
      <c r="N2804" s="15"/>
      <c r="O2804" s="17"/>
      <c r="P2804" s="21"/>
      <c r="Q2804" s="6"/>
      <c r="R2804" s="6"/>
      <c r="S2804" s="20"/>
      <c r="T2804" s="6"/>
      <c r="U2804" s="21"/>
      <c r="W2804" s="20"/>
      <c r="AD2804" s="17"/>
      <c r="AG2804" s="17"/>
    </row>
    <row r="2805" spans="2:33" ht="16">
      <c r="B2805" s="26" t="str">
        <f t="shared" si="11"/>
        <v/>
      </c>
      <c r="C2805" s="6"/>
      <c r="D2805" s="6"/>
      <c r="E2805" s="6"/>
      <c r="F2805" s="15"/>
      <c r="G2805" s="6"/>
      <c r="H2805" s="6"/>
      <c r="I2805" s="6"/>
      <c r="J2805" s="16"/>
      <c r="K2805" s="6"/>
      <c r="L2805" s="16"/>
      <c r="M2805" s="23"/>
      <c r="N2805" s="15"/>
      <c r="O2805" s="23"/>
      <c r="P2805" s="21"/>
      <c r="Q2805" s="6"/>
      <c r="R2805" s="6"/>
      <c r="S2805" s="20"/>
      <c r="T2805" s="6"/>
      <c r="U2805" s="21"/>
      <c r="W2805" s="20"/>
      <c r="AD2805" s="23"/>
      <c r="AG2805" s="17"/>
    </row>
    <row r="2806" spans="2:33" ht="16">
      <c r="B2806" s="26" t="str">
        <f t="shared" si="11"/>
        <v/>
      </c>
      <c r="C2806" s="6"/>
      <c r="D2806" s="6"/>
      <c r="E2806" s="6"/>
      <c r="F2806" s="15"/>
      <c r="G2806" s="6"/>
      <c r="H2806" s="6"/>
      <c r="I2806" s="6"/>
      <c r="J2806" s="16"/>
      <c r="K2806" s="6"/>
      <c r="L2806" s="16"/>
      <c r="M2806" s="23"/>
      <c r="N2806" s="15"/>
      <c r="O2806" s="23"/>
      <c r="P2806" s="21"/>
      <c r="Q2806" s="6"/>
      <c r="R2806" s="6"/>
      <c r="S2806" s="20"/>
      <c r="T2806" s="6"/>
      <c r="U2806" s="21"/>
      <c r="W2806" s="20"/>
      <c r="AD2806" s="23"/>
    </row>
    <row r="2807" spans="2:33" ht="16">
      <c r="B2807" s="26" t="str">
        <f t="shared" si="11"/>
        <v/>
      </c>
      <c r="C2807" s="6"/>
      <c r="D2807" s="6"/>
      <c r="E2807" s="6"/>
      <c r="F2807" s="15"/>
      <c r="G2807" s="6"/>
      <c r="H2807" s="6"/>
      <c r="I2807" s="6"/>
      <c r="J2807" s="16"/>
      <c r="K2807" s="6"/>
      <c r="L2807" s="16"/>
      <c r="M2807" s="17"/>
      <c r="N2807" s="15"/>
      <c r="O2807" s="17"/>
      <c r="P2807" s="21"/>
      <c r="Q2807" s="6"/>
      <c r="R2807" s="6"/>
      <c r="S2807" s="20"/>
      <c r="T2807" s="6"/>
      <c r="U2807" s="21"/>
      <c r="W2807" s="20"/>
      <c r="AD2807" s="23"/>
    </row>
    <row r="2808" spans="2:33" ht="16">
      <c r="B2808" s="26" t="str">
        <f t="shared" si="11"/>
        <v/>
      </c>
      <c r="C2808" s="6"/>
      <c r="D2808" s="6"/>
      <c r="E2808" s="6"/>
      <c r="F2808" s="15"/>
      <c r="G2808" s="6"/>
      <c r="H2808" s="6"/>
      <c r="I2808" s="6"/>
      <c r="J2808" s="16"/>
      <c r="K2808" s="6"/>
      <c r="L2808" s="16"/>
      <c r="M2808" s="17"/>
      <c r="N2808" s="15"/>
      <c r="O2808" s="17"/>
      <c r="P2808" s="21"/>
      <c r="Q2808" s="6"/>
      <c r="R2808" s="6"/>
      <c r="S2808" s="20"/>
      <c r="T2808" s="6"/>
      <c r="U2808" s="21"/>
      <c r="W2808" s="20"/>
      <c r="AD2808" s="17"/>
      <c r="AG2808" s="17"/>
    </row>
    <row r="2809" spans="2:33" ht="16">
      <c r="B2809" s="26" t="str">
        <f t="shared" si="11"/>
        <v/>
      </c>
      <c r="C2809" s="6"/>
      <c r="D2809" s="6"/>
      <c r="E2809" s="6"/>
      <c r="F2809" s="15"/>
      <c r="G2809" s="6"/>
      <c r="H2809" s="6"/>
      <c r="I2809" s="6"/>
      <c r="J2809" s="16"/>
      <c r="K2809" s="6"/>
      <c r="L2809" s="16"/>
      <c r="M2809" s="23"/>
      <c r="N2809" s="15"/>
      <c r="O2809" s="23"/>
      <c r="P2809" s="21"/>
      <c r="Q2809" s="6"/>
      <c r="R2809" s="6"/>
      <c r="S2809" s="20"/>
      <c r="T2809" s="6"/>
      <c r="U2809" s="21"/>
      <c r="W2809" s="20"/>
      <c r="AD2809" s="23"/>
    </row>
    <row r="2810" spans="2:33" ht="16">
      <c r="B2810" s="26" t="str">
        <f t="shared" si="11"/>
        <v/>
      </c>
      <c r="C2810" s="6"/>
      <c r="D2810" s="6"/>
      <c r="E2810" s="6"/>
      <c r="F2810" s="15"/>
      <c r="G2810" s="6"/>
      <c r="H2810" s="6"/>
      <c r="I2810" s="6"/>
      <c r="J2810" s="16"/>
      <c r="K2810" s="6"/>
      <c r="L2810" s="16"/>
      <c r="M2810" s="17"/>
      <c r="N2810" s="15"/>
      <c r="O2810" s="17"/>
      <c r="P2810" s="21"/>
      <c r="Q2810" s="6"/>
      <c r="R2810" s="6"/>
      <c r="S2810" s="20"/>
      <c r="T2810" s="6"/>
      <c r="U2810" s="21"/>
      <c r="W2810" s="20"/>
      <c r="AD2810" s="17"/>
    </row>
    <row r="2811" spans="2:33" ht="16">
      <c r="B2811" s="26" t="str">
        <f t="shared" si="11"/>
        <v/>
      </c>
      <c r="C2811" s="6"/>
      <c r="D2811" s="6"/>
      <c r="E2811" s="6"/>
      <c r="F2811" s="15"/>
      <c r="G2811" s="6"/>
      <c r="H2811" s="6"/>
      <c r="I2811" s="6"/>
      <c r="J2811" s="16"/>
      <c r="K2811" s="6"/>
      <c r="L2811" s="16"/>
      <c r="M2811" s="23"/>
      <c r="N2811" s="15"/>
      <c r="O2811" s="23"/>
      <c r="P2811" s="21"/>
      <c r="Q2811" s="6"/>
      <c r="R2811" s="6"/>
      <c r="S2811" s="20"/>
      <c r="T2811" s="6"/>
      <c r="U2811" s="21"/>
      <c r="W2811" s="20"/>
      <c r="AD2811" s="23"/>
    </row>
    <row r="2812" spans="2:33" ht="16">
      <c r="B2812" s="26" t="str">
        <f t="shared" si="11"/>
        <v/>
      </c>
      <c r="C2812" s="6"/>
      <c r="D2812" s="6"/>
      <c r="E2812" s="6"/>
      <c r="F2812" s="15"/>
      <c r="G2812" s="6"/>
      <c r="H2812" s="6"/>
      <c r="I2812" s="6"/>
      <c r="J2812" s="16"/>
      <c r="K2812" s="6"/>
      <c r="L2812" s="16"/>
      <c r="M2812" s="23"/>
      <c r="N2812" s="15"/>
      <c r="O2812" s="23"/>
      <c r="P2812" s="21"/>
      <c r="Q2812" s="6"/>
      <c r="R2812" s="6"/>
      <c r="S2812" s="20"/>
      <c r="T2812" s="6"/>
      <c r="U2812" s="21"/>
      <c r="W2812" s="20"/>
      <c r="AD2812" s="23"/>
    </row>
    <row r="2813" spans="2:33" ht="16">
      <c r="B2813" s="26" t="str">
        <f t="shared" si="11"/>
        <v/>
      </c>
      <c r="C2813" s="6"/>
      <c r="D2813" s="6"/>
      <c r="E2813" s="6"/>
      <c r="F2813" s="15"/>
      <c r="G2813" s="6"/>
      <c r="H2813" s="6"/>
      <c r="I2813" s="6"/>
      <c r="J2813" s="16"/>
      <c r="K2813" s="6"/>
      <c r="L2813" s="16"/>
      <c r="M2813" s="17"/>
      <c r="N2813" s="15"/>
      <c r="O2813" s="17"/>
      <c r="P2813" s="21"/>
      <c r="Q2813" s="6"/>
      <c r="R2813" s="6"/>
      <c r="S2813" s="20"/>
      <c r="T2813" s="6"/>
      <c r="U2813" s="21"/>
      <c r="W2813" s="20"/>
      <c r="AD2813" s="17"/>
      <c r="AG2813" s="17"/>
    </row>
    <row r="2814" spans="2:33" ht="16">
      <c r="B2814" s="26" t="str">
        <f t="shared" si="11"/>
        <v/>
      </c>
      <c r="C2814" s="6"/>
      <c r="D2814" s="6"/>
      <c r="E2814" s="6"/>
      <c r="F2814" s="15"/>
      <c r="G2814" s="6"/>
      <c r="H2814" s="6"/>
      <c r="I2814" s="6"/>
      <c r="J2814" s="16"/>
      <c r="K2814" s="6"/>
      <c r="L2814" s="16"/>
      <c r="M2814" s="23"/>
      <c r="N2814" s="15"/>
      <c r="O2814" s="17"/>
      <c r="P2814" s="21"/>
      <c r="Q2814" s="6"/>
      <c r="R2814" s="6"/>
      <c r="S2814" s="20"/>
      <c r="T2814" s="6"/>
      <c r="U2814" s="21"/>
      <c r="W2814" s="20"/>
      <c r="AD2814" s="23"/>
    </row>
    <row r="2815" spans="2:33" ht="16">
      <c r="B2815" s="26" t="str">
        <f t="shared" si="11"/>
        <v/>
      </c>
      <c r="C2815" s="6"/>
      <c r="D2815" s="6"/>
      <c r="E2815" s="6"/>
      <c r="F2815" s="15"/>
      <c r="G2815" s="6"/>
      <c r="H2815" s="6"/>
      <c r="I2815" s="6"/>
      <c r="J2815" s="16"/>
      <c r="K2815" s="6"/>
      <c r="L2815" s="16"/>
      <c r="M2815" s="23"/>
      <c r="N2815" s="15"/>
      <c r="O2815" s="23"/>
      <c r="P2815" s="21"/>
      <c r="Q2815" s="6"/>
      <c r="R2815" s="6"/>
      <c r="S2815" s="20"/>
      <c r="T2815" s="6"/>
      <c r="U2815" s="21"/>
      <c r="W2815" s="20"/>
      <c r="AD2815" s="23"/>
    </row>
    <row r="2816" spans="2:33" ht="16">
      <c r="B2816" s="26" t="str">
        <f t="shared" si="11"/>
        <v/>
      </c>
      <c r="C2816" s="6"/>
      <c r="D2816" s="6"/>
      <c r="E2816" s="6"/>
      <c r="F2816" s="15"/>
      <c r="G2816" s="6"/>
      <c r="H2816" s="6"/>
      <c r="I2816" s="6"/>
      <c r="J2816" s="16"/>
      <c r="K2816" s="6"/>
      <c r="L2816" s="16"/>
      <c r="M2816" s="23"/>
      <c r="N2816" s="15"/>
      <c r="O2816" s="23"/>
      <c r="P2816" s="21"/>
      <c r="Q2816" s="6"/>
      <c r="R2816" s="6"/>
      <c r="S2816" s="20"/>
      <c r="T2816" s="6"/>
      <c r="U2816" s="21"/>
      <c r="W2816" s="20"/>
      <c r="AD2816" s="23"/>
    </row>
    <row r="2817" spans="2:33" ht="16">
      <c r="B2817" s="26" t="str">
        <f t="shared" si="11"/>
        <v/>
      </c>
      <c r="C2817" s="6"/>
      <c r="D2817" s="6"/>
      <c r="E2817" s="6"/>
      <c r="F2817" s="15"/>
      <c r="G2817" s="6"/>
      <c r="H2817" s="6"/>
      <c r="I2817" s="6"/>
      <c r="J2817" s="16"/>
      <c r="K2817" s="6"/>
      <c r="L2817" s="16"/>
      <c r="M2817" s="23"/>
      <c r="N2817" s="15"/>
      <c r="O2817" s="23"/>
      <c r="P2817" s="21"/>
      <c r="Q2817" s="6"/>
      <c r="R2817" s="6"/>
      <c r="S2817" s="20"/>
      <c r="T2817" s="6"/>
      <c r="U2817" s="21"/>
      <c r="W2817" s="20"/>
      <c r="AD2817" s="23"/>
    </row>
    <row r="2818" spans="2:33" ht="16">
      <c r="B2818" s="26" t="str">
        <f t="shared" si="11"/>
        <v/>
      </c>
      <c r="C2818" s="6"/>
      <c r="D2818" s="6"/>
      <c r="E2818" s="6"/>
      <c r="F2818" s="15"/>
      <c r="G2818" s="6"/>
      <c r="H2818" s="6"/>
      <c r="I2818" s="6"/>
      <c r="J2818" s="16"/>
      <c r="K2818" s="6"/>
      <c r="L2818" s="16"/>
      <c r="M2818" s="17"/>
      <c r="N2818" s="15"/>
      <c r="O2818" s="17"/>
      <c r="P2818" s="21"/>
      <c r="Q2818" s="6"/>
      <c r="R2818" s="6"/>
      <c r="S2818" s="20"/>
      <c r="T2818" s="6"/>
      <c r="U2818" s="21"/>
      <c r="W2818" s="20"/>
      <c r="AD2818" s="17"/>
    </row>
    <row r="2819" spans="2:33" ht="16">
      <c r="B2819" s="26" t="str">
        <f t="shared" si="11"/>
        <v/>
      </c>
      <c r="C2819" s="6"/>
      <c r="D2819" s="6"/>
      <c r="E2819" s="6"/>
      <c r="F2819" s="15"/>
      <c r="G2819" s="6"/>
      <c r="H2819" s="6"/>
      <c r="I2819" s="6"/>
      <c r="J2819" s="16"/>
      <c r="K2819" s="6"/>
      <c r="L2819" s="16"/>
      <c r="M2819" s="23"/>
      <c r="N2819" s="15"/>
      <c r="O2819" s="23"/>
      <c r="P2819" s="21"/>
      <c r="Q2819" s="6"/>
      <c r="R2819" s="6"/>
      <c r="S2819" s="20"/>
      <c r="T2819" s="6"/>
      <c r="U2819" s="21"/>
      <c r="W2819" s="20"/>
      <c r="AD2819" s="23"/>
    </row>
    <row r="2820" spans="2:33" ht="16">
      <c r="B2820" s="26" t="str">
        <f t="shared" si="11"/>
        <v/>
      </c>
      <c r="C2820" s="6"/>
      <c r="D2820" s="6"/>
      <c r="E2820" s="6"/>
      <c r="F2820" s="15"/>
      <c r="G2820" s="6"/>
      <c r="H2820" s="6"/>
      <c r="I2820" s="6"/>
      <c r="J2820" s="16"/>
      <c r="K2820" s="6"/>
      <c r="L2820" s="16"/>
      <c r="M2820" s="23"/>
      <c r="N2820" s="15"/>
      <c r="O2820" s="17"/>
      <c r="P2820" s="21"/>
      <c r="Q2820" s="6"/>
      <c r="R2820" s="6"/>
      <c r="S2820" s="20"/>
      <c r="T2820" s="6"/>
      <c r="U2820" s="21"/>
      <c r="W2820" s="20"/>
      <c r="AD2820" s="23"/>
    </row>
    <row r="2821" spans="2:33" ht="16">
      <c r="B2821" s="26" t="str">
        <f t="shared" si="11"/>
        <v/>
      </c>
      <c r="C2821" s="6"/>
      <c r="D2821" s="6"/>
      <c r="E2821" s="6"/>
      <c r="F2821" s="15"/>
      <c r="G2821" s="6"/>
      <c r="H2821" s="6"/>
      <c r="I2821" s="6"/>
      <c r="J2821" s="16"/>
      <c r="K2821" s="6"/>
      <c r="L2821" s="16"/>
      <c r="M2821" s="17"/>
      <c r="N2821" s="15"/>
      <c r="O2821" s="17"/>
      <c r="P2821" s="21"/>
      <c r="Q2821" s="6"/>
      <c r="R2821" s="6"/>
      <c r="S2821" s="20"/>
      <c r="T2821" s="6"/>
      <c r="U2821" s="21"/>
      <c r="W2821" s="20"/>
      <c r="AD2821" s="17"/>
    </row>
    <row r="2822" spans="2:33" ht="16">
      <c r="B2822" s="26" t="str">
        <f t="shared" si="11"/>
        <v/>
      </c>
      <c r="C2822" s="6"/>
      <c r="D2822" s="6"/>
      <c r="E2822" s="6"/>
      <c r="F2822" s="15"/>
      <c r="G2822" s="6"/>
      <c r="H2822" s="6"/>
      <c r="I2822" s="6"/>
      <c r="J2822" s="16"/>
      <c r="K2822" s="6"/>
      <c r="L2822" s="16"/>
      <c r="M2822" s="17"/>
      <c r="N2822" s="15"/>
      <c r="O2822" s="17"/>
      <c r="P2822" s="21"/>
      <c r="Q2822" s="6"/>
      <c r="R2822" s="6"/>
      <c r="S2822" s="20"/>
      <c r="T2822" s="6"/>
      <c r="U2822" s="21"/>
      <c r="W2822" s="20"/>
      <c r="AD2822" s="17"/>
      <c r="AG2822" s="17"/>
    </row>
    <row r="2823" spans="2:33" ht="16">
      <c r="B2823" s="26" t="str">
        <f t="shared" si="11"/>
        <v/>
      </c>
      <c r="C2823" s="6"/>
      <c r="D2823" s="6"/>
      <c r="E2823" s="6"/>
      <c r="F2823" s="15"/>
      <c r="G2823" s="6"/>
      <c r="H2823" s="6"/>
      <c r="I2823" s="6"/>
      <c r="J2823" s="16"/>
      <c r="K2823" s="6"/>
      <c r="L2823" s="16"/>
      <c r="M2823" s="23"/>
      <c r="N2823" s="15"/>
      <c r="O2823" s="23"/>
      <c r="P2823" s="21"/>
      <c r="Q2823" s="6"/>
      <c r="R2823" s="6"/>
      <c r="S2823" s="20"/>
      <c r="T2823" s="6"/>
      <c r="W2823" s="20"/>
    </row>
    <row r="2824" spans="2:33" ht="16">
      <c r="B2824" s="26" t="str">
        <f t="shared" si="11"/>
        <v/>
      </c>
      <c r="C2824" s="6"/>
      <c r="D2824" s="6"/>
      <c r="E2824" s="6"/>
      <c r="F2824" s="15"/>
      <c r="G2824" s="6"/>
      <c r="H2824" s="6"/>
      <c r="I2824" s="6"/>
      <c r="J2824" s="16"/>
      <c r="K2824" s="6"/>
      <c r="L2824" s="16"/>
      <c r="M2824" s="23"/>
      <c r="N2824" s="15"/>
      <c r="O2824" s="23"/>
      <c r="P2824" s="21"/>
      <c r="Q2824" s="6"/>
      <c r="R2824" s="6"/>
      <c r="S2824" s="20"/>
      <c r="T2824" s="6"/>
      <c r="W2824" s="20"/>
    </row>
    <row r="2825" spans="2:33" ht="16">
      <c r="B2825" s="26" t="str">
        <f t="shared" si="11"/>
        <v/>
      </c>
      <c r="C2825" s="6"/>
      <c r="D2825" s="6"/>
      <c r="E2825" s="6"/>
      <c r="F2825" s="15"/>
      <c r="G2825" s="6"/>
      <c r="H2825" s="6"/>
      <c r="I2825" s="6"/>
      <c r="J2825" s="16"/>
      <c r="K2825" s="6"/>
      <c r="L2825" s="16"/>
      <c r="M2825" s="23"/>
      <c r="N2825" s="15"/>
      <c r="O2825" s="17"/>
      <c r="P2825" s="21"/>
      <c r="Q2825" s="6"/>
      <c r="R2825" s="6"/>
      <c r="S2825" s="20"/>
      <c r="T2825" s="6"/>
      <c r="W2825" s="20"/>
    </row>
    <row r="2826" spans="2:33" ht="16">
      <c r="B2826" s="26" t="str">
        <f t="shared" si="11"/>
        <v/>
      </c>
      <c r="C2826" s="6"/>
      <c r="D2826" s="6"/>
      <c r="E2826" s="6"/>
      <c r="F2826" s="15"/>
      <c r="G2826" s="6"/>
      <c r="H2826" s="6"/>
      <c r="I2826" s="6"/>
      <c r="J2826" s="16"/>
      <c r="K2826" s="6"/>
      <c r="L2826" s="16"/>
      <c r="M2826" s="23"/>
      <c r="N2826" s="15"/>
      <c r="O2826" s="17"/>
      <c r="P2826" s="21"/>
      <c r="Q2826" s="6"/>
      <c r="R2826" s="6"/>
      <c r="S2826" s="20"/>
      <c r="T2826" s="6"/>
      <c r="U2826" s="21"/>
      <c r="W2826" s="20"/>
      <c r="AD2826" s="17"/>
      <c r="AG2826" s="23"/>
    </row>
    <row r="2827" spans="2:33" ht="16">
      <c r="B2827" s="26" t="str">
        <f t="shared" si="11"/>
        <v/>
      </c>
      <c r="C2827" s="6"/>
      <c r="D2827" s="6"/>
      <c r="E2827" s="6"/>
      <c r="F2827" s="15"/>
      <c r="G2827" s="6"/>
      <c r="H2827" s="6"/>
      <c r="I2827" s="6"/>
      <c r="J2827" s="16"/>
      <c r="K2827" s="6"/>
      <c r="L2827" s="16"/>
      <c r="M2827" s="17"/>
      <c r="N2827" s="15"/>
      <c r="O2827" s="17"/>
      <c r="P2827" s="21"/>
      <c r="Q2827" s="6"/>
      <c r="R2827" s="6"/>
      <c r="S2827" s="20"/>
      <c r="T2827" s="6"/>
      <c r="U2827" s="21"/>
      <c r="W2827" s="20"/>
      <c r="AD2827" s="17"/>
      <c r="AG2827" s="17"/>
    </row>
    <row r="2828" spans="2:33" ht="16">
      <c r="B2828" s="26" t="str">
        <f t="shared" si="11"/>
        <v/>
      </c>
      <c r="C2828" s="6"/>
      <c r="D2828" s="6"/>
      <c r="E2828" s="6"/>
      <c r="F2828" s="15"/>
      <c r="G2828" s="6"/>
      <c r="H2828" s="6"/>
      <c r="I2828" s="6"/>
      <c r="J2828" s="16"/>
      <c r="K2828" s="6"/>
      <c r="L2828" s="16"/>
      <c r="M2828" s="23"/>
      <c r="N2828" s="15"/>
      <c r="O2828" s="23"/>
      <c r="P2828" s="21"/>
      <c r="Q2828" s="6"/>
      <c r="R2828" s="6"/>
      <c r="S2828" s="20"/>
      <c r="T2828" s="6"/>
      <c r="U2828" s="21"/>
      <c r="W2828" s="20"/>
    </row>
    <row r="2829" spans="2:33" ht="16">
      <c r="B2829" s="26" t="str">
        <f t="shared" si="11"/>
        <v/>
      </c>
      <c r="C2829" s="6"/>
      <c r="D2829" s="6"/>
      <c r="E2829" s="6"/>
      <c r="F2829" s="15"/>
      <c r="G2829" s="6"/>
      <c r="H2829" s="6"/>
      <c r="I2829" s="6"/>
      <c r="J2829" s="16"/>
      <c r="K2829" s="6"/>
      <c r="L2829" s="16"/>
      <c r="M2829" s="23"/>
      <c r="N2829" s="15"/>
      <c r="O2829" s="23"/>
      <c r="P2829" s="21"/>
      <c r="Q2829" s="6"/>
      <c r="R2829" s="6"/>
      <c r="S2829" s="20"/>
      <c r="T2829" s="6"/>
      <c r="U2829" s="21"/>
      <c r="W2829" s="20"/>
    </row>
    <row r="2830" spans="2:33" ht="16">
      <c r="B2830" s="26" t="str">
        <f t="shared" si="11"/>
        <v/>
      </c>
      <c r="C2830" s="6"/>
      <c r="D2830" s="6"/>
      <c r="E2830" s="6"/>
      <c r="F2830" s="15"/>
      <c r="G2830" s="6"/>
      <c r="H2830" s="6"/>
      <c r="I2830" s="6"/>
      <c r="J2830" s="16"/>
      <c r="K2830" s="6"/>
      <c r="L2830" s="16"/>
      <c r="M2830" s="23"/>
      <c r="N2830" s="15"/>
      <c r="O2830" s="23"/>
      <c r="P2830" s="21"/>
      <c r="Q2830" s="6"/>
      <c r="R2830" s="6"/>
      <c r="S2830" s="20"/>
      <c r="T2830" s="6"/>
      <c r="U2830" s="21"/>
      <c r="W2830" s="20"/>
      <c r="AD2830" s="23"/>
    </row>
    <row r="2831" spans="2:33" ht="16">
      <c r="B2831" s="26" t="str">
        <f t="shared" si="11"/>
        <v/>
      </c>
      <c r="C2831" s="6"/>
      <c r="D2831" s="6"/>
      <c r="E2831" s="6"/>
      <c r="F2831" s="15"/>
      <c r="G2831" s="6"/>
      <c r="H2831" s="6"/>
      <c r="I2831" s="6"/>
      <c r="J2831" s="16"/>
      <c r="K2831" s="6"/>
      <c r="L2831" s="16"/>
      <c r="M2831" s="23"/>
      <c r="N2831" s="15"/>
      <c r="O2831" s="23"/>
      <c r="P2831" s="21"/>
      <c r="Q2831" s="6"/>
      <c r="R2831" s="6"/>
      <c r="S2831" s="20"/>
      <c r="T2831" s="6"/>
      <c r="W2831" s="20"/>
    </row>
    <row r="2832" spans="2:33" ht="16">
      <c r="B2832" s="26" t="str">
        <f t="shared" ref="B2832:B3086" si="12">IF($H2832="","",LEFT(C2832,3))</f>
        <v/>
      </c>
      <c r="C2832" s="6"/>
      <c r="D2832" s="6"/>
      <c r="E2832" s="6"/>
      <c r="F2832" s="15"/>
      <c r="G2832" s="6"/>
      <c r="H2832" s="6"/>
      <c r="I2832" s="6"/>
      <c r="J2832" s="16"/>
      <c r="K2832" s="6"/>
      <c r="L2832" s="16"/>
      <c r="M2832" s="23"/>
      <c r="N2832" s="15"/>
      <c r="O2832" s="23"/>
      <c r="P2832" s="21"/>
      <c r="Q2832" s="6"/>
      <c r="R2832" s="6"/>
      <c r="S2832" s="20"/>
      <c r="T2832" s="6"/>
      <c r="W2832" s="20"/>
    </row>
    <row r="2833" spans="2:33" ht="16">
      <c r="B2833" s="26" t="str">
        <f t="shared" si="12"/>
        <v/>
      </c>
      <c r="C2833" s="6"/>
      <c r="D2833" s="6"/>
      <c r="E2833" s="6"/>
      <c r="F2833" s="15"/>
      <c r="G2833" s="6"/>
      <c r="H2833" s="6"/>
      <c r="I2833" s="6"/>
      <c r="J2833" s="16"/>
      <c r="K2833" s="6"/>
      <c r="L2833" s="16"/>
      <c r="M2833" s="23"/>
      <c r="N2833" s="15"/>
      <c r="O2833" s="23"/>
      <c r="P2833" s="21"/>
      <c r="Q2833" s="6"/>
      <c r="R2833" s="6"/>
      <c r="S2833" s="20"/>
      <c r="T2833" s="6"/>
      <c r="U2833" s="21"/>
      <c r="W2833" s="20"/>
    </row>
    <row r="2834" spans="2:33" ht="16">
      <c r="B2834" s="26" t="str">
        <f t="shared" si="12"/>
        <v/>
      </c>
      <c r="C2834" s="6"/>
      <c r="D2834" s="6"/>
      <c r="E2834" s="6"/>
      <c r="F2834" s="15"/>
      <c r="G2834" s="6"/>
      <c r="H2834" s="6"/>
      <c r="I2834" s="6"/>
      <c r="J2834" s="16"/>
      <c r="K2834" s="6"/>
      <c r="L2834" s="16"/>
      <c r="M2834" s="23"/>
      <c r="N2834" s="15"/>
      <c r="O2834" s="23"/>
      <c r="P2834" s="21"/>
      <c r="Q2834" s="6"/>
      <c r="R2834" s="6"/>
      <c r="S2834" s="20"/>
      <c r="T2834" s="6"/>
      <c r="U2834" s="21"/>
      <c r="W2834" s="20"/>
    </row>
    <row r="2835" spans="2:33" ht="16">
      <c r="B2835" s="26" t="str">
        <f t="shared" si="12"/>
        <v/>
      </c>
      <c r="C2835" s="6"/>
      <c r="D2835" s="6"/>
      <c r="E2835" s="6"/>
      <c r="F2835" s="15"/>
      <c r="G2835" s="6"/>
      <c r="H2835" s="6"/>
      <c r="I2835" s="6"/>
      <c r="J2835" s="16"/>
      <c r="K2835" s="6"/>
      <c r="L2835" s="16"/>
      <c r="M2835" s="23"/>
      <c r="N2835" s="15"/>
      <c r="O2835" s="23"/>
      <c r="P2835" s="21"/>
      <c r="Q2835" s="6"/>
      <c r="R2835" s="6"/>
      <c r="S2835" s="20"/>
      <c r="T2835" s="6"/>
      <c r="W2835" s="20"/>
    </row>
    <row r="2836" spans="2:33" ht="16">
      <c r="B2836" s="26" t="str">
        <f t="shared" si="12"/>
        <v/>
      </c>
      <c r="C2836" s="6"/>
      <c r="D2836" s="6"/>
      <c r="E2836" s="6"/>
      <c r="F2836" s="15"/>
      <c r="G2836" s="6"/>
      <c r="H2836" s="6"/>
      <c r="I2836" s="6"/>
      <c r="J2836" s="16"/>
      <c r="K2836" s="6"/>
      <c r="L2836" s="16"/>
      <c r="M2836" s="23"/>
      <c r="N2836" s="15"/>
      <c r="O2836" s="23"/>
      <c r="P2836" s="21"/>
      <c r="Q2836" s="6"/>
      <c r="R2836" s="6"/>
      <c r="S2836" s="20"/>
      <c r="T2836" s="6"/>
      <c r="W2836" s="20"/>
    </row>
    <row r="2837" spans="2:33" ht="16">
      <c r="B2837" s="26" t="str">
        <f t="shared" si="12"/>
        <v/>
      </c>
      <c r="C2837" s="6"/>
      <c r="D2837" s="6"/>
      <c r="E2837" s="6"/>
      <c r="F2837" s="15"/>
      <c r="G2837" s="6"/>
      <c r="H2837" s="6"/>
      <c r="I2837" s="6"/>
      <c r="J2837" s="16"/>
      <c r="K2837" s="6"/>
      <c r="L2837" s="16"/>
      <c r="M2837" s="23"/>
      <c r="N2837" s="15"/>
      <c r="O2837" s="23"/>
      <c r="P2837" s="21"/>
      <c r="Q2837" s="6"/>
      <c r="R2837" s="6"/>
      <c r="S2837" s="20"/>
      <c r="T2837" s="6"/>
      <c r="U2837" s="21"/>
      <c r="W2837" s="20"/>
    </row>
    <row r="2838" spans="2:33" ht="16">
      <c r="B2838" s="26" t="str">
        <f t="shared" si="12"/>
        <v/>
      </c>
      <c r="C2838" s="6"/>
      <c r="D2838" s="6"/>
      <c r="E2838" s="6"/>
      <c r="F2838" s="15"/>
      <c r="G2838" s="6"/>
      <c r="H2838" s="6"/>
      <c r="I2838" s="6"/>
      <c r="J2838" s="16"/>
      <c r="K2838" s="6"/>
      <c r="L2838" s="16"/>
      <c r="M2838" s="23"/>
      <c r="N2838" s="15"/>
      <c r="O2838" s="23"/>
      <c r="P2838" s="21"/>
      <c r="Q2838" s="6"/>
      <c r="R2838" s="6"/>
      <c r="S2838" s="20"/>
      <c r="T2838" s="6"/>
      <c r="U2838" s="21"/>
      <c r="W2838" s="20"/>
    </row>
    <row r="2839" spans="2:33" ht="16">
      <c r="B2839" s="26" t="str">
        <f t="shared" si="12"/>
        <v/>
      </c>
      <c r="C2839" s="6"/>
      <c r="D2839" s="6"/>
      <c r="E2839" s="6"/>
      <c r="F2839" s="15"/>
      <c r="G2839" s="6"/>
      <c r="H2839" s="6"/>
      <c r="I2839" s="6"/>
      <c r="J2839" s="16"/>
      <c r="K2839" s="6"/>
      <c r="L2839" s="16"/>
      <c r="M2839" s="17"/>
      <c r="N2839" s="15"/>
      <c r="O2839" s="17"/>
      <c r="P2839" s="21"/>
      <c r="Q2839" s="6"/>
      <c r="R2839" s="6"/>
      <c r="S2839" s="20"/>
      <c r="T2839" s="6"/>
      <c r="W2839" s="20"/>
    </row>
    <row r="2840" spans="2:33" ht="16">
      <c r="B2840" s="26" t="str">
        <f t="shared" si="12"/>
        <v/>
      </c>
      <c r="C2840" s="6"/>
      <c r="D2840" s="6"/>
      <c r="E2840" s="6"/>
      <c r="F2840" s="15"/>
      <c r="G2840" s="6"/>
      <c r="H2840" s="6"/>
      <c r="I2840" s="6"/>
      <c r="J2840" s="16"/>
      <c r="K2840" s="6"/>
      <c r="L2840" s="16"/>
      <c r="M2840" s="23"/>
      <c r="N2840" s="15"/>
      <c r="O2840" s="23"/>
      <c r="P2840" s="21"/>
      <c r="Q2840" s="6"/>
      <c r="R2840" s="6"/>
      <c r="S2840" s="20"/>
      <c r="T2840" s="6"/>
      <c r="U2840" s="21"/>
      <c r="W2840" s="20"/>
    </row>
    <row r="2841" spans="2:33" ht="16">
      <c r="B2841" s="26" t="str">
        <f t="shared" si="12"/>
        <v/>
      </c>
      <c r="C2841" s="6"/>
      <c r="D2841" s="6"/>
      <c r="E2841" s="6"/>
      <c r="F2841" s="15"/>
      <c r="G2841" s="6"/>
      <c r="H2841" s="6"/>
      <c r="I2841" s="6"/>
      <c r="J2841" s="16"/>
      <c r="K2841" s="6"/>
      <c r="L2841" s="16"/>
      <c r="M2841" s="23"/>
      <c r="N2841" s="15"/>
      <c r="O2841" s="23"/>
      <c r="P2841" s="21"/>
      <c r="Q2841" s="6"/>
      <c r="R2841" s="6"/>
      <c r="S2841" s="20"/>
      <c r="T2841" s="6"/>
      <c r="U2841" s="21"/>
      <c r="W2841" s="20"/>
      <c r="AD2841" s="17"/>
    </row>
    <row r="2842" spans="2:33" ht="16">
      <c r="B2842" s="26" t="str">
        <f t="shared" si="12"/>
        <v/>
      </c>
      <c r="C2842" s="6"/>
      <c r="D2842" s="6"/>
      <c r="E2842" s="6"/>
      <c r="F2842" s="15"/>
      <c r="G2842" s="6"/>
      <c r="H2842" s="6"/>
      <c r="I2842" s="6"/>
      <c r="J2842" s="16"/>
      <c r="K2842" s="6"/>
      <c r="L2842" s="16"/>
      <c r="M2842" s="23"/>
      <c r="N2842" s="15"/>
      <c r="O2842" s="23"/>
      <c r="P2842" s="21"/>
      <c r="Q2842" s="6"/>
      <c r="R2842" s="6"/>
      <c r="S2842" s="20"/>
      <c r="T2842" s="6"/>
      <c r="W2842" s="20"/>
    </row>
    <row r="2843" spans="2:33" ht="16">
      <c r="B2843" s="26" t="str">
        <f t="shared" si="12"/>
        <v/>
      </c>
      <c r="C2843" s="6"/>
      <c r="D2843" s="6"/>
      <c r="E2843" s="6"/>
      <c r="F2843" s="15"/>
      <c r="G2843" s="6"/>
      <c r="H2843" s="6"/>
      <c r="I2843" s="6"/>
      <c r="J2843" s="16"/>
      <c r="K2843" s="6"/>
      <c r="L2843" s="16"/>
      <c r="M2843" s="23"/>
      <c r="N2843" s="15"/>
      <c r="O2843" s="23"/>
      <c r="P2843" s="21"/>
      <c r="Q2843" s="6"/>
      <c r="R2843" s="6"/>
      <c r="S2843" s="20"/>
      <c r="T2843" s="6"/>
      <c r="U2843" s="21"/>
      <c r="W2843" s="20"/>
      <c r="AD2843" s="23"/>
      <c r="AG2843" s="17"/>
    </row>
    <row r="2844" spans="2:33" ht="16">
      <c r="B2844" s="26" t="str">
        <f t="shared" si="12"/>
        <v/>
      </c>
      <c r="C2844" s="6"/>
      <c r="D2844" s="6"/>
      <c r="E2844" s="6"/>
      <c r="F2844" s="15"/>
      <c r="G2844" s="6"/>
      <c r="H2844" s="6"/>
      <c r="I2844" s="6"/>
      <c r="J2844" s="16"/>
      <c r="K2844" s="6"/>
      <c r="L2844" s="16"/>
      <c r="M2844" s="23"/>
      <c r="N2844" s="15"/>
      <c r="O2844" s="23"/>
      <c r="P2844" s="21"/>
      <c r="Q2844" s="6"/>
      <c r="R2844" s="6"/>
      <c r="S2844" s="20"/>
      <c r="T2844" s="6"/>
      <c r="U2844" s="21"/>
      <c r="W2844" s="20"/>
      <c r="AD2844" s="23"/>
    </row>
    <row r="2845" spans="2:33" ht="16">
      <c r="B2845" s="26" t="str">
        <f t="shared" si="12"/>
        <v/>
      </c>
      <c r="C2845" s="6"/>
      <c r="D2845" s="6"/>
      <c r="E2845" s="6"/>
      <c r="F2845" s="15"/>
      <c r="G2845" s="6"/>
      <c r="H2845" s="6"/>
      <c r="I2845" s="6"/>
      <c r="J2845" s="16"/>
      <c r="K2845" s="6"/>
      <c r="L2845" s="16"/>
      <c r="M2845" s="23"/>
      <c r="N2845" s="15"/>
      <c r="O2845" s="23"/>
      <c r="P2845" s="21"/>
      <c r="Q2845" s="6"/>
      <c r="R2845" s="6"/>
      <c r="S2845" s="20"/>
      <c r="T2845" s="6"/>
      <c r="U2845" s="21"/>
      <c r="W2845" s="20"/>
      <c r="AD2845" s="23"/>
    </row>
    <row r="2846" spans="2:33" ht="16">
      <c r="B2846" s="26" t="str">
        <f t="shared" si="12"/>
        <v/>
      </c>
      <c r="C2846" s="6"/>
      <c r="D2846" s="6"/>
      <c r="E2846" s="6"/>
      <c r="F2846" s="15"/>
      <c r="G2846" s="6"/>
      <c r="H2846" s="6"/>
      <c r="I2846" s="6"/>
      <c r="J2846" s="16"/>
      <c r="K2846" s="6"/>
      <c r="L2846" s="16"/>
      <c r="M2846" s="23"/>
      <c r="N2846" s="15"/>
      <c r="O2846" s="23"/>
      <c r="P2846" s="21"/>
      <c r="Q2846" s="6"/>
      <c r="R2846" s="6"/>
      <c r="S2846" s="20"/>
      <c r="T2846" s="6"/>
      <c r="U2846" s="21"/>
      <c r="W2846" s="20"/>
      <c r="AD2846" s="23"/>
    </row>
    <row r="2847" spans="2:33" ht="16">
      <c r="B2847" s="26" t="str">
        <f t="shared" si="12"/>
        <v/>
      </c>
      <c r="C2847" s="6"/>
      <c r="D2847" s="6"/>
      <c r="E2847" s="6"/>
      <c r="F2847" s="15"/>
      <c r="G2847" s="6"/>
      <c r="H2847" s="6"/>
      <c r="I2847" s="6"/>
      <c r="J2847" s="16"/>
      <c r="K2847" s="6"/>
      <c r="L2847" s="16"/>
      <c r="M2847" s="23"/>
      <c r="N2847" s="15"/>
      <c r="O2847" s="23"/>
      <c r="P2847" s="21"/>
      <c r="Q2847" s="6"/>
      <c r="R2847" s="6"/>
      <c r="S2847" s="20"/>
      <c r="T2847" s="6"/>
      <c r="U2847" s="21"/>
      <c r="W2847" s="20"/>
      <c r="AD2847" s="23"/>
    </row>
    <row r="2848" spans="2:33" ht="16">
      <c r="B2848" s="26" t="str">
        <f t="shared" si="12"/>
        <v/>
      </c>
      <c r="C2848" s="6"/>
      <c r="D2848" s="6"/>
      <c r="E2848" s="6"/>
      <c r="F2848" s="15"/>
      <c r="G2848" s="6"/>
      <c r="H2848" s="6"/>
      <c r="I2848" s="6"/>
      <c r="J2848" s="16"/>
      <c r="K2848" s="6"/>
      <c r="L2848" s="16"/>
      <c r="M2848" s="23"/>
      <c r="N2848" s="15"/>
      <c r="O2848" s="23"/>
      <c r="P2848" s="21"/>
      <c r="Q2848" s="6"/>
      <c r="R2848" s="6"/>
      <c r="S2848" s="20"/>
      <c r="T2848" s="6"/>
      <c r="U2848" s="21"/>
      <c r="W2848" s="20"/>
      <c r="AD2848" s="23"/>
      <c r="AG2848" s="23"/>
    </row>
    <row r="2849" spans="2:33" ht="16">
      <c r="B2849" s="26" t="str">
        <f t="shared" si="12"/>
        <v/>
      </c>
      <c r="C2849" s="6"/>
      <c r="D2849" s="6"/>
      <c r="E2849" s="6"/>
      <c r="F2849" s="15"/>
      <c r="G2849" s="6"/>
      <c r="H2849" s="6"/>
      <c r="I2849" s="6"/>
      <c r="J2849" s="16"/>
      <c r="K2849" s="6"/>
      <c r="L2849" s="16"/>
      <c r="M2849" s="17"/>
      <c r="N2849" s="15"/>
      <c r="O2849" s="23"/>
      <c r="P2849" s="21"/>
      <c r="Q2849" s="6"/>
      <c r="R2849" s="6"/>
      <c r="S2849" s="20"/>
      <c r="T2849" s="6"/>
      <c r="U2849" s="21"/>
      <c r="W2849" s="20"/>
      <c r="AD2849" s="17"/>
    </row>
    <row r="2850" spans="2:33" ht="16">
      <c r="B2850" s="26" t="str">
        <f t="shared" si="12"/>
        <v/>
      </c>
      <c r="C2850" s="6"/>
      <c r="D2850" s="6"/>
      <c r="E2850" s="6"/>
      <c r="F2850" s="15"/>
      <c r="G2850" s="6"/>
      <c r="H2850" s="6"/>
      <c r="I2850" s="6"/>
      <c r="J2850" s="16"/>
      <c r="K2850" s="6"/>
      <c r="L2850" s="16"/>
      <c r="M2850" s="17"/>
      <c r="N2850" s="15"/>
      <c r="O2850" s="23"/>
      <c r="P2850" s="21"/>
      <c r="Q2850" s="6"/>
      <c r="R2850" s="6"/>
      <c r="S2850" s="20"/>
      <c r="T2850" s="6"/>
      <c r="U2850" s="21"/>
      <c r="W2850" s="20"/>
      <c r="AD2850" s="23"/>
    </row>
    <row r="2851" spans="2:33" ht="16">
      <c r="B2851" s="26" t="str">
        <f t="shared" si="12"/>
        <v/>
      </c>
      <c r="C2851" s="6"/>
      <c r="D2851" s="6"/>
      <c r="E2851" s="6"/>
      <c r="F2851" s="15"/>
      <c r="G2851" s="6"/>
      <c r="H2851" s="6"/>
      <c r="I2851" s="6"/>
      <c r="J2851" s="16"/>
      <c r="K2851" s="6"/>
      <c r="L2851" s="16"/>
      <c r="M2851" s="23"/>
      <c r="N2851" s="15"/>
      <c r="O2851" s="23"/>
      <c r="P2851" s="21"/>
      <c r="Q2851" s="6"/>
      <c r="R2851" s="6"/>
      <c r="S2851" s="20"/>
      <c r="T2851" s="6"/>
      <c r="U2851" s="21"/>
      <c r="W2851" s="20"/>
      <c r="AD2851" s="23"/>
    </row>
    <row r="2852" spans="2:33" ht="16">
      <c r="B2852" s="26" t="str">
        <f t="shared" si="12"/>
        <v/>
      </c>
      <c r="C2852" s="6"/>
      <c r="D2852" s="6"/>
      <c r="E2852" s="6"/>
      <c r="F2852" s="15"/>
      <c r="G2852" s="6"/>
      <c r="H2852" s="6"/>
      <c r="I2852" s="6"/>
      <c r="J2852" s="16"/>
      <c r="K2852" s="6"/>
      <c r="L2852" s="16"/>
      <c r="M2852" s="23"/>
      <c r="N2852" s="15"/>
      <c r="O2852" s="23"/>
      <c r="P2852" s="21"/>
      <c r="Q2852" s="6"/>
      <c r="R2852" s="6"/>
      <c r="S2852" s="20"/>
      <c r="T2852" s="6"/>
      <c r="U2852" s="21"/>
      <c r="W2852" s="20"/>
      <c r="AD2852" s="23"/>
    </row>
    <row r="2853" spans="2:33" ht="16">
      <c r="B2853" s="26" t="str">
        <f t="shared" si="12"/>
        <v/>
      </c>
      <c r="C2853" s="6"/>
      <c r="D2853" s="6"/>
      <c r="E2853" s="6"/>
      <c r="F2853" s="15"/>
      <c r="G2853" s="6"/>
      <c r="H2853" s="6"/>
      <c r="I2853" s="6"/>
      <c r="J2853" s="16"/>
      <c r="K2853" s="6"/>
      <c r="L2853" s="16"/>
      <c r="M2853" s="23"/>
      <c r="N2853" s="15"/>
      <c r="O2853" s="23"/>
      <c r="P2853" s="21"/>
      <c r="Q2853" s="6"/>
      <c r="R2853" s="6"/>
      <c r="S2853" s="20"/>
      <c r="T2853" s="6"/>
      <c r="U2853" s="21"/>
      <c r="W2853" s="20"/>
      <c r="AD2853" s="23"/>
    </row>
    <row r="2854" spans="2:33" ht="16">
      <c r="B2854" s="26" t="str">
        <f t="shared" si="12"/>
        <v/>
      </c>
      <c r="C2854" s="6"/>
      <c r="D2854" s="6"/>
      <c r="E2854" s="6"/>
      <c r="F2854" s="15"/>
      <c r="G2854" s="6"/>
      <c r="H2854" s="6"/>
      <c r="I2854" s="6"/>
      <c r="J2854" s="16"/>
      <c r="K2854" s="6"/>
      <c r="L2854" s="16"/>
      <c r="M2854" s="17"/>
      <c r="N2854" s="15"/>
      <c r="O2854" s="23"/>
      <c r="P2854" s="21"/>
      <c r="Q2854" s="6"/>
      <c r="R2854" s="6"/>
      <c r="S2854" s="20"/>
      <c r="T2854" s="6"/>
      <c r="U2854" s="21"/>
      <c r="W2854" s="20"/>
      <c r="AD2854" s="17"/>
    </row>
    <row r="2855" spans="2:33" ht="16">
      <c r="B2855" s="26" t="str">
        <f t="shared" si="12"/>
        <v/>
      </c>
      <c r="C2855" s="6"/>
      <c r="D2855" s="6"/>
      <c r="E2855" s="6"/>
      <c r="F2855" s="15"/>
      <c r="G2855" s="6"/>
      <c r="H2855" s="6"/>
      <c r="I2855" s="6"/>
      <c r="J2855" s="16"/>
      <c r="K2855" s="6"/>
      <c r="L2855" s="16"/>
      <c r="M2855" s="17"/>
      <c r="N2855" s="15"/>
      <c r="O2855" s="23"/>
      <c r="P2855" s="21"/>
      <c r="Q2855" s="6"/>
      <c r="R2855" s="6"/>
      <c r="S2855" s="20"/>
      <c r="T2855" s="6"/>
      <c r="U2855" s="21"/>
      <c r="W2855" s="20"/>
      <c r="AD2855" s="23"/>
      <c r="AG2855" s="23"/>
    </row>
    <row r="2856" spans="2:33" ht="16">
      <c r="B2856" s="26" t="str">
        <f t="shared" si="12"/>
        <v/>
      </c>
      <c r="C2856" s="6"/>
      <c r="D2856" s="6"/>
      <c r="E2856" s="6"/>
      <c r="F2856" s="15"/>
      <c r="G2856" s="6"/>
      <c r="H2856" s="6"/>
      <c r="I2856" s="6"/>
      <c r="J2856" s="16"/>
      <c r="K2856" s="6"/>
      <c r="L2856" s="16"/>
      <c r="M2856" s="17"/>
      <c r="N2856" s="15"/>
      <c r="O2856" s="23"/>
      <c r="P2856" s="21"/>
      <c r="Q2856" s="6"/>
      <c r="R2856" s="6"/>
      <c r="S2856" s="20"/>
      <c r="T2856" s="6"/>
      <c r="U2856" s="21"/>
      <c r="W2856" s="20"/>
      <c r="AD2856" s="23"/>
    </row>
    <row r="2857" spans="2:33" ht="16">
      <c r="B2857" s="26" t="str">
        <f t="shared" si="12"/>
        <v/>
      </c>
      <c r="C2857" s="6"/>
      <c r="D2857" s="6"/>
      <c r="E2857" s="6"/>
      <c r="F2857" s="15"/>
      <c r="G2857" s="6"/>
      <c r="H2857" s="6"/>
      <c r="I2857" s="6"/>
      <c r="J2857" s="16"/>
      <c r="K2857" s="6"/>
      <c r="L2857" s="16"/>
      <c r="M2857" s="17"/>
      <c r="N2857" s="15"/>
      <c r="O2857" s="23"/>
      <c r="P2857" s="21"/>
      <c r="Q2857" s="6"/>
      <c r="R2857" s="6"/>
      <c r="S2857" s="20"/>
      <c r="T2857" s="6"/>
      <c r="U2857" s="21"/>
      <c r="W2857" s="20"/>
      <c r="AD2857" s="17"/>
      <c r="AG2857" s="23"/>
    </row>
    <row r="2858" spans="2:33" ht="16">
      <c r="B2858" s="26" t="str">
        <f t="shared" si="12"/>
        <v/>
      </c>
      <c r="C2858" s="6"/>
      <c r="D2858" s="6"/>
      <c r="E2858" s="6"/>
      <c r="F2858" s="15"/>
      <c r="G2858" s="6"/>
      <c r="H2858" s="6"/>
      <c r="I2858" s="6"/>
      <c r="J2858" s="16"/>
      <c r="K2858" s="6"/>
      <c r="L2858" s="16"/>
      <c r="M2858" s="23"/>
      <c r="N2858" s="15"/>
      <c r="O2858" s="23"/>
      <c r="P2858" s="21"/>
      <c r="Q2858" s="6"/>
      <c r="R2858" s="6"/>
      <c r="S2858" s="20"/>
      <c r="T2858" s="6"/>
      <c r="W2858" s="20"/>
    </row>
    <row r="2859" spans="2:33" ht="16">
      <c r="B2859" s="26" t="str">
        <f t="shared" si="12"/>
        <v/>
      </c>
      <c r="C2859" s="6"/>
      <c r="D2859" s="6"/>
      <c r="E2859" s="6"/>
      <c r="F2859" s="15"/>
      <c r="G2859" s="6"/>
      <c r="H2859" s="6"/>
      <c r="I2859" s="6"/>
      <c r="J2859" s="16"/>
      <c r="K2859" s="6"/>
      <c r="L2859" s="16"/>
      <c r="M2859" s="17"/>
      <c r="N2859" s="15"/>
      <c r="O2859" s="23"/>
      <c r="P2859" s="21"/>
      <c r="Q2859" s="6"/>
      <c r="R2859" s="6"/>
      <c r="S2859" s="20"/>
      <c r="T2859" s="6"/>
      <c r="U2859" s="21"/>
      <c r="W2859" s="20"/>
      <c r="AD2859" s="17"/>
      <c r="AG2859" s="23"/>
    </row>
    <row r="2860" spans="2:33" ht="16">
      <c r="B2860" s="26" t="str">
        <f t="shared" si="12"/>
        <v/>
      </c>
      <c r="C2860" s="6"/>
      <c r="D2860" s="6"/>
      <c r="E2860" s="6"/>
      <c r="F2860" s="15"/>
      <c r="G2860" s="6"/>
      <c r="H2860" s="6"/>
      <c r="I2860" s="6"/>
      <c r="J2860" s="16"/>
      <c r="K2860" s="6"/>
      <c r="L2860" s="16"/>
      <c r="M2860" s="23"/>
      <c r="N2860" s="15"/>
      <c r="O2860" s="23"/>
      <c r="P2860" s="21"/>
      <c r="Q2860" s="6"/>
      <c r="R2860" s="6"/>
      <c r="S2860" s="20"/>
      <c r="T2860" s="6"/>
      <c r="W2860" s="20"/>
      <c r="AD2860" s="23"/>
    </row>
    <row r="2861" spans="2:33" ht="16">
      <c r="B2861" s="26" t="str">
        <f t="shared" si="12"/>
        <v/>
      </c>
      <c r="C2861" s="6"/>
      <c r="D2861" s="6"/>
      <c r="E2861" s="6"/>
      <c r="F2861" s="15"/>
      <c r="G2861" s="6"/>
      <c r="H2861" s="6"/>
      <c r="I2861" s="6"/>
      <c r="J2861" s="16"/>
      <c r="K2861" s="6"/>
      <c r="L2861" s="16"/>
      <c r="M2861" s="17"/>
      <c r="N2861" s="15"/>
      <c r="O2861" s="23"/>
      <c r="P2861" s="21"/>
      <c r="Q2861" s="6"/>
      <c r="R2861" s="6"/>
      <c r="S2861" s="20"/>
      <c r="T2861" s="6"/>
      <c r="W2861" s="20"/>
      <c r="AD2861" s="17"/>
    </row>
    <row r="2862" spans="2:33" ht="16">
      <c r="B2862" s="26" t="str">
        <f t="shared" si="12"/>
        <v/>
      </c>
      <c r="C2862" s="6"/>
      <c r="D2862" s="6"/>
      <c r="E2862" s="6"/>
      <c r="F2862" s="15"/>
      <c r="G2862" s="6"/>
      <c r="H2862" s="6"/>
      <c r="I2862" s="6"/>
      <c r="J2862" s="16"/>
      <c r="K2862" s="6"/>
      <c r="L2862" s="16"/>
      <c r="M2862" s="23"/>
      <c r="N2862" s="15"/>
      <c r="O2862" s="23"/>
      <c r="P2862" s="21"/>
      <c r="Q2862" s="6"/>
      <c r="R2862" s="6"/>
      <c r="S2862" s="20"/>
      <c r="T2862" s="6"/>
      <c r="W2862" s="20"/>
      <c r="AD2862" s="23"/>
      <c r="AG2862" s="17"/>
    </row>
    <row r="2863" spans="2:33" ht="16">
      <c r="B2863" s="26" t="str">
        <f t="shared" si="12"/>
        <v/>
      </c>
      <c r="C2863" s="6"/>
      <c r="D2863" s="6"/>
      <c r="E2863" s="6"/>
      <c r="F2863" s="15"/>
      <c r="G2863" s="6"/>
      <c r="H2863" s="6"/>
      <c r="I2863" s="6"/>
      <c r="J2863" s="16"/>
      <c r="K2863" s="6"/>
      <c r="L2863" s="16"/>
      <c r="M2863" s="17"/>
      <c r="N2863" s="15"/>
      <c r="O2863" s="23"/>
      <c r="P2863" s="21"/>
      <c r="Q2863" s="6"/>
      <c r="R2863" s="6"/>
      <c r="S2863" s="20"/>
      <c r="T2863" s="6"/>
      <c r="W2863" s="20"/>
      <c r="AD2863" s="23"/>
    </row>
    <row r="2864" spans="2:33" ht="16">
      <c r="B2864" s="26" t="str">
        <f t="shared" si="12"/>
        <v/>
      </c>
      <c r="C2864" s="6"/>
      <c r="D2864" s="6"/>
      <c r="E2864" s="6"/>
      <c r="F2864" s="15"/>
      <c r="G2864" s="6"/>
      <c r="H2864" s="6"/>
      <c r="I2864" s="6"/>
      <c r="J2864" s="16"/>
      <c r="K2864" s="6"/>
      <c r="L2864" s="16"/>
      <c r="M2864" s="23"/>
      <c r="N2864" s="15"/>
      <c r="O2864" s="23"/>
      <c r="P2864" s="21"/>
      <c r="Q2864" s="6"/>
      <c r="R2864" s="6"/>
      <c r="S2864" s="20"/>
      <c r="T2864" s="6"/>
      <c r="W2864" s="20"/>
      <c r="AD2864" s="23"/>
    </row>
    <row r="2865" spans="2:30" ht="16">
      <c r="B2865" s="26" t="str">
        <f t="shared" si="12"/>
        <v/>
      </c>
      <c r="C2865" s="6"/>
      <c r="D2865" s="6"/>
      <c r="E2865" s="6"/>
      <c r="F2865" s="15"/>
      <c r="G2865" s="6"/>
      <c r="H2865" s="6"/>
      <c r="I2865" s="6"/>
      <c r="J2865" s="16"/>
      <c r="K2865" s="6"/>
      <c r="L2865" s="16"/>
      <c r="M2865" s="23"/>
      <c r="N2865" s="15"/>
      <c r="O2865" s="23"/>
      <c r="P2865" s="21"/>
      <c r="Q2865" s="6"/>
      <c r="R2865" s="6"/>
      <c r="S2865" s="20"/>
      <c r="T2865" s="6"/>
      <c r="W2865" s="20"/>
      <c r="AD2865" s="23"/>
    </row>
    <row r="2866" spans="2:30" ht="16">
      <c r="B2866" s="26" t="str">
        <f t="shared" si="12"/>
        <v/>
      </c>
      <c r="C2866" s="6"/>
      <c r="D2866" s="6"/>
      <c r="E2866" s="6"/>
      <c r="F2866" s="15"/>
      <c r="G2866" s="6"/>
      <c r="H2866" s="6"/>
      <c r="I2866" s="6"/>
      <c r="J2866" s="16"/>
      <c r="K2866" s="6"/>
      <c r="L2866" s="16"/>
      <c r="M2866" s="17"/>
      <c r="N2866" s="15"/>
      <c r="O2866" s="23"/>
      <c r="P2866" s="21"/>
      <c r="Q2866" s="6"/>
      <c r="R2866" s="6"/>
      <c r="S2866" s="20"/>
      <c r="T2866" s="6"/>
      <c r="W2866" s="20"/>
      <c r="AD2866" s="23"/>
    </row>
    <row r="2867" spans="2:30" ht="16">
      <c r="B2867" s="26" t="str">
        <f t="shared" si="12"/>
        <v/>
      </c>
      <c r="C2867" s="6"/>
      <c r="D2867" s="6"/>
      <c r="E2867" s="6"/>
      <c r="F2867" s="15"/>
      <c r="G2867" s="6"/>
      <c r="H2867" s="6"/>
      <c r="I2867" s="6"/>
      <c r="J2867" s="16"/>
      <c r="K2867" s="6"/>
      <c r="L2867" s="16"/>
      <c r="M2867" s="23"/>
      <c r="N2867" s="15"/>
      <c r="O2867" s="23"/>
      <c r="P2867" s="21"/>
      <c r="Q2867" s="6"/>
      <c r="R2867" s="6"/>
      <c r="S2867" s="20"/>
      <c r="T2867" s="6"/>
      <c r="W2867" s="20"/>
      <c r="AD2867" s="23"/>
    </row>
    <row r="2868" spans="2:30" ht="16">
      <c r="B2868" s="26" t="str">
        <f t="shared" si="12"/>
        <v/>
      </c>
      <c r="C2868" s="6"/>
      <c r="D2868" s="6"/>
      <c r="E2868" s="6"/>
      <c r="F2868" s="15"/>
      <c r="G2868" s="6"/>
      <c r="H2868" s="6"/>
      <c r="I2868" s="6"/>
      <c r="J2868" s="16"/>
      <c r="K2868" s="6"/>
      <c r="L2868" s="16"/>
      <c r="M2868" s="17"/>
      <c r="N2868" s="15"/>
      <c r="O2868" s="23"/>
      <c r="P2868" s="21"/>
      <c r="Q2868" s="6"/>
      <c r="R2868" s="6"/>
      <c r="S2868" s="20"/>
      <c r="T2868" s="6"/>
      <c r="W2868" s="20"/>
      <c r="AD2868" s="17"/>
    </row>
    <row r="2869" spans="2:30" ht="16">
      <c r="B2869" s="26" t="str">
        <f t="shared" si="12"/>
        <v/>
      </c>
      <c r="C2869" s="6"/>
      <c r="D2869" s="6"/>
      <c r="E2869" s="6"/>
      <c r="F2869" s="15"/>
      <c r="G2869" s="6"/>
      <c r="H2869" s="6"/>
      <c r="I2869" s="6"/>
      <c r="J2869" s="16"/>
      <c r="K2869" s="6"/>
      <c r="L2869" s="16"/>
      <c r="M2869" s="23"/>
      <c r="N2869" s="15"/>
      <c r="O2869" s="23"/>
      <c r="P2869" s="21"/>
      <c r="Q2869" s="6"/>
      <c r="R2869" s="6"/>
      <c r="S2869" s="20"/>
      <c r="T2869" s="6"/>
      <c r="W2869" s="20"/>
      <c r="AD2869" s="23"/>
    </row>
    <row r="2870" spans="2:30" ht="16">
      <c r="B2870" s="26" t="str">
        <f t="shared" si="12"/>
        <v/>
      </c>
      <c r="C2870" s="6"/>
      <c r="D2870" s="6"/>
      <c r="E2870" s="6"/>
      <c r="F2870" s="15"/>
      <c r="G2870" s="6"/>
      <c r="H2870" s="6"/>
      <c r="I2870" s="6"/>
      <c r="J2870" s="16"/>
      <c r="K2870" s="6"/>
      <c r="L2870" s="16"/>
      <c r="M2870" s="23"/>
      <c r="N2870" s="15"/>
      <c r="O2870" s="23"/>
      <c r="P2870" s="21"/>
      <c r="Q2870" s="6"/>
      <c r="R2870" s="6"/>
      <c r="S2870" s="20"/>
      <c r="T2870" s="6"/>
      <c r="W2870" s="20"/>
      <c r="AD2870" s="23"/>
    </row>
    <row r="2871" spans="2:30" ht="16">
      <c r="B2871" s="26" t="str">
        <f t="shared" si="12"/>
        <v/>
      </c>
      <c r="C2871" s="6"/>
      <c r="D2871" s="6"/>
      <c r="E2871" s="6"/>
      <c r="F2871" s="15"/>
      <c r="G2871" s="6"/>
      <c r="H2871" s="6"/>
      <c r="I2871" s="6"/>
      <c r="J2871" s="16"/>
      <c r="K2871" s="6"/>
      <c r="L2871" s="16"/>
      <c r="M2871" s="17"/>
      <c r="N2871" s="15"/>
      <c r="O2871" s="23"/>
      <c r="P2871" s="21"/>
      <c r="Q2871" s="6"/>
      <c r="R2871" s="6"/>
      <c r="S2871" s="20"/>
      <c r="T2871" s="6"/>
      <c r="W2871" s="20"/>
      <c r="AD2871" s="23"/>
    </row>
    <row r="2872" spans="2:30" ht="16">
      <c r="B2872" s="26" t="str">
        <f t="shared" si="12"/>
        <v/>
      </c>
      <c r="C2872" s="6"/>
      <c r="D2872" s="6"/>
      <c r="E2872" s="6"/>
      <c r="F2872" s="15"/>
      <c r="G2872" s="6"/>
      <c r="H2872" s="6"/>
      <c r="I2872" s="6"/>
      <c r="J2872" s="16"/>
      <c r="K2872" s="6"/>
      <c r="L2872" s="16"/>
      <c r="M2872" s="23"/>
      <c r="N2872" s="15"/>
      <c r="O2872" s="23"/>
      <c r="P2872" s="21"/>
      <c r="Q2872" s="6"/>
      <c r="R2872" s="6"/>
      <c r="S2872" s="20"/>
      <c r="T2872" s="6"/>
      <c r="W2872" s="20"/>
      <c r="AD2872" s="23"/>
    </row>
    <row r="2873" spans="2:30" ht="16">
      <c r="B2873" s="26" t="str">
        <f t="shared" si="12"/>
        <v/>
      </c>
      <c r="C2873" s="6"/>
      <c r="D2873" s="6"/>
      <c r="E2873" s="6"/>
      <c r="F2873" s="15"/>
      <c r="G2873" s="6"/>
      <c r="H2873" s="6"/>
      <c r="I2873" s="6"/>
      <c r="J2873" s="16"/>
      <c r="K2873" s="6"/>
      <c r="L2873" s="16"/>
      <c r="M2873" s="23"/>
      <c r="N2873" s="15"/>
      <c r="O2873" s="23"/>
      <c r="P2873" s="21"/>
      <c r="Q2873" s="6"/>
      <c r="R2873" s="6"/>
      <c r="S2873" s="20"/>
      <c r="T2873" s="6"/>
      <c r="W2873" s="20"/>
      <c r="AD2873" s="23"/>
    </row>
    <row r="2874" spans="2:30" ht="16">
      <c r="B2874" s="26" t="str">
        <f t="shared" si="12"/>
        <v/>
      </c>
      <c r="C2874" s="6"/>
      <c r="D2874" s="6"/>
      <c r="E2874" s="6"/>
      <c r="F2874" s="15"/>
      <c r="G2874" s="6"/>
      <c r="H2874" s="6"/>
      <c r="I2874" s="6"/>
      <c r="J2874" s="16"/>
      <c r="K2874" s="6"/>
      <c r="L2874" s="16"/>
      <c r="M2874" s="17"/>
      <c r="N2874" s="15"/>
      <c r="O2874" s="23"/>
      <c r="P2874" s="21"/>
      <c r="Q2874" s="6"/>
      <c r="R2874" s="6"/>
      <c r="S2874" s="20"/>
      <c r="T2874" s="6"/>
      <c r="W2874" s="20"/>
      <c r="AD2874" s="23"/>
    </row>
    <row r="2875" spans="2:30" ht="16">
      <c r="B2875" s="26" t="str">
        <f t="shared" si="12"/>
        <v/>
      </c>
      <c r="C2875" s="6"/>
      <c r="D2875" s="6"/>
      <c r="E2875" s="6"/>
      <c r="F2875" s="15"/>
      <c r="G2875" s="6"/>
      <c r="H2875" s="6"/>
      <c r="I2875" s="6"/>
      <c r="J2875" s="16"/>
      <c r="K2875" s="6"/>
      <c r="L2875" s="16"/>
      <c r="M2875" s="17"/>
      <c r="N2875" s="15"/>
      <c r="O2875" s="23"/>
      <c r="P2875" s="21"/>
      <c r="Q2875" s="6"/>
      <c r="R2875" s="6"/>
      <c r="S2875" s="20"/>
      <c r="T2875" s="6"/>
      <c r="W2875" s="20"/>
      <c r="AD2875" s="17"/>
    </row>
    <row r="2876" spans="2:30" ht="16">
      <c r="B2876" s="26" t="str">
        <f t="shared" si="12"/>
        <v/>
      </c>
      <c r="C2876" s="6"/>
      <c r="D2876" s="6"/>
      <c r="E2876" s="6"/>
      <c r="F2876" s="15"/>
      <c r="G2876" s="6"/>
      <c r="H2876" s="6"/>
      <c r="I2876" s="6"/>
      <c r="J2876" s="16"/>
      <c r="K2876" s="6"/>
      <c r="L2876" s="16"/>
      <c r="M2876" s="23"/>
      <c r="N2876" s="15"/>
      <c r="O2876" s="23"/>
      <c r="P2876" s="21"/>
      <c r="Q2876" s="23"/>
      <c r="R2876" s="6"/>
      <c r="S2876" s="20"/>
      <c r="T2876" s="6"/>
      <c r="W2876" s="20"/>
      <c r="AD2876" s="23"/>
    </row>
    <row r="2877" spans="2:30" ht="16">
      <c r="B2877" s="26" t="str">
        <f t="shared" si="12"/>
        <v/>
      </c>
      <c r="C2877" s="6"/>
      <c r="D2877" s="6"/>
      <c r="E2877" s="6"/>
      <c r="F2877" s="15"/>
      <c r="G2877" s="6"/>
      <c r="H2877" s="6"/>
      <c r="I2877" s="6"/>
      <c r="J2877" s="16"/>
      <c r="K2877" s="6"/>
      <c r="L2877" s="16"/>
      <c r="M2877" s="23"/>
      <c r="N2877" s="15"/>
      <c r="O2877" s="23"/>
      <c r="P2877" s="21"/>
      <c r="Q2877" s="23"/>
      <c r="R2877" s="6"/>
      <c r="S2877" s="20"/>
      <c r="T2877" s="6"/>
      <c r="W2877" s="20"/>
      <c r="AD2877" s="23"/>
    </row>
    <row r="2878" spans="2:30" ht="16">
      <c r="B2878" s="26" t="str">
        <f t="shared" si="12"/>
        <v/>
      </c>
      <c r="C2878" s="6"/>
      <c r="D2878" s="6"/>
      <c r="E2878" s="6"/>
      <c r="F2878" s="15"/>
      <c r="G2878" s="6"/>
      <c r="H2878" s="6"/>
      <c r="I2878" s="6"/>
      <c r="J2878" s="16"/>
      <c r="K2878" s="6"/>
      <c r="L2878" s="16"/>
      <c r="M2878" s="23"/>
      <c r="N2878" s="15"/>
      <c r="O2878" s="23"/>
      <c r="P2878" s="21"/>
      <c r="Q2878" s="23"/>
      <c r="R2878" s="6"/>
      <c r="S2878" s="20"/>
      <c r="T2878" s="6"/>
      <c r="W2878" s="20"/>
      <c r="AD2878" s="23"/>
    </row>
    <row r="2879" spans="2:30" ht="16">
      <c r="B2879" s="26" t="str">
        <f t="shared" si="12"/>
        <v/>
      </c>
      <c r="C2879" s="6"/>
      <c r="D2879" s="6"/>
      <c r="E2879" s="6"/>
      <c r="F2879" s="15"/>
      <c r="G2879" s="6"/>
      <c r="H2879" s="6"/>
      <c r="I2879" s="6"/>
      <c r="J2879" s="16"/>
      <c r="K2879" s="6"/>
      <c r="L2879" s="16"/>
      <c r="M2879" s="23"/>
      <c r="N2879" s="15"/>
      <c r="O2879" s="23"/>
      <c r="P2879" s="21"/>
      <c r="Q2879" s="23"/>
      <c r="R2879" s="6"/>
      <c r="S2879" s="20"/>
      <c r="T2879" s="6"/>
      <c r="W2879" s="20"/>
      <c r="AD2879" s="17"/>
    </row>
    <row r="2880" spans="2:30" ht="16">
      <c r="B2880" s="26" t="str">
        <f t="shared" si="12"/>
        <v/>
      </c>
      <c r="C2880" s="6"/>
      <c r="D2880" s="6"/>
      <c r="E2880" s="6"/>
      <c r="F2880" s="15"/>
      <c r="G2880" s="6"/>
      <c r="H2880" s="6"/>
      <c r="I2880" s="6"/>
      <c r="J2880" s="16"/>
      <c r="K2880" s="6"/>
      <c r="L2880" s="16"/>
      <c r="M2880" s="23"/>
      <c r="N2880" s="15"/>
      <c r="O2880" s="23"/>
      <c r="P2880" s="21"/>
      <c r="Q2880" s="23"/>
      <c r="R2880" s="6"/>
      <c r="S2880" s="20"/>
      <c r="T2880" s="6"/>
      <c r="W2880" s="20"/>
      <c r="AD2880" s="23"/>
    </row>
    <row r="2881" spans="2:33" ht="16">
      <c r="B2881" s="26" t="str">
        <f t="shared" si="12"/>
        <v/>
      </c>
      <c r="C2881" s="6"/>
      <c r="D2881" s="6"/>
      <c r="E2881" s="6"/>
      <c r="F2881" s="15"/>
      <c r="G2881" s="6"/>
      <c r="H2881" s="6"/>
      <c r="I2881" s="6"/>
      <c r="J2881" s="16"/>
      <c r="K2881" s="6"/>
      <c r="L2881" s="16"/>
      <c r="M2881" s="17"/>
      <c r="N2881" s="15"/>
      <c r="O2881" s="23"/>
      <c r="P2881" s="21"/>
      <c r="Q2881" s="23"/>
      <c r="R2881" s="6"/>
      <c r="S2881" s="20"/>
      <c r="T2881" s="6"/>
      <c r="W2881" s="20"/>
      <c r="AD2881" s="17"/>
    </row>
    <row r="2882" spans="2:33" ht="16">
      <c r="B2882" s="26" t="str">
        <f t="shared" si="12"/>
        <v/>
      </c>
      <c r="C2882" s="6"/>
      <c r="D2882" s="6"/>
      <c r="E2882" s="6"/>
      <c r="F2882" s="15"/>
      <c r="G2882" s="6"/>
      <c r="H2882" s="6"/>
      <c r="I2882" s="6"/>
      <c r="J2882" s="16"/>
      <c r="K2882" s="6"/>
      <c r="L2882" s="16"/>
      <c r="M2882" s="23"/>
      <c r="N2882" s="15"/>
      <c r="O2882" s="23"/>
      <c r="P2882" s="21"/>
      <c r="Q2882" s="23"/>
      <c r="R2882" s="6"/>
      <c r="S2882" s="20"/>
      <c r="T2882" s="6"/>
      <c r="W2882" s="20"/>
      <c r="AD2882" s="23"/>
    </row>
    <row r="2883" spans="2:33" ht="16">
      <c r="B2883" s="26" t="str">
        <f t="shared" si="12"/>
        <v/>
      </c>
      <c r="C2883" s="6"/>
      <c r="D2883" s="6"/>
      <c r="E2883" s="6"/>
      <c r="F2883" s="15"/>
      <c r="G2883" s="6"/>
      <c r="H2883" s="6"/>
      <c r="I2883" s="6"/>
      <c r="J2883" s="16"/>
      <c r="K2883" s="6"/>
      <c r="L2883" s="16"/>
      <c r="M2883" s="17"/>
      <c r="N2883" s="15"/>
      <c r="O2883" s="23"/>
      <c r="P2883" s="21"/>
      <c r="Q2883" s="23"/>
      <c r="R2883" s="6"/>
      <c r="S2883" s="20"/>
      <c r="T2883" s="6"/>
      <c r="W2883" s="20"/>
      <c r="AD2883" s="23"/>
    </row>
    <row r="2884" spans="2:33" ht="16">
      <c r="B2884" s="26" t="str">
        <f t="shared" si="12"/>
        <v/>
      </c>
      <c r="C2884" s="6"/>
      <c r="D2884" s="6"/>
      <c r="E2884" s="6"/>
      <c r="F2884" s="15"/>
      <c r="G2884" s="6"/>
      <c r="H2884" s="6"/>
      <c r="I2884" s="6"/>
      <c r="J2884" s="16"/>
      <c r="K2884" s="6"/>
      <c r="L2884" s="16"/>
      <c r="M2884" s="23"/>
      <c r="N2884" s="15"/>
      <c r="O2884" s="23"/>
      <c r="P2884" s="21"/>
      <c r="Q2884" s="23"/>
      <c r="R2884" s="6"/>
      <c r="S2884" s="20"/>
      <c r="T2884" s="6"/>
      <c r="W2884" s="20"/>
      <c r="AD2884" s="17"/>
      <c r="AG2884" s="23"/>
    </row>
    <row r="2885" spans="2:33" ht="16">
      <c r="B2885" s="26" t="str">
        <f t="shared" si="12"/>
        <v/>
      </c>
      <c r="C2885" s="6"/>
      <c r="D2885" s="6"/>
      <c r="E2885" s="6"/>
      <c r="F2885" s="15"/>
      <c r="G2885" s="6"/>
      <c r="H2885" s="6"/>
      <c r="I2885" s="6"/>
      <c r="J2885" s="16"/>
      <c r="K2885" s="6"/>
      <c r="L2885" s="16"/>
      <c r="M2885" s="17"/>
      <c r="N2885" s="15"/>
      <c r="O2885" s="23"/>
      <c r="P2885" s="21"/>
      <c r="Q2885" s="23"/>
      <c r="R2885" s="6"/>
      <c r="S2885" s="20"/>
      <c r="T2885" s="6"/>
      <c r="W2885" s="20"/>
      <c r="AD2885" s="23"/>
    </row>
    <row r="2886" spans="2:33" ht="16">
      <c r="B2886" s="26" t="str">
        <f t="shared" si="12"/>
        <v/>
      </c>
      <c r="C2886" s="6"/>
      <c r="D2886" s="6"/>
      <c r="E2886" s="6"/>
      <c r="F2886" s="15"/>
      <c r="G2886" s="6"/>
      <c r="H2886" s="6"/>
      <c r="I2886" s="6"/>
      <c r="J2886" s="16"/>
      <c r="K2886" s="6"/>
      <c r="L2886" s="16"/>
      <c r="M2886" s="23"/>
      <c r="N2886" s="15"/>
      <c r="O2886" s="23"/>
      <c r="P2886" s="21"/>
      <c r="Q2886" s="23"/>
      <c r="R2886" s="6"/>
      <c r="S2886" s="20"/>
      <c r="T2886" s="6"/>
      <c r="W2886" s="20"/>
      <c r="AD2886" s="23"/>
    </row>
    <row r="2887" spans="2:33" ht="16">
      <c r="B2887" s="26" t="str">
        <f t="shared" si="12"/>
        <v/>
      </c>
      <c r="C2887" s="6"/>
      <c r="D2887" s="6"/>
      <c r="E2887" s="6"/>
      <c r="F2887" s="15"/>
      <c r="G2887" s="6"/>
      <c r="H2887" s="6"/>
      <c r="I2887" s="6"/>
      <c r="J2887" s="16"/>
      <c r="K2887" s="6"/>
      <c r="L2887" s="16"/>
      <c r="M2887" s="17"/>
      <c r="N2887" s="15"/>
      <c r="O2887" s="23"/>
      <c r="P2887" s="21"/>
      <c r="Q2887" s="23"/>
      <c r="R2887" s="6"/>
      <c r="S2887" s="20"/>
      <c r="T2887" s="6"/>
      <c r="W2887" s="20"/>
      <c r="AD2887" s="23"/>
    </row>
    <row r="2888" spans="2:33" ht="16">
      <c r="B2888" s="26" t="str">
        <f t="shared" si="12"/>
        <v/>
      </c>
      <c r="C2888" s="6"/>
      <c r="D2888" s="6"/>
      <c r="E2888" s="6"/>
      <c r="F2888" s="15"/>
      <c r="G2888" s="6"/>
      <c r="H2888" s="6"/>
      <c r="I2888" s="6"/>
      <c r="J2888" s="16"/>
      <c r="K2888" s="6"/>
      <c r="L2888" s="16"/>
      <c r="M2888" s="17"/>
      <c r="N2888" s="15"/>
      <c r="O2888" s="23"/>
      <c r="P2888" s="21"/>
      <c r="Q2888" s="23"/>
      <c r="R2888" s="6"/>
      <c r="S2888" s="20"/>
      <c r="T2888" s="6"/>
      <c r="W2888" s="20"/>
      <c r="AD2888" s="23"/>
    </row>
    <row r="2889" spans="2:33" ht="16">
      <c r="B2889" s="26" t="str">
        <f t="shared" si="12"/>
        <v/>
      </c>
      <c r="C2889" s="6"/>
      <c r="D2889" s="6"/>
      <c r="E2889" s="6"/>
      <c r="F2889" s="15"/>
      <c r="G2889" s="6"/>
      <c r="H2889" s="6"/>
      <c r="I2889" s="6"/>
      <c r="J2889" s="16"/>
      <c r="K2889" s="6"/>
      <c r="L2889" s="16"/>
      <c r="M2889" s="23"/>
      <c r="N2889" s="15"/>
      <c r="O2889" s="23"/>
      <c r="P2889" s="21"/>
      <c r="Q2889" s="23"/>
      <c r="R2889" s="6"/>
      <c r="S2889" s="20"/>
      <c r="T2889" s="6"/>
      <c r="W2889" s="20"/>
      <c r="AD2889" s="23"/>
    </row>
    <row r="2890" spans="2:33" ht="16">
      <c r="B2890" s="26" t="str">
        <f t="shared" si="12"/>
        <v/>
      </c>
      <c r="C2890" s="6"/>
      <c r="D2890" s="6"/>
      <c r="E2890" s="6"/>
      <c r="F2890" s="15"/>
      <c r="G2890" s="6"/>
      <c r="H2890" s="6"/>
      <c r="I2890" s="6"/>
      <c r="J2890" s="16"/>
      <c r="K2890" s="6"/>
      <c r="L2890" s="16"/>
      <c r="M2890" s="17"/>
      <c r="N2890" s="15"/>
      <c r="O2890" s="23"/>
      <c r="P2890" s="21"/>
      <c r="Q2890" s="23"/>
      <c r="R2890" s="6"/>
      <c r="S2890" s="20"/>
      <c r="T2890" s="6"/>
      <c r="W2890" s="20"/>
      <c r="AD2890" s="17"/>
    </row>
    <row r="2891" spans="2:33" ht="16">
      <c r="B2891" s="26" t="str">
        <f t="shared" si="12"/>
        <v/>
      </c>
      <c r="C2891" s="6"/>
      <c r="D2891" s="6"/>
      <c r="E2891" s="6"/>
      <c r="F2891" s="15"/>
      <c r="G2891" s="6"/>
      <c r="H2891" s="6"/>
      <c r="I2891" s="6"/>
      <c r="J2891" s="16"/>
      <c r="K2891" s="6"/>
      <c r="L2891" s="16"/>
      <c r="M2891" s="23"/>
      <c r="N2891" s="15"/>
      <c r="O2891" s="23"/>
      <c r="P2891" s="21"/>
      <c r="Q2891" s="23"/>
      <c r="R2891" s="6"/>
      <c r="S2891" s="20"/>
      <c r="T2891" s="6"/>
      <c r="W2891" s="20"/>
      <c r="AD2891" s="23"/>
    </row>
    <row r="2892" spans="2:33" ht="16">
      <c r="B2892" s="26" t="str">
        <f t="shared" si="12"/>
        <v/>
      </c>
      <c r="C2892" s="6"/>
      <c r="D2892" s="6"/>
      <c r="E2892" s="6"/>
      <c r="F2892" s="15"/>
      <c r="G2892" s="6"/>
      <c r="H2892" s="6"/>
      <c r="I2892" s="6"/>
      <c r="J2892" s="16"/>
      <c r="K2892" s="6"/>
      <c r="L2892" s="16"/>
      <c r="M2892" s="23"/>
      <c r="N2892" s="15"/>
      <c r="O2892" s="23"/>
      <c r="P2892" s="21"/>
      <c r="Q2892" s="23"/>
      <c r="R2892" s="6"/>
      <c r="S2892" s="20"/>
      <c r="T2892" s="6"/>
      <c r="W2892" s="20"/>
      <c r="AD2892" s="23"/>
    </row>
    <row r="2893" spans="2:33" ht="16">
      <c r="B2893" s="26" t="str">
        <f t="shared" si="12"/>
        <v/>
      </c>
      <c r="C2893" s="6"/>
      <c r="D2893" s="6"/>
      <c r="E2893" s="6"/>
      <c r="F2893" s="15"/>
      <c r="G2893" s="6"/>
      <c r="H2893" s="6"/>
      <c r="I2893" s="6"/>
      <c r="J2893" s="16"/>
      <c r="K2893" s="6"/>
      <c r="L2893" s="16"/>
      <c r="M2893" s="23"/>
      <c r="N2893" s="15"/>
      <c r="O2893" s="23"/>
      <c r="P2893" s="21"/>
      <c r="Q2893" s="23"/>
      <c r="R2893" s="6"/>
      <c r="S2893" s="20"/>
      <c r="T2893" s="6"/>
      <c r="W2893" s="20"/>
      <c r="AD2893" s="23"/>
    </row>
    <row r="2894" spans="2:33" ht="16">
      <c r="B2894" s="26" t="str">
        <f t="shared" si="12"/>
        <v/>
      </c>
      <c r="C2894" s="6"/>
      <c r="D2894" s="6"/>
      <c r="E2894" s="6"/>
      <c r="F2894" s="15"/>
      <c r="G2894" s="6"/>
      <c r="H2894" s="6"/>
      <c r="I2894" s="6"/>
      <c r="J2894" s="16"/>
      <c r="K2894" s="6"/>
      <c r="L2894" s="16"/>
      <c r="M2894" s="17"/>
      <c r="N2894" s="15"/>
      <c r="O2894" s="23"/>
      <c r="P2894" s="21"/>
      <c r="Q2894" s="23"/>
      <c r="R2894" s="6"/>
      <c r="S2894" s="20"/>
      <c r="T2894" s="6"/>
      <c r="W2894" s="20"/>
      <c r="AD2894" s="17"/>
    </row>
    <row r="2895" spans="2:33" ht="16">
      <c r="B2895" s="26" t="str">
        <f t="shared" si="12"/>
        <v/>
      </c>
      <c r="C2895" s="6"/>
      <c r="D2895" s="6"/>
      <c r="E2895" s="6"/>
      <c r="F2895" s="15"/>
      <c r="G2895" s="6"/>
      <c r="H2895" s="6"/>
      <c r="I2895" s="6"/>
      <c r="J2895" s="16"/>
      <c r="K2895" s="6"/>
      <c r="L2895" s="16"/>
      <c r="M2895" s="23"/>
      <c r="N2895" s="15"/>
      <c r="O2895" s="23"/>
      <c r="P2895" s="21"/>
      <c r="Q2895" s="23"/>
      <c r="R2895" s="6"/>
      <c r="S2895" s="20"/>
      <c r="T2895" s="6"/>
      <c r="W2895" s="20"/>
      <c r="AD2895" s="17"/>
    </row>
    <row r="2896" spans="2:33" ht="16">
      <c r="B2896" s="26" t="str">
        <f t="shared" si="12"/>
        <v/>
      </c>
      <c r="C2896" s="6"/>
      <c r="D2896" s="6"/>
      <c r="E2896" s="6"/>
      <c r="F2896" s="15"/>
      <c r="G2896" s="6"/>
      <c r="H2896" s="6"/>
      <c r="I2896" s="6"/>
      <c r="J2896" s="16"/>
      <c r="K2896" s="6"/>
      <c r="L2896" s="16"/>
      <c r="M2896" s="6"/>
      <c r="N2896" s="15"/>
      <c r="O2896" s="23"/>
      <c r="P2896" s="21"/>
      <c r="Q2896" s="23"/>
      <c r="R2896" s="6"/>
      <c r="S2896" s="20"/>
      <c r="T2896" s="6"/>
      <c r="W2896" s="20"/>
      <c r="AF2896" s="19"/>
    </row>
    <row r="2897" spans="2:32" ht="16">
      <c r="B2897" s="26" t="str">
        <f t="shared" si="12"/>
        <v/>
      </c>
      <c r="C2897" s="6"/>
      <c r="D2897" s="6"/>
      <c r="E2897" s="6"/>
      <c r="F2897" s="15"/>
      <c r="G2897" s="6"/>
      <c r="H2897" s="6"/>
      <c r="I2897" s="6"/>
      <c r="J2897" s="16"/>
      <c r="K2897" s="6"/>
      <c r="L2897" s="16"/>
      <c r="M2897" s="6"/>
      <c r="N2897" s="15"/>
      <c r="O2897" s="23"/>
      <c r="P2897" s="21"/>
      <c r="Q2897" s="23"/>
      <c r="R2897" s="6"/>
      <c r="S2897" s="20"/>
      <c r="T2897" s="6"/>
      <c r="W2897" s="20"/>
      <c r="AF2897" s="19"/>
    </row>
    <row r="2898" spans="2:32" ht="16">
      <c r="B2898" s="26" t="str">
        <f t="shared" si="12"/>
        <v/>
      </c>
      <c r="C2898" s="6"/>
      <c r="D2898" s="6"/>
      <c r="E2898" s="6"/>
      <c r="F2898" s="15"/>
      <c r="G2898" s="6"/>
      <c r="H2898" s="6"/>
      <c r="I2898" s="6"/>
      <c r="J2898" s="16"/>
      <c r="K2898" s="6"/>
      <c r="L2898" s="16"/>
      <c r="M2898" s="6"/>
      <c r="N2898" s="15"/>
      <c r="O2898" s="23"/>
      <c r="P2898" s="21"/>
      <c r="Q2898" s="23"/>
      <c r="R2898" s="6"/>
      <c r="S2898" s="20"/>
      <c r="T2898" s="6"/>
      <c r="W2898" s="20"/>
      <c r="AF2898" s="19"/>
    </row>
    <row r="2899" spans="2:32" ht="16">
      <c r="B2899" s="26" t="str">
        <f t="shared" si="12"/>
        <v/>
      </c>
      <c r="C2899" s="6"/>
      <c r="D2899" s="6"/>
      <c r="E2899" s="6"/>
      <c r="F2899" s="15"/>
      <c r="G2899" s="6"/>
      <c r="H2899" s="6"/>
      <c r="I2899" s="6"/>
      <c r="J2899" s="16"/>
      <c r="K2899" s="6"/>
      <c r="L2899" s="16"/>
      <c r="M2899" s="6"/>
      <c r="N2899" s="15"/>
      <c r="O2899" s="23"/>
      <c r="P2899" s="21"/>
      <c r="Q2899" s="23"/>
      <c r="R2899" s="6"/>
      <c r="S2899" s="20"/>
      <c r="T2899" s="6"/>
      <c r="W2899" s="20"/>
      <c r="AF2899" s="19"/>
    </row>
    <row r="2900" spans="2:32" ht="16">
      <c r="B2900" s="26" t="str">
        <f t="shared" si="12"/>
        <v/>
      </c>
      <c r="C2900" s="6"/>
      <c r="D2900" s="6"/>
      <c r="E2900" s="6"/>
      <c r="F2900" s="15"/>
      <c r="G2900" s="6"/>
      <c r="H2900" s="6"/>
      <c r="I2900" s="6"/>
      <c r="J2900" s="16"/>
      <c r="K2900" s="6"/>
      <c r="L2900" s="16"/>
      <c r="M2900" s="6"/>
      <c r="N2900" s="15"/>
      <c r="O2900" s="23"/>
      <c r="P2900" s="21"/>
      <c r="Q2900" s="23"/>
      <c r="R2900" s="6"/>
      <c r="S2900" s="20"/>
      <c r="T2900" s="6"/>
      <c r="W2900" s="20"/>
      <c r="AF2900" s="19"/>
    </row>
    <row r="2901" spans="2:32" ht="16">
      <c r="B2901" s="26" t="str">
        <f t="shared" si="12"/>
        <v/>
      </c>
      <c r="C2901" s="6"/>
      <c r="D2901" s="6"/>
      <c r="E2901" s="6"/>
      <c r="F2901" s="15"/>
      <c r="G2901" s="6"/>
      <c r="H2901" s="6"/>
      <c r="I2901" s="6"/>
      <c r="J2901" s="16"/>
      <c r="K2901" s="6"/>
      <c r="L2901" s="16"/>
      <c r="M2901" s="6"/>
      <c r="N2901" s="15"/>
      <c r="O2901" s="23"/>
      <c r="P2901" s="21"/>
      <c r="Q2901" s="23"/>
      <c r="R2901" s="6"/>
      <c r="S2901" s="20"/>
      <c r="T2901" s="6"/>
      <c r="W2901" s="20"/>
      <c r="AF2901" s="19"/>
    </row>
    <row r="2902" spans="2:32" ht="16">
      <c r="B2902" s="26" t="str">
        <f t="shared" si="12"/>
        <v/>
      </c>
      <c r="C2902" s="6"/>
      <c r="D2902" s="6"/>
      <c r="E2902" s="6"/>
      <c r="F2902" s="15"/>
      <c r="G2902" s="6"/>
      <c r="H2902" s="6"/>
      <c r="I2902" s="6"/>
      <c r="J2902" s="16"/>
      <c r="K2902" s="6"/>
      <c r="L2902" s="16"/>
      <c r="M2902" s="6"/>
      <c r="N2902" s="15"/>
      <c r="O2902" s="23"/>
      <c r="P2902" s="21"/>
      <c r="Q2902" s="23"/>
      <c r="R2902" s="6"/>
      <c r="S2902" s="20"/>
      <c r="T2902" s="6"/>
      <c r="W2902" s="20"/>
      <c r="AF2902" s="19"/>
    </row>
    <row r="2903" spans="2:32" ht="16">
      <c r="B2903" s="26" t="str">
        <f t="shared" si="12"/>
        <v/>
      </c>
      <c r="C2903" s="6"/>
      <c r="D2903" s="6"/>
      <c r="E2903" s="6"/>
      <c r="F2903" s="15"/>
      <c r="G2903" s="6"/>
      <c r="H2903" s="6"/>
      <c r="I2903" s="6"/>
      <c r="J2903" s="16"/>
      <c r="K2903" s="6"/>
      <c r="L2903" s="16"/>
      <c r="M2903" s="6"/>
      <c r="N2903" s="15"/>
      <c r="O2903" s="23"/>
      <c r="P2903" s="21"/>
      <c r="Q2903" s="23"/>
      <c r="R2903" s="6"/>
      <c r="S2903" s="20"/>
      <c r="T2903" s="6"/>
      <c r="W2903" s="20"/>
      <c r="AF2903" s="19"/>
    </row>
    <row r="2904" spans="2:32" ht="16">
      <c r="B2904" s="26" t="str">
        <f t="shared" si="12"/>
        <v/>
      </c>
      <c r="C2904" s="6"/>
      <c r="D2904" s="6"/>
      <c r="E2904" s="6"/>
      <c r="F2904" s="15"/>
      <c r="G2904" s="6"/>
      <c r="H2904" s="6"/>
      <c r="I2904" s="6"/>
      <c r="J2904" s="16"/>
      <c r="K2904" s="6"/>
      <c r="L2904" s="16"/>
      <c r="M2904" s="6"/>
      <c r="N2904" s="15"/>
      <c r="O2904" s="23"/>
      <c r="P2904" s="21"/>
      <c r="Q2904" s="23"/>
      <c r="R2904" s="6"/>
      <c r="S2904" s="20"/>
      <c r="T2904" s="6"/>
      <c r="W2904" s="20"/>
      <c r="AF2904" s="19"/>
    </row>
    <row r="2905" spans="2:32" ht="16">
      <c r="B2905" s="26" t="str">
        <f t="shared" si="12"/>
        <v/>
      </c>
      <c r="C2905" s="6"/>
      <c r="D2905" s="6"/>
      <c r="E2905" s="6"/>
      <c r="F2905" s="15"/>
      <c r="G2905" s="6"/>
      <c r="H2905" s="6"/>
      <c r="I2905" s="6"/>
      <c r="J2905" s="16"/>
      <c r="K2905" s="6"/>
      <c r="L2905" s="16"/>
      <c r="M2905" s="6"/>
      <c r="N2905" s="15"/>
      <c r="O2905" s="23"/>
      <c r="P2905" s="21"/>
      <c r="Q2905" s="23"/>
      <c r="R2905" s="6"/>
      <c r="S2905" s="20"/>
      <c r="T2905" s="6"/>
      <c r="W2905" s="20"/>
      <c r="AF2905" s="19"/>
    </row>
    <row r="2906" spans="2:32" ht="16">
      <c r="B2906" s="26" t="str">
        <f t="shared" si="12"/>
        <v/>
      </c>
      <c r="C2906" s="6"/>
      <c r="D2906" s="6"/>
      <c r="E2906" s="6"/>
      <c r="F2906" s="15"/>
      <c r="G2906" s="6"/>
      <c r="H2906" s="6"/>
      <c r="I2906" s="6"/>
      <c r="J2906" s="16"/>
      <c r="K2906" s="6"/>
      <c r="L2906" s="16"/>
      <c r="M2906" s="6"/>
      <c r="N2906" s="15"/>
      <c r="O2906" s="23"/>
      <c r="P2906" s="21"/>
      <c r="Q2906" s="23"/>
      <c r="R2906" s="6"/>
      <c r="S2906" s="20"/>
      <c r="T2906" s="6"/>
      <c r="W2906" s="20"/>
      <c r="AF2906" s="19"/>
    </row>
    <row r="2907" spans="2:32" ht="16">
      <c r="B2907" s="26" t="str">
        <f t="shared" si="12"/>
        <v/>
      </c>
      <c r="C2907" s="6"/>
      <c r="D2907" s="6"/>
      <c r="E2907" s="6"/>
      <c r="F2907" s="15"/>
      <c r="G2907" s="6"/>
      <c r="H2907" s="6"/>
      <c r="I2907" s="6"/>
      <c r="J2907" s="16"/>
      <c r="K2907" s="6"/>
      <c r="L2907" s="16"/>
      <c r="M2907" s="6"/>
      <c r="N2907" s="15"/>
      <c r="O2907" s="23"/>
      <c r="P2907" s="21"/>
      <c r="Q2907" s="23"/>
      <c r="R2907" s="6"/>
      <c r="S2907" s="20"/>
      <c r="T2907" s="6"/>
      <c r="W2907" s="20"/>
      <c r="AF2907" s="19"/>
    </row>
    <row r="2908" spans="2:32" ht="16">
      <c r="B2908" s="26" t="str">
        <f t="shared" si="12"/>
        <v/>
      </c>
      <c r="C2908" s="6"/>
      <c r="D2908" s="6"/>
      <c r="E2908" s="6"/>
      <c r="F2908" s="15"/>
      <c r="G2908" s="6"/>
      <c r="H2908" s="6"/>
      <c r="I2908" s="6"/>
      <c r="J2908" s="16"/>
      <c r="K2908" s="6"/>
      <c r="L2908" s="16"/>
      <c r="M2908" s="6"/>
      <c r="N2908" s="15"/>
      <c r="O2908" s="23"/>
      <c r="P2908" s="21"/>
      <c r="Q2908" s="23"/>
      <c r="R2908" s="6"/>
      <c r="S2908" s="20"/>
      <c r="T2908" s="6"/>
      <c r="W2908" s="20"/>
      <c r="AF2908" s="19"/>
    </row>
    <row r="2909" spans="2:32" ht="16">
      <c r="B2909" s="26" t="str">
        <f t="shared" si="12"/>
        <v/>
      </c>
      <c r="C2909" s="6"/>
      <c r="D2909" s="6"/>
      <c r="E2909" s="6"/>
      <c r="F2909" s="15"/>
      <c r="G2909" s="6"/>
      <c r="H2909" s="6"/>
      <c r="I2909" s="6"/>
      <c r="J2909" s="16"/>
      <c r="K2909" s="6"/>
      <c r="L2909" s="16"/>
      <c r="M2909" s="6"/>
      <c r="N2909" s="15"/>
      <c r="O2909" s="23"/>
      <c r="P2909" s="21"/>
      <c r="Q2909" s="23"/>
      <c r="R2909" s="6"/>
      <c r="S2909" s="20"/>
      <c r="T2909" s="6"/>
      <c r="W2909" s="20"/>
      <c r="AF2909" s="19"/>
    </row>
    <row r="2910" spans="2:32" ht="16">
      <c r="B2910" s="26" t="str">
        <f t="shared" si="12"/>
        <v/>
      </c>
      <c r="C2910" s="6"/>
      <c r="D2910" s="6"/>
      <c r="E2910" s="6"/>
      <c r="F2910" s="15"/>
      <c r="G2910" s="6"/>
      <c r="H2910" s="6"/>
      <c r="I2910" s="6"/>
      <c r="J2910" s="16"/>
      <c r="K2910" s="6"/>
      <c r="L2910" s="16"/>
      <c r="M2910" s="6"/>
      <c r="N2910" s="15"/>
      <c r="O2910" s="23"/>
      <c r="P2910" s="21"/>
      <c r="Q2910" s="23"/>
      <c r="R2910" s="6"/>
      <c r="S2910" s="20"/>
      <c r="T2910" s="6"/>
      <c r="W2910" s="20"/>
      <c r="AF2910" s="19"/>
    </row>
    <row r="2911" spans="2:32" ht="16">
      <c r="B2911" s="26" t="str">
        <f t="shared" si="12"/>
        <v/>
      </c>
      <c r="C2911" s="6"/>
      <c r="D2911" s="6"/>
      <c r="E2911" s="6"/>
      <c r="F2911" s="15"/>
      <c r="G2911" s="6"/>
      <c r="H2911" s="6"/>
      <c r="I2911" s="6"/>
      <c r="J2911" s="16"/>
      <c r="K2911" s="6"/>
      <c r="L2911" s="16"/>
      <c r="M2911" s="6"/>
      <c r="N2911" s="15"/>
      <c r="O2911" s="23"/>
      <c r="P2911" s="21"/>
      <c r="Q2911" s="23"/>
      <c r="R2911" s="6"/>
      <c r="S2911" s="20"/>
      <c r="T2911" s="6"/>
      <c r="W2911" s="20"/>
      <c r="AF2911" s="19"/>
    </row>
    <row r="2912" spans="2:32" ht="16">
      <c r="B2912" s="26" t="str">
        <f t="shared" si="12"/>
        <v/>
      </c>
      <c r="C2912" s="6"/>
      <c r="D2912" s="6"/>
      <c r="E2912" s="6"/>
      <c r="F2912" s="15"/>
      <c r="G2912" s="6"/>
      <c r="H2912" s="6"/>
      <c r="I2912" s="6"/>
      <c r="J2912" s="16"/>
      <c r="K2912" s="6"/>
      <c r="L2912" s="16"/>
      <c r="M2912" s="6"/>
      <c r="N2912" s="15"/>
      <c r="O2912" s="23"/>
      <c r="P2912" s="21"/>
      <c r="Q2912" s="23"/>
      <c r="R2912" s="6"/>
      <c r="S2912" s="20"/>
      <c r="T2912" s="6"/>
      <c r="W2912" s="20"/>
      <c r="AF2912" s="19"/>
    </row>
    <row r="2913" spans="2:32" ht="16">
      <c r="B2913" s="26" t="str">
        <f t="shared" si="12"/>
        <v/>
      </c>
      <c r="C2913" s="6"/>
      <c r="D2913" s="6"/>
      <c r="E2913" s="6"/>
      <c r="F2913" s="15"/>
      <c r="G2913" s="6"/>
      <c r="H2913" s="6"/>
      <c r="I2913" s="6"/>
      <c r="J2913" s="16"/>
      <c r="K2913" s="6"/>
      <c r="L2913" s="16"/>
      <c r="M2913" s="6"/>
      <c r="N2913" s="15"/>
      <c r="O2913" s="23"/>
      <c r="P2913" s="21"/>
      <c r="Q2913" s="23"/>
      <c r="R2913" s="6"/>
      <c r="S2913" s="20"/>
      <c r="T2913" s="6"/>
      <c r="W2913" s="20"/>
      <c r="AF2913" s="19"/>
    </row>
    <row r="2914" spans="2:32" ht="16">
      <c r="B2914" s="26" t="str">
        <f t="shared" si="12"/>
        <v/>
      </c>
      <c r="C2914" s="6"/>
      <c r="D2914" s="6"/>
      <c r="E2914" s="6"/>
      <c r="F2914" s="15"/>
      <c r="G2914" s="6"/>
      <c r="H2914" s="6"/>
      <c r="I2914" s="6"/>
      <c r="J2914" s="16"/>
      <c r="K2914" s="6"/>
      <c r="L2914" s="16"/>
      <c r="M2914" s="6"/>
      <c r="N2914" s="15"/>
      <c r="O2914" s="23"/>
      <c r="P2914" s="21"/>
      <c r="Q2914" s="23"/>
      <c r="R2914" s="6"/>
      <c r="S2914" s="20"/>
      <c r="T2914" s="6"/>
      <c r="W2914" s="20"/>
      <c r="AF2914" s="19"/>
    </row>
    <row r="2915" spans="2:32" ht="16">
      <c r="B2915" s="26" t="str">
        <f t="shared" si="12"/>
        <v/>
      </c>
      <c r="C2915" s="6"/>
      <c r="D2915" s="6"/>
      <c r="E2915" s="6"/>
      <c r="F2915" s="15"/>
      <c r="G2915" s="6"/>
      <c r="H2915" s="6"/>
      <c r="I2915" s="6"/>
      <c r="J2915" s="16"/>
      <c r="K2915" s="6"/>
      <c r="L2915" s="16"/>
      <c r="M2915" s="6"/>
      <c r="N2915" s="15"/>
      <c r="O2915" s="23"/>
      <c r="P2915" s="21"/>
      <c r="Q2915" s="23"/>
      <c r="R2915" s="6"/>
      <c r="S2915" s="20"/>
      <c r="T2915" s="6"/>
      <c r="W2915" s="20"/>
      <c r="AF2915" s="19"/>
    </row>
    <row r="2916" spans="2:32" ht="16">
      <c r="B2916" s="26" t="str">
        <f t="shared" si="12"/>
        <v/>
      </c>
      <c r="C2916" s="6"/>
      <c r="D2916" s="6"/>
      <c r="E2916" s="6"/>
      <c r="F2916" s="15"/>
      <c r="G2916" s="6"/>
      <c r="H2916" s="6"/>
      <c r="I2916" s="6"/>
      <c r="J2916" s="16"/>
      <c r="K2916" s="6"/>
      <c r="L2916" s="16"/>
      <c r="M2916" s="6"/>
      <c r="N2916" s="15"/>
      <c r="O2916" s="23"/>
      <c r="P2916" s="21"/>
      <c r="Q2916" s="23"/>
      <c r="R2916" s="6"/>
      <c r="S2916" s="20"/>
      <c r="T2916" s="6"/>
      <c r="W2916" s="20"/>
      <c r="AF2916" s="19"/>
    </row>
    <row r="2917" spans="2:32" ht="16">
      <c r="B2917" s="26" t="str">
        <f t="shared" si="12"/>
        <v/>
      </c>
      <c r="C2917" s="6"/>
      <c r="D2917" s="6"/>
      <c r="E2917" s="6"/>
      <c r="F2917" s="15"/>
      <c r="G2917" s="6"/>
      <c r="H2917" s="6"/>
      <c r="I2917" s="6"/>
      <c r="J2917" s="16"/>
      <c r="K2917" s="6"/>
      <c r="L2917" s="16"/>
      <c r="M2917" s="6"/>
      <c r="N2917" s="15"/>
      <c r="O2917" s="23"/>
      <c r="P2917" s="21"/>
      <c r="Q2917" s="23"/>
      <c r="R2917" s="6"/>
      <c r="S2917" s="20"/>
      <c r="T2917" s="6"/>
      <c r="W2917" s="20"/>
      <c r="AF2917" s="19"/>
    </row>
    <row r="2918" spans="2:32" ht="16">
      <c r="B2918" s="26" t="str">
        <f t="shared" si="12"/>
        <v/>
      </c>
      <c r="C2918" s="6"/>
      <c r="D2918" s="6"/>
      <c r="E2918" s="6"/>
      <c r="F2918" s="15"/>
      <c r="G2918" s="6"/>
      <c r="H2918" s="6"/>
      <c r="I2918" s="6"/>
      <c r="J2918" s="16"/>
      <c r="K2918" s="6"/>
      <c r="L2918" s="16"/>
      <c r="M2918" s="6"/>
      <c r="N2918" s="15"/>
      <c r="O2918" s="23"/>
      <c r="P2918" s="21"/>
      <c r="Q2918" s="23"/>
      <c r="R2918" s="6"/>
      <c r="S2918" s="20"/>
      <c r="T2918" s="6"/>
      <c r="W2918" s="20"/>
      <c r="AF2918" s="19"/>
    </row>
    <row r="2919" spans="2:32" ht="16">
      <c r="B2919" s="26" t="str">
        <f t="shared" si="12"/>
        <v/>
      </c>
      <c r="C2919" s="6"/>
      <c r="D2919" s="6"/>
      <c r="E2919" s="6"/>
      <c r="F2919" s="15"/>
      <c r="G2919" s="6"/>
      <c r="H2919" s="6"/>
      <c r="I2919" s="6"/>
      <c r="J2919" s="16"/>
      <c r="K2919" s="6"/>
      <c r="L2919" s="16"/>
      <c r="M2919" s="6"/>
      <c r="N2919" s="15"/>
      <c r="O2919" s="23"/>
      <c r="P2919" s="21"/>
      <c r="Q2919" s="23"/>
      <c r="R2919" s="6"/>
      <c r="S2919" s="20"/>
      <c r="T2919" s="6"/>
      <c r="W2919" s="20"/>
      <c r="AF2919" s="19"/>
    </row>
    <row r="2920" spans="2:32" ht="16">
      <c r="B2920" s="26" t="str">
        <f t="shared" si="12"/>
        <v/>
      </c>
      <c r="C2920" s="6"/>
      <c r="D2920" s="6"/>
      <c r="E2920" s="6"/>
      <c r="F2920" s="15"/>
      <c r="G2920" s="6"/>
      <c r="H2920" s="6"/>
      <c r="I2920" s="6"/>
      <c r="J2920" s="16"/>
      <c r="K2920" s="6"/>
      <c r="L2920" s="16"/>
      <c r="M2920" s="6"/>
      <c r="N2920" s="15"/>
      <c r="O2920" s="23"/>
      <c r="P2920" s="21"/>
      <c r="Q2920" s="23"/>
      <c r="R2920" s="6"/>
      <c r="S2920" s="20"/>
      <c r="T2920" s="6"/>
      <c r="W2920" s="20"/>
      <c r="AF2920" s="19"/>
    </row>
    <row r="2921" spans="2:32" ht="16">
      <c r="B2921" s="26" t="str">
        <f t="shared" si="12"/>
        <v/>
      </c>
      <c r="C2921" s="6"/>
      <c r="D2921" s="6"/>
      <c r="E2921" s="6"/>
      <c r="F2921" s="15"/>
      <c r="G2921" s="6"/>
      <c r="H2921" s="6"/>
      <c r="I2921" s="6"/>
      <c r="J2921" s="16"/>
      <c r="K2921" s="6"/>
      <c r="L2921" s="16"/>
      <c r="M2921" s="6"/>
      <c r="N2921" s="15"/>
      <c r="O2921" s="23"/>
      <c r="P2921" s="21"/>
      <c r="Q2921" s="23"/>
      <c r="R2921" s="6"/>
      <c r="S2921" s="20"/>
      <c r="T2921" s="6"/>
      <c r="W2921" s="20"/>
      <c r="AF2921" s="19"/>
    </row>
    <row r="2922" spans="2:32" ht="16">
      <c r="B2922" s="26" t="str">
        <f t="shared" si="12"/>
        <v/>
      </c>
      <c r="C2922" s="6"/>
      <c r="D2922" s="6"/>
      <c r="E2922" s="6"/>
      <c r="F2922" s="15"/>
      <c r="G2922" s="6"/>
      <c r="H2922" s="6"/>
      <c r="I2922" s="6"/>
      <c r="J2922" s="16"/>
      <c r="K2922" s="6"/>
      <c r="L2922" s="16"/>
      <c r="M2922" s="6"/>
      <c r="N2922" s="15"/>
      <c r="O2922" s="23"/>
      <c r="P2922" s="21"/>
      <c r="Q2922" s="23"/>
      <c r="R2922" s="6"/>
      <c r="S2922" s="20"/>
      <c r="T2922" s="6"/>
      <c r="W2922" s="20"/>
      <c r="AF2922" s="19"/>
    </row>
    <row r="2923" spans="2:32" ht="16">
      <c r="B2923" s="26" t="str">
        <f t="shared" si="12"/>
        <v/>
      </c>
      <c r="C2923" s="6"/>
      <c r="D2923" s="6"/>
      <c r="E2923" s="6"/>
      <c r="F2923" s="15"/>
      <c r="G2923" s="6"/>
      <c r="H2923" s="6"/>
      <c r="I2923" s="6"/>
      <c r="J2923" s="16"/>
      <c r="K2923" s="6"/>
      <c r="L2923" s="16"/>
      <c r="M2923" s="6"/>
      <c r="N2923" s="15"/>
      <c r="O2923" s="23"/>
      <c r="P2923" s="21"/>
      <c r="Q2923" s="23"/>
      <c r="R2923" s="6"/>
      <c r="S2923" s="20"/>
      <c r="T2923" s="6"/>
      <c r="W2923" s="20"/>
      <c r="AF2923" s="19"/>
    </row>
    <row r="2924" spans="2:32" ht="16">
      <c r="B2924" s="26" t="str">
        <f t="shared" si="12"/>
        <v/>
      </c>
      <c r="C2924" s="6"/>
      <c r="D2924" s="6"/>
      <c r="E2924" s="6"/>
      <c r="F2924" s="15"/>
      <c r="G2924" s="6"/>
      <c r="H2924" s="6"/>
      <c r="I2924" s="6"/>
      <c r="J2924" s="16"/>
      <c r="K2924" s="6"/>
      <c r="L2924" s="16"/>
      <c r="M2924" s="6"/>
      <c r="N2924" s="15"/>
      <c r="O2924" s="23"/>
      <c r="P2924" s="21"/>
      <c r="Q2924" s="23"/>
      <c r="R2924" s="6"/>
      <c r="S2924" s="20"/>
      <c r="T2924" s="6"/>
      <c r="W2924" s="20"/>
      <c r="AF2924" s="19"/>
    </row>
    <row r="2925" spans="2:32" ht="16">
      <c r="B2925" s="26" t="str">
        <f t="shared" si="12"/>
        <v/>
      </c>
      <c r="C2925" s="6"/>
      <c r="D2925" s="6"/>
      <c r="E2925" s="6"/>
      <c r="F2925" s="15"/>
      <c r="G2925" s="6"/>
      <c r="H2925" s="6"/>
      <c r="I2925" s="6"/>
      <c r="J2925" s="16"/>
      <c r="K2925" s="6"/>
      <c r="L2925" s="16"/>
      <c r="M2925" s="6"/>
      <c r="N2925" s="15"/>
      <c r="O2925" s="23"/>
      <c r="P2925" s="21"/>
      <c r="Q2925" s="23"/>
      <c r="R2925" s="6"/>
      <c r="S2925" s="20"/>
      <c r="T2925" s="6"/>
      <c r="W2925" s="20"/>
      <c r="AF2925" s="19"/>
    </row>
    <row r="2926" spans="2:32" ht="16">
      <c r="B2926" s="26" t="str">
        <f t="shared" si="12"/>
        <v/>
      </c>
      <c r="C2926" s="6"/>
      <c r="D2926" s="6"/>
      <c r="E2926" s="6"/>
      <c r="F2926" s="15"/>
      <c r="G2926" s="6"/>
      <c r="H2926" s="6"/>
      <c r="I2926" s="6"/>
      <c r="J2926" s="16"/>
      <c r="K2926" s="6"/>
      <c r="L2926" s="16"/>
      <c r="M2926" s="6"/>
      <c r="N2926" s="15"/>
      <c r="O2926" s="23"/>
      <c r="P2926" s="21"/>
      <c r="Q2926" s="23"/>
      <c r="R2926" s="6"/>
      <c r="S2926" s="20"/>
      <c r="T2926" s="6"/>
      <c r="W2926" s="20"/>
      <c r="AF2926" s="19"/>
    </row>
    <row r="2927" spans="2:32" ht="16">
      <c r="B2927" s="26" t="str">
        <f t="shared" si="12"/>
        <v/>
      </c>
      <c r="C2927" s="6"/>
      <c r="D2927" s="6"/>
      <c r="E2927" s="6"/>
      <c r="F2927" s="15"/>
      <c r="G2927" s="6"/>
      <c r="H2927" s="6"/>
      <c r="I2927" s="6"/>
      <c r="J2927" s="16"/>
      <c r="K2927" s="6"/>
      <c r="L2927" s="16"/>
      <c r="M2927" s="6"/>
      <c r="N2927" s="15"/>
      <c r="O2927" s="23"/>
      <c r="P2927" s="21"/>
      <c r="Q2927" s="23"/>
      <c r="R2927" s="6"/>
      <c r="S2927" s="20"/>
      <c r="T2927" s="6"/>
      <c r="W2927" s="20"/>
      <c r="AF2927" s="19"/>
    </row>
    <row r="2928" spans="2:32" ht="16">
      <c r="B2928" s="26" t="str">
        <f t="shared" si="12"/>
        <v/>
      </c>
      <c r="C2928" s="6"/>
      <c r="D2928" s="6"/>
      <c r="E2928" s="6"/>
      <c r="F2928" s="15"/>
      <c r="G2928" s="6"/>
      <c r="H2928" s="6"/>
      <c r="I2928" s="6"/>
      <c r="J2928" s="16"/>
      <c r="K2928" s="6"/>
      <c r="L2928" s="16"/>
      <c r="M2928" s="6"/>
      <c r="N2928" s="15"/>
      <c r="O2928" s="23"/>
      <c r="P2928" s="21"/>
      <c r="Q2928" s="23"/>
      <c r="R2928" s="6"/>
      <c r="S2928" s="20"/>
      <c r="T2928" s="6"/>
      <c r="W2928" s="20"/>
      <c r="AF2928" s="19"/>
    </row>
    <row r="2929" spans="2:32" ht="16">
      <c r="B2929" s="26" t="str">
        <f t="shared" si="12"/>
        <v/>
      </c>
      <c r="C2929" s="6"/>
      <c r="D2929" s="6"/>
      <c r="E2929" s="6"/>
      <c r="F2929" s="15"/>
      <c r="G2929" s="6"/>
      <c r="H2929" s="6"/>
      <c r="I2929" s="6"/>
      <c r="J2929" s="16"/>
      <c r="K2929" s="6"/>
      <c r="L2929" s="16"/>
      <c r="M2929" s="6"/>
      <c r="N2929" s="15"/>
      <c r="O2929" s="23"/>
      <c r="P2929" s="21"/>
      <c r="Q2929" s="23"/>
      <c r="R2929" s="6"/>
      <c r="S2929" s="20"/>
      <c r="T2929" s="6"/>
      <c r="W2929" s="20"/>
      <c r="AF2929" s="19"/>
    </row>
    <row r="2930" spans="2:32" ht="16">
      <c r="B2930" s="26" t="str">
        <f t="shared" si="12"/>
        <v/>
      </c>
      <c r="C2930" s="6"/>
      <c r="D2930" s="6"/>
      <c r="E2930" s="6"/>
      <c r="F2930" s="15"/>
      <c r="G2930" s="6"/>
      <c r="H2930" s="6"/>
      <c r="I2930" s="6"/>
      <c r="J2930" s="16"/>
      <c r="K2930" s="6"/>
      <c r="L2930" s="16"/>
      <c r="M2930" s="6"/>
      <c r="N2930" s="15"/>
      <c r="O2930" s="23"/>
      <c r="P2930" s="21"/>
      <c r="Q2930" s="23"/>
      <c r="R2930" s="6"/>
      <c r="S2930" s="20"/>
      <c r="T2930" s="6"/>
      <c r="W2930" s="20"/>
      <c r="AF2930" s="19"/>
    </row>
    <row r="2931" spans="2:32" ht="16">
      <c r="B2931" s="26" t="str">
        <f t="shared" si="12"/>
        <v/>
      </c>
      <c r="C2931" s="6"/>
      <c r="D2931" s="6"/>
      <c r="E2931" s="6"/>
      <c r="F2931" s="15"/>
      <c r="G2931" s="6"/>
      <c r="H2931" s="6"/>
      <c r="I2931" s="6"/>
      <c r="J2931" s="16"/>
      <c r="K2931" s="6"/>
      <c r="L2931" s="16"/>
      <c r="M2931" s="6"/>
      <c r="N2931" s="15"/>
      <c r="O2931" s="23"/>
      <c r="P2931" s="21"/>
      <c r="Q2931" s="23"/>
      <c r="R2931" s="6"/>
      <c r="S2931" s="20"/>
      <c r="T2931" s="6"/>
      <c r="W2931" s="20"/>
      <c r="AF2931" s="19"/>
    </row>
    <row r="2932" spans="2:32" ht="16">
      <c r="B2932" s="26" t="str">
        <f t="shared" si="12"/>
        <v/>
      </c>
      <c r="C2932" s="6"/>
      <c r="D2932" s="6"/>
      <c r="E2932" s="6"/>
      <c r="F2932" s="15"/>
      <c r="G2932" s="6"/>
      <c r="H2932" s="6"/>
      <c r="I2932" s="6"/>
      <c r="J2932" s="16"/>
      <c r="K2932" s="6"/>
      <c r="L2932" s="16"/>
      <c r="M2932" s="6"/>
      <c r="N2932" s="15"/>
      <c r="O2932" s="23"/>
      <c r="P2932" s="21"/>
      <c r="Q2932" s="23"/>
      <c r="R2932" s="6"/>
      <c r="S2932" s="20"/>
      <c r="T2932" s="6"/>
      <c r="W2932" s="20"/>
      <c r="AF2932" s="19"/>
    </row>
    <row r="2933" spans="2:32" ht="16">
      <c r="B2933" s="26" t="str">
        <f t="shared" si="12"/>
        <v/>
      </c>
      <c r="C2933" s="6"/>
      <c r="D2933" s="6"/>
      <c r="E2933" s="6"/>
      <c r="F2933" s="15"/>
      <c r="G2933" s="6"/>
      <c r="H2933" s="6"/>
      <c r="I2933" s="6"/>
      <c r="J2933" s="16"/>
      <c r="K2933" s="6"/>
      <c r="L2933" s="16"/>
      <c r="M2933" s="6"/>
      <c r="N2933" s="15"/>
      <c r="O2933" s="23"/>
      <c r="P2933" s="21"/>
      <c r="Q2933" s="23"/>
      <c r="R2933" s="6"/>
      <c r="S2933" s="20"/>
      <c r="T2933" s="6"/>
      <c r="W2933" s="20"/>
      <c r="AF2933" s="19"/>
    </row>
    <row r="2934" spans="2:32" ht="16">
      <c r="B2934" s="26" t="str">
        <f t="shared" si="12"/>
        <v/>
      </c>
      <c r="C2934" s="6"/>
      <c r="D2934" s="6"/>
      <c r="E2934" s="6"/>
      <c r="F2934" s="15"/>
      <c r="G2934" s="6"/>
      <c r="H2934" s="6"/>
      <c r="I2934" s="6"/>
      <c r="J2934" s="16"/>
      <c r="K2934" s="6"/>
      <c r="L2934" s="16"/>
      <c r="M2934" s="6"/>
      <c r="N2934" s="15"/>
      <c r="O2934" s="23"/>
      <c r="P2934" s="21"/>
      <c r="Q2934" s="23"/>
      <c r="R2934" s="6"/>
      <c r="S2934" s="20"/>
      <c r="T2934" s="6"/>
      <c r="W2934" s="20"/>
      <c r="AF2934" s="19"/>
    </row>
    <row r="2935" spans="2:32" ht="16">
      <c r="B2935" s="26" t="str">
        <f t="shared" si="12"/>
        <v/>
      </c>
      <c r="C2935" s="6"/>
      <c r="D2935" s="6"/>
      <c r="E2935" s="6"/>
      <c r="F2935" s="15"/>
      <c r="G2935" s="6"/>
      <c r="H2935" s="6"/>
      <c r="I2935" s="6"/>
      <c r="J2935" s="16"/>
      <c r="K2935" s="6"/>
      <c r="L2935" s="16"/>
      <c r="M2935" s="6"/>
      <c r="N2935" s="15"/>
      <c r="O2935" s="23"/>
      <c r="P2935" s="21"/>
      <c r="Q2935" s="23"/>
      <c r="R2935" s="6"/>
      <c r="S2935" s="20"/>
      <c r="T2935" s="6"/>
      <c r="W2935" s="20"/>
      <c r="AF2935" s="19"/>
    </row>
    <row r="2936" spans="2:32" ht="16">
      <c r="B2936" s="26" t="str">
        <f t="shared" si="12"/>
        <v/>
      </c>
      <c r="C2936" s="6"/>
      <c r="D2936" s="6"/>
      <c r="E2936" s="6"/>
      <c r="F2936" s="15"/>
      <c r="G2936" s="6"/>
      <c r="H2936" s="6"/>
      <c r="I2936" s="6"/>
      <c r="J2936" s="16"/>
      <c r="K2936" s="6"/>
      <c r="L2936" s="16"/>
      <c r="M2936" s="6"/>
      <c r="N2936" s="15"/>
      <c r="O2936" s="23"/>
      <c r="P2936" s="21"/>
      <c r="Q2936" s="23"/>
      <c r="R2936" s="6"/>
      <c r="S2936" s="20"/>
      <c r="T2936" s="6"/>
      <c r="W2936" s="20"/>
      <c r="AF2936" s="19"/>
    </row>
    <row r="2937" spans="2:32" ht="16">
      <c r="B2937" s="26" t="str">
        <f t="shared" si="12"/>
        <v/>
      </c>
      <c r="C2937" s="6"/>
      <c r="D2937" s="6"/>
      <c r="E2937" s="6"/>
      <c r="F2937" s="15"/>
      <c r="G2937" s="6"/>
      <c r="H2937" s="6"/>
      <c r="I2937" s="6"/>
      <c r="J2937" s="16"/>
      <c r="K2937" s="6"/>
      <c r="L2937" s="16"/>
      <c r="M2937" s="6"/>
      <c r="N2937" s="15"/>
      <c r="O2937" s="23"/>
      <c r="P2937" s="21"/>
      <c r="Q2937" s="23"/>
      <c r="R2937" s="6"/>
      <c r="S2937" s="20"/>
      <c r="T2937" s="6"/>
      <c r="W2937" s="20"/>
      <c r="AF2937" s="19"/>
    </row>
    <row r="2938" spans="2:32" ht="16">
      <c r="B2938" s="26" t="str">
        <f t="shared" si="12"/>
        <v/>
      </c>
      <c r="C2938" s="6"/>
      <c r="D2938" s="6"/>
      <c r="E2938" s="6"/>
      <c r="F2938" s="15"/>
      <c r="G2938" s="6"/>
      <c r="H2938" s="6"/>
      <c r="I2938" s="6"/>
      <c r="J2938" s="16"/>
      <c r="K2938" s="6"/>
      <c r="L2938" s="16"/>
      <c r="M2938" s="6"/>
      <c r="N2938" s="15"/>
      <c r="O2938" s="23"/>
      <c r="P2938" s="21"/>
      <c r="Q2938" s="23"/>
      <c r="R2938" s="6"/>
      <c r="S2938" s="20"/>
      <c r="T2938" s="6"/>
      <c r="W2938" s="20"/>
      <c r="AF2938" s="19"/>
    </row>
    <row r="2939" spans="2:32" ht="16">
      <c r="B2939" s="26" t="str">
        <f t="shared" si="12"/>
        <v/>
      </c>
      <c r="C2939" s="6"/>
      <c r="D2939" s="6"/>
      <c r="E2939" s="6"/>
      <c r="F2939" s="15"/>
      <c r="G2939" s="6"/>
      <c r="H2939" s="6"/>
      <c r="I2939" s="6"/>
      <c r="J2939" s="16"/>
      <c r="K2939" s="6"/>
      <c r="L2939" s="16"/>
      <c r="M2939" s="6"/>
      <c r="N2939" s="15"/>
      <c r="O2939" s="23"/>
      <c r="P2939" s="21"/>
      <c r="Q2939" s="23"/>
      <c r="R2939" s="6"/>
      <c r="S2939" s="20"/>
      <c r="T2939" s="6"/>
      <c r="W2939" s="20"/>
      <c r="AF2939" s="19"/>
    </row>
    <row r="2940" spans="2:32" ht="16">
      <c r="B2940" s="26" t="str">
        <f t="shared" si="12"/>
        <v/>
      </c>
      <c r="C2940" s="6"/>
      <c r="D2940" s="6"/>
      <c r="E2940" s="6"/>
      <c r="F2940" s="15"/>
      <c r="G2940" s="6"/>
      <c r="H2940" s="6"/>
      <c r="I2940" s="6"/>
      <c r="J2940" s="16"/>
      <c r="K2940" s="6"/>
      <c r="L2940" s="16"/>
      <c r="M2940" s="6"/>
      <c r="N2940" s="15"/>
      <c r="O2940" s="23"/>
      <c r="P2940" s="21"/>
      <c r="Q2940" s="23"/>
      <c r="R2940" s="6"/>
      <c r="S2940" s="20"/>
      <c r="T2940" s="6"/>
      <c r="W2940" s="20"/>
      <c r="AF2940" s="19"/>
    </row>
    <row r="2941" spans="2:32" ht="16">
      <c r="B2941" s="26" t="str">
        <f t="shared" si="12"/>
        <v/>
      </c>
      <c r="C2941" s="6"/>
      <c r="D2941" s="6"/>
      <c r="E2941" s="6"/>
      <c r="F2941" s="15"/>
      <c r="G2941" s="6"/>
      <c r="H2941" s="6"/>
      <c r="I2941" s="6"/>
      <c r="J2941" s="16"/>
      <c r="K2941" s="6"/>
      <c r="L2941" s="16"/>
      <c r="M2941" s="6"/>
      <c r="N2941" s="15"/>
      <c r="O2941" s="23"/>
      <c r="P2941" s="21"/>
      <c r="Q2941" s="23"/>
      <c r="R2941" s="6"/>
      <c r="S2941" s="20"/>
      <c r="T2941" s="6"/>
      <c r="W2941" s="20"/>
      <c r="AF2941" s="19"/>
    </row>
    <row r="2942" spans="2:32" ht="16">
      <c r="B2942" s="26" t="str">
        <f t="shared" si="12"/>
        <v/>
      </c>
      <c r="C2942" s="6"/>
      <c r="D2942" s="6"/>
      <c r="E2942" s="6"/>
      <c r="F2942" s="15"/>
      <c r="G2942" s="6"/>
      <c r="H2942" s="6"/>
      <c r="I2942" s="6"/>
      <c r="J2942" s="16"/>
      <c r="K2942" s="6"/>
      <c r="L2942" s="16"/>
      <c r="M2942" s="6"/>
      <c r="N2942" s="15"/>
      <c r="O2942" s="23"/>
      <c r="P2942" s="21"/>
      <c r="Q2942" s="23"/>
      <c r="R2942" s="6"/>
      <c r="S2942" s="20"/>
      <c r="T2942" s="6"/>
      <c r="W2942" s="20"/>
      <c r="AF2942" s="19"/>
    </row>
    <row r="2943" spans="2:32" ht="16">
      <c r="B2943" s="26" t="str">
        <f t="shared" si="12"/>
        <v/>
      </c>
      <c r="C2943" s="6"/>
      <c r="D2943" s="6"/>
      <c r="E2943" s="6"/>
      <c r="F2943" s="15"/>
      <c r="G2943" s="6"/>
      <c r="H2943" s="6"/>
      <c r="I2943" s="6"/>
      <c r="J2943" s="16"/>
      <c r="K2943" s="6"/>
      <c r="L2943" s="16"/>
      <c r="M2943" s="6"/>
      <c r="N2943" s="15"/>
      <c r="O2943" s="23"/>
      <c r="P2943" s="21"/>
      <c r="Q2943" s="23"/>
      <c r="R2943" s="6"/>
      <c r="S2943" s="20"/>
      <c r="T2943" s="6"/>
      <c r="W2943" s="20"/>
      <c r="AF2943" s="19"/>
    </row>
    <row r="2944" spans="2:32" ht="16">
      <c r="B2944" s="26" t="str">
        <f t="shared" si="12"/>
        <v/>
      </c>
      <c r="C2944" s="6"/>
      <c r="D2944" s="6"/>
      <c r="E2944" s="6"/>
      <c r="F2944" s="15"/>
      <c r="G2944" s="6"/>
      <c r="H2944" s="6"/>
      <c r="I2944" s="6"/>
      <c r="J2944" s="16"/>
      <c r="K2944" s="6"/>
      <c r="L2944" s="16"/>
      <c r="M2944" s="6"/>
      <c r="N2944" s="15"/>
      <c r="O2944" s="23"/>
      <c r="P2944" s="21"/>
      <c r="Q2944" s="23"/>
      <c r="R2944" s="6"/>
      <c r="S2944" s="20"/>
      <c r="T2944" s="6"/>
      <c r="W2944" s="20"/>
      <c r="AF2944" s="19"/>
    </row>
    <row r="2945" spans="2:32" ht="16">
      <c r="B2945" s="26" t="str">
        <f t="shared" si="12"/>
        <v/>
      </c>
      <c r="C2945" s="6"/>
      <c r="D2945" s="6"/>
      <c r="E2945" s="6"/>
      <c r="F2945" s="15"/>
      <c r="G2945" s="6"/>
      <c r="H2945" s="6"/>
      <c r="I2945" s="6"/>
      <c r="J2945" s="16"/>
      <c r="K2945" s="6"/>
      <c r="L2945" s="16"/>
      <c r="M2945" s="6"/>
      <c r="N2945" s="15"/>
      <c r="O2945" s="23"/>
      <c r="P2945" s="21"/>
      <c r="Q2945" s="23"/>
      <c r="R2945" s="6"/>
      <c r="S2945" s="20"/>
      <c r="T2945" s="6"/>
      <c r="W2945" s="20"/>
      <c r="AF2945" s="19"/>
    </row>
    <row r="2946" spans="2:32" ht="16">
      <c r="B2946" s="26" t="str">
        <f t="shared" si="12"/>
        <v/>
      </c>
      <c r="C2946" s="6"/>
      <c r="D2946" s="6"/>
      <c r="E2946" s="6"/>
      <c r="F2946" s="15"/>
      <c r="G2946" s="6"/>
      <c r="H2946" s="6"/>
      <c r="I2946" s="6"/>
      <c r="J2946" s="16"/>
      <c r="K2946" s="6"/>
      <c r="L2946" s="16"/>
      <c r="M2946" s="6"/>
      <c r="N2946" s="15"/>
      <c r="O2946" s="23"/>
      <c r="P2946" s="21"/>
      <c r="Q2946" s="23"/>
      <c r="R2946" s="6"/>
      <c r="S2946" s="20"/>
      <c r="T2946" s="6"/>
      <c r="W2946" s="20"/>
      <c r="AF2946" s="19"/>
    </row>
    <row r="2947" spans="2:32" ht="16">
      <c r="B2947" s="26" t="str">
        <f t="shared" si="12"/>
        <v/>
      </c>
      <c r="C2947" s="6"/>
      <c r="D2947" s="6"/>
      <c r="E2947" s="6"/>
      <c r="F2947" s="15"/>
      <c r="G2947" s="6"/>
      <c r="H2947" s="6"/>
      <c r="I2947" s="6"/>
      <c r="J2947" s="16"/>
      <c r="K2947" s="6"/>
      <c r="L2947" s="16"/>
      <c r="M2947" s="6"/>
      <c r="N2947" s="15"/>
      <c r="O2947" s="23"/>
      <c r="P2947" s="21"/>
      <c r="Q2947" s="23"/>
      <c r="R2947" s="6"/>
      <c r="S2947" s="20"/>
      <c r="T2947" s="6"/>
      <c r="W2947" s="20"/>
      <c r="AF2947" s="19"/>
    </row>
    <row r="2948" spans="2:32" ht="16">
      <c r="B2948" s="26" t="str">
        <f t="shared" si="12"/>
        <v/>
      </c>
      <c r="C2948" s="6"/>
      <c r="D2948" s="6"/>
      <c r="E2948" s="6"/>
      <c r="F2948" s="15"/>
      <c r="G2948" s="6"/>
      <c r="H2948" s="6"/>
      <c r="I2948" s="6"/>
      <c r="J2948" s="16"/>
      <c r="K2948" s="6"/>
      <c r="L2948" s="16"/>
      <c r="M2948" s="6"/>
      <c r="N2948" s="15"/>
      <c r="O2948" s="23"/>
      <c r="P2948" s="21"/>
      <c r="Q2948" s="23"/>
      <c r="R2948" s="6"/>
      <c r="S2948" s="20"/>
      <c r="T2948" s="6"/>
      <c r="W2948" s="20"/>
      <c r="AF2948" s="19"/>
    </row>
    <row r="2949" spans="2:32" ht="16">
      <c r="B2949" s="26" t="str">
        <f t="shared" si="12"/>
        <v/>
      </c>
      <c r="C2949" s="6"/>
      <c r="D2949" s="6"/>
      <c r="E2949" s="6"/>
      <c r="F2949" s="15"/>
      <c r="G2949" s="6"/>
      <c r="H2949" s="6"/>
      <c r="I2949" s="6"/>
      <c r="J2949" s="16"/>
      <c r="K2949" s="6"/>
      <c r="L2949" s="16"/>
      <c r="M2949" s="6"/>
      <c r="N2949" s="15"/>
      <c r="O2949" s="23"/>
      <c r="P2949" s="21"/>
      <c r="Q2949" s="23"/>
      <c r="R2949" s="6"/>
      <c r="S2949" s="20"/>
      <c r="T2949" s="6"/>
      <c r="W2949" s="20"/>
      <c r="AF2949" s="19"/>
    </row>
    <row r="2950" spans="2:32" ht="16">
      <c r="B2950" s="26" t="str">
        <f t="shared" si="12"/>
        <v/>
      </c>
      <c r="C2950" s="6"/>
      <c r="D2950" s="6"/>
      <c r="E2950" s="6"/>
      <c r="F2950" s="15"/>
      <c r="G2950" s="6"/>
      <c r="H2950" s="6"/>
      <c r="I2950" s="6"/>
      <c r="J2950" s="16"/>
      <c r="K2950" s="6"/>
      <c r="L2950" s="16"/>
      <c r="M2950" s="6"/>
      <c r="N2950" s="15"/>
      <c r="O2950" s="23"/>
      <c r="P2950" s="21"/>
      <c r="Q2950" s="23"/>
      <c r="R2950" s="6"/>
      <c r="S2950" s="20"/>
      <c r="T2950" s="6"/>
      <c r="W2950" s="20"/>
      <c r="AF2950" s="19"/>
    </row>
    <row r="2951" spans="2:32" ht="16">
      <c r="B2951" s="26" t="str">
        <f t="shared" si="12"/>
        <v/>
      </c>
      <c r="C2951" s="6"/>
      <c r="D2951" s="6"/>
      <c r="E2951" s="6"/>
      <c r="F2951" s="15"/>
      <c r="G2951" s="6"/>
      <c r="H2951" s="6"/>
      <c r="I2951" s="6"/>
      <c r="J2951" s="16"/>
      <c r="K2951" s="6"/>
      <c r="L2951" s="16"/>
      <c r="M2951" s="6"/>
      <c r="N2951" s="15"/>
      <c r="O2951" s="23"/>
      <c r="P2951" s="21"/>
      <c r="Q2951" s="23"/>
      <c r="R2951" s="6"/>
      <c r="S2951" s="20"/>
      <c r="T2951" s="6"/>
      <c r="W2951" s="20"/>
      <c r="AF2951" s="19"/>
    </row>
    <row r="2952" spans="2:32" ht="16">
      <c r="B2952" s="26" t="str">
        <f t="shared" si="12"/>
        <v/>
      </c>
      <c r="C2952" s="6"/>
      <c r="D2952" s="6"/>
      <c r="E2952" s="6"/>
      <c r="F2952" s="15"/>
      <c r="G2952" s="6"/>
      <c r="H2952" s="6"/>
      <c r="I2952" s="6"/>
      <c r="J2952" s="16"/>
      <c r="K2952" s="6"/>
      <c r="L2952" s="16"/>
      <c r="M2952" s="6"/>
      <c r="N2952" s="15"/>
      <c r="O2952" s="23"/>
      <c r="P2952" s="21"/>
      <c r="Q2952" s="23"/>
      <c r="R2952" s="6"/>
      <c r="S2952" s="20"/>
      <c r="T2952" s="6"/>
      <c r="W2952" s="20"/>
      <c r="AF2952" s="19"/>
    </row>
    <row r="2953" spans="2:32" ht="16">
      <c r="B2953" s="26" t="str">
        <f t="shared" si="12"/>
        <v/>
      </c>
      <c r="C2953" s="6"/>
      <c r="D2953" s="6"/>
      <c r="E2953" s="6"/>
      <c r="F2953" s="15"/>
      <c r="G2953" s="6"/>
      <c r="H2953" s="6"/>
      <c r="I2953" s="6"/>
      <c r="J2953" s="16"/>
      <c r="K2953" s="6"/>
      <c r="L2953" s="16"/>
      <c r="M2953" s="6"/>
      <c r="N2953" s="15"/>
      <c r="O2953" s="23"/>
      <c r="P2953" s="21"/>
      <c r="Q2953" s="23"/>
      <c r="R2953" s="6"/>
      <c r="S2953" s="20"/>
      <c r="T2953" s="6"/>
      <c r="W2953" s="20"/>
      <c r="AF2953" s="19"/>
    </row>
    <row r="2954" spans="2:32" ht="16">
      <c r="B2954" s="26" t="str">
        <f t="shared" si="12"/>
        <v/>
      </c>
      <c r="C2954" s="6"/>
      <c r="D2954" s="6"/>
      <c r="E2954" s="6"/>
      <c r="F2954" s="15"/>
      <c r="G2954" s="6"/>
      <c r="H2954" s="6"/>
      <c r="I2954" s="6"/>
      <c r="J2954" s="16"/>
      <c r="K2954" s="6"/>
      <c r="L2954" s="16"/>
      <c r="M2954" s="6"/>
      <c r="N2954" s="15"/>
      <c r="O2954" s="23"/>
      <c r="P2954" s="21"/>
      <c r="Q2954" s="23"/>
      <c r="R2954" s="6"/>
      <c r="S2954" s="20"/>
      <c r="T2954" s="6"/>
      <c r="W2954" s="20"/>
      <c r="AF2954" s="19"/>
    </row>
    <row r="2955" spans="2:32" ht="16">
      <c r="B2955" s="26" t="str">
        <f t="shared" si="12"/>
        <v/>
      </c>
      <c r="C2955" s="6"/>
      <c r="D2955" s="6"/>
      <c r="E2955" s="6"/>
      <c r="F2955" s="15"/>
      <c r="G2955" s="6"/>
      <c r="H2955" s="6"/>
      <c r="I2955" s="6"/>
      <c r="J2955" s="16"/>
      <c r="K2955" s="6"/>
      <c r="L2955" s="16"/>
      <c r="M2955" s="6"/>
      <c r="N2955" s="15"/>
      <c r="O2955" s="23"/>
      <c r="P2955" s="21"/>
      <c r="Q2955" s="23"/>
      <c r="R2955" s="6"/>
      <c r="S2955" s="20"/>
      <c r="T2955" s="6"/>
      <c r="W2955" s="20"/>
      <c r="AF2955" s="19"/>
    </row>
    <row r="2956" spans="2:32" ht="16">
      <c r="B2956" s="26" t="str">
        <f t="shared" si="12"/>
        <v/>
      </c>
      <c r="C2956" s="6"/>
      <c r="D2956" s="6"/>
      <c r="E2956" s="6"/>
      <c r="F2956" s="15"/>
      <c r="G2956" s="6"/>
      <c r="H2956" s="6"/>
      <c r="I2956" s="6"/>
      <c r="J2956" s="16"/>
      <c r="K2956" s="6"/>
      <c r="L2956" s="16"/>
      <c r="M2956" s="6"/>
      <c r="N2956" s="15"/>
      <c r="O2956" s="23"/>
      <c r="P2956" s="21"/>
      <c r="Q2956" s="23"/>
      <c r="R2956" s="6"/>
      <c r="S2956" s="20"/>
      <c r="T2956" s="6"/>
      <c r="W2956" s="20"/>
      <c r="AF2956" s="19"/>
    </row>
    <row r="2957" spans="2:32" ht="16">
      <c r="B2957" s="26" t="str">
        <f t="shared" si="12"/>
        <v/>
      </c>
      <c r="C2957" s="6"/>
      <c r="D2957" s="6"/>
      <c r="E2957" s="6"/>
      <c r="F2957" s="15"/>
      <c r="G2957" s="6"/>
      <c r="H2957" s="6"/>
      <c r="I2957" s="6"/>
      <c r="J2957" s="16"/>
      <c r="K2957" s="6"/>
      <c r="L2957" s="16"/>
      <c r="M2957" s="6"/>
      <c r="N2957" s="15"/>
      <c r="O2957" s="23"/>
      <c r="P2957" s="21"/>
      <c r="Q2957" s="23"/>
      <c r="R2957" s="6"/>
      <c r="S2957" s="20"/>
      <c r="T2957" s="6"/>
      <c r="W2957" s="20"/>
      <c r="AF2957" s="19"/>
    </row>
    <row r="2958" spans="2:32" ht="16">
      <c r="B2958" s="26" t="str">
        <f t="shared" si="12"/>
        <v/>
      </c>
      <c r="C2958" s="6"/>
      <c r="D2958" s="6"/>
      <c r="E2958" s="6"/>
      <c r="F2958" s="15"/>
      <c r="G2958" s="6"/>
      <c r="H2958" s="6"/>
      <c r="I2958" s="6"/>
      <c r="J2958" s="16"/>
      <c r="K2958" s="6"/>
      <c r="L2958" s="16"/>
      <c r="M2958" s="6"/>
      <c r="N2958" s="15"/>
      <c r="O2958" s="23"/>
      <c r="P2958" s="21"/>
      <c r="Q2958" s="23"/>
      <c r="R2958" s="6"/>
      <c r="S2958" s="20"/>
      <c r="T2958" s="6"/>
      <c r="W2958" s="20"/>
      <c r="AF2958" s="19"/>
    </row>
    <row r="2959" spans="2:32" ht="16">
      <c r="B2959" s="26" t="str">
        <f t="shared" si="12"/>
        <v/>
      </c>
      <c r="C2959" s="6"/>
      <c r="D2959" s="6"/>
      <c r="E2959" s="6"/>
      <c r="F2959" s="15"/>
      <c r="G2959" s="6"/>
      <c r="H2959" s="6"/>
      <c r="I2959" s="6"/>
      <c r="J2959" s="16"/>
      <c r="K2959" s="6"/>
      <c r="L2959" s="16"/>
      <c r="M2959" s="6"/>
      <c r="N2959" s="15"/>
      <c r="O2959" s="23"/>
      <c r="P2959" s="21"/>
      <c r="Q2959" s="23"/>
      <c r="R2959" s="6"/>
      <c r="S2959" s="20"/>
      <c r="T2959" s="6"/>
      <c r="W2959" s="20"/>
      <c r="AF2959" s="19"/>
    </row>
    <row r="2960" spans="2:32" ht="16">
      <c r="B2960" s="26" t="str">
        <f t="shared" si="12"/>
        <v/>
      </c>
      <c r="C2960" s="6"/>
      <c r="D2960" s="6"/>
      <c r="E2960" s="6"/>
      <c r="F2960" s="15"/>
      <c r="G2960" s="6"/>
      <c r="H2960" s="6"/>
      <c r="I2960" s="6"/>
      <c r="J2960" s="16"/>
      <c r="K2960" s="6"/>
      <c r="L2960" s="16"/>
      <c r="M2960" s="6"/>
      <c r="N2960" s="15"/>
      <c r="O2960" s="23"/>
      <c r="P2960" s="21"/>
      <c r="Q2960" s="23"/>
      <c r="R2960" s="6"/>
      <c r="S2960" s="20"/>
      <c r="T2960" s="6"/>
      <c r="W2960" s="20"/>
      <c r="AF2960" s="19"/>
    </row>
    <row r="2961" spans="2:32" ht="16">
      <c r="B2961" s="26" t="str">
        <f t="shared" si="12"/>
        <v/>
      </c>
      <c r="C2961" s="6"/>
      <c r="D2961" s="6"/>
      <c r="E2961" s="6"/>
      <c r="F2961" s="15"/>
      <c r="G2961" s="6"/>
      <c r="H2961" s="6"/>
      <c r="I2961" s="6"/>
      <c r="J2961" s="16"/>
      <c r="K2961" s="6"/>
      <c r="L2961" s="16"/>
      <c r="M2961" s="6"/>
      <c r="N2961" s="15"/>
      <c r="O2961" s="23"/>
      <c r="P2961" s="21"/>
      <c r="Q2961" s="23"/>
      <c r="R2961" s="6"/>
      <c r="S2961" s="20"/>
      <c r="T2961" s="6"/>
      <c r="W2961" s="20"/>
      <c r="AF2961" s="19"/>
    </row>
    <row r="2962" spans="2:32" ht="16">
      <c r="B2962" s="26" t="str">
        <f t="shared" si="12"/>
        <v/>
      </c>
      <c r="C2962" s="6"/>
      <c r="D2962" s="6"/>
      <c r="E2962" s="6"/>
      <c r="F2962" s="15"/>
      <c r="G2962" s="6"/>
      <c r="H2962" s="6"/>
      <c r="I2962" s="6"/>
      <c r="J2962" s="16"/>
      <c r="K2962" s="6"/>
      <c r="L2962" s="16"/>
      <c r="M2962" s="6"/>
      <c r="N2962" s="15"/>
      <c r="O2962" s="23"/>
      <c r="P2962" s="21"/>
      <c r="Q2962" s="23"/>
      <c r="R2962" s="6"/>
      <c r="S2962" s="20"/>
      <c r="T2962" s="6"/>
      <c r="W2962" s="20"/>
      <c r="AF2962" s="19"/>
    </row>
    <row r="2963" spans="2:32" ht="16">
      <c r="B2963" s="26" t="str">
        <f t="shared" si="12"/>
        <v/>
      </c>
      <c r="C2963" s="6"/>
      <c r="D2963" s="6"/>
      <c r="E2963" s="6"/>
      <c r="F2963" s="15"/>
      <c r="G2963" s="6"/>
      <c r="H2963" s="6"/>
      <c r="I2963" s="6"/>
      <c r="J2963" s="16"/>
      <c r="K2963" s="6"/>
      <c r="L2963" s="16"/>
      <c r="M2963" s="6"/>
      <c r="N2963" s="15"/>
      <c r="O2963" s="23"/>
      <c r="P2963" s="21"/>
      <c r="Q2963" s="23"/>
      <c r="R2963" s="6"/>
      <c r="S2963" s="20"/>
      <c r="T2963" s="6"/>
      <c r="W2963" s="20"/>
      <c r="AF2963" s="19"/>
    </row>
    <row r="2964" spans="2:32" ht="16">
      <c r="B2964" s="26" t="str">
        <f t="shared" si="12"/>
        <v/>
      </c>
      <c r="C2964" s="6"/>
      <c r="D2964" s="6"/>
      <c r="E2964" s="6"/>
      <c r="F2964" s="15"/>
      <c r="G2964" s="6"/>
      <c r="H2964" s="6"/>
      <c r="I2964" s="6"/>
      <c r="J2964" s="16"/>
      <c r="K2964" s="6"/>
      <c r="L2964" s="16"/>
      <c r="M2964" s="6"/>
      <c r="N2964" s="15"/>
      <c r="O2964" s="23"/>
      <c r="P2964" s="21"/>
      <c r="Q2964" s="23"/>
      <c r="R2964" s="6"/>
      <c r="S2964" s="20"/>
      <c r="T2964" s="6"/>
      <c r="W2964" s="20"/>
      <c r="AF2964" s="19"/>
    </row>
    <row r="2965" spans="2:32" ht="16">
      <c r="B2965" s="26" t="str">
        <f t="shared" si="12"/>
        <v/>
      </c>
      <c r="C2965" s="6"/>
      <c r="D2965" s="6"/>
      <c r="E2965" s="6"/>
      <c r="F2965" s="15"/>
      <c r="G2965" s="6"/>
      <c r="H2965" s="6"/>
      <c r="I2965" s="6"/>
      <c r="J2965" s="16"/>
      <c r="K2965" s="6"/>
      <c r="L2965" s="16"/>
      <c r="M2965" s="6"/>
      <c r="N2965" s="15"/>
      <c r="O2965" s="23"/>
      <c r="P2965" s="21"/>
      <c r="Q2965" s="23"/>
      <c r="R2965" s="6"/>
      <c r="S2965" s="20"/>
      <c r="T2965" s="6"/>
      <c r="W2965" s="20"/>
      <c r="AF2965" s="19"/>
    </row>
    <row r="2966" spans="2:32" ht="16">
      <c r="B2966" s="26" t="str">
        <f t="shared" si="12"/>
        <v/>
      </c>
      <c r="C2966" s="6"/>
      <c r="D2966" s="6"/>
      <c r="E2966" s="6"/>
      <c r="F2966" s="15"/>
      <c r="G2966" s="6"/>
      <c r="H2966" s="6"/>
      <c r="I2966" s="6"/>
      <c r="J2966" s="16"/>
      <c r="K2966" s="6"/>
      <c r="L2966" s="16"/>
      <c r="M2966" s="6"/>
      <c r="N2966" s="15"/>
      <c r="O2966" s="23"/>
      <c r="P2966" s="21"/>
      <c r="Q2966" s="23"/>
      <c r="R2966" s="6"/>
      <c r="S2966" s="20"/>
      <c r="T2966" s="6"/>
      <c r="W2966" s="20"/>
      <c r="AF2966" s="19"/>
    </row>
    <row r="2967" spans="2:32" ht="16">
      <c r="B2967" s="26" t="str">
        <f t="shared" si="12"/>
        <v/>
      </c>
      <c r="C2967" s="6"/>
      <c r="D2967" s="6"/>
      <c r="E2967" s="6"/>
      <c r="F2967" s="15"/>
      <c r="G2967" s="6"/>
      <c r="H2967" s="6"/>
      <c r="I2967" s="6"/>
      <c r="J2967" s="16"/>
      <c r="K2967" s="6"/>
      <c r="L2967" s="16"/>
      <c r="M2967" s="6"/>
      <c r="N2967" s="15"/>
      <c r="O2967" s="23"/>
      <c r="P2967" s="21"/>
      <c r="Q2967" s="23"/>
      <c r="R2967" s="6"/>
      <c r="S2967" s="20"/>
      <c r="T2967" s="6"/>
      <c r="W2967" s="20"/>
      <c r="AF2967" s="19"/>
    </row>
    <row r="2968" spans="2:32" ht="16">
      <c r="B2968" s="26" t="str">
        <f t="shared" si="12"/>
        <v/>
      </c>
      <c r="C2968" s="6"/>
      <c r="D2968" s="6"/>
      <c r="E2968" s="6"/>
      <c r="F2968" s="15"/>
      <c r="G2968" s="6"/>
      <c r="H2968" s="6"/>
      <c r="I2968" s="6"/>
      <c r="J2968" s="16"/>
      <c r="K2968" s="6"/>
      <c r="L2968" s="16"/>
      <c r="M2968" s="6"/>
      <c r="N2968" s="15"/>
      <c r="O2968" s="23"/>
      <c r="P2968" s="21"/>
      <c r="Q2968" s="23"/>
      <c r="R2968" s="6"/>
      <c r="S2968" s="20"/>
      <c r="T2968" s="6"/>
      <c r="W2968" s="20"/>
      <c r="AF2968" s="19"/>
    </row>
    <row r="2969" spans="2:32" ht="16">
      <c r="B2969" s="26" t="str">
        <f t="shared" si="12"/>
        <v/>
      </c>
      <c r="C2969" s="6"/>
      <c r="D2969" s="6"/>
      <c r="E2969" s="6"/>
      <c r="F2969" s="15"/>
      <c r="G2969" s="6"/>
      <c r="H2969" s="6"/>
      <c r="I2969" s="6"/>
      <c r="J2969" s="16"/>
      <c r="K2969" s="6"/>
      <c r="L2969" s="16"/>
      <c r="M2969" s="6"/>
      <c r="N2969" s="15"/>
      <c r="O2969" s="23"/>
      <c r="P2969" s="21"/>
      <c r="Q2969" s="23"/>
      <c r="R2969" s="6"/>
      <c r="S2969" s="20"/>
      <c r="T2969" s="6"/>
      <c r="W2969" s="20"/>
      <c r="AF2969" s="19"/>
    </row>
    <row r="2970" spans="2:32" ht="16">
      <c r="B2970" s="26" t="str">
        <f t="shared" si="12"/>
        <v/>
      </c>
      <c r="C2970" s="6"/>
      <c r="D2970" s="6"/>
      <c r="E2970" s="6"/>
      <c r="F2970" s="15"/>
      <c r="G2970" s="6"/>
      <c r="H2970" s="6"/>
      <c r="I2970" s="6"/>
      <c r="J2970" s="16"/>
      <c r="K2970" s="6"/>
      <c r="L2970" s="16"/>
      <c r="M2970" s="6"/>
      <c r="N2970" s="15"/>
      <c r="O2970" s="23"/>
      <c r="P2970" s="21"/>
      <c r="Q2970" s="23"/>
      <c r="R2970" s="6"/>
      <c r="S2970" s="20"/>
      <c r="T2970" s="6"/>
      <c r="W2970" s="20"/>
      <c r="AF2970" s="19"/>
    </row>
    <row r="2971" spans="2:32" ht="16">
      <c r="B2971" s="26" t="str">
        <f t="shared" si="12"/>
        <v/>
      </c>
      <c r="C2971" s="6"/>
      <c r="D2971" s="6"/>
      <c r="E2971" s="6"/>
      <c r="F2971" s="15"/>
      <c r="G2971" s="6"/>
      <c r="H2971" s="6"/>
      <c r="I2971" s="6"/>
      <c r="J2971" s="16"/>
      <c r="K2971" s="6"/>
      <c r="L2971" s="16"/>
      <c r="M2971" s="6"/>
      <c r="N2971" s="15"/>
      <c r="O2971" s="23"/>
      <c r="P2971" s="21"/>
      <c r="Q2971" s="23"/>
      <c r="R2971" s="6"/>
      <c r="S2971" s="20"/>
      <c r="T2971" s="6"/>
      <c r="W2971" s="20"/>
      <c r="AF2971" s="19"/>
    </row>
    <row r="2972" spans="2:32" ht="16">
      <c r="B2972" s="26" t="str">
        <f t="shared" si="12"/>
        <v/>
      </c>
      <c r="C2972" s="6"/>
      <c r="D2972" s="6"/>
      <c r="E2972" s="6"/>
      <c r="F2972" s="15"/>
      <c r="G2972" s="6"/>
      <c r="H2972" s="6"/>
      <c r="I2972" s="6"/>
      <c r="J2972" s="16"/>
      <c r="K2972" s="6"/>
      <c r="L2972" s="16"/>
      <c r="M2972" s="6"/>
      <c r="N2972" s="15"/>
      <c r="O2972" s="23"/>
      <c r="P2972" s="21"/>
      <c r="Q2972" s="23"/>
      <c r="R2972" s="6"/>
      <c r="S2972" s="20"/>
      <c r="T2972" s="6"/>
      <c r="W2972" s="20"/>
      <c r="AF2972" s="19"/>
    </row>
    <row r="2973" spans="2:32" ht="16">
      <c r="B2973" s="26" t="str">
        <f t="shared" si="12"/>
        <v/>
      </c>
      <c r="C2973" s="6"/>
      <c r="D2973" s="6"/>
      <c r="E2973" s="6"/>
      <c r="F2973" s="15"/>
      <c r="G2973" s="6"/>
      <c r="H2973" s="6"/>
      <c r="I2973" s="6"/>
      <c r="J2973" s="16"/>
      <c r="K2973" s="6"/>
      <c r="L2973" s="16"/>
      <c r="M2973" s="6"/>
      <c r="N2973" s="15"/>
      <c r="O2973" s="23"/>
      <c r="P2973" s="21"/>
      <c r="Q2973" s="23"/>
      <c r="R2973" s="6"/>
      <c r="S2973" s="20"/>
      <c r="T2973" s="6"/>
      <c r="W2973" s="20"/>
      <c r="AF2973" s="19"/>
    </row>
    <row r="2974" spans="2:32" ht="16">
      <c r="B2974" s="26" t="str">
        <f t="shared" si="12"/>
        <v/>
      </c>
      <c r="C2974" s="6"/>
      <c r="D2974" s="6"/>
      <c r="E2974" s="6"/>
      <c r="F2974" s="15"/>
      <c r="G2974" s="6"/>
      <c r="H2974" s="6"/>
      <c r="I2974" s="6"/>
      <c r="J2974" s="16"/>
      <c r="K2974" s="6"/>
      <c r="L2974" s="16"/>
      <c r="M2974" s="6"/>
      <c r="N2974" s="15"/>
      <c r="O2974" s="23"/>
      <c r="P2974" s="21"/>
      <c r="Q2974" s="23"/>
      <c r="R2974" s="6"/>
      <c r="S2974" s="20"/>
      <c r="T2974" s="6"/>
      <c r="W2974" s="20"/>
      <c r="AF2974" s="19"/>
    </row>
    <row r="2975" spans="2:32" ht="16">
      <c r="B2975" s="26" t="str">
        <f t="shared" si="12"/>
        <v/>
      </c>
      <c r="C2975" s="6"/>
      <c r="D2975" s="6"/>
      <c r="E2975" s="6"/>
      <c r="F2975" s="15"/>
      <c r="G2975" s="6"/>
      <c r="H2975" s="6"/>
      <c r="I2975" s="6"/>
      <c r="J2975" s="16"/>
      <c r="K2975" s="6"/>
      <c r="L2975" s="16"/>
      <c r="M2975" s="6"/>
      <c r="N2975" s="15"/>
      <c r="O2975" s="23"/>
      <c r="P2975" s="21"/>
      <c r="Q2975" s="23"/>
      <c r="R2975" s="6"/>
      <c r="S2975" s="20"/>
      <c r="T2975" s="6"/>
      <c r="W2975" s="20"/>
      <c r="AF2975" s="19"/>
    </row>
    <row r="2976" spans="2:32" ht="16">
      <c r="B2976" s="26" t="str">
        <f t="shared" si="12"/>
        <v/>
      </c>
      <c r="C2976" s="6"/>
      <c r="D2976" s="6"/>
      <c r="E2976" s="6"/>
      <c r="F2976" s="15"/>
      <c r="G2976" s="6"/>
      <c r="H2976" s="6"/>
      <c r="I2976" s="6"/>
      <c r="J2976" s="16"/>
      <c r="K2976" s="6"/>
      <c r="L2976" s="16"/>
      <c r="M2976" s="6"/>
      <c r="N2976" s="15"/>
      <c r="O2976" s="23"/>
      <c r="P2976" s="21"/>
      <c r="Q2976" s="23"/>
      <c r="R2976" s="6"/>
      <c r="S2976" s="20"/>
      <c r="T2976" s="6"/>
      <c r="W2976" s="20"/>
      <c r="AF2976" s="19"/>
    </row>
    <row r="2977" spans="2:32" ht="16">
      <c r="B2977" s="26" t="str">
        <f t="shared" si="12"/>
        <v/>
      </c>
      <c r="C2977" s="6"/>
      <c r="D2977" s="6"/>
      <c r="E2977" s="6"/>
      <c r="F2977" s="15"/>
      <c r="G2977" s="6"/>
      <c r="H2977" s="6"/>
      <c r="I2977" s="6"/>
      <c r="J2977" s="16"/>
      <c r="K2977" s="6"/>
      <c r="L2977" s="16"/>
      <c r="M2977" s="6"/>
      <c r="N2977" s="15"/>
      <c r="O2977" s="23"/>
      <c r="P2977" s="21"/>
      <c r="Q2977" s="23"/>
      <c r="R2977" s="6"/>
      <c r="S2977" s="20"/>
      <c r="T2977" s="6"/>
      <c r="W2977" s="20"/>
      <c r="AF2977" s="19"/>
    </row>
    <row r="2978" spans="2:32" ht="16">
      <c r="B2978" s="26" t="str">
        <f t="shared" si="12"/>
        <v/>
      </c>
      <c r="C2978" s="6"/>
      <c r="D2978" s="6"/>
      <c r="E2978" s="6"/>
      <c r="F2978" s="15"/>
      <c r="G2978" s="6"/>
      <c r="H2978" s="6"/>
      <c r="I2978" s="6"/>
      <c r="J2978" s="16"/>
      <c r="K2978" s="6"/>
      <c r="L2978" s="16"/>
      <c r="M2978" s="6"/>
      <c r="N2978" s="15"/>
      <c r="O2978" s="23"/>
      <c r="P2978" s="21"/>
      <c r="Q2978" s="23"/>
      <c r="R2978" s="6"/>
      <c r="S2978" s="20"/>
      <c r="T2978" s="6"/>
      <c r="W2978" s="20"/>
      <c r="AF2978" s="19"/>
    </row>
    <row r="2979" spans="2:32" ht="16">
      <c r="B2979" s="26" t="str">
        <f t="shared" si="12"/>
        <v/>
      </c>
      <c r="C2979" s="6"/>
      <c r="D2979" s="6"/>
      <c r="E2979" s="6"/>
      <c r="F2979" s="15"/>
      <c r="G2979" s="6"/>
      <c r="H2979" s="6"/>
      <c r="I2979" s="6"/>
      <c r="J2979" s="16"/>
      <c r="K2979" s="6"/>
      <c r="L2979" s="16"/>
      <c r="M2979" s="6"/>
      <c r="N2979" s="15"/>
      <c r="O2979" s="23"/>
      <c r="P2979" s="21"/>
      <c r="Q2979" s="23"/>
      <c r="R2979" s="6"/>
      <c r="S2979" s="20"/>
      <c r="T2979" s="6"/>
      <c r="W2979" s="20"/>
      <c r="AF2979" s="19"/>
    </row>
    <row r="2980" spans="2:32" ht="16">
      <c r="B2980" s="26" t="str">
        <f t="shared" si="12"/>
        <v/>
      </c>
      <c r="C2980" s="6"/>
      <c r="D2980" s="6"/>
      <c r="E2980" s="6"/>
      <c r="F2980" s="15"/>
      <c r="G2980" s="6"/>
      <c r="H2980" s="6"/>
      <c r="I2980" s="6"/>
      <c r="J2980" s="16"/>
      <c r="K2980" s="6"/>
      <c r="L2980" s="16"/>
      <c r="M2980" s="6"/>
      <c r="N2980" s="15"/>
      <c r="O2980" s="23"/>
      <c r="P2980" s="21"/>
      <c r="Q2980" s="23"/>
      <c r="R2980" s="6"/>
      <c r="S2980" s="20"/>
      <c r="T2980" s="6"/>
      <c r="W2980" s="20"/>
      <c r="AF2980" s="19"/>
    </row>
    <row r="2981" spans="2:32" ht="16">
      <c r="B2981" s="26" t="str">
        <f t="shared" si="12"/>
        <v/>
      </c>
      <c r="C2981" s="6"/>
      <c r="D2981" s="6"/>
      <c r="E2981" s="6"/>
      <c r="F2981" s="15"/>
      <c r="G2981" s="6"/>
      <c r="H2981" s="6"/>
      <c r="I2981" s="6"/>
      <c r="J2981" s="16"/>
      <c r="K2981" s="6"/>
      <c r="L2981" s="16"/>
      <c r="M2981" s="6"/>
      <c r="N2981" s="15"/>
      <c r="O2981" s="23"/>
      <c r="P2981" s="21"/>
      <c r="Q2981" s="23"/>
      <c r="R2981" s="6"/>
      <c r="S2981" s="20"/>
      <c r="T2981" s="6"/>
      <c r="W2981" s="20"/>
      <c r="AF2981" s="19"/>
    </row>
    <row r="2982" spans="2:32" ht="16">
      <c r="B2982" s="26" t="str">
        <f t="shared" si="12"/>
        <v/>
      </c>
      <c r="C2982" s="6"/>
      <c r="D2982" s="6"/>
      <c r="E2982" s="6"/>
      <c r="F2982" s="15"/>
      <c r="G2982" s="6"/>
      <c r="H2982" s="6"/>
      <c r="I2982" s="6"/>
      <c r="J2982" s="16"/>
      <c r="K2982" s="6"/>
      <c r="L2982" s="16"/>
      <c r="M2982" s="6"/>
      <c r="N2982" s="15"/>
      <c r="O2982" s="23"/>
      <c r="P2982" s="21"/>
      <c r="Q2982" s="23"/>
      <c r="R2982" s="6"/>
      <c r="S2982" s="20"/>
      <c r="T2982" s="6"/>
      <c r="W2982" s="20"/>
      <c r="AF2982" s="19"/>
    </row>
    <row r="2983" spans="2:32" ht="16">
      <c r="B2983" s="26" t="str">
        <f t="shared" si="12"/>
        <v/>
      </c>
      <c r="C2983" s="6"/>
      <c r="D2983" s="6"/>
      <c r="E2983" s="6"/>
      <c r="F2983" s="15"/>
      <c r="G2983" s="6"/>
      <c r="H2983" s="6"/>
      <c r="I2983" s="6"/>
      <c r="J2983" s="16"/>
      <c r="K2983" s="6"/>
      <c r="L2983" s="16"/>
      <c r="M2983" s="6"/>
      <c r="N2983" s="15"/>
      <c r="O2983" s="23"/>
      <c r="P2983" s="21"/>
      <c r="Q2983" s="23"/>
      <c r="R2983" s="6"/>
      <c r="S2983" s="20"/>
      <c r="T2983" s="6"/>
      <c r="W2983" s="20"/>
      <c r="AF2983" s="19"/>
    </row>
    <row r="2984" spans="2:32" ht="16">
      <c r="B2984" s="26" t="str">
        <f t="shared" si="12"/>
        <v/>
      </c>
      <c r="C2984" s="6"/>
      <c r="D2984" s="6"/>
      <c r="E2984" s="6"/>
      <c r="F2984" s="15"/>
      <c r="G2984" s="6"/>
      <c r="H2984" s="6"/>
      <c r="I2984" s="6"/>
      <c r="J2984" s="16"/>
      <c r="K2984" s="6"/>
      <c r="L2984" s="16"/>
      <c r="M2984" s="6"/>
      <c r="N2984" s="15"/>
      <c r="O2984" s="23"/>
      <c r="P2984" s="21"/>
      <c r="Q2984" s="23"/>
      <c r="R2984" s="6"/>
      <c r="S2984" s="20"/>
      <c r="T2984" s="6"/>
      <c r="W2984" s="20"/>
      <c r="AF2984" s="19"/>
    </row>
    <row r="2985" spans="2:32" ht="16">
      <c r="B2985" s="26" t="str">
        <f t="shared" si="12"/>
        <v/>
      </c>
      <c r="C2985" s="6"/>
      <c r="D2985" s="6"/>
      <c r="E2985" s="6"/>
      <c r="F2985" s="15"/>
      <c r="G2985" s="6"/>
      <c r="H2985" s="6"/>
      <c r="I2985" s="6"/>
      <c r="J2985" s="16"/>
      <c r="K2985" s="6"/>
      <c r="L2985" s="16"/>
      <c r="M2985" s="6"/>
      <c r="N2985" s="15"/>
      <c r="O2985" s="23"/>
      <c r="P2985" s="21"/>
      <c r="Q2985" s="23"/>
      <c r="R2985" s="6"/>
      <c r="S2985" s="20"/>
      <c r="T2985" s="6"/>
      <c r="W2985" s="20"/>
      <c r="AF2985" s="19"/>
    </row>
    <row r="2986" spans="2:32" ht="16">
      <c r="B2986" s="26" t="str">
        <f t="shared" si="12"/>
        <v/>
      </c>
      <c r="C2986" s="6"/>
      <c r="D2986" s="6"/>
      <c r="E2986" s="6"/>
      <c r="F2986" s="15"/>
      <c r="G2986" s="6"/>
      <c r="H2986" s="6"/>
      <c r="I2986" s="6"/>
      <c r="J2986" s="16"/>
      <c r="K2986" s="6"/>
      <c r="L2986" s="16"/>
      <c r="M2986" s="6"/>
      <c r="N2986" s="15"/>
      <c r="O2986" s="23"/>
      <c r="P2986" s="21"/>
      <c r="Q2986" s="23"/>
      <c r="R2986" s="6"/>
      <c r="S2986" s="20"/>
      <c r="T2986" s="6"/>
      <c r="W2986" s="20"/>
      <c r="AF2986" s="19"/>
    </row>
    <row r="2987" spans="2:32" ht="16">
      <c r="B2987" s="26" t="str">
        <f t="shared" si="12"/>
        <v/>
      </c>
      <c r="C2987" s="6"/>
      <c r="D2987" s="6"/>
      <c r="E2987" s="6"/>
      <c r="F2987" s="15"/>
      <c r="G2987" s="6"/>
      <c r="H2987" s="6"/>
      <c r="I2987" s="6"/>
      <c r="J2987" s="16"/>
      <c r="K2987" s="6"/>
      <c r="L2987" s="16"/>
      <c r="M2987" s="6"/>
      <c r="N2987" s="15"/>
      <c r="O2987" s="23"/>
      <c r="P2987" s="21"/>
      <c r="Q2987" s="23"/>
      <c r="R2987" s="6"/>
      <c r="S2987" s="20"/>
      <c r="T2987" s="6"/>
      <c r="W2987" s="20"/>
      <c r="AF2987" s="19"/>
    </row>
    <row r="2988" spans="2:32" ht="16">
      <c r="B2988" s="26" t="str">
        <f t="shared" si="12"/>
        <v/>
      </c>
      <c r="C2988" s="6"/>
      <c r="D2988" s="6"/>
      <c r="E2988" s="6"/>
      <c r="F2988" s="15"/>
      <c r="G2988" s="6"/>
      <c r="H2988" s="6"/>
      <c r="I2988" s="6"/>
      <c r="J2988" s="16"/>
      <c r="K2988" s="6"/>
      <c r="L2988" s="16"/>
      <c r="M2988" s="6"/>
      <c r="N2988" s="15"/>
      <c r="O2988" s="23"/>
      <c r="P2988" s="21"/>
      <c r="Q2988" s="23"/>
      <c r="R2988" s="6"/>
      <c r="S2988" s="20"/>
      <c r="T2988" s="6"/>
      <c r="W2988" s="20"/>
      <c r="AF2988" s="19"/>
    </row>
    <row r="2989" spans="2:32" ht="16">
      <c r="B2989" s="26" t="str">
        <f t="shared" si="12"/>
        <v/>
      </c>
      <c r="C2989" s="6"/>
      <c r="D2989" s="6"/>
      <c r="E2989" s="6"/>
      <c r="F2989" s="15"/>
      <c r="G2989" s="6"/>
      <c r="H2989" s="6"/>
      <c r="I2989" s="6"/>
      <c r="J2989" s="16"/>
      <c r="K2989" s="6"/>
      <c r="L2989" s="16"/>
      <c r="M2989" s="6"/>
      <c r="N2989" s="15"/>
      <c r="O2989" s="23"/>
      <c r="P2989" s="21"/>
      <c r="Q2989" s="23"/>
      <c r="R2989" s="6"/>
      <c r="S2989" s="20"/>
      <c r="T2989" s="6"/>
      <c r="W2989" s="20"/>
      <c r="AF2989" s="19"/>
    </row>
    <row r="2990" spans="2:32" ht="16">
      <c r="B2990" s="26" t="str">
        <f t="shared" si="12"/>
        <v/>
      </c>
      <c r="C2990" s="6"/>
      <c r="D2990" s="6"/>
      <c r="E2990" s="6"/>
      <c r="F2990" s="15"/>
      <c r="G2990" s="6"/>
      <c r="H2990" s="6"/>
      <c r="I2990" s="6"/>
      <c r="J2990" s="16"/>
      <c r="K2990" s="6"/>
      <c r="L2990" s="16"/>
      <c r="M2990" s="6"/>
      <c r="N2990" s="15"/>
      <c r="O2990" s="23"/>
      <c r="P2990" s="21"/>
      <c r="Q2990" s="23"/>
      <c r="R2990" s="6"/>
      <c r="S2990" s="20"/>
      <c r="T2990" s="6"/>
      <c r="W2990" s="20"/>
      <c r="AF2990" s="19"/>
    </row>
    <row r="2991" spans="2:32" ht="16">
      <c r="B2991" s="26" t="str">
        <f t="shared" si="12"/>
        <v/>
      </c>
      <c r="C2991" s="6"/>
      <c r="D2991" s="6"/>
      <c r="E2991" s="6"/>
      <c r="F2991" s="15"/>
      <c r="G2991" s="6"/>
      <c r="H2991" s="6"/>
      <c r="I2991" s="6"/>
      <c r="J2991" s="16"/>
      <c r="K2991" s="6"/>
      <c r="L2991" s="16"/>
      <c r="M2991" s="6"/>
      <c r="N2991" s="15"/>
      <c r="O2991" s="23"/>
      <c r="P2991" s="21"/>
      <c r="Q2991" s="23"/>
      <c r="R2991" s="6"/>
      <c r="S2991" s="20"/>
      <c r="T2991" s="6"/>
      <c r="W2991" s="20"/>
      <c r="AF2991" s="19"/>
    </row>
    <row r="2992" spans="2:32" ht="16">
      <c r="B2992" s="26" t="str">
        <f t="shared" si="12"/>
        <v/>
      </c>
      <c r="C2992" s="6"/>
      <c r="D2992" s="6"/>
      <c r="E2992" s="6"/>
      <c r="F2992" s="15"/>
      <c r="G2992" s="6"/>
      <c r="H2992" s="6"/>
      <c r="I2992" s="6"/>
      <c r="J2992" s="16"/>
      <c r="K2992" s="6"/>
      <c r="L2992" s="16"/>
      <c r="M2992" s="6"/>
      <c r="N2992" s="15"/>
      <c r="O2992" s="23"/>
      <c r="P2992" s="21"/>
      <c r="Q2992" s="23"/>
      <c r="R2992" s="6"/>
      <c r="S2992" s="20"/>
      <c r="T2992" s="6"/>
      <c r="W2992" s="20"/>
      <c r="AF2992" s="19"/>
    </row>
    <row r="2993" spans="2:32" ht="16">
      <c r="B2993" s="26" t="str">
        <f t="shared" si="12"/>
        <v/>
      </c>
      <c r="C2993" s="6"/>
      <c r="D2993" s="6"/>
      <c r="E2993" s="6"/>
      <c r="F2993" s="15"/>
      <c r="G2993" s="6"/>
      <c r="H2993" s="6"/>
      <c r="I2993" s="6"/>
      <c r="J2993" s="16"/>
      <c r="K2993" s="6"/>
      <c r="L2993" s="16"/>
      <c r="M2993" s="6"/>
      <c r="N2993" s="15"/>
      <c r="O2993" s="23"/>
      <c r="P2993" s="21"/>
      <c r="Q2993" s="23"/>
      <c r="R2993" s="6"/>
      <c r="S2993" s="20"/>
      <c r="T2993" s="6"/>
      <c r="W2993" s="20"/>
      <c r="AF2993" s="19"/>
    </row>
    <row r="2994" spans="2:32" ht="16">
      <c r="B2994" s="26" t="str">
        <f t="shared" si="12"/>
        <v/>
      </c>
      <c r="C2994" s="6"/>
      <c r="D2994" s="6"/>
      <c r="E2994" s="6"/>
      <c r="F2994" s="15"/>
      <c r="G2994" s="6"/>
      <c r="H2994" s="6"/>
      <c r="I2994" s="6"/>
      <c r="J2994" s="16"/>
      <c r="K2994" s="6"/>
      <c r="L2994" s="16"/>
      <c r="M2994" s="6"/>
      <c r="N2994" s="15"/>
      <c r="O2994" s="23"/>
      <c r="P2994" s="21"/>
      <c r="Q2994" s="23"/>
      <c r="R2994" s="6"/>
      <c r="S2994" s="20"/>
      <c r="T2994" s="6"/>
      <c r="W2994" s="20"/>
      <c r="AF2994" s="19"/>
    </row>
    <row r="2995" spans="2:32" ht="16">
      <c r="B2995" s="26" t="str">
        <f t="shared" si="12"/>
        <v/>
      </c>
      <c r="C2995" s="6"/>
      <c r="D2995" s="6"/>
      <c r="E2995" s="6"/>
      <c r="F2995" s="15"/>
      <c r="G2995" s="6"/>
      <c r="H2995" s="6"/>
      <c r="I2995" s="6"/>
      <c r="J2995" s="16"/>
      <c r="K2995" s="6"/>
      <c r="L2995" s="16"/>
      <c r="M2995" s="6"/>
      <c r="N2995" s="15"/>
      <c r="O2995" s="23"/>
      <c r="P2995" s="21"/>
      <c r="Q2995" s="23"/>
      <c r="R2995" s="6"/>
      <c r="S2995" s="20"/>
      <c r="T2995" s="6"/>
      <c r="W2995" s="20"/>
      <c r="AF2995" s="19"/>
    </row>
    <row r="2996" spans="2:32" ht="16">
      <c r="B2996" s="26" t="str">
        <f t="shared" si="12"/>
        <v/>
      </c>
      <c r="C2996" s="6"/>
      <c r="D2996" s="6"/>
      <c r="E2996" s="6"/>
      <c r="F2996" s="15"/>
      <c r="G2996" s="6"/>
      <c r="H2996" s="6"/>
      <c r="I2996" s="6"/>
      <c r="J2996" s="16"/>
      <c r="K2996" s="6"/>
      <c r="L2996" s="16"/>
      <c r="M2996" s="6"/>
      <c r="N2996" s="15"/>
      <c r="O2996" s="23"/>
      <c r="P2996" s="21"/>
      <c r="Q2996" s="23"/>
      <c r="R2996" s="6"/>
      <c r="S2996" s="20"/>
      <c r="T2996" s="6"/>
      <c r="W2996" s="20"/>
      <c r="AF2996" s="19"/>
    </row>
    <row r="2997" spans="2:32" ht="16">
      <c r="B2997" s="26" t="str">
        <f t="shared" si="12"/>
        <v/>
      </c>
      <c r="C2997" s="6"/>
      <c r="D2997" s="6"/>
      <c r="E2997" s="6"/>
      <c r="F2997" s="15"/>
      <c r="G2997" s="6"/>
      <c r="H2997" s="6"/>
      <c r="I2997" s="6"/>
      <c r="J2997" s="16"/>
      <c r="K2997" s="6"/>
      <c r="L2997" s="16"/>
      <c r="M2997" s="6"/>
      <c r="N2997" s="15"/>
      <c r="O2997" s="23"/>
      <c r="P2997" s="21"/>
      <c r="Q2997" s="23"/>
      <c r="R2997" s="6"/>
      <c r="S2997" s="20"/>
      <c r="T2997" s="6"/>
      <c r="W2997" s="20"/>
      <c r="AF2997" s="19"/>
    </row>
    <row r="2998" spans="2:32" ht="16">
      <c r="B2998" s="26" t="str">
        <f t="shared" si="12"/>
        <v/>
      </c>
      <c r="C2998" s="6"/>
      <c r="D2998" s="6"/>
      <c r="E2998" s="6"/>
      <c r="F2998" s="15"/>
      <c r="G2998" s="6"/>
      <c r="H2998" s="6"/>
      <c r="I2998" s="6"/>
      <c r="J2998" s="16"/>
      <c r="K2998" s="6"/>
      <c r="L2998" s="16"/>
      <c r="M2998" s="6"/>
      <c r="N2998" s="15"/>
      <c r="O2998" s="23"/>
      <c r="P2998" s="21"/>
      <c r="Q2998" s="23"/>
      <c r="R2998" s="6"/>
      <c r="S2998" s="20"/>
      <c r="T2998" s="6"/>
      <c r="W2998" s="20"/>
      <c r="AF2998" s="19"/>
    </row>
    <row r="2999" spans="2:32" ht="16">
      <c r="B2999" s="26" t="str">
        <f t="shared" si="12"/>
        <v/>
      </c>
      <c r="C2999" s="6"/>
      <c r="D2999" s="6"/>
      <c r="E2999" s="6"/>
      <c r="F2999" s="15"/>
      <c r="G2999" s="6"/>
      <c r="H2999" s="6"/>
      <c r="I2999" s="6"/>
      <c r="J2999" s="16"/>
      <c r="K2999" s="6"/>
      <c r="L2999" s="16"/>
      <c r="M2999" s="6"/>
      <c r="N2999" s="15"/>
      <c r="O2999" s="23"/>
      <c r="P2999" s="21"/>
      <c r="Q2999" s="23"/>
      <c r="R2999" s="6"/>
      <c r="S2999" s="20"/>
      <c r="T2999" s="6"/>
      <c r="W2999" s="20"/>
      <c r="AF2999" s="19"/>
    </row>
    <row r="3000" spans="2:32" ht="16">
      <c r="B3000" s="26" t="str">
        <f t="shared" si="12"/>
        <v/>
      </c>
      <c r="C3000" s="6"/>
      <c r="D3000" s="6"/>
      <c r="E3000" s="6"/>
      <c r="F3000" s="15"/>
      <c r="G3000" s="6"/>
      <c r="H3000" s="6"/>
      <c r="I3000" s="6"/>
      <c r="J3000" s="16"/>
      <c r="K3000" s="6"/>
      <c r="L3000" s="16"/>
      <c r="M3000" s="6"/>
      <c r="N3000" s="15"/>
      <c r="O3000" s="23"/>
      <c r="P3000" s="21"/>
      <c r="Q3000" s="23"/>
      <c r="R3000" s="6"/>
      <c r="S3000" s="20"/>
      <c r="T3000" s="6"/>
      <c r="W3000" s="20"/>
      <c r="AF3000" s="19"/>
    </row>
    <row r="3001" spans="2:32" ht="16">
      <c r="B3001" s="26" t="str">
        <f t="shared" si="12"/>
        <v/>
      </c>
      <c r="C3001" s="6"/>
      <c r="D3001" s="6"/>
      <c r="E3001" s="6"/>
      <c r="F3001" s="15"/>
      <c r="G3001" s="6"/>
      <c r="H3001" s="6"/>
      <c r="I3001" s="6"/>
      <c r="J3001" s="16"/>
      <c r="K3001" s="6"/>
      <c r="L3001" s="16"/>
      <c r="M3001" s="6"/>
      <c r="N3001" s="15"/>
      <c r="O3001" s="23"/>
      <c r="P3001" s="21"/>
      <c r="Q3001" s="23"/>
      <c r="R3001" s="6"/>
      <c r="S3001" s="20"/>
      <c r="T3001" s="6"/>
      <c r="W3001" s="20"/>
      <c r="AF3001" s="19"/>
    </row>
    <row r="3002" spans="2:32" ht="16">
      <c r="B3002" s="26" t="str">
        <f t="shared" si="12"/>
        <v/>
      </c>
      <c r="C3002" s="6"/>
      <c r="D3002" s="6"/>
      <c r="E3002" s="6"/>
      <c r="F3002" s="15"/>
      <c r="G3002" s="6"/>
      <c r="H3002" s="6"/>
      <c r="I3002" s="6"/>
      <c r="J3002" s="16"/>
      <c r="K3002" s="6"/>
      <c r="L3002" s="16"/>
      <c r="M3002" s="6"/>
      <c r="N3002" s="15"/>
      <c r="O3002" s="23"/>
      <c r="P3002" s="21"/>
      <c r="Q3002" s="23"/>
      <c r="R3002" s="6"/>
      <c r="S3002" s="20"/>
      <c r="T3002" s="6"/>
      <c r="W3002" s="20"/>
      <c r="AF3002" s="19"/>
    </row>
    <row r="3003" spans="2:32" ht="16">
      <c r="B3003" s="26" t="str">
        <f t="shared" si="12"/>
        <v/>
      </c>
      <c r="C3003" s="6"/>
      <c r="D3003" s="6"/>
      <c r="E3003" s="6"/>
      <c r="F3003" s="15"/>
      <c r="G3003" s="6"/>
      <c r="H3003" s="6"/>
      <c r="I3003" s="6"/>
      <c r="J3003" s="16"/>
      <c r="K3003" s="6"/>
      <c r="L3003" s="16"/>
      <c r="M3003" s="6"/>
      <c r="N3003" s="15"/>
      <c r="O3003" s="23"/>
      <c r="P3003" s="21"/>
      <c r="Q3003" s="23"/>
      <c r="R3003" s="6"/>
      <c r="S3003" s="20"/>
      <c r="T3003" s="6"/>
      <c r="W3003" s="20"/>
      <c r="AF3003" s="19"/>
    </row>
    <row r="3004" spans="2:32" ht="16">
      <c r="B3004" s="26" t="str">
        <f t="shared" si="12"/>
        <v/>
      </c>
      <c r="C3004" s="6"/>
      <c r="D3004" s="6"/>
      <c r="E3004" s="6"/>
      <c r="F3004" s="15"/>
      <c r="G3004" s="6"/>
      <c r="H3004" s="6"/>
      <c r="I3004" s="6"/>
      <c r="J3004" s="16"/>
      <c r="K3004" s="6"/>
      <c r="L3004" s="16"/>
      <c r="M3004" s="6"/>
      <c r="N3004" s="15"/>
      <c r="O3004" s="23"/>
      <c r="P3004" s="21"/>
      <c r="Q3004" s="23"/>
      <c r="R3004" s="6"/>
      <c r="S3004" s="20"/>
      <c r="T3004" s="6"/>
      <c r="W3004" s="20"/>
      <c r="AF3004" s="19"/>
    </row>
    <row r="3005" spans="2:32" ht="16">
      <c r="B3005" s="26" t="str">
        <f t="shared" si="12"/>
        <v/>
      </c>
      <c r="C3005" s="6"/>
      <c r="D3005" s="6"/>
      <c r="E3005" s="6"/>
      <c r="F3005" s="15"/>
      <c r="G3005" s="6"/>
      <c r="H3005" s="6"/>
      <c r="I3005" s="6"/>
      <c r="J3005" s="16"/>
      <c r="K3005" s="6"/>
      <c r="L3005" s="16"/>
      <c r="M3005" s="6"/>
      <c r="N3005" s="15"/>
      <c r="O3005" s="23"/>
      <c r="P3005" s="21"/>
      <c r="Q3005" s="23"/>
      <c r="R3005" s="6"/>
      <c r="S3005" s="20"/>
      <c r="T3005" s="6"/>
      <c r="W3005" s="20"/>
      <c r="AF3005" s="19"/>
    </row>
    <row r="3006" spans="2:32" ht="16">
      <c r="B3006" s="26" t="str">
        <f t="shared" si="12"/>
        <v/>
      </c>
      <c r="C3006" s="6"/>
      <c r="D3006" s="6"/>
      <c r="E3006" s="6"/>
      <c r="F3006" s="15"/>
      <c r="G3006" s="6"/>
      <c r="H3006" s="6"/>
      <c r="I3006" s="6"/>
      <c r="J3006" s="16"/>
      <c r="K3006" s="6"/>
      <c r="L3006" s="16"/>
      <c r="M3006" s="6"/>
      <c r="N3006" s="15"/>
      <c r="O3006" s="23"/>
      <c r="P3006" s="21"/>
      <c r="Q3006" s="23"/>
      <c r="R3006" s="6"/>
      <c r="S3006" s="20"/>
      <c r="T3006" s="6"/>
      <c r="W3006" s="20"/>
      <c r="AF3006" s="19"/>
    </row>
    <row r="3007" spans="2:32" ht="16">
      <c r="B3007" s="26" t="str">
        <f t="shared" si="12"/>
        <v/>
      </c>
      <c r="C3007" s="6"/>
      <c r="D3007" s="6"/>
      <c r="E3007" s="6"/>
      <c r="F3007" s="15"/>
      <c r="G3007" s="6"/>
      <c r="H3007" s="6"/>
      <c r="I3007" s="6"/>
      <c r="J3007" s="16"/>
      <c r="K3007" s="6"/>
      <c r="L3007" s="16"/>
      <c r="M3007" s="6"/>
      <c r="N3007" s="15"/>
      <c r="O3007" s="23"/>
      <c r="P3007" s="21"/>
      <c r="Q3007" s="23"/>
      <c r="R3007" s="6"/>
      <c r="S3007" s="20"/>
      <c r="T3007" s="6"/>
      <c r="W3007" s="20"/>
      <c r="AF3007" s="19"/>
    </row>
    <row r="3008" spans="2:32" ht="16">
      <c r="B3008" s="26" t="str">
        <f t="shared" si="12"/>
        <v/>
      </c>
      <c r="C3008" s="6"/>
      <c r="D3008" s="6"/>
      <c r="E3008" s="6"/>
      <c r="F3008" s="15"/>
      <c r="G3008" s="6"/>
      <c r="H3008" s="6"/>
      <c r="I3008" s="6"/>
      <c r="J3008" s="16"/>
      <c r="K3008" s="6"/>
      <c r="L3008" s="16"/>
      <c r="M3008" s="6"/>
      <c r="N3008" s="15"/>
      <c r="O3008" s="23"/>
      <c r="P3008" s="21"/>
      <c r="Q3008" s="23"/>
      <c r="R3008" s="6"/>
      <c r="S3008" s="20"/>
      <c r="T3008" s="6"/>
      <c r="W3008" s="20"/>
      <c r="AF3008" s="19"/>
    </row>
    <row r="3009" spans="2:32" ht="16">
      <c r="B3009" s="26" t="str">
        <f t="shared" si="12"/>
        <v/>
      </c>
      <c r="C3009" s="6"/>
      <c r="D3009" s="6"/>
      <c r="E3009" s="6"/>
      <c r="F3009" s="15"/>
      <c r="G3009" s="6"/>
      <c r="H3009" s="6"/>
      <c r="I3009" s="6"/>
      <c r="J3009" s="16"/>
      <c r="K3009" s="6"/>
      <c r="L3009" s="16"/>
      <c r="M3009" s="6"/>
      <c r="N3009" s="15"/>
      <c r="O3009" s="23"/>
      <c r="P3009" s="21"/>
      <c r="Q3009" s="23"/>
      <c r="R3009" s="6"/>
      <c r="S3009" s="20"/>
      <c r="T3009" s="6"/>
      <c r="W3009" s="20"/>
      <c r="AF3009" s="19"/>
    </row>
    <row r="3010" spans="2:32" ht="16">
      <c r="B3010" s="26" t="str">
        <f t="shared" si="12"/>
        <v/>
      </c>
      <c r="C3010" s="6"/>
      <c r="D3010" s="6"/>
      <c r="E3010" s="6"/>
      <c r="F3010" s="15"/>
      <c r="G3010" s="6"/>
      <c r="H3010" s="6"/>
      <c r="I3010" s="6"/>
      <c r="J3010" s="16"/>
      <c r="K3010" s="6"/>
      <c r="L3010" s="16"/>
      <c r="M3010" s="6"/>
      <c r="N3010" s="15"/>
      <c r="O3010" s="23"/>
      <c r="P3010" s="21"/>
      <c r="Q3010" s="23"/>
      <c r="R3010" s="6"/>
      <c r="S3010" s="20"/>
      <c r="T3010" s="6"/>
      <c r="W3010" s="20"/>
      <c r="AF3010" s="19"/>
    </row>
    <row r="3011" spans="2:32" ht="16">
      <c r="B3011" s="26" t="str">
        <f t="shared" si="12"/>
        <v/>
      </c>
      <c r="C3011" s="6"/>
      <c r="D3011" s="6"/>
      <c r="E3011" s="6"/>
      <c r="F3011" s="15"/>
      <c r="G3011" s="6"/>
      <c r="H3011" s="6"/>
      <c r="I3011" s="6"/>
      <c r="J3011" s="16"/>
      <c r="K3011" s="6"/>
      <c r="L3011" s="16"/>
      <c r="M3011" s="6"/>
      <c r="N3011" s="15"/>
      <c r="O3011" s="23"/>
      <c r="P3011" s="21"/>
      <c r="Q3011" s="23"/>
      <c r="R3011" s="6"/>
      <c r="S3011" s="20"/>
      <c r="T3011" s="6"/>
      <c r="W3011" s="20"/>
      <c r="AF3011" s="19"/>
    </row>
    <row r="3012" spans="2:32" ht="16">
      <c r="B3012" s="26" t="str">
        <f t="shared" si="12"/>
        <v/>
      </c>
      <c r="C3012" s="6"/>
      <c r="D3012" s="6"/>
      <c r="E3012" s="6"/>
      <c r="F3012" s="15"/>
      <c r="G3012" s="6"/>
      <c r="H3012" s="6"/>
      <c r="I3012" s="6"/>
      <c r="J3012" s="16"/>
      <c r="K3012" s="6"/>
      <c r="L3012" s="16"/>
      <c r="M3012" s="6"/>
      <c r="N3012" s="15"/>
      <c r="O3012" s="23"/>
      <c r="P3012" s="21"/>
      <c r="Q3012" s="23"/>
      <c r="R3012" s="6"/>
      <c r="S3012" s="20"/>
      <c r="T3012" s="6"/>
      <c r="W3012" s="20"/>
      <c r="AF3012" s="19"/>
    </row>
    <row r="3013" spans="2:32" ht="16">
      <c r="B3013" s="26" t="str">
        <f t="shared" si="12"/>
        <v/>
      </c>
      <c r="C3013" s="6"/>
      <c r="D3013" s="6"/>
      <c r="E3013" s="6"/>
      <c r="F3013" s="15"/>
      <c r="G3013" s="6"/>
      <c r="H3013" s="6"/>
      <c r="I3013" s="6"/>
      <c r="J3013" s="16"/>
      <c r="K3013" s="6"/>
      <c r="L3013" s="16"/>
      <c r="M3013" s="6"/>
      <c r="N3013" s="15"/>
      <c r="O3013" s="23"/>
      <c r="P3013" s="21"/>
      <c r="Q3013" s="23"/>
      <c r="R3013" s="6"/>
      <c r="S3013" s="20"/>
      <c r="T3013" s="6"/>
      <c r="W3013" s="20"/>
      <c r="AF3013" s="19"/>
    </row>
    <row r="3014" spans="2:32" ht="16">
      <c r="B3014" s="26" t="str">
        <f t="shared" si="12"/>
        <v/>
      </c>
      <c r="C3014" s="6"/>
      <c r="D3014" s="6"/>
      <c r="E3014" s="6"/>
      <c r="F3014" s="15"/>
      <c r="G3014" s="6"/>
      <c r="H3014" s="6"/>
      <c r="I3014" s="6"/>
      <c r="J3014" s="16"/>
      <c r="K3014" s="6"/>
      <c r="L3014" s="16"/>
      <c r="M3014" s="6"/>
      <c r="N3014" s="15"/>
      <c r="O3014" s="23"/>
      <c r="P3014" s="21"/>
      <c r="Q3014" s="23"/>
      <c r="R3014" s="6"/>
      <c r="S3014" s="20"/>
      <c r="T3014" s="6"/>
      <c r="W3014" s="20"/>
      <c r="AF3014" s="19"/>
    </row>
    <row r="3015" spans="2:32" ht="16">
      <c r="B3015" s="26" t="str">
        <f t="shared" si="12"/>
        <v/>
      </c>
      <c r="C3015" s="6"/>
      <c r="D3015" s="6"/>
      <c r="E3015" s="6"/>
      <c r="F3015" s="15"/>
      <c r="G3015" s="6"/>
      <c r="H3015" s="6"/>
      <c r="I3015" s="6"/>
      <c r="J3015" s="16"/>
      <c r="K3015" s="6"/>
      <c r="L3015" s="16"/>
      <c r="M3015" s="6"/>
      <c r="N3015" s="15"/>
      <c r="O3015" s="23"/>
      <c r="P3015" s="21"/>
      <c r="Q3015" s="23"/>
      <c r="R3015" s="6"/>
      <c r="S3015" s="20"/>
      <c r="T3015" s="6"/>
      <c r="W3015" s="20"/>
      <c r="AF3015" s="19"/>
    </row>
    <row r="3016" spans="2:32" ht="16">
      <c r="B3016" s="26" t="str">
        <f t="shared" si="12"/>
        <v/>
      </c>
      <c r="C3016" s="6"/>
      <c r="D3016" s="6"/>
      <c r="E3016" s="6"/>
      <c r="F3016" s="15"/>
      <c r="G3016" s="6"/>
      <c r="H3016" s="6"/>
      <c r="I3016" s="6"/>
      <c r="J3016" s="16"/>
      <c r="K3016" s="6"/>
      <c r="L3016" s="16"/>
      <c r="M3016" s="6"/>
      <c r="N3016" s="15"/>
      <c r="O3016" s="23"/>
      <c r="P3016" s="21"/>
      <c r="Q3016" s="23"/>
      <c r="R3016" s="6"/>
      <c r="S3016" s="20"/>
      <c r="T3016" s="6"/>
      <c r="W3016" s="20"/>
      <c r="AF3016" s="19"/>
    </row>
    <row r="3017" spans="2:32" ht="16">
      <c r="B3017" s="26" t="str">
        <f t="shared" si="12"/>
        <v/>
      </c>
      <c r="C3017" s="6"/>
      <c r="D3017" s="6"/>
      <c r="E3017" s="6"/>
      <c r="F3017" s="15"/>
      <c r="G3017" s="6"/>
      <c r="H3017" s="6"/>
      <c r="I3017" s="6"/>
      <c r="J3017" s="16"/>
      <c r="K3017" s="6"/>
      <c r="L3017" s="16"/>
      <c r="M3017" s="6"/>
      <c r="N3017" s="15"/>
      <c r="O3017" s="23"/>
      <c r="P3017" s="21"/>
      <c r="Q3017" s="23"/>
      <c r="R3017" s="6"/>
      <c r="S3017" s="20"/>
      <c r="T3017" s="6"/>
      <c r="W3017" s="20"/>
      <c r="AF3017" s="19"/>
    </row>
    <row r="3018" spans="2:32" ht="16">
      <c r="B3018" s="26" t="str">
        <f t="shared" si="12"/>
        <v/>
      </c>
      <c r="C3018" s="6"/>
      <c r="D3018" s="6"/>
      <c r="E3018" s="6"/>
      <c r="F3018" s="15"/>
      <c r="G3018" s="6"/>
      <c r="H3018" s="6"/>
      <c r="I3018" s="6"/>
      <c r="J3018" s="16"/>
      <c r="K3018" s="6"/>
      <c r="L3018" s="16"/>
      <c r="M3018" s="6"/>
      <c r="N3018" s="15"/>
      <c r="O3018" s="23"/>
      <c r="P3018" s="21"/>
      <c r="Q3018" s="23"/>
      <c r="R3018" s="6"/>
      <c r="S3018" s="20"/>
      <c r="T3018" s="6"/>
      <c r="W3018" s="20"/>
      <c r="AF3018" s="19"/>
    </row>
    <row r="3019" spans="2:32" ht="16">
      <c r="B3019" s="26" t="str">
        <f t="shared" si="12"/>
        <v/>
      </c>
      <c r="C3019" s="6"/>
      <c r="D3019" s="6"/>
      <c r="E3019" s="6"/>
      <c r="F3019" s="15"/>
      <c r="G3019" s="6"/>
      <c r="H3019" s="6"/>
      <c r="I3019" s="6"/>
      <c r="J3019" s="16"/>
      <c r="K3019" s="6"/>
      <c r="L3019" s="16"/>
      <c r="M3019" s="6"/>
      <c r="N3019" s="15"/>
      <c r="O3019" s="23"/>
      <c r="P3019" s="21"/>
      <c r="Q3019" s="23"/>
      <c r="R3019" s="6"/>
      <c r="S3019" s="20"/>
      <c r="T3019" s="6"/>
      <c r="W3019" s="20"/>
      <c r="AF3019" s="19"/>
    </row>
    <row r="3020" spans="2:32" ht="16">
      <c r="B3020" s="26" t="str">
        <f t="shared" si="12"/>
        <v/>
      </c>
      <c r="C3020" s="6"/>
      <c r="D3020" s="6"/>
      <c r="E3020" s="6"/>
      <c r="F3020" s="15"/>
      <c r="G3020" s="6"/>
      <c r="H3020" s="6"/>
      <c r="I3020" s="6"/>
      <c r="J3020" s="16"/>
      <c r="K3020" s="6"/>
      <c r="L3020" s="16"/>
      <c r="M3020" s="6"/>
      <c r="N3020" s="15"/>
      <c r="O3020" s="23"/>
      <c r="P3020" s="21"/>
      <c r="Q3020" s="23"/>
      <c r="R3020" s="6"/>
      <c r="S3020" s="20"/>
      <c r="T3020" s="6"/>
      <c r="W3020" s="20"/>
      <c r="AF3020" s="19"/>
    </row>
    <row r="3021" spans="2:32" ht="16">
      <c r="B3021" s="26" t="str">
        <f t="shared" si="12"/>
        <v/>
      </c>
      <c r="C3021" s="6"/>
      <c r="D3021" s="6"/>
      <c r="E3021" s="6"/>
      <c r="F3021" s="15"/>
      <c r="G3021" s="6"/>
      <c r="H3021" s="6"/>
      <c r="I3021" s="6"/>
      <c r="J3021" s="16"/>
      <c r="K3021" s="6"/>
      <c r="L3021" s="16"/>
      <c r="M3021" s="6"/>
      <c r="N3021" s="15"/>
      <c r="O3021" s="23"/>
      <c r="P3021" s="21"/>
      <c r="Q3021" s="23"/>
      <c r="R3021" s="6"/>
      <c r="S3021" s="20"/>
      <c r="T3021" s="6"/>
      <c r="W3021" s="20"/>
      <c r="AF3021" s="19"/>
    </row>
    <row r="3022" spans="2:32" ht="16">
      <c r="B3022" s="26" t="str">
        <f t="shared" si="12"/>
        <v/>
      </c>
      <c r="C3022" s="6"/>
      <c r="D3022" s="6"/>
      <c r="E3022" s="6"/>
      <c r="F3022" s="15"/>
      <c r="G3022" s="6"/>
      <c r="H3022" s="6"/>
      <c r="I3022" s="6"/>
      <c r="J3022" s="16"/>
      <c r="K3022" s="6"/>
      <c r="L3022" s="16"/>
      <c r="M3022" s="6"/>
      <c r="N3022" s="15"/>
      <c r="O3022" s="23"/>
      <c r="P3022" s="21"/>
      <c r="Q3022" s="23"/>
      <c r="R3022" s="6"/>
      <c r="S3022" s="20"/>
      <c r="T3022" s="6"/>
      <c r="W3022" s="20"/>
      <c r="AF3022" s="19"/>
    </row>
    <row r="3023" spans="2:32" ht="16">
      <c r="B3023" s="26" t="str">
        <f t="shared" si="12"/>
        <v/>
      </c>
      <c r="C3023" s="6"/>
      <c r="D3023" s="6"/>
      <c r="E3023" s="6"/>
      <c r="F3023" s="15"/>
      <c r="G3023" s="6"/>
      <c r="H3023" s="6"/>
      <c r="I3023" s="6"/>
      <c r="J3023" s="16"/>
      <c r="K3023" s="6"/>
      <c r="L3023" s="16"/>
      <c r="M3023" s="6"/>
      <c r="N3023" s="15"/>
      <c r="O3023" s="23"/>
      <c r="P3023" s="21"/>
      <c r="Q3023" s="23"/>
      <c r="R3023" s="6"/>
      <c r="S3023" s="20"/>
      <c r="T3023" s="6"/>
      <c r="W3023" s="20"/>
      <c r="AF3023" s="19"/>
    </row>
    <row r="3024" spans="2:32" ht="16">
      <c r="B3024" s="26" t="str">
        <f t="shared" si="12"/>
        <v/>
      </c>
      <c r="C3024" s="6"/>
      <c r="D3024" s="6"/>
      <c r="E3024" s="6"/>
      <c r="F3024" s="15"/>
      <c r="G3024" s="6"/>
      <c r="H3024" s="6"/>
      <c r="I3024" s="6"/>
      <c r="J3024" s="16"/>
      <c r="K3024" s="6"/>
      <c r="L3024" s="16"/>
      <c r="M3024" s="6"/>
      <c r="N3024" s="15"/>
      <c r="O3024" s="23"/>
      <c r="P3024" s="21"/>
      <c r="Q3024" s="23"/>
      <c r="R3024" s="6"/>
      <c r="S3024" s="20"/>
      <c r="T3024" s="6"/>
      <c r="W3024" s="20"/>
      <c r="AF3024" s="19"/>
    </row>
    <row r="3025" spans="2:32" ht="16">
      <c r="B3025" s="26" t="str">
        <f t="shared" si="12"/>
        <v/>
      </c>
      <c r="C3025" s="6"/>
      <c r="D3025" s="6"/>
      <c r="E3025" s="6"/>
      <c r="F3025" s="15"/>
      <c r="G3025" s="6"/>
      <c r="H3025" s="6"/>
      <c r="I3025" s="6"/>
      <c r="J3025" s="16"/>
      <c r="K3025" s="6"/>
      <c r="L3025" s="16"/>
      <c r="M3025" s="6"/>
      <c r="N3025" s="15"/>
      <c r="O3025" s="23"/>
      <c r="P3025" s="21"/>
      <c r="Q3025" s="23"/>
      <c r="R3025" s="6"/>
      <c r="S3025" s="20"/>
      <c r="T3025" s="6"/>
      <c r="W3025" s="20"/>
      <c r="AF3025" s="19"/>
    </row>
    <row r="3026" spans="2:32" ht="16">
      <c r="B3026" s="26" t="str">
        <f t="shared" si="12"/>
        <v/>
      </c>
      <c r="C3026" s="6"/>
      <c r="D3026" s="6"/>
      <c r="E3026" s="6"/>
      <c r="F3026" s="15"/>
      <c r="G3026" s="6"/>
      <c r="H3026" s="6"/>
      <c r="I3026" s="6"/>
      <c r="J3026" s="16"/>
      <c r="K3026" s="6"/>
      <c r="L3026" s="16"/>
      <c r="M3026" s="6"/>
      <c r="N3026" s="15"/>
      <c r="O3026" s="23"/>
      <c r="P3026" s="21"/>
      <c r="Q3026" s="23"/>
      <c r="R3026" s="6"/>
      <c r="S3026" s="20"/>
      <c r="T3026" s="6"/>
      <c r="W3026" s="20"/>
      <c r="AF3026" s="19"/>
    </row>
    <row r="3027" spans="2:32" ht="16">
      <c r="B3027" s="26" t="str">
        <f t="shared" si="12"/>
        <v/>
      </c>
      <c r="C3027" s="6"/>
      <c r="D3027" s="6"/>
      <c r="E3027" s="6"/>
      <c r="F3027" s="15"/>
      <c r="G3027" s="6"/>
      <c r="H3027" s="6"/>
      <c r="I3027" s="6"/>
      <c r="J3027" s="16"/>
      <c r="K3027" s="6"/>
      <c r="L3027" s="16"/>
      <c r="M3027" s="6"/>
      <c r="N3027" s="15"/>
      <c r="O3027" s="23"/>
      <c r="P3027" s="21"/>
      <c r="Q3027" s="23"/>
      <c r="R3027" s="6"/>
      <c r="S3027" s="20"/>
      <c r="T3027" s="6"/>
      <c r="W3027" s="20"/>
      <c r="AF3027" s="19"/>
    </row>
    <row r="3028" spans="2:32" ht="16">
      <c r="B3028" s="26" t="str">
        <f t="shared" si="12"/>
        <v/>
      </c>
      <c r="C3028" s="6"/>
      <c r="D3028" s="6"/>
      <c r="E3028" s="6"/>
      <c r="F3028" s="15"/>
      <c r="G3028" s="6"/>
      <c r="H3028" s="6"/>
      <c r="I3028" s="6"/>
      <c r="J3028" s="16"/>
      <c r="K3028" s="6"/>
      <c r="L3028" s="16"/>
      <c r="M3028" s="6"/>
      <c r="N3028" s="15"/>
      <c r="O3028" s="23"/>
      <c r="P3028" s="21"/>
      <c r="Q3028" s="23"/>
      <c r="R3028" s="6"/>
      <c r="S3028" s="20"/>
      <c r="T3028" s="6"/>
      <c r="W3028" s="20"/>
      <c r="AF3028" s="19"/>
    </row>
    <row r="3029" spans="2:32" ht="16">
      <c r="B3029" s="26" t="str">
        <f t="shared" si="12"/>
        <v/>
      </c>
      <c r="C3029" s="6"/>
      <c r="D3029" s="6"/>
      <c r="E3029" s="6"/>
      <c r="F3029" s="15"/>
      <c r="G3029" s="6"/>
      <c r="H3029" s="6"/>
      <c r="I3029" s="6"/>
      <c r="J3029" s="16"/>
      <c r="K3029" s="6"/>
      <c r="L3029" s="16"/>
      <c r="M3029" s="6"/>
      <c r="N3029" s="15"/>
      <c r="O3029" s="23"/>
      <c r="P3029" s="21"/>
      <c r="Q3029" s="23"/>
      <c r="R3029" s="6"/>
      <c r="S3029" s="20"/>
      <c r="T3029" s="6"/>
      <c r="W3029" s="20"/>
      <c r="AF3029" s="19"/>
    </row>
    <row r="3030" spans="2:32" ht="16">
      <c r="B3030" s="26" t="str">
        <f t="shared" si="12"/>
        <v/>
      </c>
      <c r="C3030" s="6"/>
      <c r="D3030" s="6"/>
      <c r="E3030" s="6"/>
      <c r="F3030" s="15"/>
      <c r="G3030" s="6"/>
      <c r="H3030" s="6"/>
      <c r="I3030" s="6"/>
      <c r="J3030" s="16"/>
      <c r="K3030" s="6"/>
      <c r="L3030" s="16"/>
      <c r="M3030" s="6"/>
      <c r="N3030" s="15"/>
      <c r="O3030" s="23"/>
      <c r="P3030" s="21"/>
      <c r="Q3030" s="23"/>
      <c r="R3030" s="6"/>
      <c r="S3030" s="20"/>
      <c r="T3030" s="6"/>
      <c r="W3030" s="20"/>
      <c r="AF3030" s="19"/>
    </row>
    <row r="3031" spans="2:32" ht="16">
      <c r="B3031" s="26" t="str">
        <f t="shared" si="12"/>
        <v/>
      </c>
      <c r="C3031" s="6"/>
      <c r="D3031" s="6"/>
      <c r="E3031" s="6"/>
      <c r="F3031" s="15"/>
      <c r="G3031" s="6"/>
      <c r="H3031" s="6"/>
      <c r="I3031" s="6"/>
      <c r="J3031" s="16"/>
      <c r="K3031" s="6"/>
      <c r="L3031" s="16"/>
      <c r="M3031" s="6"/>
      <c r="N3031" s="15"/>
      <c r="O3031" s="23"/>
      <c r="P3031" s="21"/>
      <c r="Q3031" s="23"/>
      <c r="R3031" s="6"/>
      <c r="S3031" s="20"/>
      <c r="T3031" s="6"/>
      <c r="W3031" s="20"/>
      <c r="AF3031" s="19"/>
    </row>
    <row r="3032" spans="2:32" ht="16">
      <c r="B3032" s="26" t="str">
        <f t="shared" si="12"/>
        <v/>
      </c>
      <c r="C3032" s="6"/>
      <c r="D3032" s="6"/>
      <c r="E3032" s="6"/>
      <c r="F3032" s="15"/>
      <c r="G3032" s="6"/>
      <c r="H3032" s="6"/>
      <c r="I3032" s="6"/>
      <c r="J3032" s="16"/>
      <c r="K3032" s="6"/>
      <c r="L3032" s="16"/>
      <c r="M3032" s="6"/>
      <c r="N3032" s="15"/>
      <c r="O3032" s="23"/>
      <c r="P3032" s="21"/>
      <c r="Q3032" s="23"/>
      <c r="R3032" s="6"/>
      <c r="S3032" s="20"/>
      <c r="T3032" s="6"/>
      <c r="W3032" s="20"/>
      <c r="AF3032" s="19"/>
    </row>
    <row r="3033" spans="2:32" ht="16">
      <c r="B3033" s="26" t="str">
        <f t="shared" si="12"/>
        <v/>
      </c>
      <c r="C3033" s="6"/>
      <c r="D3033" s="6"/>
      <c r="E3033" s="6"/>
      <c r="F3033" s="15"/>
      <c r="G3033" s="6"/>
      <c r="H3033" s="6"/>
      <c r="I3033" s="6"/>
      <c r="J3033" s="16"/>
      <c r="K3033" s="6"/>
      <c r="L3033" s="16"/>
      <c r="M3033" s="6"/>
      <c r="N3033" s="15"/>
      <c r="O3033" s="23"/>
      <c r="P3033" s="21"/>
      <c r="Q3033" s="23"/>
      <c r="R3033" s="6"/>
      <c r="S3033" s="20"/>
      <c r="T3033" s="6"/>
      <c r="W3033" s="20"/>
      <c r="AF3033" s="19"/>
    </row>
    <row r="3034" spans="2:32" ht="16">
      <c r="B3034" s="26" t="str">
        <f t="shared" si="12"/>
        <v/>
      </c>
      <c r="C3034" s="6"/>
      <c r="D3034" s="6"/>
      <c r="E3034" s="6"/>
      <c r="F3034" s="15"/>
      <c r="G3034" s="6"/>
      <c r="H3034" s="6"/>
      <c r="I3034" s="6"/>
      <c r="J3034" s="16"/>
      <c r="K3034" s="6"/>
      <c r="L3034" s="16"/>
      <c r="M3034" s="6"/>
      <c r="N3034" s="15"/>
      <c r="O3034" s="23"/>
      <c r="P3034" s="21"/>
      <c r="Q3034" s="23"/>
      <c r="R3034" s="6"/>
      <c r="S3034" s="20"/>
      <c r="T3034" s="6"/>
      <c r="W3034" s="20"/>
      <c r="AF3034" s="19"/>
    </row>
    <row r="3035" spans="2:32" ht="16">
      <c r="B3035" s="26" t="str">
        <f t="shared" si="12"/>
        <v/>
      </c>
      <c r="C3035" s="6"/>
      <c r="D3035" s="6"/>
      <c r="E3035" s="6"/>
      <c r="F3035" s="15"/>
      <c r="G3035" s="6"/>
      <c r="H3035" s="6"/>
      <c r="I3035" s="6"/>
      <c r="J3035" s="16"/>
      <c r="K3035" s="6"/>
      <c r="L3035" s="16"/>
      <c r="M3035" s="6"/>
      <c r="N3035" s="15"/>
      <c r="O3035" s="23"/>
      <c r="P3035" s="21"/>
      <c r="Q3035" s="23"/>
      <c r="R3035" s="6"/>
      <c r="S3035" s="20"/>
      <c r="T3035" s="6"/>
      <c r="W3035" s="20"/>
      <c r="AF3035" s="19"/>
    </row>
    <row r="3036" spans="2:32" ht="16">
      <c r="B3036" s="26" t="str">
        <f t="shared" si="12"/>
        <v/>
      </c>
      <c r="C3036" s="6"/>
      <c r="D3036" s="6"/>
      <c r="E3036" s="6"/>
      <c r="F3036" s="15"/>
      <c r="G3036" s="6"/>
      <c r="H3036" s="6"/>
      <c r="I3036" s="6"/>
      <c r="J3036" s="16"/>
      <c r="K3036" s="6"/>
      <c r="L3036" s="16"/>
      <c r="M3036" s="6"/>
      <c r="N3036" s="15"/>
      <c r="O3036" s="23"/>
      <c r="P3036" s="21"/>
      <c r="Q3036" s="23"/>
      <c r="R3036" s="6"/>
      <c r="S3036" s="20"/>
      <c r="T3036" s="6"/>
      <c r="W3036" s="20"/>
      <c r="AF3036" s="19"/>
    </row>
    <row r="3037" spans="2:32" ht="16">
      <c r="B3037" s="26" t="str">
        <f t="shared" si="12"/>
        <v/>
      </c>
      <c r="C3037" s="6"/>
      <c r="D3037" s="6"/>
      <c r="E3037" s="6"/>
      <c r="F3037" s="15"/>
      <c r="G3037" s="6"/>
      <c r="H3037" s="6"/>
      <c r="I3037" s="6"/>
      <c r="J3037" s="16"/>
      <c r="K3037" s="6"/>
      <c r="L3037" s="16"/>
      <c r="M3037" s="6"/>
      <c r="N3037" s="15"/>
      <c r="O3037" s="23"/>
      <c r="P3037" s="21"/>
      <c r="Q3037" s="23"/>
      <c r="R3037" s="6"/>
      <c r="S3037" s="20"/>
      <c r="T3037" s="6"/>
      <c r="W3037" s="20"/>
      <c r="AF3037" s="19"/>
    </row>
    <row r="3038" spans="2:32" ht="16">
      <c r="B3038" s="26" t="str">
        <f t="shared" si="12"/>
        <v/>
      </c>
      <c r="C3038" s="6"/>
      <c r="D3038" s="6"/>
      <c r="E3038" s="6"/>
      <c r="F3038" s="15"/>
      <c r="G3038" s="6"/>
      <c r="H3038" s="6"/>
      <c r="I3038" s="6"/>
      <c r="J3038" s="16"/>
      <c r="K3038" s="6"/>
      <c r="L3038" s="16"/>
      <c r="M3038" s="6"/>
      <c r="N3038" s="15"/>
      <c r="O3038" s="23"/>
      <c r="P3038" s="21"/>
      <c r="Q3038" s="23"/>
      <c r="R3038" s="6"/>
      <c r="S3038" s="20"/>
      <c r="T3038" s="6"/>
      <c r="W3038" s="20"/>
      <c r="AF3038" s="19"/>
    </row>
    <row r="3039" spans="2:32" ht="16">
      <c r="B3039" s="26" t="str">
        <f t="shared" si="12"/>
        <v/>
      </c>
      <c r="C3039" s="6"/>
      <c r="D3039" s="6"/>
      <c r="E3039" s="6"/>
      <c r="F3039" s="15"/>
      <c r="G3039" s="6"/>
      <c r="H3039" s="6"/>
      <c r="I3039" s="6"/>
      <c r="J3039" s="16"/>
      <c r="K3039" s="6"/>
      <c r="L3039" s="16"/>
      <c r="M3039" s="6"/>
      <c r="N3039" s="15"/>
      <c r="O3039" s="23"/>
      <c r="P3039" s="21"/>
      <c r="Q3039" s="23"/>
      <c r="R3039" s="6"/>
      <c r="S3039" s="20"/>
      <c r="T3039" s="6"/>
      <c r="W3039" s="20"/>
      <c r="AF3039" s="19"/>
    </row>
    <row r="3040" spans="2:32" ht="16">
      <c r="B3040" s="26" t="str">
        <f t="shared" si="12"/>
        <v/>
      </c>
      <c r="C3040" s="6"/>
      <c r="D3040" s="6"/>
      <c r="E3040" s="6"/>
      <c r="F3040" s="15"/>
      <c r="G3040" s="6"/>
      <c r="H3040" s="6"/>
      <c r="I3040" s="6"/>
      <c r="J3040" s="16"/>
      <c r="K3040" s="6"/>
      <c r="L3040" s="16"/>
      <c r="M3040" s="6"/>
      <c r="N3040" s="15"/>
      <c r="O3040" s="23"/>
      <c r="P3040" s="21"/>
      <c r="Q3040" s="23"/>
      <c r="R3040" s="6"/>
      <c r="S3040" s="20"/>
      <c r="T3040" s="6"/>
      <c r="W3040" s="20"/>
      <c r="AF3040" s="19"/>
    </row>
    <row r="3041" spans="2:32" ht="16">
      <c r="B3041" s="26" t="str">
        <f t="shared" si="12"/>
        <v/>
      </c>
      <c r="C3041" s="6"/>
      <c r="D3041" s="6"/>
      <c r="E3041" s="6"/>
      <c r="F3041" s="15"/>
      <c r="G3041" s="6"/>
      <c r="H3041" s="6"/>
      <c r="I3041" s="6"/>
      <c r="J3041" s="16"/>
      <c r="K3041" s="6"/>
      <c r="L3041" s="16"/>
      <c r="M3041" s="6"/>
      <c r="N3041" s="15"/>
      <c r="O3041" s="23"/>
      <c r="P3041" s="21"/>
      <c r="Q3041" s="23"/>
      <c r="R3041" s="6"/>
      <c r="S3041" s="20"/>
      <c r="T3041" s="6"/>
      <c r="W3041" s="20"/>
      <c r="AF3041" s="19"/>
    </row>
    <row r="3042" spans="2:32" ht="16">
      <c r="B3042" s="26" t="str">
        <f t="shared" si="12"/>
        <v/>
      </c>
      <c r="C3042" s="6"/>
      <c r="D3042" s="6"/>
      <c r="E3042" s="6"/>
      <c r="F3042" s="15"/>
      <c r="G3042" s="6"/>
      <c r="H3042" s="6"/>
      <c r="I3042" s="6"/>
      <c r="J3042" s="16"/>
      <c r="K3042" s="6"/>
      <c r="L3042" s="16"/>
      <c r="M3042" s="6"/>
      <c r="N3042" s="15"/>
      <c r="O3042" s="23"/>
      <c r="P3042" s="21"/>
      <c r="Q3042" s="23"/>
      <c r="R3042" s="6"/>
      <c r="S3042" s="20"/>
      <c r="T3042" s="6"/>
      <c r="W3042" s="20"/>
      <c r="AF3042" s="19"/>
    </row>
    <row r="3043" spans="2:32" ht="16">
      <c r="B3043" s="26" t="str">
        <f t="shared" si="12"/>
        <v/>
      </c>
      <c r="C3043" s="6"/>
      <c r="D3043" s="6"/>
      <c r="E3043" s="6"/>
      <c r="F3043" s="15"/>
      <c r="G3043" s="6"/>
      <c r="H3043" s="6"/>
      <c r="I3043" s="6"/>
      <c r="J3043" s="16"/>
      <c r="K3043" s="6"/>
      <c r="L3043" s="16"/>
      <c r="M3043" s="6"/>
      <c r="N3043" s="15"/>
      <c r="O3043" s="23"/>
      <c r="P3043" s="21"/>
      <c r="Q3043" s="23"/>
      <c r="R3043" s="6"/>
      <c r="S3043" s="20"/>
      <c r="T3043" s="6"/>
      <c r="W3043" s="20"/>
      <c r="AF3043" s="19"/>
    </row>
    <row r="3044" spans="2:32" ht="16">
      <c r="B3044" s="26" t="str">
        <f t="shared" si="12"/>
        <v/>
      </c>
      <c r="C3044" s="6"/>
      <c r="D3044" s="6"/>
      <c r="E3044" s="6"/>
      <c r="F3044" s="15"/>
      <c r="G3044" s="6"/>
      <c r="H3044" s="6"/>
      <c r="I3044" s="6"/>
      <c r="J3044" s="16"/>
      <c r="K3044" s="6"/>
      <c r="L3044" s="16"/>
      <c r="M3044" s="6"/>
      <c r="N3044" s="15"/>
      <c r="O3044" s="23"/>
      <c r="P3044" s="21"/>
      <c r="Q3044" s="23"/>
      <c r="R3044" s="6"/>
      <c r="S3044" s="20"/>
      <c r="T3044" s="6"/>
      <c r="W3044" s="20"/>
      <c r="AF3044" s="19"/>
    </row>
    <row r="3045" spans="2:32" ht="16">
      <c r="B3045" s="26" t="str">
        <f t="shared" si="12"/>
        <v/>
      </c>
      <c r="C3045" s="6"/>
      <c r="D3045" s="6"/>
      <c r="E3045" s="6"/>
      <c r="F3045" s="15"/>
      <c r="G3045" s="6"/>
      <c r="H3045" s="6"/>
      <c r="I3045" s="6"/>
      <c r="J3045" s="16"/>
      <c r="K3045" s="6"/>
      <c r="L3045" s="16"/>
      <c r="M3045" s="6"/>
      <c r="N3045" s="15"/>
      <c r="O3045" s="23"/>
      <c r="P3045" s="21"/>
      <c r="Q3045" s="23"/>
      <c r="R3045" s="6"/>
      <c r="S3045" s="20"/>
      <c r="T3045" s="6"/>
      <c r="W3045" s="20"/>
      <c r="AF3045" s="19"/>
    </row>
    <row r="3046" spans="2:32" ht="16">
      <c r="B3046" s="26" t="str">
        <f t="shared" si="12"/>
        <v/>
      </c>
      <c r="C3046" s="6"/>
      <c r="D3046" s="6"/>
      <c r="E3046" s="6"/>
      <c r="F3046" s="15"/>
      <c r="G3046" s="6"/>
      <c r="H3046" s="6"/>
      <c r="I3046" s="6"/>
      <c r="J3046" s="16"/>
      <c r="K3046" s="6"/>
      <c r="L3046" s="16"/>
      <c r="M3046" s="6"/>
      <c r="N3046" s="15"/>
      <c r="O3046" s="23"/>
      <c r="P3046" s="21"/>
      <c r="Q3046" s="23"/>
      <c r="R3046" s="6"/>
      <c r="S3046" s="20"/>
      <c r="T3046" s="6"/>
      <c r="W3046" s="20"/>
      <c r="AF3046" s="19"/>
    </row>
    <row r="3047" spans="2:32" ht="16">
      <c r="B3047" s="26" t="str">
        <f t="shared" si="12"/>
        <v/>
      </c>
      <c r="C3047" s="6"/>
      <c r="D3047" s="6"/>
      <c r="E3047" s="6"/>
      <c r="F3047" s="15"/>
      <c r="G3047" s="6"/>
      <c r="H3047" s="6"/>
      <c r="I3047" s="6"/>
      <c r="J3047" s="16"/>
      <c r="K3047" s="6"/>
      <c r="L3047" s="16"/>
      <c r="M3047" s="6"/>
      <c r="N3047" s="15"/>
      <c r="O3047" s="23"/>
      <c r="P3047" s="21"/>
      <c r="Q3047" s="23"/>
      <c r="R3047" s="6"/>
      <c r="S3047" s="20"/>
      <c r="T3047" s="6"/>
      <c r="W3047" s="20"/>
      <c r="AF3047" s="19"/>
    </row>
    <row r="3048" spans="2:32" ht="16">
      <c r="B3048" s="26" t="str">
        <f t="shared" si="12"/>
        <v/>
      </c>
      <c r="C3048" s="6"/>
      <c r="D3048" s="6"/>
      <c r="E3048" s="6"/>
      <c r="F3048" s="15"/>
      <c r="G3048" s="6"/>
      <c r="H3048" s="6"/>
      <c r="I3048" s="6"/>
      <c r="J3048" s="16"/>
      <c r="K3048" s="6"/>
      <c r="L3048" s="16"/>
      <c r="M3048" s="6"/>
      <c r="N3048" s="15"/>
      <c r="O3048" s="23"/>
      <c r="P3048" s="21"/>
      <c r="Q3048" s="23"/>
      <c r="R3048" s="6"/>
      <c r="S3048" s="20"/>
      <c r="T3048" s="6"/>
      <c r="W3048" s="20"/>
      <c r="AF3048" s="19"/>
    </row>
    <row r="3049" spans="2:32" ht="16">
      <c r="B3049" s="26" t="str">
        <f t="shared" si="12"/>
        <v/>
      </c>
      <c r="C3049" s="6"/>
      <c r="D3049" s="6"/>
      <c r="E3049" s="6"/>
      <c r="F3049" s="15"/>
      <c r="G3049" s="6"/>
      <c r="H3049" s="6"/>
      <c r="I3049" s="6"/>
      <c r="J3049" s="16"/>
      <c r="K3049" s="6"/>
      <c r="L3049" s="16"/>
      <c r="M3049" s="6"/>
      <c r="N3049" s="15"/>
      <c r="O3049" s="23"/>
      <c r="P3049" s="21"/>
      <c r="Q3049" s="23"/>
      <c r="R3049" s="6"/>
      <c r="S3049" s="20"/>
      <c r="T3049" s="6"/>
      <c r="W3049" s="20"/>
      <c r="AF3049" s="19"/>
    </row>
    <row r="3050" spans="2:32" ht="16">
      <c r="B3050" s="26" t="str">
        <f t="shared" si="12"/>
        <v/>
      </c>
      <c r="C3050" s="6"/>
      <c r="D3050" s="6"/>
      <c r="E3050" s="6"/>
      <c r="F3050" s="15"/>
      <c r="G3050" s="6"/>
      <c r="H3050" s="6"/>
      <c r="I3050" s="6"/>
      <c r="J3050" s="16"/>
      <c r="K3050" s="6"/>
      <c r="L3050" s="16"/>
      <c r="M3050" s="6"/>
      <c r="N3050" s="15"/>
      <c r="O3050" s="23"/>
      <c r="P3050" s="21"/>
      <c r="Q3050" s="23"/>
      <c r="R3050" s="6"/>
      <c r="S3050" s="20"/>
      <c r="T3050" s="6"/>
      <c r="W3050" s="20"/>
      <c r="AF3050" s="19"/>
    </row>
    <row r="3051" spans="2:32" ht="16">
      <c r="B3051" s="26" t="str">
        <f t="shared" si="12"/>
        <v/>
      </c>
      <c r="C3051" s="6"/>
      <c r="D3051" s="6"/>
      <c r="E3051" s="6"/>
      <c r="F3051" s="15"/>
      <c r="G3051" s="6"/>
      <c r="H3051" s="6"/>
      <c r="I3051" s="6"/>
      <c r="J3051" s="16"/>
      <c r="K3051" s="6"/>
      <c r="L3051" s="16"/>
      <c r="M3051" s="6"/>
      <c r="N3051" s="15"/>
      <c r="O3051" s="23"/>
      <c r="P3051" s="21"/>
      <c r="Q3051" s="23"/>
      <c r="R3051" s="6"/>
      <c r="S3051" s="20"/>
      <c r="T3051" s="6"/>
      <c r="W3051" s="20"/>
      <c r="AF3051" s="19"/>
    </row>
    <row r="3052" spans="2:32" ht="16">
      <c r="B3052" s="26" t="str">
        <f t="shared" si="12"/>
        <v/>
      </c>
      <c r="C3052" s="6"/>
      <c r="D3052" s="6"/>
      <c r="E3052" s="6"/>
      <c r="F3052" s="15"/>
      <c r="G3052" s="6"/>
      <c r="H3052" s="6"/>
      <c r="I3052" s="6"/>
      <c r="J3052" s="16"/>
      <c r="K3052" s="6"/>
      <c r="L3052" s="16"/>
      <c r="M3052" s="6"/>
      <c r="N3052" s="15"/>
      <c r="O3052" s="23"/>
      <c r="P3052" s="21"/>
      <c r="Q3052" s="23"/>
      <c r="R3052" s="6"/>
      <c r="S3052" s="20"/>
      <c r="T3052" s="6"/>
      <c r="W3052" s="20"/>
      <c r="AF3052" s="19"/>
    </row>
    <row r="3053" spans="2:32" ht="16">
      <c r="B3053" s="26" t="str">
        <f t="shared" si="12"/>
        <v/>
      </c>
      <c r="C3053" s="6"/>
      <c r="D3053" s="6"/>
      <c r="E3053" s="6"/>
      <c r="F3053" s="15"/>
      <c r="G3053" s="6"/>
      <c r="H3053" s="6"/>
      <c r="I3053" s="6"/>
      <c r="J3053" s="16"/>
      <c r="K3053" s="6"/>
      <c r="L3053" s="16"/>
      <c r="M3053" s="6"/>
      <c r="N3053" s="15"/>
      <c r="O3053" s="23"/>
      <c r="P3053" s="21"/>
      <c r="Q3053" s="23"/>
      <c r="R3053" s="6"/>
      <c r="S3053" s="20"/>
      <c r="T3053" s="6"/>
      <c r="W3053" s="20"/>
      <c r="AF3053" s="19"/>
    </row>
    <row r="3054" spans="2:32" ht="16">
      <c r="B3054" s="26" t="str">
        <f t="shared" si="12"/>
        <v/>
      </c>
      <c r="C3054" s="6"/>
      <c r="D3054" s="6"/>
      <c r="E3054" s="6"/>
      <c r="F3054" s="15"/>
      <c r="G3054" s="6"/>
      <c r="H3054" s="6"/>
      <c r="I3054" s="6"/>
      <c r="J3054" s="16"/>
      <c r="K3054" s="6"/>
      <c r="L3054" s="16"/>
      <c r="M3054" s="6"/>
      <c r="N3054" s="15"/>
      <c r="O3054" s="23"/>
      <c r="P3054" s="21"/>
      <c r="Q3054" s="23"/>
      <c r="R3054" s="6"/>
      <c r="S3054" s="20"/>
      <c r="T3054" s="6"/>
      <c r="W3054" s="20"/>
      <c r="AF3054" s="19"/>
    </row>
    <row r="3055" spans="2:32" ht="16">
      <c r="B3055" s="26" t="str">
        <f t="shared" si="12"/>
        <v/>
      </c>
      <c r="C3055" s="6"/>
      <c r="D3055" s="6"/>
      <c r="E3055" s="6"/>
      <c r="F3055" s="15"/>
      <c r="G3055" s="6"/>
      <c r="H3055" s="6"/>
      <c r="I3055" s="6"/>
      <c r="J3055" s="16"/>
      <c r="K3055" s="6"/>
      <c r="L3055" s="16"/>
      <c r="M3055" s="6"/>
      <c r="N3055" s="15"/>
      <c r="O3055" s="23"/>
      <c r="P3055" s="21"/>
      <c r="Q3055" s="23"/>
      <c r="R3055" s="6"/>
      <c r="S3055" s="20"/>
      <c r="T3055" s="6"/>
      <c r="W3055" s="20"/>
      <c r="AF3055" s="19"/>
    </row>
    <row r="3056" spans="2:32" ht="16">
      <c r="B3056" s="26" t="str">
        <f t="shared" si="12"/>
        <v/>
      </c>
      <c r="C3056" s="6"/>
      <c r="D3056" s="6"/>
      <c r="E3056" s="6"/>
      <c r="F3056" s="15"/>
      <c r="G3056" s="6"/>
      <c r="H3056" s="6"/>
      <c r="I3056" s="6"/>
      <c r="J3056" s="16"/>
      <c r="K3056" s="6"/>
      <c r="L3056" s="16"/>
      <c r="M3056" s="6"/>
      <c r="N3056" s="15"/>
      <c r="O3056" s="23"/>
      <c r="P3056" s="21"/>
      <c r="Q3056" s="23"/>
      <c r="R3056" s="6"/>
      <c r="S3056" s="20"/>
      <c r="T3056" s="6"/>
      <c r="W3056" s="20"/>
      <c r="AF3056" s="19"/>
    </row>
    <row r="3057" spans="2:32" ht="16">
      <c r="B3057" s="26" t="str">
        <f t="shared" si="12"/>
        <v/>
      </c>
      <c r="C3057" s="6"/>
      <c r="D3057" s="6"/>
      <c r="E3057" s="6"/>
      <c r="F3057" s="15"/>
      <c r="G3057" s="6"/>
      <c r="H3057" s="6"/>
      <c r="I3057" s="6"/>
      <c r="J3057" s="16"/>
      <c r="K3057" s="6"/>
      <c r="L3057" s="16"/>
      <c r="M3057" s="6"/>
      <c r="N3057" s="15"/>
      <c r="O3057" s="23"/>
      <c r="P3057" s="21"/>
      <c r="Q3057" s="23"/>
      <c r="R3057" s="6"/>
      <c r="S3057" s="20"/>
      <c r="T3057" s="6"/>
      <c r="W3057" s="20"/>
      <c r="AF3057" s="19"/>
    </row>
    <row r="3058" spans="2:32" ht="16">
      <c r="B3058" s="26" t="str">
        <f t="shared" si="12"/>
        <v/>
      </c>
      <c r="C3058" s="6"/>
      <c r="D3058" s="6"/>
      <c r="E3058" s="6"/>
      <c r="F3058" s="15"/>
      <c r="G3058" s="6"/>
      <c r="H3058" s="6"/>
      <c r="I3058" s="6"/>
      <c r="J3058" s="16"/>
      <c r="K3058" s="6"/>
      <c r="L3058" s="16"/>
      <c r="M3058" s="6"/>
      <c r="N3058" s="15"/>
      <c r="O3058" s="23"/>
      <c r="P3058" s="21"/>
      <c r="Q3058" s="23"/>
      <c r="R3058" s="6"/>
      <c r="S3058" s="20"/>
      <c r="T3058" s="6"/>
      <c r="W3058" s="20"/>
      <c r="AF3058" s="19"/>
    </row>
    <row r="3059" spans="2:32" ht="16">
      <c r="B3059" s="26" t="str">
        <f t="shared" si="12"/>
        <v/>
      </c>
      <c r="C3059" s="6"/>
      <c r="D3059" s="6"/>
      <c r="E3059" s="6"/>
      <c r="F3059" s="15"/>
      <c r="G3059" s="6"/>
      <c r="H3059" s="6"/>
      <c r="I3059" s="6"/>
      <c r="J3059" s="16"/>
      <c r="K3059" s="6"/>
      <c r="L3059" s="16"/>
      <c r="M3059" s="6"/>
      <c r="N3059" s="15"/>
      <c r="O3059" s="23"/>
      <c r="P3059" s="21"/>
      <c r="Q3059" s="23"/>
      <c r="R3059" s="6"/>
      <c r="S3059" s="20"/>
      <c r="T3059" s="6"/>
      <c r="W3059" s="20"/>
      <c r="AF3059" s="19"/>
    </row>
    <row r="3060" spans="2:32" ht="16">
      <c r="B3060" s="26" t="str">
        <f t="shared" si="12"/>
        <v/>
      </c>
      <c r="C3060" s="6"/>
      <c r="D3060" s="6"/>
      <c r="E3060" s="6"/>
      <c r="F3060" s="15"/>
      <c r="G3060" s="6"/>
      <c r="H3060" s="6"/>
      <c r="I3060" s="6"/>
      <c r="J3060" s="16"/>
      <c r="K3060" s="6"/>
      <c r="L3060" s="16"/>
      <c r="M3060" s="6"/>
      <c r="N3060" s="15"/>
      <c r="O3060" s="23"/>
      <c r="P3060" s="21"/>
      <c r="Q3060" s="23"/>
      <c r="R3060" s="6"/>
      <c r="S3060" s="20"/>
      <c r="T3060" s="6"/>
      <c r="W3060" s="20"/>
      <c r="AF3060" s="19"/>
    </row>
    <row r="3061" spans="2:32" ht="16">
      <c r="B3061" s="26" t="str">
        <f t="shared" si="12"/>
        <v/>
      </c>
      <c r="C3061" s="6"/>
      <c r="D3061" s="6"/>
      <c r="E3061" s="6"/>
      <c r="F3061" s="15"/>
      <c r="G3061" s="6"/>
      <c r="H3061" s="6"/>
      <c r="I3061" s="6"/>
      <c r="J3061" s="16"/>
      <c r="K3061" s="6"/>
      <c r="L3061" s="16"/>
      <c r="M3061" s="6"/>
      <c r="N3061" s="15"/>
      <c r="O3061" s="23"/>
      <c r="P3061" s="21"/>
      <c r="Q3061" s="23"/>
      <c r="R3061" s="6"/>
      <c r="S3061" s="20"/>
      <c r="T3061" s="6"/>
      <c r="W3061" s="20"/>
      <c r="AF3061" s="19"/>
    </row>
    <row r="3062" spans="2:32" ht="16">
      <c r="B3062" s="26" t="str">
        <f t="shared" si="12"/>
        <v/>
      </c>
      <c r="C3062" s="6"/>
      <c r="D3062" s="6"/>
      <c r="E3062" s="6"/>
      <c r="F3062" s="15"/>
      <c r="G3062" s="6"/>
      <c r="H3062" s="6"/>
      <c r="I3062" s="6"/>
      <c r="J3062" s="16"/>
      <c r="K3062" s="6"/>
      <c r="L3062" s="16"/>
      <c r="M3062" s="6"/>
      <c r="N3062" s="15"/>
      <c r="O3062" s="23"/>
      <c r="P3062" s="21"/>
      <c r="Q3062" s="23"/>
      <c r="R3062" s="6"/>
      <c r="S3062" s="20"/>
      <c r="T3062" s="6"/>
      <c r="W3062" s="20"/>
      <c r="AF3062" s="19"/>
    </row>
    <row r="3063" spans="2:32" ht="16">
      <c r="B3063" s="26" t="str">
        <f t="shared" si="12"/>
        <v/>
      </c>
      <c r="C3063" s="6"/>
      <c r="D3063" s="6"/>
      <c r="E3063" s="6"/>
      <c r="F3063" s="15"/>
      <c r="G3063" s="6"/>
      <c r="H3063" s="6"/>
      <c r="I3063" s="6"/>
      <c r="J3063" s="16"/>
      <c r="K3063" s="6"/>
      <c r="L3063" s="16"/>
      <c r="M3063" s="6"/>
      <c r="N3063" s="15"/>
      <c r="O3063" s="23"/>
      <c r="P3063" s="21"/>
      <c r="Q3063" s="23"/>
      <c r="R3063" s="6"/>
      <c r="S3063" s="20"/>
      <c r="T3063" s="6"/>
      <c r="W3063" s="20"/>
      <c r="AF3063" s="19"/>
    </row>
    <row r="3064" spans="2:32" ht="16">
      <c r="B3064" s="26" t="str">
        <f t="shared" si="12"/>
        <v/>
      </c>
      <c r="C3064" s="6"/>
      <c r="D3064" s="6"/>
      <c r="E3064" s="6"/>
      <c r="F3064" s="15"/>
      <c r="G3064" s="6"/>
      <c r="H3064" s="6"/>
      <c r="I3064" s="6"/>
      <c r="J3064" s="16"/>
      <c r="K3064" s="6"/>
      <c r="L3064" s="16"/>
      <c r="M3064" s="6"/>
      <c r="N3064" s="15"/>
      <c r="O3064" s="23"/>
      <c r="P3064" s="21"/>
      <c r="Q3064" s="23"/>
      <c r="R3064" s="6"/>
      <c r="S3064" s="20"/>
      <c r="T3064" s="6"/>
      <c r="W3064" s="20"/>
      <c r="AF3064" s="19"/>
    </row>
    <row r="3065" spans="2:32" ht="16">
      <c r="B3065" s="26" t="str">
        <f t="shared" si="12"/>
        <v/>
      </c>
      <c r="C3065" s="6"/>
      <c r="D3065" s="6"/>
      <c r="E3065" s="6"/>
      <c r="F3065" s="15"/>
      <c r="G3065" s="6"/>
      <c r="H3065" s="6"/>
      <c r="I3065" s="6"/>
      <c r="J3065" s="16"/>
      <c r="K3065" s="6"/>
      <c r="L3065" s="16"/>
      <c r="M3065" s="6"/>
      <c r="N3065" s="15"/>
      <c r="O3065" s="23"/>
      <c r="P3065" s="21"/>
      <c r="Q3065" s="23"/>
      <c r="R3065" s="6"/>
      <c r="S3065" s="20"/>
      <c r="T3065" s="6"/>
      <c r="W3065" s="20"/>
      <c r="AF3065" s="19"/>
    </row>
    <row r="3066" spans="2:32" ht="16">
      <c r="B3066" s="26" t="str">
        <f t="shared" si="12"/>
        <v/>
      </c>
      <c r="C3066" s="6"/>
      <c r="D3066" s="6"/>
      <c r="E3066" s="6"/>
      <c r="F3066" s="15"/>
      <c r="G3066" s="6"/>
      <c r="H3066" s="6"/>
      <c r="I3066" s="6"/>
      <c r="J3066" s="16"/>
      <c r="K3066" s="6"/>
      <c r="L3066" s="16"/>
      <c r="M3066" s="6"/>
      <c r="N3066" s="15"/>
      <c r="O3066" s="23"/>
      <c r="P3066" s="21"/>
      <c r="Q3066" s="23"/>
      <c r="R3066" s="6"/>
      <c r="S3066" s="20"/>
      <c r="T3066" s="6"/>
      <c r="W3066" s="20"/>
      <c r="AF3066" s="19"/>
    </row>
    <row r="3067" spans="2:32" ht="16">
      <c r="B3067" s="26" t="str">
        <f t="shared" si="12"/>
        <v/>
      </c>
      <c r="C3067" s="6"/>
      <c r="D3067" s="6"/>
      <c r="E3067" s="6"/>
      <c r="F3067" s="15"/>
      <c r="G3067" s="6"/>
      <c r="H3067" s="6"/>
      <c r="I3067" s="6"/>
      <c r="J3067" s="16"/>
      <c r="K3067" s="6"/>
      <c r="L3067" s="16"/>
      <c r="M3067" s="6"/>
      <c r="N3067" s="15"/>
      <c r="O3067" s="23"/>
      <c r="P3067" s="21"/>
      <c r="Q3067" s="23"/>
      <c r="R3067" s="6"/>
      <c r="S3067" s="20"/>
      <c r="T3067" s="6"/>
      <c r="W3067" s="20"/>
      <c r="AF3067" s="19"/>
    </row>
    <row r="3068" spans="2:32" ht="16">
      <c r="B3068" s="26" t="str">
        <f t="shared" si="12"/>
        <v/>
      </c>
      <c r="C3068" s="6"/>
      <c r="D3068" s="6"/>
      <c r="E3068" s="6"/>
      <c r="F3068" s="15"/>
      <c r="G3068" s="6"/>
      <c r="H3068" s="6"/>
      <c r="I3068" s="6"/>
      <c r="J3068" s="16"/>
      <c r="K3068" s="6"/>
      <c r="L3068" s="16"/>
      <c r="M3068" s="6"/>
      <c r="N3068" s="15"/>
      <c r="O3068" s="23"/>
      <c r="P3068" s="21"/>
      <c r="Q3068" s="23"/>
      <c r="R3068" s="6"/>
      <c r="S3068" s="20"/>
      <c r="T3068" s="6"/>
      <c r="W3068" s="20"/>
      <c r="AF3068" s="19"/>
    </row>
    <row r="3069" spans="2:32" ht="16">
      <c r="B3069" s="26" t="str">
        <f t="shared" si="12"/>
        <v/>
      </c>
      <c r="C3069" s="6"/>
      <c r="D3069" s="6"/>
      <c r="E3069" s="6"/>
      <c r="F3069" s="15"/>
      <c r="G3069" s="6"/>
      <c r="H3069" s="6"/>
      <c r="I3069" s="6"/>
      <c r="J3069" s="16"/>
      <c r="K3069" s="6"/>
      <c r="L3069" s="16"/>
      <c r="M3069" s="6"/>
      <c r="N3069" s="15"/>
      <c r="O3069" s="23"/>
      <c r="P3069" s="21"/>
      <c r="Q3069" s="23"/>
      <c r="R3069" s="6"/>
      <c r="S3069" s="20"/>
      <c r="T3069" s="6"/>
      <c r="W3069" s="20"/>
      <c r="AF3069" s="19"/>
    </row>
    <row r="3070" spans="2:32" ht="16">
      <c r="B3070" s="26" t="str">
        <f t="shared" si="12"/>
        <v/>
      </c>
      <c r="C3070" s="6"/>
      <c r="D3070" s="6"/>
      <c r="E3070" s="6"/>
      <c r="F3070" s="15"/>
      <c r="G3070" s="6"/>
      <c r="H3070" s="6"/>
      <c r="I3070" s="6"/>
      <c r="J3070" s="16"/>
      <c r="K3070" s="6"/>
      <c r="L3070" s="16"/>
      <c r="M3070" s="6"/>
      <c r="N3070" s="15"/>
      <c r="O3070" s="23"/>
      <c r="P3070" s="21"/>
      <c r="Q3070" s="23"/>
      <c r="R3070" s="6"/>
      <c r="S3070" s="20"/>
      <c r="T3070" s="6"/>
      <c r="W3070" s="20"/>
      <c r="AF3070" s="19"/>
    </row>
    <row r="3071" spans="2:32" ht="16">
      <c r="B3071" s="26" t="str">
        <f t="shared" si="12"/>
        <v/>
      </c>
      <c r="C3071" s="6"/>
      <c r="D3071" s="6"/>
      <c r="E3071" s="6"/>
      <c r="F3071" s="15"/>
      <c r="G3071" s="6"/>
      <c r="H3071" s="6"/>
      <c r="I3071" s="6"/>
      <c r="J3071" s="16"/>
      <c r="K3071" s="6"/>
      <c r="L3071" s="16"/>
      <c r="M3071" s="6"/>
      <c r="N3071" s="15"/>
      <c r="O3071" s="23"/>
      <c r="P3071" s="21"/>
      <c r="Q3071" s="23"/>
      <c r="R3071" s="6"/>
      <c r="S3071" s="20"/>
      <c r="T3071" s="6"/>
      <c r="W3071" s="20"/>
      <c r="AF3071" s="19"/>
    </row>
    <row r="3072" spans="2:32" ht="16">
      <c r="B3072" s="26" t="str">
        <f t="shared" si="12"/>
        <v/>
      </c>
      <c r="C3072" s="6"/>
      <c r="D3072" s="6"/>
      <c r="E3072" s="6"/>
      <c r="F3072" s="15"/>
      <c r="G3072" s="6"/>
      <c r="H3072" s="6"/>
      <c r="I3072" s="6"/>
      <c r="J3072" s="16"/>
      <c r="K3072" s="6"/>
      <c r="L3072" s="16"/>
      <c r="M3072" s="6"/>
      <c r="N3072" s="15"/>
      <c r="O3072" s="23"/>
      <c r="P3072" s="21"/>
      <c r="Q3072" s="23"/>
      <c r="R3072" s="6"/>
      <c r="S3072" s="20"/>
      <c r="T3072" s="6"/>
      <c r="W3072" s="20"/>
      <c r="AF3072" s="19"/>
    </row>
    <row r="3073" spans="2:32" ht="16">
      <c r="B3073" s="26" t="str">
        <f t="shared" si="12"/>
        <v/>
      </c>
      <c r="C3073" s="6"/>
      <c r="D3073" s="6"/>
      <c r="E3073" s="6"/>
      <c r="F3073" s="15"/>
      <c r="G3073" s="6"/>
      <c r="H3073" s="6"/>
      <c r="I3073" s="6"/>
      <c r="J3073" s="16"/>
      <c r="K3073" s="6"/>
      <c r="L3073" s="16"/>
      <c r="M3073" s="6"/>
      <c r="N3073" s="15"/>
      <c r="O3073" s="23"/>
      <c r="P3073" s="21"/>
      <c r="Q3073" s="23"/>
      <c r="R3073" s="6"/>
      <c r="S3073" s="20"/>
      <c r="T3073" s="6"/>
      <c r="W3073" s="20"/>
      <c r="AF3073" s="19"/>
    </row>
    <row r="3074" spans="2:32" ht="16">
      <c r="B3074" s="26" t="str">
        <f t="shared" si="12"/>
        <v/>
      </c>
      <c r="C3074" s="6"/>
      <c r="D3074" s="6"/>
      <c r="E3074" s="6"/>
      <c r="F3074" s="15"/>
      <c r="G3074" s="6"/>
      <c r="H3074" s="6"/>
      <c r="I3074" s="6"/>
      <c r="J3074" s="16"/>
      <c r="K3074" s="6"/>
      <c r="L3074" s="16"/>
      <c r="M3074" s="6"/>
      <c r="N3074" s="15"/>
      <c r="O3074" s="23"/>
      <c r="P3074" s="21"/>
      <c r="Q3074" s="23"/>
      <c r="R3074" s="6"/>
      <c r="S3074" s="20"/>
      <c r="T3074" s="6"/>
      <c r="W3074" s="20"/>
      <c r="AF3074" s="19"/>
    </row>
    <row r="3075" spans="2:32" ht="16">
      <c r="B3075" s="26" t="str">
        <f t="shared" si="12"/>
        <v/>
      </c>
      <c r="C3075" s="6"/>
      <c r="D3075" s="6"/>
      <c r="E3075" s="6"/>
      <c r="F3075" s="15"/>
      <c r="G3075" s="6"/>
      <c r="H3075" s="6"/>
      <c r="I3075" s="6"/>
      <c r="J3075" s="16"/>
      <c r="K3075" s="6"/>
      <c r="L3075" s="16"/>
      <c r="M3075" s="6"/>
      <c r="N3075" s="15"/>
      <c r="O3075" s="23"/>
      <c r="P3075" s="21"/>
      <c r="Q3075" s="23"/>
      <c r="R3075" s="6"/>
      <c r="S3075" s="20"/>
      <c r="T3075" s="6"/>
      <c r="W3075" s="20"/>
      <c r="AF3075" s="19"/>
    </row>
    <row r="3076" spans="2:32" ht="16">
      <c r="B3076" s="26" t="str">
        <f t="shared" si="12"/>
        <v/>
      </c>
      <c r="C3076" s="6"/>
      <c r="D3076" s="6"/>
      <c r="E3076" s="6"/>
      <c r="F3076" s="15"/>
      <c r="G3076" s="6"/>
      <c r="H3076" s="6"/>
      <c r="I3076" s="6"/>
      <c r="J3076" s="16"/>
      <c r="K3076" s="6"/>
      <c r="L3076" s="16"/>
      <c r="M3076" s="6"/>
      <c r="N3076" s="15"/>
      <c r="O3076" s="23"/>
      <c r="P3076" s="21"/>
      <c r="Q3076" s="23"/>
      <c r="R3076" s="6"/>
      <c r="S3076" s="20"/>
      <c r="T3076" s="6"/>
      <c r="W3076" s="20"/>
      <c r="AF3076" s="19"/>
    </row>
    <row r="3077" spans="2:32" ht="16">
      <c r="B3077" s="26" t="str">
        <f t="shared" si="12"/>
        <v/>
      </c>
      <c r="C3077" s="6"/>
      <c r="D3077" s="6"/>
      <c r="E3077" s="6"/>
      <c r="F3077" s="15"/>
      <c r="G3077" s="6"/>
      <c r="H3077" s="6"/>
      <c r="I3077" s="6"/>
      <c r="J3077" s="16"/>
      <c r="K3077" s="6"/>
      <c r="L3077" s="16"/>
      <c r="M3077" s="6"/>
      <c r="N3077" s="15"/>
      <c r="O3077" s="23"/>
      <c r="P3077" s="21"/>
      <c r="Q3077" s="23"/>
      <c r="R3077" s="6"/>
      <c r="S3077" s="20"/>
      <c r="T3077" s="6"/>
      <c r="W3077" s="20"/>
      <c r="AF3077" s="19"/>
    </row>
    <row r="3078" spans="2:32" ht="16">
      <c r="B3078" s="26" t="str">
        <f t="shared" si="12"/>
        <v/>
      </c>
      <c r="C3078" s="6"/>
      <c r="D3078" s="6"/>
      <c r="E3078" s="6"/>
      <c r="F3078" s="15"/>
      <c r="G3078" s="6"/>
      <c r="H3078" s="6"/>
      <c r="I3078" s="6"/>
      <c r="J3078" s="16"/>
      <c r="K3078" s="6"/>
      <c r="L3078" s="16"/>
      <c r="M3078" s="6"/>
      <c r="N3078" s="15"/>
      <c r="O3078" s="23"/>
      <c r="P3078" s="21"/>
      <c r="Q3078" s="23"/>
      <c r="R3078" s="6"/>
      <c r="S3078" s="20"/>
      <c r="T3078" s="6"/>
      <c r="W3078" s="20"/>
      <c r="AF3078" s="19"/>
    </row>
    <row r="3079" spans="2:32" ht="16">
      <c r="B3079" s="26" t="str">
        <f t="shared" si="12"/>
        <v/>
      </c>
      <c r="C3079" s="6"/>
      <c r="D3079" s="6"/>
      <c r="E3079" s="6"/>
      <c r="F3079" s="15"/>
      <c r="G3079" s="6"/>
      <c r="H3079" s="6"/>
      <c r="I3079" s="6"/>
      <c r="J3079" s="16"/>
      <c r="K3079" s="6"/>
      <c r="L3079" s="16"/>
      <c r="M3079" s="6"/>
      <c r="N3079" s="15"/>
      <c r="O3079" s="23"/>
      <c r="P3079" s="21"/>
      <c r="Q3079" s="23"/>
      <c r="R3079" s="6"/>
      <c r="S3079" s="20"/>
      <c r="T3079" s="6"/>
      <c r="W3079" s="20"/>
      <c r="AF3079" s="19"/>
    </row>
    <row r="3080" spans="2:32" ht="16">
      <c r="B3080" s="26" t="str">
        <f t="shared" si="12"/>
        <v/>
      </c>
      <c r="C3080" s="6"/>
      <c r="D3080" s="6"/>
      <c r="E3080" s="6"/>
      <c r="F3080" s="15"/>
      <c r="G3080" s="6"/>
      <c r="H3080" s="6"/>
      <c r="I3080" s="6"/>
      <c r="J3080" s="16"/>
      <c r="K3080" s="6"/>
      <c r="L3080" s="16"/>
      <c r="M3080" s="6"/>
      <c r="N3080" s="15"/>
      <c r="O3080" s="23"/>
      <c r="P3080" s="21"/>
      <c r="Q3080" s="23"/>
      <c r="R3080" s="6"/>
      <c r="S3080" s="20"/>
      <c r="T3080" s="6"/>
      <c r="W3080" s="20"/>
      <c r="AF3080" s="19"/>
    </row>
    <row r="3081" spans="2:32" ht="16">
      <c r="B3081" s="26" t="str">
        <f t="shared" si="12"/>
        <v/>
      </c>
      <c r="C3081" s="6"/>
      <c r="D3081" s="6"/>
      <c r="E3081" s="6"/>
      <c r="F3081" s="15"/>
      <c r="G3081" s="6"/>
      <c r="H3081" s="6"/>
      <c r="I3081" s="6"/>
      <c r="J3081" s="16"/>
      <c r="K3081" s="6"/>
      <c r="L3081" s="16"/>
      <c r="M3081" s="6"/>
      <c r="N3081" s="15"/>
      <c r="O3081" s="23"/>
      <c r="P3081" s="21"/>
      <c r="Q3081" s="23"/>
      <c r="R3081" s="6"/>
      <c r="S3081" s="20"/>
      <c r="T3081" s="6"/>
      <c r="W3081" s="20"/>
      <c r="AF3081" s="19"/>
    </row>
    <row r="3082" spans="2:32" ht="16">
      <c r="B3082" s="26" t="str">
        <f t="shared" si="12"/>
        <v/>
      </c>
      <c r="C3082" s="6"/>
      <c r="D3082" s="6"/>
      <c r="E3082" s="6"/>
      <c r="F3082" s="15"/>
      <c r="G3082" s="6"/>
      <c r="H3082" s="6"/>
      <c r="I3082" s="6"/>
      <c r="J3082" s="16"/>
      <c r="K3082" s="6"/>
      <c r="L3082" s="16"/>
      <c r="M3082" s="6"/>
      <c r="N3082" s="15"/>
      <c r="O3082" s="23"/>
      <c r="P3082" s="21"/>
      <c r="Q3082" s="23"/>
      <c r="R3082" s="6"/>
      <c r="S3082" s="20"/>
      <c r="T3082" s="6"/>
      <c r="W3082" s="20"/>
      <c r="AF3082" s="19"/>
    </row>
    <row r="3083" spans="2:32" ht="16">
      <c r="B3083" s="26" t="str">
        <f t="shared" si="12"/>
        <v/>
      </c>
      <c r="C3083" s="6"/>
      <c r="D3083" s="6"/>
      <c r="E3083" s="6"/>
      <c r="F3083" s="15"/>
      <c r="G3083" s="6"/>
      <c r="H3083" s="6"/>
      <c r="I3083" s="6"/>
      <c r="J3083" s="16"/>
      <c r="K3083" s="6"/>
      <c r="L3083" s="16"/>
      <c r="M3083" s="6"/>
      <c r="N3083" s="15"/>
      <c r="O3083" s="23"/>
      <c r="P3083" s="21"/>
      <c r="Q3083" s="23"/>
      <c r="R3083" s="6"/>
      <c r="S3083" s="20"/>
      <c r="T3083" s="6"/>
      <c r="W3083" s="20"/>
      <c r="AF3083" s="19"/>
    </row>
    <row r="3084" spans="2:32" ht="16">
      <c r="B3084" s="26" t="str">
        <f t="shared" si="12"/>
        <v/>
      </c>
      <c r="C3084" s="6"/>
      <c r="D3084" s="6"/>
      <c r="E3084" s="6"/>
      <c r="F3084" s="15"/>
      <c r="G3084" s="6"/>
      <c r="H3084" s="6"/>
      <c r="I3084" s="6"/>
      <c r="J3084" s="16"/>
      <c r="K3084" s="6"/>
      <c r="L3084" s="16"/>
      <c r="M3084" s="6"/>
      <c r="N3084" s="15"/>
      <c r="O3084" s="23"/>
      <c r="P3084" s="21"/>
      <c r="Q3084" s="23"/>
      <c r="R3084" s="6"/>
      <c r="S3084" s="20"/>
      <c r="T3084" s="6"/>
      <c r="W3084" s="20"/>
      <c r="AF3084" s="19"/>
    </row>
    <row r="3085" spans="2:32" ht="16">
      <c r="B3085" s="26" t="str">
        <f t="shared" si="12"/>
        <v/>
      </c>
      <c r="C3085" s="6"/>
      <c r="D3085" s="6"/>
      <c r="E3085" s="6"/>
      <c r="F3085" s="15"/>
      <c r="G3085" s="6"/>
      <c r="H3085" s="6"/>
      <c r="I3085" s="6"/>
      <c r="J3085" s="16"/>
      <c r="K3085" s="6"/>
      <c r="L3085" s="16"/>
      <c r="M3085" s="6"/>
      <c r="N3085" s="15"/>
      <c r="O3085" s="23"/>
      <c r="P3085" s="21"/>
      <c r="Q3085" s="23"/>
      <c r="R3085" s="6"/>
      <c r="S3085" s="20"/>
      <c r="T3085" s="6"/>
      <c r="W3085" s="20"/>
      <c r="AF3085" s="19"/>
    </row>
    <row r="3086" spans="2:32" ht="16">
      <c r="B3086" s="26" t="str">
        <f t="shared" si="12"/>
        <v/>
      </c>
      <c r="C3086" s="6"/>
      <c r="D3086" s="6"/>
      <c r="E3086" s="6"/>
      <c r="F3086" s="15"/>
      <c r="G3086" s="6"/>
      <c r="H3086" s="6"/>
      <c r="I3086" s="6"/>
      <c r="J3086" s="16"/>
      <c r="K3086" s="6"/>
      <c r="L3086" s="16"/>
      <c r="M3086" s="6"/>
      <c r="N3086" s="15"/>
      <c r="O3086" s="23"/>
      <c r="P3086" s="21"/>
      <c r="Q3086" s="23"/>
      <c r="R3086" s="6"/>
      <c r="S3086" s="20"/>
      <c r="T3086" s="6"/>
      <c r="W3086" s="20"/>
      <c r="AF3086" s="19"/>
    </row>
    <row r="3087" spans="2:32" ht="16">
      <c r="B3087" s="26" t="str">
        <f t="shared" ref="B3087:B3223" si="13">IF($H3087="","",LEFT(C3087,3))</f>
        <v/>
      </c>
      <c r="C3087" s="6"/>
      <c r="D3087" s="6"/>
      <c r="E3087" s="6"/>
      <c r="F3087" s="15"/>
      <c r="G3087" s="6"/>
      <c r="H3087" s="6"/>
      <c r="I3087" s="6"/>
      <c r="J3087" s="16"/>
      <c r="K3087" s="6"/>
      <c r="L3087" s="16"/>
      <c r="M3087" s="6"/>
      <c r="N3087" s="15"/>
      <c r="O3087" s="23"/>
      <c r="P3087" s="21"/>
      <c r="Q3087" s="23"/>
      <c r="R3087" s="6"/>
      <c r="S3087" s="20"/>
      <c r="T3087" s="6"/>
      <c r="W3087" s="20"/>
      <c r="AF3087" s="19"/>
    </row>
    <row r="3088" spans="2:32" ht="16">
      <c r="B3088" s="26" t="str">
        <f t="shared" si="13"/>
        <v/>
      </c>
      <c r="C3088" s="6"/>
      <c r="D3088" s="6"/>
      <c r="E3088" s="6"/>
      <c r="F3088" s="15"/>
      <c r="G3088" s="6"/>
      <c r="H3088" s="6"/>
      <c r="I3088" s="6"/>
      <c r="J3088" s="16"/>
      <c r="K3088" s="6"/>
      <c r="L3088" s="16"/>
      <c r="M3088" s="6"/>
      <c r="N3088" s="15"/>
      <c r="O3088" s="23"/>
      <c r="P3088" s="21"/>
      <c r="Q3088" s="23"/>
      <c r="R3088" s="6"/>
      <c r="S3088" s="20"/>
      <c r="T3088" s="6"/>
      <c r="W3088" s="20"/>
      <c r="AF3088" s="19"/>
    </row>
    <row r="3089" spans="2:32" ht="16">
      <c r="B3089" s="26" t="str">
        <f t="shared" si="13"/>
        <v/>
      </c>
      <c r="C3089" s="6"/>
      <c r="D3089" s="6"/>
      <c r="E3089" s="6"/>
      <c r="F3089" s="15"/>
      <c r="G3089" s="6"/>
      <c r="H3089" s="6"/>
      <c r="I3089" s="6"/>
      <c r="J3089" s="16"/>
      <c r="K3089" s="6"/>
      <c r="L3089" s="16"/>
      <c r="M3089" s="6"/>
      <c r="N3089" s="15"/>
      <c r="O3089" s="23"/>
      <c r="P3089" s="21"/>
      <c r="Q3089" s="23"/>
      <c r="R3089" s="6"/>
      <c r="S3089" s="20"/>
      <c r="T3089" s="6"/>
      <c r="W3089" s="20"/>
      <c r="AF3089" s="19"/>
    </row>
    <row r="3090" spans="2:32" ht="16">
      <c r="B3090" s="26" t="str">
        <f t="shared" si="13"/>
        <v/>
      </c>
      <c r="C3090" s="6"/>
      <c r="D3090" s="6"/>
      <c r="E3090" s="6"/>
      <c r="F3090" s="15"/>
      <c r="G3090" s="6"/>
      <c r="H3090" s="6"/>
      <c r="I3090" s="6"/>
      <c r="J3090" s="16"/>
      <c r="K3090" s="6"/>
      <c r="L3090" s="16"/>
      <c r="M3090" s="6"/>
      <c r="N3090" s="15"/>
      <c r="O3090" s="23"/>
      <c r="P3090" s="21"/>
      <c r="Q3090" s="23"/>
      <c r="R3090" s="6"/>
      <c r="S3090" s="20"/>
      <c r="T3090" s="6"/>
      <c r="W3090" s="20"/>
      <c r="AF3090" s="19"/>
    </row>
    <row r="3091" spans="2:32" ht="16">
      <c r="B3091" s="26" t="str">
        <f t="shared" si="13"/>
        <v/>
      </c>
      <c r="C3091" s="6"/>
      <c r="D3091" s="6"/>
      <c r="E3091" s="6"/>
      <c r="F3091" s="15"/>
      <c r="G3091" s="6"/>
      <c r="H3091" s="6"/>
      <c r="I3091" s="6"/>
      <c r="J3091" s="16"/>
      <c r="K3091" s="6"/>
      <c r="L3091" s="16"/>
      <c r="M3091" s="6"/>
      <c r="N3091" s="15"/>
      <c r="O3091" s="23"/>
      <c r="P3091" s="21"/>
      <c r="Q3091" s="23"/>
      <c r="R3091" s="6"/>
      <c r="S3091" s="20"/>
      <c r="T3091" s="6"/>
      <c r="W3091" s="20"/>
      <c r="AF3091" s="19"/>
    </row>
    <row r="3092" spans="2:32" ht="16">
      <c r="B3092" s="26" t="str">
        <f t="shared" si="13"/>
        <v/>
      </c>
      <c r="C3092" s="6"/>
      <c r="D3092" s="6"/>
      <c r="E3092" s="6"/>
      <c r="F3092" s="15"/>
      <c r="G3092" s="6"/>
      <c r="H3092" s="6"/>
      <c r="I3092" s="6"/>
      <c r="J3092" s="16"/>
      <c r="K3092" s="6"/>
      <c r="L3092" s="16"/>
      <c r="M3092" s="6"/>
      <c r="N3092" s="15"/>
      <c r="O3092" s="23"/>
      <c r="P3092" s="21"/>
      <c r="Q3092" s="23"/>
      <c r="R3092" s="6"/>
      <c r="S3092" s="20"/>
      <c r="T3092" s="6"/>
      <c r="W3092" s="20"/>
      <c r="AF3092" s="19"/>
    </row>
    <row r="3093" spans="2:32" ht="16">
      <c r="B3093" s="26" t="str">
        <f t="shared" si="13"/>
        <v/>
      </c>
      <c r="C3093" s="6"/>
      <c r="D3093" s="6"/>
      <c r="E3093" s="6"/>
      <c r="F3093" s="15"/>
      <c r="G3093" s="6"/>
      <c r="H3093" s="6"/>
      <c r="I3093" s="6"/>
      <c r="J3093" s="16"/>
      <c r="K3093" s="6"/>
      <c r="L3093" s="16"/>
      <c r="M3093" s="6"/>
      <c r="N3093" s="15"/>
      <c r="O3093" s="23"/>
      <c r="P3093" s="21"/>
      <c r="Q3093" s="23"/>
      <c r="R3093" s="6"/>
      <c r="S3093" s="20"/>
      <c r="T3093" s="6"/>
      <c r="W3093" s="20"/>
      <c r="AF3093" s="19"/>
    </row>
    <row r="3094" spans="2:32" ht="16">
      <c r="B3094" s="26" t="str">
        <f t="shared" si="13"/>
        <v/>
      </c>
      <c r="C3094" s="6"/>
      <c r="D3094" s="6"/>
      <c r="E3094" s="6"/>
      <c r="F3094" s="15"/>
      <c r="G3094" s="6"/>
      <c r="H3094" s="6"/>
      <c r="I3094" s="6"/>
      <c r="J3094" s="16"/>
      <c r="K3094" s="6"/>
      <c r="L3094" s="16"/>
      <c r="M3094" s="6"/>
      <c r="N3094" s="15"/>
      <c r="O3094" s="23"/>
      <c r="P3094" s="21"/>
      <c r="Q3094" s="23"/>
      <c r="R3094" s="6"/>
      <c r="S3094" s="20"/>
      <c r="T3094" s="6"/>
      <c r="W3094" s="20"/>
      <c r="AF3094" s="19"/>
    </row>
    <row r="3095" spans="2:32" ht="16">
      <c r="B3095" s="26" t="str">
        <f t="shared" si="13"/>
        <v/>
      </c>
      <c r="C3095" s="6"/>
      <c r="D3095" s="6"/>
      <c r="E3095" s="6"/>
      <c r="F3095" s="15"/>
      <c r="G3095" s="6"/>
      <c r="H3095" s="6"/>
      <c r="I3095" s="6"/>
      <c r="J3095" s="16"/>
      <c r="K3095" s="6"/>
      <c r="L3095" s="16"/>
      <c r="M3095" s="6"/>
      <c r="N3095" s="15"/>
      <c r="O3095" s="23"/>
      <c r="P3095" s="21"/>
      <c r="Q3095" s="23"/>
      <c r="R3095" s="6"/>
      <c r="S3095" s="20"/>
      <c r="T3095" s="6"/>
      <c r="W3095" s="20"/>
      <c r="AF3095" s="19"/>
    </row>
    <row r="3096" spans="2:32" ht="16">
      <c r="B3096" s="26" t="str">
        <f t="shared" si="13"/>
        <v/>
      </c>
      <c r="C3096" s="6"/>
      <c r="D3096" s="6"/>
      <c r="E3096" s="6"/>
      <c r="F3096" s="15"/>
      <c r="G3096" s="6"/>
      <c r="H3096" s="6"/>
      <c r="I3096" s="6"/>
      <c r="J3096" s="16"/>
      <c r="K3096" s="6"/>
      <c r="L3096" s="16"/>
      <c r="M3096" s="6"/>
      <c r="N3096" s="15"/>
      <c r="O3096" s="23"/>
      <c r="P3096" s="21"/>
      <c r="Q3096" s="23"/>
      <c r="R3096" s="6"/>
      <c r="S3096" s="20"/>
      <c r="T3096" s="6"/>
      <c r="W3096" s="20"/>
      <c r="AF3096" s="19"/>
    </row>
    <row r="3097" spans="2:32" ht="16">
      <c r="B3097" s="26" t="str">
        <f t="shared" si="13"/>
        <v/>
      </c>
      <c r="C3097" s="6"/>
      <c r="D3097" s="6"/>
      <c r="E3097" s="6"/>
      <c r="F3097" s="15"/>
      <c r="G3097" s="6"/>
      <c r="H3097" s="6"/>
      <c r="I3097" s="6"/>
      <c r="J3097" s="16"/>
      <c r="K3097" s="6"/>
      <c r="L3097" s="16"/>
      <c r="M3097" s="6"/>
      <c r="N3097" s="15"/>
      <c r="O3097" s="23"/>
      <c r="P3097" s="21"/>
      <c r="Q3097" s="23"/>
      <c r="R3097" s="6"/>
      <c r="S3097" s="20"/>
      <c r="T3097" s="6"/>
      <c r="W3097" s="20"/>
      <c r="AF3097" s="19"/>
    </row>
    <row r="3098" spans="2:32" ht="16">
      <c r="B3098" s="26" t="str">
        <f t="shared" si="13"/>
        <v/>
      </c>
      <c r="C3098" s="6"/>
      <c r="D3098" s="6"/>
      <c r="E3098" s="6"/>
      <c r="F3098" s="15"/>
      <c r="G3098" s="6"/>
      <c r="H3098" s="6"/>
      <c r="I3098" s="6"/>
      <c r="J3098" s="16"/>
      <c r="K3098" s="6"/>
      <c r="L3098" s="16"/>
      <c r="M3098" s="6"/>
      <c r="N3098" s="15"/>
      <c r="O3098" s="23"/>
      <c r="P3098" s="21"/>
      <c r="Q3098" s="23"/>
      <c r="R3098" s="6"/>
      <c r="S3098" s="20"/>
      <c r="T3098" s="6"/>
      <c r="W3098" s="20"/>
      <c r="AF3098" s="19"/>
    </row>
    <row r="3099" spans="2:32" ht="16">
      <c r="B3099" s="26" t="str">
        <f t="shared" si="13"/>
        <v/>
      </c>
      <c r="C3099" s="6"/>
      <c r="D3099" s="6"/>
      <c r="E3099" s="6"/>
      <c r="F3099" s="15"/>
      <c r="G3099" s="6"/>
      <c r="H3099" s="6"/>
      <c r="I3099" s="6"/>
      <c r="J3099" s="16"/>
      <c r="K3099" s="6"/>
      <c r="L3099" s="16"/>
      <c r="M3099" s="6"/>
      <c r="N3099" s="15"/>
      <c r="O3099" s="23"/>
      <c r="P3099" s="21"/>
      <c r="Q3099" s="23"/>
      <c r="R3099" s="6"/>
      <c r="S3099" s="20"/>
      <c r="T3099" s="6"/>
      <c r="W3099" s="20"/>
      <c r="AF3099" s="19"/>
    </row>
    <row r="3100" spans="2:32" ht="16">
      <c r="B3100" s="26" t="str">
        <f t="shared" si="13"/>
        <v/>
      </c>
      <c r="C3100" s="6"/>
      <c r="D3100" s="6"/>
      <c r="E3100" s="6"/>
      <c r="F3100" s="15"/>
      <c r="G3100" s="6"/>
      <c r="H3100" s="6"/>
      <c r="I3100" s="6"/>
      <c r="J3100" s="16"/>
      <c r="K3100" s="6"/>
      <c r="L3100" s="16"/>
      <c r="M3100" s="6"/>
      <c r="N3100" s="15"/>
      <c r="O3100" s="23"/>
      <c r="P3100" s="21"/>
      <c r="Q3100" s="23"/>
      <c r="R3100" s="6"/>
      <c r="S3100" s="20"/>
      <c r="T3100" s="6"/>
      <c r="W3100" s="20"/>
      <c r="AF3100" s="19"/>
    </row>
    <row r="3101" spans="2:32" ht="16">
      <c r="B3101" s="26" t="str">
        <f t="shared" si="13"/>
        <v/>
      </c>
      <c r="C3101" s="6"/>
      <c r="D3101" s="6"/>
      <c r="E3101" s="6"/>
      <c r="F3101" s="15"/>
      <c r="G3101" s="6"/>
      <c r="H3101" s="6"/>
      <c r="I3101" s="6"/>
      <c r="J3101" s="16"/>
      <c r="K3101" s="6"/>
      <c r="L3101" s="16"/>
      <c r="M3101" s="6"/>
      <c r="N3101" s="15"/>
      <c r="O3101" s="23"/>
      <c r="P3101" s="21"/>
      <c r="Q3101" s="23"/>
      <c r="R3101" s="6"/>
      <c r="S3101" s="20"/>
      <c r="T3101" s="6"/>
      <c r="W3101" s="20"/>
      <c r="AF3101" s="19"/>
    </row>
    <row r="3102" spans="2:32" ht="16">
      <c r="B3102" s="26" t="str">
        <f t="shared" si="13"/>
        <v/>
      </c>
      <c r="C3102" s="6"/>
      <c r="D3102" s="6"/>
      <c r="E3102" s="6"/>
      <c r="F3102" s="15"/>
      <c r="G3102" s="6"/>
      <c r="H3102" s="6"/>
      <c r="I3102" s="6"/>
      <c r="J3102" s="16"/>
      <c r="K3102" s="6"/>
      <c r="L3102" s="16"/>
      <c r="M3102" s="6"/>
      <c r="N3102" s="15"/>
      <c r="O3102" s="23"/>
      <c r="P3102" s="21"/>
      <c r="Q3102" s="23"/>
      <c r="R3102" s="6"/>
      <c r="S3102" s="20"/>
      <c r="T3102" s="6"/>
      <c r="W3102" s="20"/>
      <c r="AF3102" s="19"/>
    </row>
    <row r="3103" spans="2:32" ht="16">
      <c r="B3103" s="26" t="str">
        <f t="shared" si="13"/>
        <v/>
      </c>
      <c r="C3103" s="6"/>
      <c r="D3103" s="6"/>
      <c r="E3103" s="6"/>
      <c r="F3103" s="15"/>
      <c r="G3103" s="6"/>
      <c r="H3103" s="6"/>
      <c r="I3103" s="6"/>
      <c r="J3103" s="16"/>
      <c r="K3103" s="6"/>
      <c r="L3103" s="16"/>
      <c r="M3103" s="6"/>
      <c r="N3103" s="15"/>
      <c r="O3103" s="23"/>
      <c r="P3103" s="21"/>
      <c r="Q3103" s="23"/>
      <c r="R3103" s="6"/>
      <c r="S3103" s="20"/>
      <c r="T3103" s="6"/>
      <c r="W3103" s="20"/>
      <c r="AF3103" s="19"/>
    </row>
    <row r="3104" spans="2:32" ht="16">
      <c r="B3104" s="26" t="str">
        <f t="shared" si="13"/>
        <v/>
      </c>
      <c r="C3104" s="6"/>
      <c r="D3104" s="6"/>
      <c r="E3104" s="6"/>
      <c r="F3104" s="15"/>
      <c r="G3104" s="6"/>
      <c r="H3104" s="6"/>
      <c r="I3104" s="6"/>
      <c r="J3104" s="16"/>
      <c r="K3104" s="6"/>
      <c r="L3104" s="16"/>
      <c r="M3104" s="6"/>
      <c r="N3104" s="15"/>
      <c r="O3104" s="23"/>
      <c r="P3104" s="21"/>
      <c r="Q3104" s="23"/>
      <c r="R3104" s="6"/>
      <c r="S3104" s="20"/>
      <c r="T3104" s="6"/>
      <c r="W3104" s="20"/>
      <c r="AF3104" s="19"/>
    </row>
    <row r="3105" spans="2:32" ht="16">
      <c r="B3105" s="26" t="str">
        <f t="shared" si="13"/>
        <v/>
      </c>
      <c r="C3105" s="6"/>
      <c r="D3105" s="6"/>
      <c r="E3105" s="6"/>
      <c r="F3105" s="15"/>
      <c r="G3105" s="6"/>
      <c r="H3105" s="6"/>
      <c r="I3105" s="6"/>
      <c r="J3105" s="16"/>
      <c r="K3105" s="6"/>
      <c r="L3105" s="16"/>
      <c r="M3105" s="6"/>
      <c r="N3105" s="15"/>
      <c r="O3105" s="23"/>
      <c r="P3105" s="21"/>
      <c r="Q3105" s="23"/>
      <c r="R3105" s="6"/>
      <c r="S3105" s="20"/>
      <c r="T3105" s="6"/>
      <c r="W3105" s="20"/>
      <c r="AF3105" s="19"/>
    </row>
    <row r="3106" spans="2:32" ht="16">
      <c r="B3106" s="26" t="str">
        <f t="shared" si="13"/>
        <v/>
      </c>
      <c r="C3106" s="6"/>
      <c r="D3106" s="6"/>
      <c r="E3106" s="6"/>
      <c r="F3106" s="15"/>
      <c r="G3106" s="6"/>
      <c r="H3106" s="6"/>
      <c r="I3106" s="6"/>
      <c r="J3106" s="16"/>
      <c r="K3106" s="6"/>
      <c r="L3106" s="16"/>
      <c r="M3106" s="6"/>
      <c r="N3106" s="15"/>
      <c r="O3106" s="23"/>
      <c r="P3106" s="21"/>
      <c r="Q3106" s="23"/>
      <c r="R3106" s="6"/>
      <c r="S3106" s="20"/>
      <c r="T3106" s="6"/>
      <c r="W3106" s="20"/>
      <c r="AF3106" s="19"/>
    </row>
    <row r="3107" spans="2:32" ht="16">
      <c r="B3107" s="26" t="str">
        <f t="shared" si="13"/>
        <v/>
      </c>
      <c r="C3107" s="6"/>
      <c r="D3107" s="6"/>
      <c r="E3107" s="6"/>
      <c r="F3107" s="15"/>
      <c r="G3107" s="6"/>
      <c r="H3107" s="6"/>
      <c r="I3107" s="6"/>
      <c r="J3107" s="16"/>
      <c r="K3107" s="6"/>
      <c r="L3107" s="16"/>
      <c r="M3107" s="6"/>
      <c r="N3107" s="15"/>
      <c r="O3107" s="23"/>
      <c r="P3107" s="21"/>
      <c r="Q3107" s="23"/>
      <c r="R3107" s="6"/>
      <c r="S3107" s="20"/>
      <c r="T3107" s="6"/>
      <c r="W3107" s="20"/>
      <c r="AF3107" s="19"/>
    </row>
    <row r="3108" spans="2:32" ht="16">
      <c r="B3108" s="26" t="str">
        <f t="shared" si="13"/>
        <v/>
      </c>
      <c r="C3108" s="6"/>
      <c r="D3108" s="6"/>
      <c r="E3108" s="6"/>
      <c r="F3108" s="15"/>
      <c r="G3108" s="6"/>
      <c r="H3108" s="6"/>
      <c r="I3108" s="6"/>
      <c r="J3108" s="16"/>
      <c r="K3108" s="6"/>
      <c r="L3108" s="16"/>
      <c r="M3108" s="6"/>
      <c r="N3108" s="15"/>
      <c r="O3108" s="23"/>
      <c r="P3108" s="21"/>
      <c r="Q3108" s="23"/>
      <c r="R3108" s="6"/>
      <c r="S3108" s="20"/>
      <c r="T3108" s="6"/>
      <c r="W3108" s="20"/>
      <c r="AF3108" s="19"/>
    </row>
    <row r="3109" spans="2:32" ht="16">
      <c r="B3109" s="26" t="str">
        <f t="shared" si="13"/>
        <v/>
      </c>
      <c r="C3109" s="6"/>
      <c r="D3109" s="6"/>
      <c r="E3109" s="6"/>
      <c r="F3109" s="15"/>
      <c r="G3109" s="6"/>
      <c r="H3109" s="6"/>
      <c r="I3109" s="6"/>
      <c r="J3109" s="16"/>
      <c r="K3109" s="6"/>
      <c r="L3109" s="16"/>
      <c r="M3109" s="6"/>
      <c r="N3109" s="15"/>
      <c r="O3109" s="23"/>
      <c r="P3109" s="21"/>
      <c r="Q3109" s="23"/>
      <c r="R3109" s="6"/>
      <c r="S3109" s="20"/>
      <c r="T3109" s="6"/>
      <c r="W3109" s="20"/>
      <c r="AF3109" s="19"/>
    </row>
    <row r="3110" spans="2:32" ht="16">
      <c r="B3110" s="26" t="str">
        <f t="shared" si="13"/>
        <v/>
      </c>
      <c r="C3110" s="6"/>
      <c r="D3110" s="6"/>
      <c r="E3110" s="6"/>
      <c r="F3110" s="15"/>
      <c r="G3110" s="6"/>
      <c r="H3110" s="6"/>
      <c r="I3110" s="6"/>
      <c r="J3110" s="16"/>
      <c r="K3110" s="6"/>
      <c r="L3110" s="16"/>
      <c r="M3110" s="6"/>
      <c r="N3110" s="15"/>
      <c r="O3110" s="23"/>
      <c r="P3110" s="21"/>
      <c r="Q3110" s="23"/>
      <c r="R3110" s="6"/>
      <c r="S3110" s="20"/>
      <c r="T3110" s="6"/>
      <c r="W3110" s="20"/>
      <c r="AF3110" s="19"/>
    </row>
    <row r="3111" spans="2:32" ht="16">
      <c r="B3111" s="26" t="str">
        <f t="shared" si="13"/>
        <v/>
      </c>
      <c r="C3111" s="6"/>
      <c r="D3111" s="6"/>
      <c r="E3111" s="6"/>
      <c r="F3111" s="15"/>
      <c r="G3111" s="6"/>
      <c r="H3111" s="6"/>
      <c r="I3111" s="6"/>
      <c r="J3111" s="16"/>
      <c r="K3111" s="6"/>
      <c r="L3111" s="16"/>
      <c r="M3111" s="6"/>
      <c r="N3111" s="15"/>
      <c r="O3111" s="23"/>
      <c r="P3111" s="21"/>
      <c r="Q3111" s="23"/>
      <c r="R3111" s="6"/>
      <c r="S3111" s="20"/>
      <c r="T3111" s="6"/>
      <c r="W3111" s="20"/>
      <c r="AF3111" s="19"/>
    </row>
    <row r="3112" spans="2:32" ht="16">
      <c r="B3112" s="26" t="str">
        <f t="shared" si="13"/>
        <v/>
      </c>
      <c r="C3112" s="6"/>
      <c r="D3112" s="6"/>
      <c r="E3112" s="6"/>
      <c r="F3112" s="15"/>
      <c r="G3112" s="6"/>
      <c r="H3112" s="6"/>
      <c r="I3112" s="6"/>
      <c r="J3112" s="16"/>
      <c r="K3112" s="6"/>
      <c r="L3112" s="16"/>
      <c r="M3112" s="6"/>
      <c r="N3112" s="15"/>
      <c r="O3112" s="23"/>
      <c r="P3112" s="21"/>
      <c r="Q3112" s="23"/>
      <c r="R3112" s="6"/>
      <c r="S3112" s="20"/>
      <c r="T3112" s="6"/>
      <c r="W3112" s="20"/>
      <c r="AF3112" s="19"/>
    </row>
    <row r="3113" spans="2:32" ht="16">
      <c r="B3113" s="26" t="str">
        <f t="shared" si="13"/>
        <v/>
      </c>
      <c r="C3113" s="6"/>
      <c r="D3113" s="6"/>
      <c r="E3113" s="6"/>
      <c r="F3113" s="15"/>
      <c r="G3113" s="6"/>
      <c r="H3113" s="6"/>
      <c r="I3113" s="6"/>
      <c r="J3113" s="16"/>
      <c r="K3113" s="6"/>
      <c r="L3113" s="16"/>
      <c r="M3113" s="6"/>
      <c r="N3113" s="15"/>
      <c r="O3113" s="23"/>
      <c r="P3113" s="21"/>
      <c r="Q3113" s="23"/>
      <c r="R3113" s="6"/>
      <c r="S3113" s="20"/>
      <c r="T3113" s="6"/>
      <c r="W3113" s="20"/>
      <c r="AF3113" s="19"/>
    </row>
    <row r="3114" spans="2:32" ht="16">
      <c r="B3114" s="26" t="str">
        <f t="shared" si="13"/>
        <v/>
      </c>
      <c r="C3114" s="6"/>
      <c r="D3114" s="6"/>
      <c r="E3114" s="6"/>
      <c r="F3114" s="15"/>
      <c r="G3114" s="6"/>
      <c r="H3114" s="6"/>
      <c r="I3114" s="6"/>
      <c r="J3114" s="16"/>
      <c r="K3114" s="6"/>
      <c r="L3114" s="16"/>
      <c r="M3114" s="6"/>
      <c r="N3114" s="15"/>
      <c r="O3114" s="23"/>
      <c r="P3114" s="21"/>
      <c r="Q3114" s="23"/>
      <c r="R3114" s="6"/>
      <c r="S3114" s="20"/>
      <c r="T3114" s="6"/>
      <c r="W3114" s="20"/>
      <c r="AF3114" s="19"/>
    </row>
    <row r="3115" spans="2:32" ht="16">
      <c r="B3115" s="26" t="str">
        <f t="shared" si="13"/>
        <v/>
      </c>
      <c r="C3115" s="6"/>
      <c r="D3115" s="6"/>
      <c r="E3115" s="6"/>
      <c r="F3115" s="15"/>
      <c r="G3115" s="6"/>
      <c r="H3115" s="6"/>
      <c r="I3115" s="6"/>
      <c r="J3115" s="16"/>
      <c r="K3115" s="6"/>
      <c r="L3115" s="16"/>
      <c r="M3115" s="6"/>
      <c r="N3115" s="15"/>
      <c r="O3115" s="23"/>
      <c r="P3115" s="21"/>
      <c r="Q3115" s="23"/>
      <c r="R3115" s="6"/>
      <c r="S3115" s="20"/>
      <c r="T3115" s="6"/>
      <c r="W3115" s="20"/>
      <c r="AF3115" s="19"/>
    </row>
    <row r="3116" spans="2:32" ht="16">
      <c r="B3116" s="26" t="str">
        <f t="shared" si="13"/>
        <v/>
      </c>
      <c r="C3116" s="6"/>
      <c r="D3116" s="6"/>
      <c r="E3116" s="6"/>
      <c r="F3116" s="15"/>
      <c r="G3116" s="6"/>
      <c r="H3116" s="6"/>
      <c r="I3116" s="6"/>
      <c r="J3116" s="16"/>
      <c r="K3116" s="6"/>
      <c r="L3116" s="16"/>
      <c r="M3116" s="6"/>
      <c r="N3116" s="15"/>
      <c r="O3116" s="23"/>
      <c r="P3116" s="21"/>
      <c r="Q3116" s="23"/>
      <c r="R3116" s="6"/>
      <c r="S3116" s="20"/>
      <c r="T3116" s="6"/>
      <c r="W3116" s="20"/>
      <c r="AF3116" s="19"/>
    </row>
    <row r="3117" spans="2:32" ht="16">
      <c r="B3117" s="26" t="str">
        <f t="shared" si="13"/>
        <v/>
      </c>
      <c r="C3117" s="6"/>
      <c r="D3117" s="6"/>
      <c r="E3117" s="6"/>
      <c r="F3117" s="15"/>
      <c r="G3117" s="6"/>
      <c r="H3117" s="6"/>
      <c r="I3117" s="6"/>
      <c r="J3117" s="16"/>
      <c r="K3117" s="6"/>
      <c r="L3117" s="16"/>
      <c r="M3117" s="6"/>
      <c r="N3117" s="15"/>
      <c r="O3117" s="23"/>
      <c r="P3117" s="21"/>
      <c r="Q3117" s="23"/>
      <c r="R3117" s="6"/>
      <c r="S3117" s="20"/>
      <c r="T3117" s="6"/>
      <c r="W3117" s="20"/>
      <c r="AF3117" s="19"/>
    </row>
    <row r="3118" spans="2:32" ht="16">
      <c r="B3118" s="26" t="str">
        <f t="shared" si="13"/>
        <v/>
      </c>
      <c r="C3118" s="6"/>
      <c r="D3118" s="6"/>
      <c r="E3118" s="6"/>
      <c r="F3118" s="15"/>
      <c r="G3118" s="6"/>
      <c r="H3118" s="6"/>
      <c r="I3118" s="6"/>
      <c r="J3118" s="16"/>
      <c r="K3118" s="6"/>
      <c r="L3118" s="16"/>
      <c r="M3118" s="6"/>
      <c r="N3118" s="15"/>
      <c r="O3118" s="23"/>
      <c r="P3118" s="21"/>
      <c r="Q3118" s="23"/>
      <c r="R3118" s="6"/>
      <c r="S3118" s="20"/>
      <c r="T3118" s="6"/>
      <c r="W3118" s="20"/>
      <c r="AF3118" s="19"/>
    </row>
    <row r="3119" spans="2:32" ht="16">
      <c r="B3119" s="26" t="str">
        <f t="shared" si="13"/>
        <v/>
      </c>
      <c r="C3119" s="6"/>
      <c r="D3119" s="6"/>
      <c r="E3119" s="6"/>
      <c r="F3119" s="15"/>
      <c r="G3119" s="6"/>
      <c r="H3119" s="6"/>
      <c r="I3119" s="6"/>
      <c r="J3119" s="16"/>
      <c r="K3119" s="6"/>
      <c r="L3119" s="16"/>
      <c r="M3119" s="6"/>
      <c r="N3119" s="15"/>
      <c r="O3119" s="23"/>
      <c r="P3119" s="21"/>
      <c r="Q3119" s="23"/>
      <c r="R3119" s="6"/>
      <c r="S3119" s="20"/>
      <c r="T3119" s="6"/>
      <c r="W3119" s="20"/>
      <c r="AF3119" s="19"/>
    </row>
    <row r="3120" spans="2:32" ht="16">
      <c r="B3120" s="26" t="str">
        <f t="shared" si="13"/>
        <v/>
      </c>
      <c r="C3120" s="6"/>
      <c r="D3120" s="6"/>
      <c r="E3120" s="6"/>
      <c r="F3120" s="15"/>
      <c r="G3120" s="6"/>
      <c r="H3120" s="6"/>
      <c r="I3120" s="6"/>
      <c r="J3120" s="16"/>
      <c r="K3120" s="6"/>
      <c r="L3120" s="16"/>
      <c r="M3120" s="6"/>
      <c r="N3120" s="15"/>
      <c r="O3120" s="23"/>
      <c r="P3120" s="21"/>
      <c r="Q3120" s="23"/>
      <c r="R3120" s="6"/>
      <c r="S3120" s="20"/>
      <c r="T3120" s="6"/>
      <c r="W3120" s="20"/>
      <c r="AF3120" s="19"/>
    </row>
    <row r="3121" spans="2:32" ht="16">
      <c r="B3121" s="26" t="str">
        <f t="shared" si="13"/>
        <v/>
      </c>
      <c r="C3121" s="6"/>
      <c r="D3121" s="6"/>
      <c r="E3121" s="6"/>
      <c r="F3121" s="15"/>
      <c r="G3121" s="6"/>
      <c r="H3121" s="6"/>
      <c r="I3121" s="6"/>
      <c r="J3121" s="16"/>
      <c r="K3121" s="6"/>
      <c r="L3121" s="16"/>
      <c r="M3121" s="6"/>
      <c r="N3121" s="15"/>
      <c r="O3121" s="23"/>
      <c r="P3121" s="21"/>
      <c r="Q3121" s="23"/>
      <c r="R3121" s="6"/>
      <c r="S3121" s="20"/>
      <c r="T3121" s="6"/>
      <c r="W3121" s="20"/>
      <c r="AF3121" s="19"/>
    </row>
    <row r="3122" spans="2:32" ht="16">
      <c r="B3122" s="26" t="str">
        <f t="shared" si="13"/>
        <v/>
      </c>
      <c r="C3122" s="6"/>
      <c r="D3122" s="6"/>
      <c r="E3122" s="6"/>
      <c r="F3122" s="15"/>
      <c r="G3122" s="6"/>
      <c r="H3122" s="6"/>
      <c r="I3122" s="6"/>
      <c r="J3122" s="16"/>
      <c r="K3122" s="6"/>
      <c r="L3122" s="16"/>
      <c r="M3122" s="6"/>
      <c r="N3122" s="15"/>
      <c r="O3122" s="23"/>
      <c r="P3122" s="21"/>
      <c r="Q3122" s="23"/>
      <c r="R3122" s="6"/>
      <c r="S3122" s="20"/>
      <c r="T3122" s="6"/>
      <c r="W3122" s="20"/>
      <c r="AF3122" s="19"/>
    </row>
    <row r="3123" spans="2:32" ht="16">
      <c r="B3123" s="26" t="str">
        <f t="shared" si="13"/>
        <v/>
      </c>
      <c r="C3123" s="6"/>
      <c r="D3123" s="6"/>
      <c r="E3123" s="6"/>
      <c r="F3123" s="15"/>
      <c r="G3123" s="6"/>
      <c r="H3123" s="6"/>
      <c r="I3123" s="6"/>
      <c r="J3123" s="16"/>
      <c r="K3123" s="6"/>
      <c r="L3123" s="16"/>
      <c r="M3123" s="6"/>
      <c r="N3123" s="15"/>
      <c r="O3123" s="23"/>
      <c r="P3123" s="21"/>
      <c r="Q3123" s="23"/>
      <c r="R3123" s="6"/>
      <c r="S3123" s="20"/>
      <c r="T3123" s="6"/>
      <c r="W3123" s="20"/>
      <c r="AF3123" s="19"/>
    </row>
    <row r="3124" spans="2:32" ht="16">
      <c r="B3124" s="26" t="str">
        <f t="shared" si="13"/>
        <v/>
      </c>
      <c r="C3124" s="6"/>
      <c r="D3124" s="6"/>
      <c r="E3124" s="6"/>
      <c r="F3124" s="15"/>
      <c r="G3124" s="6"/>
      <c r="H3124" s="6"/>
      <c r="I3124" s="6"/>
      <c r="J3124" s="16"/>
      <c r="K3124" s="6"/>
      <c r="L3124" s="16"/>
      <c r="M3124" s="6"/>
      <c r="N3124" s="15"/>
      <c r="O3124" s="23"/>
      <c r="P3124" s="21"/>
      <c r="Q3124" s="23"/>
      <c r="R3124" s="6"/>
      <c r="S3124" s="20"/>
      <c r="T3124" s="6"/>
      <c r="W3124" s="20"/>
      <c r="AF3124" s="19"/>
    </row>
    <row r="3125" spans="2:32" ht="16">
      <c r="B3125" s="26" t="str">
        <f t="shared" si="13"/>
        <v/>
      </c>
      <c r="C3125" s="6"/>
      <c r="D3125" s="6"/>
      <c r="E3125" s="6"/>
      <c r="F3125" s="15"/>
      <c r="G3125" s="6"/>
      <c r="H3125" s="6"/>
      <c r="I3125" s="6"/>
      <c r="J3125" s="16"/>
      <c r="K3125" s="6"/>
      <c r="L3125" s="16"/>
      <c r="M3125" s="6"/>
      <c r="N3125" s="15"/>
      <c r="O3125" s="23"/>
      <c r="P3125" s="21"/>
      <c r="Q3125" s="23"/>
      <c r="R3125" s="6"/>
      <c r="S3125" s="20"/>
      <c r="T3125" s="6"/>
      <c r="W3125" s="20"/>
      <c r="AF3125" s="19"/>
    </row>
    <row r="3126" spans="2:32" ht="16">
      <c r="B3126" s="26" t="str">
        <f t="shared" si="13"/>
        <v/>
      </c>
      <c r="C3126" s="6"/>
      <c r="D3126" s="6"/>
      <c r="E3126" s="6"/>
      <c r="F3126" s="15"/>
      <c r="G3126" s="6"/>
      <c r="H3126" s="6"/>
      <c r="I3126" s="6"/>
      <c r="J3126" s="16"/>
      <c r="K3126" s="6"/>
      <c r="L3126" s="16"/>
      <c r="M3126" s="6"/>
      <c r="N3126" s="15"/>
      <c r="O3126" s="23"/>
      <c r="P3126" s="21"/>
      <c r="Q3126" s="23"/>
      <c r="R3126" s="6"/>
      <c r="S3126" s="20"/>
      <c r="T3126" s="6"/>
      <c r="W3126" s="20"/>
      <c r="AF3126" s="19"/>
    </row>
    <row r="3127" spans="2:32" ht="16">
      <c r="B3127" s="26" t="str">
        <f t="shared" si="13"/>
        <v/>
      </c>
      <c r="C3127" s="6"/>
      <c r="D3127" s="6"/>
      <c r="E3127" s="6"/>
      <c r="F3127" s="15"/>
      <c r="G3127" s="6"/>
      <c r="H3127" s="6"/>
      <c r="I3127" s="6"/>
      <c r="J3127" s="16"/>
      <c r="K3127" s="6"/>
      <c r="L3127" s="16"/>
      <c r="M3127" s="6"/>
      <c r="N3127" s="15"/>
      <c r="O3127" s="23"/>
      <c r="P3127" s="21"/>
      <c r="Q3127" s="23"/>
      <c r="R3127" s="6"/>
      <c r="S3127" s="20"/>
      <c r="T3127" s="6"/>
      <c r="W3127" s="20"/>
      <c r="AF3127" s="19"/>
    </row>
    <row r="3128" spans="2:32" ht="16">
      <c r="B3128" s="26" t="str">
        <f t="shared" si="13"/>
        <v/>
      </c>
      <c r="C3128" s="6"/>
      <c r="D3128" s="6"/>
      <c r="E3128" s="6"/>
      <c r="F3128" s="15"/>
      <c r="G3128" s="6"/>
      <c r="H3128" s="6"/>
      <c r="I3128" s="6"/>
      <c r="J3128" s="16"/>
      <c r="K3128" s="6"/>
      <c r="L3128" s="16"/>
      <c r="M3128" s="6"/>
      <c r="N3128" s="15"/>
      <c r="O3128" s="23"/>
      <c r="P3128" s="21"/>
      <c r="Q3128" s="23"/>
      <c r="R3128" s="6"/>
      <c r="S3128" s="20"/>
      <c r="T3128" s="6"/>
      <c r="W3128" s="20"/>
      <c r="AF3128" s="19"/>
    </row>
    <row r="3129" spans="2:32" ht="16">
      <c r="B3129" s="26" t="str">
        <f t="shared" si="13"/>
        <v/>
      </c>
      <c r="C3129" s="6"/>
      <c r="D3129" s="6"/>
      <c r="E3129" s="6"/>
      <c r="F3129" s="15"/>
      <c r="G3129" s="6"/>
      <c r="H3129" s="6"/>
      <c r="I3129" s="6"/>
      <c r="J3129" s="16"/>
      <c r="K3129" s="6"/>
      <c r="L3129" s="16"/>
      <c r="M3129" s="6"/>
      <c r="N3129" s="15"/>
      <c r="O3129" s="23"/>
      <c r="P3129" s="21"/>
      <c r="Q3129" s="23"/>
      <c r="R3129" s="6"/>
      <c r="S3129" s="20"/>
      <c r="T3129" s="6"/>
      <c r="W3129" s="20"/>
      <c r="AF3129" s="19"/>
    </row>
    <row r="3130" spans="2:32" ht="16">
      <c r="B3130" s="26" t="str">
        <f t="shared" si="13"/>
        <v/>
      </c>
      <c r="C3130" s="6"/>
      <c r="D3130" s="6"/>
      <c r="E3130" s="6"/>
      <c r="F3130" s="15"/>
      <c r="G3130" s="6"/>
      <c r="H3130" s="6"/>
      <c r="I3130" s="6"/>
      <c r="J3130" s="16"/>
      <c r="K3130" s="6"/>
      <c r="L3130" s="16"/>
      <c r="M3130" s="6"/>
      <c r="N3130" s="15"/>
      <c r="O3130" s="23"/>
      <c r="P3130" s="21"/>
      <c r="Q3130" s="23"/>
      <c r="R3130" s="6"/>
      <c r="S3130" s="20"/>
      <c r="T3130" s="6"/>
      <c r="W3130" s="20"/>
      <c r="AF3130" s="19"/>
    </row>
    <row r="3131" spans="2:32" ht="16">
      <c r="B3131" s="26" t="str">
        <f t="shared" si="13"/>
        <v/>
      </c>
      <c r="C3131" s="6"/>
      <c r="D3131" s="6"/>
      <c r="E3131" s="6"/>
      <c r="F3131" s="15"/>
      <c r="G3131" s="6"/>
      <c r="H3131" s="6"/>
      <c r="I3131" s="6"/>
      <c r="J3131" s="16"/>
      <c r="K3131" s="6"/>
      <c r="L3131" s="16"/>
      <c r="M3131" s="6"/>
      <c r="N3131" s="15"/>
      <c r="O3131" s="23"/>
      <c r="P3131" s="21"/>
      <c r="Q3131" s="23"/>
      <c r="R3131" s="6"/>
      <c r="S3131" s="20"/>
      <c r="T3131" s="6"/>
      <c r="W3131" s="20"/>
      <c r="AF3131" s="19"/>
    </row>
    <row r="3132" spans="2:32" ht="16">
      <c r="B3132" s="26" t="str">
        <f t="shared" si="13"/>
        <v/>
      </c>
      <c r="C3132" s="6"/>
      <c r="D3132" s="6"/>
      <c r="E3132" s="6"/>
      <c r="F3132" s="15"/>
      <c r="G3132" s="6"/>
      <c r="H3132" s="6"/>
      <c r="I3132" s="6"/>
      <c r="J3132" s="16"/>
      <c r="K3132" s="6"/>
      <c r="L3132" s="16"/>
      <c r="M3132" s="6"/>
      <c r="N3132" s="15"/>
      <c r="O3132" s="23"/>
      <c r="P3132" s="21"/>
      <c r="Q3132" s="23"/>
      <c r="R3132" s="6"/>
      <c r="S3132" s="20"/>
      <c r="T3132" s="6"/>
      <c r="W3132" s="20"/>
      <c r="AF3132" s="19"/>
    </row>
    <row r="3133" spans="2:32" ht="16">
      <c r="B3133" s="26" t="str">
        <f t="shared" si="13"/>
        <v/>
      </c>
      <c r="C3133" s="6"/>
      <c r="D3133" s="6"/>
      <c r="E3133" s="6"/>
      <c r="F3133" s="15"/>
      <c r="G3133" s="6"/>
      <c r="H3133" s="6"/>
      <c r="I3133" s="6"/>
      <c r="J3133" s="16"/>
      <c r="K3133" s="6"/>
      <c r="L3133" s="16"/>
      <c r="M3133" s="6"/>
      <c r="N3133" s="15"/>
      <c r="O3133" s="23"/>
      <c r="P3133" s="21"/>
      <c r="Q3133" s="23"/>
      <c r="R3133" s="6"/>
      <c r="S3133" s="20"/>
      <c r="T3133" s="6"/>
      <c r="W3133" s="20"/>
      <c r="AF3133" s="19"/>
    </row>
    <row r="3134" spans="2:32" ht="16">
      <c r="B3134" s="26" t="str">
        <f t="shared" si="13"/>
        <v/>
      </c>
      <c r="C3134" s="6"/>
      <c r="D3134" s="6"/>
      <c r="E3134" s="6"/>
      <c r="F3134" s="15"/>
      <c r="G3134" s="6"/>
      <c r="H3134" s="6"/>
      <c r="I3134" s="6"/>
      <c r="J3134" s="16"/>
      <c r="K3134" s="6"/>
      <c r="L3134" s="16"/>
      <c r="M3134" s="6"/>
      <c r="N3134" s="15"/>
      <c r="O3134" s="23"/>
      <c r="P3134" s="21"/>
      <c r="Q3134" s="23"/>
      <c r="R3134" s="6"/>
      <c r="S3134" s="20"/>
      <c r="T3134" s="6"/>
      <c r="W3134" s="20"/>
      <c r="AF3134" s="19"/>
    </row>
    <row r="3135" spans="2:32" ht="16">
      <c r="B3135" s="26" t="str">
        <f t="shared" si="13"/>
        <v/>
      </c>
      <c r="C3135" s="6"/>
      <c r="D3135" s="6"/>
      <c r="E3135" s="6"/>
      <c r="F3135" s="15"/>
      <c r="G3135" s="6"/>
      <c r="H3135" s="6"/>
      <c r="I3135" s="6"/>
      <c r="J3135" s="16"/>
      <c r="K3135" s="6"/>
      <c r="L3135" s="16"/>
      <c r="M3135" s="6"/>
      <c r="N3135" s="15"/>
      <c r="O3135" s="23"/>
      <c r="P3135" s="21"/>
      <c r="Q3135" s="23"/>
      <c r="R3135" s="6"/>
      <c r="S3135" s="20"/>
      <c r="T3135" s="6"/>
      <c r="W3135" s="20"/>
      <c r="AF3135" s="19"/>
    </row>
    <row r="3136" spans="2:32" ht="16">
      <c r="B3136" s="26" t="str">
        <f t="shared" si="13"/>
        <v/>
      </c>
      <c r="C3136" s="6"/>
      <c r="D3136" s="6"/>
      <c r="E3136" s="6"/>
      <c r="F3136" s="15"/>
      <c r="G3136" s="6"/>
      <c r="H3136" s="6"/>
      <c r="I3136" s="6"/>
      <c r="J3136" s="16"/>
      <c r="K3136" s="6"/>
      <c r="L3136" s="16"/>
      <c r="M3136" s="6"/>
      <c r="N3136" s="15"/>
      <c r="O3136" s="23"/>
      <c r="P3136" s="21"/>
      <c r="Q3136" s="23"/>
      <c r="R3136" s="6"/>
      <c r="S3136" s="20"/>
      <c r="T3136" s="6"/>
      <c r="W3136" s="20"/>
      <c r="AF3136" s="19"/>
    </row>
    <row r="3137" spans="2:32" ht="16">
      <c r="B3137" s="26" t="str">
        <f t="shared" si="13"/>
        <v/>
      </c>
      <c r="C3137" s="6"/>
      <c r="D3137" s="6"/>
      <c r="E3137" s="6"/>
      <c r="F3137" s="15"/>
      <c r="G3137" s="6"/>
      <c r="H3137" s="6"/>
      <c r="I3137" s="6"/>
      <c r="J3137" s="16"/>
      <c r="K3137" s="6"/>
      <c r="L3137" s="16"/>
      <c r="M3137" s="6"/>
      <c r="N3137" s="15"/>
      <c r="O3137" s="23"/>
      <c r="P3137" s="21"/>
      <c r="Q3137" s="23"/>
      <c r="R3137" s="6"/>
      <c r="S3137" s="20"/>
      <c r="T3137" s="6"/>
      <c r="W3137" s="20"/>
      <c r="AF3137" s="19"/>
    </row>
    <row r="3138" spans="2:32" ht="16">
      <c r="B3138" s="26" t="str">
        <f t="shared" si="13"/>
        <v/>
      </c>
      <c r="C3138" s="6"/>
      <c r="D3138" s="6"/>
      <c r="E3138" s="6"/>
      <c r="F3138" s="15"/>
      <c r="G3138" s="6"/>
      <c r="H3138" s="6"/>
      <c r="I3138" s="6"/>
      <c r="J3138" s="16"/>
      <c r="K3138" s="6"/>
      <c r="L3138" s="16"/>
      <c r="M3138" s="6"/>
      <c r="N3138" s="15"/>
      <c r="O3138" s="23"/>
      <c r="P3138" s="21"/>
      <c r="Q3138" s="23"/>
      <c r="R3138" s="6"/>
      <c r="S3138" s="20"/>
      <c r="T3138" s="6"/>
      <c r="W3138" s="20"/>
      <c r="AF3138" s="19"/>
    </row>
    <row r="3139" spans="2:32" ht="16">
      <c r="B3139" s="26" t="str">
        <f t="shared" si="13"/>
        <v/>
      </c>
      <c r="C3139" s="6"/>
      <c r="D3139" s="6"/>
      <c r="E3139" s="6"/>
      <c r="F3139" s="15"/>
      <c r="G3139" s="6"/>
      <c r="H3139" s="6"/>
      <c r="I3139" s="6"/>
      <c r="J3139" s="16"/>
      <c r="K3139" s="6"/>
      <c r="L3139" s="16"/>
      <c r="M3139" s="6"/>
      <c r="N3139" s="15"/>
      <c r="O3139" s="23"/>
      <c r="P3139" s="21"/>
      <c r="Q3139" s="23"/>
      <c r="R3139" s="6"/>
      <c r="S3139" s="20"/>
      <c r="T3139" s="6"/>
      <c r="W3139" s="20"/>
      <c r="AF3139" s="19"/>
    </row>
    <row r="3140" spans="2:32" ht="16">
      <c r="B3140" s="26" t="str">
        <f t="shared" si="13"/>
        <v/>
      </c>
      <c r="C3140" s="6"/>
      <c r="D3140" s="6"/>
      <c r="E3140" s="6"/>
      <c r="F3140" s="15"/>
      <c r="G3140" s="6"/>
      <c r="H3140" s="6"/>
      <c r="I3140" s="6"/>
      <c r="J3140" s="16"/>
      <c r="K3140" s="6"/>
      <c r="L3140" s="16"/>
      <c r="M3140" s="6"/>
      <c r="N3140" s="15"/>
      <c r="O3140" s="23"/>
      <c r="P3140" s="21"/>
      <c r="Q3140" s="23"/>
      <c r="R3140" s="6"/>
      <c r="S3140" s="20"/>
      <c r="T3140" s="6"/>
      <c r="W3140" s="20"/>
      <c r="AF3140" s="19"/>
    </row>
    <row r="3141" spans="2:32" ht="16">
      <c r="B3141" s="26" t="str">
        <f t="shared" si="13"/>
        <v/>
      </c>
      <c r="C3141" s="6"/>
      <c r="D3141" s="6"/>
      <c r="E3141" s="6"/>
      <c r="F3141" s="15"/>
      <c r="G3141" s="6"/>
      <c r="H3141" s="6"/>
      <c r="I3141" s="6"/>
      <c r="J3141" s="16"/>
      <c r="K3141" s="6"/>
      <c r="L3141" s="16"/>
      <c r="M3141" s="6"/>
      <c r="N3141" s="15"/>
      <c r="O3141" s="23"/>
      <c r="P3141" s="21"/>
      <c r="Q3141" s="23"/>
      <c r="R3141" s="6"/>
      <c r="S3141" s="20"/>
      <c r="T3141" s="6"/>
      <c r="W3141" s="20"/>
      <c r="AF3141" s="19"/>
    </row>
    <row r="3142" spans="2:32" ht="16">
      <c r="B3142" s="26" t="str">
        <f t="shared" si="13"/>
        <v/>
      </c>
      <c r="C3142" s="6"/>
      <c r="D3142" s="6"/>
      <c r="E3142" s="6"/>
      <c r="F3142" s="15"/>
      <c r="G3142" s="6"/>
      <c r="H3142" s="6"/>
      <c r="I3142" s="6"/>
      <c r="J3142" s="16"/>
      <c r="K3142" s="6"/>
      <c r="L3142" s="16"/>
      <c r="M3142" s="6"/>
      <c r="N3142" s="15"/>
      <c r="O3142" s="23"/>
      <c r="P3142" s="21"/>
      <c r="Q3142" s="23"/>
      <c r="R3142" s="6"/>
      <c r="S3142" s="20"/>
      <c r="T3142" s="6"/>
      <c r="W3142" s="20"/>
      <c r="AF3142" s="19"/>
    </row>
    <row r="3143" spans="2:32" ht="16">
      <c r="B3143" s="26" t="str">
        <f t="shared" si="13"/>
        <v/>
      </c>
      <c r="C3143" s="6"/>
      <c r="D3143" s="6"/>
      <c r="E3143" s="6"/>
      <c r="F3143" s="15"/>
      <c r="G3143" s="6"/>
      <c r="H3143" s="6"/>
      <c r="I3143" s="6"/>
      <c r="J3143" s="16"/>
      <c r="K3143" s="6"/>
      <c r="L3143" s="16"/>
      <c r="M3143" s="6"/>
      <c r="N3143" s="15"/>
      <c r="O3143" s="23"/>
      <c r="P3143" s="21"/>
      <c r="Q3143" s="23"/>
      <c r="R3143" s="6"/>
      <c r="S3143" s="20"/>
      <c r="T3143" s="6"/>
      <c r="W3143" s="20"/>
      <c r="AF3143" s="19"/>
    </row>
    <row r="3144" spans="2:32" ht="16">
      <c r="B3144" s="26" t="str">
        <f t="shared" si="13"/>
        <v/>
      </c>
      <c r="C3144" s="6"/>
      <c r="D3144" s="6"/>
      <c r="E3144" s="6"/>
      <c r="F3144" s="15"/>
      <c r="G3144" s="6"/>
      <c r="H3144" s="6"/>
      <c r="I3144" s="6"/>
      <c r="J3144" s="16"/>
      <c r="K3144" s="6"/>
      <c r="L3144" s="16"/>
      <c r="M3144" s="6"/>
      <c r="N3144" s="15"/>
      <c r="O3144" s="23"/>
      <c r="P3144" s="21"/>
      <c r="Q3144" s="23"/>
      <c r="R3144" s="6"/>
      <c r="S3144" s="20"/>
      <c r="T3144" s="6"/>
      <c r="W3144" s="20"/>
      <c r="AF3144" s="19"/>
    </row>
    <row r="3145" spans="2:32" ht="16">
      <c r="B3145" s="26" t="str">
        <f t="shared" si="13"/>
        <v/>
      </c>
      <c r="C3145" s="6"/>
      <c r="D3145" s="6"/>
      <c r="E3145" s="6"/>
      <c r="F3145" s="15"/>
      <c r="G3145" s="6"/>
      <c r="H3145" s="6"/>
      <c r="I3145" s="6"/>
      <c r="J3145" s="16"/>
      <c r="K3145" s="6"/>
      <c r="L3145" s="16"/>
      <c r="M3145" s="6"/>
      <c r="N3145" s="15"/>
      <c r="O3145" s="23"/>
      <c r="P3145" s="21"/>
      <c r="Q3145" s="23"/>
      <c r="R3145" s="6"/>
      <c r="S3145" s="20"/>
      <c r="T3145" s="6"/>
      <c r="W3145" s="20"/>
      <c r="AF3145" s="19"/>
    </row>
    <row r="3146" spans="2:32" ht="16">
      <c r="B3146" s="26" t="str">
        <f t="shared" si="13"/>
        <v/>
      </c>
      <c r="C3146" s="6"/>
      <c r="D3146" s="6"/>
      <c r="E3146" s="6"/>
      <c r="F3146" s="15"/>
      <c r="G3146" s="6"/>
      <c r="H3146" s="6"/>
      <c r="I3146" s="6"/>
      <c r="J3146" s="16"/>
      <c r="K3146" s="6"/>
      <c r="L3146" s="16"/>
      <c r="M3146" s="6"/>
      <c r="N3146" s="15"/>
      <c r="O3146" s="23"/>
      <c r="P3146" s="21"/>
      <c r="Q3146" s="23"/>
      <c r="R3146" s="6"/>
      <c r="S3146" s="20"/>
      <c r="T3146" s="6"/>
      <c r="W3146" s="20"/>
      <c r="AF3146" s="19"/>
    </row>
    <row r="3147" spans="2:32" ht="16">
      <c r="B3147" s="26" t="str">
        <f t="shared" si="13"/>
        <v/>
      </c>
      <c r="C3147" s="6"/>
      <c r="D3147" s="6"/>
      <c r="E3147" s="6"/>
      <c r="F3147" s="15"/>
      <c r="G3147" s="6"/>
      <c r="H3147" s="6"/>
      <c r="I3147" s="6"/>
      <c r="J3147" s="16"/>
      <c r="K3147" s="6"/>
      <c r="L3147" s="16"/>
      <c r="M3147" s="6"/>
      <c r="N3147" s="15"/>
      <c r="O3147" s="23"/>
      <c r="P3147" s="21"/>
      <c r="Q3147" s="23"/>
      <c r="R3147" s="6"/>
      <c r="S3147" s="20"/>
      <c r="T3147" s="6"/>
      <c r="W3147" s="20"/>
      <c r="AF3147" s="19"/>
    </row>
    <row r="3148" spans="2:32" ht="16">
      <c r="B3148" s="26" t="str">
        <f t="shared" si="13"/>
        <v/>
      </c>
      <c r="C3148" s="6"/>
      <c r="D3148" s="6"/>
      <c r="E3148" s="6"/>
      <c r="F3148" s="15"/>
      <c r="G3148" s="6"/>
      <c r="H3148" s="6"/>
      <c r="I3148" s="6"/>
      <c r="J3148" s="16"/>
      <c r="K3148" s="6"/>
      <c r="L3148" s="16"/>
      <c r="M3148" s="6"/>
      <c r="N3148" s="15"/>
      <c r="O3148" s="23"/>
      <c r="P3148" s="21"/>
      <c r="Q3148" s="23"/>
      <c r="R3148" s="6"/>
      <c r="S3148" s="20"/>
      <c r="T3148" s="6"/>
      <c r="W3148" s="20"/>
      <c r="AF3148" s="19"/>
    </row>
    <row r="3149" spans="2:32" ht="16">
      <c r="B3149" s="26" t="str">
        <f t="shared" si="13"/>
        <v/>
      </c>
      <c r="C3149" s="6"/>
      <c r="D3149" s="6"/>
      <c r="E3149" s="6"/>
      <c r="F3149" s="15"/>
      <c r="G3149" s="6"/>
      <c r="H3149" s="6"/>
      <c r="I3149" s="6"/>
      <c r="J3149" s="16"/>
      <c r="K3149" s="6"/>
      <c r="L3149" s="16"/>
      <c r="M3149" s="6"/>
      <c r="N3149" s="15"/>
      <c r="O3149" s="23"/>
      <c r="P3149" s="21"/>
      <c r="Q3149" s="23"/>
      <c r="R3149" s="6"/>
      <c r="S3149" s="20"/>
      <c r="T3149" s="6"/>
      <c r="W3149" s="20"/>
      <c r="AF3149" s="19"/>
    </row>
    <row r="3150" spans="2:32" ht="16">
      <c r="B3150" s="26" t="str">
        <f t="shared" si="13"/>
        <v/>
      </c>
      <c r="C3150" s="6"/>
      <c r="D3150" s="6"/>
      <c r="E3150" s="6"/>
      <c r="F3150" s="15"/>
      <c r="G3150" s="6"/>
      <c r="H3150" s="6"/>
      <c r="I3150" s="6"/>
      <c r="J3150" s="16"/>
      <c r="K3150" s="6"/>
      <c r="L3150" s="16"/>
      <c r="M3150" s="6"/>
      <c r="N3150" s="15"/>
      <c r="O3150" s="23"/>
      <c r="P3150" s="21"/>
      <c r="Q3150" s="23"/>
      <c r="R3150" s="6"/>
      <c r="S3150" s="20"/>
      <c r="T3150" s="6"/>
      <c r="W3150" s="20"/>
      <c r="AF3150" s="19"/>
    </row>
    <row r="3151" spans="2:32" ht="16">
      <c r="B3151" s="26" t="str">
        <f t="shared" si="13"/>
        <v/>
      </c>
      <c r="C3151" s="6"/>
      <c r="D3151" s="6"/>
      <c r="E3151" s="6"/>
      <c r="F3151" s="15"/>
      <c r="G3151" s="6"/>
      <c r="H3151" s="6"/>
      <c r="I3151" s="6"/>
      <c r="J3151" s="16"/>
      <c r="K3151" s="6"/>
      <c r="L3151" s="16"/>
      <c r="M3151" s="6"/>
      <c r="N3151" s="15"/>
      <c r="O3151" s="23"/>
      <c r="P3151" s="21"/>
      <c r="Q3151" s="23"/>
      <c r="R3151" s="6"/>
      <c r="S3151" s="20"/>
      <c r="T3151" s="6"/>
      <c r="W3151" s="20"/>
      <c r="AF3151" s="19"/>
    </row>
    <row r="3152" spans="2:32" ht="16">
      <c r="B3152" s="26" t="str">
        <f t="shared" si="13"/>
        <v/>
      </c>
      <c r="C3152" s="6"/>
      <c r="D3152" s="6"/>
      <c r="E3152" s="6"/>
      <c r="F3152" s="15"/>
      <c r="G3152" s="6"/>
      <c r="H3152" s="6"/>
      <c r="I3152" s="6"/>
      <c r="J3152" s="16"/>
      <c r="K3152" s="6"/>
      <c r="L3152" s="16"/>
      <c r="M3152" s="6"/>
      <c r="N3152" s="15"/>
      <c r="O3152" s="23"/>
      <c r="P3152" s="21"/>
      <c r="Q3152" s="23"/>
      <c r="R3152" s="6"/>
      <c r="S3152" s="20"/>
      <c r="T3152" s="6"/>
      <c r="W3152" s="20"/>
      <c r="AF3152" s="19"/>
    </row>
    <row r="3153" spans="2:32" ht="16">
      <c r="B3153" s="26" t="str">
        <f t="shared" si="13"/>
        <v/>
      </c>
      <c r="C3153" s="6"/>
      <c r="D3153" s="6"/>
      <c r="E3153" s="6"/>
      <c r="F3153" s="15"/>
      <c r="G3153" s="6"/>
      <c r="H3153" s="6"/>
      <c r="I3153" s="6"/>
      <c r="J3153" s="16"/>
      <c r="K3153" s="6"/>
      <c r="L3153" s="16"/>
      <c r="M3153" s="6"/>
      <c r="N3153" s="15"/>
      <c r="O3153" s="23"/>
      <c r="P3153" s="21"/>
      <c r="Q3153" s="23"/>
      <c r="R3153" s="6"/>
      <c r="S3153" s="20"/>
      <c r="T3153" s="6"/>
      <c r="W3153" s="20"/>
      <c r="AF3153" s="19"/>
    </row>
    <row r="3154" spans="2:32" ht="16">
      <c r="B3154" s="26" t="str">
        <f t="shared" si="13"/>
        <v/>
      </c>
      <c r="C3154" s="6"/>
      <c r="D3154" s="6"/>
      <c r="E3154" s="6"/>
      <c r="F3154" s="15"/>
      <c r="G3154" s="6"/>
      <c r="H3154" s="6"/>
      <c r="I3154" s="6"/>
      <c r="J3154" s="16"/>
      <c r="K3154" s="6"/>
      <c r="L3154" s="16"/>
      <c r="M3154" s="6"/>
      <c r="N3154" s="15"/>
      <c r="O3154" s="23"/>
      <c r="P3154" s="21"/>
      <c r="Q3154" s="23"/>
      <c r="R3154" s="6"/>
      <c r="S3154" s="20"/>
      <c r="T3154" s="6"/>
      <c r="W3154" s="20"/>
      <c r="AF3154" s="19"/>
    </row>
    <row r="3155" spans="2:32" ht="16">
      <c r="B3155" s="26" t="str">
        <f t="shared" si="13"/>
        <v/>
      </c>
      <c r="C3155" s="6"/>
      <c r="D3155" s="6"/>
      <c r="E3155" s="6"/>
      <c r="F3155" s="15"/>
      <c r="G3155" s="6"/>
      <c r="H3155" s="6"/>
      <c r="I3155" s="6"/>
      <c r="J3155" s="16"/>
      <c r="K3155" s="6"/>
      <c r="L3155" s="16"/>
      <c r="M3155" s="6"/>
      <c r="N3155" s="15"/>
      <c r="O3155" s="23"/>
      <c r="P3155" s="21"/>
      <c r="Q3155" s="23"/>
      <c r="R3155" s="6"/>
      <c r="S3155" s="20"/>
      <c r="T3155" s="6"/>
      <c r="W3155" s="20"/>
      <c r="AF3155" s="19"/>
    </row>
    <row r="3156" spans="2:32" ht="16">
      <c r="B3156" s="26" t="str">
        <f t="shared" si="13"/>
        <v/>
      </c>
      <c r="C3156" s="6"/>
      <c r="D3156" s="6"/>
      <c r="E3156" s="6"/>
      <c r="F3156" s="15"/>
      <c r="G3156" s="6"/>
      <c r="H3156" s="6"/>
      <c r="I3156" s="6"/>
      <c r="J3156" s="16"/>
      <c r="K3156" s="6"/>
      <c r="L3156" s="16"/>
      <c r="M3156" s="6"/>
      <c r="N3156" s="15"/>
      <c r="O3156" s="23"/>
      <c r="P3156" s="21"/>
      <c r="Q3156" s="23"/>
      <c r="R3156" s="6"/>
      <c r="S3156" s="20"/>
      <c r="T3156" s="6"/>
      <c r="W3156" s="20"/>
      <c r="AF3156" s="19"/>
    </row>
    <row r="3157" spans="2:32" ht="16">
      <c r="B3157" s="26" t="str">
        <f t="shared" si="13"/>
        <v/>
      </c>
      <c r="C3157" s="6"/>
      <c r="D3157" s="6"/>
      <c r="E3157" s="6"/>
      <c r="F3157" s="15"/>
      <c r="G3157" s="6"/>
      <c r="H3157" s="6"/>
      <c r="I3157" s="6"/>
      <c r="J3157" s="16"/>
      <c r="K3157" s="6"/>
      <c r="L3157" s="16"/>
      <c r="M3157" s="6"/>
      <c r="N3157" s="15"/>
      <c r="O3157" s="23"/>
      <c r="P3157" s="21"/>
      <c r="Q3157" s="23"/>
      <c r="R3157" s="6"/>
      <c r="S3157" s="20"/>
      <c r="T3157" s="6"/>
      <c r="W3157" s="20"/>
      <c r="AF3157" s="19"/>
    </row>
    <row r="3158" spans="2:32" ht="16">
      <c r="B3158" s="26" t="str">
        <f t="shared" si="13"/>
        <v/>
      </c>
      <c r="C3158" s="6"/>
      <c r="D3158" s="6"/>
      <c r="E3158" s="6"/>
      <c r="F3158" s="15"/>
      <c r="G3158" s="6"/>
      <c r="H3158" s="6"/>
      <c r="I3158" s="6"/>
      <c r="J3158" s="16"/>
      <c r="K3158" s="6"/>
      <c r="L3158" s="16"/>
      <c r="M3158" s="6"/>
      <c r="N3158" s="15"/>
      <c r="O3158" s="23"/>
      <c r="P3158" s="21"/>
      <c r="Q3158" s="23"/>
      <c r="R3158" s="6"/>
      <c r="S3158" s="20"/>
      <c r="T3158" s="6"/>
      <c r="W3158" s="20"/>
      <c r="AF3158" s="19"/>
    </row>
    <row r="3159" spans="2:32" ht="16">
      <c r="B3159" s="26" t="str">
        <f t="shared" si="13"/>
        <v/>
      </c>
      <c r="C3159" s="6"/>
      <c r="D3159" s="6"/>
      <c r="E3159" s="6"/>
      <c r="F3159" s="15"/>
      <c r="G3159" s="6"/>
      <c r="H3159" s="6"/>
      <c r="I3159" s="6"/>
      <c r="J3159" s="16"/>
      <c r="K3159" s="6"/>
      <c r="L3159" s="16"/>
      <c r="M3159" s="6"/>
      <c r="N3159" s="15"/>
      <c r="O3159" s="23"/>
      <c r="P3159" s="21"/>
      <c r="Q3159" s="23"/>
      <c r="R3159" s="6"/>
      <c r="S3159" s="20"/>
      <c r="T3159" s="6"/>
      <c r="W3159" s="20"/>
      <c r="AF3159" s="19"/>
    </row>
    <row r="3160" spans="2:32" ht="16">
      <c r="B3160" s="26" t="str">
        <f t="shared" si="13"/>
        <v/>
      </c>
      <c r="C3160" s="6"/>
      <c r="D3160" s="6"/>
      <c r="E3160" s="6"/>
      <c r="F3160" s="15"/>
      <c r="G3160" s="6"/>
      <c r="H3160" s="6"/>
      <c r="I3160" s="6"/>
      <c r="J3160" s="16"/>
      <c r="K3160" s="6"/>
      <c r="L3160" s="16"/>
      <c r="M3160" s="6"/>
      <c r="N3160" s="15"/>
      <c r="O3160" s="23"/>
      <c r="P3160" s="21"/>
      <c r="Q3160" s="23"/>
      <c r="R3160" s="6"/>
      <c r="S3160" s="20"/>
      <c r="T3160" s="6"/>
      <c r="W3160" s="20"/>
      <c r="AF3160" s="19"/>
    </row>
    <row r="3161" spans="2:32" ht="16">
      <c r="B3161" s="26" t="str">
        <f t="shared" si="13"/>
        <v/>
      </c>
      <c r="C3161" s="6"/>
      <c r="D3161" s="6"/>
      <c r="E3161" s="6"/>
      <c r="F3161" s="15"/>
      <c r="G3161" s="6"/>
      <c r="H3161" s="6"/>
      <c r="I3161" s="6"/>
      <c r="J3161" s="16"/>
      <c r="K3161" s="6"/>
      <c r="L3161" s="16"/>
      <c r="M3161" s="6"/>
      <c r="N3161" s="15"/>
      <c r="O3161" s="23"/>
      <c r="P3161" s="21"/>
      <c r="Q3161" s="23"/>
      <c r="R3161" s="6"/>
      <c r="S3161" s="20"/>
      <c r="T3161" s="6"/>
      <c r="W3161" s="20"/>
      <c r="AF3161" s="19"/>
    </row>
    <row r="3162" spans="2:32" ht="16">
      <c r="B3162" s="26" t="str">
        <f t="shared" si="13"/>
        <v/>
      </c>
      <c r="C3162" s="6"/>
      <c r="D3162" s="6"/>
      <c r="E3162" s="6"/>
      <c r="F3162" s="15"/>
      <c r="G3162" s="6"/>
      <c r="H3162" s="6"/>
      <c r="I3162" s="6"/>
      <c r="J3162" s="16"/>
      <c r="K3162" s="6"/>
      <c r="L3162" s="16"/>
      <c r="M3162" s="6"/>
      <c r="N3162" s="15"/>
      <c r="O3162" s="23"/>
      <c r="P3162" s="21"/>
      <c r="Q3162" s="23"/>
      <c r="R3162" s="6"/>
      <c r="S3162" s="20"/>
      <c r="T3162" s="6"/>
      <c r="W3162" s="20"/>
      <c r="AF3162" s="19"/>
    </row>
    <row r="3163" spans="2:32" ht="16">
      <c r="B3163" s="26" t="str">
        <f t="shared" si="13"/>
        <v/>
      </c>
      <c r="C3163" s="6"/>
      <c r="D3163" s="6"/>
      <c r="E3163" s="6"/>
      <c r="F3163" s="15"/>
      <c r="G3163" s="6"/>
      <c r="H3163" s="6"/>
      <c r="I3163" s="6"/>
      <c r="J3163" s="16"/>
      <c r="K3163" s="6"/>
      <c r="L3163" s="16"/>
      <c r="M3163" s="6"/>
      <c r="N3163" s="15"/>
      <c r="O3163" s="23"/>
      <c r="P3163" s="21"/>
      <c r="Q3163" s="23"/>
      <c r="R3163" s="6"/>
      <c r="S3163" s="20"/>
      <c r="T3163" s="6"/>
      <c r="W3163" s="20"/>
      <c r="AF3163" s="19"/>
    </row>
    <row r="3164" spans="2:32" ht="16">
      <c r="B3164" s="26" t="str">
        <f t="shared" si="13"/>
        <v/>
      </c>
      <c r="C3164" s="6"/>
      <c r="D3164" s="6"/>
      <c r="E3164" s="6"/>
      <c r="F3164" s="15"/>
      <c r="G3164" s="6"/>
      <c r="H3164" s="6"/>
      <c r="I3164" s="6"/>
      <c r="J3164" s="16"/>
      <c r="K3164" s="6"/>
      <c r="L3164" s="16"/>
      <c r="M3164" s="6"/>
      <c r="N3164" s="15"/>
      <c r="O3164" s="23"/>
      <c r="P3164" s="21"/>
      <c r="Q3164" s="23"/>
      <c r="R3164" s="6"/>
      <c r="S3164" s="20"/>
      <c r="T3164" s="6"/>
      <c r="W3164" s="20"/>
      <c r="AF3164" s="19"/>
    </row>
    <row r="3165" spans="2:32" ht="16">
      <c r="B3165" s="26" t="str">
        <f t="shared" si="13"/>
        <v/>
      </c>
      <c r="C3165" s="6"/>
      <c r="D3165" s="6"/>
      <c r="E3165" s="6"/>
      <c r="F3165" s="15"/>
      <c r="G3165" s="6"/>
      <c r="H3165" s="6"/>
      <c r="I3165" s="6"/>
      <c r="J3165" s="16"/>
      <c r="K3165" s="6"/>
      <c r="L3165" s="16"/>
      <c r="M3165" s="6"/>
      <c r="N3165" s="15"/>
      <c r="O3165" s="23"/>
      <c r="P3165" s="21"/>
      <c r="Q3165" s="23"/>
      <c r="R3165" s="6"/>
      <c r="S3165" s="20"/>
      <c r="T3165" s="6"/>
      <c r="W3165" s="20"/>
      <c r="AF3165" s="19"/>
    </row>
    <row r="3166" spans="2:32" ht="16">
      <c r="B3166" s="26" t="str">
        <f t="shared" si="13"/>
        <v/>
      </c>
      <c r="C3166" s="6"/>
      <c r="D3166" s="6"/>
      <c r="E3166" s="6"/>
      <c r="F3166" s="15"/>
      <c r="G3166" s="6"/>
      <c r="H3166" s="6"/>
      <c r="I3166" s="6"/>
      <c r="J3166" s="16"/>
      <c r="K3166" s="6"/>
      <c r="L3166" s="16"/>
      <c r="M3166" s="6"/>
      <c r="N3166" s="15"/>
      <c r="O3166" s="23"/>
      <c r="P3166" s="21"/>
      <c r="Q3166" s="23"/>
      <c r="R3166" s="6"/>
      <c r="S3166" s="20"/>
      <c r="T3166" s="6"/>
      <c r="W3166" s="20"/>
      <c r="AF3166" s="19"/>
    </row>
    <row r="3167" spans="2:32" ht="16">
      <c r="B3167" s="26" t="str">
        <f t="shared" si="13"/>
        <v/>
      </c>
      <c r="C3167" s="6"/>
      <c r="D3167" s="6"/>
      <c r="E3167" s="6"/>
      <c r="F3167" s="15"/>
      <c r="G3167" s="6"/>
      <c r="H3167" s="6"/>
      <c r="I3167" s="6"/>
      <c r="J3167" s="16"/>
      <c r="K3167" s="6"/>
      <c r="L3167" s="16"/>
      <c r="M3167" s="6"/>
      <c r="N3167" s="15"/>
      <c r="O3167" s="23"/>
      <c r="P3167" s="21"/>
      <c r="Q3167" s="23"/>
      <c r="R3167" s="6"/>
      <c r="S3167" s="20"/>
      <c r="T3167" s="6"/>
      <c r="W3167" s="20"/>
      <c r="AF3167" s="19"/>
    </row>
    <row r="3168" spans="2:32" ht="16">
      <c r="B3168" s="26" t="str">
        <f t="shared" si="13"/>
        <v/>
      </c>
      <c r="C3168" s="6"/>
      <c r="D3168" s="6"/>
      <c r="E3168" s="6"/>
      <c r="F3168" s="15"/>
      <c r="G3168" s="6"/>
      <c r="H3168" s="6"/>
      <c r="I3168" s="6"/>
      <c r="J3168" s="16"/>
      <c r="K3168" s="6"/>
      <c r="L3168" s="16"/>
      <c r="M3168" s="6"/>
      <c r="N3168" s="15"/>
      <c r="O3168" s="23"/>
      <c r="P3168" s="21"/>
      <c r="Q3168" s="23"/>
      <c r="R3168" s="6"/>
      <c r="S3168" s="20"/>
      <c r="T3168" s="6"/>
      <c r="W3168" s="20"/>
      <c r="AF3168" s="19"/>
    </row>
    <row r="3169" spans="2:32" ht="16">
      <c r="B3169" s="26" t="str">
        <f t="shared" si="13"/>
        <v/>
      </c>
      <c r="C3169" s="6"/>
      <c r="D3169" s="6"/>
      <c r="E3169" s="6"/>
      <c r="F3169" s="15"/>
      <c r="G3169" s="6"/>
      <c r="H3169" s="6"/>
      <c r="I3169" s="6"/>
      <c r="J3169" s="16"/>
      <c r="K3169" s="6"/>
      <c r="L3169" s="16"/>
      <c r="M3169" s="6"/>
      <c r="N3169" s="15"/>
      <c r="O3169" s="23"/>
      <c r="P3169" s="21"/>
      <c r="Q3169" s="23"/>
      <c r="R3169" s="6"/>
      <c r="S3169" s="20"/>
      <c r="T3169" s="6"/>
      <c r="W3169" s="20"/>
      <c r="AF3169" s="19"/>
    </row>
    <row r="3170" spans="2:32" ht="16">
      <c r="B3170" s="26" t="str">
        <f t="shared" si="13"/>
        <v/>
      </c>
      <c r="C3170" s="6"/>
      <c r="D3170" s="6"/>
      <c r="E3170" s="6"/>
      <c r="F3170" s="15"/>
      <c r="G3170" s="6"/>
      <c r="H3170" s="6"/>
      <c r="I3170" s="6"/>
      <c r="J3170" s="16"/>
      <c r="K3170" s="6"/>
      <c r="L3170" s="16"/>
      <c r="M3170" s="6"/>
      <c r="N3170" s="15"/>
      <c r="O3170" s="23"/>
      <c r="P3170" s="21"/>
      <c r="Q3170" s="23"/>
      <c r="R3170" s="6"/>
      <c r="S3170" s="20"/>
      <c r="T3170" s="6"/>
      <c r="W3170" s="20"/>
      <c r="AF3170" s="19"/>
    </row>
    <row r="3171" spans="2:32" ht="16">
      <c r="B3171" s="26" t="str">
        <f t="shared" si="13"/>
        <v/>
      </c>
      <c r="C3171" s="6"/>
      <c r="D3171" s="6"/>
      <c r="E3171" s="6"/>
      <c r="F3171" s="15"/>
      <c r="G3171" s="6"/>
      <c r="H3171" s="6"/>
      <c r="I3171" s="6"/>
      <c r="J3171" s="16"/>
      <c r="K3171" s="6"/>
      <c r="L3171" s="16"/>
      <c r="M3171" s="6"/>
      <c r="N3171" s="15"/>
      <c r="O3171" s="23"/>
      <c r="P3171" s="21"/>
      <c r="Q3171" s="23"/>
      <c r="R3171" s="6"/>
      <c r="S3171" s="20"/>
      <c r="T3171" s="6"/>
      <c r="W3171" s="20"/>
      <c r="AF3171" s="19"/>
    </row>
    <row r="3172" spans="2:32" ht="16">
      <c r="B3172" s="26" t="str">
        <f t="shared" si="13"/>
        <v/>
      </c>
      <c r="C3172" s="6"/>
      <c r="D3172" s="6"/>
      <c r="E3172" s="6"/>
      <c r="F3172" s="15"/>
      <c r="G3172" s="6"/>
      <c r="H3172" s="6"/>
      <c r="I3172" s="6"/>
      <c r="J3172" s="16"/>
      <c r="K3172" s="6"/>
      <c r="L3172" s="16"/>
      <c r="M3172" s="6"/>
      <c r="N3172" s="15"/>
      <c r="O3172" s="23"/>
      <c r="P3172" s="21"/>
      <c r="Q3172" s="23"/>
      <c r="R3172" s="6"/>
      <c r="S3172" s="20"/>
      <c r="T3172" s="6"/>
      <c r="W3172" s="20"/>
      <c r="AF3172" s="19"/>
    </row>
    <row r="3173" spans="2:32" ht="16">
      <c r="B3173" s="26" t="str">
        <f t="shared" si="13"/>
        <v/>
      </c>
      <c r="C3173" s="6"/>
      <c r="D3173" s="6"/>
      <c r="E3173" s="6"/>
      <c r="F3173" s="15"/>
      <c r="G3173" s="6"/>
      <c r="H3173" s="6"/>
      <c r="I3173" s="6"/>
      <c r="J3173" s="16"/>
      <c r="K3173" s="6"/>
      <c r="L3173" s="16"/>
      <c r="M3173" s="6"/>
      <c r="N3173" s="15"/>
      <c r="O3173" s="23"/>
      <c r="P3173" s="21"/>
      <c r="Q3173" s="23"/>
      <c r="R3173" s="6"/>
      <c r="S3173" s="20"/>
      <c r="T3173" s="6"/>
      <c r="W3173" s="20"/>
      <c r="AF3173" s="19"/>
    </row>
    <row r="3174" spans="2:32" ht="16">
      <c r="B3174" s="26" t="str">
        <f t="shared" si="13"/>
        <v/>
      </c>
      <c r="C3174" s="6"/>
      <c r="D3174" s="6"/>
      <c r="E3174" s="6"/>
      <c r="F3174" s="15"/>
      <c r="G3174" s="6"/>
      <c r="H3174" s="6"/>
      <c r="I3174" s="6"/>
      <c r="J3174" s="16"/>
      <c r="K3174" s="6"/>
      <c r="L3174" s="16"/>
      <c r="M3174" s="6"/>
      <c r="N3174" s="15"/>
      <c r="O3174" s="23"/>
      <c r="P3174" s="21"/>
      <c r="Q3174" s="23"/>
      <c r="R3174" s="6"/>
      <c r="S3174" s="20"/>
      <c r="T3174" s="6"/>
      <c r="W3174" s="20"/>
      <c r="AF3174" s="19"/>
    </row>
    <row r="3175" spans="2:32" ht="16">
      <c r="B3175" s="26" t="str">
        <f t="shared" si="13"/>
        <v/>
      </c>
      <c r="C3175" s="6"/>
      <c r="D3175" s="6"/>
      <c r="E3175" s="6"/>
      <c r="F3175" s="15"/>
      <c r="G3175" s="6"/>
      <c r="H3175" s="6"/>
      <c r="I3175" s="6"/>
      <c r="J3175" s="16"/>
      <c r="K3175" s="6"/>
      <c r="L3175" s="16"/>
      <c r="M3175" s="6"/>
      <c r="N3175" s="15"/>
      <c r="O3175" s="23"/>
      <c r="P3175" s="21"/>
      <c r="Q3175" s="23"/>
      <c r="R3175" s="6"/>
      <c r="S3175" s="20"/>
      <c r="T3175" s="6"/>
      <c r="W3175" s="20"/>
      <c r="AF3175" s="19"/>
    </row>
    <row r="3176" spans="2:32" ht="16">
      <c r="B3176" s="26" t="str">
        <f t="shared" si="13"/>
        <v/>
      </c>
      <c r="C3176" s="6"/>
      <c r="D3176" s="6"/>
      <c r="E3176" s="6"/>
      <c r="F3176" s="15"/>
      <c r="G3176" s="6"/>
      <c r="H3176" s="6"/>
      <c r="I3176" s="6"/>
      <c r="J3176" s="16"/>
      <c r="K3176" s="6"/>
      <c r="L3176" s="16"/>
      <c r="M3176" s="6"/>
      <c r="N3176" s="15"/>
      <c r="O3176" s="23"/>
      <c r="P3176" s="21"/>
      <c r="Q3176" s="23"/>
      <c r="R3176" s="6"/>
      <c r="S3176" s="20"/>
      <c r="T3176" s="6"/>
      <c r="W3176" s="20"/>
      <c r="AF3176" s="19"/>
    </row>
    <row r="3177" spans="2:32" ht="16">
      <c r="B3177" s="26" t="str">
        <f t="shared" si="13"/>
        <v/>
      </c>
      <c r="C3177" s="6"/>
      <c r="D3177" s="6"/>
      <c r="E3177" s="6"/>
      <c r="F3177" s="15"/>
      <c r="G3177" s="6"/>
      <c r="H3177" s="6"/>
      <c r="I3177" s="6"/>
      <c r="J3177" s="16"/>
      <c r="K3177" s="6"/>
      <c r="L3177" s="16"/>
      <c r="M3177" s="6"/>
      <c r="N3177" s="15"/>
      <c r="O3177" s="23"/>
      <c r="P3177" s="21"/>
      <c r="Q3177" s="23"/>
      <c r="R3177" s="6"/>
      <c r="S3177" s="20"/>
      <c r="T3177" s="6"/>
      <c r="W3177" s="20"/>
      <c r="AF3177" s="19"/>
    </row>
    <row r="3178" spans="2:32" ht="16">
      <c r="B3178" s="26" t="str">
        <f t="shared" si="13"/>
        <v/>
      </c>
      <c r="C3178" s="6"/>
      <c r="D3178" s="6"/>
      <c r="E3178" s="6"/>
      <c r="F3178" s="15"/>
      <c r="G3178" s="6"/>
      <c r="H3178" s="6"/>
      <c r="I3178" s="6"/>
      <c r="J3178" s="16"/>
      <c r="K3178" s="6"/>
      <c r="L3178" s="16"/>
      <c r="M3178" s="6"/>
      <c r="N3178" s="15"/>
      <c r="O3178" s="23"/>
      <c r="P3178" s="21"/>
      <c r="Q3178" s="23"/>
      <c r="R3178" s="6"/>
      <c r="S3178" s="20"/>
      <c r="T3178" s="6"/>
      <c r="W3178" s="20"/>
      <c r="AF3178" s="19"/>
    </row>
    <row r="3179" spans="2:32" ht="16">
      <c r="B3179" s="26" t="str">
        <f t="shared" si="13"/>
        <v/>
      </c>
      <c r="C3179" s="6"/>
      <c r="D3179" s="6"/>
      <c r="E3179" s="6"/>
      <c r="F3179" s="15"/>
      <c r="G3179" s="6"/>
      <c r="H3179" s="6"/>
      <c r="I3179" s="6"/>
      <c r="J3179" s="16"/>
      <c r="K3179" s="6"/>
      <c r="L3179" s="16"/>
      <c r="M3179" s="6"/>
      <c r="N3179" s="15"/>
      <c r="O3179" s="23"/>
      <c r="P3179" s="21"/>
      <c r="Q3179" s="23"/>
      <c r="R3179" s="6"/>
      <c r="S3179" s="20"/>
      <c r="T3179" s="6"/>
      <c r="W3179" s="20"/>
      <c r="AF3179" s="19"/>
    </row>
    <row r="3180" spans="2:32" ht="16">
      <c r="B3180" s="26" t="str">
        <f t="shared" si="13"/>
        <v/>
      </c>
      <c r="C3180" s="6"/>
      <c r="D3180" s="6"/>
      <c r="E3180" s="6"/>
      <c r="F3180" s="15"/>
      <c r="G3180" s="6"/>
      <c r="H3180" s="6"/>
      <c r="I3180" s="6"/>
      <c r="J3180" s="16"/>
      <c r="K3180" s="6"/>
      <c r="L3180" s="16"/>
      <c r="M3180" s="6"/>
      <c r="N3180" s="15"/>
      <c r="O3180" s="23"/>
      <c r="P3180" s="21"/>
      <c r="Q3180" s="23"/>
      <c r="R3180" s="6"/>
      <c r="S3180" s="20"/>
      <c r="T3180" s="6"/>
      <c r="W3180" s="20"/>
      <c r="AF3180" s="19"/>
    </row>
    <row r="3181" spans="2:32" ht="16">
      <c r="B3181" s="26" t="str">
        <f t="shared" si="13"/>
        <v/>
      </c>
      <c r="C3181" s="6"/>
      <c r="D3181" s="6"/>
      <c r="E3181" s="6"/>
      <c r="F3181" s="15"/>
      <c r="G3181" s="6"/>
      <c r="H3181" s="6"/>
      <c r="I3181" s="6"/>
      <c r="J3181" s="16"/>
      <c r="K3181" s="6"/>
      <c r="L3181" s="16"/>
      <c r="M3181" s="6"/>
      <c r="N3181" s="15"/>
      <c r="O3181" s="23"/>
      <c r="P3181" s="21"/>
      <c r="Q3181" s="23"/>
      <c r="R3181" s="6"/>
      <c r="S3181" s="20"/>
      <c r="T3181" s="6"/>
      <c r="W3181" s="20"/>
      <c r="AF3181" s="19"/>
    </row>
    <row r="3182" spans="2:32" ht="16">
      <c r="B3182" s="26" t="str">
        <f t="shared" si="13"/>
        <v/>
      </c>
      <c r="C3182" s="6"/>
      <c r="D3182" s="6"/>
      <c r="E3182" s="6"/>
      <c r="F3182" s="15"/>
      <c r="G3182" s="6"/>
      <c r="H3182" s="6"/>
      <c r="I3182" s="6"/>
      <c r="J3182" s="16"/>
      <c r="K3182" s="6"/>
      <c r="L3182" s="16"/>
      <c r="M3182" s="6"/>
      <c r="N3182" s="15"/>
      <c r="O3182" s="23"/>
      <c r="P3182" s="21"/>
      <c r="Q3182" s="23"/>
      <c r="R3182" s="6"/>
      <c r="S3182" s="20"/>
      <c r="T3182" s="6"/>
      <c r="W3182" s="20"/>
      <c r="AF3182" s="19"/>
    </row>
    <row r="3183" spans="2:32" ht="16">
      <c r="B3183" s="26" t="str">
        <f t="shared" si="13"/>
        <v/>
      </c>
      <c r="C3183" s="6"/>
      <c r="D3183" s="6"/>
      <c r="E3183" s="6"/>
      <c r="F3183" s="15"/>
      <c r="G3183" s="6"/>
      <c r="H3183" s="6"/>
      <c r="I3183" s="6"/>
      <c r="J3183" s="16"/>
      <c r="K3183" s="6"/>
      <c r="L3183" s="16"/>
      <c r="M3183" s="6"/>
      <c r="N3183" s="15"/>
      <c r="O3183" s="23"/>
      <c r="P3183" s="21"/>
      <c r="Q3183" s="23"/>
      <c r="R3183" s="6"/>
      <c r="S3183" s="20"/>
      <c r="T3183" s="6"/>
      <c r="W3183" s="20"/>
      <c r="AF3183" s="19"/>
    </row>
    <row r="3184" spans="2:32" ht="16">
      <c r="B3184" s="26" t="str">
        <f t="shared" si="13"/>
        <v/>
      </c>
      <c r="C3184" s="6"/>
      <c r="D3184" s="6"/>
      <c r="E3184" s="6"/>
      <c r="F3184" s="15"/>
      <c r="G3184" s="6"/>
      <c r="H3184" s="6"/>
      <c r="I3184" s="6"/>
      <c r="J3184" s="16"/>
      <c r="K3184" s="6"/>
      <c r="L3184" s="16"/>
      <c r="M3184" s="6"/>
      <c r="N3184" s="15"/>
      <c r="O3184" s="23"/>
      <c r="P3184" s="21"/>
      <c r="Q3184" s="23"/>
      <c r="R3184" s="6"/>
      <c r="S3184" s="20"/>
      <c r="T3184" s="6"/>
      <c r="W3184" s="20"/>
      <c r="AF3184" s="19"/>
    </row>
    <row r="3185" spans="2:32" ht="16">
      <c r="B3185" s="26" t="str">
        <f t="shared" si="13"/>
        <v/>
      </c>
      <c r="C3185" s="6"/>
      <c r="D3185" s="6"/>
      <c r="E3185" s="6"/>
      <c r="F3185" s="15"/>
      <c r="G3185" s="6"/>
      <c r="H3185" s="6"/>
      <c r="I3185" s="6"/>
      <c r="J3185" s="16"/>
      <c r="K3185" s="6"/>
      <c r="L3185" s="16"/>
      <c r="M3185" s="6"/>
      <c r="N3185" s="15"/>
      <c r="O3185" s="23"/>
      <c r="P3185" s="21"/>
      <c r="Q3185" s="23"/>
      <c r="R3185" s="6"/>
      <c r="S3185" s="20"/>
      <c r="T3185" s="6"/>
      <c r="W3185" s="20"/>
      <c r="AF3185" s="19"/>
    </row>
    <row r="3186" spans="2:32" ht="16">
      <c r="B3186" s="26" t="str">
        <f t="shared" si="13"/>
        <v/>
      </c>
      <c r="C3186" s="6"/>
      <c r="D3186" s="6"/>
      <c r="E3186" s="6"/>
      <c r="F3186" s="15"/>
      <c r="G3186" s="6"/>
      <c r="H3186" s="6"/>
      <c r="I3186" s="6"/>
      <c r="J3186" s="16"/>
      <c r="K3186" s="6"/>
      <c r="L3186" s="16"/>
      <c r="M3186" s="6"/>
      <c r="N3186" s="15"/>
      <c r="O3186" s="23"/>
      <c r="P3186" s="21"/>
      <c r="Q3186" s="23"/>
      <c r="R3186" s="6"/>
      <c r="S3186" s="20"/>
      <c r="T3186" s="6"/>
      <c r="W3186" s="20"/>
      <c r="AF3186" s="19"/>
    </row>
    <row r="3187" spans="2:32" ht="16">
      <c r="B3187" s="26" t="str">
        <f t="shared" si="13"/>
        <v/>
      </c>
      <c r="C3187" s="6"/>
      <c r="D3187" s="6"/>
      <c r="E3187" s="6"/>
      <c r="F3187" s="15"/>
      <c r="G3187" s="6"/>
      <c r="H3187" s="6"/>
      <c r="I3187" s="6"/>
      <c r="J3187" s="16"/>
      <c r="K3187" s="6"/>
      <c r="L3187" s="16"/>
      <c r="M3187" s="6"/>
      <c r="N3187" s="15"/>
      <c r="O3187" s="23"/>
      <c r="P3187" s="21"/>
      <c r="Q3187" s="23"/>
      <c r="R3187" s="6"/>
      <c r="S3187" s="20"/>
      <c r="T3187" s="6"/>
      <c r="W3187" s="20"/>
      <c r="AF3187" s="19"/>
    </row>
    <row r="3188" spans="2:32" ht="16">
      <c r="B3188" s="26" t="str">
        <f t="shared" si="13"/>
        <v/>
      </c>
      <c r="C3188" s="6"/>
      <c r="D3188" s="6"/>
      <c r="E3188" s="6"/>
      <c r="F3188" s="15"/>
      <c r="G3188" s="6"/>
      <c r="H3188" s="6"/>
      <c r="I3188" s="6"/>
      <c r="J3188" s="16"/>
      <c r="K3188" s="6"/>
      <c r="L3188" s="16"/>
      <c r="M3188" s="6"/>
      <c r="N3188" s="15"/>
      <c r="O3188" s="23"/>
      <c r="P3188" s="21"/>
      <c r="Q3188" s="23"/>
      <c r="R3188" s="6"/>
      <c r="S3188" s="20"/>
      <c r="T3188" s="6"/>
      <c r="W3188" s="20"/>
      <c r="AF3188" s="19"/>
    </row>
    <row r="3189" spans="2:32" ht="16">
      <c r="B3189" s="26" t="str">
        <f t="shared" si="13"/>
        <v/>
      </c>
      <c r="C3189" s="6"/>
      <c r="D3189" s="6"/>
      <c r="E3189" s="6"/>
      <c r="F3189" s="15"/>
      <c r="G3189" s="6"/>
      <c r="H3189" s="6"/>
      <c r="I3189" s="6"/>
      <c r="J3189" s="16"/>
      <c r="K3189" s="6"/>
      <c r="L3189" s="16"/>
      <c r="M3189" s="6"/>
      <c r="N3189" s="15"/>
      <c r="O3189" s="23"/>
      <c r="P3189" s="21"/>
      <c r="Q3189" s="23"/>
      <c r="R3189" s="6"/>
      <c r="S3189" s="20"/>
      <c r="T3189" s="6"/>
      <c r="W3189" s="20"/>
      <c r="AF3189" s="19"/>
    </row>
    <row r="3190" spans="2:32" ht="16">
      <c r="B3190" s="26" t="str">
        <f t="shared" si="13"/>
        <v/>
      </c>
      <c r="C3190" s="6"/>
      <c r="D3190" s="6"/>
      <c r="E3190" s="6"/>
      <c r="F3190" s="15"/>
      <c r="G3190" s="6"/>
      <c r="H3190" s="6"/>
      <c r="I3190" s="6"/>
      <c r="J3190" s="16"/>
      <c r="K3190" s="6"/>
      <c r="L3190" s="16"/>
      <c r="M3190" s="6"/>
      <c r="N3190" s="15"/>
      <c r="O3190" s="23"/>
      <c r="P3190" s="21"/>
      <c r="Q3190" s="23"/>
      <c r="R3190" s="6"/>
      <c r="S3190" s="20"/>
      <c r="T3190" s="6"/>
      <c r="W3190" s="20"/>
      <c r="AF3190" s="19"/>
    </row>
    <row r="3191" spans="2:32" ht="16">
      <c r="B3191" s="26" t="str">
        <f t="shared" si="13"/>
        <v/>
      </c>
      <c r="C3191" s="6"/>
      <c r="D3191" s="6"/>
      <c r="E3191" s="6"/>
      <c r="F3191" s="15"/>
      <c r="G3191" s="6"/>
      <c r="H3191" s="6"/>
      <c r="I3191" s="6"/>
      <c r="J3191" s="16"/>
      <c r="K3191" s="6"/>
      <c r="L3191" s="16"/>
      <c r="M3191" s="6"/>
      <c r="N3191" s="15"/>
      <c r="O3191" s="23"/>
      <c r="P3191" s="21"/>
      <c r="Q3191" s="23"/>
      <c r="R3191" s="6"/>
      <c r="S3191" s="20"/>
      <c r="T3191" s="6"/>
      <c r="W3191" s="20"/>
      <c r="AF3191" s="19"/>
    </row>
    <row r="3192" spans="2:32" ht="16">
      <c r="B3192" s="26" t="str">
        <f t="shared" si="13"/>
        <v/>
      </c>
      <c r="C3192" s="6"/>
      <c r="D3192" s="6"/>
      <c r="E3192" s="6"/>
      <c r="F3192" s="15"/>
      <c r="G3192" s="6"/>
      <c r="H3192" s="6"/>
      <c r="I3192" s="6"/>
      <c r="J3192" s="16"/>
      <c r="K3192" s="6"/>
      <c r="L3192" s="16"/>
      <c r="M3192" s="6"/>
      <c r="N3192" s="15"/>
      <c r="O3192" s="23"/>
      <c r="P3192" s="21"/>
      <c r="Q3192" s="23"/>
      <c r="R3192" s="6"/>
      <c r="S3192" s="20"/>
      <c r="T3192" s="6"/>
      <c r="W3192" s="20"/>
      <c r="AF3192" s="19"/>
    </row>
    <row r="3193" spans="2:32" ht="16">
      <c r="B3193" s="26" t="str">
        <f t="shared" si="13"/>
        <v/>
      </c>
      <c r="C3193" s="6"/>
      <c r="D3193" s="6"/>
      <c r="E3193" s="6"/>
      <c r="F3193" s="15"/>
      <c r="G3193" s="6"/>
      <c r="H3193" s="6"/>
      <c r="I3193" s="6"/>
      <c r="J3193" s="16"/>
      <c r="K3193" s="6"/>
      <c r="L3193" s="16"/>
      <c r="M3193" s="6"/>
      <c r="N3193" s="15"/>
      <c r="O3193" s="23"/>
      <c r="P3193" s="21"/>
      <c r="Q3193" s="23"/>
      <c r="R3193" s="6"/>
      <c r="S3193" s="20"/>
      <c r="T3193" s="6"/>
      <c r="W3193" s="20"/>
      <c r="AF3193" s="19"/>
    </row>
    <row r="3194" spans="2:32" ht="16">
      <c r="B3194" s="26" t="str">
        <f t="shared" si="13"/>
        <v/>
      </c>
      <c r="C3194" s="6"/>
      <c r="D3194" s="6"/>
      <c r="E3194" s="6"/>
      <c r="F3194" s="15"/>
      <c r="G3194" s="6"/>
      <c r="H3194" s="6"/>
      <c r="I3194" s="6"/>
      <c r="J3194" s="16"/>
      <c r="K3194" s="6"/>
      <c r="L3194" s="16"/>
      <c r="M3194" s="6"/>
      <c r="N3194" s="15"/>
      <c r="O3194" s="23"/>
      <c r="P3194" s="21"/>
      <c r="Q3194" s="23"/>
      <c r="R3194" s="6"/>
      <c r="S3194" s="20"/>
      <c r="T3194" s="6"/>
      <c r="W3194" s="20"/>
      <c r="AF3194" s="19"/>
    </row>
    <row r="3195" spans="2:32" ht="16">
      <c r="B3195" s="26" t="str">
        <f t="shared" si="13"/>
        <v/>
      </c>
      <c r="C3195" s="6"/>
      <c r="D3195" s="6"/>
      <c r="E3195" s="6"/>
      <c r="F3195" s="15"/>
      <c r="G3195" s="6"/>
      <c r="H3195" s="6"/>
      <c r="I3195" s="6"/>
      <c r="J3195" s="16"/>
      <c r="K3195" s="6"/>
      <c r="L3195" s="16"/>
      <c r="M3195" s="6"/>
      <c r="N3195" s="15"/>
      <c r="O3195" s="23"/>
      <c r="P3195" s="21"/>
      <c r="Q3195" s="23"/>
      <c r="R3195" s="6"/>
      <c r="S3195" s="20"/>
      <c r="T3195" s="6"/>
      <c r="W3195" s="20"/>
      <c r="AF3195" s="19"/>
    </row>
    <row r="3196" spans="2:32" ht="16">
      <c r="B3196" s="26" t="str">
        <f t="shared" si="13"/>
        <v/>
      </c>
      <c r="C3196" s="6"/>
      <c r="D3196" s="6"/>
      <c r="E3196" s="6"/>
      <c r="F3196" s="15"/>
      <c r="G3196" s="6"/>
      <c r="H3196" s="6"/>
      <c r="I3196" s="6"/>
      <c r="J3196" s="16"/>
      <c r="K3196" s="6"/>
      <c r="L3196" s="16"/>
      <c r="M3196" s="6"/>
      <c r="N3196" s="15"/>
      <c r="O3196" s="23"/>
      <c r="P3196" s="21"/>
      <c r="Q3196" s="23"/>
      <c r="R3196" s="6"/>
      <c r="S3196" s="20"/>
      <c r="T3196" s="6"/>
      <c r="W3196" s="20"/>
      <c r="AF3196" s="19"/>
    </row>
    <row r="3197" spans="2:32" ht="16">
      <c r="B3197" s="26" t="str">
        <f t="shared" si="13"/>
        <v/>
      </c>
      <c r="C3197" s="6"/>
      <c r="D3197" s="6"/>
      <c r="E3197" s="6"/>
      <c r="F3197" s="15"/>
      <c r="G3197" s="6"/>
      <c r="H3197" s="6"/>
      <c r="I3197" s="6"/>
      <c r="J3197" s="16"/>
      <c r="K3197" s="6"/>
      <c r="L3197" s="16"/>
      <c r="M3197" s="6"/>
      <c r="N3197" s="15"/>
      <c r="O3197" s="23"/>
      <c r="P3197" s="21"/>
      <c r="Q3197" s="23"/>
      <c r="R3197" s="6"/>
      <c r="S3197" s="20"/>
      <c r="T3197" s="6"/>
      <c r="W3197" s="20"/>
      <c r="AF3197" s="19"/>
    </row>
    <row r="3198" spans="2:32" ht="16">
      <c r="B3198" s="26" t="str">
        <f t="shared" si="13"/>
        <v/>
      </c>
      <c r="C3198" s="6"/>
      <c r="D3198" s="6"/>
      <c r="E3198" s="6"/>
      <c r="F3198" s="15"/>
      <c r="G3198" s="6"/>
      <c r="H3198" s="6"/>
      <c r="I3198" s="6"/>
      <c r="J3198" s="16"/>
      <c r="K3198" s="6"/>
      <c r="L3198" s="16"/>
      <c r="M3198" s="6"/>
      <c r="N3198" s="15"/>
      <c r="O3198" s="23"/>
      <c r="P3198" s="21"/>
      <c r="Q3198" s="23"/>
      <c r="R3198" s="6"/>
      <c r="S3198" s="20"/>
      <c r="T3198" s="6"/>
      <c r="W3198" s="20"/>
      <c r="AF3198" s="19"/>
    </row>
    <row r="3199" spans="2:32" ht="16">
      <c r="B3199" s="26" t="str">
        <f t="shared" si="13"/>
        <v/>
      </c>
      <c r="C3199" s="6"/>
      <c r="D3199" s="6"/>
      <c r="E3199" s="6"/>
      <c r="F3199" s="15"/>
      <c r="G3199" s="6"/>
      <c r="H3199" s="6"/>
      <c r="I3199" s="6"/>
      <c r="J3199" s="16"/>
      <c r="K3199" s="6"/>
      <c r="L3199" s="16"/>
      <c r="M3199" s="6"/>
      <c r="N3199" s="15"/>
      <c r="O3199" s="23"/>
      <c r="P3199" s="21"/>
      <c r="Q3199" s="23"/>
      <c r="R3199" s="6"/>
      <c r="S3199" s="20"/>
      <c r="T3199" s="6"/>
      <c r="W3199" s="20"/>
      <c r="AF3199" s="19"/>
    </row>
    <row r="3200" spans="2:32" ht="16">
      <c r="B3200" s="26" t="str">
        <f t="shared" si="13"/>
        <v/>
      </c>
      <c r="C3200" s="6"/>
      <c r="D3200" s="6"/>
      <c r="E3200" s="6"/>
      <c r="F3200" s="15"/>
      <c r="G3200" s="6"/>
      <c r="H3200" s="6"/>
      <c r="I3200" s="6"/>
      <c r="J3200" s="16"/>
      <c r="K3200" s="6"/>
      <c r="L3200" s="16"/>
      <c r="M3200" s="6"/>
      <c r="N3200" s="15"/>
      <c r="O3200" s="23"/>
      <c r="P3200" s="21"/>
      <c r="Q3200" s="23"/>
      <c r="R3200" s="6"/>
      <c r="S3200" s="20"/>
      <c r="T3200" s="6"/>
      <c r="W3200" s="20"/>
      <c r="AF3200" s="19"/>
    </row>
    <row r="3201" spans="2:32" ht="16">
      <c r="B3201" s="26" t="str">
        <f t="shared" si="13"/>
        <v/>
      </c>
      <c r="C3201" s="6"/>
      <c r="D3201" s="6"/>
      <c r="E3201" s="6"/>
      <c r="F3201" s="15"/>
      <c r="G3201" s="6"/>
      <c r="H3201" s="6"/>
      <c r="I3201" s="6"/>
      <c r="J3201" s="16"/>
      <c r="K3201" s="6"/>
      <c r="L3201" s="16"/>
      <c r="M3201" s="6"/>
      <c r="N3201" s="15"/>
      <c r="O3201" s="23"/>
      <c r="P3201" s="21"/>
      <c r="Q3201" s="23"/>
      <c r="R3201" s="6"/>
      <c r="S3201" s="20"/>
      <c r="T3201" s="6"/>
      <c r="W3201" s="20"/>
      <c r="AF3201" s="19"/>
    </row>
    <row r="3202" spans="2:32" ht="16">
      <c r="B3202" s="26" t="str">
        <f t="shared" si="13"/>
        <v/>
      </c>
      <c r="C3202" s="6"/>
      <c r="D3202" s="6"/>
      <c r="E3202" s="6"/>
      <c r="F3202" s="15"/>
      <c r="G3202" s="6"/>
      <c r="H3202" s="6"/>
      <c r="I3202" s="6"/>
      <c r="J3202" s="16"/>
      <c r="K3202" s="6"/>
      <c r="L3202" s="16"/>
      <c r="M3202" s="6"/>
      <c r="N3202" s="15"/>
      <c r="O3202" s="23"/>
      <c r="P3202" s="21"/>
      <c r="Q3202" s="23"/>
      <c r="R3202" s="6"/>
      <c r="S3202" s="20"/>
      <c r="T3202" s="6"/>
      <c r="W3202" s="20"/>
      <c r="AF3202" s="19"/>
    </row>
    <row r="3203" spans="2:32" ht="16">
      <c r="B3203" s="26" t="str">
        <f t="shared" si="13"/>
        <v/>
      </c>
      <c r="C3203" s="6"/>
      <c r="D3203" s="6"/>
      <c r="E3203" s="6"/>
      <c r="F3203" s="15"/>
      <c r="G3203" s="6"/>
      <c r="H3203" s="6"/>
      <c r="I3203" s="6"/>
      <c r="J3203" s="16"/>
      <c r="K3203" s="6"/>
      <c r="L3203" s="16"/>
      <c r="M3203" s="6"/>
      <c r="N3203" s="15"/>
      <c r="O3203" s="23"/>
      <c r="P3203" s="21"/>
      <c r="Q3203" s="23"/>
      <c r="R3203" s="6"/>
      <c r="S3203" s="20"/>
      <c r="T3203" s="6"/>
      <c r="W3203" s="20"/>
      <c r="AF3203" s="19"/>
    </row>
    <row r="3204" spans="2:32" ht="16">
      <c r="B3204" s="26" t="str">
        <f t="shared" si="13"/>
        <v/>
      </c>
      <c r="C3204" s="6"/>
      <c r="D3204" s="6"/>
      <c r="E3204" s="6"/>
      <c r="F3204" s="15"/>
      <c r="G3204" s="6"/>
      <c r="H3204" s="6"/>
      <c r="I3204" s="6"/>
      <c r="J3204" s="16"/>
      <c r="K3204" s="6"/>
      <c r="L3204" s="16"/>
      <c r="M3204" s="6"/>
      <c r="N3204" s="15"/>
      <c r="O3204" s="23"/>
      <c r="P3204" s="21"/>
      <c r="Q3204" s="23"/>
      <c r="R3204" s="6"/>
      <c r="S3204" s="20"/>
      <c r="T3204" s="6"/>
      <c r="W3204" s="20"/>
      <c r="AF3204" s="19"/>
    </row>
    <row r="3205" spans="2:32" ht="16">
      <c r="B3205" s="26" t="str">
        <f t="shared" si="13"/>
        <v/>
      </c>
      <c r="C3205" s="6"/>
      <c r="D3205" s="6"/>
      <c r="E3205" s="6"/>
      <c r="F3205" s="15"/>
      <c r="G3205" s="6"/>
      <c r="H3205" s="6"/>
      <c r="I3205" s="6"/>
      <c r="J3205" s="16"/>
      <c r="K3205" s="6"/>
      <c r="L3205" s="16"/>
      <c r="M3205" s="6"/>
      <c r="N3205" s="15"/>
      <c r="O3205" s="23"/>
      <c r="P3205" s="21"/>
      <c r="Q3205" s="23"/>
      <c r="R3205" s="6"/>
      <c r="S3205" s="20"/>
      <c r="T3205" s="6"/>
      <c r="W3205" s="20"/>
      <c r="AF3205" s="19"/>
    </row>
    <row r="3206" spans="2:32" ht="16">
      <c r="B3206" s="26" t="str">
        <f t="shared" si="13"/>
        <v/>
      </c>
      <c r="C3206" s="6"/>
      <c r="D3206" s="6"/>
      <c r="E3206" s="6"/>
      <c r="F3206" s="15"/>
      <c r="G3206" s="6"/>
      <c r="H3206" s="6"/>
      <c r="I3206" s="6"/>
      <c r="J3206" s="16"/>
      <c r="K3206" s="6"/>
      <c r="L3206" s="16"/>
      <c r="M3206" s="6"/>
      <c r="N3206" s="15"/>
      <c r="O3206" s="23"/>
      <c r="P3206" s="21"/>
      <c r="Q3206" s="23"/>
      <c r="R3206" s="6"/>
      <c r="S3206" s="20"/>
      <c r="T3206" s="6"/>
      <c r="W3206" s="20"/>
      <c r="AF3206" s="19"/>
    </row>
    <row r="3207" spans="2:32" ht="16">
      <c r="B3207" s="26" t="str">
        <f t="shared" si="13"/>
        <v/>
      </c>
      <c r="C3207" s="6"/>
      <c r="D3207" s="6"/>
      <c r="E3207" s="6"/>
      <c r="F3207" s="15"/>
      <c r="G3207" s="6"/>
      <c r="H3207" s="6"/>
      <c r="I3207" s="6"/>
      <c r="J3207" s="16"/>
      <c r="K3207" s="6"/>
      <c r="L3207" s="16"/>
      <c r="M3207" s="6"/>
      <c r="N3207" s="15"/>
      <c r="O3207" s="23"/>
      <c r="P3207" s="21"/>
      <c r="Q3207" s="23"/>
      <c r="R3207" s="6"/>
      <c r="S3207" s="20"/>
      <c r="T3207" s="6"/>
      <c r="W3207" s="20"/>
      <c r="AF3207" s="19"/>
    </row>
    <row r="3208" spans="2:32" ht="16">
      <c r="B3208" s="26" t="str">
        <f t="shared" si="13"/>
        <v/>
      </c>
      <c r="C3208" s="6"/>
      <c r="D3208" s="6"/>
      <c r="E3208" s="6"/>
      <c r="F3208" s="15"/>
      <c r="G3208" s="6"/>
      <c r="H3208" s="6"/>
      <c r="I3208" s="6"/>
      <c r="J3208" s="16"/>
      <c r="K3208" s="6"/>
      <c r="L3208" s="16"/>
      <c r="M3208" s="6"/>
      <c r="N3208" s="15"/>
      <c r="O3208" s="23"/>
      <c r="P3208" s="21"/>
      <c r="Q3208" s="23"/>
      <c r="R3208" s="6"/>
      <c r="S3208" s="20"/>
      <c r="T3208" s="6"/>
      <c r="W3208" s="20"/>
      <c r="AF3208" s="19"/>
    </row>
    <row r="3209" spans="2:32" ht="16">
      <c r="B3209" s="26" t="str">
        <f t="shared" si="13"/>
        <v/>
      </c>
      <c r="C3209" s="6"/>
      <c r="D3209" s="6"/>
      <c r="E3209" s="6"/>
      <c r="F3209" s="15"/>
      <c r="G3209" s="6"/>
      <c r="H3209" s="6"/>
      <c r="I3209" s="6"/>
      <c r="J3209" s="16"/>
      <c r="K3209" s="6"/>
      <c r="L3209" s="16"/>
      <c r="M3209" s="6"/>
      <c r="N3209" s="15"/>
      <c r="O3209" s="23"/>
      <c r="P3209" s="21"/>
      <c r="Q3209" s="23"/>
      <c r="R3209" s="6"/>
      <c r="S3209" s="20"/>
      <c r="T3209" s="6"/>
      <c r="W3209" s="20"/>
      <c r="AF3209" s="19"/>
    </row>
    <row r="3210" spans="2:32" ht="16">
      <c r="B3210" s="26" t="str">
        <f t="shared" si="13"/>
        <v/>
      </c>
      <c r="C3210" s="6"/>
      <c r="D3210" s="6"/>
      <c r="E3210" s="6"/>
      <c r="F3210" s="15"/>
      <c r="G3210" s="6"/>
      <c r="H3210" s="6"/>
      <c r="I3210" s="6"/>
      <c r="J3210" s="16"/>
      <c r="K3210" s="6"/>
      <c r="L3210" s="16"/>
      <c r="M3210" s="6"/>
      <c r="N3210" s="15"/>
      <c r="O3210" s="23"/>
      <c r="P3210" s="21"/>
      <c r="Q3210" s="23"/>
      <c r="R3210" s="6"/>
      <c r="S3210" s="20"/>
      <c r="T3210" s="6"/>
      <c r="W3210" s="20"/>
      <c r="AF3210" s="19"/>
    </row>
    <row r="3211" spans="2:32" ht="16">
      <c r="B3211" s="26" t="str">
        <f t="shared" si="13"/>
        <v/>
      </c>
      <c r="C3211" s="6"/>
      <c r="D3211" s="6"/>
      <c r="E3211" s="6"/>
      <c r="F3211" s="15"/>
      <c r="G3211" s="6"/>
      <c r="H3211" s="6"/>
      <c r="I3211" s="6"/>
      <c r="J3211" s="16"/>
      <c r="K3211" s="6"/>
      <c r="L3211" s="16"/>
      <c r="M3211" s="6"/>
      <c r="N3211" s="15"/>
      <c r="O3211" s="23"/>
      <c r="P3211" s="21"/>
      <c r="Q3211" s="23"/>
      <c r="R3211" s="6"/>
      <c r="S3211" s="20"/>
      <c r="T3211" s="6"/>
      <c r="W3211" s="20"/>
      <c r="AF3211" s="19"/>
    </row>
    <row r="3212" spans="2:32" ht="16">
      <c r="B3212" s="26" t="str">
        <f t="shared" si="13"/>
        <v/>
      </c>
      <c r="C3212" s="6"/>
      <c r="D3212" s="6"/>
      <c r="E3212" s="6"/>
      <c r="F3212" s="15"/>
      <c r="G3212" s="6"/>
      <c r="H3212" s="6"/>
      <c r="I3212" s="6"/>
      <c r="J3212" s="16"/>
      <c r="K3212" s="6"/>
      <c r="L3212" s="16"/>
      <c r="M3212" s="6"/>
      <c r="N3212" s="15"/>
      <c r="O3212" s="23"/>
      <c r="P3212" s="21"/>
      <c r="Q3212" s="23"/>
      <c r="R3212" s="6"/>
      <c r="S3212" s="20"/>
      <c r="T3212" s="6"/>
      <c r="W3212" s="20"/>
      <c r="AF3212" s="19"/>
    </row>
    <row r="3213" spans="2:32" ht="16">
      <c r="B3213" s="26" t="str">
        <f t="shared" si="13"/>
        <v/>
      </c>
      <c r="C3213" s="6"/>
      <c r="D3213" s="6"/>
      <c r="E3213" s="6"/>
      <c r="F3213" s="15"/>
      <c r="G3213" s="6"/>
      <c r="H3213" s="6"/>
      <c r="I3213" s="6"/>
      <c r="J3213" s="16"/>
      <c r="K3213" s="6"/>
      <c r="L3213" s="16"/>
      <c r="M3213" s="6"/>
      <c r="N3213" s="15"/>
      <c r="O3213" s="23"/>
      <c r="P3213" s="21"/>
      <c r="Q3213" s="23"/>
      <c r="R3213" s="6"/>
      <c r="S3213" s="20"/>
      <c r="T3213" s="6"/>
      <c r="W3213" s="20"/>
      <c r="AF3213" s="19"/>
    </row>
    <row r="3214" spans="2:32" ht="16">
      <c r="B3214" s="26" t="str">
        <f t="shared" si="13"/>
        <v/>
      </c>
      <c r="C3214" s="6"/>
      <c r="D3214" s="6"/>
      <c r="E3214" s="6"/>
      <c r="F3214" s="15"/>
      <c r="G3214" s="6"/>
      <c r="H3214" s="6"/>
      <c r="I3214" s="6"/>
      <c r="J3214" s="16"/>
      <c r="K3214" s="6"/>
      <c r="L3214" s="16"/>
      <c r="M3214" s="6"/>
      <c r="N3214" s="15"/>
      <c r="O3214" s="23"/>
      <c r="P3214" s="21"/>
      <c r="Q3214" s="23"/>
      <c r="R3214" s="6"/>
      <c r="S3214" s="20"/>
      <c r="T3214" s="6"/>
      <c r="W3214" s="20"/>
      <c r="AF3214" s="19"/>
    </row>
    <row r="3215" spans="2:32" ht="16">
      <c r="B3215" s="26" t="str">
        <f t="shared" si="13"/>
        <v/>
      </c>
      <c r="C3215" s="6"/>
      <c r="D3215" s="6"/>
      <c r="E3215" s="6"/>
      <c r="F3215" s="15"/>
      <c r="G3215" s="6"/>
      <c r="H3215" s="6"/>
      <c r="I3215" s="6"/>
      <c r="J3215" s="16"/>
      <c r="K3215" s="6"/>
      <c r="L3215" s="16"/>
      <c r="M3215" s="6"/>
      <c r="N3215" s="15"/>
      <c r="O3215" s="23"/>
      <c r="P3215" s="21"/>
      <c r="Q3215" s="23"/>
      <c r="R3215" s="6"/>
      <c r="S3215" s="20"/>
      <c r="T3215" s="6"/>
      <c r="W3215" s="20"/>
      <c r="AF3215" s="19"/>
    </row>
    <row r="3216" spans="2:32" ht="16">
      <c r="B3216" s="26" t="str">
        <f t="shared" si="13"/>
        <v/>
      </c>
      <c r="C3216" s="6"/>
      <c r="D3216" s="6"/>
      <c r="E3216" s="6"/>
      <c r="F3216" s="15"/>
      <c r="G3216" s="6"/>
      <c r="H3216" s="6"/>
      <c r="I3216" s="6"/>
      <c r="J3216" s="16"/>
      <c r="K3216" s="6"/>
      <c r="L3216" s="16"/>
      <c r="M3216" s="6"/>
      <c r="N3216" s="15"/>
      <c r="O3216" s="23"/>
      <c r="P3216" s="21"/>
      <c r="Q3216" s="23"/>
      <c r="R3216" s="6"/>
      <c r="S3216" s="20"/>
      <c r="T3216" s="6"/>
      <c r="W3216" s="20"/>
      <c r="AF3216" s="19"/>
    </row>
    <row r="3217" spans="2:32" ht="16">
      <c r="B3217" s="26" t="str">
        <f t="shared" si="13"/>
        <v/>
      </c>
      <c r="C3217" s="6"/>
      <c r="D3217" s="6"/>
      <c r="E3217" s="6"/>
      <c r="F3217" s="15"/>
      <c r="G3217" s="6"/>
      <c r="H3217" s="6"/>
      <c r="I3217" s="6"/>
      <c r="J3217" s="16"/>
      <c r="K3217" s="6"/>
      <c r="L3217" s="16"/>
      <c r="M3217" s="6"/>
      <c r="N3217" s="15"/>
      <c r="O3217" s="23"/>
      <c r="P3217" s="21"/>
      <c r="Q3217" s="23"/>
      <c r="R3217" s="6"/>
      <c r="S3217" s="20"/>
      <c r="T3217" s="6"/>
      <c r="W3217" s="20"/>
      <c r="AF3217" s="19"/>
    </row>
    <row r="3218" spans="2:32" ht="16">
      <c r="B3218" s="26" t="str">
        <f t="shared" si="13"/>
        <v/>
      </c>
      <c r="C3218" s="6"/>
      <c r="D3218" s="6"/>
      <c r="E3218" s="6"/>
      <c r="F3218" s="15"/>
      <c r="G3218" s="6"/>
      <c r="H3218" s="6"/>
      <c r="I3218" s="6"/>
      <c r="J3218" s="16"/>
      <c r="K3218" s="6"/>
      <c r="L3218" s="16"/>
      <c r="M3218" s="6"/>
      <c r="N3218" s="15"/>
      <c r="O3218" s="23"/>
      <c r="P3218" s="21"/>
      <c r="Q3218" s="23"/>
      <c r="R3218" s="6"/>
      <c r="S3218" s="20"/>
      <c r="T3218" s="6"/>
      <c r="W3218" s="20"/>
      <c r="AF3218" s="19"/>
    </row>
    <row r="3219" spans="2:32" ht="16">
      <c r="B3219" s="26" t="str">
        <f t="shared" si="13"/>
        <v/>
      </c>
      <c r="C3219" s="6"/>
      <c r="D3219" s="6"/>
      <c r="E3219" s="6"/>
      <c r="F3219" s="15"/>
      <c r="G3219" s="6"/>
      <c r="H3219" s="6"/>
      <c r="I3219" s="6"/>
      <c r="J3219" s="16"/>
      <c r="K3219" s="6"/>
      <c r="L3219" s="16"/>
      <c r="M3219" s="6"/>
      <c r="N3219" s="15"/>
      <c r="O3219" s="23"/>
      <c r="P3219" s="21"/>
      <c r="Q3219" s="23"/>
      <c r="R3219" s="6"/>
      <c r="S3219" s="20"/>
      <c r="T3219" s="6"/>
      <c r="W3219" s="20"/>
      <c r="AF3219" s="19"/>
    </row>
    <row r="3220" spans="2:32" ht="16">
      <c r="B3220" s="26" t="str">
        <f t="shared" si="13"/>
        <v/>
      </c>
      <c r="C3220" s="6"/>
      <c r="D3220" s="6"/>
      <c r="E3220" s="6"/>
      <c r="F3220" s="15"/>
      <c r="G3220" s="6"/>
      <c r="H3220" s="6"/>
      <c r="I3220" s="6"/>
      <c r="J3220" s="16"/>
      <c r="K3220" s="6"/>
      <c r="L3220" s="16"/>
      <c r="M3220" s="6"/>
      <c r="N3220" s="15"/>
      <c r="O3220" s="23"/>
      <c r="P3220" s="21"/>
      <c r="Q3220" s="23"/>
      <c r="R3220" s="6"/>
      <c r="S3220" s="20"/>
      <c r="T3220" s="6"/>
      <c r="W3220" s="20"/>
      <c r="AF3220" s="19"/>
    </row>
    <row r="3221" spans="2:32" ht="16">
      <c r="B3221" s="26" t="str">
        <f t="shared" si="13"/>
        <v/>
      </c>
      <c r="C3221" s="6"/>
      <c r="D3221" s="6"/>
      <c r="E3221" s="6"/>
      <c r="F3221" s="15"/>
      <c r="G3221" s="6"/>
      <c r="H3221" s="6"/>
      <c r="I3221" s="6"/>
      <c r="J3221" s="16"/>
      <c r="K3221" s="6"/>
      <c r="L3221" s="16"/>
      <c r="M3221" s="6"/>
      <c r="N3221" s="15"/>
      <c r="O3221" s="23"/>
      <c r="P3221" s="21"/>
      <c r="Q3221" s="23"/>
      <c r="R3221" s="6"/>
      <c r="S3221" s="20"/>
      <c r="T3221" s="6"/>
      <c r="W3221" s="20"/>
      <c r="AF3221" s="19"/>
    </row>
    <row r="3222" spans="2:32" ht="16">
      <c r="B3222" s="26" t="str">
        <f t="shared" si="13"/>
        <v/>
      </c>
      <c r="C3222" s="6"/>
      <c r="D3222" s="6"/>
      <c r="E3222" s="6"/>
      <c r="F3222" s="15"/>
      <c r="G3222" s="6"/>
      <c r="H3222" s="6"/>
      <c r="I3222" s="6"/>
      <c r="J3222" s="16"/>
      <c r="K3222" s="6"/>
      <c r="L3222" s="16"/>
      <c r="M3222" s="6"/>
      <c r="N3222" s="15"/>
      <c r="O3222" s="23"/>
      <c r="P3222" s="21"/>
      <c r="Q3222" s="23"/>
      <c r="R3222" s="6"/>
      <c r="S3222" s="20"/>
      <c r="T3222" s="6"/>
      <c r="W3222" s="20"/>
      <c r="AF3222" s="19"/>
    </row>
    <row r="3223" spans="2:32" ht="16">
      <c r="B3223" s="26" t="str">
        <f t="shared" si="13"/>
        <v/>
      </c>
      <c r="C3223" s="6"/>
      <c r="D3223" s="6"/>
      <c r="E3223" s="6"/>
      <c r="F3223" s="15"/>
      <c r="G3223" s="6"/>
      <c r="H3223" s="6"/>
      <c r="I3223" s="6"/>
      <c r="J3223" s="16"/>
      <c r="K3223" s="6"/>
      <c r="L3223" s="16"/>
      <c r="M3223" s="6"/>
      <c r="N3223" s="15"/>
      <c r="O3223" s="23"/>
      <c r="P3223" s="21"/>
      <c r="Q3223" s="23"/>
      <c r="R3223" s="6"/>
      <c r="S3223" s="20"/>
      <c r="T3223" s="6"/>
      <c r="W3223" s="20"/>
      <c r="AF3223" s="19"/>
    </row>
  </sheetData>
  <autoFilter ref="A1:BA3223" xr:uid="{00000000-0009-0000-0000-000002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179"/>
  <sheetViews>
    <sheetView workbookViewId="0"/>
  </sheetViews>
  <sheetFormatPr baseColWidth="10" defaultColWidth="12.6640625" defaultRowHeight="15" customHeight="1"/>
  <cols>
    <col min="1" max="1" width="17.1640625" customWidth="1"/>
    <col min="2" max="2" width="9.83203125" customWidth="1"/>
    <col min="5" max="5" width="17.1640625" customWidth="1"/>
    <col min="6" max="6" width="14.6640625" customWidth="1"/>
    <col min="7" max="7" width="15.5" customWidth="1"/>
    <col min="8" max="8" width="12" customWidth="1"/>
    <col min="9" max="9" width="11.83203125" customWidth="1"/>
    <col min="10" max="10" width="18.1640625" customWidth="1"/>
    <col min="14" max="14" width="14.6640625" customWidth="1"/>
    <col min="15" max="15" width="40.1640625" customWidth="1"/>
    <col min="16" max="16" width="45.6640625" customWidth="1"/>
  </cols>
  <sheetData>
    <row r="1" spans="1:27" ht="48">
      <c r="A1" s="27" t="s">
        <v>47</v>
      </c>
      <c r="B1" s="28" t="str">
        <f ca="1">IFERROR(__xludf.DUMMYFUNCTION("QUERY(IMPORTRANGE(""1_X10lib1ACi4eo1UVL3CnIshtSTUMAC3_tdGFaV5IiU/edit?gid=1391406655#gid=1391406655"",""Datventas2026!A:AT""),""SELECT Col7, Col8, Col43, Col4, Col6, Col10, Col1, Col11, Col13, Col14, Col17, Col29, Col30, Col31, Col32 WHERE Col32&lt;&gt;''"",1)"),"AÑO")</f>
        <v>AÑO</v>
      </c>
      <c r="C1" s="12" t="str">
        <f ca="1">IFERROR(__xludf.DUMMYFUNCTION("""COMPUTED_VALUE"""),"MES")</f>
        <v>MES</v>
      </c>
      <c r="D1" s="29" t="str">
        <f ca="1">IFERROR(__xludf.DUMMYFUNCTION("""COMPUTED_VALUE"""),"RECOMPRA")</f>
        <v>RECOMPRA</v>
      </c>
      <c r="E1" s="29" t="str">
        <f ca="1">IFERROR(__xludf.DUMMYFUNCTION("""COMPUTED_VALUE"""),"SUCURSAL")</f>
        <v>SUCURSAL</v>
      </c>
      <c r="F1" s="29" t="str">
        <f ca="1">IFERROR(__xludf.DUMMYFUNCTION("""COMPUTED_VALUE"""),"FECHA DE VENTA")</f>
        <v>FECHA DE VENTA</v>
      </c>
      <c r="G1" s="29" t="str">
        <f ca="1">IFERROR(__xludf.DUMMYFUNCTION("""COMPUTED_VALUE"""),"FECHA DE ALTA DE CLIENTE")</f>
        <v>FECHA DE ALTA DE CLIENTE</v>
      </c>
      <c r="H1" s="29" t="str">
        <f ca="1">IFERROR(__xludf.DUMMYFUNCTION("""COMPUTED_VALUE"""),"Clínica")</f>
        <v>Clínica</v>
      </c>
      <c r="I1" s="29" t="str">
        <f ca="1">IFERROR(__xludf.DUMMYFUNCTION("""COMPUTED_VALUE"""),"CÓDIGO DE CLIENTE")</f>
        <v>CÓDIGO DE CLIENTE</v>
      </c>
      <c r="J1" s="29" t="str">
        <f ca="1">IFERROR(__xludf.DUMMYFUNCTION("""COMPUTED_VALUE"""),"CLIENTE")</f>
        <v>CLIENTE</v>
      </c>
      <c r="K1" s="29" t="str">
        <f ca="1">IFERROR(__xludf.DUMMYFUNCTION("""COMPUTED_VALUE"""),"NUM AUDIFONOS")</f>
        <v>NUM AUDIFONOS</v>
      </c>
      <c r="L1" s="29" t="str">
        <f ca="1">IFERROR(__xludf.DUMMYFUNCTION("""COMPUTED_VALUE"""),"TOTAL AUDIFONOS SIN IVA")</f>
        <v>TOTAL AUDIFONOS SIN IVA</v>
      </c>
      <c r="M1" s="29" t="str">
        <f ca="1">IFERROR(__xludf.DUMMYFUNCTION("""COMPUTED_VALUE"""),"CANAL")</f>
        <v>CANAL</v>
      </c>
      <c r="N1" s="29" t="str">
        <f ca="1">IFERROR(__xludf.DUMMYFUNCTION("""COMPUTED_VALUE"""),"SUBCANAL")</f>
        <v>SUBCANAL</v>
      </c>
      <c r="O1" s="30" t="str">
        <f ca="1">IFERROR(__xludf.DUMMYFUNCTION("""COMPUTED_VALUE"""),"NOMBRE ORL/CAMPAÑA")</f>
        <v>NOMBRE ORL/CAMPAÑA</v>
      </c>
      <c r="P1" s="29" t="str">
        <f ca="1">IFERROR(__xludf.DUMMYFUNCTION("""COMPUTED_VALUE"""),"NOMBRE VISITADOR")</f>
        <v>NOMBRE VISITADOR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>
      <c r="A2" s="32">
        <v>46113</v>
      </c>
      <c r="B2" s="33">
        <f ca="1">IFERROR(__xludf.DUMMYFUNCTION("""COMPUTED_VALUE"""),2026)</f>
        <v>2026</v>
      </c>
      <c r="C2" s="15">
        <f ca="1">IFERROR(__xludf.DUMMYFUNCTION("""COMPUTED_VALUE"""),1)</f>
        <v>1</v>
      </c>
      <c r="D2" s="6" t="str">
        <f ca="1">IFERROR(__xludf.DUMMYFUNCTION("""COMPUTED_VALUE"""),"NO")</f>
        <v>NO</v>
      </c>
      <c r="E2" s="6" t="str">
        <f ca="1">IFERROR(__xludf.DUMMYFUNCTION("""COMPUTED_VALUE"""),"Valencia- Parra")</f>
        <v>Valencia- Parra</v>
      </c>
      <c r="F2" s="16">
        <f ca="1">IFERROR(__xludf.DUMMYFUNCTION("""COMPUTED_VALUE"""),46024)</f>
        <v>46024</v>
      </c>
      <c r="G2" s="16">
        <f ca="1">IFERROR(__xludf.DUMMYFUNCTION("""COMPUTED_VALUE"""),45966)</f>
        <v>45966</v>
      </c>
      <c r="H2" s="6" t="str">
        <f ca="1">IFERROR(__xludf.DUMMYFUNCTION("""COMPUTED_VALUE"""),"Valencia- Parra")</f>
        <v>Valencia- Parra</v>
      </c>
      <c r="I2" s="6" t="str">
        <f ca="1">IFERROR(__xludf.DUMMYFUNCTION("""COMPUTED_VALUE"""),"C202511592157270489")</f>
        <v>C202511592157270489</v>
      </c>
      <c r="J2" s="6" t="str">
        <f ca="1">IFERROR(__xludf.DUMMYFUNCTION("""COMPUTED_VALUE"""),"HEINZ WIEST")</f>
        <v>HEINZ WIEST</v>
      </c>
      <c r="K2" s="15">
        <f ca="1">IFERROR(__xludf.DUMMYFUNCTION("""COMPUTED_VALUE"""),2)</f>
        <v>2</v>
      </c>
      <c r="L2" s="21">
        <f ca="1">IFERROR(__xludf.DUMMYFUNCTION("""COMPUTED_VALUE"""),4536.36)</f>
        <v>4536.3599999999997</v>
      </c>
      <c r="M2" s="6" t="str">
        <f ca="1">IFERROR(__xludf.DUMMYFUNCTION("""COMPUTED_VALUE"""),"03 ORL")</f>
        <v>03 ORL</v>
      </c>
      <c r="N2" s="6" t="str">
        <f ca="1">IFERROR(__xludf.DUMMYFUNCTION("""COMPUTED_VALUE"""),"06 ORL")</f>
        <v>06 ORL</v>
      </c>
      <c r="O2" s="6" t="str">
        <f ca="1">IFERROR(__xludf.DUMMYFUNCTION("""COMPUTED_VALUE"""),"Dra, Fe Rubio Escolano")</f>
        <v>Dra, Fe Rubio Escolano</v>
      </c>
      <c r="P2" s="6" t="str">
        <f ca="1">IFERROR(__xludf.DUMMYFUNCTION("""COMPUTED_VALUE"""),"Ramon Ferrando(Valencia)")</f>
        <v>Ramon Ferrando(Valencia)</v>
      </c>
    </row>
    <row r="3" spans="1:27">
      <c r="B3" s="33">
        <f ca="1">IFERROR(__xludf.DUMMYFUNCTION("""COMPUTED_VALUE"""),2026)</f>
        <v>2026</v>
      </c>
      <c r="C3" s="15">
        <f ca="1">IFERROR(__xludf.DUMMYFUNCTION("""COMPUTED_VALUE"""),1)</f>
        <v>1</v>
      </c>
      <c r="D3" s="6" t="str">
        <f ca="1">IFERROR(__xludf.DUMMYFUNCTION("""COMPUTED_VALUE"""),"NO")</f>
        <v>NO</v>
      </c>
      <c r="E3" s="6" t="str">
        <f ca="1">IFERROR(__xludf.DUMMYFUNCTION("""COMPUTED_VALUE"""),"Cáceres")</f>
        <v>Cáceres</v>
      </c>
      <c r="F3" s="16">
        <f ca="1">IFERROR(__xludf.DUMMYFUNCTION("""COMPUTED_VALUE"""),46024)</f>
        <v>46024</v>
      </c>
      <c r="G3" s="16">
        <f ca="1">IFERROR(__xludf.DUMMYFUNCTION("""COMPUTED_VALUE"""),45992)</f>
        <v>45992</v>
      </c>
      <c r="H3" s="6" t="str">
        <f ca="1">IFERROR(__xludf.DUMMYFUNCTION("""COMPUTED_VALUE"""),"Cáceres")</f>
        <v>Cáceres</v>
      </c>
      <c r="I3" s="6" t="str">
        <f ca="1">IFERROR(__xludf.DUMMYFUNCTION("""COMPUTED_VALUE"""),"C202512110551976531")</f>
        <v>C202512110551976531</v>
      </c>
      <c r="J3" s="6" t="str">
        <f ca="1">IFERROR(__xludf.DUMMYFUNCTION("""COMPUTED_VALUE"""),"JUAN MANUEL CORCHERO HIGUERO")</f>
        <v>JUAN MANUEL CORCHERO HIGUERO</v>
      </c>
      <c r="K3" s="15">
        <f ca="1">IFERROR(__xludf.DUMMYFUNCTION("""COMPUTED_VALUE"""),2)</f>
        <v>2</v>
      </c>
      <c r="L3" s="21">
        <f ca="1">IFERROR(__xludf.DUMMYFUNCTION("""COMPUTED_VALUE"""),3636.36)</f>
        <v>3636.36</v>
      </c>
      <c r="M3" s="6" t="str">
        <f ca="1">IFERROR(__xludf.DUMMYFUNCTION("""COMPUTED_VALUE"""),"03 ORL")</f>
        <v>03 ORL</v>
      </c>
      <c r="N3" s="6" t="str">
        <f ca="1">IFERROR(__xludf.DUMMYFUNCTION("""COMPUTED_VALUE"""),"06 ORL")</f>
        <v>06 ORL</v>
      </c>
      <c r="O3" s="6" t="str">
        <f ca="1">IFERROR(__xludf.DUMMYFUNCTION("""COMPUTED_VALUE"""),"Dr, Andrés Paulino Herrera")</f>
        <v>Dr, Andrés Paulino Herrera</v>
      </c>
      <c r="P3" s="6" t="str">
        <f ca="1">IFERROR(__xludf.DUMMYFUNCTION("""COMPUTED_VALUE"""),"Lisandro Russian (Madrid, Cáceres, Toledo, Talavera y Logroño)")</f>
        <v>Lisandro Russian (Madrid, Cáceres, Toledo, Talavera y Logroño)</v>
      </c>
    </row>
    <row r="4" spans="1:27">
      <c r="B4" s="33">
        <f ca="1">IFERROR(__xludf.DUMMYFUNCTION("""COMPUTED_VALUE"""),2026)</f>
        <v>2026</v>
      </c>
      <c r="C4" s="15">
        <f ca="1">IFERROR(__xludf.DUMMYFUNCTION("""COMPUTED_VALUE"""),1)</f>
        <v>1</v>
      </c>
      <c r="D4" s="6" t="str">
        <f ca="1">IFERROR(__xludf.DUMMYFUNCTION("""COMPUTED_VALUE"""),"NO")</f>
        <v>NO</v>
      </c>
      <c r="E4" s="6" t="str">
        <f ca="1">IFERROR(__xludf.DUMMYFUNCTION("""COMPUTED_VALUE"""),"Valladolid")</f>
        <v>Valladolid</v>
      </c>
      <c r="F4" s="16">
        <f ca="1">IFERROR(__xludf.DUMMYFUNCTION("""COMPUTED_VALUE"""),46027)</f>
        <v>46027</v>
      </c>
      <c r="G4" s="16">
        <f ca="1">IFERROR(__xludf.DUMMYFUNCTION("""COMPUTED_VALUE"""),45964)</f>
        <v>45964</v>
      </c>
      <c r="H4" s="6" t="str">
        <f ca="1">IFERROR(__xludf.DUMMYFUNCTION("""COMPUTED_VALUE"""),"Valladolid")</f>
        <v>Valladolid</v>
      </c>
      <c r="I4" s="6" t="str">
        <f ca="1">IFERROR(__xludf.DUMMYFUNCTION("""COMPUTED_VALUE"""),"VLL-474")</f>
        <v>VLL-474</v>
      </c>
      <c r="J4" s="6" t="str">
        <f ca="1">IFERROR(__xludf.DUMMYFUNCTION("""COMPUTED_VALUE"""),"GAUDENCIO GARCIA REGUERO")</f>
        <v>GAUDENCIO GARCIA REGUERO</v>
      </c>
      <c r="K4" s="15">
        <f ca="1">IFERROR(__xludf.DUMMYFUNCTION("""COMPUTED_VALUE"""),2)</f>
        <v>2</v>
      </c>
      <c r="L4" s="21">
        <f ca="1">IFERROR(__xludf.DUMMYFUNCTION("""COMPUTED_VALUE"""),3522.73)</f>
        <v>3522.73</v>
      </c>
      <c r="M4" s="6" t="str">
        <f ca="1">IFERROR(__xludf.DUMMYFUNCTION("""COMPUTED_VALUE"""),"03 ORL")</f>
        <v>03 ORL</v>
      </c>
      <c r="N4" s="6" t="str">
        <f ca="1">IFERROR(__xludf.DUMMYFUNCTION("""COMPUTED_VALUE"""),"06 ORL")</f>
        <v>06 ORL</v>
      </c>
      <c r="O4" s="6" t="str">
        <f ca="1">IFERROR(__xludf.DUMMYFUNCTION("""COMPUTED_VALUE"""),"Dr, Carlos Miguel Salvador Martínez")</f>
        <v>Dr, Carlos Miguel Salvador Martínez</v>
      </c>
      <c r="P4" s="6" t="str">
        <f ca="1">IFERROR(__xludf.DUMMYFUNCTION("""COMPUTED_VALUE"""),"Alberto Moreno (Madrid)")</f>
        <v>Alberto Moreno (Madrid)</v>
      </c>
    </row>
    <row r="5" spans="1:27">
      <c r="B5" s="33">
        <f ca="1">IFERROR(__xludf.DUMMYFUNCTION("""COMPUTED_VALUE"""),2026)</f>
        <v>2026</v>
      </c>
      <c r="C5" s="15">
        <f ca="1">IFERROR(__xludf.DUMMYFUNCTION("""COMPUTED_VALUE"""),1)</f>
        <v>1</v>
      </c>
      <c r="D5" s="6" t="str">
        <f ca="1">IFERROR(__xludf.DUMMYFUNCTION("""COMPUTED_VALUE"""),"NO")</f>
        <v>NO</v>
      </c>
      <c r="E5" s="6" t="str">
        <f ca="1">IFERROR(__xludf.DUMMYFUNCTION("""COMPUTED_VALUE"""),"Getafe")</f>
        <v>Getafe</v>
      </c>
      <c r="F5" s="16">
        <f ca="1">IFERROR(__xludf.DUMMYFUNCTION("""COMPUTED_VALUE"""),46027)</f>
        <v>46027</v>
      </c>
      <c r="G5" s="16">
        <f ca="1">IFERROR(__xludf.DUMMYFUNCTION("""COMPUTED_VALUE"""),45975)</f>
        <v>45975</v>
      </c>
      <c r="H5" s="6" t="str">
        <f ca="1">IFERROR(__xludf.DUMMYFUNCTION("""COMPUTED_VALUE"""),"Getafe")</f>
        <v>Getafe</v>
      </c>
      <c r="I5" s="6" t="str">
        <f ca="1">IFERROR(__xludf.DUMMYFUNCTION("""COMPUTED_VALUE"""),"C202511141135536493")</f>
        <v>C202511141135536493</v>
      </c>
      <c r="J5" s="6" t="str">
        <f ca="1">IFERROR(__xludf.DUMMYFUNCTION("""COMPUTED_VALUE"""),"ANTONIO CALVETE OLIVA")</f>
        <v>ANTONIO CALVETE OLIVA</v>
      </c>
      <c r="K5" s="15">
        <f ca="1">IFERROR(__xludf.DUMMYFUNCTION("""COMPUTED_VALUE"""),1)</f>
        <v>1</v>
      </c>
      <c r="L5" s="21">
        <f ca="1">IFERROR(__xludf.DUMMYFUNCTION("""COMPUTED_VALUE"""),2180.91)</f>
        <v>2180.91</v>
      </c>
      <c r="M5" s="6" t="str">
        <f ca="1">IFERROR(__xludf.DUMMYFUNCTION("""COMPUTED_VALUE"""),"03 ORL")</f>
        <v>03 ORL</v>
      </c>
      <c r="N5" s="6" t="str">
        <f ca="1">IFERROR(__xludf.DUMMYFUNCTION("""COMPUTED_VALUE"""),"06 ORL")</f>
        <v>06 ORL</v>
      </c>
      <c r="O5" s="6" t="str">
        <f ca="1">IFERROR(__xludf.DUMMYFUNCTION("""COMPUTED_VALUE"""),"Dra, Marta Colmenero Ruiz")</f>
        <v>Dra, Marta Colmenero Ruiz</v>
      </c>
      <c r="P5" s="6" t="str">
        <f ca="1">IFERROR(__xludf.DUMMYFUNCTION("""COMPUTED_VALUE"""),"Maika Blázquez (Madrid)")</f>
        <v>Maika Blázquez (Madrid)</v>
      </c>
    </row>
    <row r="6" spans="1:27">
      <c r="B6" s="33">
        <f ca="1">IFERROR(__xludf.DUMMYFUNCTION("""COMPUTED_VALUE"""),2026)</f>
        <v>2026</v>
      </c>
      <c r="C6" s="15">
        <f ca="1">IFERROR(__xludf.DUMMYFUNCTION("""COMPUTED_VALUE"""),1)</f>
        <v>1</v>
      </c>
      <c r="D6" s="6" t="str">
        <f ca="1">IFERROR(__xludf.DUMMYFUNCTION("""COMPUTED_VALUE"""),"NO")</f>
        <v>NO</v>
      </c>
      <c r="E6" s="6" t="str">
        <f ca="1">IFERROR(__xludf.DUMMYFUNCTION("""COMPUTED_VALUE"""),"Madrid- La Oca")</f>
        <v>Madrid- La Oca</v>
      </c>
      <c r="F6" s="16">
        <f ca="1">IFERROR(__xludf.DUMMYFUNCTION("""COMPUTED_VALUE"""),46029)</f>
        <v>46029</v>
      </c>
      <c r="G6" s="16">
        <f ca="1">IFERROR(__xludf.DUMMYFUNCTION("""COMPUTED_VALUE"""),45978)</f>
        <v>45978</v>
      </c>
      <c r="H6" s="6" t="str">
        <f ca="1">IFERROR(__xludf.DUMMYFUNCTION("""COMPUTED_VALUE"""),"La Oca")</f>
        <v>La Oca</v>
      </c>
      <c r="I6" s="6" t="str">
        <f ca="1">IFERROR(__xludf.DUMMYFUNCTION("""COMPUTED_VALUE"""),"C202511171016459133")</f>
        <v>C202511171016459133</v>
      </c>
      <c r="J6" s="6" t="str">
        <f ca="1">IFERROR(__xludf.DUMMYFUNCTION("""COMPUTED_VALUE"""),"AMELIA DIAZ VAZQUEZ")</f>
        <v>AMELIA DIAZ VAZQUEZ</v>
      </c>
      <c r="K6" s="15">
        <f ca="1">IFERROR(__xludf.DUMMYFUNCTION("""COMPUTED_VALUE"""),2)</f>
        <v>2</v>
      </c>
      <c r="L6" s="21">
        <f ca="1">IFERROR(__xludf.DUMMYFUNCTION("""COMPUTED_VALUE"""),2718.18)</f>
        <v>2718.18</v>
      </c>
      <c r="M6" s="6" t="str">
        <f ca="1">IFERROR(__xludf.DUMMYFUNCTION("""COMPUTED_VALUE"""),"03 ORL")</f>
        <v>03 ORL</v>
      </c>
      <c r="N6" s="6" t="str">
        <f ca="1">IFERROR(__xludf.DUMMYFUNCTION("""COMPUTED_VALUE"""),"06 ORL")</f>
        <v>06 ORL</v>
      </c>
      <c r="O6" s="6" t="str">
        <f ca="1">IFERROR(__xludf.DUMMYFUNCTION("""COMPUTED_VALUE"""),"Dr, Andreas Schilling Borghesi")</f>
        <v>Dr, Andreas Schilling Borghesi</v>
      </c>
      <c r="P6" s="6" t="str">
        <f ca="1">IFERROR(__xludf.DUMMYFUNCTION("""COMPUTED_VALUE"""),"Maika Blázquez (Madrid)")</f>
        <v>Maika Blázquez (Madrid)</v>
      </c>
    </row>
    <row r="7" spans="1:27">
      <c r="B7" s="34">
        <f ca="1">IFERROR(__xludf.DUMMYFUNCTION("""COMPUTED_VALUE"""),2026)</f>
        <v>2026</v>
      </c>
      <c r="C7" s="15">
        <f ca="1">IFERROR(__xludf.DUMMYFUNCTION("""COMPUTED_VALUE"""),1)</f>
        <v>1</v>
      </c>
      <c r="D7" s="1" t="str">
        <f ca="1">IFERROR(__xludf.DUMMYFUNCTION("""COMPUTED_VALUE"""),"NO")</f>
        <v>NO</v>
      </c>
      <c r="E7" s="6" t="str">
        <f ca="1">IFERROR(__xludf.DUMMYFUNCTION("""COMPUTED_VALUE"""),"Madrid- La Oca")</f>
        <v>Madrid- La Oca</v>
      </c>
      <c r="F7" s="16">
        <f ca="1">IFERROR(__xludf.DUMMYFUNCTION("""COMPUTED_VALUE"""),46030)</f>
        <v>46030</v>
      </c>
      <c r="G7" s="16">
        <f ca="1">IFERROR(__xludf.DUMMYFUNCTION("""COMPUTED_VALUE"""),46000)</f>
        <v>46000</v>
      </c>
      <c r="H7" s="6" t="str">
        <f ca="1">IFERROR(__xludf.DUMMYFUNCTION("""COMPUTED_VALUE"""),"La Oca")</f>
        <v>La Oca</v>
      </c>
      <c r="I7" s="6" t="str">
        <f ca="1">IFERROR(__xludf.DUMMYFUNCTION("""COMPUTED_VALUE"""),"C202512911304031492")</f>
        <v>C202512911304031492</v>
      </c>
      <c r="J7" s="6" t="str">
        <f ca="1">IFERROR(__xludf.DUMMYFUNCTION("""COMPUTED_VALUE"""),"REMEDIOS  VECINO PRIETO")</f>
        <v>REMEDIOS  VECINO PRIETO</v>
      </c>
      <c r="K7" s="15">
        <f ca="1">IFERROR(__xludf.DUMMYFUNCTION("""COMPUTED_VALUE"""),2)</f>
        <v>2</v>
      </c>
      <c r="L7" s="21">
        <f ca="1">IFERROR(__xludf.DUMMYFUNCTION("""COMPUTED_VALUE"""),2718.18)</f>
        <v>2718.18</v>
      </c>
      <c r="M7" s="6" t="str">
        <f ca="1">IFERROR(__xludf.DUMMYFUNCTION("""COMPUTED_VALUE"""),"03 ORL")</f>
        <v>03 ORL</v>
      </c>
      <c r="N7" s="6" t="str">
        <f ca="1">IFERROR(__xludf.DUMMYFUNCTION("""COMPUTED_VALUE"""),"06 ORL")</f>
        <v>06 ORL</v>
      </c>
      <c r="O7" s="6" t="str">
        <f ca="1">IFERROR(__xludf.DUMMYFUNCTION("""COMPUTED_VALUE"""),"Dr, José Joaquín Gutiérrez Barquín")</f>
        <v>Dr, José Joaquín Gutiérrez Barquín</v>
      </c>
      <c r="P7" s="6" t="str">
        <f ca="1">IFERROR(__xludf.DUMMYFUNCTION("""COMPUTED_VALUE"""),"Maika Blázquez (Madrid)")</f>
        <v>Maika Blázquez (Madrid)</v>
      </c>
    </row>
    <row r="8" spans="1:27">
      <c r="B8" s="34">
        <f ca="1">IFERROR(__xludf.DUMMYFUNCTION("""COMPUTED_VALUE"""),2026)</f>
        <v>2026</v>
      </c>
      <c r="C8" s="15">
        <f ca="1">IFERROR(__xludf.DUMMYFUNCTION("""COMPUTED_VALUE"""),1)</f>
        <v>1</v>
      </c>
      <c r="D8" s="6" t="str">
        <f ca="1">IFERROR(__xludf.DUMMYFUNCTION("""COMPUTED_VALUE"""),"NO")</f>
        <v>NO</v>
      </c>
      <c r="E8" s="6" t="str">
        <f ca="1">IFERROR(__xludf.DUMMYFUNCTION("""COMPUTED_VALUE"""),"Sevilla- Ciencias")</f>
        <v>Sevilla- Ciencias</v>
      </c>
      <c r="F8" s="16">
        <f ca="1">IFERROR(__xludf.DUMMYFUNCTION("""COMPUTED_VALUE"""),46030)</f>
        <v>46030</v>
      </c>
      <c r="G8" s="16">
        <f ca="1">IFERROR(__xludf.DUMMYFUNCTION("""COMPUTED_VALUE"""),45981)</f>
        <v>45981</v>
      </c>
      <c r="H8" s="6" t="str">
        <f ca="1">IFERROR(__xludf.DUMMYFUNCTION("""COMPUTED_VALUE"""),"Sevilla Este")</f>
        <v>Sevilla Este</v>
      </c>
      <c r="I8" s="6" t="str">
        <f ca="1">IFERROR(__xludf.DUMMYFUNCTION("""COMPUTED_VALUE"""),"C202511201556282288")</f>
        <v>C202511201556282288</v>
      </c>
      <c r="J8" s="6" t="str">
        <f ca="1">IFERROR(__xludf.DUMMYFUNCTION("""COMPUTED_VALUE"""),"CONCEPCION  ORTIZ SANTIAGO")</f>
        <v>CONCEPCION  ORTIZ SANTIAGO</v>
      </c>
      <c r="K8" s="15">
        <f ca="1">IFERROR(__xludf.DUMMYFUNCTION("""COMPUTED_VALUE"""),2)</f>
        <v>2</v>
      </c>
      <c r="L8" s="21">
        <f ca="1">IFERROR(__xludf.DUMMYFUNCTION("""COMPUTED_VALUE"""),4120)</f>
        <v>4120</v>
      </c>
      <c r="M8" s="6" t="str">
        <f ca="1">IFERROR(__xludf.DUMMYFUNCTION("""COMPUTED_VALUE"""),"03 ORL")</f>
        <v>03 ORL</v>
      </c>
      <c r="N8" s="6" t="str">
        <f ca="1">IFERROR(__xludf.DUMMYFUNCTION("""COMPUTED_VALUE"""),"06 ORL")</f>
        <v>06 ORL</v>
      </c>
      <c r="O8" s="6" t="str">
        <f ca="1">IFERROR(__xludf.DUMMYFUNCTION("""COMPUTED_VALUE"""),"No recuerda ORL")</f>
        <v>No recuerda ORL</v>
      </c>
      <c r="P8" s="6" t="str">
        <f ca="1">IFERROR(__xludf.DUMMYFUNCTION("""COMPUTED_VALUE"""),"Luis Alberto Rodríguez (Andalucía y Badajoz)")</f>
        <v>Luis Alberto Rodríguez (Andalucía y Badajoz)</v>
      </c>
    </row>
    <row r="9" spans="1:27">
      <c r="B9" s="33">
        <f ca="1">IFERROR(__xludf.DUMMYFUNCTION("""COMPUTED_VALUE"""),2026)</f>
        <v>2026</v>
      </c>
      <c r="C9" s="15">
        <f ca="1">IFERROR(__xludf.DUMMYFUNCTION("""COMPUTED_VALUE"""),1)</f>
        <v>1</v>
      </c>
      <c r="D9" s="6" t="str">
        <f ca="1">IFERROR(__xludf.DUMMYFUNCTION("""COMPUTED_VALUE"""),"NO")</f>
        <v>NO</v>
      </c>
      <c r="E9" s="6" t="str">
        <f ca="1">IFERROR(__xludf.DUMMYFUNCTION("""COMPUTED_VALUE"""),"Getafe")</f>
        <v>Getafe</v>
      </c>
      <c r="F9" s="16">
        <f ca="1">IFERROR(__xludf.DUMMYFUNCTION("""COMPUTED_VALUE"""),46030)</f>
        <v>46030</v>
      </c>
      <c r="G9" s="16">
        <f ca="1">IFERROR(__xludf.DUMMYFUNCTION("""COMPUTED_VALUE"""),45988)</f>
        <v>45988</v>
      </c>
      <c r="H9" s="6" t="str">
        <f ca="1">IFERROR(__xludf.DUMMYFUNCTION("""COMPUTED_VALUE"""),"Getafe")</f>
        <v>Getafe</v>
      </c>
      <c r="I9" s="6" t="str">
        <f ca="1">IFERROR(__xludf.DUMMYFUNCTION("""COMPUTED_VALUE"""),"C202511271003718318")</f>
        <v>C202511271003718318</v>
      </c>
      <c r="J9" s="6" t="str">
        <f ca="1">IFERROR(__xludf.DUMMYFUNCTION("""COMPUTED_VALUE"""),"MARIA ROSA ALONSO GONZÁLEZ")</f>
        <v>MARIA ROSA ALONSO GONZÁLEZ</v>
      </c>
      <c r="K9" s="15">
        <f ca="1">IFERROR(__xludf.DUMMYFUNCTION("""COMPUTED_VALUE"""),2)</f>
        <v>2</v>
      </c>
      <c r="L9" s="21">
        <f ca="1">IFERROR(__xludf.DUMMYFUNCTION("""COMPUTED_VALUE"""),4136.36)</f>
        <v>4136.3599999999997</v>
      </c>
      <c r="M9" s="6" t="str">
        <f ca="1">IFERROR(__xludf.DUMMYFUNCTION("""COMPUTED_VALUE"""),"03 ORL")</f>
        <v>03 ORL</v>
      </c>
      <c r="N9" s="6" t="str">
        <f ca="1">IFERROR(__xludf.DUMMYFUNCTION("""COMPUTED_VALUE"""),"06 ORL")</f>
        <v>06 ORL</v>
      </c>
      <c r="O9" s="6" t="str">
        <f ca="1">IFERROR(__xludf.DUMMYFUNCTION("""COMPUTED_VALUE"""),"Dra, Marta Colmenero Ruiz")</f>
        <v>Dra, Marta Colmenero Ruiz</v>
      </c>
      <c r="P9" s="6" t="str">
        <f ca="1">IFERROR(__xludf.DUMMYFUNCTION("""COMPUTED_VALUE"""),"Maika Blázquez (Madrid)")</f>
        <v>Maika Blázquez (Madrid)</v>
      </c>
    </row>
    <row r="10" spans="1:27">
      <c r="B10" s="33">
        <f ca="1">IFERROR(__xludf.DUMMYFUNCTION("""COMPUTED_VALUE"""),2026)</f>
        <v>2026</v>
      </c>
      <c r="C10" s="15">
        <f ca="1">IFERROR(__xludf.DUMMYFUNCTION("""COMPUTED_VALUE"""),1)</f>
        <v>1</v>
      </c>
      <c r="D10" s="6" t="str">
        <f ca="1">IFERROR(__xludf.DUMMYFUNCTION("""COMPUTED_VALUE"""),"SI")</f>
        <v>SI</v>
      </c>
      <c r="E10" s="6" t="str">
        <f ca="1">IFERROR(__xludf.DUMMYFUNCTION("""COMPUTED_VALUE"""),"Madrid- Juan Bravo")</f>
        <v>Madrid- Juan Bravo</v>
      </c>
      <c r="F10" s="16">
        <f ca="1">IFERROR(__xludf.DUMMYFUNCTION("""COMPUTED_VALUE"""),46030)</f>
        <v>46030</v>
      </c>
      <c r="G10" s="16">
        <f ca="1">IFERROR(__xludf.DUMMYFUNCTION("""COMPUTED_VALUE"""),45058)</f>
        <v>45058</v>
      </c>
      <c r="H10" s="6" t="str">
        <f ca="1">IFERROR(__xludf.DUMMYFUNCTION("""COMPUTED_VALUE"""),"Juan Bravo")</f>
        <v>Juan Bravo</v>
      </c>
      <c r="I10" s="6" t="str">
        <f ca="1">IFERROR(__xludf.DUMMYFUNCTION("""COMPUTED_VALUE"""),"JBR-1800")</f>
        <v>JBR-1800</v>
      </c>
      <c r="J10" s="6" t="str">
        <f ca="1">IFERROR(__xludf.DUMMYFUNCTION("""COMPUTED_VALUE"""),"JOSE LUIS RODRIGUEZ SIERRA")</f>
        <v>JOSE LUIS RODRIGUEZ SIERRA</v>
      </c>
      <c r="K10" s="15">
        <f ca="1">IFERROR(__xludf.DUMMYFUNCTION("""COMPUTED_VALUE"""),1)</f>
        <v>1</v>
      </c>
      <c r="L10" s="21">
        <f ca="1">IFERROR(__xludf.DUMMYFUNCTION("""COMPUTED_VALUE"""),1543.52)</f>
        <v>1543.52</v>
      </c>
      <c r="M10" s="6" t="str">
        <f ca="1">IFERROR(__xludf.DUMMYFUNCTION("""COMPUTED_VALUE"""),"04 TIENDA")</f>
        <v>04 TIENDA</v>
      </c>
      <c r="N10" s="6" t="str">
        <f ca="1">IFERROR(__xludf.DUMMYFUNCTION("""COMPUTED_VALUE"""),"10 REVISIÓN POST-VENTA")</f>
        <v>10 REVISIÓN POST-VENTA</v>
      </c>
      <c r="O10" s="6" t="str">
        <f ca="1">IFERROR(__xludf.DUMMYFUNCTION("""COMPUTED_VALUE"""),"Dr, Joaquín Alacio Casero")</f>
        <v>Dr, Joaquín Alacio Casero</v>
      </c>
      <c r="P10" s="6" t="str">
        <f ca="1">IFERROR(__xludf.DUMMYFUNCTION("""COMPUTED_VALUE"""),"Maika Blázquez (Madrid)")</f>
        <v>Maika Blázquez (Madrid)</v>
      </c>
    </row>
    <row r="11" spans="1:27">
      <c r="B11" s="33">
        <f ca="1">IFERROR(__xludf.DUMMYFUNCTION("""COMPUTED_VALUE"""),2026)</f>
        <v>2026</v>
      </c>
      <c r="C11" s="15">
        <f ca="1">IFERROR(__xludf.DUMMYFUNCTION("""COMPUTED_VALUE"""),1)</f>
        <v>1</v>
      </c>
      <c r="D11" s="6" t="str">
        <f ca="1">IFERROR(__xludf.DUMMYFUNCTION("""COMPUTED_VALUE"""),"NO")</f>
        <v>NO</v>
      </c>
      <c r="E11" s="6" t="str">
        <f ca="1">IFERROR(__xludf.DUMMYFUNCTION("""COMPUTED_VALUE"""),"Madrid- La Oca")</f>
        <v>Madrid- La Oca</v>
      </c>
      <c r="F11" s="16">
        <f ca="1">IFERROR(__xludf.DUMMYFUNCTION("""COMPUTED_VALUE"""),46031)</f>
        <v>46031</v>
      </c>
      <c r="G11" s="16">
        <f ca="1">IFERROR(__xludf.DUMMYFUNCTION("""COMPUTED_VALUE"""),45985)</f>
        <v>45985</v>
      </c>
      <c r="H11" s="6" t="str">
        <f ca="1">IFERROR(__xludf.DUMMYFUNCTION("""COMPUTED_VALUE"""),"La Oca")</f>
        <v>La Oca</v>
      </c>
      <c r="I11" s="6" t="str">
        <f ca="1">IFERROR(__xludf.DUMMYFUNCTION("""COMPUTED_VALUE"""),"C202511241158254265")</f>
        <v>C202511241158254265</v>
      </c>
      <c r="J11" s="6" t="str">
        <f ca="1">IFERROR(__xludf.DUMMYFUNCTION("""COMPUTED_VALUE"""),"MARIA DEL CARMEN GARCIA ROYO")</f>
        <v>MARIA DEL CARMEN GARCIA ROYO</v>
      </c>
      <c r="K11" s="15">
        <f ca="1">IFERROR(__xludf.DUMMYFUNCTION("""COMPUTED_VALUE"""),2)</f>
        <v>2</v>
      </c>
      <c r="L11" s="21">
        <f ca="1">IFERROR(__xludf.DUMMYFUNCTION("""COMPUTED_VALUE"""),3631.82)</f>
        <v>3631.82</v>
      </c>
      <c r="M11" s="6" t="str">
        <f ca="1">IFERROR(__xludf.DUMMYFUNCTION("""COMPUTED_VALUE"""),"03 ORL")</f>
        <v>03 ORL</v>
      </c>
      <c r="N11" s="6" t="str">
        <f ca="1">IFERROR(__xludf.DUMMYFUNCTION("""COMPUTED_VALUE"""),"06 ORL")</f>
        <v>06 ORL</v>
      </c>
      <c r="O11" s="6" t="str">
        <f ca="1">IFERROR(__xludf.DUMMYFUNCTION("""COMPUTED_VALUE"""),"Dr, Joaquín Alacio Casero")</f>
        <v>Dr, Joaquín Alacio Casero</v>
      </c>
      <c r="P11" s="6" t="str">
        <f ca="1">IFERROR(__xludf.DUMMYFUNCTION("""COMPUTED_VALUE"""),"Maika Blázquez (Madrid)")</f>
        <v>Maika Blázquez (Madrid)</v>
      </c>
    </row>
    <row r="12" spans="1:27">
      <c r="B12" s="33">
        <f ca="1">IFERROR(__xludf.DUMMYFUNCTION("""COMPUTED_VALUE"""),2026)</f>
        <v>2026</v>
      </c>
      <c r="C12" s="24">
        <f ca="1">IFERROR(__xludf.DUMMYFUNCTION("""COMPUTED_VALUE"""),1)</f>
        <v>1</v>
      </c>
      <c r="D12" s="1" t="str">
        <f ca="1">IFERROR(__xludf.DUMMYFUNCTION("""COMPUTED_VALUE"""),"NO")</f>
        <v>NO</v>
      </c>
      <c r="E12" s="6" t="str">
        <f ca="1">IFERROR(__xludf.DUMMYFUNCTION("""COMPUTED_VALUE"""),"Zaragoza- León XIII")</f>
        <v>Zaragoza- León XIII</v>
      </c>
      <c r="F12" s="16">
        <f ca="1">IFERROR(__xludf.DUMMYFUNCTION("""COMPUTED_VALUE"""),46031)</f>
        <v>46031</v>
      </c>
      <c r="G12" s="16">
        <f ca="1">IFERROR(__xludf.DUMMYFUNCTION("""COMPUTED_VALUE"""),45932)</f>
        <v>45932</v>
      </c>
      <c r="H12" s="6" t="str">
        <f ca="1">IFERROR(__xludf.DUMMYFUNCTION("""COMPUTED_VALUE"""),"Zaragoza")</f>
        <v>Zaragoza</v>
      </c>
      <c r="I12" s="6" t="str">
        <f ca="1">IFERROR(__xludf.DUMMYFUNCTION("""COMPUTED_VALUE"""),"C202510711221228")</f>
        <v>C202510711221228</v>
      </c>
      <c r="J12" s="6" t="str">
        <f ca="1">IFERROR(__xludf.DUMMYFUNCTION("""COMPUTED_VALUE"""),"MIGUEL ÁNGEL GASCA SANCHO")</f>
        <v>MIGUEL ÁNGEL GASCA SANCHO</v>
      </c>
      <c r="K12" s="15">
        <f ca="1">IFERROR(__xludf.DUMMYFUNCTION("""COMPUTED_VALUE"""),2)</f>
        <v>2</v>
      </c>
      <c r="L12" s="21">
        <f ca="1">IFERROR(__xludf.DUMMYFUNCTION("""COMPUTED_VALUE"""),3424.55)</f>
        <v>3424.55</v>
      </c>
      <c r="M12" s="6" t="str">
        <f ca="1">IFERROR(__xludf.DUMMYFUNCTION("""COMPUTED_VALUE"""),"03 ORL")</f>
        <v>03 ORL</v>
      </c>
      <c r="N12" s="6" t="str">
        <f ca="1">IFERROR(__xludf.DUMMYFUNCTION("""COMPUTED_VALUE"""),"06 ORL")</f>
        <v>06 ORL</v>
      </c>
      <c r="O12" s="6" t="str">
        <f ca="1">IFERROR(__xludf.DUMMYFUNCTION("""COMPUTED_VALUE"""),"Dr, Jaime Leache Pueyo")</f>
        <v>Dr, Jaime Leache Pueyo</v>
      </c>
      <c r="P12" s="6" t="str">
        <f ca="1">IFERROR(__xludf.DUMMYFUNCTION("""COMPUTED_VALUE"""),"Mercè Cabrera (Cataluña y Baleares)")</f>
        <v>Mercè Cabrera (Cataluña y Baleares)</v>
      </c>
    </row>
    <row r="13" spans="1:27">
      <c r="B13" s="33">
        <f ca="1">IFERROR(__xludf.DUMMYFUNCTION("""COMPUTED_VALUE"""),2026)</f>
        <v>2026</v>
      </c>
      <c r="C13" s="24">
        <f ca="1">IFERROR(__xludf.DUMMYFUNCTION("""COMPUTED_VALUE"""),1)</f>
        <v>1</v>
      </c>
      <c r="D13" s="6" t="str">
        <f ca="1">IFERROR(__xludf.DUMMYFUNCTION("""COMPUTED_VALUE"""),"NO")</f>
        <v>NO</v>
      </c>
      <c r="E13" s="6" t="str">
        <f ca="1">IFERROR(__xludf.DUMMYFUNCTION("""COMPUTED_VALUE"""),"Fuenlabrada")</f>
        <v>Fuenlabrada</v>
      </c>
      <c r="F13" s="16">
        <f ca="1">IFERROR(__xludf.DUMMYFUNCTION("""COMPUTED_VALUE"""),46031)</f>
        <v>46031</v>
      </c>
      <c r="G13" s="16">
        <f ca="1">IFERROR(__xludf.DUMMYFUNCTION("""COMPUTED_VALUE"""),46006)</f>
        <v>46006</v>
      </c>
      <c r="H13" s="6" t="str">
        <f ca="1">IFERROR(__xludf.DUMMYFUNCTION("""COMPUTED_VALUE"""),"Fuenlabrada")</f>
        <v>Fuenlabrada</v>
      </c>
      <c r="I13" s="6" t="str">
        <f ca="1">IFERROR(__xludf.DUMMYFUNCTION("""COMPUTED_VALUE"""),"C202512151217324826")</f>
        <v>C202512151217324826</v>
      </c>
      <c r="J13" s="6" t="str">
        <f ca="1">IFERROR(__xludf.DUMMYFUNCTION("""COMPUTED_VALUE"""),"Mª CARMEN DELGADO ANTON")</f>
        <v>Mª CARMEN DELGADO ANTON</v>
      </c>
      <c r="K13" s="15">
        <f ca="1">IFERROR(__xludf.DUMMYFUNCTION("""COMPUTED_VALUE"""),1)</f>
        <v>1</v>
      </c>
      <c r="L13" s="21">
        <f ca="1">IFERROR(__xludf.DUMMYFUNCTION("""COMPUTED_VALUE"""),2180.91)</f>
        <v>2180.91</v>
      </c>
      <c r="M13" s="6" t="str">
        <f ca="1">IFERROR(__xludf.DUMMYFUNCTION("""COMPUTED_VALUE"""),"03 ORL")</f>
        <v>03 ORL</v>
      </c>
      <c r="N13" s="6" t="str">
        <f ca="1">IFERROR(__xludf.DUMMYFUNCTION("""COMPUTED_VALUE"""),"06 ORL")</f>
        <v>06 ORL</v>
      </c>
      <c r="O13" s="6" t="str">
        <f ca="1">IFERROR(__xludf.DUMMYFUNCTION("""COMPUTED_VALUE"""),"Dra, Estefania Miranda Sánchez")</f>
        <v>Dra, Estefania Miranda Sánchez</v>
      </c>
      <c r="P13" s="6" t="str">
        <f ca="1">IFERROR(__xludf.DUMMYFUNCTION("""COMPUTED_VALUE"""),"Maika Blázquez (Madrid)")</f>
        <v>Maika Blázquez (Madrid)</v>
      </c>
    </row>
    <row r="14" spans="1:27">
      <c r="B14" s="33">
        <f ca="1">IFERROR(__xludf.DUMMYFUNCTION("""COMPUTED_VALUE"""),2026)</f>
        <v>2026</v>
      </c>
      <c r="C14" s="15">
        <f ca="1">IFERROR(__xludf.DUMMYFUNCTION("""COMPUTED_VALUE"""),1)</f>
        <v>1</v>
      </c>
      <c r="D14" s="1" t="str">
        <f ca="1">IFERROR(__xludf.DUMMYFUNCTION("""COMPUTED_VALUE"""),"NO")</f>
        <v>NO</v>
      </c>
      <c r="E14" s="6" t="str">
        <f ca="1">IFERROR(__xludf.DUMMYFUNCTION("""COMPUTED_VALUE"""),"Sevilla- Montoto")</f>
        <v>Sevilla- Montoto</v>
      </c>
      <c r="F14" s="16">
        <f ca="1">IFERROR(__xludf.DUMMYFUNCTION("""COMPUTED_VALUE"""),46034)</f>
        <v>46034</v>
      </c>
      <c r="G14" s="16">
        <f ca="1">IFERROR(__xludf.DUMMYFUNCTION("""COMPUTED_VALUE"""),45623)</f>
        <v>45623</v>
      </c>
      <c r="H14" s="6" t="str">
        <f ca="1">IFERROR(__xludf.DUMMYFUNCTION("""COMPUTED_VALUE"""),"Montoto")</f>
        <v>Montoto</v>
      </c>
      <c r="I14" s="6" t="str">
        <f ca="1">IFERROR(__xludf.DUMMYFUNCTION("""COMPUTED_VALUE"""),"C2024112910652762")</f>
        <v>C2024112910652762</v>
      </c>
      <c r="J14" s="6" t="str">
        <f ca="1">IFERROR(__xludf.DUMMYFUNCTION("""COMPUTED_VALUE"""),"SONIA SUAREZ FERNANDEZ")</f>
        <v>SONIA SUAREZ FERNANDEZ</v>
      </c>
      <c r="K14" s="15">
        <f ca="1">IFERROR(__xludf.DUMMYFUNCTION("""COMPUTED_VALUE"""),1)</f>
        <v>1</v>
      </c>
      <c r="L14" s="21">
        <f ca="1">IFERROR(__xludf.DUMMYFUNCTION("""COMPUTED_VALUE"""),2072.73)</f>
        <v>2072.73</v>
      </c>
      <c r="M14" s="6" t="str">
        <f ca="1">IFERROR(__xludf.DUMMYFUNCTION("""COMPUTED_VALUE"""),"03 ORL")</f>
        <v>03 ORL</v>
      </c>
      <c r="N14" s="6" t="str">
        <f ca="1">IFERROR(__xludf.DUMMYFUNCTION("""COMPUTED_VALUE"""),"06 ORL")</f>
        <v>06 ORL</v>
      </c>
      <c r="O14" s="6" t="str">
        <f ca="1">IFERROR(__xludf.DUMMYFUNCTION("""COMPUTED_VALUE"""),"Dra, María Luisa Calero Ramos")</f>
        <v>Dra, María Luisa Calero Ramos</v>
      </c>
      <c r="P14" s="6" t="str">
        <f ca="1">IFERROR(__xludf.DUMMYFUNCTION("""COMPUTED_VALUE"""),"Luis Alberto Rodríguez (Andalucía y Badajoz)")</f>
        <v>Luis Alberto Rodríguez (Andalucía y Badajoz)</v>
      </c>
    </row>
    <row r="15" spans="1:27">
      <c r="B15" s="33">
        <f ca="1">IFERROR(__xludf.DUMMYFUNCTION("""COMPUTED_VALUE"""),2026)</f>
        <v>2026</v>
      </c>
      <c r="C15" s="15">
        <f ca="1">IFERROR(__xludf.DUMMYFUNCTION("""COMPUTED_VALUE"""),1)</f>
        <v>1</v>
      </c>
      <c r="D15" s="1" t="str">
        <f ca="1">IFERROR(__xludf.DUMMYFUNCTION("""COMPUTED_VALUE"""),"NO")</f>
        <v>NO</v>
      </c>
      <c r="E15" s="6" t="str">
        <f ca="1">IFERROR(__xludf.DUMMYFUNCTION("""COMPUTED_VALUE"""),"Alicante")</f>
        <v>Alicante</v>
      </c>
      <c r="F15" s="16">
        <f ca="1">IFERROR(__xludf.DUMMYFUNCTION("""COMPUTED_VALUE"""),46034)</f>
        <v>46034</v>
      </c>
      <c r="G15" s="16">
        <f ca="1">IFERROR(__xludf.DUMMYFUNCTION("""COMPUTED_VALUE"""),46006)</f>
        <v>46006</v>
      </c>
      <c r="H15" s="6" t="str">
        <f ca="1">IFERROR(__xludf.DUMMYFUNCTION("""COMPUTED_VALUE"""),"Alicante")</f>
        <v>Alicante</v>
      </c>
      <c r="I15" s="6" t="str">
        <f ca="1">IFERROR(__xludf.DUMMYFUNCTION("""COMPUTED_VALUE"""),"C202512158433763329")</f>
        <v>C202512158433763329</v>
      </c>
      <c r="J15" s="6" t="str">
        <f ca="1">IFERROR(__xludf.DUMMYFUNCTION("""COMPUTED_VALUE"""),"TERESA VENTURA RODRIGUEZ")</f>
        <v>TERESA VENTURA RODRIGUEZ</v>
      </c>
      <c r="K15" s="15">
        <f ca="1">IFERROR(__xludf.DUMMYFUNCTION("""COMPUTED_VALUE"""),2)</f>
        <v>2</v>
      </c>
      <c r="L15" s="21">
        <f ca="1">IFERROR(__xludf.DUMMYFUNCTION("""COMPUTED_VALUE"""),2718.18)</f>
        <v>2718.18</v>
      </c>
      <c r="M15" s="6" t="str">
        <f ca="1">IFERROR(__xludf.DUMMYFUNCTION("""COMPUTED_VALUE"""),"03 ORL")</f>
        <v>03 ORL</v>
      </c>
      <c r="N15" s="6" t="str">
        <f ca="1">IFERROR(__xludf.DUMMYFUNCTION("""COMPUTED_VALUE"""),"06 ORL")</f>
        <v>06 ORL</v>
      </c>
      <c r="O15" s="6" t="str">
        <f ca="1">IFERROR(__xludf.DUMMYFUNCTION("""COMPUTED_VALUE"""),"Dra, Cristina Muñoz Pinto")</f>
        <v>Dra, Cristina Muñoz Pinto</v>
      </c>
      <c r="P15" s="6" t="str">
        <f ca="1">IFERROR(__xludf.DUMMYFUNCTION("""COMPUTED_VALUE"""),"Iván Sánchez (Levante y Albacete)")</f>
        <v>Iván Sánchez (Levante y Albacete)</v>
      </c>
    </row>
    <row r="16" spans="1:27">
      <c r="B16" s="33">
        <f ca="1">IFERROR(__xludf.DUMMYFUNCTION("""COMPUTED_VALUE"""),2026)</f>
        <v>2026</v>
      </c>
      <c r="C16" s="15">
        <f ca="1">IFERROR(__xludf.DUMMYFUNCTION("""COMPUTED_VALUE"""),1)</f>
        <v>1</v>
      </c>
      <c r="D16" s="6" t="str">
        <f ca="1">IFERROR(__xludf.DUMMYFUNCTION("""COMPUTED_VALUE"""),"NO")</f>
        <v>NO</v>
      </c>
      <c r="E16" s="6" t="str">
        <f ca="1">IFERROR(__xludf.DUMMYFUNCTION("""COMPUTED_VALUE"""),"Getafe")</f>
        <v>Getafe</v>
      </c>
      <c r="F16" s="16">
        <f ca="1">IFERROR(__xludf.DUMMYFUNCTION("""COMPUTED_VALUE"""),46034)</f>
        <v>46034</v>
      </c>
      <c r="G16" s="16">
        <f ca="1">IFERROR(__xludf.DUMMYFUNCTION("""COMPUTED_VALUE"""),45966)</f>
        <v>45966</v>
      </c>
      <c r="H16" s="6" t="str">
        <f ca="1">IFERROR(__xludf.DUMMYFUNCTION("""COMPUTED_VALUE"""),"Getafe")</f>
        <v>Getafe</v>
      </c>
      <c r="I16" s="6" t="str">
        <f ca="1">IFERROR(__xludf.DUMMYFUNCTION("""COMPUTED_VALUE"""),"C202511594452200485")</f>
        <v>C202511594452200485</v>
      </c>
      <c r="J16" s="6" t="str">
        <f ca="1">IFERROR(__xludf.DUMMYFUNCTION("""COMPUTED_VALUE"""),"JUAN JESÚS MAYA TORREJÓN")</f>
        <v>JUAN JESÚS MAYA TORREJÓN</v>
      </c>
      <c r="K16" s="15">
        <f ca="1">IFERROR(__xludf.DUMMYFUNCTION("""COMPUTED_VALUE"""),1)</f>
        <v>1</v>
      </c>
      <c r="L16" s="21">
        <f ca="1">IFERROR(__xludf.DUMMYFUNCTION("""COMPUTED_VALUE"""),2481.82)</f>
        <v>2481.8200000000002</v>
      </c>
      <c r="M16" s="6" t="str">
        <f ca="1">IFERROR(__xludf.DUMMYFUNCTION("""COMPUTED_VALUE"""),"03 ORL")</f>
        <v>03 ORL</v>
      </c>
      <c r="N16" s="6" t="str">
        <f ca="1">IFERROR(__xludf.DUMMYFUNCTION("""COMPUTED_VALUE"""),"06 ORL")</f>
        <v>06 ORL</v>
      </c>
      <c r="O16" s="6" t="str">
        <f ca="1">IFERROR(__xludf.DUMMYFUNCTION("""COMPUTED_VALUE"""),"Dra, Paula Morales Chacchi")</f>
        <v>Dra, Paula Morales Chacchi</v>
      </c>
      <c r="P16" s="6" t="str">
        <f ca="1">IFERROR(__xludf.DUMMYFUNCTION("""COMPUTED_VALUE"""),"Maika Blázquez (Madrid)")</f>
        <v>Maika Blázquez (Madrid)</v>
      </c>
    </row>
    <row r="17" spans="2:16">
      <c r="B17" s="33">
        <f ca="1">IFERROR(__xludf.DUMMYFUNCTION("""COMPUTED_VALUE"""),2026)</f>
        <v>2026</v>
      </c>
      <c r="C17" s="15">
        <f ca="1">IFERROR(__xludf.DUMMYFUNCTION("""COMPUTED_VALUE"""),1)</f>
        <v>1</v>
      </c>
      <c r="D17" s="6" t="str">
        <f ca="1">IFERROR(__xludf.DUMMYFUNCTION("""COMPUTED_VALUE"""),"NO")</f>
        <v>NO</v>
      </c>
      <c r="E17" s="6" t="str">
        <f ca="1">IFERROR(__xludf.DUMMYFUNCTION("""COMPUTED_VALUE"""),"Cáceres")</f>
        <v>Cáceres</v>
      </c>
      <c r="F17" s="16">
        <f ca="1">IFERROR(__xludf.DUMMYFUNCTION("""COMPUTED_VALUE"""),46035)</f>
        <v>46035</v>
      </c>
      <c r="G17" s="16">
        <f ca="1">IFERROR(__xludf.DUMMYFUNCTION("""COMPUTED_VALUE"""),45996)</f>
        <v>45996</v>
      </c>
      <c r="H17" s="6" t="str">
        <f ca="1">IFERROR(__xludf.DUMMYFUNCTION("""COMPUTED_VALUE"""),"Cáceres")</f>
        <v>Cáceres</v>
      </c>
      <c r="I17" s="6" t="str">
        <f ca="1">IFERROR(__xludf.DUMMYFUNCTION("""COMPUTED_VALUE"""),"C202512594841242568")</f>
        <v>C202512594841242568</v>
      </c>
      <c r="J17" s="6" t="str">
        <f ca="1">IFERROR(__xludf.DUMMYFUNCTION("""COMPUTED_VALUE"""),"MARIA ISABEL GUERRERO CASTRO")</f>
        <v>MARIA ISABEL GUERRERO CASTRO</v>
      </c>
      <c r="K17" s="15">
        <f ca="1">IFERROR(__xludf.DUMMYFUNCTION("""COMPUTED_VALUE"""),1)</f>
        <v>1</v>
      </c>
      <c r="L17" s="21">
        <f ca="1">IFERROR(__xludf.DUMMYFUNCTION("""COMPUTED_VALUE"""),2745)</f>
        <v>2745</v>
      </c>
      <c r="M17" s="6" t="str">
        <f ca="1">IFERROR(__xludf.DUMMYFUNCTION("""COMPUTED_VALUE"""),"03 ORL")</f>
        <v>03 ORL</v>
      </c>
      <c r="N17" s="6" t="str">
        <f ca="1">IFERROR(__xludf.DUMMYFUNCTION("""COMPUTED_VALUE"""),"06 ORL")</f>
        <v>06 ORL</v>
      </c>
      <c r="O17" s="6" t="str">
        <f ca="1">IFERROR(__xludf.DUMMYFUNCTION("""COMPUTED_VALUE"""),"Dra, Marta García Jiménez")</f>
        <v>Dra, Marta García Jiménez</v>
      </c>
      <c r="P17" s="6" t="str">
        <f ca="1">IFERROR(__xludf.DUMMYFUNCTION("""COMPUTED_VALUE"""),"Lisandro Russian (Madrid, Cáceres, Toledo, Talavera y Logroño)")</f>
        <v>Lisandro Russian (Madrid, Cáceres, Toledo, Talavera y Logroño)</v>
      </c>
    </row>
    <row r="18" spans="2:16">
      <c r="B18" s="33">
        <f ca="1">IFERROR(__xludf.DUMMYFUNCTION("""COMPUTED_VALUE"""),2026)</f>
        <v>2026</v>
      </c>
      <c r="C18" s="15">
        <f ca="1">IFERROR(__xludf.DUMMYFUNCTION("""COMPUTED_VALUE"""),1)</f>
        <v>1</v>
      </c>
      <c r="D18" s="6" t="str">
        <f ca="1">IFERROR(__xludf.DUMMYFUNCTION("""COMPUTED_VALUE"""),"NO")</f>
        <v>NO</v>
      </c>
      <c r="E18" s="6" t="str">
        <f ca="1">IFERROR(__xludf.DUMMYFUNCTION("""COMPUTED_VALUE"""),"Fuenlabrada")</f>
        <v>Fuenlabrada</v>
      </c>
      <c r="F18" s="16">
        <f ca="1">IFERROR(__xludf.DUMMYFUNCTION("""COMPUTED_VALUE"""),46035)</f>
        <v>46035</v>
      </c>
      <c r="G18" s="16">
        <f ca="1">IFERROR(__xludf.DUMMYFUNCTION("""COMPUTED_VALUE"""),46008)</f>
        <v>46008</v>
      </c>
      <c r="H18" s="6" t="str">
        <f ca="1">IFERROR(__xludf.DUMMYFUNCTION("""COMPUTED_VALUE"""),"Fuenlabrada")</f>
        <v>Fuenlabrada</v>
      </c>
      <c r="I18" s="6" t="str">
        <f ca="1">IFERROR(__xludf.DUMMYFUNCTION("""COMPUTED_VALUE"""),"C202512179181772442")</f>
        <v>C202512179181772442</v>
      </c>
      <c r="J18" s="6" t="str">
        <f ca="1">IFERROR(__xludf.DUMMYFUNCTION("""COMPUTED_VALUE"""),"CARMEN DIOS CAAMAÑO")</f>
        <v>CARMEN DIOS CAAMAÑO</v>
      </c>
      <c r="K18" s="15">
        <f ca="1">IFERROR(__xludf.DUMMYFUNCTION("""COMPUTED_VALUE"""),1)</f>
        <v>1</v>
      </c>
      <c r="L18" s="21">
        <f ca="1">IFERROR(__xludf.DUMMYFUNCTION("""COMPUTED_VALUE"""),2180.91)</f>
        <v>2180.91</v>
      </c>
      <c r="M18" s="6" t="str">
        <f ca="1">IFERROR(__xludf.DUMMYFUNCTION("""COMPUTED_VALUE"""),"03 ORL")</f>
        <v>03 ORL</v>
      </c>
      <c r="N18" s="6" t="str">
        <f ca="1">IFERROR(__xludf.DUMMYFUNCTION("""COMPUTED_VALUE"""),"06 ORL")</f>
        <v>06 ORL</v>
      </c>
      <c r="O18" s="6" t="str">
        <f ca="1">IFERROR(__xludf.DUMMYFUNCTION("""COMPUTED_VALUE"""),"Dra, Concepcion Rodríguez Izquierdo")</f>
        <v>Dra, Concepcion Rodríguez Izquierdo</v>
      </c>
      <c r="P18" s="6" t="str">
        <f ca="1">IFERROR(__xludf.DUMMYFUNCTION("""COMPUTED_VALUE"""),"Maika Blázquez (Madrid)")</f>
        <v>Maika Blázquez (Madrid)</v>
      </c>
    </row>
    <row r="19" spans="2:16">
      <c r="B19" s="33">
        <f ca="1">IFERROR(__xludf.DUMMYFUNCTION("""COMPUTED_VALUE"""),2026)</f>
        <v>2026</v>
      </c>
      <c r="C19" s="15">
        <f ca="1">IFERROR(__xludf.DUMMYFUNCTION("""COMPUTED_VALUE"""),1)</f>
        <v>1</v>
      </c>
      <c r="D19" s="6" t="str">
        <f ca="1">IFERROR(__xludf.DUMMYFUNCTION("""COMPUTED_VALUE"""),"NO")</f>
        <v>NO</v>
      </c>
      <c r="E19" s="6" t="str">
        <f ca="1">IFERROR(__xludf.DUMMYFUNCTION("""COMPUTED_VALUE"""),"Murcia")</f>
        <v>Murcia</v>
      </c>
      <c r="F19" s="16">
        <f ca="1">IFERROR(__xludf.DUMMYFUNCTION("""COMPUTED_VALUE"""),46035)</f>
        <v>46035</v>
      </c>
      <c r="G19" s="16">
        <f ca="1">IFERROR(__xludf.DUMMYFUNCTION("""COMPUTED_VALUE"""),46003)</f>
        <v>46003</v>
      </c>
      <c r="H19" s="6" t="str">
        <f ca="1">IFERROR(__xludf.DUMMYFUNCTION("""COMPUTED_VALUE"""),"Murcia")</f>
        <v>Murcia</v>
      </c>
      <c r="I19" s="6" t="str">
        <f ca="1">IFERROR(__xludf.DUMMYFUNCTION("""COMPUTED_VALUE"""),"C202512121136583127")</f>
        <v>C202512121136583127</v>
      </c>
      <c r="J19" s="6" t="str">
        <f ca="1">IFERROR(__xludf.DUMMYFUNCTION("""COMPUTED_VALUE"""),"JESUS MORENO LOPEZ")</f>
        <v>JESUS MORENO LOPEZ</v>
      </c>
      <c r="K19" s="15">
        <f ca="1">IFERROR(__xludf.DUMMYFUNCTION("""COMPUTED_VALUE"""),2)</f>
        <v>2</v>
      </c>
      <c r="L19" s="21">
        <f ca="1">IFERROR(__xludf.DUMMYFUNCTION("""COMPUTED_VALUE"""),2580.77)</f>
        <v>2580.77</v>
      </c>
      <c r="M19" s="6" t="str">
        <f ca="1">IFERROR(__xludf.DUMMYFUNCTION("""COMPUTED_VALUE"""),"03 ORL")</f>
        <v>03 ORL</v>
      </c>
      <c r="N19" s="6" t="str">
        <f ca="1">IFERROR(__xludf.DUMMYFUNCTION("""COMPUTED_VALUE"""),"06 ORL")</f>
        <v>06 ORL</v>
      </c>
      <c r="O19" s="6" t="str">
        <f ca="1">IFERROR(__xludf.DUMMYFUNCTION("""COMPUTED_VALUE"""),"Dra, Alejandra Jara Maquilón")</f>
        <v>Dra, Alejandra Jara Maquilón</v>
      </c>
      <c r="P19" s="6" t="str">
        <f ca="1">IFERROR(__xludf.DUMMYFUNCTION("""COMPUTED_VALUE"""),"Iván Sánchez (Levante y Albacete)")</f>
        <v>Iván Sánchez (Levante y Albacete)</v>
      </c>
    </row>
    <row r="20" spans="2:16">
      <c r="B20" s="33">
        <f ca="1">IFERROR(__xludf.DUMMYFUNCTION("""COMPUTED_VALUE"""),2026)</f>
        <v>2026</v>
      </c>
      <c r="C20" s="15">
        <f ca="1">IFERROR(__xludf.DUMMYFUNCTION("""COMPUTED_VALUE"""),1)</f>
        <v>1</v>
      </c>
      <c r="D20" s="6" t="str">
        <f ca="1">IFERROR(__xludf.DUMMYFUNCTION("""COMPUTED_VALUE"""),"NO")</f>
        <v>NO</v>
      </c>
      <c r="E20" s="6" t="str">
        <f ca="1">IFERROR(__xludf.DUMMYFUNCTION("""COMPUTED_VALUE"""),"Sevilla- Montoto")</f>
        <v>Sevilla- Montoto</v>
      </c>
      <c r="F20" s="16">
        <f ca="1">IFERROR(__xludf.DUMMYFUNCTION("""COMPUTED_VALUE"""),46036)</f>
        <v>46036</v>
      </c>
      <c r="G20" s="16">
        <f ca="1">IFERROR(__xludf.DUMMYFUNCTION("""COMPUTED_VALUE"""),45985)</f>
        <v>45985</v>
      </c>
      <c r="H20" s="6" t="str">
        <f ca="1">IFERROR(__xludf.DUMMYFUNCTION("""COMPUTED_VALUE"""),"Montoto")</f>
        <v>Montoto</v>
      </c>
      <c r="I20" s="6" t="str">
        <f ca="1">IFERROR(__xludf.DUMMYFUNCTION("""COMPUTED_VALUE"""),"C202511241120341965")</f>
        <v>C202511241120341965</v>
      </c>
      <c r="J20" s="6" t="str">
        <f ca="1">IFERROR(__xludf.DUMMYFUNCTION("""COMPUTED_VALUE"""),"MIGUEL FONTANILLA RABANEDA")</f>
        <v>MIGUEL FONTANILLA RABANEDA</v>
      </c>
      <c r="K20" s="15">
        <f ca="1">IFERROR(__xludf.DUMMYFUNCTION("""COMPUTED_VALUE"""),2)</f>
        <v>2</v>
      </c>
      <c r="L20" s="21">
        <f ca="1">IFERROR(__xludf.DUMMYFUNCTION("""COMPUTED_VALUE"""),3631.82)</f>
        <v>3631.82</v>
      </c>
      <c r="M20" s="6" t="str">
        <f ca="1">IFERROR(__xludf.DUMMYFUNCTION("""COMPUTED_VALUE"""),"01 MARKETING ON LINE")</f>
        <v>01 MARKETING ON LINE</v>
      </c>
      <c r="N20" s="6" t="str">
        <f ca="1">IFERROR(__xludf.DUMMYFUNCTION("""COMPUTED_VALUE"""),"04 AUDIFONO,ES")</f>
        <v>04 AUDIFONO,ES</v>
      </c>
      <c r="O20" s="6" t="str">
        <f ca="1">IFERROR(__xludf.DUMMYFUNCTION("""COMPUTED_VALUE"""),"Dr, Francisco Javier Aguilar Vera")</f>
        <v>Dr, Francisco Javier Aguilar Vera</v>
      </c>
      <c r="P20" s="6" t="str">
        <f ca="1">IFERROR(__xludf.DUMMYFUNCTION("""COMPUTED_VALUE"""),"Luis Alberto Rodríguez (Andalucía y Badajoz)")</f>
        <v>Luis Alberto Rodríguez (Andalucía y Badajoz)</v>
      </c>
    </row>
    <row r="21" spans="2:16">
      <c r="B21" s="33">
        <f ca="1">IFERROR(__xludf.DUMMYFUNCTION("""COMPUTED_VALUE"""),2026)</f>
        <v>2026</v>
      </c>
      <c r="C21" s="15">
        <f ca="1">IFERROR(__xludf.DUMMYFUNCTION("""COMPUTED_VALUE"""),1)</f>
        <v>1</v>
      </c>
      <c r="D21" s="6" t="str">
        <f ca="1">IFERROR(__xludf.DUMMYFUNCTION("""COMPUTED_VALUE"""),"NO")</f>
        <v>NO</v>
      </c>
      <c r="E21" s="6" t="str">
        <f ca="1">IFERROR(__xludf.DUMMYFUNCTION("""COMPUTED_VALUE"""),"Madrid- La Oca")</f>
        <v>Madrid- La Oca</v>
      </c>
      <c r="F21" s="16">
        <f ca="1">IFERROR(__xludf.DUMMYFUNCTION("""COMPUTED_VALUE"""),46036)</f>
        <v>46036</v>
      </c>
      <c r="G21" s="16">
        <f ca="1">IFERROR(__xludf.DUMMYFUNCTION("""COMPUTED_VALUE"""),46002)</f>
        <v>46002</v>
      </c>
      <c r="H21" s="6" t="str">
        <f ca="1">IFERROR(__xludf.DUMMYFUNCTION("""COMPUTED_VALUE"""),"La Oca")</f>
        <v>La Oca</v>
      </c>
      <c r="I21" s="6" t="str">
        <f ca="1">IFERROR(__xludf.DUMMYFUNCTION("""COMPUTED_VALUE"""),"C202512111114179041")</f>
        <v>C202512111114179041</v>
      </c>
      <c r="J21" s="6" t="str">
        <f ca="1">IFERROR(__xludf.DUMMYFUNCTION("""COMPUTED_VALUE"""),"PEDRO DOMINGO NAVARRO DIAZ")</f>
        <v>PEDRO DOMINGO NAVARRO DIAZ</v>
      </c>
      <c r="K21" s="15">
        <f ca="1">IFERROR(__xludf.DUMMYFUNCTION("""COMPUTED_VALUE"""),2)</f>
        <v>2</v>
      </c>
      <c r="L21" s="21">
        <f ca="1">IFERROR(__xludf.DUMMYFUNCTION("""COMPUTED_VALUE"""),2581.82)</f>
        <v>2581.8200000000002</v>
      </c>
      <c r="M21" s="6" t="str">
        <f ca="1">IFERROR(__xludf.DUMMYFUNCTION("""COMPUTED_VALUE"""),"03 ORL")</f>
        <v>03 ORL</v>
      </c>
      <c r="N21" s="6" t="str">
        <f ca="1">IFERROR(__xludf.DUMMYFUNCTION("""COMPUTED_VALUE"""),"06 ORL")</f>
        <v>06 ORL</v>
      </c>
      <c r="O21" s="6" t="str">
        <f ca="1">IFERROR(__xludf.DUMMYFUNCTION("""COMPUTED_VALUE"""),"Dra, Diana Hernán Pérez")</f>
        <v>Dra, Diana Hernán Pérez</v>
      </c>
      <c r="P21" s="6" t="str">
        <f ca="1">IFERROR(__xludf.DUMMYFUNCTION("""COMPUTED_VALUE"""),"Maika Blázquez (Madrid)")</f>
        <v>Maika Blázquez (Madrid)</v>
      </c>
    </row>
    <row r="22" spans="2:16">
      <c r="B22" s="33">
        <f ca="1">IFERROR(__xludf.DUMMYFUNCTION("""COMPUTED_VALUE"""),2026)</f>
        <v>2026</v>
      </c>
      <c r="C22" s="15">
        <f ca="1">IFERROR(__xludf.DUMMYFUNCTION("""COMPUTED_VALUE"""),1)</f>
        <v>1</v>
      </c>
      <c r="D22" s="6" t="str">
        <f ca="1">IFERROR(__xludf.DUMMYFUNCTION("""COMPUTED_VALUE"""),"NO")</f>
        <v>NO</v>
      </c>
      <c r="E22" s="6" t="str">
        <f ca="1">IFERROR(__xludf.DUMMYFUNCTION("""COMPUTED_VALUE"""),"Toledo")</f>
        <v>Toledo</v>
      </c>
      <c r="F22" s="16">
        <f ca="1">IFERROR(__xludf.DUMMYFUNCTION("""COMPUTED_VALUE"""),46036)</f>
        <v>46036</v>
      </c>
      <c r="G22" s="16">
        <f ca="1">IFERROR(__xludf.DUMMYFUNCTION("""COMPUTED_VALUE"""),46014)</f>
        <v>46014</v>
      </c>
      <c r="H22" s="6" t="str">
        <f ca="1">IFERROR(__xludf.DUMMYFUNCTION("""COMPUTED_VALUE"""),"Toledo")</f>
        <v>Toledo</v>
      </c>
      <c r="I22" s="6" t="str">
        <f ca="1">IFERROR(__xludf.DUMMYFUNCTION("""COMPUTED_VALUE"""),"C202512231029369451")</f>
        <v>C202512231029369451</v>
      </c>
      <c r="J22" s="6" t="str">
        <f ca="1">IFERROR(__xludf.DUMMYFUNCTION("""COMPUTED_VALUE"""),"Dolores  Sanz Contreras")</f>
        <v>Dolores  Sanz Contreras</v>
      </c>
      <c r="K22" s="15">
        <f ca="1">IFERROR(__xludf.DUMMYFUNCTION("""COMPUTED_VALUE"""),1)</f>
        <v>1</v>
      </c>
      <c r="L22" s="21">
        <f ca="1">IFERROR(__xludf.DUMMYFUNCTION("""COMPUTED_VALUE"""),1550.23)</f>
        <v>1550.23</v>
      </c>
      <c r="M22" s="6" t="str">
        <f ca="1">IFERROR(__xludf.DUMMYFUNCTION("""COMPUTED_VALUE"""),"03 ORL")</f>
        <v>03 ORL</v>
      </c>
      <c r="N22" s="6" t="str">
        <f ca="1">IFERROR(__xludf.DUMMYFUNCTION("""COMPUTED_VALUE"""),"06 ORL")</f>
        <v>06 ORL</v>
      </c>
      <c r="O22" s="6" t="str">
        <f ca="1">IFERROR(__xludf.DUMMYFUNCTION("""COMPUTED_VALUE"""),"Dra, Alejandra Alvarado Namen")</f>
        <v>Dra, Alejandra Alvarado Namen</v>
      </c>
      <c r="P22" s="6" t="str">
        <f ca="1">IFERROR(__xludf.DUMMYFUNCTION("""COMPUTED_VALUE"""),"Lisandro Russian (Madrid, Cáceres, Toledo, Talavera y Logroño)")</f>
        <v>Lisandro Russian (Madrid, Cáceres, Toledo, Talavera y Logroño)</v>
      </c>
    </row>
    <row r="23" spans="2:16">
      <c r="B23" s="33">
        <f ca="1">IFERROR(__xludf.DUMMYFUNCTION("""COMPUTED_VALUE"""),2026)</f>
        <v>2026</v>
      </c>
      <c r="C23" s="15">
        <f ca="1">IFERROR(__xludf.DUMMYFUNCTION("""COMPUTED_VALUE"""),1)</f>
        <v>1</v>
      </c>
      <c r="D23" s="6" t="str">
        <f ca="1">IFERROR(__xludf.DUMMYFUNCTION("""COMPUTED_VALUE"""),"NO")</f>
        <v>NO</v>
      </c>
      <c r="E23" s="6" t="str">
        <f ca="1">IFERROR(__xludf.DUMMYFUNCTION("""COMPUTED_VALUE"""),"Madrid- La Oca")</f>
        <v>Madrid- La Oca</v>
      </c>
      <c r="F23" s="16">
        <f ca="1">IFERROR(__xludf.DUMMYFUNCTION("""COMPUTED_VALUE"""),46036)</f>
        <v>46036</v>
      </c>
      <c r="G23" s="16">
        <f ca="1">IFERROR(__xludf.DUMMYFUNCTION("""COMPUTED_VALUE"""),46000)</f>
        <v>46000</v>
      </c>
      <c r="H23" s="6" t="str">
        <f ca="1">IFERROR(__xludf.DUMMYFUNCTION("""COMPUTED_VALUE"""),"La Oca")</f>
        <v>La Oca</v>
      </c>
      <c r="I23" s="6" t="str">
        <f ca="1">IFERROR(__xludf.DUMMYFUNCTION("""COMPUTED_VALUE"""),"C202512911118838876")</f>
        <v>C202512911118838876</v>
      </c>
      <c r="J23" s="6" t="str">
        <f ca="1">IFERROR(__xludf.DUMMYFUNCTION("""COMPUTED_VALUE"""),"MARIA JOSEFA DE MELCHOR DIEZ")</f>
        <v>MARIA JOSEFA DE MELCHOR DIEZ</v>
      </c>
      <c r="K23" s="15">
        <f ca="1">IFERROR(__xludf.DUMMYFUNCTION("""COMPUTED_VALUE"""),2)</f>
        <v>2</v>
      </c>
      <c r="L23" s="21">
        <f ca="1">IFERROR(__xludf.DUMMYFUNCTION("""COMPUTED_VALUE"""),3631.82)</f>
        <v>3631.82</v>
      </c>
      <c r="M23" s="6" t="str">
        <f ca="1">IFERROR(__xludf.DUMMYFUNCTION("""COMPUTED_VALUE"""),"03 ORL")</f>
        <v>03 ORL</v>
      </c>
      <c r="N23" s="6" t="str">
        <f ca="1">IFERROR(__xludf.DUMMYFUNCTION("""COMPUTED_VALUE"""),"06 ORL")</f>
        <v>06 ORL</v>
      </c>
      <c r="O23" s="6" t="str">
        <f ca="1">IFERROR(__xludf.DUMMYFUNCTION("""COMPUTED_VALUE"""),"Dr, José Joaquín Gutiérrez Barquín")</f>
        <v>Dr, José Joaquín Gutiérrez Barquín</v>
      </c>
      <c r="P23" s="6" t="str">
        <f ca="1">IFERROR(__xludf.DUMMYFUNCTION("""COMPUTED_VALUE"""),"Maika Blázquez (Madrid)")</f>
        <v>Maika Blázquez (Madrid)</v>
      </c>
    </row>
    <row r="24" spans="2:16">
      <c r="B24" s="33">
        <f ca="1">IFERROR(__xludf.DUMMYFUNCTION("""COMPUTED_VALUE"""),2026)</f>
        <v>2026</v>
      </c>
      <c r="C24" s="15">
        <f ca="1">IFERROR(__xludf.DUMMYFUNCTION("""COMPUTED_VALUE"""),1)</f>
        <v>1</v>
      </c>
      <c r="D24" s="6" t="str">
        <f ca="1">IFERROR(__xludf.DUMMYFUNCTION("""COMPUTED_VALUE"""),"NO")</f>
        <v>NO</v>
      </c>
      <c r="E24" s="6" t="str">
        <f ca="1">IFERROR(__xludf.DUMMYFUNCTION("""COMPUTED_VALUE"""),"Madrid- Juan Bravo")</f>
        <v>Madrid- Juan Bravo</v>
      </c>
      <c r="F24" s="16">
        <f ca="1">IFERROR(__xludf.DUMMYFUNCTION("""COMPUTED_VALUE"""),46036)</f>
        <v>46036</v>
      </c>
      <c r="G24" s="16">
        <f ca="1">IFERROR(__xludf.DUMMYFUNCTION("""COMPUTED_VALUE"""),46009)</f>
        <v>46009</v>
      </c>
      <c r="H24" s="6" t="str">
        <f ca="1">IFERROR(__xludf.DUMMYFUNCTION("""COMPUTED_VALUE"""),"Juan Bravo")</f>
        <v>Juan Bravo</v>
      </c>
      <c r="I24" s="6" t="str">
        <f ca="1">IFERROR(__xludf.DUMMYFUNCTION("""COMPUTED_VALUE"""),"C202512181052238972")</f>
        <v>C202512181052238972</v>
      </c>
      <c r="J24" s="6" t="str">
        <f ca="1">IFERROR(__xludf.DUMMYFUNCTION("""COMPUTED_VALUE"""),"CONCEPCION FERNANDEZ LOPEZ")</f>
        <v>CONCEPCION FERNANDEZ LOPEZ</v>
      </c>
      <c r="K24" s="15">
        <f ca="1">IFERROR(__xludf.DUMMYFUNCTION("""COMPUTED_VALUE"""),2)</f>
        <v>2</v>
      </c>
      <c r="L24" s="21">
        <f ca="1">IFERROR(__xludf.DUMMYFUNCTION("""COMPUTED_VALUE"""),3929.55)</f>
        <v>3929.55</v>
      </c>
      <c r="M24" s="6" t="str">
        <f ca="1">IFERROR(__xludf.DUMMYFUNCTION("""COMPUTED_VALUE"""),"03 ORL")</f>
        <v>03 ORL</v>
      </c>
      <c r="N24" s="6" t="str">
        <f ca="1">IFERROR(__xludf.DUMMYFUNCTION("""COMPUTED_VALUE"""),"06 ORL")</f>
        <v>06 ORL</v>
      </c>
      <c r="O24" s="6" t="str">
        <f ca="1">IFERROR(__xludf.DUMMYFUNCTION("""COMPUTED_VALUE"""),"Dr, Carlos Barajas del Rosal")</f>
        <v>Dr, Carlos Barajas del Rosal</v>
      </c>
      <c r="P24" s="6" t="str">
        <f ca="1">IFERROR(__xludf.DUMMYFUNCTION("""COMPUTED_VALUE"""),"Lisandro Russian (Madrid, Cáceres, Toledo, Talavera y Logroño)")</f>
        <v>Lisandro Russian (Madrid, Cáceres, Toledo, Talavera y Logroño)</v>
      </c>
    </row>
    <row r="25" spans="2:16">
      <c r="B25" s="33">
        <f ca="1">IFERROR(__xludf.DUMMYFUNCTION("""COMPUTED_VALUE"""),2026)</f>
        <v>2026</v>
      </c>
      <c r="C25" s="15">
        <f ca="1">IFERROR(__xludf.DUMMYFUNCTION("""COMPUTED_VALUE"""),1)</f>
        <v>1</v>
      </c>
      <c r="D25" s="6" t="str">
        <f ca="1">IFERROR(__xludf.DUMMYFUNCTION("""COMPUTED_VALUE"""),"NO")</f>
        <v>NO</v>
      </c>
      <c r="E25" s="6" t="str">
        <f ca="1">IFERROR(__xludf.DUMMYFUNCTION("""COMPUTED_VALUE"""),"Ourense")</f>
        <v>Ourense</v>
      </c>
      <c r="F25" s="16">
        <f ca="1">IFERROR(__xludf.DUMMYFUNCTION("""COMPUTED_VALUE"""),46036)</f>
        <v>46036</v>
      </c>
      <c r="G25" s="16">
        <f ca="1">IFERROR(__xludf.DUMMYFUNCTION("""COMPUTED_VALUE"""),45985)</f>
        <v>45985</v>
      </c>
      <c r="H25" s="6" t="str">
        <f ca="1">IFERROR(__xludf.DUMMYFUNCTION("""COMPUTED_VALUE"""),"Orense")</f>
        <v>Orense</v>
      </c>
      <c r="I25" s="6" t="str">
        <f ca="1">IFERROR(__xludf.DUMMYFUNCTION("""COMPUTED_VALUE"""),"C202511241525371421")</f>
        <v>C202511241525371421</v>
      </c>
      <c r="J25" s="6" t="str">
        <f ca="1">IFERROR(__xludf.DUMMYFUNCTION("""COMPUTED_VALUE"""),"ESTHER CAMINO BLANCO")</f>
        <v>ESTHER CAMINO BLANCO</v>
      </c>
      <c r="K25" s="15">
        <f ca="1">IFERROR(__xludf.DUMMYFUNCTION("""COMPUTED_VALUE"""),2)</f>
        <v>2</v>
      </c>
      <c r="L25" s="21">
        <f ca="1">IFERROR(__xludf.DUMMYFUNCTION("""COMPUTED_VALUE"""),3631.82)</f>
        <v>3631.82</v>
      </c>
      <c r="M25" s="6" t="str">
        <f ca="1">IFERROR(__xludf.DUMMYFUNCTION("""COMPUTED_VALUE"""),"03 ORL")</f>
        <v>03 ORL</v>
      </c>
      <c r="N25" s="6" t="str">
        <f ca="1">IFERROR(__xludf.DUMMYFUNCTION("""COMPUTED_VALUE"""),"06 ORL")</f>
        <v>06 ORL</v>
      </c>
      <c r="O25" s="6" t="str">
        <f ca="1">IFERROR(__xludf.DUMMYFUNCTION("""COMPUTED_VALUE"""),"No recuerda ORL")</f>
        <v>No recuerda ORL</v>
      </c>
      <c r="P25" s="6" t="str">
        <f ca="1">IFERROR(__xludf.DUMMYFUNCTION("""COMPUTED_VALUE"""),"Alberto Moreno (Madrid)")</f>
        <v>Alberto Moreno (Madrid)</v>
      </c>
    </row>
    <row r="26" spans="2:16">
      <c r="B26" s="33">
        <f ca="1">IFERROR(__xludf.DUMMYFUNCTION("""COMPUTED_VALUE"""),2026)</f>
        <v>2026</v>
      </c>
      <c r="C26" s="15">
        <f ca="1">IFERROR(__xludf.DUMMYFUNCTION("""COMPUTED_VALUE"""),1)</f>
        <v>1</v>
      </c>
      <c r="D26" s="6" t="str">
        <f ca="1">IFERROR(__xludf.DUMMYFUNCTION("""COMPUTED_VALUE"""),"NO")</f>
        <v>NO</v>
      </c>
      <c r="E26" s="6" t="str">
        <f ca="1">IFERROR(__xludf.DUMMYFUNCTION("""COMPUTED_VALUE"""),"Fuenlabrada")</f>
        <v>Fuenlabrada</v>
      </c>
      <c r="F26" s="16">
        <f ca="1">IFERROR(__xludf.DUMMYFUNCTION("""COMPUTED_VALUE"""),46037)</f>
        <v>46037</v>
      </c>
      <c r="G26" s="16">
        <f ca="1">IFERROR(__xludf.DUMMYFUNCTION("""COMPUTED_VALUE"""),46008)</f>
        <v>46008</v>
      </c>
      <c r="H26" s="6" t="str">
        <f ca="1">IFERROR(__xludf.DUMMYFUNCTION("""COMPUTED_VALUE"""),"Fuenlabrada")</f>
        <v>Fuenlabrada</v>
      </c>
      <c r="I26" s="6" t="str">
        <f ca="1">IFERROR(__xludf.DUMMYFUNCTION("""COMPUTED_VALUE"""),"C202512171612178703")</f>
        <v>C202512171612178703</v>
      </c>
      <c r="J26" s="6" t="str">
        <f ca="1">IFERROR(__xludf.DUMMYFUNCTION("""COMPUTED_VALUE"""),"EMILIO CAMACHO BALLERO")</f>
        <v>EMILIO CAMACHO BALLERO</v>
      </c>
      <c r="K26" s="15">
        <f ca="1">IFERROR(__xludf.DUMMYFUNCTION("""COMPUTED_VALUE"""),2)</f>
        <v>2</v>
      </c>
      <c r="L26" s="21">
        <f ca="1">IFERROR(__xludf.DUMMYFUNCTION("""COMPUTED_VALUE"""),4536.36)</f>
        <v>4536.3599999999997</v>
      </c>
      <c r="M26" s="6" t="str">
        <f ca="1">IFERROR(__xludf.DUMMYFUNCTION("""COMPUTED_VALUE"""),"03 ORL")</f>
        <v>03 ORL</v>
      </c>
      <c r="N26" s="6" t="str">
        <f ca="1">IFERROR(__xludf.DUMMYFUNCTION("""COMPUTED_VALUE"""),"06 ORL")</f>
        <v>06 ORL</v>
      </c>
      <c r="O26" s="6" t="str">
        <f ca="1">IFERROR(__xludf.DUMMYFUNCTION("""COMPUTED_VALUE"""),"Dra, Ithzel Maria Villarreal Patiño")</f>
        <v>Dra, Ithzel Maria Villarreal Patiño</v>
      </c>
      <c r="P26" s="6" t="str">
        <f ca="1">IFERROR(__xludf.DUMMYFUNCTION("""COMPUTED_VALUE"""),"Maika Blázquez (Madrid)")</f>
        <v>Maika Blázquez (Madrid)</v>
      </c>
    </row>
    <row r="27" spans="2:16">
      <c r="B27" s="33">
        <f ca="1">IFERROR(__xludf.DUMMYFUNCTION("""COMPUTED_VALUE"""),2026)</f>
        <v>2026</v>
      </c>
      <c r="C27" s="15">
        <f ca="1">IFERROR(__xludf.DUMMYFUNCTION("""COMPUTED_VALUE"""),1)</f>
        <v>1</v>
      </c>
      <c r="D27" s="6" t="str">
        <f ca="1">IFERROR(__xludf.DUMMYFUNCTION("""COMPUTED_VALUE"""),"NO")</f>
        <v>NO</v>
      </c>
      <c r="E27" s="6" t="str">
        <f ca="1">IFERROR(__xludf.DUMMYFUNCTION("""COMPUTED_VALUE"""),"Lugo")</f>
        <v>Lugo</v>
      </c>
      <c r="F27" s="16">
        <f ca="1">IFERROR(__xludf.DUMMYFUNCTION("""COMPUTED_VALUE"""),46037)</f>
        <v>46037</v>
      </c>
      <c r="G27" s="16">
        <f ca="1">IFERROR(__xludf.DUMMYFUNCTION("""COMPUTED_VALUE"""),45994)</f>
        <v>45994</v>
      </c>
      <c r="H27" s="6" t="str">
        <f ca="1">IFERROR(__xludf.DUMMYFUNCTION("""COMPUTED_VALUE"""),"Lugo")</f>
        <v>Lugo</v>
      </c>
      <c r="I27" s="6" t="str">
        <f ca="1">IFERROR(__xludf.DUMMYFUNCTION("""COMPUTED_VALUE"""),"C202512318124615792")</f>
        <v>C202512318124615792</v>
      </c>
      <c r="J27" s="6" t="str">
        <f ca="1">IFERROR(__xludf.DUMMYFUNCTION("""COMPUTED_VALUE"""),"ANDRES BARREIRO LOIS")</f>
        <v>ANDRES BARREIRO LOIS</v>
      </c>
      <c r="K27" s="15">
        <f ca="1">IFERROR(__xludf.DUMMYFUNCTION("""COMPUTED_VALUE"""),2)</f>
        <v>2</v>
      </c>
      <c r="L27" s="21">
        <f ca="1">IFERROR(__xludf.DUMMYFUNCTION("""COMPUTED_VALUE"""),3929.09)</f>
        <v>3929.09</v>
      </c>
      <c r="M27" s="6" t="str">
        <f ca="1">IFERROR(__xludf.DUMMYFUNCTION("""COMPUTED_VALUE"""),"03 ORL")</f>
        <v>03 ORL</v>
      </c>
      <c r="N27" s="6" t="str">
        <f ca="1">IFERROR(__xludf.DUMMYFUNCTION("""COMPUTED_VALUE"""),"06 ORL")</f>
        <v>06 ORL</v>
      </c>
      <c r="O27" s="6" t="str">
        <f ca="1">IFERROR(__xludf.DUMMYFUNCTION("""COMPUTED_VALUE"""),"Dr, Pedro Juiz López")</f>
        <v>Dr, Pedro Juiz López</v>
      </c>
      <c r="P27" s="6" t="str">
        <f ca="1">IFERROR(__xludf.DUMMYFUNCTION("""COMPUTED_VALUE"""),"Alberto Moreno (Madrid)")</f>
        <v>Alberto Moreno (Madrid)</v>
      </c>
    </row>
    <row r="28" spans="2:16">
      <c r="B28" s="33">
        <f ca="1">IFERROR(__xludf.DUMMYFUNCTION("""COMPUTED_VALUE"""),2026)</f>
        <v>2026</v>
      </c>
      <c r="C28" s="15">
        <f ca="1">IFERROR(__xludf.DUMMYFUNCTION("""COMPUTED_VALUE"""),1)</f>
        <v>1</v>
      </c>
      <c r="D28" s="6" t="str">
        <f ca="1">IFERROR(__xludf.DUMMYFUNCTION("""COMPUTED_VALUE"""),"NO")</f>
        <v>NO</v>
      </c>
      <c r="E28" s="6" t="str">
        <f ca="1">IFERROR(__xludf.DUMMYFUNCTION("""COMPUTED_VALUE"""),"Madrid- La Oca")</f>
        <v>Madrid- La Oca</v>
      </c>
      <c r="F28" s="16">
        <f ca="1">IFERROR(__xludf.DUMMYFUNCTION("""COMPUTED_VALUE"""),46037)</f>
        <v>46037</v>
      </c>
      <c r="G28" s="16">
        <f ca="1">IFERROR(__xludf.DUMMYFUNCTION("""COMPUTED_VALUE"""),45981)</f>
        <v>45981</v>
      </c>
      <c r="H28" s="6" t="str">
        <f ca="1">IFERROR(__xludf.DUMMYFUNCTION("""COMPUTED_VALUE"""),"La Oca")</f>
        <v>La Oca</v>
      </c>
      <c r="I28" s="6" t="str">
        <f ca="1">IFERROR(__xludf.DUMMYFUNCTION("""COMPUTED_VALUE"""),"C202511201642289976")</f>
        <v>C202511201642289976</v>
      </c>
      <c r="J28" s="6" t="str">
        <f ca="1">IFERROR(__xludf.DUMMYFUNCTION("""COMPUTED_VALUE"""),"MANUELA LLAMAS DE PAZ")</f>
        <v>MANUELA LLAMAS DE PAZ</v>
      </c>
      <c r="K28" s="15">
        <f ca="1">IFERROR(__xludf.DUMMYFUNCTION("""COMPUTED_VALUE"""),2)</f>
        <v>2</v>
      </c>
      <c r="L28" s="21">
        <f ca="1">IFERROR(__xludf.DUMMYFUNCTION("""COMPUTED_VALUE"""),2581.82)</f>
        <v>2581.8200000000002</v>
      </c>
      <c r="M28" s="6" t="str">
        <f ca="1">IFERROR(__xludf.DUMMYFUNCTION("""COMPUTED_VALUE"""),"03 ORL")</f>
        <v>03 ORL</v>
      </c>
      <c r="N28" s="6" t="str">
        <f ca="1">IFERROR(__xludf.DUMMYFUNCTION("""COMPUTED_VALUE"""),"06 ORL")</f>
        <v>06 ORL</v>
      </c>
      <c r="O28" s="6" t="str">
        <f ca="1">IFERROR(__xludf.DUMMYFUNCTION("""COMPUTED_VALUE"""),"Dr, Félix Rodríguez Paz")</f>
        <v>Dr, Félix Rodríguez Paz</v>
      </c>
      <c r="P28" s="6" t="str">
        <f ca="1">IFERROR(__xludf.DUMMYFUNCTION("""COMPUTED_VALUE"""),"Maika Blázquez (Madrid)")</f>
        <v>Maika Blázquez (Madrid)</v>
      </c>
    </row>
    <row r="29" spans="2:16">
      <c r="B29" s="33">
        <f ca="1">IFERROR(__xludf.DUMMYFUNCTION("""COMPUTED_VALUE"""),2026)</f>
        <v>2026</v>
      </c>
      <c r="C29" s="15">
        <f ca="1">IFERROR(__xludf.DUMMYFUNCTION("""COMPUTED_VALUE"""),1)</f>
        <v>1</v>
      </c>
      <c r="D29" s="6" t="str">
        <f ca="1">IFERROR(__xludf.DUMMYFUNCTION("""COMPUTED_VALUE"""),"NO")</f>
        <v>NO</v>
      </c>
      <c r="E29" s="6" t="str">
        <f ca="1">IFERROR(__xludf.DUMMYFUNCTION("""COMPUTED_VALUE"""),"Madrid- Canillas")</f>
        <v>Madrid- Canillas</v>
      </c>
      <c r="F29" s="16">
        <f ca="1">IFERROR(__xludf.DUMMYFUNCTION("""COMPUTED_VALUE"""),46037)</f>
        <v>46037</v>
      </c>
      <c r="G29" s="16">
        <f ca="1">IFERROR(__xludf.DUMMYFUNCTION("""COMPUTED_VALUE"""),45988)</f>
        <v>45988</v>
      </c>
      <c r="H29" s="6" t="str">
        <f ca="1">IFERROR(__xludf.DUMMYFUNCTION("""COMPUTED_VALUE"""),"Canillas")</f>
        <v>Canillas</v>
      </c>
      <c r="I29" s="6" t="str">
        <f ca="1">IFERROR(__xludf.DUMMYFUNCTION("""COMPUTED_VALUE"""),"C202511271715586820")</f>
        <v>C202511271715586820</v>
      </c>
      <c r="J29" s="6" t="str">
        <f ca="1">IFERROR(__xludf.DUMMYFUNCTION("""COMPUTED_VALUE"""),"ROSA DE LA FLOR GONZÁLEZ")</f>
        <v>ROSA DE LA FLOR GONZÁLEZ</v>
      </c>
      <c r="K29" s="15">
        <f ca="1">IFERROR(__xludf.DUMMYFUNCTION("""COMPUTED_VALUE"""),2)</f>
        <v>2</v>
      </c>
      <c r="L29" s="21">
        <f ca="1">IFERROR(__xludf.DUMMYFUNCTION("""COMPUTED_VALUE"""),2718.18)</f>
        <v>2718.18</v>
      </c>
      <c r="M29" s="6" t="str">
        <f ca="1">IFERROR(__xludf.DUMMYFUNCTION("""COMPUTED_VALUE"""),"03 ORL")</f>
        <v>03 ORL</v>
      </c>
      <c r="N29" s="6" t="str">
        <f ca="1">IFERROR(__xludf.DUMMYFUNCTION("""COMPUTED_VALUE"""),"06 ORL")</f>
        <v>06 ORL</v>
      </c>
      <c r="O29" s="6" t="str">
        <f ca="1">IFERROR(__xludf.DUMMYFUNCTION("""COMPUTED_VALUE"""),"Dr, José Gustavo Barroso Braojos")</f>
        <v>Dr, José Gustavo Barroso Braojos</v>
      </c>
      <c r="P29" s="1" t="str">
        <f ca="1">IFERROR(__xludf.DUMMYFUNCTION("""COMPUTED_VALUE"""),"Maika Blázquez (Madrid)")</f>
        <v>Maika Blázquez (Madrid)</v>
      </c>
    </row>
    <row r="30" spans="2:16">
      <c r="B30" s="33">
        <f ca="1">IFERROR(__xludf.DUMMYFUNCTION("""COMPUTED_VALUE"""),2026)</f>
        <v>2026</v>
      </c>
      <c r="C30" s="15">
        <f ca="1">IFERROR(__xludf.DUMMYFUNCTION("""COMPUTED_VALUE"""),1)</f>
        <v>1</v>
      </c>
      <c r="D30" s="6" t="str">
        <f ca="1">IFERROR(__xludf.DUMMYFUNCTION("""COMPUTED_VALUE"""),"NO")</f>
        <v>NO</v>
      </c>
      <c r="E30" s="6" t="str">
        <f ca="1">IFERROR(__xludf.DUMMYFUNCTION("""COMPUTED_VALUE"""),"Madrid- Juan Bravo")</f>
        <v>Madrid- Juan Bravo</v>
      </c>
      <c r="F30" s="16">
        <f ca="1">IFERROR(__xludf.DUMMYFUNCTION("""COMPUTED_VALUE"""),46038)</f>
        <v>46038</v>
      </c>
      <c r="G30" s="16">
        <f ca="1">IFERROR(__xludf.DUMMYFUNCTION("""COMPUTED_VALUE"""),46010)</f>
        <v>46010</v>
      </c>
      <c r="H30" s="6" t="str">
        <f ca="1">IFERROR(__xludf.DUMMYFUNCTION("""COMPUTED_VALUE"""),"Juan Bravo")</f>
        <v>Juan Bravo</v>
      </c>
      <c r="I30" s="6" t="str">
        <f ca="1">IFERROR(__xludf.DUMMYFUNCTION("""COMPUTED_VALUE"""),"C202512191021357942")</f>
        <v>C202512191021357942</v>
      </c>
      <c r="J30" s="6" t="str">
        <f ca="1">IFERROR(__xludf.DUMMYFUNCTION("""COMPUTED_VALUE"""),"LUCAS ROMERO MILLAN")</f>
        <v>LUCAS ROMERO MILLAN</v>
      </c>
      <c r="K30" s="15">
        <f ca="1">IFERROR(__xludf.DUMMYFUNCTION("""COMPUTED_VALUE"""),1)</f>
        <v>1</v>
      </c>
      <c r="L30" s="21">
        <f ca="1">IFERROR(__xludf.DUMMYFUNCTION("""COMPUTED_VALUE"""),2180.91)</f>
        <v>2180.91</v>
      </c>
      <c r="M30" s="6" t="str">
        <f ca="1">IFERROR(__xludf.DUMMYFUNCTION("""COMPUTED_VALUE"""),"03 ORL")</f>
        <v>03 ORL</v>
      </c>
      <c r="N30" s="6" t="str">
        <f ca="1">IFERROR(__xludf.DUMMYFUNCTION("""COMPUTED_VALUE"""),"06 ORL")</f>
        <v>06 ORL</v>
      </c>
      <c r="O30" s="6" t="str">
        <f ca="1">IFERROR(__xludf.DUMMYFUNCTION("""COMPUTED_VALUE"""),"Dr, Javier García Domínguez")</f>
        <v>Dr, Javier García Domínguez</v>
      </c>
      <c r="P30" s="6" t="str">
        <f ca="1">IFERROR(__xludf.DUMMYFUNCTION("""COMPUTED_VALUE"""),"Maika Blázquez (Madrid)")</f>
        <v>Maika Blázquez (Madrid)</v>
      </c>
    </row>
    <row r="31" spans="2:16">
      <c r="B31" s="33">
        <f ca="1">IFERROR(__xludf.DUMMYFUNCTION("""COMPUTED_VALUE"""),2026)</f>
        <v>2026</v>
      </c>
      <c r="C31" s="15">
        <f ca="1">IFERROR(__xludf.DUMMYFUNCTION("""COMPUTED_VALUE"""),1)</f>
        <v>1</v>
      </c>
      <c r="D31" s="6" t="str">
        <f ca="1">IFERROR(__xludf.DUMMYFUNCTION("""COMPUTED_VALUE"""),"NO")</f>
        <v>NO</v>
      </c>
      <c r="E31" s="6" t="str">
        <f ca="1">IFERROR(__xludf.DUMMYFUNCTION("""COMPUTED_VALUE"""),"Cáceres")</f>
        <v>Cáceres</v>
      </c>
      <c r="F31" s="16">
        <f ca="1">IFERROR(__xludf.DUMMYFUNCTION("""COMPUTED_VALUE"""),46038)</f>
        <v>46038</v>
      </c>
      <c r="G31" s="16">
        <f ca="1">IFERROR(__xludf.DUMMYFUNCTION("""COMPUTED_VALUE"""),46007)</f>
        <v>46007</v>
      </c>
      <c r="H31" s="6" t="str">
        <f ca="1">IFERROR(__xludf.DUMMYFUNCTION("""COMPUTED_VALUE"""),"Cáceres")</f>
        <v>Cáceres</v>
      </c>
      <c r="I31" s="6" t="str">
        <f ca="1">IFERROR(__xludf.DUMMYFUNCTION("""COMPUTED_VALUE"""),"C202512161810167638")</f>
        <v>C202512161810167638</v>
      </c>
      <c r="J31" s="6" t="str">
        <f ca="1">IFERROR(__xludf.DUMMYFUNCTION("""COMPUTED_VALUE"""),"PEDRO BARROSO PEREZ")</f>
        <v>PEDRO BARROSO PEREZ</v>
      </c>
      <c r="K31" s="15">
        <f ca="1">IFERROR(__xludf.DUMMYFUNCTION("""COMPUTED_VALUE"""),2)</f>
        <v>2</v>
      </c>
      <c r="L31" s="21">
        <f ca="1">IFERROR(__xludf.DUMMYFUNCTION("""COMPUTED_VALUE"""),3583.64)</f>
        <v>3583.64</v>
      </c>
      <c r="M31" s="6" t="str">
        <f ca="1">IFERROR(__xludf.DUMMYFUNCTION("""COMPUTED_VALUE"""),"03 ORL")</f>
        <v>03 ORL</v>
      </c>
      <c r="N31" s="6" t="str">
        <f ca="1">IFERROR(__xludf.DUMMYFUNCTION("""COMPUTED_VALUE"""),"06 ORL")</f>
        <v>06 ORL</v>
      </c>
      <c r="O31" s="6" t="str">
        <f ca="1">IFERROR(__xludf.DUMMYFUNCTION("""COMPUTED_VALUE"""),"Dr, Raed Maqued El Maqued")</f>
        <v>Dr, Raed Maqued El Maqued</v>
      </c>
      <c r="P31" s="6" t="str">
        <f ca="1">IFERROR(__xludf.DUMMYFUNCTION("""COMPUTED_VALUE"""),"Lisandro Russian (Madrid, Cáceres, Toledo, Talavera y Logroño)")</f>
        <v>Lisandro Russian (Madrid, Cáceres, Toledo, Talavera y Logroño)</v>
      </c>
    </row>
    <row r="32" spans="2:16">
      <c r="B32" s="33">
        <f ca="1">IFERROR(__xludf.DUMMYFUNCTION("""COMPUTED_VALUE"""),2026)</f>
        <v>2026</v>
      </c>
      <c r="C32" s="15">
        <f ca="1">IFERROR(__xludf.DUMMYFUNCTION("""COMPUTED_VALUE"""),1)</f>
        <v>1</v>
      </c>
      <c r="D32" s="6" t="str">
        <f ca="1">IFERROR(__xludf.DUMMYFUNCTION("""COMPUTED_VALUE"""),"NO")</f>
        <v>NO</v>
      </c>
      <c r="E32" s="6" t="str">
        <f ca="1">IFERROR(__xludf.DUMMYFUNCTION("""COMPUTED_VALUE"""),"Leganés")</f>
        <v>Leganés</v>
      </c>
      <c r="F32" s="16">
        <f ca="1">IFERROR(__xludf.DUMMYFUNCTION("""COMPUTED_VALUE"""),46038)</f>
        <v>46038</v>
      </c>
      <c r="G32" s="16">
        <f ca="1">IFERROR(__xludf.DUMMYFUNCTION("""COMPUTED_VALUE"""),45992)</f>
        <v>45992</v>
      </c>
      <c r="H32" s="6" t="str">
        <f ca="1">IFERROR(__xludf.DUMMYFUNCTION("""COMPUTED_VALUE"""),"Leganés")</f>
        <v>Leganés</v>
      </c>
      <c r="I32" s="6" t="str">
        <f ca="1">IFERROR(__xludf.DUMMYFUNCTION("""COMPUTED_VALUE"""),"C202512112053437517")</f>
        <v>C202512112053437517</v>
      </c>
      <c r="J32" s="6" t="str">
        <f ca="1">IFERROR(__xludf.DUMMYFUNCTION("""COMPUTED_VALUE"""),"MANUEL MANJON CABELLO")</f>
        <v>MANUEL MANJON CABELLO</v>
      </c>
      <c r="K32" s="15">
        <f ca="1">IFERROR(__xludf.DUMMYFUNCTION("""COMPUTED_VALUE"""),2)</f>
        <v>2</v>
      </c>
      <c r="L32" s="21">
        <f ca="1">IFERROR(__xludf.DUMMYFUNCTION("""COMPUTED_VALUE"""),2581.82)</f>
        <v>2581.8200000000002</v>
      </c>
      <c r="M32" s="6" t="str">
        <f ca="1">IFERROR(__xludf.DUMMYFUNCTION("""COMPUTED_VALUE"""),"03 ORL")</f>
        <v>03 ORL</v>
      </c>
      <c r="N32" s="6" t="str">
        <f ca="1">IFERROR(__xludf.DUMMYFUNCTION("""COMPUTED_VALUE"""),"06 ORL")</f>
        <v>06 ORL</v>
      </c>
      <c r="O32" s="6" t="str">
        <f ca="1">IFERROR(__xludf.DUMMYFUNCTION("""COMPUTED_VALUE"""),"Dra, Patricia García Vicente")</f>
        <v>Dra, Patricia García Vicente</v>
      </c>
      <c r="P32" s="6" t="str">
        <f ca="1">IFERROR(__xludf.DUMMYFUNCTION("""COMPUTED_VALUE"""),"Maika Blázquez (Madrid)")</f>
        <v>Maika Blázquez (Madrid)</v>
      </c>
    </row>
    <row r="33" spans="2:16">
      <c r="B33" s="33">
        <f ca="1">IFERROR(__xludf.DUMMYFUNCTION("""COMPUTED_VALUE"""),2026)</f>
        <v>2026</v>
      </c>
      <c r="C33" s="15">
        <f ca="1">IFERROR(__xludf.DUMMYFUNCTION("""COMPUTED_VALUE"""),1)</f>
        <v>1</v>
      </c>
      <c r="D33" s="6" t="str">
        <f ca="1">IFERROR(__xludf.DUMMYFUNCTION("""COMPUTED_VALUE"""),"NO")</f>
        <v>NO</v>
      </c>
      <c r="E33" s="6" t="str">
        <f ca="1">IFERROR(__xludf.DUMMYFUNCTION("""COMPUTED_VALUE"""),"Alcorcón")</f>
        <v>Alcorcón</v>
      </c>
      <c r="F33" s="16">
        <f ca="1">IFERROR(__xludf.DUMMYFUNCTION("""COMPUTED_VALUE"""),46038)</f>
        <v>46038</v>
      </c>
      <c r="G33" s="16">
        <f ca="1">IFERROR(__xludf.DUMMYFUNCTION("""COMPUTED_VALUE"""),45992)</f>
        <v>45992</v>
      </c>
      <c r="H33" s="6" t="str">
        <f ca="1">IFERROR(__xludf.DUMMYFUNCTION("""COMPUTED_VALUE"""),"Alcorcón")</f>
        <v>Alcorcón</v>
      </c>
      <c r="I33" s="6" t="str">
        <f ca="1">IFERROR(__xludf.DUMMYFUNCTION("""COMPUTED_VALUE"""),"C202512183458643917")</f>
        <v>C202512183458643917</v>
      </c>
      <c r="J33" s="6" t="str">
        <f ca="1">IFERROR(__xludf.DUMMYFUNCTION("""COMPUTED_VALUE"""),"VANESA SACRISTAN  HERNÁNDEZ")</f>
        <v>VANESA SACRISTAN  HERNÁNDEZ</v>
      </c>
      <c r="K33" s="15">
        <f ca="1">IFERROR(__xludf.DUMMYFUNCTION("""COMPUTED_VALUE"""),1)</f>
        <v>1</v>
      </c>
      <c r="L33" s="21">
        <f ca="1">IFERROR(__xludf.DUMMYFUNCTION("""COMPUTED_VALUE"""),2180.91)</f>
        <v>2180.91</v>
      </c>
      <c r="M33" s="6" t="str">
        <f ca="1">IFERROR(__xludf.DUMMYFUNCTION("""COMPUTED_VALUE"""),"03 ORL")</f>
        <v>03 ORL</v>
      </c>
      <c r="N33" s="6" t="str">
        <f ca="1">IFERROR(__xludf.DUMMYFUNCTION("""COMPUTED_VALUE"""),"06 ORL")</f>
        <v>06 ORL</v>
      </c>
      <c r="O33" s="6" t="str">
        <f ca="1">IFERROR(__xludf.DUMMYFUNCTION("""COMPUTED_VALUE"""),"Dra, Laura del Toro Gil")</f>
        <v>Dra, Laura del Toro Gil</v>
      </c>
      <c r="P33" s="6" t="str">
        <f ca="1">IFERROR(__xludf.DUMMYFUNCTION("""COMPUTED_VALUE"""),"Maika Blázquez (Madrid)")</f>
        <v>Maika Blázquez (Madrid)</v>
      </c>
    </row>
    <row r="34" spans="2:16">
      <c r="B34" s="33">
        <f ca="1">IFERROR(__xludf.DUMMYFUNCTION("""COMPUTED_VALUE"""),2026)</f>
        <v>2026</v>
      </c>
      <c r="C34" s="15">
        <f ca="1">IFERROR(__xludf.DUMMYFUNCTION("""COMPUTED_VALUE"""),1)</f>
        <v>1</v>
      </c>
      <c r="D34" s="6" t="str">
        <f ca="1">IFERROR(__xludf.DUMMYFUNCTION("""COMPUTED_VALUE"""),"NO")</f>
        <v>NO</v>
      </c>
      <c r="E34" s="6" t="str">
        <f ca="1">IFERROR(__xludf.DUMMYFUNCTION("""COMPUTED_VALUE"""),"Madrid- La Oca")</f>
        <v>Madrid- La Oca</v>
      </c>
      <c r="F34" s="16">
        <f ca="1">IFERROR(__xludf.DUMMYFUNCTION("""COMPUTED_VALUE"""),46038)</f>
        <v>46038</v>
      </c>
      <c r="G34" s="16">
        <f ca="1">IFERROR(__xludf.DUMMYFUNCTION("""COMPUTED_VALUE"""),45986)</f>
        <v>45986</v>
      </c>
      <c r="H34" s="6" t="str">
        <f ca="1">IFERROR(__xludf.DUMMYFUNCTION("""COMPUTED_VALUE"""),"La Oca")</f>
        <v>La Oca</v>
      </c>
      <c r="I34" s="6" t="str">
        <f ca="1">IFERROR(__xludf.DUMMYFUNCTION("""COMPUTED_VALUE"""),"C202511251148389618")</f>
        <v>C202511251148389618</v>
      </c>
      <c r="J34" s="6" t="str">
        <f ca="1">IFERROR(__xludf.DUMMYFUNCTION("""COMPUTED_VALUE"""),"VISITACION RODRIGUEZ PEÑARANDA")</f>
        <v>VISITACION RODRIGUEZ PEÑARANDA</v>
      </c>
      <c r="K34" s="15">
        <f ca="1">IFERROR(__xludf.DUMMYFUNCTION("""COMPUTED_VALUE"""),2)</f>
        <v>2</v>
      </c>
      <c r="L34" s="21">
        <f ca="1">IFERROR(__xludf.DUMMYFUNCTION("""COMPUTED_VALUE"""),2718.18)</f>
        <v>2718.18</v>
      </c>
      <c r="M34" s="6" t="str">
        <f ca="1">IFERROR(__xludf.DUMMYFUNCTION("""COMPUTED_VALUE"""),"03 ORL")</f>
        <v>03 ORL</v>
      </c>
      <c r="N34" s="6" t="str">
        <f ca="1">IFERROR(__xludf.DUMMYFUNCTION("""COMPUTED_VALUE"""),"06 ORL")</f>
        <v>06 ORL</v>
      </c>
      <c r="O34" s="6" t="str">
        <f ca="1">IFERROR(__xludf.DUMMYFUNCTION("""COMPUTED_VALUE"""),"Dr, Félix Rodríguez Paz")</f>
        <v>Dr, Félix Rodríguez Paz</v>
      </c>
      <c r="P34" s="6" t="str">
        <f ca="1">IFERROR(__xludf.DUMMYFUNCTION("""COMPUTED_VALUE"""),"Maika Blázquez (Madrid)")</f>
        <v>Maika Blázquez (Madrid)</v>
      </c>
    </row>
    <row r="35" spans="2:16">
      <c r="B35" s="33">
        <f ca="1">IFERROR(__xludf.DUMMYFUNCTION("""COMPUTED_VALUE"""),2026)</f>
        <v>2026</v>
      </c>
      <c r="C35" s="15">
        <f ca="1">IFERROR(__xludf.DUMMYFUNCTION("""COMPUTED_VALUE"""),1)</f>
        <v>1</v>
      </c>
      <c r="D35" s="6" t="str">
        <f ca="1">IFERROR(__xludf.DUMMYFUNCTION("""COMPUTED_VALUE"""),"NO")</f>
        <v>NO</v>
      </c>
      <c r="E35" s="6" t="str">
        <f ca="1">IFERROR(__xludf.DUMMYFUNCTION("""COMPUTED_VALUE"""),"Murcia")</f>
        <v>Murcia</v>
      </c>
      <c r="F35" s="16">
        <f ca="1">IFERROR(__xludf.DUMMYFUNCTION("""COMPUTED_VALUE"""),46038)</f>
        <v>46038</v>
      </c>
      <c r="G35" s="16">
        <f ca="1">IFERROR(__xludf.DUMMYFUNCTION("""COMPUTED_VALUE"""),45981)</f>
        <v>45981</v>
      </c>
      <c r="H35" s="6" t="str">
        <f ca="1">IFERROR(__xludf.DUMMYFUNCTION("""COMPUTED_VALUE"""),"Murcia")</f>
        <v>Murcia</v>
      </c>
      <c r="I35" s="6" t="str">
        <f ca="1">IFERROR(__xludf.DUMMYFUNCTION("""COMPUTED_VALUE"""),"C202511201717376391")</f>
        <v>C202511201717376391</v>
      </c>
      <c r="J35" s="6" t="str">
        <f ca="1">IFERROR(__xludf.DUMMYFUNCTION("""COMPUTED_VALUE"""),"ESPERANZA ÁLVAREZ MUÑOZ")</f>
        <v>ESPERANZA ÁLVAREZ MUÑOZ</v>
      </c>
      <c r="K35" s="15">
        <f ca="1">IFERROR(__xludf.DUMMYFUNCTION("""COMPUTED_VALUE"""),1)</f>
        <v>1</v>
      </c>
      <c r="L35" s="21">
        <f ca="1">IFERROR(__xludf.DUMMYFUNCTION("""COMPUTED_VALUE"""),1631.73)</f>
        <v>1631.73</v>
      </c>
      <c r="M35" s="6" t="str">
        <f ca="1">IFERROR(__xludf.DUMMYFUNCTION("""COMPUTED_VALUE"""),"03 ORL")</f>
        <v>03 ORL</v>
      </c>
      <c r="N35" s="6" t="str">
        <f ca="1">IFERROR(__xludf.DUMMYFUNCTION("""COMPUTED_VALUE"""),"06 ORL")</f>
        <v>06 ORL</v>
      </c>
      <c r="O35" s="6" t="str">
        <f ca="1">IFERROR(__xludf.DUMMYFUNCTION("""COMPUTED_VALUE"""),"Dr, Jesús Miguel Iniesta Turpín")</f>
        <v>Dr, Jesús Miguel Iniesta Turpín</v>
      </c>
      <c r="P35" s="6" t="str">
        <f ca="1">IFERROR(__xludf.DUMMYFUNCTION("""COMPUTED_VALUE"""),"Iván Sánchez (Levante y Albacete)")</f>
        <v>Iván Sánchez (Levante y Albacete)</v>
      </c>
    </row>
    <row r="36" spans="2:16">
      <c r="B36" s="33">
        <f ca="1">IFERROR(__xludf.DUMMYFUNCTION("""COMPUTED_VALUE"""),2026)</f>
        <v>2026</v>
      </c>
      <c r="C36" s="15">
        <f ca="1">IFERROR(__xludf.DUMMYFUNCTION("""COMPUTED_VALUE"""),1)</f>
        <v>1</v>
      </c>
      <c r="D36" s="6" t="str">
        <f ca="1">IFERROR(__xludf.DUMMYFUNCTION("""COMPUTED_VALUE"""),"NO")</f>
        <v>NO</v>
      </c>
      <c r="E36" s="6" t="str">
        <f ca="1">IFERROR(__xludf.DUMMYFUNCTION("""COMPUTED_VALUE"""),"Logroño")</f>
        <v>Logroño</v>
      </c>
      <c r="F36" s="16">
        <f ca="1">IFERROR(__xludf.DUMMYFUNCTION("""COMPUTED_VALUE"""),46038)</f>
        <v>46038</v>
      </c>
      <c r="G36" s="16">
        <f ca="1">IFERROR(__xludf.DUMMYFUNCTION("""COMPUTED_VALUE"""),45929)</f>
        <v>45929</v>
      </c>
      <c r="H36" s="6" t="str">
        <f ca="1">IFERROR(__xludf.DUMMYFUNCTION("""COMPUTED_VALUE"""),"Logroño")</f>
        <v>Logroño</v>
      </c>
      <c r="I36" s="6" t="str">
        <f ca="1">IFERROR(__xludf.DUMMYFUNCTION("""COMPUTED_VALUE"""),"C202510110530975")</f>
        <v>C202510110530975</v>
      </c>
      <c r="J36" s="6" t="str">
        <f ca="1">IFERROR(__xludf.DUMMYFUNCTION("""COMPUTED_VALUE"""),"SEVERIANA MARIN GOMEZ")</f>
        <v>SEVERIANA MARIN GOMEZ</v>
      </c>
      <c r="K36" s="15">
        <f ca="1">IFERROR(__xludf.DUMMYFUNCTION("""COMPUTED_VALUE"""),2)</f>
        <v>2</v>
      </c>
      <c r="L36" s="21">
        <f ca="1">IFERROR(__xludf.DUMMYFUNCTION("""COMPUTED_VALUE"""),3604.55)</f>
        <v>3604.55</v>
      </c>
      <c r="M36" s="6" t="str">
        <f ca="1">IFERROR(__xludf.DUMMYFUNCTION("""COMPUTED_VALUE"""),"03 ORL")</f>
        <v>03 ORL</v>
      </c>
      <c r="N36" s="6" t="str">
        <f ca="1">IFERROR(__xludf.DUMMYFUNCTION("""COMPUTED_VALUE"""),"06 ORL")</f>
        <v>06 ORL</v>
      </c>
      <c r="O36" s="6" t="str">
        <f ca="1">IFERROR(__xludf.DUMMYFUNCTION("""COMPUTED_VALUE"""),"Dra, Cristina Ibañez Muñoz")</f>
        <v>Dra, Cristina Ibañez Muñoz</v>
      </c>
      <c r="P36" s="6" t="str">
        <f ca="1">IFERROR(__xludf.DUMMYFUNCTION("""COMPUTED_VALUE"""),"Lisandro Russian (Madrid, Cáceres, Toledo, Talavera y Logroño)")</f>
        <v>Lisandro Russian (Madrid, Cáceres, Toledo, Talavera y Logroño)</v>
      </c>
    </row>
    <row r="37" spans="2:16">
      <c r="B37" s="33">
        <f ca="1">IFERROR(__xludf.DUMMYFUNCTION("""COMPUTED_VALUE"""),2026)</f>
        <v>2026</v>
      </c>
      <c r="C37" s="15">
        <f ca="1">IFERROR(__xludf.DUMMYFUNCTION("""COMPUTED_VALUE"""),1)</f>
        <v>1</v>
      </c>
      <c r="D37" s="6" t="str">
        <f ca="1">IFERROR(__xludf.DUMMYFUNCTION("""COMPUTED_VALUE"""),"NO")</f>
        <v>NO</v>
      </c>
      <c r="E37" s="6" t="str">
        <f ca="1">IFERROR(__xludf.DUMMYFUNCTION("""COMPUTED_VALUE"""),"Alcorcón")</f>
        <v>Alcorcón</v>
      </c>
      <c r="F37" s="16">
        <f ca="1">IFERROR(__xludf.DUMMYFUNCTION("""COMPUTED_VALUE"""),46038)</f>
        <v>46038</v>
      </c>
      <c r="G37" s="16">
        <f ca="1">IFERROR(__xludf.DUMMYFUNCTION("""COMPUTED_VALUE"""),45979)</f>
        <v>45979</v>
      </c>
      <c r="H37" s="6" t="str">
        <f ca="1">IFERROR(__xludf.DUMMYFUNCTION("""COMPUTED_VALUE"""),"Alcorcón")</f>
        <v>Alcorcón</v>
      </c>
      <c r="I37" s="6" t="str">
        <f ca="1">IFERROR(__xludf.DUMMYFUNCTION("""COMPUTED_VALUE"""),"C202511181813490985")</f>
        <v>C202511181813490985</v>
      </c>
      <c r="J37" s="6" t="str">
        <f ca="1">IFERROR(__xludf.DUMMYFUNCTION("""COMPUTED_VALUE"""),"SUSANA PERUCHO  MARTINEZ")</f>
        <v>SUSANA PERUCHO  MARTINEZ</v>
      </c>
      <c r="K37" s="15">
        <f ca="1">IFERROR(__xludf.DUMMYFUNCTION("""COMPUTED_VALUE"""),2)</f>
        <v>2</v>
      </c>
      <c r="L37" s="21">
        <f ca="1">IFERROR(__xludf.DUMMYFUNCTION("""COMPUTED_VALUE"""),4136.36)</f>
        <v>4136.3599999999997</v>
      </c>
      <c r="M37" s="6" t="str">
        <f ca="1">IFERROR(__xludf.DUMMYFUNCTION("""COMPUTED_VALUE"""),"03 ORL")</f>
        <v>03 ORL</v>
      </c>
      <c r="N37" s="6" t="str">
        <f ca="1">IFERROR(__xludf.DUMMYFUNCTION("""COMPUTED_VALUE"""),"06 ORL")</f>
        <v>06 ORL</v>
      </c>
      <c r="O37" s="6" t="str">
        <f ca="1">IFERROR(__xludf.DUMMYFUNCTION("""COMPUTED_VALUE"""),"Dra, María del Mar Martínez Ruiz-coello")</f>
        <v>Dra, María del Mar Martínez Ruiz-coello</v>
      </c>
      <c r="P37" s="6" t="str">
        <f ca="1">IFERROR(__xludf.DUMMYFUNCTION("""COMPUTED_VALUE"""),"Maika Blázquez (Madrid)")</f>
        <v>Maika Blázquez (Madrid)</v>
      </c>
    </row>
    <row r="38" spans="2:16">
      <c r="B38" s="33">
        <f ca="1">IFERROR(__xludf.DUMMYFUNCTION("""COMPUTED_VALUE"""),2026)</f>
        <v>2026</v>
      </c>
      <c r="C38" s="15">
        <f ca="1">IFERROR(__xludf.DUMMYFUNCTION("""COMPUTED_VALUE"""),1)</f>
        <v>1</v>
      </c>
      <c r="D38" s="6" t="str">
        <f ca="1">IFERROR(__xludf.DUMMYFUNCTION("""COMPUTED_VALUE"""),"NO")</f>
        <v>NO</v>
      </c>
      <c r="E38" s="6" t="str">
        <f ca="1">IFERROR(__xludf.DUMMYFUNCTION("""COMPUTED_VALUE"""),"Sevilla- Montoto")</f>
        <v>Sevilla- Montoto</v>
      </c>
      <c r="F38" s="16">
        <f ca="1">IFERROR(__xludf.DUMMYFUNCTION("""COMPUTED_VALUE"""),46038)</f>
        <v>46038</v>
      </c>
      <c r="G38" s="16">
        <f ca="1">IFERROR(__xludf.DUMMYFUNCTION("""COMPUTED_VALUE"""),46010)</f>
        <v>46010</v>
      </c>
      <c r="H38" s="6" t="str">
        <f ca="1">IFERROR(__xludf.DUMMYFUNCTION("""COMPUTED_VALUE"""),"Montoto")</f>
        <v>Montoto</v>
      </c>
      <c r="I38" s="6" t="str">
        <f ca="1">IFERROR(__xludf.DUMMYFUNCTION("""COMPUTED_VALUE"""),"C202512191110453673")</f>
        <v>C202512191110453673</v>
      </c>
      <c r="J38" s="6" t="str">
        <f ca="1">IFERROR(__xludf.DUMMYFUNCTION("""COMPUTED_VALUE"""),"JOSE ANTONIO SANCHEZ TORRECILLA")</f>
        <v>JOSE ANTONIO SANCHEZ TORRECILLA</v>
      </c>
      <c r="K38" s="15">
        <f ca="1">IFERROR(__xludf.DUMMYFUNCTION("""COMPUTED_VALUE"""),2)</f>
        <v>2</v>
      </c>
      <c r="L38" s="21">
        <f ca="1">IFERROR(__xludf.DUMMYFUNCTION("""COMPUTED_VALUE"""),2718.19)</f>
        <v>2718.19</v>
      </c>
      <c r="M38" s="6" t="str">
        <f ca="1">IFERROR(__xludf.DUMMYFUNCTION("""COMPUTED_VALUE"""),"03 ORL")</f>
        <v>03 ORL</v>
      </c>
      <c r="N38" s="6" t="str">
        <f ca="1">IFERROR(__xludf.DUMMYFUNCTION("""COMPUTED_VALUE"""),"06 ORL")</f>
        <v>06 ORL</v>
      </c>
      <c r="O38" s="6" t="str">
        <f ca="1">IFERROR(__xludf.DUMMYFUNCTION("""COMPUTED_VALUE"""),"No recuerda ORL")</f>
        <v>No recuerda ORL</v>
      </c>
      <c r="P38" s="6" t="str">
        <f ca="1">IFERROR(__xludf.DUMMYFUNCTION("""COMPUTED_VALUE"""),"Luis Alberto Rodríguez (Andalucía y Badajoz)")</f>
        <v>Luis Alberto Rodríguez (Andalucía y Badajoz)</v>
      </c>
    </row>
    <row r="39" spans="2:16">
      <c r="B39" s="33">
        <f ca="1">IFERROR(__xludf.DUMMYFUNCTION("""COMPUTED_VALUE"""),2026)</f>
        <v>2026</v>
      </c>
      <c r="C39" s="15">
        <f ca="1">IFERROR(__xludf.DUMMYFUNCTION("""COMPUTED_VALUE"""),1)</f>
        <v>1</v>
      </c>
      <c r="D39" s="6" t="str">
        <f ca="1">IFERROR(__xludf.DUMMYFUNCTION("""COMPUTED_VALUE"""),"NO")</f>
        <v>NO</v>
      </c>
      <c r="E39" s="6" t="str">
        <f ca="1">IFERROR(__xludf.DUMMYFUNCTION("""COMPUTED_VALUE"""),"Madrid- Juan Bravo")</f>
        <v>Madrid- Juan Bravo</v>
      </c>
      <c r="F39" s="16">
        <f ca="1">IFERROR(__xludf.DUMMYFUNCTION("""COMPUTED_VALUE"""),46041)</f>
        <v>46041</v>
      </c>
      <c r="G39" s="16">
        <f ca="1">IFERROR(__xludf.DUMMYFUNCTION("""COMPUTED_VALUE"""),45814)</f>
        <v>45814</v>
      </c>
      <c r="H39" s="6" t="str">
        <f ca="1">IFERROR(__xludf.DUMMYFUNCTION("""COMPUTED_VALUE"""),"Juan Bravo")</f>
        <v>Juan Bravo</v>
      </c>
      <c r="I39" s="6" t="str">
        <f ca="1">IFERROR(__xludf.DUMMYFUNCTION("""COMPUTED_VALUE"""),"C202561217436304")</f>
        <v>C202561217436304</v>
      </c>
      <c r="J39" s="6" t="str">
        <f ca="1">IFERROR(__xludf.DUMMYFUNCTION("""COMPUTED_VALUE"""),"CATALINA RAMOS MARIN")</f>
        <v>CATALINA RAMOS MARIN</v>
      </c>
      <c r="K39" s="15">
        <f ca="1">IFERROR(__xludf.DUMMYFUNCTION("""COMPUTED_VALUE"""),1)</f>
        <v>1</v>
      </c>
      <c r="L39" s="21">
        <f ca="1">IFERROR(__xludf.DUMMYFUNCTION("""COMPUTED_VALUE"""),1631.82)</f>
        <v>1631.82</v>
      </c>
      <c r="M39" s="6" t="str">
        <f ca="1">IFERROR(__xludf.DUMMYFUNCTION("""COMPUTED_VALUE"""),"03 ORL")</f>
        <v>03 ORL</v>
      </c>
      <c r="N39" s="6" t="str">
        <f ca="1">IFERROR(__xludf.DUMMYFUNCTION("""COMPUTED_VALUE"""),"06 ORL")</f>
        <v>06 ORL</v>
      </c>
      <c r="O39" s="6" t="str">
        <f ca="1">IFERROR(__xludf.DUMMYFUNCTION("""COMPUTED_VALUE"""),"Dr, Carlos Barajas del Rosal")</f>
        <v>Dr, Carlos Barajas del Rosal</v>
      </c>
      <c r="P39" s="6" t="str">
        <f ca="1">IFERROR(__xludf.DUMMYFUNCTION("""COMPUTED_VALUE"""),"Lisandro Russian (Madrid, Cáceres, Toledo, Talavera y Logroño)")</f>
        <v>Lisandro Russian (Madrid, Cáceres, Toledo, Talavera y Logroño)</v>
      </c>
    </row>
    <row r="40" spans="2:16">
      <c r="B40" s="33">
        <f ca="1">IFERROR(__xludf.DUMMYFUNCTION("""COMPUTED_VALUE"""),2026)</f>
        <v>2026</v>
      </c>
      <c r="C40" s="15">
        <f ca="1">IFERROR(__xludf.DUMMYFUNCTION("""COMPUTED_VALUE"""),1)</f>
        <v>1</v>
      </c>
      <c r="D40" s="6" t="str">
        <f ca="1">IFERROR(__xludf.DUMMYFUNCTION("""COMPUTED_VALUE"""),"NO")</f>
        <v>NO</v>
      </c>
      <c r="E40" s="6" t="str">
        <f ca="1">IFERROR(__xludf.DUMMYFUNCTION("""COMPUTED_VALUE"""),"Cáceres")</f>
        <v>Cáceres</v>
      </c>
      <c r="F40" s="16">
        <f ca="1">IFERROR(__xludf.DUMMYFUNCTION("""COMPUTED_VALUE"""),46041)</f>
        <v>46041</v>
      </c>
      <c r="G40" s="16">
        <f ca="1">IFERROR(__xludf.DUMMYFUNCTION("""COMPUTED_VALUE"""),46006)</f>
        <v>46006</v>
      </c>
      <c r="H40" s="6" t="str">
        <f ca="1">IFERROR(__xludf.DUMMYFUNCTION("""COMPUTED_VALUE"""),"Cáceres")</f>
        <v>Cáceres</v>
      </c>
      <c r="I40" s="6" t="str">
        <f ca="1">IFERROR(__xludf.DUMMYFUNCTION("""COMPUTED_VALUE"""),"C202512151041598226")</f>
        <v>C202512151041598226</v>
      </c>
      <c r="J40" s="6" t="str">
        <f ca="1">IFERROR(__xludf.DUMMYFUNCTION("""COMPUTED_VALUE"""),"CLAUDIA MORENO CEBRIAN")</f>
        <v>CLAUDIA MORENO CEBRIAN</v>
      </c>
      <c r="K40" s="15">
        <f ca="1">IFERROR(__xludf.DUMMYFUNCTION("""COMPUTED_VALUE"""),2)</f>
        <v>2</v>
      </c>
      <c r="L40" s="21">
        <f ca="1">IFERROR(__xludf.DUMMYFUNCTION("""COMPUTED_VALUE"""),4500)</f>
        <v>4500</v>
      </c>
      <c r="M40" s="6" t="str">
        <f ca="1">IFERROR(__xludf.DUMMYFUNCTION("""COMPUTED_VALUE"""),"03 ORL")</f>
        <v>03 ORL</v>
      </c>
      <c r="N40" s="6" t="str">
        <f ca="1">IFERROR(__xludf.DUMMYFUNCTION("""COMPUTED_VALUE"""),"06 ORL")</f>
        <v>06 ORL</v>
      </c>
      <c r="O40" s="6" t="str">
        <f ca="1">IFERROR(__xludf.DUMMYFUNCTION("""COMPUTED_VALUE"""),"Dr, Javier García Gómez")</f>
        <v>Dr, Javier García Gómez</v>
      </c>
      <c r="P40" s="6" t="str">
        <f ca="1">IFERROR(__xludf.DUMMYFUNCTION("""COMPUTED_VALUE"""),"Lisandro Russian (Madrid, Cáceres, Toledo, Talavera y Logroño)")</f>
        <v>Lisandro Russian (Madrid, Cáceres, Toledo, Talavera y Logroño)</v>
      </c>
    </row>
    <row r="41" spans="2:16">
      <c r="B41" s="33">
        <f ca="1">IFERROR(__xludf.DUMMYFUNCTION("""COMPUTED_VALUE"""),2026)</f>
        <v>2026</v>
      </c>
      <c r="C41" s="15">
        <f ca="1">IFERROR(__xludf.DUMMYFUNCTION("""COMPUTED_VALUE"""),1)</f>
        <v>1</v>
      </c>
      <c r="D41" s="6" t="str">
        <f ca="1">IFERROR(__xludf.DUMMYFUNCTION("""COMPUTED_VALUE"""),"NO")</f>
        <v>NO</v>
      </c>
      <c r="E41" s="6" t="str">
        <f ca="1">IFERROR(__xludf.DUMMYFUNCTION("""COMPUTED_VALUE"""),"Barcelona- Córcega")</f>
        <v>Barcelona- Córcega</v>
      </c>
      <c r="F41" s="16">
        <f ca="1">IFERROR(__xludf.DUMMYFUNCTION("""COMPUTED_VALUE"""),46041)</f>
        <v>46041</v>
      </c>
      <c r="G41" s="16">
        <f ca="1">IFERROR(__xludf.DUMMYFUNCTION("""COMPUTED_VALUE"""),45901)</f>
        <v>45901</v>
      </c>
      <c r="H41" s="6" t="str">
        <f ca="1">IFERROR(__xludf.DUMMYFUNCTION("""COMPUTED_VALUE"""),"Córcega")</f>
        <v>Córcega</v>
      </c>
      <c r="I41" s="6" t="str">
        <f ca="1">IFERROR(__xludf.DUMMYFUNCTION("""COMPUTED_VALUE"""),"C202594115953981")</f>
        <v>C202594115953981</v>
      </c>
      <c r="J41" s="6" t="str">
        <f ca="1">IFERROR(__xludf.DUMMYFUNCTION("""COMPUTED_VALUE"""),"FRANCISCA HERNANDEZ LORENTE")</f>
        <v>FRANCISCA HERNANDEZ LORENTE</v>
      </c>
      <c r="K41" s="15">
        <f ca="1">IFERROR(__xludf.DUMMYFUNCTION("""COMPUTED_VALUE"""),1)</f>
        <v>1</v>
      </c>
      <c r="L41" s="21">
        <f ca="1">IFERROR(__xludf.DUMMYFUNCTION("""COMPUTED_VALUE"""),2268.14)</f>
        <v>2268.14</v>
      </c>
      <c r="M41" s="6" t="str">
        <f ca="1">IFERROR(__xludf.DUMMYFUNCTION("""COMPUTED_VALUE"""),"03 ORL")</f>
        <v>03 ORL</v>
      </c>
      <c r="N41" s="6" t="str">
        <f ca="1">IFERROR(__xludf.DUMMYFUNCTION("""COMPUTED_VALUE"""),"06 ORL")</f>
        <v>06 ORL</v>
      </c>
      <c r="O41" s="6" t="str">
        <f ca="1">IFERROR(__xludf.DUMMYFUNCTION("""COMPUTED_VALUE"""),"Dr, Jesus-Maria Grasa Pérez")</f>
        <v>Dr, Jesus-Maria Grasa Pérez</v>
      </c>
      <c r="P41" s="6" t="str">
        <f ca="1">IFERROR(__xludf.DUMMYFUNCTION("""COMPUTED_VALUE"""),"Mercè Cabrera (Cataluña y Baleares)")</f>
        <v>Mercè Cabrera (Cataluña y Baleares)</v>
      </c>
    </row>
    <row r="42" spans="2:16">
      <c r="B42" s="33">
        <f ca="1">IFERROR(__xludf.DUMMYFUNCTION("""COMPUTED_VALUE"""),2026)</f>
        <v>2026</v>
      </c>
      <c r="C42" s="15">
        <f ca="1">IFERROR(__xludf.DUMMYFUNCTION("""COMPUTED_VALUE"""),1)</f>
        <v>1</v>
      </c>
      <c r="D42" s="6" t="str">
        <f ca="1">IFERROR(__xludf.DUMMYFUNCTION("""COMPUTED_VALUE"""),"NO")</f>
        <v>NO</v>
      </c>
      <c r="E42" s="6" t="str">
        <f ca="1">IFERROR(__xludf.DUMMYFUNCTION("""COMPUTED_VALUE"""),"Orihuela")</f>
        <v>Orihuela</v>
      </c>
      <c r="F42" s="16">
        <f ca="1">IFERROR(__xludf.DUMMYFUNCTION("""COMPUTED_VALUE"""),46041)</f>
        <v>46041</v>
      </c>
      <c r="G42" s="16">
        <f ca="1">IFERROR(__xludf.DUMMYFUNCTION("""COMPUTED_VALUE"""),46001)</f>
        <v>46001</v>
      </c>
      <c r="H42" s="6" t="str">
        <f ca="1">IFERROR(__xludf.DUMMYFUNCTION("""COMPUTED_VALUE"""),"La Zenia")</f>
        <v>La Zenia</v>
      </c>
      <c r="I42" s="6" t="str">
        <f ca="1">IFERROR(__xludf.DUMMYFUNCTION("""COMPUTED_VALUE"""),"C202512101420127206")</f>
        <v>C202512101420127206</v>
      </c>
      <c r="J42" s="6" t="str">
        <f ca="1">IFERROR(__xludf.DUMMYFUNCTION("""COMPUTED_VALUE"""),"CHRISTOPHER HUGH IBBETSON")</f>
        <v>CHRISTOPHER HUGH IBBETSON</v>
      </c>
      <c r="K42" s="15">
        <f ca="1">IFERROR(__xludf.DUMMYFUNCTION("""COMPUTED_VALUE"""),2)</f>
        <v>2</v>
      </c>
      <c r="L42" s="21">
        <f ca="1">IFERROR(__xludf.DUMMYFUNCTION("""COMPUTED_VALUE"""),3631.82)</f>
        <v>3631.82</v>
      </c>
      <c r="M42" s="6" t="str">
        <f ca="1">IFERROR(__xludf.DUMMYFUNCTION("""COMPUTED_VALUE"""),"03 ORL")</f>
        <v>03 ORL</v>
      </c>
      <c r="N42" s="6" t="str">
        <f ca="1">IFERROR(__xludf.DUMMYFUNCTION("""COMPUTED_VALUE"""),"06 ORL")</f>
        <v>06 ORL</v>
      </c>
      <c r="O42" s="6" t="str">
        <f ca="1">IFERROR(__xludf.DUMMYFUNCTION("""COMPUTED_VALUE"""),"Dra, Oreana Carolina Camacaro González")</f>
        <v>Dra, Oreana Carolina Camacaro González</v>
      </c>
      <c r="P42" s="6" t="str">
        <f ca="1">IFERROR(__xludf.DUMMYFUNCTION("""COMPUTED_VALUE"""),"Iván Sánchez (Levante y Albacete)")</f>
        <v>Iván Sánchez (Levante y Albacete)</v>
      </c>
    </row>
    <row r="43" spans="2:16">
      <c r="B43" s="33">
        <f ca="1">IFERROR(__xludf.DUMMYFUNCTION("""COMPUTED_VALUE"""),2026)</f>
        <v>2026</v>
      </c>
      <c r="C43" s="15">
        <f ca="1">IFERROR(__xludf.DUMMYFUNCTION("""COMPUTED_VALUE"""),1)</f>
        <v>1</v>
      </c>
      <c r="D43" s="6" t="str">
        <f ca="1">IFERROR(__xludf.DUMMYFUNCTION("""COMPUTED_VALUE"""),"NO")</f>
        <v>NO</v>
      </c>
      <c r="E43" s="6" t="str">
        <f ca="1">IFERROR(__xludf.DUMMYFUNCTION("""COMPUTED_VALUE"""),"Murcia")</f>
        <v>Murcia</v>
      </c>
      <c r="F43" s="16">
        <f ca="1">IFERROR(__xludf.DUMMYFUNCTION("""COMPUTED_VALUE"""),46041)</f>
        <v>46041</v>
      </c>
      <c r="G43" s="16">
        <f ca="1">IFERROR(__xludf.DUMMYFUNCTION("""COMPUTED_VALUE"""),44960)</f>
        <v>44960</v>
      </c>
      <c r="H43" s="6" t="str">
        <f ca="1">IFERROR(__xludf.DUMMYFUNCTION("""COMPUTED_VALUE"""),"Murcia")</f>
        <v>Murcia</v>
      </c>
      <c r="I43" s="6" t="str">
        <f ca="1">IFERROR(__xludf.DUMMYFUNCTION("""COMPUTED_VALUE"""),"MUR-1258")</f>
        <v>MUR-1258</v>
      </c>
      <c r="J43" s="6" t="str">
        <f ca="1">IFERROR(__xludf.DUMMYFUNCTION("""COMPUTED_VALUE"""),"JULIA LOPEZ LOPEZ")</f>
        <v>JULIA LOPEZ LOPEZ</v>
      </c>
      <c r="K43" s="15">
        <f ca="1">IFERROR(__xludf.DUMMYFUNCTION("""COMPUTED_VALUE"""),2)</f>
        <v>2</v>
      </c>
      <c r="L43" s="21">
        <f ca="1">IFERROR(__xludf.DUMMYFUNCTION("""COMPUTED_VALUE"""),2718.18)</f>
        <v>2718.18</v>
      </c>
      <c r="M43" s="6" t="str">
        <f ca="1">IFERROR(__xludf.DUMMYFUNCTION("""COMPUTED_VALUE"""),"03 ORL")</f>
        <v>03 ORL</v>
      </c>
      <c r="N43" s="6" t="str">
        <f ca="1">IFERROR(__xludf.DUMMYFUNCTION("""COMPUTED_VALUE"""),"06 ORL")</f>
        <v>06 ORL</v>
      </c>
      <c r="O43" s="6" t="str">
        <f ca="1">IFERROR(__xludf.DUMMYFUNCTION("""COMPUTED_VALUE"""),"Dra, María Agustina Sevilla García")</f>
        <v>Dra, María Agustina Sevilla García</v>
      </c>
      <c r="P43" s="6" t="str">
        <f ca="1">IFERROR(__xludf.DUMMYFUNCTION("""COMPUTED_VALUE"""),"Iván Sánchez (Levante y Albacete)")</f>
        <v>Iván Sánchez (Levante y Albacete)</v>
      </c>
    </row>
    <row r="44" spans="2:16">
      <c r="B44" s="33">
        <f ca="1">IFERROR(__xludf.DUMMYFUNCTION("""COMPUTED_VALUE"""),2026)</f>
        <v>2026</v>
      </c>
      <c r="C44" s="15">
        <f ca="1">IFERROR(__xludf.DUMMYFUNCTION("""COMPUTED_VALUE"""),1)</f>
        <v>1</v>
      </c>
      <c r="D44" s="6" t="str">
        <f ca="1">IFERROR(__xludf.DUMMYFUNCTION("""COMPUTED_VALUE"""),"NO")</f>
        <v>NO</v>
      </c>
      <c r="E44" s="6" t="str">
        <f ca="1">IFERROR(__xludf.DUMMYFUNCTION("""COMPUTED_VALUE"""),"Madrid- Moratalaz")</f>
        <v>Madrid- Moratalaz</v>
      </c>
      <c r="F44" s="16">
        <f ca="1">IFERROR(__xludf.DUMMYFUNCTION("""COMPUTED_VALUE"""),46041)</f>
        <v>46041</v>
      </c>
      <c r="G44" s="16">
        <f ca="1">IFERROR(__xludf.DUMMYFUNCTION("""COMPUTED_VALUE"""),46007)</f>
        <v>46007</v>
      </c>
      <c r="H44" s="6" t="str">
        <f ca="1">IFERROR(__xludf.DUMMYFUNCTION("""COMPUTED_VALUE"""),"Moratalaz")</f>
        <v>Moratalaz</v>
      </c>
      <c r="I44" s="6" t="str">
        <f ca="1">IFERROR(__xludf.DUMMYFUNCTION("""COMPUTED_VALUE"""),"C202512161155416397")</f>
        <v>C202512161155416397</v>
      </c>
      <c r="J44" s="6" t="str">
        <f ca="1">IFERROR(__xludf.DUMMYFUNCTION("""COMPUTED_VALUE"""),"MARIA DE LOS ANGELES CABAL NUÑEZ DE HOYO")</f>
        <v>MARIA DE LOS ANGELES CABAL NUÑEZ DE HOYO</v>
      </c>
      <c r="K44" s="15">
        <f ca="1">IFERROR(__xludf.DUMMYFUNCTION("""COMPUTED_VALUE"""),2)</f>
        <v>2</v>
      </c>
      <c r="L44" s="21">
        <f ca="1">IFERROR(__xludf.DUMMYFUNCTION("""COMPUTED_VALUE"""),3377.6)</f>
        <v>3377.6</v>
      </c>
      <c r="M44" s="6" t="str">
        <f ca="1">IFERROR(__xludf.DUMMYFUNCTION("""COMPUTED_VALUE"""),"03 ORL")</f>
        <v>03 ORL</v>
      </c>
      <c r="N44" s="6" t="str">
        <f ca="1">IFERROR(__xludf.DUMMYFUNCTION("""COMPUTED_VALUE"""),"06 ORL")</f>
        <v>06 ORL</v>
      </c>
      <c r="O44" s="6" t="str">
        <f ca="1">IFERROR(__xludf.DUMMYFUNCTION("""COMPUTED_VALUE"""),"Dr, Javier García Domínguez")</f>
        <v>Dr, Javier García Domínguez</v>
      </c>
      <c r="P44" s="6" t="str">
        <f ca="1">IFERROR(__xludf.DUMMYFUNCTION("""COMPUTED_VALUE"""),"Maika Blázquez (Madrid)")</f>
        <v>Maika Blázquez (Madrid)</v>
      </c>
    </row>
    <row r="45" spans="2:16">
      <c r="B45" s="33">
        <f ca="1">IFERROR(__xludf.DUMMYFUNCTION("""COMPUTED_VALUE"""),2026)</f>
        <v>2026</v>
      </c>
      <c r="C45" s="15">
        <f ca="1">IFERROR(__xludf.DUMMYFUNCTION("""COMPUTED_VALUE"""),1)</f>
        <v>1</v>
      </c>
      <c r="D45" s="6" t="str">
        <f ca="1">IFERROR(__xludf.DUMMYFUNCTION("""COMPUTED_VALUE"""),"NO")</f>
        <v>NO</v>
      </c>
      <c r="E45" s="6" t="str">
        <f ca="1">IFERROR(__xludf.DUMMYFUNCTION("""COMPUTED_VALUE"""),"Getafe")</f>
        <v>Getafe</v>
      </c>
      <c r="F45" s="16">
        <f ca="1">IFERROR(__xludf.DUMMYFUNCTION("""COMPUTED_VALUE"""),46041)</f>
        <v>46041</v>
      </c>
      <c r="G45" s="16">
        <f ca="1">IFERROR(__xludf.DUMMYFUNCTION("""COMPUTED_VALUE"""),45978)</f>
        <v>45978</v>
      </c>
      <c r="H45" s="6" t="str">
        <f ca="1">IFERROR(__xludf.DUMMYFUNCTION("""COMPUTED_VALUE"""),"Getafe")</f>
        <v>Getafe</v>
      </c>
      <c r="I45" s="6" t="str">
        <f ca="1">IFERROR(__xludf.DUMMYFUNCTION("""COMPUTED_VALUE"""),"C202511171120372888")</f>
        <v>C202511171120372888</v>
      </c>
      <c r="J45" s="6" t="str">
        <f ca="1">IFERROR(__xludf.DUMMYFUNCTION("""COMPUTED_VALUE"""),"PILAR TORREJÓN ALONSO")</f>
        <v>PILAR TORREJÓN ALONSO</v>
      </c>
      <c r="K45" s="15">
        <f ca="1">IFERROR(__xludf.DUMMYFUNCTION("""COMPUTED_VALUE"""),2)</f>
        <v>2</v>
      </c>
      <c r="L45" s="21">
        <f ca="1">IFERROR(__xludf.DUMMYFUNCTION("""COMPUTED_VALUE"""),3631.82)</f>
        <v>3631.82</v>
      </c>
      <c r="M45" s="6" t="str">
        <f ca="1">IFERROR(__xludf.DUMMYFUNCTION("""COMPUTED_VALUE"""),"03 ORL")</f>
        <v>03 ORL</v>
      </c>
      <c r="N45" s="6" t="str">
        <f ca="1">IFERROR(__xludf.DUMMYFUNCTION("""COMPUTED_VALUE"""),"06 ORL")</f>
        <v>06 ORL</v>
      </c>
      <c r="O45" s="6" t="str">
        <f ca="1">IFERROR(__xludf.DUMMYFUNCTION("""COMPUTED_VALUE"""),"Dra, María Garrote Garrote")</f>
        <v>Dra, María Garrote Garrote</v>
      </c>
      <c r="P45" s="6" t="str">
        <f ca="1">IFERROR(__xludf.DUMMYFUNCTION("""COMPUTED_VALUE"""),"Maika Blázquez (Madrid)")</f>
        <v>Maika Blázquez (Madrid)</v>
      </c>
    </row>
    <row r="46" spans="2:16">
      <c r="B46" s="33">
        <f ca="1">IFERROR(__xludf.DUMMYFUNCTION("""COMPUTED_VALUE"""),2026)</f>
        <v>2026</v>
      </c>
      <c r="C46" s="15">
        <f ca="1">IFERROR(__xludf.DUMMYFUNCTION("""COMPUTED_VALUE"""),1)</f>
        <v>1</v>
      </c>
      <c r="D46" s="6" t="str">
        <f ca="1">IFERROR(__xludf.DUMMYFUNCTION("""COMPUTED_VALUE"""),"NO")</f>
        <v>NO</v>
      </c>
      <c r="E46" s="6" t="str">
        <f ca="1">IFERROR(__xludf.DUMMYFUNCTION("""COMPUTED_VALUE"""),"Cáceres")</f>
        <v>Cáceres</v>
      </c>
      <c r="F46" s="16">
        <f ca="1">IFERROR(__xludf.DUMMYFUNCTION("""COMPUTED_VALUE"""),46042)</f>
        <v>46042</v>
      </c>
      <c r="G46" s="16">
        <f ca="1">IFERROR(__xludf.DUMMYFUNCTION("""COMPUTED_VALUE"""),46007)</f>
        <v>46007</v>
      </c>
      <c r="H46" s="6" t="str">
        <f ca="1">IFERROR(__xludf.DUMMYFUNCTION("""COMPUTED_VALUE"""),"Cáceres")</f>
        <v>Cáceres</v>
      </c>
      <c r="I46" s="6" t="str">
        <f ca="1">IFERROR(__xludf.DUMMYFUNCTION("""COMPUTED_VALUE"""),"C202512161238444364")</f>
        <v>C202512161238444364</v>
      </c>
      <c r="J46" s="6" t="str">
        <f ca="1">IFERROR(__xludf.DUMMYFUNCTION("""COMPUTED_VALUE"""),"FERMINA ISABEL PIZARRO VALLE")</f>
        <v>FERMINA ISABEL PIZARRO VALLE</v>
      </c>
      <c r="K46" s="15">
        <f ca="1">IFERROR(__xludf.DUMMYFUNCTION("""COMPUTED_VALUE"""),2)</f>
        <v>2</v>
      </c>
      <c r="L46" s="21">
        <f ca="1">IFERROR(__xludf.DUMMYFUNCTION("""COMPUTED_VALUE"""),4990.91)</f>
        <v>4990.91</v>
      </c>
      <c r="M46" s="6" t="str">
        <f ca="1">IFERROR(__xludf.DUMMYFUNCTION("""COMPUTED_VALUE"""),"03 ORL")</f>
        <v>03 ORL</v>
      </c>
      <c r="N46" s="6" t="str">
        <f ca="1">IFERROR(__xludf.DUMMYFUNCTION("""COMPUTED_VALUE"""),"06 ORL")</f>
        <v>06 ORL</v>
      </c>
      <c r="O46" s="6" t="str">
        <f ca="1">IFERROR(__xludf.DUMMYFUNCTION("""COMPUTED_VALUE"""),"Dra, Daniela Carolina Laguado Bulgheroni")</f>
        <v>Dra, Daniela Carolina Laguado Bulgheroni</v>
      </c>
      <c r="P46" s="6" t="str">
        <f ca="1">IFERROR(__xludf.DUMMYFUNCTION("""COMPUTED_VALUE"""),"Lisandro Russian (Madrid, Cáceres, Toledo, Talavera y Logroño)")</f>
        <v>Lisandro Russian (Madrid, Cáceres, Toledo, Talavera y Logroño)</v>
      </c>
    </row>
    <row r="47" spans="2:16">
      <c r="B47" s="33">
        <f ca="1">IFERROR(__xludf.DUMMYFUNCTION("""COMPUTED_VALUE"""),2026)</f>
        <v>2026</v>
      </c>
      <c r="C47" s="15">
        <f ca="1">IFERROR(__xludf.DUMMYFUNCTION("""COMPUTED_VALUE"""),1)</f>
        <v>1</v>
      </c>
      <c r="D47" s="6" t="str">
        <f ca="1">IFERROR(__xludf.DUMMYFUNCTION("""COMPUTED_VALUE"""),"NO")</f>
        <v>NO</v>
      </c>
      <c r="E47" s="6" t="str">
        <f ca="1">IFERROR(__xludf.DUMMYFUNCTION("""COMPUTED_VALUE"""),"Zaragoza- León XIII")</f>
        <v>Zaragoza- León XIII</v>
      </c>
      <c r="F47" s="16">
        <f ca="1">IFERROR(__xludf.DUMMYFUNCTION("""COMPUTED_VALUE"""),46042)</f>
        <v>46042</v>
      </c>
      <c r="G47" s="16">
        <f ca="1">IFERROR(__xludf.DUMMYFUNCTION("""COMPUTED_VALUE"""),46003)</f>
        <v>46003</v>
      </c>
      <c r="H47" s="6" t="str">
        <f ca="1">IFERROR(__xludf.DUMMYFUNCTION("""COMPUTED_VALUE"""),"Zaragoza")</f>
        <v>Zaragoza</v>
      </c>
      <c r="I47" s="6" t="str">
        <f ca="1">IFERROR(__xludf.DUMMYFUNCTION("""COMPUTED_VALUE"""),"C202512129125747718")</f>
        <v>C202512129125747718</v>
      </c>
      <c r="J47" s="6" t="str">
        <f ca="1">IFERROR(__xludf.DUMMYFUNCTION("""COMPUTED_VALUE"""),"TOMÁS JAVIER MARTÍNEZ MORENO")</f>
        <v>TOMÁS JAVIER MARTÍNEZ MORENO</v>
      </c>
      <c r="K47" s="15">
        <f ca="1">IFERROR(__xludf.DUMMYFUNCTION("""COMPUTED_VALUE"""),2)</f>
        <v>2</v>
      </c>
      <c r="L47" s="21">
        <f ca="1">IFERROR(__xludf.DUMMYFUNCTION("""COMPUTED_VALUE"""),3618.27)</f>
        <v>3618.27</v>
      </c>
      <c r="M47" s="6" t="str">
        <f ca="1">IFERROR(__xludf.DUMMYFUNCTION("""COMPUTED_VALUE"""),"03 ORL")</f>
        <v>03 ORL</v>
      </c>
      <c r="N47" s="6" t="str">
        <f ca="1">IFERROR(__xludf.DUMMYFUNCTION("""COMPUTED_VALUE"""),"06 ORL")</f>
        <v>06 ORL</v>
      </c>
      <c r="O47" s="6" t="str">
        <f ca="1">IFERROR(__xludf.DUMMYFUNCTION("""COMPUTED_VALUE"""),"Dr, Pedro Gil Paraíso")</f>
        <v>Dr, Pedro Gil Paraíso</v>
      </c>
      <c r="P47" s="6" t="str">
        <f ca="1">IFERROR(__xludf.DUMMYFUNCTION("""COMPUTED_VALUE"""),"Ignacio Berdejo (Zaragoza)")</f>
        <v>Ignacio Berdejo (Zaragoza)</v>
      </c>
    </row>
    <row r="48" spans="2:16">
      <c r="B48" s="33">
        <f ca="1">IFERROR(__xludf.DUMMYFUNCTION("""COMPUTED_VALUE"""),2026)</f>
        <v>2026</v>
      </c>
      <c r="C48" s="15">
        <f ca="1">IFERROR(__xludf.DUMMYFUNCTION("""COMPUTED_VALUE"""),1)</f>
        <v>1</v>
      </c>
      <c r="D48" s="6" t="str">
        <f ca="1">IFERROR(__xludf.DUMMYFUNCTION("""COMPUTED_VALUE"""),"NO")</f>
        <v>NO</v>
      </c>
      <c r="E48" s="6" t="str">
        <f ca="1">IFERROR(__xludf.DUMMYFUNCTION("""COMPUTED_VALUE"""),"Madrid- Moratalaz")</f>
        <v>Madrid- Moratalaz</v>
      </c>
      <c r="F48" s="16">
        <f ca="1">IFERROR(__xludf.DUMMYFUNCTION("""COMPUTED_VALUE"""),46042)</f>
        <v>46042</v>
      </c>
      <c r="G48" s="16">
        <f ca="1">IFERROR(__xludf.DUMMYFUNCTION("""COMPUTED_VALUE"""),45996)</f>
        <v>45996</v>
      </c>
      <c r="H48" s="6" t="str">
        <f ca="1">IFERROR(__xludf.DUMMYFUNCTION("""COMPUTED_VALUE"""),"Moratalaz")</f>
        <v>Moratalaz</v>
      </c>
      <c r="I48" s="6" t="str">
        <f ca="1">IFERROR(__xludf.DUMMYFUNCTION("""COMPUTED_VALUE"""),"C202512511444323836")</f>
        <v>C202512511444323836</v>
      </c>
      <c r="J48" s="6" t="str">
        <f ca="1">IFERROR(__xludf.DUMMYFUNCTION("""COMPUTED_VALUE"""),"ANTONIA MUÑOZ DURAN")</f>
        <v>ANTONIA MUÑOZ DURAN</v>
      </c>
      <c r="K48" s="15">
        <f ca="1">IFERROR(__xludf.DUMMYFUNCTION("""COMPUTED_VALUE"""),2)</f>
        <v>2</v>
      </c>
      <c r="L48" s="21">
        <f ca="1">IFERROR(__xludf.DUMMYFUNCTION("""COMPUTED_VALUE"""),4136.36)</f>
        <v>4136.3599999999997</v>
      </c>
      <c r="M48" s="6" t="str">
        <f ca="1">IFERROR(__xludf.DUMMYFUNCTION("""COMPUTED_VALUE"""),"03 ORL")</f>
        <v>03 ORL</v>
      </c>
      <c r="N48" s="6" t="str">
        <f ca="1">IFERROR(__xludf.DUMMYFUNCTION("""COMPUTED_VALUE"""),"06 ORL")</f>
        <v>06 ORL</v>
      </c>
      <c r="O48" s="6" t="str">
        <f ca="1">IFERROR(__xludf.DUMMYFUNCTION("""COMPUTED_VALUE"""),"Dr, Ignacio Aristegui Torrano")</f>
        <v>Dr, Ignacio Aristegui Torrano</v>
      </c>
      <c r="P48" s="6" t="str">
        <f ca="1">IFERROR(__xludf.DUMMYFUNCTION("""COMPUTED_VALUE"""),"Maika Blázquez (Madrid)")</f>
        <v>Maika Blázquez (Madrid)</v>
      </c>
    </row>
    <row r="49" spans="2:16">
      <c r="B49" s="33">
        <f ca="1">IFERROR(__xludf.DUMMYFUNCTION("""COMPUTED_VALUE"""),2026)</f>
        <v>2026</v>
      </c>
      <c r="C49" s="15">
        <f ca="1">IFERROR(__xludf.DUMMYFUNCTION("""COMPUTED_VALUE"""),1)</f>
        <v>1</v>
      </c>
      <c r="D49" s="6" t="str">
        <f ca="1">IFERROR(__xludf.DUMMYFUNCTION("""COMPUTED_VALUE"""),"NO")</f>
        <v>NO</v>
      </c>
      <c r="E49" s="6" t="str">
        <f ca="1">IFERROR(__xludf.DUMMYFUNCTION("""COMPUTED_VALUE"""),"Sevilla- Montoto")</f>
        <v>Sevilla- Montoto</v>
      </c>
      <c r="F49" s="16">
        <f ca="1">IFERROR(__xludf.DUMMYFUNCTION("""COMPUTED_VALUE"""),46042)</f>
        <v>46042</v>
      </c>
      <c r="G49" s="16">
        <f ca="1">IFERROR(__xludf.DUMMYFUNCTION("""COMPUTED_VALUE"""),45988)</f>
        <v>45988</v>
      </c>
      <c r="H49" s="6" t="str">
        <f ca="1">IFERROR(__xludf.DUMMYFUNCTION("""COMPUTED_VALUE"""),"Montoto")</f>
        <v>Montoto</v>
      </c>
      <c r="I49" s="6" t="str">
        <f ca="1">IFERROR(__xludf.DUMMYFUNCTION("""COMPUTED_VALUE"""),"C202511271216474526")</f>
        <v>C202511271216474526</v>
      </c>
      <c r="J49" s="6" t="str">
        <f ca="1">IFERROR(__xludf.DUMMYFUNCTION("""COMPUTED_VALUE"""),"JAVIER ALGABA GIL")</f>
        <v>JAVIER ALGABA GIL</v>
      </c>
      <c r="K49" s="15">
        <f ca="1">IFERROR(__xludf.DUMMYFUNCTION("""COMPUTED_VALUE"""),2)</f>
        <v>2</v>
      </c>
      <c r="L49" s="21">
        <f ca="1">IFERROR(__xludf.DUMMYFUNCTION("""COMPUTED_VALUE"""),3630.77)</f>
        <v>3630.77</v>
      </c>
      <c r="M49" s="6" t="str">
        <f ca="1">IFERROR(__xludf.DUMMYFUNCTION("""COMPUTED_VALUE"""),"03 ORL")</f>
        <v>03 ORL</v>
      </c>
      <c r="N49" s="6" t="str">
        <f ca="1">IFERROR(__xludf.DUMMYFUNCTION("""COMPUTED_VALUE"""),"06 ORL")</f>
        <v>06 ORL</v>
      </c>
      <c r="O49" s="6" t="str">
        <f ca="1">IFERROR(__xludf.DUMMYFUNCTION("""COMPUTED_VALUE"""),"Dra, Estefanía Berrocal Postigo")</f>
        <v>Dra, Estefanía Berrocal Postigo</v>
      </c>
      <c r="P49" s="6" t="str">
        <f ca="1">IFERROR(__xludf.DUMMYFUNCTION("""COMPUTED_VALUE"""),"Luis Alberto Rodríguez (Andalucía y Badajoz)")</f>
        <v>Luis Alberto Rodríguez (Andalucía y Badajoz)</v>
      </c>
    </row>
    <row r="50" spans="2:16">
      <c r="B50" s="33">
        <f ca="1">IFERROR(__xludf.DUMMYFUNCTION("""COMPUTED_VALUE"""),2026)</f>
        <v>2026</v>
      </c>
      <c r="C50" s="15">
        <f ca="1">IFERROR(__xludf.DUMMYFUNCTION("""COMPUTED_VALUE"""),1)</f>
        <v>1</v>
      </c>
      <c r="D50" s="6" t="str">
        <f ca="1">IFERROR(__xludf.DUMMYFUNCTION("""COMPUTED_VALUE"""),"NO")</f>
        <v>NO</v>
      </c>
      <c r="E50" s="6" t="str">
        <f ca="1">IFERROR(__xludf.DUMMYFUNCTION("""COMPUTED_VALUE"""),"Toledo")</f>
        <v>Toledo</v>
      </c>
      <c r="F50" s="16">
        <f ca="1">IFERROR(__xludf.DUMMYFUNCTION("""COMPUTED_VALUE"""),46042)</f>
        <v>46042</v>
      </c>
      <c r="G50" s="16">
        <f ca="1">IFERROR(__xludf.DUMMYFUNCTION("""COMPUTED_VALUE"""),45995)</f>
        <v>45995</v>
      </c>
      <c r="H50" s="6" t="str">
        <f ca="1">IFERROR(__xludf.DUMMYFUNCTION("""COMPUTED_VALUE"""),"Toledo")</f>
        <v>Toledo</v>
      </c>
      <c r="I50" s="6" t="str">
        <f ca="1">IFERROR(__xludf.DUMMYFUNCTION("""COMPUTED_VALUE"""),"C202512418122957997")</f>
        <v>C202512418122957997</v>
      </c>
      <c r="J50" s="6" t="str">
        <f ca="1">IFERROR(__xludf.DUMMYFUNCTION("""COMPUTED_VALUE"""),"Maria Isabel  Espinosa Martinez")</f>
        <v>Maria Isabel  Espinosa Martinez</v>
      </c>
      <c r="K50" s="15">
        <f ca="1">IFERROR(__xludf.DUMMYFUNCTION("""COMPUTED_VALUE"""),2)</f>
        <v>2</v>
      </c>
      <c r="L50" s="21">
        <f ca="1">IFERROR(__xludf.DUMMYFUNCTION("""COMPUTED_VALUE"""),3631.82)</f>
        <v>3631.82</v>
      </c>
      <c r="M50" s="6" t="str">
        <f ca="1">IFERROR(__xludf.DUMMYFUNCTION("""COMPUTED_VALUE"""),"03 ORL")</f>
        <v>03 ORL</v>
      </c>
      <c r="N50" s="6" t="str">
        <f ca="1">IFERROR(__xludf.DUMMYFUNCTION("""COMPUTED_VALUE"""),"06 ORL")</f>
        <v>06 ORL</v>
      </c>
      <c r="O50" s="6" t="str">
        <f ca="1">IFERROR(__xludf.DUMMYFUNCTION("""COMPUTED_VALUE"""),"Dra, María Garrote Garrote")</f>
        <v>Dra, María Garrote Garrote</v>
      </c>
      <c r="P50" s="6" t="str">
        <f ca="1">IFERROR(__xludf.DUMMYFUNCTION("""COMPUTED_VALUE"""),"Maika Blázquez (Madrid)")</f>
        <v>Maika Blázquez (Madrid)</v>
      </c>
    </row>
    <row r="51" spans="2:16">
      <c r="B51" s="33">
        <f ca="1">IFERROR(__xludf.DUMMYFUNCTION("""COMPUTED_VALUE"""),2026)</f>
        <v>2026</v>
      </c>
      <c r="C51" s="15">
        <f ca="1">IFERROR(__xludf.DUMMYFUNCTION("""COMPUTED_VALUE"""),1)</f>
        <v>1</v>
      </c>
      <c r="D51" s="6" t="str">
        <f ca="1">IFERROR(__xludf.DUMMYFUNCTION("""COMPUTED_VALUE"""),"NO")</f>
        <v>NO</v>
      </c>
      <c r="E51" s="6" t="str">
        <f ca="1">IFERROR(__xludf.DUMMYFUNCTION("""COMPUTED_VALUE"""),"Alicante")</f>
        <v>Alicante</v>
      </c>
      <c r="F51" s="16">
        <f ca="1">IFERROR(__xludf.DUMMYFUNCTION("""COMPUTED_VALUE"""),46042)</f>
        <v>46042</v>
      </c>
      <c r="G51" s="16">
        <f ca="1">IFERROR(__xludf.DUMMYFUNCTION("""COMPUTED_VALUE"""),46000)</f>
        <v>46000</v>
      </c>
      <c r="H51" s="6" t="str">
        <f ca="1">IFERROR(__xludf.DUMMYFUNCTION("""COMPUTED_VALUE"""),"Alicante")</f>
        <v>Alicante</v>
      </c>
      <c r="I51" s="6" t="str">
        <f ca="1">IFERROR(__xludf.DUMMYFUNCTION("""COMPUTED_VALUE"""),"C202512910126436073")</f>
        <v>C202512910126436073</v>
      </c>
      <c r="J51" s="6" t="str">
        <f ca="1">IFERROR(__xludf.DUMMYFUNCTION("""COMPUTED_VALUE"""),"JERONIMO MACIA MAS")</f>
        <v>JERONIMO MACIA MAS</v>
      </c>
      <c r="K51" s="15">
        <f ca="1">IFERROR(__xludf.DUMMYFUNCTION("""COMPUTED_VALUE"""),2)</f>
        <v>2</v>
      </c>
      <c r="L51" s="21">
        <f ca="1">IFERROR(__xludf.DUMMYFUNCTION("""COMPUTED_VALUE"""),4536.36)</f>
        <v>4536.3599999999997</v>
      </c>
      <c r="M51" s="6" t="str">
        <f ca="1">IFERROR(__xludf.DUMMYFUNCTION("""COMPUTED_VALUE"""),"03 ORL")</f>
        <v>03 ORL</v>
      </c>
      <c r="N51" s="6" t="str">
        <f ca="1">IFERROR(__xludf.DUMMYFUNCTION("""COMPUTED_VALUE"""),"06 ORL")</f>
        <v>06 ORL</v>
      </c>
      <c r="O51" s="6" t="str">
        <f ca="1">IFERROR(__xludf.DUMMYFUNCTION("""COMPUTED_VALUE"""),"Dr, Guillermo Severá Ferrándiz")</f>
        <v>Dr, Guillermo Severá Ferrándiz</v>
      </c>
      <c r="P51" s="6" t="str">
        <f ca="1">IFERROR(__xludf.DUMMYFUNCTION("""COMPUTED_VALUE"""),"Iván Sánchez (Levante y Albacete)")</f>
        <v>Iván Sánchez (Levante y Albacete)</v>
      </c>
    </row>
    <row r="52" spans="2:16">
      <c r="B52" s="33">
        <f ca="1">IFERROR(__xludf.DUMMYFUNCTION("""COMPUTED_VALUE"""),2026)</f>
        <v>2026</v>
      </c>
      <c r="C52" s="15">
        <f ca="1">IFERROR(__xludf.DUMMYFUNCTION("""COMPUTED_VALUE"""),1)</f>
        <v>1</v>
      </c>
      <c r="D52" s="6" t="str">
        <f ca="1">IFERROR(__xludf.DUMMYFUNCTION("""COMPUTED_VALUE"""),"NO")</f>
        <v>NO</v>
      </c>
      <c r="E52" s="6" t="str">
        <f ca="1">IFERROR(__xludf.DUMMYFUNCTION("""COMPUTED_VALUE"""),"Albacete")</f>
        <v>Albacete</v>
      </c>
      <c r="F52" s="16">
        <f ca="1">IFERROR(__xludf.DUMMYFUNCTION("""COMPUTED_VALUE"""),46042)</f>
        <v>46042</v>
      </c>
      <c r="G52" s="16">
        <f ca="1">IFERROR(__xludf.DUMMYFUNCTION("""COMPUTED_VALUE"""),46003)</f>
        <v>46003</v>
      </c>
      <c r="H52" s="6" t="str">
        <f ca="1">IFERROR(__xludf.DUMMYFUNCTION("""COMPUTED_VALUE"""),"Albacete")</f>
        <v>Albacete</v>
      </c>
      <c r="I52" s="6" t="str">
        <f ca="1">IFERROR(__xludf.DUMMYFUNCTION("""COMPUTED_VALUE"""),"C202512121711459148")</f>
        <v>C202512121711459148</v>
      </c>
      <c r="J52" s="6" t="str">
        <f ca="1">IFERROR(__xludf.DUMMYFUNCTION("""COMPUTED_VALUE"""),"JOSE JUAN AROCA PEREZ")</f>
        <v>JOSE JUAN AROCA PEREZ</v>
      </c>
      <c r="K52" s="15">
        <f ca="1">IFERROR(__xludf.DUMMYFUNCTION("""COMPUTED_VALUE"""),2)</f>
        <v>2</v>
      </c>
      <c r="L52" s="21">
        <f ca="1">IFERROR(__xludf.DUMMYFUNCTION("""COMPUTED_VALUE"""),2718.18)</f>
        <v>2718.18</v>
      </c>
      <c r="M52" s="6" t="str">
        <f ca="1">IFERROR(__xludf.DUMMYFUNCTION("""COMPUTED_VALUE"""),"03 ORL")</f>
        <v>03 ORL</v>
      </c>
      <c r="N52" s="6" t="str">
        <f ca="1">IFERROR(__xludf.DUMMYFUNCTION("""COMPUTED_VALUE"""),"06 ORL")</f>
        <v>06 ORL</v>
      </c>
      <c r="O52" s="6" t="str">
        <f ca="1">IFERROR(__xludf.DUMMYFUNCTION("""COMPUTED_VALUE"""),"Dra, Alejandra Jara Maquilón")</f>
        <v>Dra, Alejandra Jara Maquilón</v>
      </c>
      <c r="P52" s="6" t="str">
        <f ca="1">IFERROR(__xludf.DUMMYFUNCTION("""COMPUTED_VALUE"""),"Iván Sánchez (Levante y Albacete)")</f>
        <v>Iván Sánchez (Levante y Albacete)</v>
      </c>
    </row>
    <row r="53" spans="2:16">
      <c r="B53" s="33">
        <f ca="1">IFERROR(__xludf.DUMMYFUNCTION("""COMPUTED_VALUE"""),2026)</f>
        <v>2026</v>
      </c>
      <c r="C53" s="15">
        <f ca="1">IFERROR(__xludf.DUMMYFUNCTION("""COMPUTED_VALUE"""),1)</f>
        <v>1</v>
      </c>
      <c r="D53" s="6" t="str">
        <f ca="1">IFERROR(__xludf.DUMMYFUNCTION("""COMPUTED_VALUE"""),"NO")</f>
        <v>NO</v>
      </c>
      <c r="E53" s="6" t="str">
        <f ca="1">IFERROR(__xludf.DUMMYFUNCTION("""COMPUTED_VALUE"""),"Sevilla- Montoto")</f>
        <v>Sevilla- Montoto</v>
      </c>
      <c r="F53" s="16">
        <f ca="1">IFERROR(__xludf.DUMMYFUNCTION("""COMPUTED_VALUE"""),46043)</f>
        <v>46043</v>
      </c>
      <c r="G53" s="16">
        <f ca="1">IFERROR(__xludf.DUMMYFUNCTION("""COMPUTED_VALUE"""),45961)</f>
        <v>45961</v>
      </c>
      <c r="H53" s="6" t="str">
        <f ca="1">IFERROR(__xludf.DUMMYFUNCTION("""COMPUTED_VALUE"""),"Montoto")</f>
        <v>Montoto</v>
      </c>
      <c r="I53" s="6" t="str">
        <f ca="1">IFERROR(__xludf.DUMMYFUNCTION("""COMPUTED_VALUE"""),"C202510311713966723")</f>
        <v>C202510311713966723</v>
      </c>
      <c r="J53" s="6" t="str">
        <f ca="1">IFERROR(__xludf.DUMMYFUNCTION("""COMPUTED_VALUE"""),"MANUEL LOZANO PADILLA")</f>
        <v>MANUEL LOZANO PADILLA</v>
      </c>
      <c r="K53" s="15">
        <f ca="1">IFERROR(__xludf.DUMMYFUNCTION("""COMPUTED_VALUE"""),2)</f>
        <v>2</v>
      </c>
      <c r="L53" s="21">
        <f ca="1">IFERROR(__xludf.DUMMYFUNCTION("""COMPUTED_VALUE"""),3631.82)</f>
        <v>3631.82</v>
      </c>
      <c r="M53" s="6" t="str">
        <f ca="1">IFERROR(__xludf.DUMMYFUNCTION("""COMPUTED_VALUE"""),"03 ORL")</f>
        <v>03 ORL</v>
      </c>
      <c r="N53" s="6" t="str">
        <f ca="1">IFERROR(__xludf.DUMMYFUNCTION("""COMPUTED_VALUE"""),"06 ORL")</f>
        <v>06 ORL</v>
      </c>
      <c r="O53" s="6" t="str">
        <f ca="1">IFERROR(__xludf.DUMMYFUNCTION("""COMPUTED_VALUE"""),"Dr, Francisco Javier Aguilar Vera")</f>
        <v>Dr, Francisco Javier Aguilar Vera</v>
      </c>
      <c r="P53" s="6" t="str">
        <f ca="1">IFERROR(__xludf.DUMMYFUNCTION("""COMPUTED_VALUE"""),"Luis Alberto Rodríguez (Andalucía y Badajoz)")</f>
        <v>Luis Alberto Rodríguez (Andalucía y Badajoz)</v>
      </c>
    </row>
    <row r="54" spans="2:16">
      <c r="B54" s="33">
        <f ca="1">IFERROR(__xludf.DUMMYFUNCTION("""COMPUTED_VALUE"""),2026)</f>
        <v>2026</v>
      </c>
      <c r="C54" s="15">
        <f ca="1">IFERROR(__xludf.DUMMYFUNCTION("""COMPUTED_VALUE"""),1)</f>
        <v>1</v>
      </c>
      <c r="D54" s="6" t="str">
        <f ca="1">IFERROR(__xludf.DUMMYFUNCTION("""COMPUTED_VALUE"""),"NO")</f>
        <v>NO</v>
      </c>
      <c r="E54" s="6" t="str">
        <f ca="1">IFERROR(__xludf.DUMMYFUNCTION("""COMPUTED_VALUE"""),"Orihuela")</f>
        <v>Orihuela</v>
      </c>
      <c r="F54" s="16">
        <f ca="1">IFERROR(__xludf.DUMMYFUNCTION("""COMPUTED_VALUE"""),46043)</f>
        <v>46043</v>
      </c>
      <c r="G54" s="16">
        <f ca="1">IFERROR(__xludf.DUMMYFUNCTION("""COMPUTED_VALUE"""),45994)</f>
        <v>45994</v>
      </c>
      <c r="H54" s="6" t="str">
        <f ca="1">IFERROR(__xludf.DUMMYFUNCTION("""COMPUTED_VALUE"""),"La Zenia")</f>
        <v>La Zenia</v>
      </c>
      <c r="I54" s="6" t="str">
        <f ca="1">IFERROR(__xludf.DUMMYFUNCTION("""COMPUTED_VALUE"""),"C202512311581610869")</f>
        <v>C202512311581610869</v>
      </c>
      <c r="J54" s="6" t="str">
        <f ca="1">IFERROR(__xludf.DUMMYFUNCTION("""COMPUTED_VALUE"""),"JOSÉ EDUARDO DE LA FUENTE FERNANDEZ")</f>
        <v>JOSÉ EDUARDO DE LA FUENTE FERNANDEZ</v>
      </c>
      <c r="K54" s="15">
        <f ca="1">IFERROR(__xludf.DUMMYFUNCTION("""COMPUTED_VALUE"""),2)</f>
        <v>2</v>
      </c>
      <c r="L54" s="21">
        <f ca="1">IFERROR(__xludf.DUMMYFUNCTION("""COMPUTED_VALUE"""),3631.73)</f>
        <v>3631.73</v>
      </c>
      <c r="M54" s="6" t="str">
        <f ca="1">IFERROR(__xludf.DUMMYFUNCTION("""COMPUTED_VALUE"""),"03 ORL")</f>
        <v>03 ORL</v>
      </c>
      <c r="N54" s="6" t="str">
        <f ca="1">IFERROR(__xludf.DUMMYFUNCTION("""COMPUTED_VALUE"""),"06 ORL")</f>
        <v>06 ORL</v>
      </c>
      <c r="O54" s="6" t="str">
        <f ca="1">IFERROR(__xludf.DUMMYFUNCTION("""COMPUTED_VALUE"""),"Dr, Juan Javier Álvarez López")</f>
        <v>Dr, Juan Javier Álvarez López</v>
      </c>
      <c r="P54" s="6" t="str">
        <f ca="1">IFERROR(__xludf.DUMMYFUNCTION("""COMPUTED_VALUE"""),"Iván Sánchez (Levante y Albacete)")</f>
        <v>Iván Sánchez (Levante y Albacete)</v>
      </c>
    </row>
    <row r="55" spans="2:16">
      <c r="B55" s="33">
        <f ca="1">IFERROR(__xludf.DUMMYFUNCTION("""COMPUTED_VALUE"""),2026)</f>
        <v>2026</v>
      </c>
      <c r="C55" s="15">
        <f ca="1">IFERROR(__xludf.DUMMYFUNCTION("""COMPUTED_VALUE"""),1)</f>
        <v>1</v>
      </c>
      <c r="D55" s="6" t="str">
        <f ca="1">IFERROR(__xludf.DUMMYFUNCTION("""COMPUTED_VALUE"""),"NO")</f>
        <v>NO</v>
      </c>
      <c r="E55" s="6" t="str">
        <f ca="1">IFERROR(__xludf.DUMMYFUNCTION("""COMPUTED_VALUE"""),"Getafe")</f>
        <v>Getafe</v>
      </c>
      <c r="F55" s="16">
        <f ca="1">IFERROR(__xludf.DUMMYFUNCTION("""COMPUTED_VALUE"""),46043)</f>
        <v>46043</v>
      </c>
      <c r="G55" s="16">
        <f ca="1">IFERROR(__xludf.DUMMYFUNCTION("""COMPUTED_VALUE"""),45996)</f>
        <v>45996</v>
      </c>
      <c r="H55" s="6" t="str">
        <f ca="1">IFERROR(__xludf.DUMMYFUNCTION("""COMPUTED_VALUE"""),"Getafe")</f>
        <v>Getafe</v>
      </c>
      <c r="I55" s="6" t="str">
        <f ca="1">IFERROR(__xludf.DUMMYFUNCTION("""COMPUTED_VALUE"""),"C202512595841880689")</f>
        <v>C202512595841880689</v>
      </c>
      <c r="J55" s="6" t="str">
        <f ca="1">IFERROR(__xludf.DUMMYFUNCTION("""COMPUTED_VALUE"""),"MARIA ROSA FELIU CASADO")</f>
        <v>MARIA ROSA FELIU CASADO</v>
      </c>
      <c r="K55" s="15">
        <f ca="1">IFERROR(__xludf.DUMMYFUNCTION("""COMPUTED_VALUE"""),2)</f>
        <v>2</v>
      </c>
      <c r="L55" s="21">
        <f ca="1">IFERROR(__xludf.DUMMYFUNCTION("""COMPUTED_VALUE"""),2445.45)</f>
        <v>2445.4499999999998</v>
      </c>
      <c r="M55" s="6" t="str">
        <f ca="1">IFERROR(__xludf.DUMMYFUNCTION("""COMPUTED_VALUE"""),"03 ORL")</f>
        <v>03 ORL</v>
      </c>
      <c r="N55" s="6" t="str">
        <f ca="1">IFERROR(__xludf.DUMMYFUNCTION("""COMPUTED_VALUE"""),"06 ORL")</f>
        <v>06 ORL</v>
      </c>
      <c r="O55" s="6" t="str">
        <f ca="1">IFERROR(__xludf.DUMMYFUNCTION("""COMPUTED_VALUE"""),"Dra, María Garrote Garrote")</f>
        <v>Dra, María Garrote Garrote</v>
      </c>
      <c r="P55" s="6" t="str">
        <f ca="1">IFERROR(__xludf.DUMMYFUNCTION("""COMPUTED_VALUE"""),"Maika Blázquez (Madrid)")</f>
        <v>Maika Blázquez (Madrid)</v>
      </c>
    </row>
    <row r="56" spans="2:16">
      <c r="B56" s="33">
        <f ca="1">IFERROR(__xludf.DUMMYFUNCTION("""COMPUTED_VALUE"""),2026)</f>
        <v>2026</v>
      </c>
      <c r="C56" s="15">
        <f ca="1">IFERROR(__xludf.DUMMYFUNCTION("""COMPUTED_VALUE"""),1)</f>
        <v>1</v>
      </c>
      <c r="D56" s="6" t="str">
        <f ca="1">IFERROR(__xludf.DUMMYFUNCTION("""COMPUTED_VALUE"""),"NO")</f>
        <v>NO</v>
      </c>
      <c r="E56" s="6" t="str">
        <f ca="1">IFERROR(__xludf.DUMMYFUNCTION("""COMPUTED_VALUE"""),"Alicante")</f>
        <v>Alicante</v>
      </c>
      <c r="F56" s="16">
        <f ca="1">IFERROR(__xludf.DUMMYFUNCTION("""COMPUTED_VALUE"""),46044)</f>
        <v>46044</v>
      </c>
      <c r="G56" s="16">
        <f ca="1">IFERROR(__xludf.DUMMYFUNCTION("""COMPUTED_VALUE"""),46007)</f>
        <v>46007</v>
      </c>
      <c r="H56" s="6" t="str">
        <f ca="1">IFERROR(__xludf.DUMMYFUNCTION("""COMPUTED_VALUE"""),"Alicante")</f>
        <v>Alicante</v>
      </c>
      <c r="I56" s="6" t="str">
        <f ca="1">IFERROR(__xludf.DUMMYFUNCTION("""COMPUTED_VALUE"""),"C202512169525324632")</f>
        <v>C202512169525324632</v>
      </c>
      <c r="J56" s="6" t="str">
        <f ca="1">IFERROR(__xludf.DUMMYFUNCTION("""COMPUTED_VALUE"""),"MAURIZIO CENCIARELLI")</f>
        <v>MAURIZIO CENCIARELLI</v>
      </c>
      <c r="K56" s="15">
        <f ca="1">IFERROR(__xludf.DUMMYFUNCTION("""COMPUTED_VALUE"""),2)</f>
        <v>2</v>
      </c>
      <c r="L56" s="21">
        <f ca="1">IFERROR(__xludf.DUMMYFUNCTION("""COMPUTED_VALUE"""),4136.36)</f>
        <v>4136.3599999999997</v>
      </c>
      <c r="M56" s="6" t="str">
        <f ca="1">IFERROR(__xludf.DUMMYFUNCTION("""COMPUTED_VALUE"""),"03 ORL")</f>
        <v>03 ORL</v>
      </c>
      <c r="N56" s="6" t="str">
        <f ca="1">IFERROR(__xludf.DUMMYFUNCTION("""COMPUTED_VALUE"""),"06 ORL")</f>
        <v>06 ORL</v>
      </c>
      <c r="O56" s="6" t="str">
        <f ca="1">IFERROR(__xludf.DUMMYFUNCTION("""COMPUTED_VALUE"""),"Dr, Carlos Velásquez Fermín")</f>
        <v>Dr, Carlos Velásquez Fermín</v>
      </c>
      <c r="P56" s="6" t="str">
        <f ca="1">IFERROR(__xludf.DUMMYFUNCTION("""COMPUTED_VALUE"""),"Iván Sánchez (Levante y Albacete)")</f>
        <v>Iván Sánchez (Levante y Albacete)</v>
      </c>
    </row>
    <row r="57" spans="2:16">
      <c r="B57" s="33">
        <f ca="1">IFERROR(__xludf.DUMMYFUNCTION("""COMPUTED_VALUE"""),2026)</f>
        <v>2026</v>
      </c>
      <c r="C57" s="15">
        <f ca="1">IFERROR(__xludf.DUMMYFUNCTION("""COMPUTED_VALUE"""),1)</f>
        <v>1</v>
      </c>
      <c r="D57" s="6" t="str">
        <f ca="1">IFERROR(__xludf.DUMMYFUNCTION("""COMPUTED_VALUE"""),"NO")</f>
        <v>NO</v>
      </c>
      <c r="E57" s="6" t="str">
        <f ca="1">IFERROR(__xludf.DUMMYFUNCTION("""COMPUTED_VALUE"""),"Cáceres")</f>
        <v>Cáceres</v>
      </c>
      <c r="F57" s="16">
        <f ca="1">IFERROR(__xludf.DUMMYFUNCTION("""COMPUTED_VALUE"""),46044)</f>
        <v>46044</v>
      </c>
      <c r="G57" s="16">
        <f ca="1">IFERROR(__xludf.DUMMYFUNCTION("""COMPUTED_VALUE"""),46017)</f>
        <v>46017</v>
      </c>
      <c r="H57" s="6" t="str">
        <f ca="1">IFERROR(__xludf.DUMMYFUNCTION("""COMPUTED_VALUE"""),"Cáceres")</f>
        <v>Cáceres</v>
      </c>
      <c r="I57" s="6" t="str">
        <f ca="1">IFERROR(__xludf.DUMMYFUNCTION("""COMPUTED_VALUE"""),"C202512268393761744")</f>
        <v>C202512268393761744</v>
      </c>
      <c r="J57" s="6" t="str">
        <f ca="1">IFERROR(__xludf.DUMMYFUNCTION("""COMPUTED_VALUE"""),"DAVID SOCORRO FERRER")</f>
        <v>DAVID SOCORRO FERRER</v>
      </c>
      <c r="K57" s="15">
        <f ca="1">IFERROR(__xludf.DUMMYFUNCTION("""COMPUTED_VALUE"""),2)</f>
        <v>2</v>
      </c>
      <c r="L57" s="21">
        <f ca="1">IFERROR(__xludf.DUMMYFUNCTION("""COMPUTED_VALUE"""),3163.64)</f>
        <v>3163.64</v>
      </c>
      <c r="M57" s="6" t="str">
        <f ca="1">IFERROR(__xludf.DUMMYFUNCTION("""COMPUTED_VALUE"""),"03 ORL")</f>
        <v>03 ORL</v>
      </c>
      <c r="N57" s="6" t="str">
        <f ca="1">IFERROR(__xludf.DUMMYFUNCTION("""COMPUTED_VALUE"""),"06 ORL")</f>
        <v>06 ORL</v>
      </c>
      <c r="O57" s="6" t="str">
        <f ca="1">IFERROR(__xludf.DUMMYFUNCTION("""COMPUTED_VALUE"""),"Dra, Daniela Carolina Laguado Bulgheroni")</f>
        <v>Dra, Daniela Carolina Laguado Bulgheroni</v>
      </c>
      <c r="P57" s="6" t="str">
        <f ca="1">IFERROR(__xludf.DUMMYFUNCTION("""COMPUTED_VALUE"""),"Lisandro Russian (Madrid, Cáceres, Toledo, Talavera y Logroño)")</f>
        <v>Lisandro Russian (Madrid, Cáceres, Toledo, Talavera y Logroño)</v>
      </c>
    </row>
    <row r="58" spans="2:16">
      <c r="B58" s="33">
        <f ca="1">IFERROR(__xludf.DUMMYFUNCTION("""COMPUTED_VALUE"""),2026)</f>
        <v>2026</v>
      </c>
      <c r="C58" s="15">
        <f ca="1">IFERROR(__xludf.DUMMYFUNCTION("""COMPUTED_VALUE"""),1)</f>
        <v>1</v>
      </c>
      <c r="D58" s="6" t="str">
        <f ca="1">IFERROR(__xludf.DUMMYFUNCTION("""COMPUTED_VALUE"""),"NO")</f>
        <v>NO</v>
      </c>
      <c r="E58" s="6" t="str">
        <f ca="1">IFERROR(__xludf.DUMMYFUNCTION("""COMPUTED_VALUE"""),"Ourense")</f>
        <v>Ourense</v>
      </c>
      <c r="F58" s="16">
        <f ca="1">IFERROR(__xludf.DUMMYFUNCTION("""COMPUTED_VALUE"""),46044)</f>
        <v>46044</v>
      </c>
      <c r="G58" s="16">
        <f ca="1">IFERROR(__xludf.DUMMYFUNCTION("""COMPUTED_VALUE"""),45994)</f>
        <v>45994</v>
      </c>
      <c r="H58" s="6" t="str">
        <f ca="1">IFERROR(__xludf.DUMMYFUNCTION("""COMPUTED_VALUE"""),"Orense")</f>
        <v>Orense</v>
      </c>
      <c r="I58" s="6" t="str">
        <f ca="1">IFERROR(__xludf.DUMMYFUNCTION("""COMPUTED_VALUE"""),"C202512392737668984")</f>
        <v>C202512392737668984</v>
      </c>
      <c r="J58" s="6" t="str">
        <f ca="1">IFERROR(__xludf.DUMMYFUNCTION("""COMPUTED_VALUE"""),"PABLO GOMEZ SEOANE")</f>
        <v>PABLO GOMEZ SEOANE</v>
      </c>
      <c r="K58" s="15">
        <f ca="1">IFERROR(__xludf.DUMMYFUNCTION("""COMPUTED_VALUE"""),1)</f>
        <v>1</v>
      </c>
      <c r="L58" s="21">
        <f ca="1">IFERROR(__xludf.DUMMYFUNCTION("""COMPUTED_VALUE"""),2180.91)</f>
        <v>2180.91</v>
      </c>
      <c r="M58" s="6" t="str">
        <f ca="1">IFERROR(__xludf.DUMMYFUNCTION("""COMPUTED_VALUE"""),"03 ORL")</f>
        <v>03 ORL</v>
      </c>
      <c r="N58" s="6" t="str">
        <f ca="1">IFERROR(__xludf.DUMMYFUNCTION("""COMPUTED_VALUE"""),"06 ORL")</f>
        <v>06 ORL</v>
      </c>
      <c r="O58" s="6" t="str">
        <f ca="1">IFERROR(__xludf.DUMMYFUNCTION("""COMPUTED_VALUE"""),"Dra, Ana Quintana Sanjuan")</f>
        <v>Dra, Ana Quintana Sanjuan</v>
      </c>
      <c r="P58" s="6" t="str">
        <f ca="1">IFERROR(__xludf.DUMMYFUNCTION("""COMPUTED_VALUE"""),"Alberto Moreno (Madrid)")</f>
        <v>Alberto Moreno (Madrid)</v>
      </c>
    </row>
    <row r="59" spans="2:16">
      <c r="B59" s="33">
        <f ca="1">IFERROR(__xludf.DUMMYFUNCTION("""COMPUTED_VALUE"""),2026)</f>
        <v>2026</v>
      </c>
      <c r="C59" s="15">
        <f ca="1">IFERROR(__xludf.DUMMYFUNCTION("""COMPUTED_VALUE"""),1)</f>
        <v>1</v>
      </c>
      <c r="D59" s="6" t="str">
        <f ca="1">IFERROR(__xludf.DUMMYFUNCTION("""COMPUTED_VALUE"""),"NO")</f>
        <v>NO</v>
      </c>
      <c r="E59" s="6" t="str">
        <f ca="1">IFERROR(__xludf.DUMMYFUNCTION("""COMPUTED_VALUE"""),"Madrid- La Oca")</f>
        <v>Madrid- La Oca</v>
      </c>
      <c r="F59" s="16">
        <f ca="1">IFERROR(__xludf.DUMMYFUNCTION("""COMPUTED_VALUE"""),46044)</f>
        <v>46044</v>
      </c>
      <c r="G59" s="16">
        <f ca="1">IFERROR(__xludf.DUMMYFUNCTION("""COMPUTED_VALUE"""),45973)</f>
        <v>45973</v>
      </c>
      <c r="H59" s="6" t="str">
        <f ca="1">IFERROR(__xludf.DUMMYFUNCTION("""COMPUTED_VALUE"""),"La Oca")</f>
        <v>La Oca</v>
      </c>
      <c r="I59" s="6" t="str">
        <f ca="1">IFERROR(__xludf.DUMMYFUNCTION("""COMPUTED_VALUE"""),"C20251210112255528")</f>
        <v>C20251210112255528</v>
      </c>
      <c r="J59" s="6" t="str">
        <f ca="1">IFERROR(__xludf.DUMMYFUNCTION("""COMPUTED_VALUE"""),"EMILIO RUIZ-ROSO CASTAÑO")</f>
        <v>EMILIO RUIZ-ROSO CASTAÑO</v>
      </c>
      <c r="K59" s="15">
        <f ca="1">IFERROR(__xludf.DUMMYFUNCTION("""COMPUTED_VALUE"""),2)</f>
        <v>2</v>
      </c>
      <c r="L59" s="21">
        <f ca="1">IFERROR(__xludf.DUMMYFUNCTION("""COMPUTED_VALUE"""),2545.45)</f>
        <v>2545.4499999999998</v>
      </c>
      <c r="M59" s="6" t="str">
        <f ca="1">IFERROR(__xludf.DUMMYFUNCTION("""COMPUTED_VALUE"""),"03 ORL")</f>
        <v>03 ORL</v>
      </c>
      <c r="N59" s="6" t="str">
        <f ca="1">IFERROR(__xludf.DUMMYFUNCTION("""COMPUTED_VALUE"""),"06 ORL")</f>
        <v>06 ORL</v>
      </c>
      <c r="O59" s="6" t="str">
        <f ca="1">IFERROR(__xludf.DUMMYFUNCTION("""COMPUTED_VALUE"""),"Dra, Esther Macon Liquete")</f>
        <v>Dra, Esther Macon Liquete</v>
      </c>
      <c r="P59" s="6" t="str">
        <f ca="1">IFERROR(__xludf.DUMMYFUNCTION("""COMPUTED_VALUE"""),"Maika Blázquez (Madrid)")</f>
        <v>Maika Blázquez (Madrid)</v>
      </c>
    </row>
    <row r="60" spans="2:16">
      <c r="B60" s="33">
        <f ca="1">IFERROR(__xludf.DUMMYFUNCTION("""COMPUTED_VALUE"""),2026)</f>
        <v>2026</v>
      </c>
      <c r="C60" s="15">
        <f ca="1">IFERROR(__xludf.DUMMYFUNCTION("""COMPUTED_VALUE"""),1)</f>
        <v>1</v>
      </c>
      <c r="D60" s="6" t="str">
        <f ca="1">IFERROR(__xludf.DUMMYFUNCTION("""COMPUTED_VALUE"""),"NO")</f>
        <v>NO</v>
      </c>
      <c r="E60" s="6" t="str">
        <f ca="1">IFERROR(__xludf.DUMMYFUNCTION("""COMPUTED_VALUE"""),"Badajoz")</f>
        <v>Badajoz</v>
      </c>
      <c r="F60" s="16">
        <f ca="1">IFERROR(__xludf.DUMMYFUNCTION("""COMPUTED_VALUE"""),46044)</f>
        <v>46044</v>
      </c>
      <c r="G60" s="16">
        <f ca="1">IFERROR(__xludf.DUMMYFUNCTION("""COMPUTED_VALUE"""),45964)</f>
        <v>45964</v>
      </c>
      <c r="H60" s="6" t="str">
        <f ca="1">IFERROR(__xludf.DUMMYFUNCTION("""COMPUTED_VALUE"""),"Badajoz")</f>
        <v>Badajoz</v>
      </c>
      <c r="I60" s="6" t="str">
        <f ca="1">IFERROR(__xludf.DUMMYFUNCTION("""COMPUTED_VALUE"""),"BJZE-2540")</f>
        <v>BJZE-2540</v>
      </c>
      <c r="J60" s="6" t="str">
        <f ca="1">IFERROR(__xludf.DUMMYFUNCTION("""COMPUTED_VALUE"""),"MARIA INMACULADA BENAVENTE POZO")</f>
        <v>MARIA INMACULADA BENAVENTE POZO</v>
      </c>
      <c r="K60" s="15">
        <f ca="1">IFERROR(__xludf.DUMMYFUNCTION("""COMPUTED_VALUE"""),2)</f>
        <v>2</v>
      </c>
      <c r="L60" s="21">
        <f ca="1">IFERROR(__xludf.DUMMYFUNCTION("""COMPUTED_VALUE"""),3263.64)</f>
        <v>3263.64</v>
      </c>
      <c r="M60" s="6" t="str">
        <f ca="1">IFERROR(__xludf.DUMMYFUNCTION("""COMPUTED_VALUE"""),"03 ORL")</f>
        <v>03 ORL</v>
      </c>
      <c r="N60" s="6" t="str">
        <f ca="1">IFERROR(__xludf.DUMMYFUNCTION("""COMPUTED_VALUE"""),"06 ORL")</f>
        <v>06 ORL</v>
      </c>
      <c r="O60" s="6" t="str">
        <f ca="1">IFERROR(__xludf.DUMMYFUNCTION("""COMPUTED_VALUE"""),"No recuerda ORL")</f>
        <v>No recuerda ORL</v>
      </c>
      <c r="P60" s="6" t="str">
        <f ca="1">IFERROR(__xludf.DUMMYFUNCTION("""COMPUTED_VALUE"""),"Luis Alberto Rodríguez (Andalucía y Badajoz)")</f>
        <v>Luis Alberto Rodríguez (Andalucía y Badajoz)</v>
      </c>
    </row>
    <row r="61" spans="2:16">
      <c r="B61" s="33">
        <f ca="1">IFERROR(__xludf.DUMMYFUNCTION("""COMPUTED_VALUE"""),2026)</f>
        <v>2026</v>
      </c>
      <c r="C61" s="15">
        <f ca="1">IFERROR(__xludf.DUMMYFUNCTION("""COMPUTED_VALUE"""),1)</f>
        <v>1</v>
      </c>
      <c r="D61" s="6" t="str">
        <f ca="1">IFERROR(__xludf.DUMMYFUNCTION("""COMPUTED_VALUE"""),"NO")</f>
        <v>NO</v>
      </c>
      <c r="E61" s="6" t="str">
        <f ca="1">IFERROR(__xludf.DUMMYFUNCTION("""COMPUTED_VALUE"""),"Almería")</f>
        <v>Almería</v>
      </c>
      <c r="F61" s="16">
        <f ca="1">IFERROR(__xludf.DUMMYFUNCTION("""COMPUTED_VALUE"""),46044)</f>
        <v>46044</v>
      </c>
      <c r="G61" s="16">
        <f ca="1">IFERROR(__xludf.DUMMYFUNCTION("""COMPUTED_VALUE"""),46007)</f>
        <v>46007</v>
      </c>
      <c r="H61" s="6" t="str">
        <f ca="1">IFERROR(__xludf.DUMMYFUNCTION("""COMPUTED_VALUE"""),"Almería")</f>
        <v>Almería</v>
      </c>
      <c r="I61" s="6" t="str">
        <f ca="1">IFERROR(__xludf.DUMMYFUNCTION("""COMPUTED_VALUE"""),"C202512161837483546")</f>
        <v>C202512161837483546</v>
      </c>
      <c r="J61" s="6" t="str">
        <f ca="1">IFERROR(__xludf.DUMMYFUNCTION("""COMPUTED_VALUE"""),"DIEGO LOPEZ CAYUELA")</f>
        <v>DIEGO LOPEZ CAYUELA</v>
      </c>
      <c r="K61" s="15">
        <f ca="1">IFERROR(__xludf.DUMMYFUNCTION("""COMPUTED_VALUE"""),2)</f>
        <v>2</v>
      </c>
      <c r="L61" s="21">
        <f ca="1">IFERROR(__xludf.DUMMYFUNCTION("""COMPUTED_VALUE"""),2718.18)</f>
        <v>2718.18</v>
      </c>
      <c r="M61" s="6" t="str">
        <f ca="1">IFERROR(__xludf.DUMMYFUNCTION("""COMPUTED_VALUE"""),"03 ORL")</f>
        <v>03 ORL</v>
      </c>
      <c r="N61" s="6" t="str">
        <f ca="1">IFERROR(__xludf.DUMMYFUNCTION("""COMPUTED_VALUE"""),"06 ORL")</f>
        <v>06 ORL</v>
      </c>
      <c r="O61" s="6" t="str">
        <f ca="1">IFERROR(__xludf.DUMMYFUNCTION("""COMPUTED_VALUE"""),"Dra, Elisheba Haro Hernández")</f>
        <v>Dra, Elisheba Haro Hernández</v>
      </c>
      <c r="P61" s="6" t="str">
        <f ca="1">IFERROR(__xludf.DUMMYFUNCTION("""COMPUTED_VALUE"""),"Ramon Ferrando(Valencia)")</f>
        <v>Ramon Ferrando(Valencia)</v>
      </c>
    </row>
    <row r="62" spans="2:16">
      <c r="B62" s="33">
        <f ca="1">IFERROR(__xludf.DUMMYFUNCTION("""COMPUTED_VALUE"""),2026)</f>
        <v>2026</v>
      </c>
      <c r="C62" s="15">
        <f ca="1">IFERROR(__xludf.DUMMYFUNCTION("""COMPUTED_VALUE"""),1)</f>
        <v>1</v>
      </c>
      <c r="D62" s="6" t="str">
        <f ca="1">IFERROR(__xludf.DUMMYFUNCTION("""COMPUTED_VALUE"""),"NO")</f>
        <v>NO</v>
      </c>
      <c r="E62" s="6" t="str">
        <f ca="1">IFERROR(__xludf.DUMMYFUNCTION("""COMPUTED_VALUE"""),"Cáceres")</f>
        <v>Cáceres</v>
      </c>
      <c r="F62" s="16">
        <f ca="1">IFERROR(__xludf.DUMMYFUNCTION("""COMPUTED_VALUE"""),46044)</f>
        <v>46044</v>
      </c>
      <c r="G62" s="16">
        <f ca="1">IFERROR(__xludf.DUMMYFUNCTION("""COMPUTED_VALUE"""),46006)</f>
        <v>46006</v>
      </c>
      <c r="H62" s="6" t="str">
        <f ca="1">IFERROR(__xludf.DUMMYFUNCTION("""COMPUTED_VALUE"""),"Cáceres")</f>
        <v>Cáceres</v>
      </c>
      <c r="I62" s="6" t="str">
        <f ca="1">IFERROR(__xludf.DUMMYFUNCTION("""COMPUTED_VALUE"""),"C202512151640123719")</f>
        <v>C202512151640123719</v>
      </c>
      <c r="J62" s="6" t="str">
        <f ca="1">IFERROR(__xludf.DUMMYFUNCTION("""COMPUTED_VALUE"""),"MARIA DOLORES PIMIENTA ROJAS")</f>
        <v>MARIA DOLORES PIMIENTA ROJAS</v>
      </c>
      <c r="K62" s="15">
        <f ca="1">IFERROR(__xludf.DUMMYFUNCTION("""COMPUTED_VALUE"""),2)</f>
        <v>2</v>
      </c>
      <c r="L62" s="21">
        <f ca="1">IFERROR(__xludf.DUMMYFUNCTION("""COMPUTED_VALUE"""),4227.27)</f>
        <v>4227.2700000000004</v>
      </c>
      <c r="M62" s="6" t="str">
        <f ca="1">IFERROR(__xludf.DUMMYFUNCTION("""COMPUTED_VALUE"""),"03 ORL")</f>
        <v>03 ORL</v>
      </c>
      <c r="N62" s="6" t="str">
        <f ca="1">IFERROR(__xludf.DUMMYFUNCTION("""COMPUTED_VALUE"""),"06 ORL")</f>
        <v>06 ORL</v>
      </c>
      <c r="O62" s="6" t="str">
        <f ca="1">IFERROR(__xludf.DUMMYFUNCTION("""COMPUTED_VALUE"""),"Dra, Marta García Jiménez")</f>
        <v>Dra, Marta García Jiménez</v>
      </c>
      <c r="P62" s="6" t="str">
        <f ca="1">IFERROR(__xludf.DUMMYFUNCTION("""COMPUTED_VALUE"""),"Lisandro Russian (Madrid, Cáceres, Toledo, Talavera y Logroño)")</f>
        <v>Lisandro Russian (Madrid, Cáceres, Toledo, Talavera y Logroño)</v>
      </c>
    </row>
    <row r="63" spans="2:16">
      <c r="B63" s="33">
        <f ca="1">IFERROR(__xludf.DUMMYFUNCTION("""COMPUTED_VALUE"""),2026)</f>
        <v>2026</v>
      </c>
      <c r="C63" s="15">
        <f ca="1">IFERROR(__xludf.DUMMYFUNCTION("""COMPUTED_VALUE"""),1)</f>
        <v>1</v>
      </c>
      <c r="D63" s="6" t="str">
        <f ca="1">IFERROR(__xludf.DUMMYFUNCTION("""COMPUTED_VALUE"""),"NO")</f>
        <v>NO</v>
      </c>
      <c r="E63" s="6" t="str">
        <f ca="1">IFERROR(__xludf.DUMMYFUNCTION("""COMPUTED_VALUE"""),"Alcorcón")</f>
        <v>Alcorcón</v>
      </c>
      <c r="F63" s="16">
        <f ca="1">IFERROR(__xludf.DUMMYFUNCTION("""COMPUTED_VALUE"""),46044)</f>
        <v>46044</v>
      </c>
      <c r="G63" s="16">
        <f ca="1">IFERROR(__xludf.DUMMYFUNCTION("""COMPUTED_VALUE"""),45943)</f>
        <v>45943</v>
      </c>
      <c r="H63" s="6" t="str">
        <f ca="1">IFERROR(__xludf.DUMMYFUNCTION("""COMPUTED_VALUE"""),"Alcorcón")</f>
        <v>Alcorcón</v>
      </c>
      <c r="I63" s="6" t="str">
        <f ca="1">IFERROR(__xludf.DUMMYFUNCTION("""COMPUTED_VALUE"""),"C202510131556115741")</f>
        <v>C202510131556115741</v>
      </c>
      <c r="J63" s="6" t="str">
        <f ca="1">IFERROR(__xludf.DUMMYFUNCTION("""COMPUTED_VALUE"""),"AMADOR  FRIAS GONZALEZ")</f>
        <v>AMADOR  FRIAS GONZALEZ</v>
      </c>
      <c r="K63" s="15">
        <f ca="1">IFERROR(__xludf.DUMMYFUNCTION("""COMPUTED_VALUE"""),2)</f>
        <v>2</v>
      </c>
      <c r="L63" s="21">
        <f ca="1">IFERROR(__xludf.DUMMYFUNCTION("""COMPUTED_VALUE"""),2718.18)</f>
        <v>2718.18</v>
      </c>
      <c r="M63" s="6" t="str">
        <f ca="1">IFERROR(__xludf.DUMMYFUNCTION("""COMPUTED_VALUE"""),"03 ORL")</f>
        <v>03 ORL</v>
      </c>
      <c r="N63" s="6" t="str">
        <f ca="1">IFERROR(__xludf.DUMMYFUNCTION("""COMPUTED_VALUE"""),"06 ORL")</f>
        <v>06 ORL</v>
      </c>
      <c r="O63" s="6" t="str">
        <f ca="1">IFERROR(__xludf.DUMMYFUNCTION("""COMPUTED_VALUE"""),"Dr, Álvaro Sánchez Álvarez")</f>
        <v>Dr, Álvaro Sánchez Álvarez</v>
      </c>
      <c r="P63" s="6" t="str">
        <f ca="1">IFERROR(__xludf.DUMMYFUNCTION("""COMPUTED_VALUE"""),"Lisandro Russian (Madrid, Cáceres, Toledo, Talavera y Logroño)")</f>
        <v>Lisandro Russian (Madrid, Cáceres, Toledo, Talavera y Logroño)</v>
      </c>
    </row>
    <row r="64" spans="2:16">
      <c r="B64" s="33">
        <f ca="1">IFERROR(__xludf.DUMMYFUNCTION("""COMPUTED_VALUE"""),2026)</f>
        <v>2026</v>
      </c>
      <c r="C64" s="15">
        <f ca="1">IFERROR(__xludf.DUMMYFUNCTION("""COMPUTED_VALUE"""),1)</f>
        <v>1</v>
      </c>
      <c r="D64" s="6" t="str">
        <f ca="1">IFERROR(__xludf.DUMMYFUNCTION("""COMPUTED_VALUE"""),"NO")</f>
        <v>NO</v>
      </c>
      <c r="E64" s="6" t="str">
        <f ca="1">IFERROR(__xludf.DUMMYFUNCTION("""COMPUTED_VALUE"""),"Sevilla- Montoto")</f>
        <v>Sevilla- Montoto</v>
      </c>
      <c r="F64" s="16">
        <f ca="1">IFERROR(__xludf.DUMMYFUNCTION("""COMPUTED_VALUE"""),46044)</f>
        <v>46044</v>
      </c>
      <c r="G64" s="16">
        <f ca="1">IFERROR(__xludf.DUMMYFUNCTION("""COMPUTED_VALUE"""),46002)</f>
        <v>46002</v>
      </c>
      <c r="H64" s="6" t="str">
        <f ca="1">IFERROR(__xludf.DUMMYFUNCTION("""COMPUTED_VALUE"""),"Montoto")</f>
        <v>Montoto</v>
      </c>
      <c r="I64" s="6" t="str">
        <f ca="1">IFERROR(__xludf.DUMMYFUNCTION("""COMPUTED_VALUE"""),"C202512111353317097")</f>
        <v>C202512111353317097</v>
      </c>
      <c r="J64" s="6" t="str">
        <f ca="1">IFERROR(__xludf.DUMMYFUNCTION("""COMPUTED_VALUE"""),"CARMEN MANCHA MACIAS")</f>
        <v>CARMEN MANCHA MACIAS</v>
      </c>
      <c r="K64" s="15">
        <f ca="1">IFERROR(__xludf.DUMMYFUNCTION("""COMPUTED_VALUE"""),1)</f>
        <v>1</v>
      </c>
      <c r="L64" s="21">
        <f ca="1">IFERROR(__xludf.DUMMYFUNCTION("""COMPUTED_VALUE"""),2357.73)</f>
        <v>2357.73</v>
      </c>
      <c r="M64" s="6" t="str">
        <f ca="1">IFERROR(__xludf.DUMMYFUNCTION("""COMPUTED_VALUE"""),"03 ORL")</f>
        <v>03 ORL</v>
      </c>
      <c r="N64" s="6" t="str">
        <f ca="1">IFERROR(__xludf.DUMMYFUNCTION("""COMPUTED_VALUE"""),"06 ORL")</f>
        <v>06 ORL</v>
      </c>
      <c r="O64" s="6" t="str">
        <f ca="1">IFERROR(__xludf.DUMMYFUNCTION("""COMPUTED_VALUE"""),"Dr, Francisco López Navas")</f>
        <v>Dr, Francisco López Navas</v>
      </c>
      <c r="P64" s="6" t="str">
        <f ca="1">IFERROR(__xludf.DUMMYFUNCTION("""COMPUTED_VALUE"""),"Luis Alberto Rodríguez (Andalucía y Badajoz)")</f>
        <v>Luis Alberto Rodríguez (Andalucía y Badajoz)</v>
      </c>
    </row>
    <row r="65" spans="2:16">
      <c r="B65" s="33">
        <f ca="1">IFERROR(__xludf.DUMMYFUNCTION("""COMPUTED_VALUE"""),2026)</f>
        <v>2026</v>
      </c>
      <c r="C65" s="15">
        <f ca="1">IFERROR(__xludf.DUMMYFUNCTION("""COMPUTED_VALUE"""),1)</f>
        <v>1</v>
      </c>
      <c r="D65" s="6" t="str">
        <f ca="1">IFERROR(__xludf.DUMMYFUNCTION("""COMPUTED_VALUE"""),"NO")</f>
        <v>NO</v>
      </c>
      <c r="E65" s="6" t="str">
        <f ca="1">IFERROR(__xludf.DUMMYFUNCTION("""COMPUTED_VALUE"""),"Orihuela")</f>
        <v>Orihuela</v>
      </c>
      <c r="F65" s="16">
        <f ca="1">IFERROR(__xludf.DUMMYFUNCTION("""COMPUTED_VALUE"""),46044)</f>
        <v>46044</v>
      </c>
      <c r="G65" s="16">
        <f ca="1">IFERROR(__xludf.DUMMYFUNCTION("""COMPUTED_VALUE"""),45981)</f>
        <v>45981</v>
      </c>
      <c r="H65" s="6" t="str">
        <f ca="1">IFERROR(__xludf.DUMMYFUNCTION("""COMPUTED_VALUE"""),"La Zenia")</f>
        <v>La Zenia</v>
      </c>
      <c r="I65" s="6" t="str">
        <f ca="1">IFERROR(__xludf.DUMMYFUNCTION("""COMPUTED_VALUE"""),"C202511201113975005")</f>
        <v>C202511201113975005</v>
      </c>
      <c r="J65" s="6" t="str">
        <f ca="1">IFERROR(__xludf.DUMMYFUNCTION("""COMPUTED_VALUE"""),"KAREN GHANDALYAN")</f>
        <v>KAREN GHANDALYAN</v>
      </c>
      <c r="K65" s="15">
        <f ca="1">IFERROR(__xludf.DUMMYFUNCTION("""COMPUTED_VALUE"""),1)</f>
        <v>1</v>
      </c>
      <c r="L65" s="21">
        <f ca="1">IFERROR(__xludf.DUMMYFUNCTION("""COMPUTED_VALUE"""),2481.82)</f>
        <v>2481.8200000000002</v>
      </c>
      <c r="M65" s="6" t="str">
        <f ca="1">IFERROR(__xludf.DUMMYFUNCTION("""COMPUTED_VALUE"""),"03 ORL")</f>
        <v>03 ORL</v>
      </c>
      <c r="N65" s="6" t="str">
        <f ca="1">IFERROR(__xludf.DUMMYFUNCTION("""COMPUTED_VALUE"""),"06 ORL")</f>
        <v>06 ORL</v>
      </c>
      <c r="O65" s="6" t="str">
        <f ca="1">IFERROR(__xludf.DUMMYFUNCTION("""COMPUTED_VALUE"""),"Dr, Carlos Velásquez Fermín")</f>
        <v>Dr, Carlos Velásquez Fermín</v>
      </c>
      <c r="P65" s="6" t="str">
        <f ca="1">IFERROR(__xludf.DUMMYFUNCTION("""COMPUTED_VALUE"""),"Iván Sánchez (Levante y Albacete)")</f>
        <v>Iván Sánchez (Levante y Albacete)</v>
      </c>
    </row>
    <row r="66" spans="2:16">
      <c r="B66" s="33">
        <f ca="1">IFERROR(__xludf.DUMMYFUNCTION("""COMPUTED_VALUE"""),2026)</f>
        <v>2026</v>
      </c>
      <c r="C66" s="15">
        <f ca="1">IFERROR(__xludf.DUMMYFUNCTION("""COMPUTED_VALUE"""),1)</f>
        <v>1</v>
      </c>
      <c r="D66" s="6" t="str">
        <f ca="1">IFERROR(__xludf.DUMMYFUNCTION("""COMPUTED_VALUE"""),"NO")</f>
        <v>NO</v>
      </c>
      <c r="E66" s="6" t="str">
        <f ca="1">IFERROR(__xludf.DUMMYFUNCTION("""COMPUTED_VALUE"""),"Madrid- Monforte de Lemos")</f>
        <v>Madrid- Monforte de Lemos</v>
      </c>
      <c r="F66" s="16">
        <f ca="1">IFERROR(__xludf.DUMMYFUNCTION("""COMPUTED_VALUE"""),46044)</f>
        <v>46044</v>
      </c>
      <c r="G66" s="16">
        <f ca="1">IFERROR(__xludf.DUMMYFUNCTION("""COMPUTED_VALUE"""),46006)</f>
        <v>46006</v>
      </c>
      <c r="H66" s="6" t="str">
        <f ca="1">IFERROR(__xludf.DUMMYFUNCTION("""COMPUTED_VALUE"""),"La Vaguada")</f>
        <v>La Vaguada</v>
      </c>
      <c r="I66" s="6" t="str">
        <f ca="1">IFERROR(__xludf.DUMMYFUNCTION("""COMPUTED_VALUE"""),"C202512159363301430")</f>
        <v>C202512159363301430</v>
      </c>
      <c r="J66" s="6" t="str">
        <f ca="1">IFERROR(__xludf.DUMMYFUNCTION("""COMPUTED_VALUE"""),"MARIA SAGRARIO  TARANCON DE DIEGO")</f>
        <v>MARIA SAGRARIO  TARANCON DE DIEGO</v>
      </c>
      <c r="K66" s="15">
        <f ca="1">IFERROR(__xludf.DUMMYFUNCTION("""COMPUTED_VALUE"""),1)</f>
        <v>1</v>
      </c>
      <c r="L66" s="21">
        <f ca="1">IFERROR(__xludf.DUMMYFUNCTION("""COMPUTED_VALUE"""),2180.91)</f>
        <v>2180.91</v>
      </c>
      <c r="M66" s="6" t="str">
        <f ca="1">IFERROR(__xludf.DUMMYFUNCTION("""COMPUTED_VALUE"""),"03 ORL")</f>
        <v>03 ORL</v>
      </c>
      <c r="N66" s="6" t="str">
        <f ca="1">IFERROR(__xludf.DUMMYFUNCTION("""COMPUTED_VALUE"""),"06 ORL")</f>
        <v>06 ORL</v>
      </c>
      <c r="O66" s="6" t="str">
        <f ca="1">IFERROR(__xludf.DUMMYFUNCTION("""COMPUTED_VALUE"""),"Dra, Victoria García Peces")</f>
        <v>Dra, Victoria García Peces</v>
      </c>
      <c r="P66" s="6" t="str">
        <f ca="1">IFERROR(__xludf.DUMMYFUNCTION("""COMPUTED_VALUE"""),"Maika Blázquez (Madrid)")</f>
        <v>Maika Blázquez (Madrid)</v>
      </c>
    </row>
    <row r="67" spans="2:16">
      <c r="B67" s="33">
        <f ca="1">IFERROR(__xludf.DUMMYFUNCTION("""COMPUTED_VALUE"""),2026)</f>
        <v>2026</v>
      </c>
      <c r="C67" s="15">
        <f ca="1">IFERROR(__xludf.DUMMYFUNCTION("""COMPUTED_VALUE"""),1)</f>
        <v>1</v>
      </c>
      <c r="D67" s="6" t="str">
        <f ca="1">IFERROR(__xludf.DUMMYFUNCTION("""COMPUTED_VALUE"""),"NO")</f>
        <v>NO</v>
      </c>
      <c r="E67" s="6" t="str">
        <f ca="1">IFERROR(__xludf.DUMMYFUNCTION("""COMPUTED_VALUE"""),"Alicante")</f>
        <v>Alicante</v>
      </c>
      <c r="F67" s="16">
        <f ca="1">IFERROR(__xludf.DUMMYFUNCTION("""COMPUTED_VALUE"""),46044)</f>
        <v>46044</v>
      </c>
      <c r="G67" s="16">
        <f ca="1">IFERROR(__xludf.DUMMYFUNCTION("""COMPUTED_VALUE"""),46013)</f>
        <v>46013</v>
      </c>
      <c r="H67" s="6" t="str">
        <f ca="1">IFERROR(__xludf.DUMMYFUNCTION("""COMPUTED_VALUE"""),"Alicante")</f>
        <v>Alicante</v>
      </c>
      <c r="I67" s="6" t="str">
        <f ca="1">IFERROR(__xludf.DUMMYFUNCTION("""COMPUTED_VALUE"""),"C202512221119249267")</f>
        <v>C202512221119249267</v>
      </c>
      <c r="J67" s="6" t="str">
        <f ca="1">IFERROR(__xludf.DUMMYFUNCTION("""COMPUTED_VALUE"""),"ANTONIA LOPEZ NIETO")</f>
        <v>ANTONIA LOPEZ NIETO</v>
      </c>
      <c r="K67" s="15">
        <f ca="1">IFERROR(__xludf.DUMMYFUNCTION("""COMPUTED_VALUE"""),1)</f>
        <v>1</v>
      </c>
      <c r="L67" s="21">
        <f ca="1">IFERROR(__xludf.DUMMYFUNCTION("""COMPUTED_VALUE"""),2180.91)</f>
        <v>2180.91</v>
      </c>
      <c r="M67" s="6" t="str">
        <f ca="1">IFERROR(__xludf.DUMMYFUNCTION("""COMPUTED_VALUE"""),"03 ORL")</f>
        <v>03 ORL</v>
      </c>
      <c r="N67" s="6" t="str">
        <f ca="1">IFERROR(__xludf.DUMMYFUNCTION("""COMPUTED_VALUE"""),"06 ORL")</f>
        <v>06 ORL</v>
      </c>
      <c r="O67" s="6" t="str">
        <f ca="1">IFERROR(__xludf.DUMMYFUNCTION("""COMPUTED_VALUE"""),"Dra, Luisa Payá Pérez")</f>
        <v>Dra, Luisa Payá Pérez</v>
      </c>
      <c r="P67" s="6" t="str">
        <f ca="1">IFERROR(__xludf.DUMMYFUNCTION("""COMPUTED_VALUE"""),"Iván Sánchez (Levante y Albacete)")</f>
        <v>Iván Sánchez (Levante y Albacete)</v>
      </c>
    </row>
    <row r="68" spans="2:16">
      <c r="B68" s="33">
        <f ca="1">IFERROR(__xludf.DUMMYFUNCTION("""COMPUTED_VALUE"""),2026)</f>
        <v>2026</v>
      </c>
      <c r="C68" s="15">
        <f ca="1">IFERROR(__xludf.DUMMYFUNCTION("""COMPUTED_VALUE"""),1)</f>
        <v>1</v>
      </c>
      <c r="D68" s="6" t="str">
        <f ca="1">IFERROR(__xludf.DUMMYFUNCTION("""COMPUTED_VALUE"""),"NO")</f>
        <v>NO</v>
      </c>
      <c r="E68" s="6" t="str">
        <f ca="1">IFERROR(__xludf.DUMMYFUNCTION("""COMPUTED_VALUE"""),"Albacete")</f>
        <v>Albacete</v>
      </c>
      <c r="F68" s="16">
        <f ca="1">IFERROR(__xludf.DUMMYFUNCTION("""COMPUTED_VALUE"""),46045)</f>
        <v>46045</v>
      </c>
      <c r="G68" s="16">
        <f ca="1">IFERROR(__xludf.DUMMYFUNCTION("""COMPUTED_VALUE"""),45988)</f>
        <v>45988</v>
      </c>
      <c r="H68" s="6" t="str">
        <f ca="1">IFERROR(__xludf.DUMMYFUNCTION("""COMPUTED_VALUE"""),"Albacete")</f>
        <v>Albacete</v>
      </c>
      <c r="I68" s="6" t="str">
        <f ca="1">IFERROR(__xludf.DUMMYFUNCTION("""COMPUTED_VALUE"""),"C202511271222372314")</f>
        <v>C202511271222372314</v>
      </c>
      <c r="J68" s="1" t="str">
        <f ca="1">IFERROR(__xludf.DUMMYFUNCTION("""COMPUTED_VALUE"""),"JOSE PLAZA BLAZQUEZ")</f>
        <v>JOSE PLAZA BLAZQUEZ</v>
      </c>
      <c r="K68" s="15">
        <f ca="1">IFERROR(__xludf.DUMMYFUNCTION("""COMPUTED_VALUE"""),1)</f>
        <v>1</v>
      </c>
      <c r="L68" s="21">
        <f ca="1">IFERROR(__xludf.DUMMYFUNCTION("""COMPUTED_VALUE"""),2372.73)</f>
        <v>2372.73</v>
      </c>
      <c r="M68" s="6" t="str">
        <f ca="1">IFERROR(__xludf.DUMMYFUNCTION("""COMPUTED_VALUE"""),"03 ORL")</f>
        <v>03 ORL</v>
      </c>
      <c r="N68" s="6" t="str">
        <f ca="1">IFERROR(__xludf.DUMMYFUNCTION("""COMPUTED_VALUE"""),"22 AUDIOMETRIA CLINICA")</f>
        <v>22 AUDIOMETRIA CLINICA</v>
      </c>
      <c r="O68" s="6" t="str">
        <f ca="1">IFERROR(__xludf.DUMMYFUNCTION("""COMPUTED_VALUE"""),"Dr, Manuel García López")</f>
        <v>Dr, Manuel García López</v>
      </c>
      <c r="P68" s="6" t="str">
        <f ca="1">IFERROR(__xludf.DUMMYFUNCTION("""COMPUTED_VALUE"""),"Iván Sánchez (Levante y Albacete)")</f>
        <v>Iván Sánchez (Levante y Albacete)</v>
      </c>
    </row>
    <row r="69" spans="2:16">
      <c r="B69" s="33">
        <f ca="1">IFERROR(__xludf.DUMMYFUNCTION("""COMPUTED_VALUE"""),2026)</f>
        <v>2026</v>
      </c>
      <c r="C69" s="15">
        <f ca="1">IFERROR(__xludf.DUMMYFUNCTION("""COMPUTED_VALUE"""),1)</f>
        <v>1</v>
      </c>
      <c r="D69" s="6" t="str">
        <f ca="1">IFERROR(__xludf.DUMMYFUNCTION("""COMPUTED_VALUE"""),"NO")</f>
        <v>NO</v>
      </c>
      <c r="E69" s="6" t="str">
        <f ca="1">IFERROR(__xludf.DUMMYFUNCTION("""COMPUTED_VALUE"""),"El Albir (Benidorm)")</f>
        <v>El Albir (Benidorm)</v>
      </c>
      <c r="F69" s="16">
        <f ca="1">IFERROR(__xludf.DUMMYFUNCTION("""COMPUTED_VALUE"""),46045)</f>
        <v>46045</v>
      </c>
      <c r="G69" s="16">
        <f ca="1">IFERROR(__xludf.DUMMYFUNCTION("""COMPUTED_VALUE"""),45992)</f>
        <v>45992</v>
      </c>
      <c r="H69" s="6" t="str">
        <f ca="1">IFERROR(__xludf.DUMMYFUNCTION("""COMPUTED_VALUE"""),"El Albir (Benidorm)")</f>
        <v>El Albir (Benidorm)</v>
      </c>
      <c r="I69" s="6" t="str">
        <f ca="1">IFERROR(__xludf.DUMMYFUNCTION("""COMPUTED_VALUE"""),"C202512183015487201")</f>
        <v>C202512183015487201</v>
      </c>
      <c r="J69" s="6" t="str">
        <f ca="1">IFERROR(__xludf.DUMMYFUNCTION("""COMPUTED_VALUE"""),"BERNABE  SANCHIS SANZ")</f>
        <v>BERNABE  SANCHIS SANZ</v>
      </c>
      <c r="K69" s="15">
        <f ca="1">IFERROR(__xludf.DUMMYFUNCTION("""COMPUTED_VALUE"""),2)</f>
        <v>2</v>
      </c>
      <c r="L69" s="21">
        <f ca="1">IFERROR(__xludf.DUMMYFUNCTION("""COMPUTED_VALUE"""),3631.82)</f>
        <v>3631.82</v>
      </c>
      <c r="M69" s="6" t="str">
        <f ca="1">IFERROR(__xludf.DUMMYFUNCTION("""COMPUTED_VALUE"""),"03 ORL")</f>
        <v>03 ORL</v>
      </c>
      <c r="N69" s="6" t="str">
        <f ca="1">IFERROR(__xludf.DUMMYFUNCTION("""COMPUTED_VALUE"""),"06 ORL")</f>
        <v>06 ORL</v>
      </c>
      <c r="O69" s="6" t="str">
        <f ca="1">IFERROR(__xludf.DUMMYFUNCTION("""COMPUTED_VALUE"""),"Dra, María Emilia García Ruiz")</f>
        <v>Dra, María Emilia García Ruiz</v>
      </c>
      <c r="P69" s="6" t="str">
        <f ca="1">IFERROR(__xludf.DUMMYFUNCTION("""COMPUTED_VALUE"""),"Ramon Ferrando(Valencia)")</f>
        <v>Ramon Ferrando(Valencia)</v>
      </c>
    </row>
    <row r="70" spans="2:16">
      <c r="B70" s="33">
        <f ca="1">IFERROR(__xludf.DUMMYFUNCTION("""COMPUTED_VALUE"""),2026)</f>
        <v>2026</v>
      </c>
      <c r="C70" s="15">
        <f ca="1">IFERROR(__xludf.DUMMYFUNCTION("""COMPUTED_VALUE"""),1)</f>
        <v>1</v>
      </c>
      <c r="D70" s="6" t="str">
        <f ca="1">IFERROR(__xludf.DUMMYFUNCTION("""COMPUTED_VALUE"""),"NO")</f>
        <v>NO</v>
      </c>
      <c r="E70" s="6" t="str">
        <f ca="1">IFERROR(__xludf.DUMMYFUNCTION("""COMPUTED_VALUE"""),"Valencia- Parra")</f>
        <v>Valencia- Parra</v>
      </c>
      <c r="F70" s="16">
        <f ca="1">IFERROR(__xludf.DUMMYFUNCTION("""COMPUTED_VALUE"""),46045)</f>
        <v>46045</v>
      </c>
      <c r="G70" s="16">
        <f ca="1">IFERROR(__xludf.DUMMYFUNCTION("""COMPUTED_VALUE"""),45986)</f>
        <v>45986</v>
      </c>
      <c r="H70" s="6" t="str">
        <f ca="1">IFERROR(__xludf.DUMMYFUNCTION("""COMPUTED_VALUE"""),"Valencia- Parra")</f>
        <v>Valencia- Parra</v>
      </c>
      <c r="I70" s="6" t="str">
        <f ca="1">IFERROR(__xludf.DUMMYFUNCTION("""COMPUTED_VALUE"""),"C202511251235490541")</f>
        <v>C202511251235490541</v>
      </c>
      <c r="J70" s="6" t="str">
        <f ca="1">IFERROR(__xludf.DUMMYFUNCTION("""COMPUTED_VALUE"""),"CRISTOBAL SOBREVELA LOPEZ")</f>
        <v>CRISTOBAL SOBREVELA LOPEZ</v>
      </c>
      <c r="K70" s="15">
        <f ca="1">IFERROR(__xludf.DUMMYFUNCTION("""COMPUTED_VALUE"""),2)</f>
        <v>2</v>
      </c>
      <c r="L70" s="21">
        <f ca="1">IFERROR(__xludf.DUMMYFUNCTION("""COMPUTED_VALUE"""),3631.82)</f>
        <v>3631.82</v>
      </c>
      <c r="M70" s="6" t="str">
        <f ca="1">IFERROR(__xludf.DUMMYFUNCTION("""COMPUTED_VALUE"""),"03 ORL")</f>
        <v>03 ORL</v>
      </c>
      <c r="N70" s="6" t="str">
        <f ca="1">IFERROR(__xludf.DUMMYFUNCTION("""COMPUTED_VALUE"""),"06 ORL")</f>
        <v>06 ORL</v>
      </c>
      <c r="O70" s="6" t="str">
        <f ca="1">IFERROR(__xludf.DUMMYFUNCTION("""COMPUTED_VALUE"""),"Dr, Vladimir Rubio Segarra")</f>
        <v>Dr, Vladimir Rubio Segarra</v>
      </c>
      <c r="P70" s="6" t="str">
        <f ca="1">IFERROR(__xludf.DUMMYFUNCTION("""COMPUTED_VALUE"""),"Ramon Ferrando(Valencia)")</f>
        <v>Ramon Ferrando(Valencia)</v>
      </c>
    </row>
    <row r="71" spans="2:16">
      <c r="B71" s="33">
        <f ca="1">IFERROR(__xludf.DUMMYFUNCTION("""COMPUTED_VALUE"""),2026)</f>
        <v>2026</v>
      </c>
      <c r="C71" s="15">
        <f ca="1">IFERROR(__xludf.DUMMYFUNCTION("""COMPUTED_VALUE"""),1)</f>
        <v>1</v>
      </c>
      <c r="D71" s="6" t="str">
        <f ca="1">IFERROR(__xludf.DUMMYFUNCTION("""COMPUTED_VALUE"""),"NO")</f>
        <v>NO</v>
      </c>
      <c r="E71" s="6" t="str">
        <f ca="1">IFERROR(__xludf.DUMMYFUNCTION("""COMPUTED_VALUE"""),"Valencia- Parra")</f>
        <v>Valencia- Parra</v>
      </c>
      <c r="F71" s="16">
        <f ca="1">IFERROR(__xludf.DUMMYFUNCTION("""COMPUTED_VALUE"""),46045)</f>
        <v>46045</v>
      </c>
      <c r="G71" s="16">
        <f ca="1">IFERROR(__xludf.DUMMYFUNCTION("""COMPUTED_VALUE"""),45950)</f>
        <v>45950</v>
      </c>
      <c r="H71" s="6" t="str">
        <f ca="1">IFERROR(__xludf.DUMMYFUNCTION("""COMPUTED_VALUE"""),"Valencia- Parra")</f>
        <v>Valencia- Parra</v>
      </c>
      <c r="I71" s="6" t="str">
        <f ca="1">IFERROR(__xludf.DUMMYFUNCTION("""COMPUTED_VALUE"""),"C202510201139577779")</f>
        <v>C202510201139577779</v>
      </c>
      <c r="J71" s="6" t="str">
        <f ca="1">IFERROR(__xludf.DUMMYFUNCTION("""COMPUTED_VALUE"""),"MARCOS JUSTO ROMAGUERA")</f>
        <v>MARCOS JUSTO ROMAGUERA</v>
      </c>
      <c r="K71" s="15">
        <f ca="1">IFERROR(__xludf.DUMMYFUNCTION("""COMPUTED_VALUE"""),1)</f>
        <v>1</v>
      </c>
      <c r="L71" s="21">
        <f ca="1">IFERROR(__xludf.DUMMYFUNCTION("""COMPUTED_VALUE"""),2162.73)</f>
        <v>2162.73</v>
      </c>
      <c r="M71" s="6" t="str">
        <f ca="1">IFERROR(__xludf.DUMMYFUNCTION("""COMPUTED_VALUE"""),"03 ORL")</f>
        <v>03 ORL</v>
      </c>
      <c r="N71" s="6" t="str">
        <f ca="1">IFERROR(__xludf.DUMMYFUNCTION("""COMPUTED_VALUE"""),"06 ORL")</f>
        <v>06 ORL</v>
      </c>
      <c r="O71" s="6" t="str">
        <f ca="1">IFERROR(__xludf.DUMMYFUNCTION("""COMPUTED_VALUE"""),"Dr, Carlos de Paula Vernetta")</f>
        <v>Dr, Carlos de Paula Vernetta</v>
      </c>
      <c r="P71" s="6" t="str">
        <f ca="1">IFERROR(__xludf.DUMMYFUNCTION("""COMPUTED_VALUE"""),"Ramon Ferrando(Valencia)")</f>
        <v>Ramon Ferrando(Valencia)</v>
      </c>
    </row>
    <row r="72" spans="2:16">
      <c r="B72" s="33">
        <f ca="1">IFERROR(__xludf.DUMMYFUNCTION("""COMPUTED_VALUE"""),2026)</f>
        <v>2026</v>
      </c>
      <c r="C72" s="15">
        <f ca="1">IFERROR(__xludf.DUMMYFUNCTION("""COMPUTED_VALUE"""),1)</f>
        <v>1</v>
      </c>
      <c r="D72" s="6" t="str">
        <f ca="1">IFERROR(__xludf.DUMMYFUNCTION("""COMPUTED_VALUE"""),"NO")</f>
        <v>NO</v>
      </c>
      <c r="E72" s="6" t="str">
        <f ca="1">IFERROR(__xludf.DUMMYFUNCTION("""COMPUTED_VALUE"""),"Cáceres")</f>
        <v>Cáceres</v>
      </c>
      <c r="F72" s="16">
        <f ca="1">IFERROR(__xludf.DUMMYFUNCTION("""COMPUTED_VALUE"""),46045)</f>
        <v>46045</v>
      </c>
      <c r="G72" s="16">
        <f ca="1">IFERROR(__xludf.DUMMYFUNCTION("""COMPUTED_VALUE"""),46014)</f>
        <v>46014</v>
      </c>
      <c r="H72" s="6" t="str">
        <f ca="1">IFERROR(__xludf.DUMMYFUNCTION("""COMPUTED_VALUE"""),"Cáceres")</f>
        <v>Cáceres</v>
      </c>
      <c r="I72" s="6" t="str">
        <f ca="1">IFERROR(__xludf.DUMMYFUNCTION("""COMPUTED_VALUE"""),"C202512231713186578")</f>
        <v>C202512231713186578</v>
      </c>
      <c r="J72" s="6" t="str">
        <f ca="1">IFERROR(__xludf.DUMMYFUNCTION("""COMPUTED_VALUE"""),"DAMIAN DIAZ DOMINGUEZ")</f>
        <v>DAMIAN DIAZ DOMINGUEZ</v>
      </c>
      <c r="K72" s="15">
        <f ca="1">IFERROR(__xludf.DUMMYFUNCTION("""COMPUTED_VALUE"""),2)</f>
        <v>2</v>
      </c>
      <c r="L72" s="21">
        <f ca="1">IFERROR(__xludf.DUMMYFUNCTION("""COMPUTED_VALUE"""),4500)</f>
        <v>4500</v>
      </c>
      <c r="M72" s="6" t="str">
        <f ca="1">IFERROR(__xludf.DUMMYFUNCTION("""COMPUTED_VALUE"""),"03 ORL")</f>
        <v>03 ORL</v>
      </c>
      <c r="N72" s="6" t="str">
        <f ca="1">IFERROR(__xludf.DUMMYFUNCTION("""COMPUTED_VALUE"""),"06 ORL")</f>
        <v>06 ORL</v>
      </c>
      <c r="O72" s="6" t="str">
        <f ca="1">IFERROR(__xludf.DUMMYFUNCTION("""COMPUTED_VALUE"""),"Dr, Andrés Paulino Herrera")</f>
        <v>Dr, Andrés Paulino Herrera</v>
      </c>
      <c r="P72" s="6" t="str">
        <f ca="1">IFERROR(__xludf.DUMMYFUNCTION("""COMPUTED_VALUE"""),"Lisandro Russian (Madrid, Cáceres, Toledo, Talavera y Logroño)")</f>
        <v>Lisandro Russian (Madrid, Cáceres, Toledo, Talavera y Logroño)</v>
      </c>
    </row>
    <row r="73" spans="2:16">
      <c r="B73" s="33">
        <f ca="1">IFERROR(__xludf.DUMMYFUNCTION("""COMPUTED_VALUE"""),2026)</f>
        <v>2026</v>
      </c>
      <c r="C73" s="15">
        <f ca="1">IFERROR(__xludf.DUMMYFUNCTION("""COMPUTED_VALUE"""),1)</f>
        <v>1</v>
      </c>
      <c r="D73" s="6" t="str">
        <f ca="1">IFERROR(__xludf.DUMMYFUNCTION("""COMPUTED_VALUE"""),"NO")</f>
        <v>NO</v>
      </c>
      <c r="E73" s="6" t="str">
        <f ca="1">IFERROR(__xludf.DUMMYFUNCTION("""COMPUTED_VALUE"""),"Zaragoza- León XIII")</f>
        <v>Zaragoza- León XIII</v>
      </c>
      <c r="F73" s="16">
        <f ca="1">IFERROR(__xludf.DUMMYFUNCTION("""COMPUTED_VALUE"""),46046)</f>
        <v>46046</v>
      </c>
      <c r="G73" s="16">
        <f ca="1">IFERROR(__xludf.DUMMYFUNCTION("""COMPUTED_VALUE"""),46003)</f>
        <v>46003</v>
      </c>
      <c r="H73" s="6" t="str">
        <f ca="1">IFERROR(__xludf.DUMMYFUNCTION("""COMPUTED_VALUE"""),"Zaragoza")</f>
        <v>Zaragoza</v>
      </c>
      <c r="I73" s="6" t="str">
        <f ca="1">IFERROR(__xludf.DUMMYFUNCTION("""COMPUTED_VALUE"""),"C202512121148341527")</f>
        <v>C202512121148341527</v>
      </c>
      <c r="J73" s="6" t="str">
        <f ca="1">IFERROR(__xludf.DUMMYFUNCTION("""COMPUTED_VALUE"""),"MARIA MERCEDES LÓPEZ CANTOS")</f>
        <v>MARIA MERCEDES LÓPEZ CANTOS</v>
      </c>
      <c r="K73" s="15">
        <f ca="1">IFERROR(__xludf.DUMMYFUNCTION("""COMPUTED_VALUE"""),2)</f>
        <v>2</v>
      </c>
      <c r="L73" s="21">
        <f ca="1">IFERROR(__xludf.DUMMYFUNCTION("""COMPUTED_VALUE"""),3365.38)</f>
        <v>3365.38</v>
      </c>
      <c r="M73" s="6" t="str">
        <f ca="1">IFERROR(__xludf.DUMMYFUNCTION("""COMPUTED_VALUE"""),"03 ORL")</f>
        <v>03 ORL</v>
      </c>
      <c r="N73" s="6" t="str">
        <f ca="1">IFERROR(__xludf.DUMMYFUNCTION("""COMPUTED_VALUE"""),"06 ORL")</f>
        <v>06 ORL</v>
      </c>
      <c r="O73" s="6" t="str">
        <f ca="1">IFERROR(__xludf.DUMMYFUNCTION("""COMPUTED_VALUE"""),"Dr, Rafael Fernández Liesa")</f>
        <v>Dr, Rafael Fernández Liesa</v>
      </c>
      <c r="P73" s="6" t="str">
        <f ca="1">IFERROR(__xludf.DUMMYFUNCTION("""COMPUTED_VALUE"""),"Ignacio Berdejo (Zaragoza)")</f>
        <v>Ignacio Berdejo (Zaragoza)</v>
      </c>
    </row>
    <row r="74" spans="2:16">
      <c r="B74" s="33">
        <f ca="1">IFERROR(__xludf.DUMMYFUNCTION("""COMPUTED_VALUE"""),2026)</f>
        <v>2026</v>
      </c>
      <c r="C74" s="15">
        <f ca="1">IFERROR(__xludf.DUMMYFUNCTION("""COMPUTED_VALUE"""),1)</f>
        <v>1</v>
      </c>
      <c r="D74" s="6" t="str">
        <f ca="1">IFERROR(__xludf.DUMMYFUNCTION("""COMPUTED_VALUE"""),"NO")</f>
        <v>NO</v>
      </c>
      <c r="E74" s="6" t="str">
        <f ca="1">IFERROR(__xludf.DUMMYFUNCTION("""COMPUTED_VALUE"""),"Barcelona- Córcega")</f>
        <v>Barcelona- Córcega</v>
      </c>
      <c r="F74" s="16">
        <f ca="1">IFERROR(__xludf.DUMMYFUNCTION("""COMPUTED_VALUE"""),46048)</f>
        <v>46048</v>
      </c>
      <c r="G74" s="16">
        <f ca="1">IFERROR(__xludf.DUMMYFUNCTION("""COMPUTED_VALUE"""),45987)</f>
        <v>45987</v>
      </c>
      <c r="H74" s="6" t="str">
        <f ca="1">IFERROR(__xludf.DUMMYFUNCTION("""COMPUTED_VALUE"""),"Córcega")</f>
        <v>Córcega</v>
      </c>
      <c r="I74" s="6" t="str">
        <f ca="1">IFERROR(__xludf.DUMMYFUNCTION("""COMPUTED_VALUE"""),"C202511261218486321")</f>
        <v>C202511261218486321</v>
      </c>
      <c r="J74" s="6" t="str">
        <f ca="1">IFERROR(__xludf.DUMMYFUNCTION("""COMPUTED_VALUE"""),"Maria Pilar Sanchez Sanchez")</f>
        <v>Maria Pilar Sanchez Sanchez</v>
      </c>
      <c r="K74" s="15">
        <f ca="1">IFERROR(__xludf.DUMMYFUNCTION("""COMPUTED_VALUE"""),2)</f>
        <v>2</v>
      </c>
      <c r="L74" s="21">
        <f ca="1">IFERROR(__xludf.DUMMYFUNCTION("""COMPUTED_VALUE"""),3631.82)</f>
        <v>3631.82</v>
      </c>
      <c r="M74" s="6" t="str">
        <f ca="1">IFERROR(__xludf.DUMMYFUNCTION("""COMPUTED_VALUE"""),"03 ORL")</f>
        <v>03 ORL</v>
      </c>
      <c r="N74" s="6" t="str">
        <f ca="1">IFERROR(__xludf.DUMMYFUNCTION("""COMPUTED_VALUE"""),"06 ORL")</f>
        <v>06 ORL</v>
      </c>
      <c r="O74" s="6" t="str">
        <f ca="1">IFERROR(__xludf.DUMMYFUNCTION("""COMPUTED_VALUE"""),"Dr, Jesus-Maria Grasa Pérez")</f>
        <v>Dr, Jesus-Maria Grasa Pérez</v>
      </c>
      <c r="P74" s="6" t="str">
        <f ca="1">IFERROR(__xludf.DUMMYFUNCTION("""COMPUTED_VALUE"""),"Mercè Cabrera (Cataluña y Baleares)")</f>
        <v>Mercè Cabrera (Cataluña y Baleares)</v>
      </c>
    </row>
    <row r="75" spans="2:16">
      <c r="B75" s="33">
        <f ca="1">IFERROR(__xludf.DUMMYFUNCTION("""COMPUTED_VALUE"""),2026)</f>
        <v>2026</v>
      </c>
      <c r="C75" s="15">
        <f ca="1">IFERROR(__xludf.DUMMYFUNCTION("""COMPUTED_VALUE"""),1)</f>
        <v>1</v>
      </c>
      <c r="D75" s="6" t="str">
        <f ca="1">IFERROR(__xludf.DUMMYFUNCTION("""COMPUTED_VALUE"""),"NO")</f>
        <v>NO</v>
      </c>
      <c r="E75" s="6" t="str">
        <f ca="1">IFERROR(__xludf.DUMMYFUNCTION("""COMPUTED_VALUE"""),"San Javier")</f>
        <v>San Javier</v>
      </c>
      <c r="F75" s="16">
        <f ca="1">IFERROR(__xludf.DUMMYFUNCTION("""COMPUTED_VALUE"""),46048)</f>
        <v>46048</v>
      </c>
      <c r="G75" s="16">
        <f ca="1">IFERROR(__xludf.DUMMYFUNCTION("""COMPUTED_VALUE"""),46008)</f>
        <v>46008</v>
      </c>
      <c r="H75" s="6" t="str">
        <f ca="1">IFERROR(__xludf.DUMMYFUNCTION("""COMPUTED_VALUE"""),"San Javier")</f>
        <v>San Javier</v>
      </c>
      <c r="I75" s="6" t="str">
        <f ca="1">IFERROR(__xludf.DUMMYFUNCTION("""COMPUTED_VALUE"""),"C202512171228417197")</f>
        <v>C202512171228417197</v>
      </c>
      <c r="J75" s="6" t="str">
        <f ca="1">IFERROR(__xludf.DUMMYFUNCTION("""COMPUTED_VALUE"""),"EVA VARELA TOJO")</f>
        <v>EVA VARELA TOJO</v>
      </c>
      <c r="K75" s="15">
        <f ca="1">IFERROR(__xludf.DUMMYFUNCTION("""COMPUTED_VALUE"""),2)</f>
        <v>2</v>
      </c>
      <c r="L75" s="21">
        <f ca="1">IFERROR(__xludf.DUMMYFUNCTION("""COMPUTED_VALUE"""),3631.82)</f>
        <v>3631.82</v>
      </c>
      <c r="M75" s="6" t="str">
        <f ca="1">IFERROR(__xludf.DUMMYFUNCTION("""COMPUTED_VALUE"""),"03 ORL")</f>
        <v>03 ORL</v>
      </c>
      <c r="N75" s="6" t="str">
        <f ca="1">IFERROR(__xludf.DUMMYFUNCTION("""COMPUTED_VALUE"""),"06 ORL")</f>
        <v>06 ORL</v>
      </c>
      <c r="O75" s="6" t="str">
        <f ca="1">IFERROR(__xludf.DUMMYFUNCTION("""COMPUTED_VALUE"""),"Dr, Andrés Barrios Recio")</f>
        <v>Dr, Andrés Barrios Recio</v>
      </c>
      <c r="P75" s="6" t="str">
        <f ca="1">IFERROR(__xludf.DUMMYFUNCTION("""COMPUTED_VALUE"""),"Iván Sánchez (Levante y Albacete)")</f>
        <v>Iván Sánchez (Levante y Albacete)</v>
      </c>
    </row>
    <row r="76" spans="2:16">
      <c r="B76" s="33">
        <f ca="1">IFERROR(__xludf.DUMMYFUNCTION("""COMPUTED_VALUE"""),2026)</f>
        <v>2026</v>
      </c>
      <c r="C76" s="15">
        <f ca="1">IFERROR(__xludf.DUMMYFUNCTION("""COMPUTED_VALUE"""),1)</f>
        <v>1</v>
      </c>
      <c r="D76" s="6" t="str">
        <f ca="1">IFERROR(__xludf.DUMMYFUNCTION("""COMPUTED_VALUE"""),"NO")</f>
        <v>NO</v>
      </c>
      <c r="E76" s="6" t="str">
        <f ca="1">IFERROR(__xludf.DUMMYFUNCTION("""COMPUTED_VALUE"""),"Murcia")</f>
        <v>Murcia</v>
      </c>
      <c r="F76" s="16">
        <f ca="1">IFERROR(__xludf.DUMMYFUNCTION("""COMPUTED_VALUE"""),46048)</f>
        <v>46048</v>
      </c>
      <c r="G76" s="16">
        <f ca="1">IFERROR(__xludf.DUMMYFUNCTION("""COMPUTED_VALUE"""),45995)</f>
        <v>45995</v>
      </c>
      <c r="H76" s="6" t="str">
        <f ca="1">IFERROR(__xludf.DUMMYFUNCTION("""COMPUTED_VALUE"""),"Murcia")</f>
        <v>Murcia</v>
      </c>
      <c r="I76" s="6" t="str">
        <f ca="1">IFERROR(__xludf.DUMMYFUNCTION("""COMPUTED_VALUE"""),"C202512410121341481")</f>
        <v>C202512410121341481</v>
      </c>
      <c r="J76" s="6" t="str">
        <f ca="1">IFERROR(__xludf.DUMMYFUNCTION("""COMPUTED_VALUE"""),"JULIA MARIA ARQUEROS AMAT")</f>
        <v>JULIA MARIA ARQUEROS AMAT</v>
      </c>
      <c r="K76" s="15">
        <f ca="1">IFERROR(__xludf.DUMMYFUNCTION("""COMPUTED_VALUE"""),2)</f>
        <v>2</v>
      </c>
      <c r="L76" s="21">
        <f ca="1">IFERROR(__xludf.DUMMYFUNCTION("""COMPUTED_VALUE"""),3631.83)</f>
        <v>3631.83</v>
      </c>
      <c r="M76" s="6" t="str">
        <f ca="1">IFERROR(__xludf.DUMMYFUNCTION("""COMPUTED_VALUE"""),"03 ORL")</f>
        <v>03 ORL</v>
      </c>
      <c r="N76" s="6" t="str">
        <f ca="1">IFERROR(__xludf.DUMMYFUNCTION("""COMPUTED_VALUE"""),"06 ORL")</f>
        <v>06 ORL</v>
      </c>
      <c r="O76" s="6" t="str">
        <f ca="1">IFERROR(__xludf.DUMMYFUNCTION("""COMPUTED_VALUE"""),"Dra, Beatriz Rodríguez González Herrero")</f>
        <v>Dra, Beatriz Rodríguez González Herrero</v>
      </c>
      <c r="P76" s="6" t="str">
        <f ca="1">IFERROR(__xludf.DUMMYFUNCTION("""COMPUTED_VALUE"""),"Iván Sánchez (Levante y Albacete)")</f>
        <v>Iván Sánchez (Levante y Albacete)</v>
      </c>
    </row>
    <row r="77" spans="2:16">
      <c r="B77" s="33">
        <f ca="1">IFERROR(__xludf.DUMMYFUNCTION("""COMPUTED_VALUE"""),2026)</f>
        <v>2026</v>
      </c>
      <c r="C77" s="15">
        <f ca="1">IFERROR(__xludf.DUMMYFUNCTION("""COMPUTED_VALUE"""),1)</f>
        <v>1</v>
      </c>
      <c r="D77" s="6" t="str">
        <f ca="1">IFERROR(__xludf.DUMMYFUNCTION("""COMPUTED_VALUE"""),"NO")</f>
        <v>NO</v>
      </c>
      <c r="E77" s="6" t="str">
        <f ca="1">IFERROR(__xludf.DUMMYFUNCTION("""COMPUTED_VALUE"""),"El Albir (Benidorm)")</f>
        <v>El Albir (Benidorm)</v>
      </c>
      <c r="F77" s="16">
        <f ca="1">IFERROR(__xludf.DUMMYFUNCTION("""COMPUTED_VALUE"""),46048)</f>
        <v>46048</v>
      </c>
      <c r="G77" s="16">
        <f ca="1">IFERROR(__xludf.DUMMYFUNCTION("""COMPUTED_VALUE"""),46003)</f>
        <v>46003</v>
      </c>
      <c r="H77" s="6" t="str">
        <f ca="1">IFERROR(__xludf.DUMMYFUNCTION("""COMPUTED_VALUE"""),"El Albir (Benidorm)")</f>
        <v>El Albir (Benidorm)</v>
      </c>
      <c r="I77" s="6" t="str">
        <f ca="1">IFERROR(__xludf.DUMMYFUNCTION("""COMPUTED_VALUE"""),"C202512121026113021")</f>
        <v>C202512121026113021</v>
      </c>
      <c r="J77" s="6" t="str">
        <f ca="1">IFERROR(__xludf.DUMMYFUNCTION("""COMPUTED_VALUE"""),"FRANCISCA MATA PEREZ")</f>
        <v>FRANCISCA MATA PEREZ</v>
      </c>
      <c r="K77" s="15">
        <f ca="1">IFERROR(__xludf.DUMMYFUNCTION("""COMPUTED_VALUE"""),2)</f>
        <v>2</v>
      </c>
      <c r="L77" s="21">
        <f ca="1">IFERROR(__xludf.DUMMYFUNCTION("""COMPUTED_VALUE"""),2718.18)</f>
        <v>2718.18</v>
      </c>
      <c r="M77" s="6" t="str">
        <f ca="1">IFERROR(__xludf.DUMMYFUNCTION("""COMPUTED_VALUE"""),"03 ORL")</f>
        <v>03 ORL</v>
      </c>
      <c r="N77" s="6" t="str">
        <f ca="1">IFERROR(__xludf.DUMMYFUNCTION("""COMPUTED_VALUE"""),"06 ORL")</f>
        <v>06 ORL</v>
      </c>
      <c r="O77" s="6" t="str">
        <f ca="1">IFERROR(__xludf.DUMMYFUNCTION("""COMPUTED_VALUE"""),"Dr, Lino Enguidanos Hernandorena")</f>
        <v>Dr, Lino Enguidanos Hernandorena</v>
      </c>
      <c r="P77" s="6" t="str">
        <f ca="1">IFERROR(__xludf.DUMMYFUNCTION("""COMPUTED_VALUE"""),"Ramon Ferrando(Valencia)")</f>
        <v>Ramon Ferrando(Valencia)</v>
      </c>
    </row>
    <row r="78" spans="2:16">
      <c r="B78" s="33">
        <f ca="1">IFERROR(__xludf.DUMMYFUNCTION("""COMPUTED_VALUE"""),2026)</f>
        <v>2026</v>
      </c>
      <c r="C78" s="15">
        <f ca="1">IFERROR(__xludf.DUMMYFUNCTION("""COMPUTED_VALUE"""),1)</f>
        <v>1</v>
      </c>
      <c r="D78" s="6" t="str">
        <f ca="1">IFERROR(__xludf.DUMMYFUNCTION("""COMPUTED_VALUE"""),"NO")</f>
        <v>NO</v>
      </c>
      <c r="E78" s="6" t="str">
        <f ca="1">IFERROR(__xludf.DUMMYFUNCTION("""COMPUTED_VALUE"""),"Toledo")</f>
        <v>Toledo</v>
      </c>
      <c r="F78" s="16">
        <f ca="1">IFERROR(__xludf.DUMMYFUNCTION("""COMPUTED_VALUE"""),46048)</f>
        <v>46048</v>
      </c>
      <c r="G78" s="16">
        <f ca="1">IFERROR(__xludf.DUMMYFUNCTION("""COMPUTED_VALUE"""),45987)</f>
        <v>45987</v>
      </c>
      <c r="H78" s="6" t="str">
        <f ca="1">IFERROR(__xludf.DUMMYFUNCTION("""COMPUTED_VALUE"""),"Toledo")</f>
        <v>Toledo</v>
      </c>
      <c r="I78" s="6" t="str">
        <f ca="1">IFERROR(__xludf.DUMMYFUNCTION("""COMPUTED_VALUE"""),"C202511269485787430")</f>
        <v>C202511269485787430</v>
      </c>
      <c r="J78" s="6" t="str">
        <f ca="1">IFERROR(__xludf.DUMMYFUNCTION("""COMPUTED_VALUE"""),"Primitivo Garcia Ruiz")</f>
        <v>Primitivo Garcia Ruiz</v>
      </c>
      <c r="K78" s="15">
        <f ca="1">IFERROR(__xludf.DUMMYFUNCTION("""COMPUTED_VALUE"""),2)</f>
        <v>2</v>
      </c>
      <c r="L78" s="21">
        <f ca="1">IFERROR(__xludf.DUMMYFUNCTION("""COMPUTED_VALUE"""),2718.18)</f>
        <v>2718.18</v>
      </c>
      <c r="M78" s="6" t="str">
        <f ca="1">IFERROR(__xludf.DUMMYFUNCTION("""COMPUTED_VALUE"""),"03 ORL")</f>
        <v>03 ORL</v>
      </c>
      <c r="N78" s="6" t="str">
        <f ca="1">IFERROR(__xludf.DUMMYFUNCTION("""COMPUTED_VALUE"""),"06 ORL")</f>
        <v>06 ORL</v>
      </c>
      <c r="O78" s="6" t="str">
        <f ca="1">IFERROR(__xludf.DUMMYFUNCTION("""COMPUTED_VALUE"""),"Dra, María Garrote Garrote")</f>
        <v>Dra, María Garrote Garrote</v>
      </c>
      <c r="P78" s="6" t="str">
        <f ca="1">IFERROR(__xludf.DUMMYFUNCTION("""COMPUTED_VALUE"""),"Maika Blázquez (Madrid)")</f>
        <v>Maika Blázquez (Madrid)</v>
      </c>
    </row>
    <row r="79" spans="2:16">
      <c r="B79" s="33">
        <f ca="1">IFERROR(__xludf.DUMMYFUNCTION("""COMPUTED_VALUE"""),2026)</f>
        <v>2026</v>
      </c>
      <c r="C79" s="15">
        <f ca="1">IFERROR(__xludf.DUMMYFUNCTION("""COMPUTED_VALUE"""),1)</f>
        <v>1</v>
      </c>
      <c r="D79" s="6" t="str">
        <f ca="1">IFERROR(__xludf.DUMMYFUNCTION("""COMPUTED_VALUE"""),"NO")</f>
        <v>NO</v>
      </c>
      <c r="E79" s="6" t="str">
        <f ca="1">IFERROR(__xludf.DUMMYFUNCTION("""COMPUTED_VALUE"""),"Barcelona- Córcega")</f>
        <v>Barcelona- Córcega</v>
      </c>
      <c r="F79" s="16">
        <f ca="1">IFERROR(__xludf.DUMMYFUNCTION("""COMPUTED_VALUE"""),46048)</f>
        <v>46048</v>
      </c>
      <c r="G79" s="16">
        <f ca="1">IFERROR(__xludf.DUMMYFUNCTION("""COMPUTED_VALUE"""),46029)</f>
        <v>46029</v>
      </c>
      <c r="H79" s="6" t="str">
        <f ca="1">IFERROR(__xludf.DUMMYFUNCTION("""COMPUTED_VALUE"""),"Córcega")</f>
        <v>Córcega</v>
      </c>
      <c r="I79" s="6" t="str">
        <f ca="1">IFERROR(__xludf.DUMMYFUNCTION("""COMPUTED_VALUE"""),"C202617113410376988")</f>
        <v>C202617113410376988</v>
      </c>
      <c r="J79" s="6" t="str">
        <f ca="1">IFERROR(__xludf.DUMMYFUNCTION("""COMPUTED_VALUE"""),"Ana Maria Cano Rafael")</f>
        <v>Ana Maria Cano Rafael</v>
      </c>
      <c r="K79" s="15">
        <f ca="1">IFERROR(__xludf.DUMMYFUNCTION("""COMPUTED_VALUE"""),2)</f>
        <v>2</v>
      </c>
      <c r="L79" s="21">
        <f ca="1">IFERROR(__xludf.DUMMYFUNCTION("""COMPUTED_VALUE"""),4536.36)</f>
        <v>4536.3599999999997</v>
      </c>
      <c r="M79" s="6" t="str">
        <f ca="1">IFERROR(__xludf.DUMMYFUNCTION("""COMPUTED_VALUE"""),"03 ORL")</f>
        <v>03 ORL</v>
      </c>
      <c r="N79" s="6" t="str">
        <f ca="1">IFERROR(__xludf.DUMMYFUNCTION("""COMPUTED_VALUE"""),"06 ORL")</f>
        <v>06 ORL</v>
      </c>
      <c r="O79" s="6" t="str">
        <f ca="1">IFERROR(__xludf.DUMMYFUNCTION("""COMPUTED_VALUE"""),"Dra, Nesly Illely González Sánchez")</f>
        <v>Dra, Nesly Illely González Sánchez</v>
      </c>
      <c r="P79" s="6" t="str">
        <f ca="1">IFERROR(__xludf.DUMMYFUNCTION("""COMPUTED_VALUE"""),"Mercè Cabrera (Cataluña y Baleares)")</f>
        <v>Mercè Cabrera (Cataluña y Baleares)</v>
      </c>
    </row>
    <row r="80" spans="2:16">
      <c r="B80" s="33">
        <f ca="1">IFERROR(__xludf.DUMMYFUNCTION("""COMPUTED_VALUE"""),2026)</f>
        <v>2026</v>
      </c>
      <c r="C80" s="15">
        <f ca="1">IFERROR(__xludf.DUMMYFUNCTION("""COMPUTED_VALUE"""),1)</f>
        <v>1</v>
      </c>
      <c r="D80" s="6" t="str">
        <f ca="1">IFERROR(__xludf.DUMMYFUNCTION("""COMPUTED_VALUE"""),"NO")</f>
        <v>NO</v>
      </c>
      <c r="E80" s="6" t="str">
        <f ca="1">IFERROR(__xludf.DUMMYFUNCTION("""COMPUTED_VALUE"""),"Sevilla- Montoto")</f>
        <v>Sevilla- Montoto</v>
      </c>
      <c r="F80" s="16">
        <f ca="1">IFERROR(__xludf.DUMMYFUNCTION("""COMPUTED_VALUE"""),46048)</f>
        <v>46048</v>
      </c>
      <c r="G80" s="16">
        <f ca="1">IFERROR(__xludf.DUMMYFUNCTION("""COMPUTED_VALUE"""),45973)</f>
        <v>45973</v>
      </c>
      <c r="H80" s="6" t="str">
        <f ca="1">IFERROR(__xludf.DUMMYFUNCTION("""COMPUTED_VALUE"""),"Montoto")</f>
        <v>Montoto</v>
      </c>
      <c r="I80" s="6" t="str">
        <f ca="1">IFERROR(__xludf.DUMMYFUNCTION("""COMPUTED_VALUE"""),"C202511121127351007")</f>
        <v>C202511121127351007</v>
      </c>
      <c r="J80" s="6" t="str">
        <f ca="1">IFERROR(__xludf.DUMMYFUNCTION("""COMPUTED_VALUE"""),"MARIA LUISA GRANADOS MAGUILLA")</f>
        <v>MARIA LUISA GRANADOS MAGUILLA</v>
      </c>
      <c r="K80" s="15">
        <f ca="1">IFERROR(__xludf.DUMMYFUNCTION("""COMPUTED_VALUE"""),2)</f>
        <v>2</v>
      </c>
      <c r="L80" s="21">
        <f ca="1">IFERROR(__xludf.DUMMYFUNCTION("""COMPUTED_VALUE"""),3631.82)</f>
        <v>3631.82</v>
      </c>
      <c r="M80" s="6" t="str">
        <f ca="1">IFERROR(__xludf.DUMMYFUNCTION("""COMPUTED_VALUE"""),"03 ORL")</f>
        <v>03 ORL</v>
      </c>
      <c r="N80" s="6" t="str">
        <f ca="1">IFERROR(__xludf.DUMMYFUNCTION("""COMPUTED_VALUE"""),"06 ORL")</f>
        <v>06 ORL</v>
      </c>
      <c r="O80" s="6" t="str">
        <f ca="1">IFERROR(__xludf.DUMMYFUNCTION("""COMPUTED_VALUE"""),"Dr, Jesús Crovato Rojas")</f>
        <v>Dr, Jesús Crovato Rojas</v>
      </c>
      <c r="P80" s="6" t="str">
        <f ca="1">IFERROR(__xludf.DUMMYFUNCTION("""COMPUTED_VALUE"""),"Luis Alberto Rodríguez (Andalucía y Badajoz)")</f>
        <v>Luis Alberto Rodríguez (Andalucía y Badajoz)</v>
      </c>
    </row>
    <row r="81" spans="2:16">
      <c r="B81" s="33">
        <f ca="1">IFERROR(__xludf.DUMMYFUNCTION("""COMPUTED_VALUE"""),2026)</f>
        <v>2026</v>
      </c>
      <c r="C81" s="15">
        <f ca="1">IFERROR(__xludf.DUMMYFUNCTION("""COMPUTED_VALUE"""),1)</f>
        <v>1</v>
      </c>
      <c r="D81" s="6" t="str">
        <f ca="1">IFERROR(__xludf.DUMMYFUNCTION("""COMPUTED_VALUE"""),"NO")</f>
        <v>NO</v>
      </c>
      <c r="E81" s="6" t="str">
        <f ca="1">IFERROR(__xludf.DUMMYFUNCTION("""COMPUTED_VALUE"""),"Alicante")</f>
        <v>Alicante</v>
      </c>
      <c r="F81" s="16">
        <f ca="1">IFERROR(__xludf.DUMMYFUNCTION("""COMPUTED_VALUE"""),46049)</f>
        <v>46049</v>
      </c>
      <c r="G81" s="16">
        <f ca="1">IFERROR(__xludf.DUMMYFUNCTION("""COMPUTED_VALUE"""),46017)</f>
        <v>46017</v>
      </c>
      <c r="H81" s="6" t="str">
        <f ca="1">IFERROR(__xludf.DUMMYFUNCTION("""COMPUTED_VALUE"""),"Alicante")</f>
        <v>Alicante</v>
      </c>
      <c r="I81" s="6" t="str">
        <f ca="1">IFERROR(__xludf.DUMMYFUNCTION("""COMPUTED_VALUE"""),"C202512261157304222")</f>
        <v>C202512261157304222</v>
      </c>
      <c r="J81" s="6" t="str">
        <f ca="1">IFERROR(__xludf.DUMMYFUNCTION("""COMPUTED_VALUE"""),"PEDRO ESPINOSA SAN NICOLAS")</f>
        <v>PEDRO ESPINOSA SAN NICOLAS</v>
      </c>
      <c r="K81" s="15">
        <f ca="1">IFERROR(__xludf.DUMMYFUNCTION("""COMPUTED_VALUE"""),2)</f>
        <v>2</v>
      </c>
      <c r="L81" s="21">
        <f ca="1">IFERROR(__xludf.DUMMYFUNCTION("""COMPUTED_VALUE"""),2718.18)</f>
        <v>2718.18</v>
      </c>
      <c r="M81" s="6" t="str">
        <f ca="1">IFERROR(__xludf.DUMMYFUNCTION("""COMPUTED_VALUE"""),"03 ORL")</f>
        <v>03 ORL</v>
      </c>
      <c r="N81" s="6" t="str">
        <f ca="1">IFERROR(__xludf.DUMMYFUNCTION("""COMPUTED_VALUE"""),"06 ORL")</f>
        <v>06 ORL</v>
      </c>
      <c r="O81" s="6" t="str">
        <f ca="1">IFERROR(__xludf.DUMMYFUNCTION("""COMPUTED_VALUE"""),"Dra, Karen Rojas Crespo")</f>
        <v>Dra, Karen Rojas Crespo</v>
      </c>
      <c r="P81" s="6" t="str">
        <f ca="1">IFERROR(__xludf.DUMMYFUNCTION("""COMPUTED_VALUE"""),"Iván Sánchez (Levante y Albacete)")</f>
        <v>Iván Sánchez (Levante y Albacete)</v>
      </c>
    </row>
    <row r="82" spans="2:16">
      <c r="B82" s="33">
        <f ca="1">IFERROR(__xludf.DUMMYFUNCTION("""COMPUTED_VALUE"""),2026)</f>
        <v>2026</v>
      </c>
      <c r="C82" s="15">
        <f ca="1">IFERROR(__xludf.DUMMYFUNCTION("""COMPUTED_VALUE"""),1)</f>
        <v>1</v>
      </c>
      <c r="D82" s="6" t="str">
        <f ca="1">IFERROR(__xludf.DUMMYFUNCTION("""COMPUTED_VALUE"""),"NO")</f>
        <v>NO</v>
      </c>
      <c r="E82" s="6" t="str">
        <f ca="1">IFERROR(__xludf.DUMMYFUNCTION("""COMPUTED_VALUE"""),"Fuenlabrada")</f>
        <v>Fuenlabrada</v>
      </c>
      <c r="F82" s="16">
        <f ca="1">IFERROR(__xludf.DUMMYFUNCTION("""COMPUTED_VALUE"""),46049)</f>
        <v>46049</v>
      </c>
      <c r="G82" s="16">
        <f ca="1">IFERROR(__xludf.DUMMYFUNCTION("""COMPUTED_VALUE"""),46003)</f>
        <v>46003</v>
      </c>
      <c r="H82" s="6" t="str">
        <f ca="1">IFERROR(__xludf.DUMMYFUNCTION("""COMPUTED_VALUE"""),"Fuenlabrada")</f>
        <v>Fuenlabrada</v>
      </c>
      <c r="I82" s="6" t="str">
        <f ca="1">IFERROR(__xludf.DUMMYFUNCTION("""COMPUTED_VALUE"""),"C202512121025258882")</f>
        <v>C202512121025258882</v>
      </c>
      <c r="J82" s="6" t="str">
        <f ca="1">IFERROR(__xludf.DUMMYFUNCTION("""COMPUTED_VALUE"""),"TERESA CASTILLO GARCIA")</f>
        <v>TERESA CASTILLO GARCIA</v>
      </c>
      <c r="K82" s="15">
        <f ca="1">IFERROR(__xludf.DUMMYFUNCTION("""COMPUTED_VALUE"""),1)</f>
        <v>1</v>
      </c>
      <c r="L82" s="21">
        <f ca="1">IFERROR(__xludf.DUMMYFUNCTION("""COMPUTED_VALUE"""),1631.82)</f>
        <v>1631.82</v>
      </c>
      <c r="M82" s="6" t="str">
        <f ca="1">IFERROR(__xludf.DUMMYFUNCTION("""COMPUTED_VALUE"""),"03 ORL")</f>
        <v>03 ORL</v>
      </c>
      <c r="N82" s="6" t="str">
        <f ca="1">IFERROR(__xludf.DUMMYFUNCTION("""COMPUTED_VALUE"""),"06 ORL")</f>
        <v>06 ORL</v>
      </c>
      <c r="O82" s="6" t="str">
        <f ca="1">IFERROR(__xludf.DUMMYFUNCTION("""COMPUTED_VALUE"""),"Dra, Anastasiya Audiyuk Martynyuk")</f>
        <v>Dra, Anastasiya Audiyuk Martynyuk</v>
      </c>
      <c r="P82" s="6" t="str">
        <f ca="1">IFERROR(__xludf.DUMMYFUNCTION("""COMPUTED_VALUE"""),"Maika Blázquez (Madrid)")</f>
        <v>Maika Blázquez (Madrid)</v>
      </c>
    </row>
    <row r="83" spans="2:16">
      <c r="B83" s="33">
        <f ca="1">IFERROR(__xludf.DUMMYFUNCTION("""COMPUTED_VALUE"""),2026)</f>
        <v>2026</v>
      </c>
      <c r="C83" s="15">
        <f ca="1">IFERROR(__xludf.DUMMYFUNCTION("""COMPUTED_VALUE"""),1)</f>
        <v>1</v>
      </c>
      <c r="D83" s="6" t="str">
        <f ca="1">IFERROR(__xludf.DUMMYFUNCTION("""COMPUTED_VALUE"""),"NO")</f>
        <v>NO</v>
      </c>
      <c r="E83" s="6" t="str">
        <f ca="1">IFERROR(__xludf.DUMMYFUNCTION("""COMPUTED_VALUE"""),"Hospitalet de Llobregat")</f>
        <v>Hospitalet de Llobregat</v>
      </c>
      <c r="F83" s="16">
        <f ca="1">IFERROR(__xludf.DUMMYFUNCTION("""COMPUTED_VALUE"""),46049)</f>
        <v>46049</v>
      </c>
      <c r="G83" s="16">
        <f ca="1">IFERROR(__xludf.DUMMYFUNCTION("""COMPUTED_VALUE"""),45979)</f>
        <v>45979</v>
      </c>
      <c r="H83" s="6" t="str">
        <f ca="1">IFERROR(__xludf.DUMMYFUNCTION("""COMPUTED_VALUE"""),"Hospitalet")</f>
        <v>Hospitalet</v>
      </c>
      <c r="I83" s="6" t="str">
        <f ca="1">IFERROR(__xludf.DUMMYFUNCTION("""COMPUTED_VALUE"""),"C202511181545320772")</f>
        <v>C202511181545320772</v>
      </c>
      <c r="J83" s="6" t="str">
        <f ca="1">IFERROR(__xludf.DUMMYFUNCTION("""COMPUTED_VALUE"""),"PAULA RUIZ ORTEGA")</f>
        <v>PAULA RUIZ ORTEGA</v>
      </c>
      <c r="K83" s="15">
        <f ca="1">IFERROR(__xludf.DUMMYFUNCTION("""COMPUTED_VALUE"""),1)</f>
        <v>1</v>
      </c>
      <c r="L83" s="21">
        <f ca="1">IFERROR(__xludf.DUMMYFUNCTION("""COMPUTED_VALUE"""),2481.82)</f>
        <v>2481.8200000000002</v>
      </c>
      <c r="M83" s="6" t="str">
        <f ca="1">IFERROR(__xludf.DUMMYFUNCTION("""COMPUTED_VALUE"""),"03 ORL")</f>
        <v>03 ORL</v>
      </c>
      <c r="N83" s="6" t="str">
        <f ca="1">IFERROR(__xludf.DUMMYFUNCTION("""COMPUTED_VALUE"""),"06 ORL")</f>
        <v>06 ORL</v>
      </c>
      <c r="O83" s="6" t="str">
        <f ca="1">IFERROR(__xludf.DUMMYFUNCTION("""COMPUTED_VALUE"""),"Dr, Albert Pla Esperanzi")</f>
        <v>Dr, Albert Pla Esperanzi</v>
      </c>
      <c r="P83" s="6" t="str">
        <f ca="1">IFERROR(__xludf.DUMMYFUNCTION("""COMPUTED_VALUE"""),"Mercè Cabrera (Cataluña y Baleares)")</f>
        <v>Mercè Cabrera (Cataluña y Baleares)</v>
      </c>
    </row>
    <row r="84" spans="2:16">
      <c r="B84" s="33">
        <f ca="1">IFERROR(__xludf.DUMMYFUNCTION("""COMPUTED_VALUE"""),2026)</f>
        <v>2026</v>
      </c>
      <c r="C84" s="15">
        <f ca="1">IFERROR(__xludf.DUMMYFUNCTION("""COMPUTED_VALUE"""),1)</f>
        <v>1</v>
      </c>
      <c r="D84" s="6" t="str">
        <f ca="1">IFERROR(__xludf.DUMMYFUNCTION("""COMPUTED_VALUE"""),"NO")</f>
        <v>NO</v>
      </c>
      <c r="E84" s="6" t="str">
        <f ca="1">IFERROR(__xludf.DUMMYFUNCTION("""COMPUTED_VALUE"""),"Madrid- Juan Bravo")</f>
        <v>Madrid- Juan Bravo</v>
      </c>
      <c r="F84" s="16">
        <f ca="1">IFERROR(__xludf.DUMMYFUNCTION("""COMPUTED_VALUE"""),46049)</f>
        <v>46049</v>
      </c>
      <c r="G84" s="16">
        <f ca="1">IFERROR(__xludf.DUMMYFUNCTION("""COMPUTED_VALUE"""),46024)</f>
        <v>46024</v>
      </c>
      <c r="H84" s="6" t="str">
        <f ca="1">IFERROR(__xludf.DUMMYFUNCTION("""COMPUTED_VALUE"""),"Juan Bravo")</f>
        <v>Juan Bravo</v>
      </c>
      <c r="I84" s="6" t="str">
        <f ca="1">IFERROR(__xludf.DUMMYFUNCTION("""COMPUTED_VALUE"""),"C20261292625074298")</f>
        <v>C20261292625074298</v>
      </c>
      <c r="J84" s="6" t="str">
        <f ca="1">IFERROR(__xludf.DUMMYFUNCTION("""COMPUTED_VALUE"""),"JOSEFA GOMEZ DE ENTERRIA SANCHEZ")</f>
        <v>JOSEFA GOMEZ DE ENTERRIA SANCHEZ</v>
      </c>
      <c r="K84" s="15">
        <f ca="1">IFERROR(__xludf.DUMMYFUNCTION("""COMPUTED_VALUE"""),2)</f>
        <v>2</v>
      </c>
      <c r="L84" s="21">
        <f ca="1">IFERROR(__xludf.DUMMYFUNCTION("""COMPUTED_VALUE"""),4536.36)</f>
        <v>4536.3599999999997</v>
      </c>
      <c r="M84" s="6" t="str">
        <f ca="1">IFERROR(__xludf.DUMMYFUNCTION("""COMPUTED_VALUE"""),"03 ORL")</f>
        <v>03 ORL</v>
      </c>
      <c r="N84" s="6" t="str">
        <f ca="1">IFERROR(__xludf.DUMMYFUNCTION("""COMPUTED_VALUE"""),"06 ORL")</f>
        <v>06 ORL</v>
      </c>
      <c r="O84" s="6" t="str">
        <f ca="1">IFERROR(__xludf.DUMMYFUNCTION("""COMPUTED_VALUE"""),"Dr, Javier García Domínguez")</f>
        <v>Dr, Javier García Domínguez</v>
      </c>
      <c r="P84" s="6" t="str">
        <f ca="1">IFERROR(__xludf.DUMMYFUNCTION("""COMPUTED_VALUE"""),"Maika Blázquez (Madrid)")</f>
        <v>Maika Blázquez (Madrid)</v>
      </c>
    </row>
    <row r="85" spans="2:16">
      <c r="B85" s="33">
        <f ca="1">IFERROR(__xludf.DUMMYFUNCTION("""COMPUTED_VALUE"""),2026)</f>
        <v>2026</v>
      </c>
      <c r="C85" s="15">
        <f ca="1">IFERROR(__xludf.DUMMYFUNCTION("""COMPUTED_VALUE"""),1)</f>
        <v>1</v>
      </c>
      <c r="D85" s="6" t="str">
        <f ca="1">IFERROR(__xludf.DUMMYFUNCTION("""COMPUTED_VALUE"""),"NO")</f>
        <v>NO</v>
      </c>
      <c r="E85" s="6" t="str">
        <f ca="1">IFERROR(__xludf.DUMMYFUNCTION("""COMPUTED_VALUE"""),"Fuenlabrada")</f>
        <v>Fuenlabrada</v>
      </c>
      <c r="F85" s="16">
        <f ca="1">IFERROR(__xludf.DUMMYFUNCTION("""COMPUTED_VALUE"""),46049)</f>
        <v>46049</v>
      </c>
      <c r="G85" s="16">
        <f ca="1">IFERROR(__xludf.DUMMYFUNCTION("""COMPUTED_VALUE"""),45988)</f>
        <v>45988</v>
      </c>
      <c r="H85" s="6" t="str">
        <f ca="1">IFERROR(__xludf.DUMMYFUNCTION("""COMPUTED_VALUE"""),"Fuenlabrada")</f>
        <v>Fuenlabrada</v>
      </c>
      <c r="I85" s="6" t="str">
        <f ca="1">IFERROR(__xludf.DUMMYFUNCTION("""COMPUTED_VALUE"""),"C202511279152147211")</f>
        <v>C202511279152147211</v>
      </c>
      <c r="J85" s="6" t="str">
        <f ca="1">IFERROR(__xludf.DUMMYFUNCTION("""COMPUTED_VALUE"""),"MARGARITA CORTAZAR VIANCO")</f>
        <v>MARGARITA CORTAZAR VIANCO</v>
      </c>
      <c r="K85" s="15">
        <f ca="1">IFERROR(__xludf.DUMMYFUNCTION("""COMPUTED_VALUE"""),1)</f>
        <v>1</v>
      </c>
      <c r="L85" s="21">
        <f ca="1">IFERROR(__xludf.DUMMYFUNCTION("""COMPUTED_VALUE"""),2722.73)</f>
        <v>2722.73</v>
      </c>
      <c r="M85" s="6" t="str">
        <f ca="1">IFERROR(__xludf.DUMMYFUNCTION("""COMPUTED_VALUE"""),"03 ORL")</f>
        <v>03 ORL</v>
      </c>
      <c r="N85" s="6" t="str">
        <f ca="1">IFERROR(__xludf.DUMMYFUNCTION("""COMPUTED_VALUE"""),"06 ORL")</f>
        <v>06 ORL</v>
      </c>
      <c r="O85" s="6" t="str">
        <f ca="1">IFERROR(__xludf.DUMMYFUNCTION("""COMPUTED_VALUE"""),"Dr, Raimundo Andres Navarro Mediano")</f>
        <v>Dr, Raimundo Andres Navarro Mediano</v>
      </c>
      <c r="P85" s="6" t="str">
        <f ca="1">IFERROR(__xludf.DUMMYFUNCTION("""COMPUTED_VALUE"""),"Maika Blázquez (Madrid)")</f>
        <v>Maika Blázquez (Madrid)</v>
      </c>
    </row>
    <row r="86" spans="2:16">
      <c r="B86" s="33">
        <f ca="1">IFERROR(__xludf.DUMMYFUNCTION("""COMPUTED_VALUE"""),2026)</f>
        <v>2026</v>
      </c>
      <c r="C86" s="15">
        <f ca="1">IFERROR(__xludf.DUMMYFUNCTION("""COMPUTED_VALUE"""),1)</f>
        <v>1</v>
      </c>
      <c r="D86" s="6" t="str">
        <f ca="1">IFERROR(__xludf.DUMMYFUNCTION("""COMPUTED_VALUE"""),"NO")</f>
        <v>NO</v>
      </c>
      <c r="E86" s="6" t="str">
        <f ca="1">IFERROR(__xludf.DUMMYFUNCTION("""COMPUTED_VALUE"""),"Logroño")</f>
        <v>Logroño</v>
      </c>
      <c r="F86" s="16">
        <f ca="1">IFERROR(__xludf.DUMMYFUNCTION("""COMPUTED_VALUE"""),46049)</f>
        <v>46049</v>
      </c>
      <c r="G86" s="16">
        <f ca="1">IFERROR(__xludf.DUMMYFUNCTION("""COMPUTED_VALUE"""),46006)</f>
        <v>46006</v>
      </c>
      <c r="H86" s="6" t="str">
        <f ca="1">IFERROR(__xludf.DUMMYFUNCTION("""COMPUTED_VALUE"""),"Logroño")</f>
        <v>Logroño</v>
      </c>
      <c r="I86" s="6" t="str">
        <f ca="1">IFERROR(__xludf.DUMMYFUNCTION("""COMPUTED_VALUE"""),"C202512158202709477")</f>
        <v>C202512158202709477</v>
      </c>
      <c r="J86" s="6" t="str">
        <f ca="1">IFERROR(__xludf.DUMMYFUNCTION("""COMPUTED_VALUE"""),"JOSE LUIS MARQUINEZ IBAÑEZ")</f>
        <v>JOSE LUIS MARQUINEZ IBAÑEZ</v>
      </c>
      <c r="K86" s="15">
        <f ca="1">IFERROR(__xludf.DUMMYFUNCTION("""COMPUTED_VALUE"""),2)</f>
        <v>2</v>
      </c>
      <c r="L86" s="21">
        <f ca="1">IFERROR(__xludf.DUMMYFUNCTION("""COMPUTED_VALUE"""),4536.36)</f>
        <v>4536.3599999999997</v>
      </c>
      <c r="M86" s="6" t="str">
        <f ca="1">IFERROR(__xludf.DUMMYFUNCTION("""COMPUTED_VALUE"""),"03 ORL")</f>
        <v>03 ORL</v>
      </c>
      <c r="N86" s="6" t="str">
        <f ca="1">IFERROR(__xludf.DUMMYFUNCTION("""COMPUTED_VALUE"""),"06 ORL")</f>
        <v>06 ORL</v>
      </c>
      <c r="O86" s="6" t="str">
        <f ca="1">IFERROR(__xludf.DUMMYFUNCTION("""COMPUTED_VALUE"""),"Dr, Fernando Salazar Barcelona")</f>
        <v>Dr, Fernando Salazar Barcelona</v>
      </c>
      <c r="P86" s="6" t="str">
        <f ca="1">IFERROR(__xludf.DUMMYFUNCTION("""COMPUTED_VALUE"""),"Lisandro Russian (Madrid, Cáceres, Toledo, Talavera y Logroño)")</f>
        <v>Lisandro Russian (Madrid, Cáceres, Toledo, Talavera y Logroño)</v>
      </c>
    </row>
    <row r="87" spans="2:16">
      <c r="B87" s="33">
        <f ca="1">IFERROR(__xludf.DUMMYFUNCTION("""COMPUTED_VALUE"""),2026)</f>
        <v>2026</v>
      </c>
      <c r="C87" s="15">
        <f ca="1">IFERROR(__xludf.DUMMYFUNCTION("""COMPUTED_VALUE"""),1)</f>
        <v>1</v>
      </c>
      <c r="D87" s="6" t="str">
        <f ca="1">IFERROR(__xludf.DUMMYFUNCTION("""COMPUTED_VALUE"""),"NO")</f>
        <v>NO</v>
      </c>
      <c r="E87" s="6" t="str">
        <f ca="1">IFERROR(__xludf.DUMMYFUNCTION("""COMPUTED_VALUE"""),"Logroño")</f>
        <v>Logroño</v>
      </c>
      <c r="F87" s="16">
        <f ca="1">IFERROR(__xludf.DUMMYFUNCTION("""COMPUTED_VALUE"""),46049)</f>
        <v>46049</v>
      </c>
      <c r="G87" s="16">
        <f ca="1">IFERROR(__xludf.DUMMYFUNCTION("""COMPUTED_VALUE"""),46027)</f>
        <v>46027</v>
      </c>
      <c r="H87" s="6" t="str">
        <f ca="1">IFERROR(__xludf.DUMMYFUNCTION("""COMPUTED_VALUE"""),"Logroño")</f>
        <v>Logroño</v>
      </c>
      <c r="I87" s="6" t="str">
        <f ca="1">IFERROR(__xludf.DUMMYFUNCTION("""COMPUTED_VALUE"""),"C202615112933324246")</f>
        <v>C202615112933324246</v>
      </c>
      <c r="J87" s="6" t="str">
        <f ca="1">IFERROR(__xludf.DUMMYFUNCTION("""COMPUTED_VALUE"""),"GREGORIO ANDRES MURILLO BARTOLOME")</f>
        <v>GREGORIO ANDRES MURILLO BARTOLOME</v>
      </c>
      <c r="K87" s="15">
        <f ca="1">IFERROR(__xludf.DUMMYFUNCTION("""COMPUTED_VALUE"""),2)</f>
        <v>2</v>
      </c>
      <c r="L87" s="21">
        <f ca="1">IFERROR(__xludf.DUMMYFUNCTION("""COMPUTED_VALUE"""),2582.27)</f>
        <v>2582.27</v>
      </c>
      <c r="M87" s="6" t="str">
        <f ca="1">IFERROR(__xludf.DUMMYFUNCTION("""COMPUTED_VALUE"""),"03 ORL")</f>
        <v>03 ORL</v>
      </c>
      <c r="N87" s="6" t="str">
        <f ca="1">IFERROR(__xludf.DUMMYFUNCTION("""COMPUTED_VALUE"""),"06 ORL")</f>
        <v>06 ORL</v>
      </c>
      <c r="O87" s="6" t="str">
        <f ca="1">IFERROR(__xludf.DUMMYFUNCTION("""COMPUTED_VALUE"""),"Dr, Garikoitz Calzada Uriondo")</f>
        <v>Dr, Garikoitz Calzada Uriondo</v>
      </c>
      <c r="P87" s="6" t="str">
        <f ca="1">IFERROR(__xludf.DUMMYFUNCTION("""COMPUTED_VALUE"""),"Lisandro Russian (Madrid, Cáceres, Toledo, Talavera y Logroño)")</f>
        <v>Lisandro Russian (Madrid, Cáceres, Toledo, Talavera y Logroño)</v>
      </c>
    </row>
    <row r="88" spans="2:16">
      <c r="B88" s="33">
        <f ca="1">IFERROR(__xludf.DUMMYFUNCTION("""COMPUTED_VALUE"""),2026)</f>
        <v>2026</v>
      </c>
      <c r="C88" s="15">
        <f ca="1">IFERROR(__xludf.DUMMYFUNCTION("""COMPUTED_VALUE"""),1)</f>
        <v>1</v>
      </c>
      <c r="D88" s="6" t="str">
        <f ca="1">IFERROR(__xludf.DUMMYFUNCTION("""COMPUTED_VALUE"""),"NO")</f>
        <v>NO</v>
      </c>
      <c r="E88" s="6" t="str">
        <f ca="1">IFERROR(__xludf.DUMMYFUNCTION("""COMPUTED_VALUE"""),"El Albir (Benidorm)")</f>
        <v>El Albir (Benidorm)</v>
      </c>
      <c r="F88" s="16">
        <f ca="1">IFERROR(__xludf.DUMMYFUNCTION("""COMPUTED_VALUE"""),46049)</f>
        <v>46049</v>
      </c>
      <c r="G88" s="16">
        <f ca="1">IFERROR(__xludf.DUMMYFUNCTION("""COMPUTED_VALUE"""),46029)</f>
        <v>46029</v>
      </c>
      <c r="H88" s="6" t="str">
        <f ca="1">IFERROR(__xludf.DUMMYFUNCTION("""COMPUTED_VALUE"""),"El Albir (Benidorm)")</f>
        <v>El Albir (Benidorm)</v>
      </c>
      <c r="I88" s="6" t="str">
        <f ca="1">IFERROR(__xludf.DUMMYFUNCTION("""COMPUTED_VALUE"""),"C20261785351356795")</f>
        <v>C20261785351356795</v>
      </c>
      <c r="J88" s="6" t="str">
        <f ca="1">IFERROR(__xludf.DUMMYFUNCTION("""COMPUTED_VALUE"""),"FRANCISCO  DOMINGUEZ DONADO")</f>
        <v>FRANCISCO  DOMINGUEZ DONADO</v>
      </c>
      <c r="K88" s="15">
        <f ca="1">IFERROR(__xludf.DUMMYFUNCTION("""COMPUTED_VALUE"""),2)</f>
        <v>2</v>
      </c>
      <c r="L88" s="21">
        <f ca="1">IFERROR(__xludf.DUMMYFUNCTION("""COMPUTED_VALUE"""),3631.81)</f>
        <v>3631.81</v>
      </c>
      <c r="M88" s="6" t="str">
        <f ca="1">IFERROR(__xludf.DUMMYFUNCTION("""COMPUTED_VALUE"""),"03 ORL")</f>
        <v>03 ORL</v>
      </c>
      <c r="N88" s="6" t="str">
        <f ca="1">IFERROR(__xludf.DUMMYFUNCTION("""COMPUTED_VALUE"""),"06 ORL")</f>
        <v>06 ORL</v>
      </c>
      <c r="O88" s="6" t="str">
        <f ca="1">IFERROR(__xludf.DUMMYFUNCTION("""COMPUTED_VALUE"""),"Dra, Isabel Polo Tomás")</f>
        <v>Dra, Isabel Polo Tomás</v>
      </c>
      <c r="P88" s="6" t="str">
        <f ca="1">IFERROR(__xludf.DUMMYFUNCTION("""COMPUTED_VALUE"""),"Ramon Ferrando(Valencia)")</f>
        <v>Ramon Ferrando(Valencia)</v>
      </c>
    </row>
    <row r="89" spans="2:16">
      <c r="B89" s="33">
        <f ca="1">IFERROR(__xludf.DUMMYFUNCTION("""COMPUTED_VALUE"""),2026)</f>
        <v>2026</v>
      </c>
      <c r="C89" s="15">
        <f ca="1">IFERROR(__xludf.DUMMYFUNCTION("""COMPUTED_VALUE"""),1)</f>
        <v>1</v>
      </c>
      <c r="D89" s="6" t="str">
        <f ca="1">IFERROR(__xludf.DUMMYFUNCTION("""COMPUTED_VALUE"""),"NO")</f>
        <v>NO</v>
      </c>
      <c r="E89" s="6" t="str">
        <f ca="1">IFERROR(__xludf.DUMMYFUNCTION("""COMPUTED_VALUE"""),"Murcia")</f>
        <v>Murcia</v>
      </c>
      <c r="F89" s="16">
        <f ca="1">IFERROR(__xludf.DUMMYFUNCTION("""COMPUTED_VALUE"""),46049)</f>
        <v>46049</v>
      </c>
      <c r="G89" s="16">
        <f ca="1">IFERROR(__xludf.DUMMYFUNCTION("""COMPUTED_VALUE"""),46010)</f>
        <v>46010</v>
      </c>
      <c r="H89" s="6" t="str">
        <f ca="1">IFERROR(__xludf.DUMMYFUNCTION("""COMPUTED_VALUE"""),"Murcia")</f>
        <v>Murcia</v>
      </c>
      <c r="I89" s="6" t="str">
        <f ca="1">IFERROR(__xludf.DUMMYFUNCTION("""COMPUTED_VALUE"""),"C202512191124560708")</f>
        <v>C202512191124560708</v>
      </c>
      <c r="J89" s="6" t="str">
        <f ca="1">IFERROR(__xludf.DUMMYFUNCTION("""COMPUTED_VALUE"""),"RAMON  ANDREU ANDREU")</f>
        <v>RAMON  ANDREU ANDREU</v>
      </c>
      <c r="K89" s="15">
        <f ca="1">IFERROR(__xludf.DUMMYFUNCTION("""COMPUTED_VALUE"""),2)</f>
        <v>2</v>
      </c>
      <c r="L89" s="21">
        <f ca="1">IFERROR(__xludf.DUMMYFUNCTION("""COMPUTED_VALUE"""),2718.18)</f>
        <v>2718.18</v>
      </c>
      <c r="M89" s="6" t="str">
        <f ca="1">IFERROR(__xludf.DUMMYFUNCTION("""COMPUTED_VALUE"""),"03 ORL")</f>
        <v>03 ORL</v>
      </c>
      <c r="N89" s="6" t="str">
        <f ca="1">IFERROR(__xludf.DUMMYFUNCTION("""COMPUTED_VALUE"""),"06 ORL")</f>
        <v>06 ORL</v>
      </c>
      <c r="O89" s="6" t="str">
        <f ca="1">IFERROR(__xludf.DUMMYFUNCTION("""COMPUTED_VALUE"""),"Dra, Alejandra Jara Maquilón")</f>
        <v>Dra, Alejandra Jara Maquilón</v>
      </c>
      <c r="P89" s="1" t="str">
        <f ca="1">IFERROR(__xludf.DUMMYFUNCTION("""COMPUTED_VALUE"""),"Iván Sánchez (Levante y Albacete)")</f>
        <v>Iván Sánchez (Levante y Albacete)</v>
      </c>
    </row>
    <row r="90" spans="2:16">
      <c r="B90" s="33">
        <f ca="1">IFERROR(__xludf.DUMMYFUNCTION("""COMPUTED_VALUE"""),2026)</f>
        <v>2026</v>
      </c>
      <c r="C90" s="15">
        <f ca="1">IFERROR(__xludf.DUMMYFUNCTION("""COMPUTED_VALUE"""),1)</f>
        <v>1</v>
      </c>
      <c r="D90" s="6" t="str">
        <f ca="1">IFERROR(__xludf.DUMMYFUNCTION("""COMPUTED_VALUE"""),"NO")</f>
        <v>NO</v>
      </c>
      <c r="E90" s="6" t="str">
        <f ca="1">IFERROR(__xludf.DUMMYFUNCTION("""COMPUTED_VALUE"""),"Barcelona- Córcega")</f>
        <v>Barcelona- Córcega</v>
      </c>
      <c r="F90" s="16">
        <f ca="1">IFERROR(__xludf.DUMMYFUNCTION("""COMPUTED_VALUE"""),46049)</f>
        <v>46049</v>
      </c>
      <c r="G90" s="16">
        <f ca="1">IFERROR(__xludf.DUMMYFUNCTION("""COMPUTED_VALUE"""),45975)</f>
        <v>45975</v>
      </c>
      <c r="H90" s="6" t="str">
        <f ca="1">IFERROR(__xludf.DUMMYFUNCTION("""COMPUTED_VALUE"""),"Córcega")</f>
        <v>Córcega</v>
      </c>
      <c r="I90" s="6" t="str">
        <f ca="1">IFERROR(__xludf.DUMMYFUNCTION("""COMPUTED_VALUE"""),"C202511141556043637")</f>
        <v>C202511141556043637</v>
      </c>
      <c r="J90" s="6" t="str">
        <f ca="1">IFERROR(__xludf.DUMMYFUNCTION("""COMPUTED_VALUE"""),"MANEL ALCAIDE VILLANUEVA")</f>
        <v>MANEL ALCAIDE VILLANUEVA</v>
      </c>
      <c r="K90" s="15">
        <f ca="1">IFERROR(__xludf.DUMMYFUNCTION("""COMPUTED_VALUE"""),2)</f>
        <v>2</v>
      </c>
      <c r="L90" s="21">
        <f ca="1">IFERROR(__xludf.DUMMYFUNCTION("""COMPUTED_VALUE"""),4536.37)</f>
        <v>4536.37</v>
      </c>
      <c r="M90" s="6" t="str">
        <f ca="1">IFERROR(__xludf.DUMMYFUNCTION("""COMPUTED_VALUE"""),"03 ORL")</f>
        <v>03 ORL</v>
      </c>
      <c r="N90" s="6" t="str">
        <f ca="1">IFERROR(__xludf.DUMMYFUNCTION("""COMPUTED_VALUE"""),"06 ORL")</f>
        <v>06 ORL</v>
      </c>
      <c r="O90" s="6" t="str">
        <f ca="1">IFERROR(__xludf.DUMMYFUNCTION("""COMPUTED_VALUE"""),"Dr, Enrique Romero Van Abeleen")</f>
        <v>Dr, Enrique Romero Van Abeleen</v>
      </c>
      <c r="P90" s="6" t="str">
        <f ca="1">IFERROR(__xludf.DUMMYFUNCTION("""COMPUTED_VALUE"""),"Mercè Cabrera (Cataluña y Baleares)")</f>
        <v>Mercè Cabrera (Cataluña y Baleares)</v>
      </c>
    </row>
    <row r="91" spans="2:16">
      <c r="B91" s="33">
        <f ca="1">IFERROR(__xludf.DUMMYFUNCTION("""COMPUTED_VALUE"""),2026)</f>
        <v>2026</v>
      </c>
      <c r="C91" s="15">
        <f ca="1">IFERROR(__xludf.DUMMYFUNCTION("""COMPUTED_VALUE"""),1)</f>
        <v>1</v>
      </c>
      <c r="D91" s="6" t="str">
        <f ca="1">IFERROR(__xludf.DUMMYFUNCTION("""COMPUTED_VALUE"""),"NO")</f>
        <v>NO</v>
      </c>
      <c r="E91" s="6" t="str">
        <f ca="1">IFERROR(__xludf.DUMMYFUNCTION("""COMPUTED_VALUE"""),"Madrid- La Oca")</f>
        <v>Madrid- La Oca</v>
      </c>
      <c r="F91" s="16">
        <f ca="1">IFERROR(__xludf.DUMMYFUNCTION("""COMPUTED_VALUE"""),46049)</f>
        <v>46049</v>
      </c>
      <c r="G91" s="16">
        <f ca="1">IFERROR(__xludf.DUMMYFUNCTION("""COMPUTED_VALUE"""),45964)</f>
        <v>45964</v>
      </c>
      <c r="H91" s="6" t="str">
        <f ca="1">IFERROR(__xludf.DUMMYFUNCTION("""COMPUTED_VALUE"""),"La Oca")</f>
        <v>La Oca</v>
      </c>
      <c r="I91" s="6" t="str">
        <f ca="1">IFERROR(__xludf.DUMMYFUNCTION("""COMPUTED_VALUE"""),"C202511315038757150")</f>
        <v>C202511315038757150</v>
      </c>
      <c r="J91" s="6" t="str">
        <f ca="1">IFERROR(__xludf.DUMMYFUNCTION("""COMPUTED_VALUE"""),"NIEVES  ORDAS FIDALGO")</f>
        <v>NIEVES  ORDAS FIDALGO</v>
      </c>
      <c r="K91" s="15">
        <f ca="1">IFERROR(__xludf.DUMMYFUNCTION("""COMPUTED_VALUE"""),2)</f>
        <v>2</v>
      </c>
      <c r="L91" s="21">
        <f ca="1">IFERROR(__xludf.DUMMYFUNCTION("""COMPUTED_VALUE"""),2718.18)</f>
        <v>2718.18</v>
      </c>
      <c r="M91" s="6" t="str">
        <f ca="1">IFERROR(__xludf.DUMMYFUNCTION("""COMPUTED_VALUE"""),"03 ORL")</f>
        <v>03 ORL</v>
      </c>
      <c r="N91" s="6" t="str">
        <f ca="1">IFERROR(__xludf.DUMMYFUNCTION("""COMPUTED_VALUE"""),"06 ORL")</f>
        <v>06 ORL</v>
      </c>
      <c r="O91" s="6" t="str">
        <f ca="1">IFERROR(__xludf.DUMMYFUNCTION("""COMPUTED_VALUE"""),"Dra, Laura Ruano De Pablo")</f>
        <v>Dra, Laura Ruano De Pablo</v>
      </c>
      <c r="P91" s="6" t="str">
        <f ca="1">IFERROR(__xludf.DUMMYFUNCTION("""COMPUTED_VALUE"""),"Maika Blázquez (Madrid)")</f>
        <v>Maika Blázquez (Madrid)</v>
      </c>
    </row>
    <row r="92" spans="2:16">
      <c r="B92" s="33">
        <f ca="1">IFERROR(__xludf.DUMMYFUNCTION("""COMPUTED_VALUE"""),2026)</f>
        <v>2026</v>
      </c>
      <c r="C92" s="15">
        <f ca="1">IFERROR(__xludf.DUMMYFUNCTION("""COMPUTED_VALUE"""),1)</f>
        <v>1</v>
      </c>
      <c r="D92" s="6" t="str">
        <f ca="1">IFERROR(__xludf.DUMMYFUNCTION("""COMPUTED_VALUE"""),"NO")</f>
        <v>NO</v>
      </c>
      <c r="E92" s="6" t="str">
        <f ca="1">IFERROR(__xludf.DUMMYFUNCTION("""COMPUTED_VALUE"""),"Madrid- Costa Rica")</f>
        <v>Madrid- Costa Rica</v>
      </c>
      <c r="F92" s="16">
        <f ca="1">IFERROR(__xludf.DUMMYFUNCTION("""COMPUTED_VALUE"""),46049)</f>
        <v>46049</v>
      </c>
      <c r="G92" s="16">
        <f ca="1">IFERROR(__xludf.DUMMYFUNCTION("""COMPUTED_VALUE"""),45996)</f>
        <v>45996</v>
      </c>
      <c r="H92" s="6" t="str">
        <f ca="1">IFERROR(__xludf.DUMMYFUNCTION("""COMPUTED_VALUE"""),"Costa Rica")</f>
        <v>Costa Rica</v>
      </c>
      <c r="I92" s="6" t="str">
        <f ca="1">IFERROR(__xludf.DUMMYFUNCTION("""COMPUTED_VALUE"""),"C202512512211094875")</f>
        <v>C202512512211094875</v>
      </c>
      <c r="J92" s="6" t="str">
        <f ca="1">IFERROR(__xludf.DUMMYFUNCTION("""COMPUTED_VALUE"""),"MICHELE CUNY")</f>
        <v>MICHELE CUNY</v>
      </c>
      <c r="K92" s="15">
        <f ca="1">IFERROR(__xludf.DUMMYFUNCTION("""COMPUTED_VALUE"""),2)</f>
        <v>2</v>
      </c>
      <c r="L92" s="21">
        <f ca="1">IFERROR(__xludf.DUMMYFUNCTION("""COMPUTED_VALUE"""),2718.18)</f>
        <v>2718.18</v>
      </c>
      <c r="M92" s="6" t="str">
        <f ca="1">IFERROR(__xludf.DUMMYFUNCTION("""COMPUTED_VALUE"""),"03 ORL")</f>
        <v>03 ORL</v>
      </c>
      <c r="N92" s="6" t="str">
        <f ca="1">IFERROR(__xludf.DUMMYFUNCTION("""COMPUTED_VALUE"""),"06 ORL")</f>
        <v>06 ORL</v>
      </c>
      <c r="O92" s="6" t="str">
        <f ca="1">IFERROR(__xludf.DUMMYFUNCTION("""COMPUTED_VALUE"""),"Dr, Antonio Bueno Ríos")</f>
        <v>Dr, Antonio Bueno Ríos</v>
      </c>
      <c r="P92" s="6" t="str">
        <f ca="1">IFERROR(__xludf.DUMMYFUNCTION("""COMPUTED_VALUE"""),"Lisandro Russian (Madrid, Cáceres, Toledo, Talavera y Logroño)")</f>
        <v>Lisandro Russian (Madrid, Cáceres, Toledo, Talavera y Logroño)</v>
      </c>
    </row>
    <row r="93" spans="2:16">
      <c r="B93" s="33">
        <f ca="1">IFERROR(__xludf.DUMMYFUNCTION("""COMPUTED_VALUE"""),2026)</f>
        <v>2026</v>
      </c>
      <c r="C93" s="15">
        <f ca="1">IFERROR(__xludf.DUMMYFUNCTION("""COMPUTED_VALUE"""),1)</f>
        <v>1</v>
      </c>
      <c r="D93" s="6" t="str">
        <f ca="1">IFERROR(__xludf.DUMMYFUNCTION("""COMPUTED_VALUE"""),"NO")</f>
        <v>NO</v>
      </c>
      <c r="E93" s="6" t="str">
        <f ca="1">IFERROR(__xludf.DUMMYFUNCTION("""COMPUTED_VALUE"""),"Ourense")</f>
        <v>Ourense</v>
      </c>
      <c r="F93" s="16">
        <f ca="1">IFERROR(__xludf.DUMMYFUNCTION("""COMPUTED_VALUE"""),46049)</f>
        <v>46049</v>
      </c>
      <c r="G93" s="16">
        <f ca="1">IFERROR(__xludf.DUMMYFUNCTION("""COMPUTED_VALUE"""),46002)</f>
        <v>46002</v>
      </c>
      <c r="H93" s="6" t="str">
        <f ca="1">IFERROR(__xludf.DUMMYFUNCTION("""COMPUTED_VALUE"""),"Orense")</f>
        <v>Orense</v>
      </c>
      <c r="I93" s="6" t="str">
        <f ca="1">IFERROR(__xludf.DUMMYFUNCTION("""COMPUTED_VALUE"""),"C202512111122089926")</f>
        <v>C202512111122089926</v>
      </c>
      <c r="J93" s="6" t="str">
        <f ca="1">IFERROR(__xludf.DUMMYFUNCTION("""COMPUTED_VALUE"""),"MARCELINO QUINTAS SUAREZ")</f>
        <v>MARCELINO QUINTAS SUAREZ</v>
      </c>
      <c r="K93" s="15">
        <f ca="1">IFERROR(__xludf.DUMMYFUNCTION("""COMPUTED_VALUE"""),1)</f>
        <v>1</v>
      </c>
      <c r="L93" s="21">
        <f ca="1">IFERROR(__xludf.DUMMYFUNCTION("""COMPUTED_VALUE"""),2180.91)</f>
        <v>2180.91</v>
      </c>
      <c r="M93" s="6" t="str">
        <f ca="1">IFERROR(__xludf.DUMMYFUNCTION("""COMPUTED_VALUE"""),"03 ORL")</f>
        <v>03 ORL</v>
      </c>
      <c r="N93" s="6" t="str">
        <f ca="1">IFERROR(__xludf.DUMMYFUNCTION("""COMPUTED_VALUE"""),"06 ORL")</f>
        <v>06 ORL</v>
      </c>
      <c r="O93" s="6" t="str">
        <f ca="1">IFERROR(__xludf.DUMMYFUNCTION("""COMPUTED_VALUE"""),"Dra, María Rey Marcos")</f>
        <v>Dra, María Rey Marcos</v>
      </c>
      <c r="P93" s="6" t="str">
        <f ca="1">IFERROR(__xludf.DUMMYFUNCTION("""COMPUTED_VALUE"""),"Alberto Moreno (Madrid)")</f>
        <v>Alberto Moreno (Madrid)</v>
      </c>
    </row>
    <row r="94" spans="2:16">
      <c r="B94" s="33">
        <f ca="1">IFERROR(__xludf.DUMMYFUNCTION("""COMPUTED_VALUE"""),2026)</f>
        <v>2026</v>
      </c>
      <c r="C94" s="15">
        <f ca="1">IFERROR(__xludf.DUMMYFUNCTION("""COMPUTED_VALUE"""),1)</f>
        <v>1</v>
      </c>
      <c r="D94" s="6" t="str">
        <f ca="1">IFERROR(__xludf.DUMMYFUNCTION("""COMPUTED_VALUE"""),"NO")</f>
        <v>NO</v>
      </c>
      <c r="E94" s="6" t="str">
        <f ca="1">IFERROR(__xludf.DUMMYFUNCTION("""COMPUTED_VALUE"""),"Murcia")</f>
        <v>Murcia</v>
      </c>
      <c r="F94" s="16">
        <f ca="1">IFERROR(__xludf.DUMMYFUNCTION("""COMPUTED_VALUE"""),46049)</f>
        <v>46049</v>
      </c>
      <c r="G94" s="16">
        <f ca="1">IFERROR(__xludf.DUMMYFUNCTION("""COMPUTED_VALUE"""),46027)</f>
        <v>46027</v>
      </c>
      <c r="H94" s="6" t="str">
        <f ca="1">IFERROR(__xludf.DUMMYFUNCTION("""COMPUTED_VALUE"""),"Murcia")</f>
        <v>Murcia</v>
      </c>
      <c r="I94" s="6" t="str">
        <f ca="1">IFERROR(__xludf.DUMMYFUNCTION("""COMPUTED_VALUE"""),"C202615105031143656")</f>
        <v>C202615105031143656</v>
      </c>
      <c r="J94" s="6" t="str">
        <f ca="1">IFERROR(__xludf.DUMMYFUNCTION("""COMPUTED_VALUE"""),"MARIA ANGELES HERNANDEZ VAZQUEZ")</f>
        <v>MARIA ANGELES HERNANDEZ VAZQUEZ</v>
      </c>
      <c r="K94" s="15">
        <f ca="1">IFERROR(__xludf.DUMMYFUNCTION("""COMPUTED_VALUE"""),2)</f>
        <v>2</v>
      </c>
      <c r="L94" s="21">
        <f ca="1">IFERROR(__xludf.DUMMYFUNCTION("""COMPUTED_VALUE"""),2718.18)</f>
        <v>2718.18</v>
      </c>
      <c r="M94" s="6" t="str">
        <f ca="1">IFERROR(__xludf.DUMMYFUNCTION("""COMPUTED_VALUE"""),"03 ORL")</f>
        <v>03 ORL</v>
      </c>
      <c r="N94" s="6" t="str">
        <f ca="1">IFERROR(__xludf.DUMMYFUNCTION("""COMPUTED_VALUE"""),"06 ORL")</f>
        <v>06 ORL</v>
      </c>
      <c r="O94" s="6" t="str">
        <f ca="1">IFERROR(__xludf.DUMMYFUNCTION("""COMPUTED_VALUE"""),"Dra, Beatriz Rodríguez González Herrero")</f>
        <v>Dra, Beatriz Rodríguez González Herrero</v>
      </c>
      <c r="P94" s="6" t="str">
        <f ca="1">IFERROR(__xludf.DUMMYFUNCTION("""COMPUTED_VALUE"""),"Iván Sánchez (Levante y Albacete)")</f>
        <v>Iván Sánchez (Levante y Albacete)</v>
      </c>
    </row>
    <row r="95" spans="2:16">
      <c r="B95" s="33">
        <f ca="1">IFERROR(__xludf.DUMMYFUNCTION("""COMPUTED_VALUE"""),2026)</f>
        <v>2026</v>
      </c>
      <c r="C95" s="15">
        <f ca="1">IFERROR(__xludf.DUMMYFUNCTION("""COMPUTED_VALUE"""),1)</f>
        <v>1</v>
      </c>
      <c r="D95" s="6" t="str">
        <f ca="1">IFERROR(__xludf.DUMMYFUNCTION("""COMPUTED_VALUE"""),"NO")</f>
        <v>NO</v>
      </c>
      <c r="E95" s="6" t="str">
        <f ca="1">IFERROR(__xludf.DUMMYFUNCTION("""COMPUTED_VALUE"""),"Jerez de la Frontera")</f>
        <v>Jerez de la Frontera</v>
      </c>
      <c r="F95" s="16">
        <f ca="1">IFERROR(__xludf.DUMMYFUNCTION("""COMPUTED_VALUE"""),46050)</f>
        <v>46050</v>
      </c>
      <c r="G95" s="16">
        <f ca="1">IFERROR(__xludf.DUMMYFUNCTION("""COMPUTED_VALUE"""),46029)</f>
        <v>46029</v>
      </c>
      <c r="H95" s="6" t="str">
        <f ca="1">IFERROR(__xludf.DUMMYFUNCTION("""COMPUTED_VALUE"""),"Jerez")</f>
        <v>Jerez</v>
      </c>
      <c r="I95" s="6" t="str">
        <f ca="1">IFERROR(__xludf.DUMMYFUNCTION("""COMPUTED_VALUE"""),"C202617145953074840")</f>
        <v>C202617145953074840</v>
      </c>
      <c r="J95" s="6" t="str">
        <f ca="1">IFERROR(__xludf.DUMMYFUNCTION("""COMPUTED_VALUE"""),"herminia CORDERO RODRIGUEZ")</f>
        <v>herminia CORDERO RODRIGUEZ</v>
      </c>
      <c r="K95" s="15">
        <f ca="1">IFERROR(__xludf.DUMMYFUNCTION("""COMPUTED_VALUE"""),2)</f>
        <v>2</v>
      </c>
      <c r="L95" s="21">
        <f ca="1">IFERROR(__xludf.DUMMYFUNCTION("""COMPUTED_VALUE"""),2718.18)</f>
        <v>2718.18</v>
      </c>
      <c r="M95" s="6" t="str">
        <f ca="1">IFERROR(__xludf.DUMMYFUNCTION("""COMPUTED_VALUE"""),"03 ORL")</f>
        <v>03 ORL</v>
      </c>
      <c r="N95" s="6" t="str">
        <f ca="1">IFERROR(__xludf.DUMMYFUNCTION("""COMPUTED_VALUE"""),"06 ORL")</f>
        <v>06 ORL</v>
      </c>
      <c r="O95" s="6" t="str">
        <f ca="1">IFERROR(__xludf.DUMMYFUNCTION("""COMPUTED_VALUE"""),"Dra, Maria Del Carmen Salom Coveñas")</f>
        <v>Dra, Maria Del Carmen Salom Coveñas</v>
      </c>
      <c r="P95" s="6" t="str">
        <f ca="1">IFERROR(__xludf.DUMMYFUNCTION("""COMPUTED_VALUE"""),"Luis Alberto Rodríguez (Andalucía y Badajoz)")</f>
        <v>Luis Alberto Rodríguez (Andalucía y Badajoz)</v>
      </c>
    </row>
    <row r="96" spans="2:16">
      <c r="B96" s="33">
        <f ca="1">IFERROR(__xludf.DUMMYFUNCTION("""COMPUTED_VALUE"""),2026)</f>
        <v>2026</v>
      </c>
      <c r="C96" s="15">
        <f ca="1">IFERROR(__xludf.DUMMYFUNCTION("""COMPUTED_VALUE"""),1)</f>
        <v>1</v>
      </c>
      <c r="D96" s="6" t="str">
        <f ca="1">IFERROR(__xludf.DUMMYFUNCTION("""COMPUTED_VALUE"""),"NO")</f>
        <v>NO</v>
      </c>
      <c r="E96" s="6" t="str">
        <f ca="1">IFERROR(__xludf.DUMMYFUNCTION("""COMPUTED_VALUE"""),"Jerez de la Frontera")</f>
        <v>Jerez de la Frontera</v>
      </c>
      <c r="F96" s="16">
        <f ca="1">IFERROR(__xludf.DUMMYFUNCTION("""COMPUTED_VALUE"""),46050)</f>
        <v>46050</v>
      </c>
      <c r="G96" s="16">
        <f ca="1">IFERROR(__xludf.DUMMYFUNCTION("""COMPUTED_VALUE"""),46017)</f>
        <v>46017</v>
      </c>
      <c r="H96" s="6" t="str">
        <f ca="1">IFERROR(__xludf.DUMMYFUNCTION("""COMPUTED_VALUE"""),"Jerez")</f>
        <v>Jerez</v>
      </c>
      <c r="I96" s="6" t="str">
        <f ca="1">IFERROR(__xludf.DUMMYFUNCTION("""COMPUTED_VALUE"""),"C202512261052210691")</f>
        <v>C202512261052210691</v>
      </c>
      <c r="J96" s="6" t="str">
        <f ca="1">IFERROR(__xludf.DUMMYFUNCTION("""COMPUTED_VALUE"""),"JOSE LUIS MESA RAMIREZ")</f>
        <v>JOSE LUIS MESA RAMIREZ</v>
      </c>
      <c r="K96" s="15">
        <f ca="1">IFERROR(__xludf.DUMMYFUNCTION("""COMPUTED_VALUE"""),2)</f>
        <v>2</v>
      </c>
      <c r="L96" s="21">
        <f ca="1">IFERROR(__xludf.DUMMYFUNCTION("""COMPUTED_VALUE"""),4536.36)</f>
        <v>4536.3599999999997</v>
      </c>
      <c r="M96" s="6" t="str">
        <f ca="1">IFERROR(__xludf.DUMMYFUNCTION("""COMPUTED_VALUE"""),"03 ORL")</f>
        <v>03 ORL</v>
      </c>
      <c r="N96" s="6" t="str">
        <f ca="1">IFERROR(__xludf.DUMMYFUNCTION("""COMPUTED_VALUE"""),"06 ORL")</f>
        <v>06 ORL</v>
      </c>
      <c r="O96" s="6" t="str">
        <f ca="1">IFERROR(__xludf.DUMMYFUNCTION("""COMPUTED_VALUE"""),"Dr, Javier García Domínguez")</f>
        <v>Dr, Javier García Domínguez</v>
      </c>
      <c r="P96" s="6" t="str">
        <f ca="1">IFERROR(__xludf.DUMMYFUNCTION("""COMPUTED_VALUE"""),"Maika Blázquez (Madrid)")</f>
        <v>Maika Blázquez (Madrid)</v>
      </c>
    </row>
    <row r="97" spans="2:16">
      <c r="B97" s="33">
        <f ca="1">IFERROR(__xludf.DUMMYFUNCTION("""COMPUTED_VALUE"""),2026)</f>
        <v>2026</v>
      </c>
      <c r="C97" s="15">
        <f ca="1">IFERROR(__xludf.DUMMYFUNCTION("""COMPUTED_VALUE"""),1)</f>
        <v>1</v>
      </c>
      <c r="D97" s="6" t="str">
        <f ca="1">IFERROR(__xludf.DUMMYFUNCTION("""COMPUTED_VALUE"""),"NO")</f>
        <v>NO</v>
      </c>
      <c r="E97" s="6" t="str">
        <f ca="1">IFERROR(__xludf.DUMMYFUNCTION("""COMPUTED_VALUE"""),"Toledo")</f>
        <v>Toledo</v>
      </c>
      <c r="F97" s="16">
        <f ca="1">IFERROR(__xludf.DUMMYFUNCTION("""COMPUTED_VALUE"""),46050)</f>
        <v>46050</v>
      </c>
      <c r="G97" s="16">
        <f ca="1">IFERROR(__xludf.DUMMYFUNCTION("""COMPUTED_VALUE"""),45965)</f>
        <v>45965</v>
      </c>
      <c r="H97" s="6" t="str">
        <f ca="1">IFERROR(__xludf.DUMMYFUNCTION("""COMPUTED_VALUE"""),"Toledo")</f>
        <v>Toledo</v>
      </c>
      <c r="I97" s="6" t="str">
        <f ca="1">IFERROR(__xludf.DUMMYFUNCTION("""COMPUTED_VALUE"""),"C202511411503852607")</f>
        <v>C202511411503852607</v>
      </c>
      <c r="J97" s="6" t="str">
        <f ca="1">IFERROR(__xludf.DUMMYFUNCTION("""COMPUTED_VALUE"""),"Pilar Rojas Sánchez")</f>
        <v>Pilar Rojas Sánchez</v>
      </c>
      <c r="K97" s="15">
        <f ca="1">IFERROR(__xludf.DUMMYFUNCTION("""COMPUTED_VALUE"""),2)</f>
        <v>2</v>
      </c>
      <c r="L97" s="21">
        <f ca="1">IFERROR(__xludf.DUMMYFUNCTION("""COMPUTED_VALUE"""),3424.32)</f>
        <v>3424.32</v>
      </c>
      <c r="M97" s="6" t="str">
        <f ca="1">IFERROR(__xludf.DUMMYFUNCTION("""COMPUTED_VALUE"""),"03 ORL")</f>
        <v>03 ORL</v>
      </c>
      <c r="N97" s="6" t="str">
        <f ca="1">IFERROR(__xludf.DUMMYFUNCTION("""COMPUTED_VALUE"""),"06 ORL")</f>
        <v>06 ORL</v>
      </c>
      <c r="O97" s="6" t="str">
        <f ca="1">IFERROR(__xludf.DUMMYFUNCTION("""COMPUTED_VALUE"""),"Dra, Mónica Rueda Vega")</f>
        <v>Dra, Mónica Rueda Vega</v>
      </c>
      <c r="P97" s="6" t="str">
        <f ca="1">IFERROR(__xludf.DUMMYFUNCTION("""COMPUTED_VALUE"""),"Lisandro Russian (Madrid, Cáceres, Toledo, Talavera y Logroño)")</f>
        <v>Lisandro Russian (Madrid, Cáceres, Toledo, Talavera y Logroño)</v>
      </c>
    </row>
    <row r="98" spans="2:16">
      <c r="B98" s="33">
        <f ca="1">IFERROR(__xludf.DUMMYFUNCTION("""COMPUTED_VALUE"""),2026)</f>
        <v>2026</v>
      </c>
      <c r="C98" s="15">
        <f ca="1">IFERROR(__xludf.DUMMYFUNCTION("""COMPUTED_VALUE"""),1)</f>
        <v>1</v>
      </c>
      <c r="D98" s="6" t="str">
        <f ca="1">IFERROR(__xludf.DUMMYFUNCTION("""COMPUTED_VALUE"""),"NO")</f>
        <v>NO</v>
      </c>
      <c r="E98" s="6" t="str">
        <f ca="1">IFERROR(__xludf.DUMMYFUNCTION("""COMPUTED_VALUE"""),"Almería")</f>
        <v>Almería</v>
      </c>
      <c r="F98" s="16">
        <f ca="1">IFERROR(__xludf.DUMMYFUNCTION("""COMPUTED_VALUE"""),46050)</f>
        <v>46050</v>
      </c>
      <c r="G98" s="16">
        <f ca="1">IFERROR(__xludf.DUMMYFUNCTION("""COMPUTED_VALUE"""),46001)</f>
        <v>46001</v>
      </c>
      <c r="H98" s="6" t="str">
        <f ca="1">IFERROR(__xludf.DUMMYFUNCTION("""COMPUTED_VALUE"""),"Almería")</f>
        <v>Almería</v>
      </c>
      <c r="I98" s="6" t="str">
        <f ca="1">IFERROR(__xludf.DUMMYFUNCTION("""COMPUTED_VALUE"""),"C202512101036657690")</f>
        <v>C202512101036657690</v>
      </c>
      <c r="J98" s="6" t="str">
        <f ca="1">IFERROR(__xludf.DUMMYFUNCTION("""COMPUTED_VALUE"""),"EMILIA MARTINEZ MARTINEZ")</f>
        <v>EMILIA MARTINEZ MARTINEZ</v>
      </c>
      <c r="K98" s="15">
        <f ca="1">IFERROR(__xludf.DUMMYFUNCTION("""COMPUTED_VALUE"""),2)</f>
        <v>2</v>
      </c>
      <c r="L98" s="21">
        <f ca="1">IFERROR(__xludf.DUMMYFUNCTION("""COMPUTED_VALUE"""),4136.36)</f>
        <v>4136.3599999999997</v>
      </c>
      <c r="M98" s="6" t="str">
        <f ca="1">IFERROR(__xludf.DUMMYFUNCTION("""COMPUTED_VALUE"""),"03 ORL")</f>
        <v>03 ORL</v>
      </c>
      <c r="N98" s="6" t="str">
        <f ca="1">IFERROR(__xludf.DUMMYFUNCTION("""COMPUTED_VALUE"""),"06 ORL")</f>
        <v>06 ORL</v>
      </c>
      <c r="O98" s="6" t="str">
        <f ca="1">IFERROR(__xludf.DUMMYFUNCTION("""COMPUTED_VALUE"""),"Dr, Antonio José Fernández Pérez")</f>
        <v>Dr, Antonio José Fernández Pérez</v>
      </c>
      <c r="P98" s="6" t="str">
        <f ca="1">IFERROR(__xludf.DUMMYFUNCTION("""COMPUTED_VALUE"""),"Ramon Ferrando(Valencia)")</f>
        <v>Ramon Ferrando(Valencia)</v>
      </c>
    </row>
    <row r="99" spans="2:16">
      <c r="B99" s="33">
        <f ca="1">IFERROR(__xludf.DUMMYFUNCTION("""COMPUTED_VALUE"""),2026)</f>
        <v>2026</v>
      </c>
      <c r="C99" s="15">
        <f ca="1">IFERROR(__xludf.DUMMYFUNCTION("""COMPUTED_VALUE"""),1)</f>
        <v>1</v>
      </c>
      <c r="D99" s="6" t="str">
        <f ca="1">IFERROR(__xludf.DUMMYFUNCTION("""COMPUTED_VALUE"""),"NO")</f>
        <v>NO</v>
      </c>
      <c r="E99" s="6" t="str">
        <f ca="1">IFERROR(__xludf.DUMMYFUNCTION("""COMPUTED_VALUE"""),"Leganés")</f>
        <v>Leganés</v>
      </c>
      <c r="F99" s="16">
        <f ca="1">IFERROR(__xludf.DUMMYFUNCTION("""COMPUTED_VALUE"""),46050)</f>
        <v>46050</v>
      </c>
      <c r="G99" s="16">
        <f ca="1">IFERROR(__xludf.DUMMYFUNCTION("""COMPUTED_VALUE"""),46001)</f>
        <v>46001</v>
      </c>
      <c r="H99" s="6" t="str">
        <f ca="1">IFERROR(__xludf.DUMMYFUNCTION("""COMPUTED_VALUE"""),"Leganés")</f>
        <v>Leganés</v>
      </c>
      <c r="I99" s="6" t="str">
        <f ca="1">IFERROR(__xludf.DUMMYFUNCTION("""COMPUTED_VALUE"""),"C202512101653481730")</f>
        <v>C202512101653481730</v>
      </c>
      <c r="J99" s="6" t="str">
        <f ca="1">IFERROR(__xludf.DUMMYFUNCTION("""COMPUTED_VALUE"""),"ALMUDENA ARROGANTE AHIJADO")</f>
        <v>ALMUDENA ARROGANTE AHIJADO</v>
      </c>
      <c r="K99" s="15">
        <f ca="1">IFERROR(__xludf.DUMMYFUNCTION("""COMPUTED_VALUE"""),1)</f>
        <v>1</v>
      </c>
      <c r="L99" s="21">
        <f ca="1">IFERROR(__xludf.DUMMYFUNCTION("""COMPUTED_VALUE"""),2071.82)</f>
        <v>2071.8200000000002</v>
      </c>
      <c r="M99" s="6" t="str">
        <f ca="1">IFERROR(__xludf.DUMMYFUNCTION("""COMPUTED_VALUE"""),"03 ORL")</f>
        <v>03 ORL</v>
      </c>
      <c r="N99" s="6" t="str">
        <f ca="1">IFERROR(__xludf.DUMMYFUNCTION("""COMPUTED_VALUE"""),"06 ORL")</f>
        <v>06 ORL</v>
      </c>
      <c r="O99" s="6" t="str">
        <f ca="1">IFERROR(__xludf.DUMMYFUNCTION("""COMPUTED_VALUE"""),"Dra, Desirée Méndez Brenderbache")</f>
        <v>Dra, Desirée Méndez Brenderbache</v>
      </c>
      <c r="P99" s="6" t="str">
        <f ca="1">IFERROR(__xludf.DUMMYFUNCTION("""COMPUTED_VALUE"""),"Maika Blázquez (Madrid)")</f>
        <v>Maika Blázquez (Madrid)</v>
      </c>
    </row>
    <row r="100" spans="2:16">
      <c r="B100" s="33">
        <f ca="1">IFERROR(__xludf.DUMMYFUNCTION("""COMPUTED_VALUE"""),2026)</f>
        <v>2026</v>
      </c>
      <c r="C100" s="15">
        <f ca="1">IFERROR(__xludf.DUMMYFUNCTION("""COMPUTED_VALUE"""),1)</f>
        <v>1</v>
      </c>
      <c r="D100" s="6" t="str">
        <f ca="1">IFERROR(__xludf.DUMMYFUNCTION("""COMPUTED_VALUE"""),"NO")</f>
        <v>NO</v>
      </c>
      <c r="E100" s="6" t="str">
        <f ca="1">IFERROR(__xludf.DUMMYFUNCTION("""COMPUTED_VALUE"""),"Getafe")</f>
        <v>Getafe</v>
      </c>
      <c r="F100" s="16">
        <f ca="1">IFERROR(__xludf.DUMMYFUNCTION("""COMPUTED_VALUE"""),46050)</f>
        <v>46050</v>
      </c>
      <c r="G100" s="16">
        <f ca="1">IFERROR(__xludf.DUMMYFUNCTION("""COMPUTED_VALUE"""),45757)</f>
        <v>45757</v>
      </c>
      <c r="H100" s="6" t="str">
        <f ca="1">IFERROR(__xludf.DUMMYFUNCTION("""COMPUTED_VALUE"""),"Getafe")</f>
        <v>Getafe</v>
      </c>
      <c r="I100" s="6" t="str">
        <f ca="1">IFERROR(__xludf.DUMMYFUNCTION("""COMPUTED_VALUE"""),"C2025410161942769")</f>
        <v>C2025410161942769</v>
      </c>
      <c r="J100" s="6" t="str">
        <f ca="1">IFERROR(__xludf.DUMMYFUNCTION("""COMPUTED_VALUE"""),"ISABEL YAÑEZ YAÑEZ")</f>
        <v>ISABEL YAÑEZ YAÑEZ</v>
      </c>
      <c r="K100" s="15">
        <f ca="1">IFERROR(__xludf.DUMMYFUNCTION("""COMPUTED_VALUE"""),2)</f>
        <v>2</v>
      </c>
      <c r="L100" s="21">
        <f ca="1">IFERROR(__xludf.DUMMYFUNCTION("""COMPUTED_VALUE"""),3631.82)</f>
        <v>3631.82</v>
      </c>
      <c r="M100" s="6" t="str">
        <f ca="1">IFERROR(__xludf.DUMMYFUNCTION("""COMPUTED_VALUE"""),"03 ORL")</f>
        <v>03 ORL</v>
      </c>
      <c r="N100" s="6" t="str">
        <f ca="1">IFERROR(__xludf.DUMMYFUNCTION("""COMPUTED_VALUE"""),"06 ORL")</f>
        <v>06 ORL</v>
      </c>
      <c r="O100" s="6" t="str">
        <f ca="1">IFERROR(__xludf.DUMMYFUNCTION("""COMPUTED_VALUE"""),"Dra, Marta Colmenero Ruiz")</f>
        <v>Dra, Marta Colmenero Ruiz</v>
      </c>
      <c r="P100" s="6" t="str">
        <f ca="1">IFERROR(__xludf.DUMMYFUNCTION("""COMPUTED_VALUE"""),"Maika Blázquez (Madrid)")</f>
        <v>Maika Blázquez (Madrid)</v>
      </c>
    </row>
    <row r="101" spans="2:16">
      <c r="B101" s="33">
        <f ca="1">IFERROR(__xludf.DUMMYFUNCTION("""COMPUTED_VALUE"""),2026)</f>
        <v>2026</v>
      </c>
      <c r="C101" s="15">
        <f ca="1">IFERROR(__xludf.DUMMYFUNCTION("""COMPUTED_VALUE"""),1)</f>
        <v>1</v>
      </c>
      <c r="D101" s="6" t="str">
        <f ca="1">IFERROR(__xludf.DUMMYFUNCTION("""COMPUTED_VALUE"""),"NO")</f>
        <v>NO</v>
      </c>
      <c r="E101" s="6" t="str">
        <f ca="1">IFERROR(__xludf.DUMMYFUNCTION("""COMPUTED_VALUE"""),"Madrid- La Oca")</f>
        <v>Madrid- La Oca</v>
      </c>
      <c r="F101" s="16">
        <f ca="1">IFERROR(__xludf.DUMMYFUNCTION("""COMPUTED_VALUE"""),46050)</f>
        <v>46050</v>
      </c>
      <c r="G101" s="16">
        <f ca="1">IFERROR(__xludf.DUMMYFUNCTION("""COMPUTED_VALUE"""),45986)</f>
        <v>45986</v>
      </c>
      <c r="H101" s="6" t="str">
        <f ca="1">IFERROR(__xludf.DUMMYFUNCTION("""COMPUTED_VALUE"""),"La Oca")</f>
        <v>La Oca</v>
      </c>
      <c r="I101" s="6" t="str">
        <f ca="1">IFERROR(__xludf.DUMMYFUNCTION("""COMPUTED_VALUE"""),"C202511251257139691")</f>
        <v>C202511251257139691</v>
      </c>
      <c r="J101" s="6" t="str">
        <f ca="1">IFERROR(__xludf.DUMMYFUNCTION("""COMPUTED_VALUE"""),"ROSA MARIA BELINCHON PARIS")</f>
        <v>ROSA MARIA BELINCHON PARIS</v>
      </c>
      <c r="K101" s="15">
        <f ca="1">IFERROR(__xludf.DUMMYFUNCTION("""COMPUTED_VALUE"""),2)</f>
        <v>2</v>
      </c>
      <c r="L101" s="21">
        <f ca="1">IFERROR(__xludf.DUMMYFUNCTION("""COMPUTED_VALUE"""),3631.82)</f>
        <v>3631.82</v>
      </c>
      <c r="M101" s="6" t="str">
        <f ca="1">IFERROR(__xludf.DUMMYFUNCTION("""COMPUTED_VALUE"""),"03 ORL")</f>
        <v>03 ORL</v>
      </c>
      <c r="N101" s="6" t="str">
        <f ca="1">IFERROR(__xludf.DUMMYFUNCTION("""COMPUTED_VALUE"""),"06 ORL")</f>
        <v>06 ORL</v>
      </c>
      <c r="O101" s="6" t="str">
        <f ca="1">IFERROR(__xludf.DUMMYFUNCTION("""COMPUTED_VALUE"""),"Dr, Félix Rodríguez Paz")</f>
        <v>Dr, Félix Rodríguez Paz</v>
      </c>
      <c r="P101" s="6" t="str">
        <f ca="1">IFERROR(__xludf.DUMMYFUNCTION("""COMPUTED_VALUE"""),"Maika Blázquez (Madrid)")</f>
        <v>Maika Blázquez (Madrid)</v>
      </c>
    </row>
    <row r="102" spans="2:16">
      <c r="B102" s="33">
        <f ca="1">IFERROR(__xludf.DUMMYFUNCTION("""COMPUTED_VALUE"""),2026)</f>
        <v>2026</v>
      </c>
      <c r="C102" s="15">
        <f ca="1">IFERROR(__xludf.DUMMYFUNCTION("""COMPUTED_VALUE"""),1)</f>
        <v>1</v>
      </c>
      <c r="D102" s="6" t="str">
        <f ca="1">IFERROR(__xludf.DUMMYFUNCTION("""COMPUTED_VALUE"""),"NO")</f>
        <v>NO</v>
      </c>
      <c r="E102" s="6" t="str">
        <f ca="1">IFERROR(__xludf.DUMMYFUNCTION("""COMPUTED_VALUE"""),"Getafe")</f>
        <v>Getafe</v>
      </c>
      <c r="F102" s="16">
        <f ca="1">IFERROR(__xludf.DUMMYFUNCTION("""COMPUTED_VALUE"""),46050)</f>
        <v>46050</v>
      </c>
      <c r="G102" s="16">
        <f ca="1">IFERROR(__xludf.DUMMYFUNCTION("""COMPUTED_VALUE"""),46008)</f>
        <v>46008</v>
      </c>
      <c r="H102" s="6" t="str">
        <f ca="1">IFERROR(__xludf.DUMMYFUNCTION("""COMPUTED_VALUE"""),"Getafe")</f>
        <v>Getafe</v>
      </c>
      <c r="I102" s="6" t="str">
        <f ca="1">IFERROR(__xludf.DUMMYFUNCTION("""COMPUTED_VALUE"""),"C202512171551118835")</f>
        <v>C202512171551118835</v>
      </c>
      <c r="J102" s="6" t="str">
        <f ca="1">IFERROR(__xludf.DUMMYFUNCTION("""COMPUTED_VALUE"""),"MARIA GEMA MARTIN JIMENEZ")</f>
        <v>MARIA GEMA MARTIN JIMENEZ</v>
      </c>
      <c r="K102" s="15">
        <f ca="1">IFERROR(__xludf.DUMMYFUNCTION("""COMPUTED_VALUE"""),2)</f>
        <v>2</v>
      </c>
      <c r="L102" s="21">
        <f ca="1">IFERROR(__xludf.DUMMYFUNCTION("""COMPUTED_VALUE"""),4136.36)</f>
        <v>4136.3599999999997</v>
      </c>
      <c r="M102" s="6" t="str">
        <f ca="1">IFERROR(__xludf.DUMMYFUNCTION("""COMPUTED_VALUE"""),"03 ORL")</f>
        <v>03 ORL</v>
      </c>
      <c r="N102" s="6" t="str">
        <f ca="1">IFERROR(__xludf.DUMMYFUNCTION("""COMPUTED_VALUE"""),"06 ORL")</f>
        <v>06 ORL</v>
      </c>
      <c r="O102" s="6" t="str">
        <f ca="1">IFERROR(__xludf.DUMMYFUNCTION("""COMPUTED_VALUE"""),"Dr. Jonathan Esteban Sánchez")</f>
        <v>Dr. Jonathan Esteban Sánchez</v>
      </c>
      <c r="P102" s="6" t="str">
        <f ca="1">IFERROR(__xludf.DUMMYFUNCTION("""COMPUTED_VALUE"""),"Maika Blázquez (Madrid)")</f>
        <v>Maika Blázquez (Madrid)</v>
      </c>
    </row>
    <row r="103" spans="2:16">
      <c r="B103" s="33">
        <f ca="1">IFERROR(__xludf.DUMMYFUNCTION("""COMPUTED_VALUE"""),2026)</f>
        <v>2026</v>
      </c>
      <c r="C103" s="15">
        <f ca="1">IFERROR(__xludf.DUMMYFUNCTION("""COMPUTED_VALUE"""),1)</f>
        <v>1</v>
      </c>
      <c r="D103" s="6" t="str">
        <f ca="1">IFERROR(__xludf.DUMMYFUNCTION("""COMPUTED_VALUE"""),"NO")</f>
        <v>NO</v>
      </c>
      <c r="E103" s="6" t="str">
        <f ca="1">IFERROR(__xludf.DUMMYFUNCTION("""COMPUTED_VALUE"""),"Sevilla- Ciencias")</f>
        <v>Sevilla- Ciencias</v>
      </c>
      <c r="F103" s="16">
        <f ca="1">IFERROR(__xludf.DUMMYFUNCTION("""COMPUTED_VALUE"""),46050)</f>
        <v>46050</v>
      </c>
      <c r="G103" s="16">
        <f ca="1">IFERROR(__xludf.DUMMYFUNCTION("""COMPUTED_VALUE"""),46006)</f>
        <v>46006</v>
      </c>
      <c r="H103" s="6" t="str">
        <f ca="1">IFERROR(__xludf.DUMMYFUNCTION("""COMPUTED_VALUE"""),"Sevilla Este")</f>
        <v>Sevilla Este</v>
      </c>
      <c r="I103" s="6" t="str">
        <f ca="1">IFERROR(__xludf.DUMMYFUNCTION("""COMPUTED_VALUE"""),"C202512151727496906")</f>
        <v>C202512151727496906</v>
      </c>
      <c r="J103" s="6" t="str">
        <f ca="1">IFERROR(__xludf.DUMMYFUNCTION("""COMPUTED_VALUE"""),"JESICA DE LOS SANTOS MARTINEZ")</f>
        <v>JESICA DE LOS SANTOS MARTINEZ</v>
      </c>
      <c r="K103" s="15">
        <f ca="1">IFERROR(__xludf.DUMMYFUNCTION("""COMPUTED_VALUE"""),2)</f>
        <v>2</v>
      </c>
      <c r="L103" s="21">
        <f ca="1">IFERROR(__xludf.DUMMYFUNCTION("""COMPUTED_VALUE"""),3730)</f>
        <v>3730</v>
      </c>
      <c r="M103" s="6" t="str">
        <f ca="1">IFERROR(__xludf.DUMMYFUNCTION("""COMPUTED_VALUE"""),"03 ORL")</f>
        <v>03 ORL</v>
      </c>
      <c r="N103" s="6" t="str">
        <f ca="1">IFERROR(__xludf.DUMMYFUNCTION("""COMPUTED_VALUE"""),"06 ORL")</f>
        <v>06 ORL</v>
      </c>
      <c r="O103" s="6" t="str">
        <f ca="1">IFERROR(__xludf.DUMMYFUNCTION("""COMPUTED_VALUE"""),"No recuerda ORL")</f>
        <v>No recuerda ORL</v>
      </c>
      <c r="P103" s="6" t="str">
        <f ca="1">IFERROR(__xludf.DUMMYFUNCTION("""COMPUTED_VALUE"""),"Luis Alberto Rodríguez (Andalucía y Badajoz)")</f>
        <v>Luis Alberto Rodríguez (Andalucía y Badajoz)</v>
      </c>
    </row>
    <row r="104" spans="2:16">
      <c r="B104" s="33">
        <f ca="1">IFERROR(__xludf.DUMMYFUNCTION("""COMPUTED_VALUE"""),2026)</f>
        <v>2026</v>
      </c>
      <c r="C104" s="15">
        <f ca="1">IFERROR(__xludf.DUMMYFUNCTION("""COMPUTED_VALUE"""),1)</f>
        <v>1</v>
      </c>
      <c r="D104" s="6" t="str">
        <f ca="1">IFERROR(__xludf.DUMMYFUNCTION("""COMPUTED_VALUE"""),"NO")</f>
        <v>NO</v>
      </c>
      <c r="E104" s="6" t="str">
        <f ca="1">IFERROR(__xludf.DUMMYFUNCTION("""COMPUTED_VALUE"""),"Leganés")</f>
        <v>Leganés</v>
      </c>
      <c r="F104" s="16">
        <f ca="1">IFERROR(__xludf.DUMMYFUNCTION("""COMPUTED_VALUE"""),46050)</f>
        <v>46050</v>
      </c>
      <c r="G104" s="16">
        <f ca="1">IFERROR(__xludf.DUMMYFUNCTION("""COMPUTED_VALUE"""),46006)</f>
        <v>46006</v>
      </c>
      <c r="H104" s="6" t="str">
        <f ca="1">IFERROR(__xludf.DUMMYFUNCTION("""COMPUTED_VALUE"""),"Leganés")</f>
        <v>Leganés</v>
      </c>
      <c r="I104" s="6" t="str">
        <f ca="1">IFERROR(__xludf.DUMMYFUNCTION("""COMPUTED_VALUE"""),"C202512151018164852")</f>
        <v>C202512151018164852</v>
      </c>
      <c r="J104" s="6" t="str">
        <f ca="1">IFERROR(__xludf.DUMMYFUNCTION("""COMPUTED_VALUE"""),"LAURA JARA GONZALEZ")</f>
        <v>LAURA JARA GONZALEZ</v>
      </c>
      <c r="K104" s="15">
        <f ca="1">IFERROR(__xludf.DUMMYFUNCTION("""COMPUTED_VALUE"""),2)</f>
        <v>2</v>
      </c>
      <c r="L104" s="21">
        <f ca="1">IFERROR(__xludf.DUMMYFUNCTION("""COMPUTED_VALUE"""),3631.82)</f>
        <v>3631.82</v>
      </c>
      <c r="M104" s="6" t="str">
        <f ca="1">IFERROR(__xludf.DUMMYFUNCTION("""COMPUTED_VALUE"""),"03 ORL")</f>
        <v>03 ORL</v>
      </c>
      <c r="N104" s="6" t="str">
        <f ca="1">IFERROR(__xludf.DUMMYFUNCTION("""COMPUTED_VALUE"""),"06 ORL")</f>
        <v>06 ORL</v>
      </c>
      <c r="O104" s="6" t="str">
        <f ca="1">IFERROR(__xludf.DUMMYFUNCTION("""COMPUTED_VALUE"""),"Dra, Nuria Arnaiz Canora")</f>
        <v>Dra, Nuria Arnaiz Canora</v>
      </c>
      <c r="P104" s="6" t="str">
        <f ca="1">IFERROR(__xludf.DUMMYFUNCTION("""COMPUTED_VALUE"""),"Maika Blázquez (Madrid)")</f>
        <v>Maika Blázquez (Madrid)</v>
      </c>
    </row>
    <row r="105" spans="2:16">
      <c r="B105" s="33">
        <f ca="1">IFERROR(__xludf.DUMMYFUNCTION("""COMPUTED_VALUE"""),2026)</f>
        <v>2026</v>
      </c>
      <c r="C105" s="15">
        <f ca="1">IFERROR(__xludf.DUMMYFUNCTION("""COMPUTED_VALUE"""),1)</f>
        <v>1</v>
      </c>
      <c r="D105" s="6" t="str">
        <f ca="1">IFERROR(__xludf.DUMMYFUNCTION("""COMPUTED_VALUE"""),"NO")</f>
        <v>NO</v>
      </c>
      <c r="E105" s="6" t="str">
        <f ca="1">IFERROR(__xludf.DUMMYFUNCTION("""COMPUTED_VALUE"""),"Torrejón de Ardoz")</f>
        <v>Torrejón de Ardoz</v>
      </c>
      <c r="F105" s="16">
        <f ca="1">IFERROR(__xludf.DUMMYFUNCTION("""COMPUTED_VALUE"""),46051)</f>
        <v>46051</v>
      </c>
      <c r="G105" s="16">
        <f ca="1">IFERROR(__xludf.DUMMYFUNCTION("""COMPUTED_VALUE"""),45980)</f>
        <v>45980</v>
      </c>
      <c r="H105" s="6" t="str">
        <f ca="1">IFERROR(__xludf.DUMMYFUNCTION("""COMPUTED_VALUE"""),"Torrejón")</f>
        <v>Torrejón</v>
      </c>
      <c r="I105" s="6" t="str">
        <f ca="1">IFERROR(__xludf.DUMMYFUNCTION("""COMPUTED_VALUE"""),"C202511191019522290")</f>
        <v>C202511191019522290</v>
      </c>
      <c r="J105" s="6" t="str">
        <f ca="1">IFERROR(__xludf.DUMMYFUNCTION("""COMPUTED_VALUE"""),"FELICIDAD MORENA GONZALEZ")</f>
        <v>FELICIDAD MORENA GONZALEZ</v>
      </c>
      <c r="K105" s="15">
        <f ca="1">IFERROR(__xludf.DUMMYFUNCTION("""COMPUTED_VALUE"""),2)</f>
        <v>2</v>
      </c>
      <c r="L105" s="21">
        <f ca="1">IFERROR(__xludf.DUMMYFUNCTION("""COMPUTED_VALUE"""),2718.18)</f>
        <v>2718.18</v>
      </c>
      <c r="M105" s="6" t="str">
        <f ca="1">IFERROR(__xludf.DUMMYFUNCTION("""COMPUTED_VALUE"""),"03 ORL")</f>
        <v>03 ORL</v>
      </c>
      <c r="N105" s="6" t="str">
        <f ca="1">IFERROR(__xludf.DUMMYFUNCTION("""COMPUTED_VALUE"""),"06 ORL")</f>
        <v>06 ORL</v>
      </c>
      <c r="O105" s="6" t="str">
        <f ca="1">IFERROR(__xludf.DUMMYFUNCTION("""COMPUTED_VALUE"""),"Dra, Marta Abad Pascual")</f>
        <v>Dra, Marta Abad Pascual</v>
      </c>
      <c r="P105" s="6" t="str">
        <f ca="1">IFERROR(__xludf.DUMMYFUNCTION("""COMPUTED_VALUE"""),"Maika Blázquez (Madrid)")</f>
        <v>Maika Blázquez (Madrid)</v>
      </c>
    </row>
    <row r="106" spans="2:16">
      <c r="B106" s="33">
        <f ca="1">IFERROR(__xludf.DUMMYFUNCTION("""COMPUTED_VALUE"""),2026)</f>
        <v>2026</v>
      </c>
      <c r="C106" s="15">
        <f ca="1">IFERROR(__xludf.DUMMYFUNCTION("""COMPUTED_VALUE"""),1)</f>
        <v>1</v>
      </c>
      <c r="D106" s="6" t="str">
        <f ca="1">IFERROR(__xludf.DUMMYFUNCTION("""COMPUTED_VALUE"""),"NO")</f>
        <v>NO</v>
      </c>
      <c r="E106" s="6" t="str">
        <f ca="1">IFERROR(__xludf.DUMMYFUNCTION("""COMPUTED_VALUE"""),"Alicante")</f>
        <v>Alicante</v>
      </c>
      <c r="F106" s="16">
        <f ca="1">IFERROR(__xludf.DUMMYFUNCTION("""COMPUTED_VALUE"""),46051)</f>
        <v>46051</v>
      </c>
      <c r="G106" s="16">
        <f ca="1">IFERROR(__xludf.DUMMYFUNCTION("""COMPUTED_VALUE"""),46024)</f>
        <v>46024</v>
      </c>
      <c r="H106" s="6" t="str">
        <f ca="1">IFERROR(__xludf.DUMMYFUNCTION("""COMPUTED_VALUE"""),"Alicante")</f>
        <v>Alicante</v>
      </c>
      <c r="I106" s="6" t="str">
        <f ca="1">IFERROR(__xludf.DUMMYFUNCTION("""COMPUTED_VALUE"""),"C202612113440763265")</f>
        <v>C202612113440763265</v>
      </c>
      <c r="J106" s="6" t="str">
        <f ca="1">IFERROR(__xludf.DUMMYFUNCTION("""COMPUTED_VALUE"""),"MAGDALENA MENDIETA ESTUDILLO")</f>
        <v>MAGDALENA MENDIETA ESTUDILLO</v>
      </c>
      <c r="K106" s="15">
        <f ca="1">IFERROR(__xludf.DUMMYFUNCTION("""COMPUTED_VALUE"""),2)</f>
        <v>2</v>
      </c>
      <c r="L106" s="21">
        <f ca="1">IFERROR(__xludf.DUMMYFUNCTION("""COMPUTED_VALUE"""),2582.27)</f>
        <v>2582.27</v>
      </c>
      <c r="M106" s="6" t="str">
        <f ca="1">IFERROR(__xludf.DUMMYFUNCTION("""COMPUTED_VALUE"""),"03 ORL")</f>
        <v>03 ORL</v>
      </c>
      <c r="N106" s="6" t="str">
        <f ca="1">IFERROR(__xludf.DUMMYFUNCTION("""COMPUTED_VALUE"""),"06 ORL")</f>
        <v>06 ORL</v>
      </c>
      <c r="O106" s="6" t="str">
        <f ca="1">IFERROR(__xludf.DUMMYFUNCTION("""COMPUTED_VALUE"""),"Dra, Cristina Muñoz Pinto")</f>
        <v>Dra, Cristina Muñoz Pinto</v>
      </c>
      <c r="P106" s="6" t="str">
        <f ca="1">IFERROR(__xludf.DUMMYFUNCTION("""COMPUTED_VALUE"""),"Iván Sánchez (Levante y Albacete)")</f>
        <v>Iván Sánchez (Levante y Albacete)</v>
      </c>
    </row>
    <row r="107" spans="2:16">
      <c r="B107" s="33">
        <f ca="1">IFERROR(__xludf.DUMMYFUNCTION("""COMPUTED_VALUE"""),2026)</f>
        <v>2026</v>
      </c>
      <c r="C107" s="15">
        <f ca="1">IFERROR(__xludf.DUMMYFUNCTION("""COMPUTED_VALUE"""),1)</f>
        <v>1</v>
      </c>
      <c r="D107" s="6" t="str">
        <f ca="1">IFERROR(__xludf.DUMMYFUNCTION("""COMPUTED_VALUE"""),"NO")</f>
        <v>NO</v>
      </c>
      <c r="E107" s="6" t="str">
        <f ca="1">IFERROR(__xludf.DUMMYFUNCTION("""COMPUTED_VALUE"""),"Alcorcón")</f>
        <v>Alcorcón</v>
      </c>
      <c r="F107" s="16">
        <f ca="1">IFERROR(__xludf.DUMMYFUNCTION("""COMPUTED_VALUE"""),46051)</f>
        <v>46051</v>
      </c>
      <c r="G107" s="16">
        <f ca="1">IFERROR(__xludf.DUMMYFUNCTION("""COMPUTED_VALUE"""),46013)</f>
        <v>46013</v>
      </c>
      <c r="H107" s="6" t="str">
        <f ca="1">IFERROR(__xludf.DUMMYFUNCTION("""COMPUTED_VALUE"""),"Alcorcón")</f>
        <v>Alcorcón</v>
      </c>
      <c r="I107" s="6" t="str">
        <f ca="1">IFERROR(__xludf.DUMMYFUNCTION("""COMPUTED_VALUE"""),"C202512221022206009")</f>
        <v>C202512221022206009</v>
      </c>
      <c r="J107" s="6" t="str">
        <f ca="1">IFERROR(__xludf.DUMMYFUNCTION("""COMPUTED_VALUE"""),"PATRICIA ESTEVEZ")</f>
        <v>PATRICIA ESTEVEZ</v>
      </c>
      <c r="K107" s="15">
        <f ca="1">IFERROR(__xludf.DUMMYFUNCTION("""COMPUTED_VALUE"""),2)</f>
        <v>2</v>
      </c>
      <c r="L107" s="21">
        <f ca="1">IFERROR(__xludf.DUMMYFUNCTION("""COMPUTED_VALUE"""),2582.27)</f>
        <v>2582.27</v>
      </c>
      <c r="M107" s="6" t="str">
        <f ca="1">IFERROR(__xludf.DUMMYFUNCTION("""COMPUTED_VALUE"""),"03 ORL")</f>
        <v>03 ORL</v>
      </c>
      <c r="N107" s="6" t="str">
        <f ca="1">IFERROR(__xludf.DUMMYFUNCTION("""COMPUTED_VALUE"""),"06 ORL")</f>
        <v>06 ORL</v>
      </c>
      <c r="O107" s="6" t="str">
        <f ca="1">IFERROR(__xludf.DUMMYFUNCTION("""COMPUTED_VALUE"""),"Dr, Adolfo Toledano Muñoz")</f>
        <v>Dr, Adolfo Toledano Muñoz</v>
      </c>
      <c r="P107" s="1" t="str">
        <f ca="1">IFERROR(__xludf.DUMMYFUNCTION("""COMPUTED_VALUE"""),"Maika Blázquez (Madrid)")</f>
        <v>Maika Blázquez (Madrid)</v>
      </c>
    </row>
    <row r="108" spans="2:16">
      <c r="B108" s="33">
        <f ca="1">IFERROR(__xludf.DUMMYFUNCTION("""COMPUTED_VALUE"""),2026)</f>
        <v>2026</v>
      </c>
      <c r="C108" s="15">
        <f ca="1">IFERROR(__xludf.DUMMYFUNCTION("""COMPUTED_VALUE"""),1)</f>
        <v>1</v>
      </c>
      <c r="D108" s="6" t="str">
        <f ca="1">IFERROR(__xludf.DUMMYFUNCTION("""COMPUTED_VALUE"""),"NO")</f>
        <v>NO</v>
      </c>
      <c r="E108" s="6" t="str">
        <f ca="1">IFERROR(__xludf.DUMMYFUNCTION("""COMPUTED_VALUE"""),"Ourense")</f>
        <v>Ourense</v>
      </c>
      <c r="F108" s="16">
        <f ca="1">IFERROR(__xludf.DUMMYFUNCTION("""COMPUTED_VALUE"""),46051)</f>
        <v>46051</v>
      </c>
      <c r="G108" s="16">
        <f ca="1">IFERROR(__xludf.DUMMYFUNCTION("""COMPUTED_VALUE"""),46000)</f>
        <v>46000</v>
      </c>
      <c r="H108" s="6" t="str">
        <f ca="1">IFERROR(__xludf.DUMMYFUNCTION("""COMPUTED_VALUE"""),"Orense")</f>
        <v>Orense</v>
      </c>
      <c r="I108" s="6" t="str">
        <f ca="1">IFERROR(__xludf.DUMMYFUNCTION("""COMPUTED_VALUE"""),"C202512910445271491")</f>
        <v>C202512910445271491</v>
      </c>
      <c r="J108" s="6" t="str">
        <f ca="1">IFERROR(__xludf.DUMMYFUNCTION("""COMPUTED_VALUE"""),"VICENTE RODRIGUEZ BLANCO")</f>
        <v>VICENTE RODRIGUEZ BLANCO</v>
      </c>
      <c r="K108" s="15">
        <f ca="1">IFERROR(__xludf.DUMMYFUNCTION("""COMPUTED_VALUE"""),1)</f>
        <v>1</v>
      </c>
      <c r="L108" s="21">
        <f ca="1">IFERROR(__xludf.DUMMYFUNCTION("""COMPUTED_VALUE"""),2180.91)</f>
        <v>2180.91</v>
      </c>
      <c r="M108" s="6" t="str">
        <f ca="1">IFERROR(__xludf.DUMMYFUNCTION("""COMPUTED_VALUE"""),"03 ORL")</f>
        <v>03 ORL</v>
      </c>
      <c r="N108" s="6" t="str">
        <f ca="1">IFERROR(__xludf.DUMMYFUNCTION("""COMPUTED_VALUE"""),"06 ORL")</f>
        <v>06 ORL</v>
      </c>
      <c r="O108" s="6" t="str">
        <f ca="1">IFERROR(__xludf.DUMMYFUNCTION("""COMPUTED_VALUE"""),"Dra, María Rey Marcos")</f>
        <v>Dra, María Rey Marcos</v>
      </c>
      <c r="P108" s="6" t="str">
        <f ca="1">IFERROR(__xludf.DUMMYFUNCTION("""COMPUTED_VALUE"""),"Alberto Moreno (Madrid)")</f>
        <v>Alberto Moreno (Madrid)</v>
      </c>
    </row>
    <row r="109" spans="2:16">
      <c r="B109" s="33">
        <f ca="1">IFERROR(__xludf.DUMMYFUNCTION("""COMPUTED_VALUE"""),2026)</f>
        <v>2026</v>
      </c>
      <c r="C109" s="15">
        <f ca="1">IFERROR(__xludf.DUMMYFUNCTION("""COMPUTED_VALUE"""),1)</f>
        <v>1</v>
      </c>
      <c r="D109" s="6" t="str">
        <f ca="1">IFERROR(__xludf.DUMMYFUNCTION("""COMPUTED_VALUE"""),"NO")</f>
        <v>NO</v>
      </c>
      <c r="E109" s="6" t="str">
        <f ca="1">IFERROR(__xludf.DUMMYFUNCTION("""COMPUTED_VALUE"""),"El Albir (Benidorm)")</f>
        <v>El Albir (Benidorm)</v>
      </c>
      <c r="F109" s="16">
        <f ca="1">IFERROR(__xludf.DUMMYFUNCTION("""COMPUTED_VALUE"""),46051)</f>
        <v>46051</v>
      </c>
      <c r="G109" s="16">
        <f ca="1">IFERROR(__xludf.DUMMYFUNCTION("""COMPUTED_VALUE"""),46007)</f>
        <v>46007</v>
      </c>
      <c r="H109" s="6" t="str">
        <f ca="1">IFERROR(__xludf.DUMMYFUNCTION("""COMPUTED_VALUE"""),"El Albir (Benidorm)")</f>
        <v>El Albir (Benidorm)</v>
      </c>
      <c r="I109" s="6" t="str">
        <f ca="1">IFERROR(__xludf.DUMMYFUNCTION("""COMPUTED_VALUE"""),"C202512161325384872")</f>
        <v>C202512161325384872</v>
      </c>
      <c r="J109" s="6" t="str">
        <f ca="1">IFERROR(__xludf.DUMMYFUNCTION("""COMPUTED_VALUE"""),"FERNANDO MARTINEZ  LUQUE")</f>
        <v>FERNANDO MARTINEZ  LUQUE</v>
      </c>
      <c r="K109" s="15">
        <f ca="1">IFERROR(__xludf.DUMMYFUNCTION("""COMPUTED_VALUE"""),2)</f>
        <v>2</v>
      </c>
      <c r="L109" s="21">
        <f ca="1">IFERROR(__xludf.DUMMYFUNCTION("""COMPUTED_VALUE"""),3313.64)</f>
        <v>3313.64</v>
      </c>
      <c r="M109" s="6" t="str">
        <f ca="1">IFERROR(__xludf.DUMMYFUNCTION("""COMPUTED_VALUE"""),"03 ORL")</f>
        <v>03 ORL</v>
      </c>
      <c r="N109" s="6" t="str">
        <f ca="1">IFERROR(__xludf.DUMMYFUNCTION("""COMPUTED_VALUE"""),"06 ORL")</f>
        <v>06 ORL</v>
      </c>
      <c r="O109" s="6" t="str">
        <f ca="1">IFERROR(__xludf.DUMMYFUNCTION("""COMPUTED_VALUE"""),"Dra, María Emilia García Ruiz")</f>
        <v>Dra, María Emilia García Ruiz</v>
      </c>
      <c r="P109" s="6" t="str">
        <f ca="1">IFERROR(__xludf.DUMMYFUNCTION("""COMPUTED_VALUE"""),"Ramon Ferrando(Valencia)")</f>
        <v>Ramon Ferrando(Valencia)</v>
      </c>
    </row>
    <row r="110" spans="2:16">
      <c r="B110" s="33">
        <f ca="1">IFERROR(__xludf.DUMMYFUNCTION("""COMPUTED_VALUE"""),2026)</f>
        <v>2026</v>
      </c>
      <c r="C110" s="15">
        <f ca="1">IFERROR(__xludf.DUMMYFUNCTION("""COMPUTED_VALUE"""),1)</f>
        <v>1</v>
      </c>
      <c r="D110" s="6" t="str">
        <f ca="1">IFERROR(__xludf.DUMMYFUNCTION("""COMPUTED_VALUE"""),"NO")</f>
        <v>NO</v>
      </c>
      <c r="E110" s="6" t="str">
        <f ca="1">IFERROR(__xludf.DUMMYFUNCTION("""COMPUTED_VALUE"""),"Logroño")</f>
        <v>Logroño</v>
      </c>
      <c r="F110" s="16">
        <f ca="1">IFERROR(__xludf.DUMMYFUNCTION("""COMPUTED_VALUE"""),46051)</f>
        <v>46051</v>
      </c>
      <c r="G110" s="16">
        <f ca="1">IFERROR(__xludf.DUMMYFUNCTION("""COMPUTED_VALUE"""),45989)</f>
        <v>45989</v>
      </c>
      <c r="H110" s="6" t="str">
        <f ca="1">IFERROR(__xludf.DUMMYFUNCTION("""COMPUTED_VALUE"""),"Logroño")</f>
        <v>Logroño</v>
      </c>
      <c r="I110" s="6" t="str">
        <f ca="1">IFERROR(__xludf.DUMMYFUNCTION("""COMPUTED_VALUE"""),"C202511289525253331")</f>
        <v>C202511289525253331</v>
      </c>
      <c r="J110" s="6" t="str">
        <f ca="1">IFERROR(__xludf.DUMMYFUNCTION("""COMPUTED_VALUE"""),"ESTRELLA BURGOS IBAÑEZ")</f>
        <v>ESTRELLA BURGOS IBAÑEZ</v>
      </c>
      <c r="K110" s="15">
        <f ca="1">IFERROR(__xludf.DUMMYFUNCTION("""COMPUTED_VALUE"""),2)</f>
        <v>2</v>
      </c>
      <c r="L110" s="21">
        <f ca="1">IFERROR(__xludf.DUMMYFUNCTION("""COMPUTED_VALUE"""),3450.23)</f>
        <v>3450.23</v>
      </c>
      <c r="M110" s="6" t="str">
        <f ca="1">IFERROR(__xludf.DUMMYFUNCTION("""COMPUTED_VALUE"""),"03 ORL")</f>
        <v>03 ORL</v>
      </c>
      <c r="N110" s="6" t="str">
        <f ca="1">IFERROR(__xludf.DUMMYFUNCTION("""COMPUTED_VALUE"""),"06 ORL")</f>
        <v>06 ORL</v>
      </c>
      <c r="O110" s="6" t="str">
        <f ca="1">IFERROR(__xludf.DUMMYFUNCTION("""COMPUTED_VALUE"""),"Dra, Cristina Ibañez Muñoz")</f>
        <v>Dra, Cristina Ibañez Muñoz</v>
      </c>
      <c r="P110" s="6" t="str">
        <f ca="1">IFERROR(__xludf.DUMMYFUNCTION("""COMPUTED_VALUE"""),"Lisandro Russian (Madrid, Cáceres, Toledo, Talavera y Logroño)")</f>
        <v>Lisandro Russian (Madrid, Cáceres, Toledo, Talavera y Logroño)</v>
      </c>
    </row>
    <row r="111" spans="2:16">
      <c r="B111" s="33">
        <f ca="1">IFERROR(__xludf.DUMMYFUNCTION("""COMPUTED_VALUE"""),2026)</f>
        <v>2026</v>
      </c>
      <c r="C111" s="15">
        <f ca="1">IFERROR(__xludf.DUMMYFUNCTION("""COMPUTED_VALUE"""),1)</f>
        <v>1</v>
      </c>
      <c r="D111" s="6" t="str">
        <f ca="1">IFERROR(__xludf.DUMMYFUNCTION("""COMPUTED_VALUE"""),"NO")</f>
        <v>NO</v>
      </c>
      <c r="E111" s="6" t="str">
        <f ca="1">IFERROR(__xludf.DUMMYFUNCTION("""COMPUTED_VALUE"""),"Ponferrada")</f>
        <v>Ponferrada</v>
      </c>
      <c r="F111" s="16">
        <f ca="1">IFERROR(__xludf.DUMMYFUNCTION("""COMPUTED_VALUE"""),46051)</f>
        <v>46051</v>
      </c>
      <c r="G111" s="16">
        <f ca="1">IFERROR(__xludf.DUMMYFUNCTION("""COMPUTED_VALUE"""),45714)</f>
        <v>45714</v>
      </c>
      <c r="H111" s="6" t="str">
        <f ca="1">IFERROR(__xludf.DUMMYFUNCTION("""COMPUTED_VALUE"""),"Ponferrada")</f>
        <v>Ponferrada</v>
      </c>
      <c r="I111" s="6" t="str">
        <f ca="1">IFERROR(__xludf.DUMMYFUNCTION("""COMPUTED_VALUE"""),"PON-886")</f>
        <v>PON-886</v>
      </c>
      <c r="J111" s="6" t="str">
        <f ca="1">IFERROR(__xludf.DUMMYFUNCTION("""COMPUTED_VALUE"""),"JOSE PUERTO MARQUES")</f>
        <v>JOSE PUERTO MARQUES</v>
      </c>
      <c r="K111" s="15">
        <f ca="1">IFERROR(__xludf.DUMMYFUNCTION("""COMPUTED_VALUE"""),2)</f>
        <v>2</v>
      </c>
      <c r="L111" s="21">
        <f ca="1">IFERROR(__xludf.DUMMYFUNCTION("""COMPUTED_VALUE"""),3545.45)</f>
        <v>3545.45</v>
      </c>
      <c r="M111" s="6" t="str">
        <f ca="1">IFERROR(__xludf.DUMMYFUNCTION("""COMPUTED_VALUE"""),"03 ORL")</f>
        <v>03 ORL</v>
      </c>
      <c r="N111" s="6" t="str">
        <f ca="1">IFERROR(__xludf.DUMMYFUNCTION("""COMPUTED_VALUE"""),"06 ORL")</f>
        <v>06 ORL</v>
      </c>
      <c r="O111" s="6" t="str">
        <f ca="1">IFERROR(__xludf.DUMMYFUNCTION("""COMPUTED_VALUE"""),"No recuerda ORL")</f>
        <v>No recuerda ORL</v>
      </c>
      <c r="P111" s="6" t="str">
        <f ca="1">IFERROR(__xludf.DUMMYFUNCTION("""COMPUTED_VALUE"""),"Alberto Moreno (Madrid)")</f>
        <v>Alberto Moreno (Madrid)</v>
      </c>
    </row>
    <row r="112" spans="2:16">
      <c r="B112" s="33">
        <f ca="1">IFERROR(__xludf.DUMMYFUNCTION("""COMPUTED_VALUE"""),2026)</f>
        <v>2026</v>
      </c>
      <c r="C112" s="15">
        <f ca="1">IFERROR(__xludf.DUMMYFUNCTION("""COMPUTED_VALUE"""),1)</f>
        <v>1</v>
      </c>
      <c r="D112" s="6" t="str">
        <f ca="1">IFERROR(__xludf.DUMMYFUNCTION("""COMPUTED_VALUE"""),"NO")</f>
        <v>NO</v>
      </c>
      <c r="E112" s="6" t="str">
        <f ca="1">IFERROR(__xludf.DUMMYFUNCTION("""COMPUTED_VALUE"""),"Logroño")</f>
        <v>Logroño</v>
      </c>
      <c r="F112" s="16">
        <f ca="1">IFERROR(__xludf.DUMMYFUNCTION("""COMPUTED_VALUE"""),46052)</f>
        <v>46052</v>
      </c>
      <c r="G112" s="16">
        <f ca="1">IFERROR(__xludf.DUMMYFUNCTION("""COMPUTED_VALUE"""),46037)</f>
        <v>46037</v>
      </c>
      <c r="H112" s="6" t="str">
        <f ca="1">IFERROR(__xludf.DUMMYFUNCTION("""COMPUTED_VALUE"""),"Logroño")</f>
        <v>Logroño</v>
      </c>
      <c r="I112" s="6" t="str">
        <f ca="1">IFERROR(__xludf.DUMMYFUNCTION("""COMPUTED_VALUE"""),"C202611511544719")</f>
        <v>C202611511544719</v>
      </c>
      <c r="J112" s="6" t="str">
        <f ca="1">IFERROR(__xludf.DUMMYFUNCTION("""COMPUTED_VALUE"""),"EMILIA DEL CARMEN IGLESIAS FERNANDEZ")</f>
        <v>EMILIA DEL CARMEN IGLESIAS FERNANDEZ</v>
      </c>
      <c r="K112" s="15">
        <f ca="1">IFERROR(__xludf.DUMMYFUNCTION("""COMPUTED_VALUE"""),2)</f>
        <v>2</v>
      </c>
      <c r="L112" s="21">
        <f ca="1">IFERROR(__xludf.DUMMYFUNCTION("""COMPUTED_VALUE"""),3631.82)</f>
        <v>3631.82</v>
      </c>
      <c r="M112" s="6" t="str">
        <f ca="1">IFERROR(__xludf.DUMMYFUNCTION("""COMPUTED_VALUE"""),"03 ORL")</f>
        <v>03 ORL</v>
      </c>
      <c r="N112" s="6" t="str">
        <f ca="1">IFERROR(__xludf.DUMMYFUNCTION("""COMPUTED_VALUE"""),"06 ORL")</f>
        <v>06 ORL</v>
      </c>
      <c r="O112" s="6" t="str">
        <f ca="1">IFERROR(__xludf.DUMMYFUNCTION("""COMPUTED_VALUE"""),"Dr, Fernando Salazar Barcelona")</f>
        <v>Dr, Fernando Salazar Barcelona</v>
      </c>
      <c r="P112" s="6" t="str">
        <f ca="1">IFERROR(__xludf.DUMMYFUNCTION("""COMPUTED_VALUE"""),"Lisandro Russian (Madrid, Cáceres, Toledo, Talavera y Logroño)")</f>
        <v>Lisandro Russian (Madrid, Cáceres, Toledo, Talavera y Logroño)</v>
      </c>
    </row>
    <row r="113" spans="2:16">
      <c r="B113" s="33">
        <f ca="1">IFERROR(__xludf.DUMMYFUNCTION("""COMPUTED_VALUE"""),2026)</f>
        <v>2026</v>
      </c>
      <c r="C113" s="15">
        <f ca="1">IFERROR(__xludf.DUMMYFUNCTION("""COMPUTED_VALUE"""),1)</f>
        <v>1</v>
      </c>
      <c r="D113" s="6" t="str">
        <f ca="1">IFERROR(__xludf.DUMMYFUNCTION("""COMPUTED_VALUE"""),"NO")</f>
        <v>NO</v>
      </c>
      <c r="E113" s="6" t="str">
        <f ca="1">IFERROR(__xludf.DUMMYFUNCTION("""COMPUTED_VALUE"""),"Logroño")</f>
        <v>Logroño</v>
      </c>
      <c r="F113" s="16">
        <f ca="1">IFERROR(__xludf.DUMMYFUNCTION("""COMPUTED_VALUE"""),46052)</f>
        <v>46052</v>
      </c>
      <c r="G113" s="16">
        <f ca="1">IFERROR(__xludf.DUMMYFUNCTION("""COMPUTED_VALUE"""),45889)</f>
        <v>45889</v>
      </c>
      <c r="H113" s="6" t="str">
        <f ca="1">IFERROR(__xludf.DUMMYFUNCTION("""COMPUTED_VALUE"""),"Logroño")</f>
        <v>Logroño</v>
      </c>
      <c r="I113" s="6" t="str">
        <f ca="1">IFERROR(__xludf.DUMMYFUNCTION("""COMPUTED_VALUE"""),"C2025916183327966")</f>
        <v>C2025916183327966</v>
      </c>
      <c r="J113" s="6" t="str">
        <f ca="1">IFERROR(__xludf.DUMMYFUNCTION("""COMPUTED_VALUE"""),"JULIAN MARTINEZ ALMENDARIZ")</f>
        <v>JULIAN MARTINEZ ALMENDARIZ</v>
      </c>
      <c r="K113" s="15">
        <f ca="1">IFERROR(__xludf.DUMMYFUNCTION("""COMPUTED_VALUE"""),2)</f>
        <v>2</v>
      </c>
      <c r="L113" s="21">
        <f ca="1">IFERROR(__xludf.DUMMYFUNCTION("""COMPUTED_VALUE"""),3631.82)</f>
        <v>3631.82</v>
      </c>
      <c r="M113" s="6" t="str">
        <f ca="1">IFERROR(__xludf.DUMMYFUNCTION("""COMPUTED_VALUE"""),"03 ORL")</f>
        <v>03 ORL</v>
      </c>
      <c r="N113" s="6" t="str">
        <f ca="1">IFERROR(__xludf.DUMMYFUNCTION("""COMPUTED_VALUE"""),"06 ORL")</f>
        <v>06 ORL</v>
      </c>
      <c r="O113" s="6" t="str">
        <f ca="1">IFERROR(__xludf.DUMMYFUNCTION("""COMPUTED_VALUE"""),"Dr, Daniel Briones Crespo")</f>
        <v>Dr, Daniel Briones Crespo</v>
      </c>
      <c r="P113" s="6" t="str">
        <f ca="1">IFERROR(__xludf.DUMMYFUNCTION("""COMPUTED_VALUE"""),"Lisandro Russian (Madrid, Cáceres, Toledo, Talavera y Logroño)")</f>
        <v>Lisandro Russian (Madrid, Cáceres, Toledo, Talavera y Logroño)</v>
      </c>
    </row>
    <row r="114" spans="2:16">
      <c r="B114" s="33">
        <f ca="1">IFERROR(__xludf.DUMMYFUNCTION("""COMPUTED_VALUE"""),2026)</f>
        <v>2026</v>
      </c>
      <c r="C114" s="15">
        <f ca="1">IFERROR(__xludf.DUMMYFUNCTION("""COMPUTED_VALUE"""),1)</f>
        <v>1</v>
      </c>
      <c r="D114" s="6" t="str">
        <f ca="1">IFERROR(__xludf.DUMMYFUNCTION("""COMPUTED_VALUE"""),"NO")</f>
        <v>NO</v>
      </c>
      <c r="E114" s="6" t="str">
        <f ca="1">IFERROR(__xludf.DUMMYFUNCTION("""COMPUTED_VALUE"""),"Getafe")</f>
        <v>Getafe</v>
      </c>
      <c r="F114" s="16">
        <f ca="1">IFERROR(__xludf.DUMMYFUNCTION("""COMPUTED_VALUE"""),46052)</f>
        <v>46052</v>
      </c>
      <c r="G114" s="16">
        <f ca="1">IFERROR(__xludf.DUMMYFUNCTION("""COMPUTED_VALUE"""),45908)</f>
        <v>45908</v>
      </c>
      <c r="H114" s="6" t="str">
        <f ca="1">IFERROR(__xludf.DUMMYFUNCTION("""COMPUTED_VALUE"""),"Getafe")</f>
        <v>Getafe</v>
      </c>
      <c r="I114" s="6" t="str">
        <f ca="1">IFERROR(__xludf.DUMMYFUNCTION("""COMPUTED_VALUE"""),"C2025915112151818")</f>
        <v>C2025915112151818</v>
      </c>
      <c r="J114" s="6" t="str">
        <f ca="1">IFERROR(__xludf.DUMMYFUNCTION("""COMPUTED_VALUE"""),"PILAR GIMENEZ HERNANDEZ")</f>
        <v>PILAR GIMENEZ HERNANDEZ</v>
      </c>
      <c r="K114" s="15">
        <f ca="1">IFERROR(__xludf.DUMMYFUNCTION("""COMPUTED_VALUE"""),1)</f>
        <v>1</v>
      </c>
      <c r="L114" s="21">
        <f ca="1">IFERROR(__xludf.DUMMYFUNCTION("""COMPUTED_VALUE"""),1631.82)</f>
        <v>1631.82</v>
      </c>
      <c r="M114" s="6" t="str">
        <f ca="1">IFERROR(__xludf.DUMMYFUNCTION("""COMPUTED_VALUE"""),"03 ORL")</f>
        <v>03 ORL</v>
      </c>
      <c r="N114" s="6" t="str">
        <f ca="1">IFERROR(__xludf.DUMMYFUNCTION("""COMPUTED_VALUE"""),"06 ORL")</f>
        <v>06 ORL</v>
      </c>
      <c r="O114" s="6" t="str">
        <f ca="1">IFERROR(__xludf.DUMMYFUNCTION("""COMPUTED_VALUE"""),"Dr, Antonio Rodríguez Rivero")</f>
        <v>Dr, Antonio Rodríguez Rivero</v>
      </c>
      <c r="P114" s="6" t="str">
        <f ca="1">IFERROR(__xludf.DUMMYFUNCTION("""COMPUTED_VALUE"""),"Maika Blázquez (Madrid)")</f>
        <v>Maika Blázquez (Madrid)</v>
      </c>
    </row>
    <row r="115" spans="2:16">
      <c r="B115" s="33">
        <f ca="1">IFERROR(__xludf.DUMMYFUNCTION("""COMPUTED_VALUE"""),2026)</f>
        <v>2026</v>
      </c>
      <c r="C115" s="15">
        <f ca="1">IFERROR(__xludf.DUMMYFUNCTION("""COMPUTED_VALUE"""),1)</f>
        <v>1</v>
      </c>
      <c r="D115" s="6" t="str">
        <f ca="1">IFERROR(__xludf.DUMMYFUNCTION("""COMPUTED_VALUE"""),"NO")</f>
        <v>NO</v>
      </c>
      <c r="E115" s="6" t="str">
        <f ca="1">IFERROR(__xludf.DUMMYFUNCTION("""COMPUTED_VALUE"""),"Valladolid")</f>
        <v>Valladolid</v>
      </c>
      <c r="F115" s="16">
        <f ca="1">IFERROR(__xludf.DUMMYFUNCTION("""COMPUTED_VALUE"""),46052)</f>
        <v>46052</v>
      </c>
      <c r="G115" s="16">
        <f ca="1">IFERROR(__xludf.DUMMYFUNCTION("""COMPUTED_VALUE"""),45987)</f>
        <v>45987</v>
      </c>
      <c r="H115" s="6" t="str">
        <f ca="1">IFERROR(__xludf.DUMMYFUNCTION("""COMPUTED_VALUE"""),"Valladolid")</f>
        <v>Valladolid</v>
      </c>
      <c r="I115" s="6" t="str">
        <f ca="1">IFERROR(__xludf.DUMMYFUNCTION("""COMPUTED_VALUE"""),"VLL-486")</f>
        <v>VLL-486</v>
      </c>
      <c r="J115" s="6" t="str">
        <f ca="1">IFERROR(__xludf.DUMMYFUNCTION("""COMPUTED_VALUE"""),"FELISA RODRIGUEZ DE CASTRO")</f>
        <v>FELISA RODRIGUEZ DE CASTRO</v>
      </c>
      <c r="K115" s="15">
        <f ca="1">IFERROR(__xludf.DUMMYFUNCTION("""COMPUTED_VALUE"""),2)</f>
        <v>2</v>
      </c>
      <c r="L115" s="21">
        <f ca="1">IFERROR(__xludf.DUMMYFUNCTION("""COMPUTED_VALUE"""),3522.73)</f>
        <v>3522.73</v>
      </c>
      <c r="M115" s="6" t="str">
        <f ca="1">IFERROR(__xludf.DUMMYFUNCTION("""COMPUTED_VALUE"""),"03 ORL")</f>
        <v>03 ORL</v>
      </c>
      <c r="N115" s="6" t="str">
        <f ca="1">IFERROR(__xludf.DUMMYFUNCTION("""COMPUTED_VALUE"""),"06 ORL")</f>
        <v>06 ORL</v>
      </c>
      <c r="O115" s="6" t="str">
        <f ca="1">IFERROR(__xludf.DUMMYFUNCTION("""COMPUTED_VALUE"""),"No recuerda ORL")</f>
        <v>No recuerda ORL</v>
      </c>
      <c r="P115" s="6" t="str">
        <f ca="1">IFERROR(__xludf.DUMMYFUNCTION("""COMPUTED_VALUE"""),"Alberto Moreno (Madrid)")</f>
        <v>Alberto Moreno (Madrid)</v>
      </c>
    </row>
    <row r="116" spans="2:16">
      <c r="B116" s="33">
        <f ca="1">IFERROR(__xludf.DUMMYFUNCTION("""COMPUTED_VALUE"""),2026)</f>
        <v>2026</v>
      </c>
      <c r="C116" s="15">
        <f ca="1">IFERROR(__xludf.DUMMYFUNCTION("""COMPUTED_VALUE"""),1)</f>
        <v>1</v>
      </c>
      <c r="D116" s="6" t="str">
        <f ca="1">IFERROR(__xludf.DUMMYFUNCTION("""COMPUTED_VALUE"""),"NO")</f>
        <v>NO</v>
      </c>
      <c r="E116" s="6" t="str">
        <f ca="1">IFERROR(__xludf.DUMMYFUNCTION("""COMPUTED_VALUE"""),"Toledo")</f>
        <v>Toledo</v>
      </c>
      <c r="F116" s="16">
        <f ca="1">IFERROR(__xludf.DUMMYFUNCTION("""COMPUTED_VALUE"""),46052)</f>
        <v>46052</v>
      </c>
      <c r="G116" s="16">
        <f ca="1">IFERROR(__xludf.DUMMYFUNCTION("""COMPUTED_VALUE"""),46001)</f>
        <v>46001</v>
      </c>
      <c r="H116" s="6" t="str">
        <f ca="1">IFERROR(__xludf.DUMMYFUNCTION("""COMPUTED_VALUE"""),"Toledo")</f>
        <v>Toledo</v>
      </c>
      <c r="I116" s="6" t="str">
        <f ca="1">IFERROR(__xludf.DUMMYFUNCTION("""COMPUTED_VALUE"""),"C202512109641544986")</f>
        <v>C202512109641544986</v>
      </c>
      <c r="J116" s="6" t="str">
        <f ca="1">IFERROR(__xludf.DUMMYFUNCTION("""COMPUTED_VALUE"""),"Vicente Camacho Gonzalez")</f>
        <v>Vicente Camacho Gonzalez</v>
      </c>
      <c r="K116" s="15">
        <f ca="1">IFERROR(__xludf.DUMMYFUNCTION("""COMPUTED_VALUE"""),2)</f>
        <v>2</v>
      </c>
      <c r="L116" s="21">
        <f ca="1">IFERROR(__xludf.DUMMYFUNCTION("""COMPUTED_VALUE"""),2582.27)</f>
        <v>2582.27</v>
      </c>
      <c r="M116" s="6" t="str">
        <f ca="1">IFERROR(__xludf.DUMMYFUNCTION("""COMPUTED_VALUE"""),"03 ORL")</f>
        <v>03 ORL</v>
      </c>
      <c r="N116" s="6" t="str">
        <f ca="1">IFERROR(__xludf.DUMMYFUNCTION("""COMPUTED_VALUE"""),"06 ORL")</f>
        <v>06 ORL</v>
      </c>
      <c r="O116" s="6" t="str">
        <f ca="1">IFERROR(__xludf.DUMMYFUNCTION("""COMPUTED_VALUE"""),"Dra, Bárbara Serrano Calleja")</f>
        <v>Dra, Bárbara Serrano Calleja</v>
      </c>
      <c r="P116" s="6" t="str">
        <f ca="1">IFERROR(__xludf.DUMMYFUNCTION("""COMPUTED_VALUE"""),"Lisandro Russian (Madrid, Cáceres, Toledo, Talavera y Logroño)")</f>
        <v>Lisandro Russian (Madrid, Cáceres, Toledo, Talavera y Logroño)</v>
      </c>
    </row>
    <row r="117" spans="2:16">
      <c r="B117" s="33">
        <f ca="1">IFERROR(__xludf.DUMMYFUNCTION("""COMPUTED_VALUE"""),2026)</f>
        <v>2026</v>
      </c>
      <c r="C117" s="15">
        <f ca="1">IFERROR(__xludf.DUMMYFUNCTION("""COMPUTED_VALUE"""),1)</f>
        <v>1</v>
      </c>
      <c r="D117" s="6" t="str">
        <f ca="1">IFERROR(__xludf.DUMMYFUNCTION("""COMPUTED_VALUE"""),"NO")</f>
        <v>NO</v>
      </c>
      <c r="E117" s="6" t="str">
        <f ca="1">IFERROR(__xludf.DUMMYFUNCTION("""COMPUTED_VALUE"""),"Jerez de la Frontera")</f>
        <v>Jerez de la Frontera</v>
      </c>
      <c r="F117" s="16">
        <f ca="1">IFERROR(__xludf.DUMMYFUNCTION("""COMPUTED_VALUE"""),46052)</f>
        <v>46052</v>
      </c>
      <c r="G117" s="16">
        <f ca="1">IFERROR(__xludf.DUMMYFUNCTION("""COMPUTED_VALUE"""),46024)</f>
        <v>46024</v>
      </c>
      <c r="H117" s="6" t="str">
        <f ca="1">IFERROR(__xludf.DUMMYFUNCTION("""COMPUTED_VALUE"""),"Jerez")</f>
        <v>Jerez</v>
      </c>
      <c r="I117" s="6" t="str">
        <f ca="1">IFERROR(__xludf.DUMMYFUNCTION("""COMPUTED_VALUE"""),"C202612113045186230")</f>
        <v>C202612113045186230</v>
      </c>
      <c r="J117" s="6" t="str">
        <f ca="1">IFERROR(__xludf.DUMMYFUNCTION("""COMPUTED_VALUE"""),"ELOY JAVIER GONZALEZ PALOMINO")</f>
        <v>ELOY JAVIER GONZALEZ PALOMINO</v>
      </c>
      <c r="K117" s="15">
        <f ca="1">IFERROR(__xludf.DUMMYFUNCTION("""COMPUTED_VALUE"""),2)</f>
        <v>2</v>
      </c>
      <c r="L117" s="21">
        <f ca="1">IFERROR(__xludf.DUMMYFUNCTION("""COMPUTED_VALUE"""),4136.36)</f>
        <v>4136.3599999999997</v>
      </c>
      <c r="M117" s="6" t="str">
        <f ca="1">IFERROR(__xludf.DUMMYFUNCTION("""COMPUTED_VALUE"""),"03 ORL")</f>
        <v>03 ORL</v>
      </c>
      <c r="N117" s="6" t="str">
        <f ca="1">IFERROR(__xludf.DUMMYFUNCTION("""COMPUTED_VALUE"""),"06 ORL")</f>
        <v>06 ORL</v>
      </c>
      <c r="O117" s="6" t="str">
        <f ca="1">IFERROR(__xludf.DUMMYFUNCTION("""COMPUTED_VALUE"""),"Dr, Manuel Tucciarone")</f>
        <v>Dr, Manuel Tucciarone</v>
      </c>
      <c r="P117" s="6" t="str">
        <f ca="1">IFERROR(__xludf.DUMMYFUNCTION("""COMPUTED_VALUE"""),"Luis Alberto Rodríguez (Andalucía y Badajoz)")</f>
        <v>Luis Alberto Rodríguez (Andalucía y Badajoz)</v>
      </c>
    </row>
    <row r="118" spans="2:16">
      <c r="B118" s="33">
        <f ca="1">IFERROR(__xludf.DUMMYFUNCTION("""COMPUTED_VALUE"""),2026)</f>
        <v>2026</v>
      </c>
      <c r="C118" s="15">
        <f ca="1">IFERROR(__xludf.DUMMYFUNCTION("""COMPUTED_VALUE"""),1)</f>
        <v>1</v>
      </c>
      <c r="D118" s="6" t="str">
        <f ca="1">IFERROR(__xludf.DUMMYFUNCTION("""COMPUTED_VALUE"""),"NO")</f>
        <v>NO</v>
      </c>
      <c r="E118" s="6" t="str">
        <f ca="1">IFERROR(__xludf.DUMMYFUNCTION("""COMPUTED_VALUE"""),"Cáceres")</f>
        <v>Cáceres</v>
      </c>
      <c r="F118" s="16">
        <f ca="1">IFERROR(__xludf.DUMMYFUNCTION("""COMPUTED_VALUE"""),46052)</f>
        <v>46052</v>
      </c>
      <c r="G118" s="16">
        <f ca="1">IFERROR(__xludf.DUMMYFUNCTION("""COMPUTED_VALUE"""),46020)</f>
        <v>46020</v>
      </c>
      <c r="H118" s="6" t="str">
        <f ca="1">IFERROR(__xludf.DUMMYFUNCTION("""COMPUTED_VALUE"""),"Cáceres")</f>
        <v>Cáceres</v>
      </c>
      <c r="I118" s="6" t="str">
        <f ca="1">IFERROR(__xludf.DUMMYFUNCTION("""COMPUTED_VALUE"""),"C202512298441794190")</f>
        <v>C202512298441794190</v>
      </c>
      <c r="J118" s="6" t="str">
        <f ca="1">IFERROR(__xludf.DUMMYFUNCTION("""COMPUTED_VALUE"""),"PURIFICACION HOLGADO RODRIGUEZ")</f>
        <v>PURIFICACION HOLGADO RODRIGUEZ</v>
      </c>
      <c r="K118" s="15">
        <f ca="1">IFERROR(__xludf.DUMMYFUNCTION("""COMPUTED_VALUE"""),1)</f>
        <v>1</v>
      </c>
      <c r="L118" s="21">
        <f ca="1">IFERROR(__xludf.DUMMYFUNCTION("""COMPUTED_VALUE"""),1839.09)</f>
        <v>1839.09</v>
      </c>
      <c r="M118" s="6" t="str">
        <f ca="1">IFERROR(__xludf.DUMMYFUNCTION("""COMPUTED_VALUE"""),"03 ORL")</f>
        <v>03 ORL</v>
      </c>
      <c r="N118" s="6" t="str">
        <f ca="1">IFERROR(__xludf.DUMMYFUNCTION("""COMPUTED_VALUE"""),"06 ORL")</f>
        <v>06 ORL</v>
      </c>
      <c r="O118" s="6" t="str">
        <f ca="1">IFERROR(__xludf.DUMMYFUNCTION("""COMPUTED_VALUE"""),"Dr, Raed Maqued El Maqued")</f>
        <v>Dr, Raed Maqued El Maqued</v>
      </c>
      <c r="P118" s="6" t="str">
        <f ca="1">IFERROR(__xludf.DUMMYFUNCTION("""COMPUTED_VALUE"""),"Lisandro Russian (Madrid, Cáceres, Toledo, Talavera y Logroño)")</f>
        <v>Lisandro Russian (Madrid, Cáceres, Toledo, Talavera y Logroño)</v>
      </c>
    </row>
    <row r="119" spans="2:16">
      <c r="B119" s="33">
        <f ca="1">IFERROR(__xludf.DUMMYFUNCTION("""COMPUTED_VALUE"""),2026)</f>
        <v>2026</v>
      </c>
      <c r="C119" s="15">
        <f ca="1">IFERROR(__xludf.DUMMYFUNCTION("""COMPUTED_VALUE"""),1)</f>
        <v>1</v>
      </c>
      <c r="D119" s="6" t="str">
        <f ca="1">IFERROR(__xludf.DUMMYFUNCTION("""COMPUTED_VALUE"""),"NO")</f>
        <v>NO</v>
      </c>
      <c r="E119" s="6" t="str">
        <f ca="1">IFERROR(__xludf.DUMMYFUNCTION("""COMPUTED_VALUE"""),"Alcorcón")</f>
        <v>Alcorcón</v>
      </c>
      <c r="F119" s="16">
        <f ca="1">IFERROR(__xludf.DUMMYFUNCTION("""COMPUTED_VALUE"""),46052)</f>
        <v>46052</v>
      </c>
      <c r="G119" s="16">
        <f ca="1">IFERROR(__xludf.DUMMYFUNCTION("""COMPUTED_VALUE"""),46029)</f>
        <v>46029</v>
      </c>
      <c r="H119" s="6" t="str">
        <f ca="1">IFERROR(__xludf.DUMMYFUNCTION("""COMPUTED_VALUE"""),"Alcorcón")</f>
        <v>Alcorcón</v>
      </c>
      <c r="I119" s="6" t="str">
        <f ca="1">IFERROR(__xludf.DUMMYFUNCTION("""COMPUTED_VALUE"""),"C202617112022918814")</f>
        <v>C202617112022918814</v>
      </c>
      <c r="J119" s="6" t="str">
        <f ca="1">IFERROR(__xludf.DUMMYFUNCTION("""COMPUTED_VALUE"""),"ADELAIDA ALVAREZ GONZALEZ")</f>
        <v>ADELAIDA ALVAREZ GONZALEZ</v>
      </c>
      <c r="K119" s="15">
        <f ca="1">IFERROR(__xludf.DUMMYFUNCTION("""COMPUTED_VALUE"""),2)</f>
        <v>2</v>
      </c>
      <c r="L119" s="21">
        <f ca="1">IFERROR(__xludf.DUMMYFUNCTION("""COMPUTED_VALUE"""),2718.18)</f>
        <v>2718.18</v>
      </c>
      <c r="M119" s="6" t="str">
        <f ca="1">IFERROR(__xludf.DUMMYFUNCTION("""COMPUTED_VALUE"""),"03 ORL")</f>
        <v>03 ORL</v>
      </c>
      <c r="N119" s="6" t="str">
        <f ca="1">IFERROR(__xludf.DUMMYFUNCTION("""COMPUTED_VALUE"""),"06 ORL")</f>
        <v>06 ORL</v>
      </c>
      <c r="O119" s="6" t="str">
        <f ca="1">IFERROR(__xludf.DUMMYFUNCTION("""COMPUTED_VALUE"""),"Dra, María Sol Marcos Salazar")</f>
        <v>Dra, María Sol Marcos Salazar</v>
      </c>
      <c r="P119" s="6" t="str">
        <f ca="1">IFERROR(__xludf.DUMMYFUNCTION("""COMPUTED_VALUE"""),"Lisandro Russian (Madrid, Cáceres, Toledo, Talavera y Logroño)")</f>
        <v>Lisandro Russian (Madrid, Cáceres, Toledo, Talavera y Logroño)</v>
      </c>
    </row>
    <row r="120" spans="2:16">
      <c r="B120" s="33">
        <f ca="1">IFERROR(__xludf.DUMMYFUNCTION("""COMPUTED_VALUE"""),2026)</f>
        <v>2026</v>
      </c>
      <c r="C120" s="15">
        <f ca="1">IFERROR(__xludf.DUMMYFUNCTION("""COMPUTED_VALUE"""),1)</f>
        <v>1</v>
      </c>
      <c r="D120" s="6" t="str">
        <f ca="1">IFERROR(__xludf.DUMMYFUNCTION("""COMPUTED_VALUE"""),"NO")</f>
        <v>NO</v>
      </c>
      <c r="E120" s="6" t="str">
        <f ca="1">IFERROR(__xludf.DUMMYFUNCTION("""COMPUTED_VALUE"""),"Logroño")</f>
        <v>Logroño</v>
      </c>
      <c r="F120" s="16">
        <f ca="1">IFERROR(__xludf.DUMMYFUNCTION("""COMPUTED_VALUE"""),46052)</f>
        <v>46052</v>
      </c>
      <c r="G120" s="16">
        <f ca="1">IFERROR(__xludf.DUMMYFUNCTION("""COMPUTED_VALUE"""),46001)</f>
        <v>46001</v>
      </c>
      <c r="H120" s="6" t="str">
        <f ca="1">IFERROR(__xludf.DUMMYFUNCTION("""COMPUTED_VALUE"""),"Logroño")</f>
        <v>Logroño</v>
      </c>
      <c r="I120" s="6" t="str">
        <f ca="1">IFERROR(__xludf.DUMMYFUNCTION("""COMPUTED_VALUE"""),"C202512101635128085")</f>
        <v>C202512101635128085</v>
      </c>
      <c r="J120" s="6" t="str">
        <f ca="1">IFERROR(__xludf.DUMMYFUNCTION("""COMPUTED_VALUE"""),"ELEUTERIO FERNANDEZ DE PRADO")</f>
        <v>ELEUTERIO FERNANDEZ DE PRADO</v>
      </c>
      <c r="K120" s="15">
        <f ca="1">IFERROR(__xludf.DUMMYFUNCTION("""COMPUTED_VALUE"""),1)</f>
        <v>1</v>
      </c>
      <c r="L120" s="21">
        <f ca="1">IFERROR(__xludf.DUMMYFUNCTION("""COMPUTED_VALUE"""),2294.32)</f>
        <v>2294.3200000000002</v>
      </c>
      <c r="M120" s="6" t="str">
        <f ca="1">IFERROR(__xludf.DUMMYFUNCTION("""COMPUTED_VALUE"""),"03 ORL")</f>
        <v>03 ORL</v>
      </c>
      <c r="N120" s="6" t="str">
        <f ca="1">IFERROR(__xludf.DUMMYFUNCTION("""COMPUTED_VALUE"""),"06 ORL")</f>
        <v>06 ORL</v>
      </c>
      <c r="O120" s="6" t="str">
        <f ca="1">IFERROR(__xludf.DUMMYFUNCTION("""COMPUTED_VALUE"""),"Dr, Fernando Salazar Barcelona")</f>
        <v>Dr, Fernando Salazar Barcelona</v>
      </c>
      <c r="P120" s="6" t="str">
        <f ca="1">IFERROR(__xludf.DUMMYFUNCTION("""COMPUTED_VALUE"""),"Lisandro Russian (Madrid, Cáceres, Toledo, Talavera y Logroño)")</f>
        <v>Lisandro Russian (Madrid, Cáceres, Toledo, Talavera y Logroño)</v>
      </c>
    </row>
    <row r="121" spans="2:16">
      <c r="B121" s="33">
        <f ca="1">IFERROR(__xludf.DUMMYFUNCTION("""COMPUTED_VALUE"""),2026)</f>
        <v>2026</v>
      </c>
      <c r="C121" s="15">
        <f ca="1">IFERROR(__xludf.DUMMYFUNCTION("""COMPUTED_VALUE"""),1)</f>
        <v>1</v>
      </c>
      <c r="D121" s="6" t="str">
        <f ca="1">IFERROR(__xludf.DUMMYFUNCTION("""COMPUTED_VALUE"""),"NO")</f>
        <v>NO</v>
      </c>
      <c r="E121" s="6" t="str">
        <f ca="1">IFERROR(__xludf.DUMMYFUNCTION("""COMPUTED_VALUE"""),"Murcia")</f>
        <v>Murcia</v>
      </c>
      <c r="F121" s="16">
        <f ca="1">IFERROR(__xludf.DUMMYFUNCTION("""COMPUTED_VALUE"""),46052)</f>
        <v>46052</v>
      </c>
      <c r="G121" s="16">
        <f ca="1">IFERROR(__xludf.DUMMYFUNCTION("""COMPUTED_VALUE"""),46034)</f>
        <v>46034</v>
      </c>
      <c r="H121" s="6" t="str">
        <f ca="1">IFERROR(__xludf.DUMMYFUNCTION("""COMPUTED_VALUE"""),"Murcia")</f>
        <v>Murcia</v>
      </c>
      <c r="I121" s="6" t="str">
        <f ca="1">IFERROR(__xludf.DUMMYFUNCTION("""COMPUTED_VALUE"""),"C202611210542515387")</f>
        <v>C202611210542515387</v>
      </c>
      <c r="J121" s="6" t="str">
        <f ca="1">IFERROR(__xludf.DUMMYFUNCTION("""COMPUTED_VALUE"""),"JOSE LOPEZ PEREZ")</f>
        <v>JOSE LOPEZ PEREZ</v>
      </c>
      <c r="K121" s="15">
        <f ca="1">IFERROR(__xludf.DUMMYFUNCTION("""COMPUTED_VALUE"""),2)</f>
        <v>2</v>
      </c>
      <c r="L121" s="21">
        <f ca="1">IFERROR(__xludf.DUMMYFUNCTION("""COMPUTED_VALUE"""),3631.82)</f>
        <v>3631.82</v>
      </c>
      <c r="M121" s="6" t="str">
        <f ca="1">IFERROR(__xludf.DUMMYFUNCTION("""COMPUTED_VALUE"""),"03 ORL")</f>
        <v>03 ORL</v>
      </c>
      <c r="N121" s="6" t="str">
        <f ca="1">IFERROR(__xludf.DUMMYFUNCTION("""COMPUTED_VALUE"""),"06 ORL")</f>
        <v>06 ORL</v>
      </c>
      <c r="O121" s="6" t="str">
        <f ca="1">IFERROR(__xludf.DUMMYFUNCTION("""COMPUTED_VALUE"""),"Dra, Beatriz Rodríguez González Herrero")</f>
        <v>Dra, Beatriz Rodríguez González Herrero</v>
      </c>
      <c r="P121" s="6" t="str">
        <f ca="1">IFERROR(__xludf.DUMMYFUNCTION("""COMPUTED_VALUE"""),"Iván Sánchez (Levante y Albacete)")</f>
        <v>Iván Sánchez (Levante y Albacete)</v>
      </c>
    </row>
    <row r="122" spans="2:16">
      <c r="B122" s="33">
        <f ca="1">IFERROR(__xludf.DUMMYFUNCTION("""COMPUTED_VALUE"""),2026)</f>
        <v>2026</v>
      </c>
      <c r="C122" s="15">
        <f ca="1">IFERROR(__xludf.DUMMYFUNCTION("""COMPUTED_VALUE"""),1)</f>
        <v>1</v>
      </c>
      <c r="D122" s="6" t="str">
        <f ca="1">IFERROR(__xludf.DUMMYFUNCTION("""COMPUTED_VALUE"""),"NO")</f>
        <v>NO</v>
      </c>
      <c r="E122" s="6" t="str">
        <f ca="1">IFERROR(__xludf.DUMMYFUNCTION("""COMPUTED_VALUE"""),"Logroño")</f>
        <v>Logroño</v>
      </c>
      <c r="F122" s="16">
        <f ca="1">IFERROR(__xludf.DUMMYFUNCTION("""COMPUTED_VALUE"""),46052)</f>
        <v>46052</v>
      </c>
      <c r="G122" s="16">
        <f ca="1">IFERROR(__xludf.DUMMYFUNCTION("""COMPUTED_VALUE"""),45978)</f>
        <v>45978</v>
      </c>
      <c r="H122" s="6" t="str">
        <f ca="1">IFERROR(__xludf.DUMMYFUNCTION("""COMPUTED_VALUE"""),"Logroño")</f>
        <v>Logroño</v>
      </c>
      <c r="I122" s="6" t="str">
        <f ca="1">IFERROR(__xludf.DUMMYFUNCTION("""COMPUTED_VALUE"""),"C202511179197088208")</f>
        <v>C202511179197088208</v>
      </c>
      <c r="J122" s="6" t="str">
        <f ca="1">IFERROR(__xludf.DUMMYFUNCTION("""COMPUTED_VALUE"""),"SUCESO MORENO LOPEZ")</f>
        <v>SUCESO MORENO LOPEZ</v>
      </c>
      <c r="K122" s="15">
        <f ca="1">IFERROR(__xludf.DUMMYFUNCTION("""COMPUTED_VALUE"""),2)</f>
        <v>2</v>
      </c>
      <c r="L122" s="21">
        <f ca="1">IFERROR(__xludf.DUMMYFUNCTION("""COMPUTED_VALUE"""),3424.32)</f>
        <v>3424.32</v>
      </c>
      <c r="M122" s="6" t="str">
        <f ca="1">IFERROR(__xludf.DUMMYFUNCTION("""COMPUTED_VALUE"""),"03 ORL")</f>
        <v>03 ORL</v>
      </c>
      <c r="N122" s="6" t="str">
        <f ca="1">IFERROR(__xludf.DUMMYFUNCTION("""COMPUTED_VALUE"""),"06 ORL")</f>
        <v>06 ORL</v>
      </c>
      <c r="O122" s="6" t="str">
        <f ca="1">IFERROR(__xludf.DUMMYFUNCTION("""COMPUTED_VALUE"""),"Dra, Cristina Ibañez Muñoz")</f>
        <v>Dra, Cristina Ibañez Muñoz</v>
      </c>
      <c r="P122" s="6" t="str">
        <f ca="1">IFERROR(__xludf.DUMMYFUNCTION("""COMPUTED_VALUE"""),"Lisandro Russian (Madrid, Cáceres, Toledo, Talavera y Logroño)")</f>
        <v>Lisandro Russian (Madrid, Cáceres, Toledo, Talavera y Logroño)</v>
      </c>
    </row>
    <row r="123" spans="2:16">
      <c r="B123" s="33">
        <f ca="1">IFERROR(__xludf.DUMMYFUNCTION("""COMPUTED_VALUE"""),2026)</f>
        <v>2026</v>
      </c>
      <c r="C123" s="15">
        <f ca="1">IFERROR(__xludf.DUMMYFUNCTION("""COMPUTED_VALUE"""),1)</f>
        <v>1</v>
      </c>
      <c r="D123" s="6" t="str">
        <f ca="1">IFERROR(__xludf.DUMMYFUNCTION("""COMPUTED_VALUE"""),"NO")</f>
        <v>NO</v>
      </c>
      <c r="E123" s="6" t="str">
        <f ca="1">IFERROR(__xludf.DUMMYFUNCTION("""COMPUTED_VALUE"""),"Murcia")</f>
        <v>Murcia</v>
      </c>
      <c r="F123" s="16">
        <f ca="1">IFERROR(__xludf.DUMMYFUNCTION("""COMPUTED_VALUE"""),46052)</f>
        <v>46052</v>
      </c>
      <c r="G123" s="16">
        <f ca="1">IFERROR(__xludf.DUMMYFUNCTION("""COMPUTED_VALUE"""),46042)</f>
        <v>46042</v>
      </c>
      <c r="H123" s="6" t="str">
        <f ca="1">IFERROR(__xludf.DUMMYFUNCTION("""COMPUTED_VALUE"""),"Murcia")</f>
        <v>Murcia</v>
      </c>
      <c r="I123" s="6" t="str">
        <f ca="1">IFERROR(__xludf.DUMMYFUNCTION("""COMPUTED_VALUE"""),"C202612010574003793")</f>
        <v>C202612010574003793</v>
      </c>
      <c r="J123" s="6" t="str">
        <f ca="1">IFERROR(__xludf.DUMMYFUNCTION("""COMPUTED_VALUE"""),"ANTONIO MARTINEZ FERNANDEZ")</f>
        <v>ANTONIO MARTINEZ FERNANDEZ</v>
      </c>
      <c r="K123" s="15">
        <f ca="1">IFERROR(__xludf.DUMMYFUNCTION("""COMPUTED_VALUE"""),1)</f>
        <v>1</v>
      </c>
      <c r="L123" s="21">
        <f ca="1">IFERROR(__xludf.DUMMYFUNCTION("""COMPUTED_VALUE"""),2481.82)</f>
        <v>2481.8200000000002</v>
      </c>
      <c r="M123" s="6" t="str">
        <f ca="1">IFERROR(__xludf.DUMMYFUNCTION("""COMPUTED_VALUE"""),"03 ORL")</f>
        <v>03 ORL</v>
      </c>
      <c r="N123" s="6" t="str">
        <f ca="1">IFERROR(__xludf.DUMMYFUNCTION("""COMPUTED_VALUE"""),"06 ORL")</f>
        <v>06 ORL</v>
      </c>
      <c r="O123" s="6" t="str">
        <f ca="1">IFERROR(__xludf.DUMMYFUNCTION("""COMPUTED_VALUE"""),"Dr, Enrique López Meseguer")</f>
        <v>Dr, Enrique López Meseguer</v>
      </c>
      <c r="P123" s="6" t="str">
        <f ca="1">IFERROR(__xludf.DUMMYFUNCTION("""COMPUTED_VALUE"""),"Iván Sánchez (Levante y Albacete)")</f>
        <v>Iván Sánchez (Levante y Albacete)</v>
      </c>
    </row>
    <row r="124" spans="2:16">
      <c r="B124" s="33">
        <f ca="1">IFERROR(__xludf.DUMMYFUNCTION("""COMPUTED_VALUE"""),2026)</f>
        <v>2026</v>
      </c>
      <c r="C124" s="15">
        <f ca="1">IFERROR(__xludf.DUMMYFUNCTION("""COMPUTED_VALUE"""),1)</f>
        <v>1</v>
      </c>
      <c r="D124" s="6" t="str">
        <f ca="1">IFERROR(__xludf.DUMMYFUNCTION("""COMPUTED_VALUE"""),"NO")</f>
        <v>NO</v>
      </c>
      <c r="E124" s="6" t="str">
        <f ca="1">IFERROR(__xludf.DUMMYFUNCTION("""COMPUTED_VALUE"""),"Madrid- Canillas")</f>
        <v>Madrid- Canillas</v>
      </c>
      <c r="F124" s="16">
        <f ca="1">IFERROR(__xludf.DUMMYFUNCTION("""COMPUTED_VALUE"""),46052)</f>
        <v>46052</v>
      </c>
      <c r="G124" s="16">
        <f ca="1">IFERROR(__xludf.DUMMYFUNCTION("""COMPUTED_VALUE"""),46034)</f>
        <v>46034</v>
      </c>
      <c r="H124" s="6" t="str">
        <f ca="1">IFERROR(__xludf.DUMMYFUNCTION("""COMPUTED_VALUE"""),"Canillas")</f>
        <v>Canillas</v>
      </c>
      <c r="I124" s="6" t="str">
        <f ca="1">IFERROR(__xludf.DUMMYFUNCTION("""COMPUTED_VALUE"""),"C202611210322038706")</f>
        <v>C202611210322038706</v>
      </c>
      <c r="J124" s="6" t="str">
        <f ca="1">IFERROR(__xludf.DUMMYFUNCTION("""COMPUTED_VALUE"""),"VICTORINA PÉREZ GÓMEZ")</f>
        <v>VICTORINA PÉREZ GÓMEZ</v>
      </c>
      <c r="K124" s="15">
        <f ca="1">IFERROR(__xludf.DUMMYFUNCTION("""COMPUTED_VALUE"""),2)</f>
        <v>2</v>
      </c>
      <c r="L124" s="21">
        <f ca="1">IFERROR(__xludf.DUMMYFUNCTION("""COMPUTED_VALUE"""),3631.83)</f>
        <v>3631.83</v>
      </c>
      <c r="M124" s="6" t="str">
        <f ca="1">IFERROR(__xludf.DUMMYFUNCTION("""COMPUTED_VALUE"""),"03 ORL")</f>
        <v>03 ORL</v>
      </c>
      <c r="N124" s="6" t="str">
        <f ca="1">IFERROR(__xludf.DUMMYFUNCTION("""COMPUTED_VALUE"""),"06 ORL")</f>
        <v>06 ORL</v>
      </c>
      <c r="O124" s="6" t="str">
        <f ca="1">IFERROR(__xludf.DUMMYFUNCTION("""COMPUTED_VALUE"""),"Dr, José Gustavo Barroso Braojos")</f>
        <v>Dr, José Gustavo Barroso Braojos</v>
      </c>
      <c r="P124" s="6" t="str">
        <f ca="1">IFERROR(__xludf.DUMMYFUNCTION("""COMPUTED_VALUE"""),"Maika Blázquez (Madrid)")</f>
        <v>Maika Blázquez (Madrid)</v>
      </c>
    </row>
    <row r="125" spans="2:16">
      <c r="B125" s="33">
        <f ca="1">IFERROR(__xludf.DUMMYFUNCTION("""COMPUTED_VALUE"""),2026)</f>
        <v>2026</v>
      </c>
      <c r="C125" s="15">
        <f ca="1">IFERROR(__xludf.DUMMYFUNCTION("""COMPUTED_VALUE"""),1)</f>
        <v>1</v>
      </c>
      <c r="D125" s="6" t="str">
        <f ca="1">IFERROR(__xludf.DUMMYFUNCTION("""COMPUTED_VALUE"""),"NO")</f>
        <v>NO</v>
      </c>
      <c r="E125" s="6" t="str">
        <f ca="1">IFERROR(__xludf.DUMMYFUNCTION("""COMPUTED_VALUE"""),"Leganés")</f>
        <v>Leganés</v>
      </c>
      <c r="F125" s="16">
        <f ca="1">IFERROR(__xludf.DUMMYFUNCTION("""COMPUTED_VALUE"""),46052)</f>
        <v>46052</v>
      </c>
      <c r="G125" s="16">
        <f ca="1">IFERROR(__xludf.DUMMYFUNCTION("""COMPUTED_VALUE"""),46029)</f>
        <v>46029</v>
      </c>
      <c r="H125" s="6" t="str">
        <f ca="1">IFERROR(__xludf.DUMMYFUNCTION("""COMPUTED_VALUE"""),"Leganés")</f>
        <v>Leganés</v>
      </c>
      <c r="I125" s="6" t="str">
        <f ca="1">IFERROR(__xludf.DUMMYFUNCTION("""COMPUTED_VALUE"""),"C202617104647911770")</f>
        <v>C202617104647911770</v>
      </c>
      <c r="J125" s="6" t="str">
        <f ca="1">IFERROR(__xludf.DUMMYFUNCTION("""COMPUTED_VALUE"""),"TOMAS PICAZO TABERNA")</f>
        <v>TOMAS PICAZO TABERNA</v>
      </c>
      <c r="K125" s="15">
        <f ca="1">IFERROR(__xludf.DUMMYFUNCTION("""COMPUTED_VALUE"""),2)</f>
        <v>2</v>
      </c>
      <c r="L125" s="21">
        <f ca="1">IFERROR(__xludf.DUMMYFUNCTION("""COMPUTED_VALUE"""),3450)</f>
        <v>3450</v>
      </c>
      <c r="M125" s="6" t="str">
        <f ca="1">IFERROR(__xludf.DUMMYFUNCTION("""COMPUTED_VALUE"""),"03 ORL")</f>
        <v>03 ORL</v>
      </c>
      <c r="N125" s="6" t="str">
        <f ca="1">IFERROR(__xludf.DUMMYFUNCTION("""COMPUTED_VALUE"""),"06 ORL")</f>
        <v>06 ORL</v>
      </c>
      <c r="O125" s="6" t="str">
        <f ca="1">IFERROR(__xludf.DUMMYFUNCTION("""COMPUTED_VALUE"""),"Dr, Jesús Ramos Fernández")</f>
        <v>Dr, Jesús Ramos Fernández</v>
      </c>
      <c r="P125" s="6" t="str">
        <f ca="1">IFERROR(__xludf.DUMMYFUNCTION("""COMPUTED_VALUE"""),"Maika Blázquez (Madrid)")</f>
        <v>Maika Blázquez (Madrid)</v>
      </c>
    </row>
    <row r="126" spans="2:16">
      <c r="B126" s="33">
        <f ca="1">IFERROR(__xludf.DUMMYFUNCTION("""COMPUTED_VALUE"""),2026)</f>
        <v>2026</v>
      </c>
      <c r="C126" s="15">
        <f ca="1">IFERROR(__xludf.DUMMYFUNCTION("""COMPUTED_VALUE"""),1)</f>
        <v>1</v>
      </c>
      <c r="D126" s="6" t="str">
        <f ca="1">IFERROR(__xludf.DUMMYFUNCTION("""COMPUTED_VALUE"""),"SI")</f>
        <v>SI</v>
      </c>
      <c r="E126" s="6" t="str">
        <f ca="1">IFERROR(__xludf.DUMMYFUNCTION("""COMPUTED_VALUE"""),"Getafe")</f>
        <v>Getafe</v>
      </c>
      <c r="F126" s="16">
        <f ca="1">IFERROR(__xludf.DUMMYFUNCTION("""COMPUTED_VALUE"""),46052)</f>
        <v>46052</v>
      </c>
      <c r="G126" s="16">
        <f ca="1">IFERROR(__xludf.DUMMYFUNCTION("""COMPUTED_VALUE"""),45972)</f>
        <v>45972</v>
      </c>
      <c r="H126" s="6" t="str">
        <f ca="1">IFERROR(__xludf.DUMMYFUNCTION("""COMPUTED_VALUE"""),"Getafe")</f>
        <v>Getafe</v>
      </c>
      <c r="I126" s="6" t="str">
        <f ca="1">IFERROR(__xludf.DUMMYFUNCTION("""COMPUTED_VALUE"""),"C202511111644133841")</f>
        <v>C202511111644133841</v>
      </c>
      <c r="J126" s="6" t="str">
        <f ca="1">IFERROR(__xludf.DUMMYFUNCTION("""COMPUTED_VALUE"""),"CRESCENCIA MORETA MORALEDA")</f>
        <v>CRESCENCIA MORETA MORALEDA</v>
      </c>
      <c r="K126" s="15">
        <f ca="1">IFERROR(__xludf.DUMMYFUNCTION("""COMPUTED_VALUE"""),2)</f>
        <v>2</v>
      </c>
      <c r="L126" s="21">
        <f ca="1">IFERROR(__xludf.DUMMYFUNCTION("""COMPUTED_VALUE"""),3450.23)</f>
        <v>3450.23</v>
      </c>
      <c r="M126" s="6" t="str">
        <f ca="1">IFERROR(__xludf.DUMMYFUNCTION("""COMPUTED_VALUE"""),"03 ORL")</f>
        <v>03 ORL</v>
      </c>
      <c r="N126" s="6" t="str">
        <f ca="1">IFERROR(__xludf.DUMMYFUNCTION("""COMPUTED_VALUE"""),"06 ORL")</f>
        <v>06 ORL</v>
      </c>
      <c r="O126" s="6" t="str">
        <f ca="1">IFERROR(__xludf.DUMMYFUNCTION("""COMPUTED_VALUE"""),"Dra, Marta Colmenero Ruiz")</f>
        <v>Dra, Marta Colmenero Ruiz</v>
      </c>
      <c r="P126" s="6" t="str">
        <f ca="1">IFERROR(__xludf.DUMMYFUNCTION("""COMPUTED_VALUE"""),"Maika Blázquez (Madrid)")</f>
        <v>Maika Blázquez (Madrid)</v>
      </c>
    </row>
    <row r="127" spans="2:16">
      <c r="B127" s="33">
        <f ca="1">IFERROR(__xludf.DUMMYFUNCTION("""COMPUTED_VALUE"""),2026)</f>
        <v>2026</v>
      </c>
      <c r="C127" s="15">
        <f ca="1">IFERROR(__xludf.DUMMYFUNCTION("""COMPUTED_VALUE"""),1)</f>
        <v>1</v>
      </c>
      <c r="D127" s="6" t="str">
        <f ca="1">IFERROR(__xludf.DUMMYFUNCTION("""COMPUTED_VALUE"""),"NO")</f>
        <v>NO</v>
      </c>
      <c r="E127" s="6" t="str">
        <f ca="1">IFERROR(__xludf.DUMMYFUNCTION("""COMPUTED_VALUE"""),"Murcia")</f>
        <v>Murcia</v>
      </c>
      <c r="F127" s="16">
        <f ca="1">IFERROR(__xludf.DUMMYFUNCTION("""COMPUTED_VALUE"""),46052)</f>
        <v>46052</v>
      </c>
      <c r="G127" s="16">
        <f ca="1">IFERROR(__xludf.DUMMYFUNCTION("""COMPUTED_VALUE"""),46017)</f>
        <v>46017</v>
      </c>
      <c r="H127" s="6" t="str">
        <f ca="1">IFERROR(__xludf.DUMMYFUNCTION("""COMPUTED_VALUE"""),"Murcia")</f>
        <v>Murcia</v>
      </c>
      <c r="I127" s="6" t="str">
        <f ca="1">IFERROR(__xludf.DUMMYFUNCTION("""COMPUTED_VALUE"""),"C202512261643590551")</f>
        <v>C202512261643590551</v>
      </c>
      <c r="J127" s="6" t="str">
        <f ca="1">IFERROR(__xludf.DUMMYFUNCTION("""COMPUTED_VALUE"""),"INES RAQUEL MADRID ROSA")</f>
        <v>INES RAQUEL MADRID ROSA</v>
      </c>
      <c r="K127" s="15">
        <f ca="1">IFERROR(__xludf.DUMMYFUNCTION("""COMPUTED_VALUE"""),2)</f>
        <v>2</v>
      </c>
      <c r="L127" s="21">
        <f ca="1">IFERROR(__xludf.DUMMYFUNCTION("""COMPUTED_VALUE"""),4136.36)</f>
        <v>4136.3599999999997</v>
      </c>
      <c r="M127" s="6" t="str">
        <f ca="1">IFERROR(__xludf.DUMMYFUNCTION("""COMPUTED_VALUE"""),"03 ORL")</f>
        <v>03 ORL</v>
      </c>
      <c r="N127" s="6" t="str">
        <f ca="1">IFERROR(__xludf.DUMMYFUNCTION("""COMPUTED_VALUE"""),"06 ORL")</f>
        <v>06 ORL</v>
      </c>
      <c r="O127" s="6" t="str">
        <f ca="1">IFERROR(__xludf.DUMMYFUNCTION("""COMPUTED_VALUE"""),"Dr, Juan Pablo Pelegrín Hernández")</f>
        <v>Dr, Juan Pablo Pelegrín Hernández</v>
      </c>
      <c r="P127" s="6" t="str">
        <f ca="1">IFERROR(__xludf.DUMMYFUNCTION("""COMPUTED_VALUE"""),"Iván Sánchez (Levante y Albacete)")</f>
        <v>Iván Sánchez (Levante y Albacete)</v>
      </c>
    </row>
    <row r="128" spans="2:16">
      <c r="B128" s="33">
        <f ca="1">IFERROR(__xludf.DUMMYFUNCTION("""COMPUTED_VALUE"""),2026)</f>
        <v>2026</v>
      </c>
      <c r="C128" s="15">
        <f ca="1">IFERROR(__xludf.DUMMYFUNCTION("""COMPUTED_VALUE"""),1)</f>
        <v>1</v>
      </c>
      <c r="D128" s="6" t="str">
        <f ca="1">IFERROR(__xludf.DUMMYFUNCTION("""COMPUTED_VALUE"""),"NO")</f>
        <v>NO</v>
      </c>
      <c r="E128" s="6" t="str">
        <f ca="1">IFERROR(__xludf.DUMMYFUNCTION("""COMPUTED_VALUE"""),"Madrid- Monforte de Lemos")</f>
        <v>Madrid- Monforte de Lemos</v>
      </c>
      <c r="F128" s="16">
        <f ca="1">IFERROR(__xludf.DUMMYFUNCTION("""COMPUTED_VALUE"""),46052)</f>
        <v>46052</v>
      </c>
      <c r="G128" s="16">
        <f ca="1">IFERROR(__xludf.DUMMYFUNCTION("""COMPUTED_VALUE"""),46034)</f>
        <v>46034</v>
      </c>
      <c r="H128" s="6" t="str">
        <f ca="1">IFERROR(__xludf.DUMMYFUNCTION("""COMPUTED_VALUE"""),"La Vaguada")</f>
        <v>La Vaguada</v>
      </c>
      <c r="I128" s="6" t="str">
        <f ca="1">IFERROR(__xludf.DUMMYFUNCTION("""COMPUTED_VALUE"""),"C202611216253638956")</f>
        <v>C202611216253638956</v>
      </c>
      <c r="J128" s="6" t="str">
        <f ca="1">IFERROR(__xludf.DUMMYFUNCTION("""COMPUTED_VALUE"""),"MARIA ANGELES GONZALEZ SAMALEA")</f>
        <v>MARIA ANGELES GONZALEZ SAMALEA</v>
      </c>
      <c r="K128" s="15">
        <f ca="1">IFERROR(__xludf.DUMMYFUNCTION("""COMPUTED_VALUE"""),2)</f>
        <v>2</v>
      </c>
      <c r="L128" s="21">
        <f ca="1">IFERROR(__xludf.DUMMYFUNCTION("""COMPUTED_VALUE"""),3631.82)</f>
        <v>3631.82</v>
      </c>
      <c r="M128" s="6" t="str">
        <f ca="1">IFERROR(__xludf.DUMMYFUNCTION("""COMPUTED_VALUE"""),"03 ORL")</f>
        <v>03 ORL</v>
      </c>
      <c r="N128" s="6" t="str">
        <f ca="1">IFERROR(__xludf.DUMMYFUNCTION("""COMPUTED_VALUE"""),"06 ORL")</f>
        <v>06 ORL</v>
      </c>
      <c r="O128" s="6" t="str">
        <f ca="1">IFERROR(__xludf.DUMMYFUNCTION("""COMPUTED_VALUE"""),"Dra, Blanca Mateos Serrano")</f>
        <v>Dra, Blanca Mateos Serrano</v>
      </c>
      <c r="P128" s="6" t="str">
        <f ca="1">IFERROR(__xludf.DUMMYFUNCTION("""COMPUTED_VALUE"""),"Lisandro Russian (Madrid, Cáceres, Toledo, Talavera y Logroño)")</f>
        <v>Lisandro Russian (Madrid, Cáceres, Toledo, Talavera y Logroño)</v>
      </c>
    </row>
    <row r="129" spans="2:16">
      <c r="B129" s="33">
        <f ca="1">IFERROR(__xludf.DUMMYFUNCTION("""COMPUTED_VALUE"""),2026)</f>
        <v>2026</v>
      </c>
      <c r="C129" s="15">
        <f ca="1">IFERROR(__xludf.DUMMYFUNCTION("""COMPUTED_VALUE"""),1)</f>
        <v>1</v>
      </c>
      <c r="D129" s="6" t="str">
        <f ca="1">IFERROR(__xludf.DUMMYFUNCTION("""COMPUTED_VALUE"""),"NO")</f>
        <v>NO</v>
      </c>
      <c r="E129" s="6" t="str">
        <f ca="1">IFERROR(__xludf.DUMMYFUNCTION("""COMPUTED_VALUE"""),"Ponferrada")</f>
        <v>Ponferrada</v>
      </c>
      <c r="F129" s="16">
        <f ca="1">IFERROR(__xludf.DUMMYFUNCTION("""COMPUTED_VALUE"""),46052)</f>
        <v>46052</v>
      </c>
      <c r="G129" s="16">
        <f ca="1">IFERROR(__xludf.DUMMYFUNCTION("""COMPUTED_VALUE"""),45862)</f>
        <v>45862</v>
      </c>
      <c r="H129" s="6" t="str">
        <f ca="1">IFERROR(__xludf.DUMMYFUNCTION("""COMPUTED_VALUE"""),"Ponferrada")</f>
        <v>Ponferrada</v>
      </c>
      <c r="I129" s="6" t="str">
        <f ca="1">IFERROR(__xludf.DUMMYFUNCTION("""COMPUTED_VALUE"""),"PON-952")</f>
        <v>PON-952</v>
      </c>
      <c r="J129" s="6" t="str">
        <f ca="1">IFERROR(__xludf.DUMMYFUNCTION("""COMPUTED_VALUE"""),"LEONOR PEREIRA LOPEZ")</f>
        <v>LEONOR PEREIRA LOPEZ</v>
      </c>
      <c r="K129" s="15">
        <f ca="1">IFERROR(__xludf.DUMMYFUNCTION("""COMPUTED_VALUE"""),2)</f>
        <v>2</v>
      </c>
      <c r="L129" s="21">
        <f ca="1">IFERROR(__xludf.DUMMYFUNCTION("""COMPUTED_VALUE"""),2234.85)</f>
        <v>2234.85</v>
      </c>
      <c r="M129" s="6" t="str">
        <f ca="1">IFERROR(__xludf.DUMMYFUNCTION("""COMPUTED_VALUE"""),"03 ORL")</f>
        <v>03 ORL</v>
      </c>
      <c r="N129" s="6" t="str">
        <f ca="1">IFERROR(__xludf.DUMMYFUNCTION("""COMPUTED_VALUE"""),"06 ORL")</f>
        <v>06 ORL</v>
      </c>
      <c r="O129" s="6" t="str">
        <f ca="1">IFERROR(__xludf.DUMMYFUNCTION("""COMPUTED_VALUE"""),"Dra, Xenia Mota Rojas")</f>
        <v>Dra, Xenia Mota Rojas</v>
      </c>
      <c r="P129" s="6" t="str">
        <f ca="1">IFERROR(__xludf.DUMMYFUNCTION("""COMPUTED_VALUE"""),"Alberto Moreno (Madrid)")</f>
        <v>Alberto Moreno (Madrid)</v>
      </c>
    </row>
    <row r="130" spans="2:16">
      <c r="B130" s="33">
        <f ca="1">IFERROR(__xludf.DUMMYFUNCTION("""COMPUTED_VALUE"""),2026)</f>
        <v>2026</v>
      </c>
      <c r="C130" s="15">
        <f ca="1">IFERROR(__xludf.DUMMYFUNCTION("""COMPUTED_VALUE"""),1)</f>
        <v>1</v>
      </c>
      <c r="D130" s="6" t="str">
        <f ca="1">IFERROR(__xludf.DUMMYFUNCTION("""COMPUTED_VALUE"""),"NO")</f>
        <v>NO</v>
      </c>
      <c r="E130" s="6" t="str">
        <f ca="1">IFERROR(__xludf.DUMMYFUNCTION("""COMPUTED_VALUE"""),"Logroño")</f>
        <v>Logroño</v>
      </c>
      <c r="F130" s="16">
        <f ca="1">IFERROR(__xludf.DUMMYFUNCTION("""COMPUTED_VALUE"""),46053)</f>
        <v>46053</v>
      </c>
      <c r="G130" s="16">
        <f ca="1">IFERROR(__xludf.DUMMYFUNCTION("""COMPUTED_VALUE"""),46010)</f>
        <v>46010</v>
      </c>
      <c r="H130" s="6" t="str">
        <f ca="1">IFERROR(__xludf.DUMMYFUNCTION("""COMPUTED_VALUE"""),"Logroño")</f>
        <v>Logroño</v>
      </c>
      <c r="I130" s="6" t="str">
        <f ca="1">IFERROR(__xludf.DUMMYFUNCTION("""COMPUTED_VALUE"""),"C202512191195736605")</f>
        <v>C202512191195736605</v>
      </c>
      <c r="J130" s="6" t="str">
        <f ca="1">IFERROR(__xludf.DUMMYFUNCTION("""COMPUTED_VALUE"""),"ISABEL MAISO SAENZ")</f>
        <v>ISABEL MAISO SAENZ</v>
      </c>
      <c r="K130" s="15">
        <f ca="1">IFERROR(__xludf.DUMMYFUNCTION("""COMPUTED_VALUE"""),2)</f>
        <v>2</v>
      </c>
      <c r="L130" s="21">
        <f ca="1">IFERROR(__xludf.DUMMYFUNCTION("""COMPUTED_VALUE"""),3929.55)</f>
        <v>3929.55</v>
      </c>
      <c r="M130" s="6" t="str">
        <f ca="1">IFERROR(__xludf.DUMMYFUNCTION("""COMPUTED_VALUE"""),"03 ORL")</f>
        <v>03 ORL</v>
      </c>
      <c r="N130" s="6" t="str">
        <f ca="1">IFERROR(__xludf.DUMMYFUNCTION("""COMPUTED_VALUE"""),"06 ORL")</f>
        <v>06 ORL</v>
      </c>
      <c r="O130" s="6" t="str">
        <f ca="1">IFERROR(__xludf.DUMMYFUNCTION("""COMPUTED_VALUE"""),"Dr, Pablo Luis Vega Gajón")</f>
        <v>Dr, Pablo Luis Vega Gajón</v>
      </c>
      <c r="P130" s="6" t="str">
        <f ca="1">IFERROR(__xludf.DUMMYFUNCTION("""COMPUTED_VALUE"""),"Lisandro Russian (Madrid, Cáceres, Toledo, Talavera y Logroño)")</f>
        <v>Lisandro Russian (Madrid, Cáceres, Toledo, Talavera y Logroño)</v>
      </c>
    </row>
    <row r="131" spans="2:16">
      <c r="B131" s="33">
        <f ca="1">IFERROR(__xludf.DUMMYFUNCTION("""COMPUTED_VALUE"""),2026)</f>
        <v>2026</v>
      </c>
      <c r="C131" s="15">
        <f ca="1">IFERROR(__xludf.DUMMYFUNCTION("""COMPUTED_VALUE"""),1)</f>
        <v>1</v>
      </c>
      <c r="D131" s="6" t="str">
        <f ca="1">IFERROR(__xludf.DUMMYFUNCTION("""COMPUTED_VALUE"""),"NO")</f>
        <v>NO</v>
      </c>
      <c r="E131" s="6" t="str">
        <f ca="1">IFERROR(__xludf.DUMMYFUNCTION("""COMPUTED_VALUE"""),"Vilanova")</f>
        <v>Vilanova</v>
      </c>
      <c r="F131" s="16">
        <f ca="1">IFERROR(__xludf.DUMMYFUNCTION("""COMPUTED_VALUE"""),46053)</f>
        <v>46053</v>
      </c>
      <c r="G131" s="16">
        <f ca="1">IFERROR(__xludf.DUMMYFUNCTION("""COMPUTED_VALUE"""),45579)</f>
        <v>45579</v>
      </c>
      <c r="H131" s="6" t="str">
        <f ca="1">IFERROR(__xludf.DUMMYFUNCTION("""COMPUTED_VALUE"""),"Vilanova")</f>
        <v>Vilanova</v>
      </c>
      <c r="I131" s="6" t="str">
        <f ca="1">IFERROR(__xludf.DUMMYFUNCTION("""COMPUTED_VALUE"""),"C202410189243369")</f>
        <v>C202410189243369</v>
      </c>
      <c r="J131" s="6" t="str">
        <f ca="1">IFERROR(__xludf.DUMMYFUNCTION("""COMPUTED_VALUE"""),"Benito Martínez Rodríguez")</f>
        <v>Benito Martínez Rodríguez</v>
      </c>
      <c r="K131" s="15">
        <f ca="1">IFERROR(__xludf.DUMMYFUNCTION("""COMPUTED_VALUE"""),2)</f>
        <v>2</v>
      </c>
      <c r="L131" s="21">
        <f ca="1">IFERROR(__xludf.DUMMYFUNCTION("""COMPUTED_VALUE"""),4136.36)</f>
        <v>4136.3599999999997</v>
      </c>
      <c r="M131" s="6" t="str">
        <f ca="1">IFERROR(__xludf.DUMMYFUNCTION("""COMPUTED_VALUE"""),"03 ORL")</f>
        <v>03 ORL</v>
      </c>
      <c r="N131" s="6" t="str">
        <f ca="1">IFERROR(__xludf.DUMMYFUNCTION("""COMPUTED_VALUE"""),"06 ORL")</f>
        <v>06 ORL</v>
      </c>
      <c r="O131" s="6" t="str">
        <f ca="1">IFERROR(__xludf.DUMMYFUNCTION("""COMPUTED_VALUE"""),"Dr, Enrique Romero Van Abeleen")</f>
        <v>Dr, Enrique Romero Van Abeleen</v>
      </c>
      <c r="P131" s="6" t="str">
        <f ca="1">IFERROR(__xludf.DUMMYFUNCTION("""COMPUTED_VALUE"""),"Mercè Cabrera (Cataluña y Baleares)")</f>
        <v>Mercè Cabrera (Cataluña y Baleares)</v>
      </c>
    </row>
    <row r="132" spans="2:16">
      <c r="B132" s="33">
        <f ca="1">IFERROR(__xludf.DUMMYFUNCTION("""COMPUTED_VALUE"""),2026)</f>
        <v>2026</v>
      </c>
      <c r="C132" s="15">
        <f ca="1">IFERROR(__xludf.DUMMYFUNCTION("""COMPUTED_VALUE"""),2)</f>
        <v>2</v>
      </c>
      <c r="D132" s="6" t="str">
        <f ca="1">IFERROR(__xludf.DUMMYFUNCTION("""COMPUTED_VALUE"""),"NO")</f>
        <v>NO</v>
      </c>
      <c r="E132" s="6" t="str">
        <f ca="1">IFERROR(__xludf.DUMMYFUNCTION("""COMPUTED_VALUE"""),"Cáceres")</f>
        <v>Cáceres</v>
      </c>
      <c r="F132" s="16">
        <f ca="1">IFERROR(__xludf.DUMMYFUNCTION("""COMPUTED_VALUE"""),46055)</f>
        <v>46055</v>
      </c>
      <c r="G132" s="16">
        <f ca="1">IFERROR(__xludf.DUMMYFUNCTION("""COMPUTED_VALUE"""),46000)</f>
        <v>46000</v>
      </c>
      <c r="H132" s="6" t="str">
        <f ca="1">IFERROR(__xludf.DUMMYFUNCTION("""COMPUTED_VALUE"""),"Cáceres")</f>
        <v>Cáceres</v>
      </c>
      <c r="I132" s="6" t="str">
        <f ca="1">IFERROR(__xludf.DUMMYFUNCTION("""COMPUTED_VALUE"""),"C202512912351409581")</f>
        <v>C202512912351409581</v>
      </c>
      <c r="J132" s="6" t="str">
        <f ca="1">IFERROR(__xludf.DUMMYFUNCTION("""COMPUTED_VALUE"""),"MARIA LUISA MERCEDES HERNANDEZ NOTARIO")</f>
        <v>MARIA LUISA MERCEDES HERNANDEZ NOTARIO</v>
      </c>
      <c r="K132" s="15">
        <f ca="1">IFERROR(__xludf.DUMMYFUNCTION("""COMPUTED_VALUE"""),2)</f>
        <v>2</v>
      </c>
      <c r="L132" s="21">
        <f ca="1">IFERROR(__xludf.DUMMYFUNCTION("""COMPUTED_VALUE"""),4990.91)</f>
        <v>4990.91</v>
      </c>
      <c r="M132" s="6" t="str">
        <f ca="1">IFERROR(__xludf.DUMMYFUNCTION("""COMPUTED_VALUE"""),"03 ORL")</f>
        <v>03 ORL</v>
      </c>
      <c r="N132" s="6" t="str">
        <f ca="1">IFERROR(__xludf.DUMMYFUNCTION("""COMPUTED_VALUE"""),"06 ORL")</f>
        <v>06 ORL</v>
      </c>
      <c r="O132" s="6" t="str">
        <f ca="1">IFERROR(__xludf.DUMMYFUNCTION("""COMPUTED_VALUE"""),"Dr, Javier García Gómez")</f>
        <v>Dr, Javier García Gómez</v>
      </c>
      <c r="P132" s="6" t="str">
        <f ca="1">IFERROR(__xludf.DUMMYFUNCTION("""COMPUTED_VALUE"""),"Lisandro Russian (Madrid, Cáceres, Toledo, Talavera y Logroño)")</f>
        <v>Lisandro Russian (Madrid, Cáceres, Toledo, Talavera y Logroño)</v>
      </c>
    </row>
    <row r="133" spans="2:16">
      <c r="B133" s="33">
        <f ca="1">IFERROR(__xludf.DUMMYFUNCTION("""COMPUTED_VALUE"""),2026)</f>
        <v>2026</v>
      </c>
      <c r="C133" s="15">
        <f ca="1">IFERROR(__xludf.DUMMYFUNCTION("""COMPUTED_VALUE"""),2)</f>
        <v>2</v>
      </c>
      <c r="D133" s="6" t="str">
        <f ca="1">IFERROR(__xludf.DUMMYFUNCTION("""COMPUTED_VALUE"""),"NO")</f>
        <v>NO</v>
      </c>
      <c r="E133" s="6" t="str">
        <f ca="1">IFERROR(__xludf.DUMMYFUNCTION("""COMPUTED_VALUE"""),"Sevilla- Montoto")</f>
        <v>Sevilla- Montoto</v>
      </c>
      <c r="F133" s="16">
        <f ca="1">IFERROR(__xludf.DUMMYFUNCTION("""COMPUTED_VALUE"""),46056)</f>
        <v>46056</v>
      </c>
      <c r="G133" s="16">
        <f ca="1">IFERROR(__xludf.DUMMYFUNCTION("""COMPUTED_VALUE"""),46036)</f>
        <v>46036</v>
      </c>
      <c r="H133" s="6" t="str">
        <f ca="1">IFERROR(__xludf.DUMMYFUNCTION("""COMPUTED_VALUE"""),"Montoto")</f>
        <v>Montoto</v>
      </c>
      <c r="I133" s="6" t="str">
        <f ca="1">IFERROR(__xludf.DUMMYFUNCTION("""COMPUTED_VALUE"""),"C202611413142736675")</f>
        <v>C202611413142736675</v>
      </c>
      <c r="J133" s="6" t="str">
        <f ca="1">IFERROR(__xludf.DUMMYFUNCTION("""COMPUTED_VALUE"""),"ANDRES MONTERO MALDONADO")</f>
        <v>ANDRES MONTERO MALDONADO</v>
      </c>
      <c r="K133" s="15">
        <f ca="1">IFERROR(__xludf.DUMMYFUNCTION("""COMPUTED_VALUE"""),2)</f>
        <v>2</v>
      </c>
      <c r="L133" s="21">
        <f ca="1">IFERROR(__xludf.DUMMYFUNCTION("""COMPUTED_VALUE"""),3631.82)</f>
        <v>3631.82</v>
      </c>
      <c r="M133" s="6" t="str">
        <f ca="1">IFERROR(__xludf.DUMMYFUNCTION("""COMPUTED_VALUE"""),"03 ORL")</f>
        <v>03 ORL</v>
      </c>
      <c r="N133" s="6" t="str">
        <f ca="1">IFERROR(__xludf.DUMMYFUNCTION("""COMPUTED_VALUE"""),"06 ORL")</f>
        <v>06 ORL</v>
      </c>
      <c r="O133" s="6" t="str">
        <f ca="1">IFERROR(__xludf.DUMMYFUNCTION("""COMPUTED_VALUE"""),"Dra, Marta Álvarez Cendrero")</f>
        <v>Dra, Marta Álvarez Cendrero</v>
      </c>
      <c r="P133" s="6" t="str">
        <f ca="1">IFERROR(__xludf.DUMMYFUNCTION("""COMPUTED_VALUE"""),"Luis Alberto Rodríguez (Andalucía y Badajoz)")</f>
        <v>Luis Alberto Rodríguez (Andalucía y Badajoz)</v>
      </c>
    </row>
    <row r="134" spans="2:16">
      <c r="B134" s="33">
        <f ca="1">IFERROR(__xludf.DUMMYFUNCTION("""COMPUTED_VALUE"""),2026)</f>
        <v>2026</v>
      </c>
      <c r="C134" s="15">
        <f ca="1">IFERROR(__xludf.DUMMYFUNCTION("""COMPUTED_VALUE"""),2)</f>
        <v>2</v>
      </c>
      <c r="D134" s="6" t="str">
        <f ca="1">IFERROR(__xludf.DUMMYFUNCTION("""COMPUTED_VALUE"""),"NO")</f>
        <v>NO</v>
      </c>
      <c r="E134" s="6" t="str">
        <f ca="1">IFERROR(__xludf.DUMMYFUNCTION("""COMPUTED_VALUE"""),"Badajoz")</f>
        <v>Badajoz</v>
      </c>
      <c r="F134" s="16">
        <f ca="1">IFERROR(__xludf.DUMMYFUNCTION("""COMPUTED_VALUE"""),46056)</f>
        <v>46056</v>
      </c>
      <c r="G134" s="16">
        <f ca="1">IFERROR(__xludf.DUMMYFUNCTION("""COMPUTED_VALUE"""),45995)</f>
        <v>45995</v>
      </c>
      <c r="H134" s="6" t="str">
        <f ca="1">IFERROR(__xludf.DUMMYFUNCTION("""COMPUTED_VALUE"""),"Badajoz")</f>
        <v>Badajoz</v>
      </c>
      <c r="I134" s="6" t="str">
        <f ca="1">IFERROR(__xludf.DUMMYFUNCTION("""COMPUTED_VALUE"""),"C202512411361286426")</f>
        <v>C202512411361286426</v>
      </c>
      <c r="J134" s="6" t="str">
        <f ca="1">IFERROR(__xludf.DUMMYFUNCTION("""COMPUTED_VALUE"""),"JESUS ORTEGA SOLIS")</f>
        <v>JESUS ORTEGA SOLIS</v>
      </c>
      <c r="K134" s="15">
        <f ca="1">IFERROR(__xludf.DUMMYFUNCTION("""COMPUTED_VALUE"""),2)</f>
        <v>2</v>
      </c>
      <c r="L134" s="21">
        <f ca="1">IFERROR(__xludf.DUMMYFUNCTION("""COMPUTED_VALUE"""),4536.36)</f>
        <v>4536.3599999999997</v>
      </c>
      <c r="M134" s="6" t="str">
        <f ca="1">IFERROR(__xludf.DUMMYFUNCTION("""COMPUTED_VALUE"""),"03 ORL")</f>
        <v>03 ORL</v>
      </c>
      <c r="N134" s="6" t="str">
        <f ca="1">IFERROR(__xludf.DUMMYFUNCTION("""COMPUTED_VALUE"""),"06 ORL")</f>
        <v>06 ORL</v>
      </c>
      <c r="O134" s="6" t="str">
        <f ca="1">IFERROR(__xludf.DUMMYFUNCTION("""COMPUTED_VALUE"""),"Dr, Tomas Mogollon Cano Cortes")</f>
        <v>Dr, Tomas Mogollon Cano Cortes</v>
      </c>
      <c r="P134" s="6" t="str">
        <f ca="1">IFERROR(__xludf.DUMMYFUNCTION("""COMPUTED_VALUE"""),"Luis Alberto Rodríguez (Andalucía y Badajoz)")</f>
        <v>Luis Alberto Rodríguez (Andalucía y Badajoz)</v>
      </c>
    </row>
    <row r="135" spans="2:16">
      <c r="B135" s="33">
        <f ca="1">IFERROR(__xludf.DUMMYFUNCTION("""COMPUTED_VALUE"""),2026)</f>
        <v>2026</v>
      </c>
      <c r="C135" s="15">
        <f ca="1">IFERROR(__xludf.DUMMYFUNCTION("""COMPUTED_VALUE"""),2)</f>
        <v>2</v>
      </c>
      <c r="D135" s="6" t="str">
        <f ca="1">IFERROR(__xludf.DUMMYFUNCTION("""COMPUTED_VALUE"""),"NO")</f>
        <v>NO</v>
      </c>
      <c r="E135" s="6" t="str">
        <f ca="1">IFERROR(__xludf.DUMMYFUNCTION("""COMPUTED_VALUE"""),"Toledo")</f>
        <v>Toledo</v>
      </c>
      <c r="F135" s="16">
        <f ca="1">IFERROR(__xludf.DUMMYFUNCTION("""COMPUTED_VALUE"""),46056)</f>
        <v>46056</v>
      </c>
      <c r="G135" s="16">
        <f ca="1">IFERROR(__xludf.DUMMYFUNCTION("""COMPUTED_VALUE"""),45966)</f>
        <v>45966</v>
      </c>
      <c r="H135" s="6" t="str">
        <f ca="1">IFERROR(__xludf.DUMMYFUNCTION("""COMPUTED_VALUE"""),"Toledo")</f>
        <v>Toledo</v>
      </c>
      <c r="I135" s="6" t="str">
        <f ca="1">IFERROR(__xludf.DUMMYFUNCTION("""COMPUTED_VALUE"""),"C202511583355498218")</f>
        <v>C202511583355498218</v>
      </c>
      <c r="J135" s="6" t="str">
        <f ca="1">IFERROR(__xludf.DUMMYFUNCTION("""COMPUTED_VALUE"""),"MARÍA DOLORES GUERRA GONZALEZ")</f>
        <v>MARÍA DOLORES GUERRA GONZALEZ</v>
      </c>
      <c r="K135" s="15">
        <f ca="1">IFERROR(__xludf.DUMMYFUNCTION("""COMPUTED_VALUE"""),2)</f>
        <v>2</v>
      </c>
      <c r="L135" s="21">
        <f ca="1">IFERROR(__xludf.DUMMYFUNCTION("""COMPUTED_VALUE"""),4136.36)</f>
        <v>4136.3599999999997</v>
      </c>
      <c r="M135" s="6" t="str">
        <f ca="1">IFERROR(__xludf.DUMMYFUNCTION("""COMPUTED_VALUE"""),"01 MARKETING ON LINE")</f>
        <v>01 MARKETING ON LINE</v>
      </c>
      <c r="N135" s="6" t="str">
        <f ca="1">IFERROR(__xludf.DUMMYFUNCTION("""COMPUTED_VALUE"""),"02 GOOGLE")</f>
        <v>02 GOOGLE</v>
      </c>
      <c r="O135" s="6" t="str">
        <f ca="1">IFERROR(__xludf.DUMMYFUNCTION("""COMPUTED_VALUE"""),"Dra, María Eva Ruiz de Gauna Martín")</f>
        <v>Dra, María Eva Ruiz de Gauna Martín</v>
      </c>
      <c r="P135" s="6" t="str">
        <f ca="1">IFERROR(__xludf.DUMMYFUNCTION("""COMPUTED_VALUE"""),"Lisandro Russian (Madrid, Cáceres, Toledo, Talavera y Logroño)")</f>
        <v>Lisandro Russian (Madrid, Cáceres, Toledo, Talavera y Logroño)</v>
      </c>
    </row>
    <row r="136" spans="2:16">
      <c r="B136" s="33">
        <f ca="1">IFERROR(__xludf.DUMMYFUNCTION("""COMPUTED_VALUE"""),2026)</f>
        <v>2026</v>
      </c>
      <c r="C136" s="15">
        <f ca="1">IFERROR(__xludf.DUMMYFUNCTION("""COMPUTED_VALUE"""),2)</f>
        <v>2</v>
      </c>
      <c r="D136" s="6" t="str">
        <f ca="1">IFERROR(__xludf.DUMMYFUNCTION("""COMPUTED_VALUE"""),"SI")</f>
        <v>SI</v>
      </c>
      <c r="E136" s="6" t="str">
        <f ca="1">IFERROR(__xludf.DUMMYFUNCTION("""COMPUTED_VALUE"""),"Logroño")</f>
        <v>Logroño</v>
      </c>
      <c r="F136" s="16">
        <f ca="1">IFERROR(__xludf.DUMMYFUNCTION("""COMPUTED_VALUE"""),46058)</f>
        <v>46058</v>
      </c>
      <c r="G136" s="16">
        <f ca="1">IFERROR(__xludf.DUMMYFUNCTION("""COMPUTED_VALUE"""),44862)</f>
        <v>44862</v>
      </c>
      <c r="H136" s="6" t="str">
        <f ca="1">IFERROR(__xludf.DUMMYFUNCTION("""COMPUTED_VALUE"""),"Logroño")</f>
        <v>Logroño</v>
      </c>
      <c r="I136" s="6" t="str">
        <f ca="1">IFERROR(__xludf.DUMMYFUNCTION("""COMPUTED_VALUE"""),"LOG-985")</f>
        <v>LOG-985</v>
      </c>
      <c r="J136" s="6" t="str">
        <f ca="1">IFERROR(__xludf.DUMMYFUNCTION("""COMPUTED_VALUE"""),"FELIX ÁNGEL GÓMEZ MORENO")</f>
        <v>FELIX ÁNGEL GÓMEZ MORENO</v>
      </c>
      <c r="K136" s="15">
        <f ca="1">IFERROR(__xludf.DUMMYFUNCTION("""COMPUTED_VALUE"""),1)</f>
        <v>1</v>
      </c>
      <c r="L136" s="21">
        <f ca="1">IFERROR(__xludf.DUMMYFUNCTION("""COMPUTED_VALUE"""),1590.91)</f>
        <v>1590.91</v>
      </c>
      <c r="M136" s="6" t="str">
        <f ca="1">IFERROR(__xludf.DUMMYFUNCTION("""COMPUTED_VALUE"""),"04 TIENDA")</f>
        <v>04 TIENDA</v>
      </c>
      <c r="N136" s="6" t="str">
        <f ca="1">IFERROR(__xludf.DUMMYFUNCTION("""COMPUTED_VALUE"""),"10 REVISIÓN POST-VENTA")</f>
        <v>10 REVISIÓN POST-VENTA</v>
      </c>
      <c r="O136" s="6" t="str">
        <f ca="1">IFERROR(__xludf.DUMMYFUNCTION("""COMPUTED_VALUE"""),"Dra, Rebeca Barrios Gonzalo")</f>
        <v>Dra, Rebeca Barrios Gonzalo</v>
      </c>
      <c r="P136" s="6" t="str">
        <f ca="1">IFERROR(__xludf.DUMMYFUNCTION("""COMPUTED_VALUE"""),"Lisandro Russian (Madrid, Cáceres, Toledo, Talavera y Logroño)")</f>
        <v>Lisandro Russian (Madrid, Cáceres, Toledo, Talavera y Logroño)</v>
      </c>
    </row>
    <row r="137" spans="2:16">
      <c r="B137" s="33">
        <f ca="1">IFERROR(__xludf.DUMMYFUNCTION("""COMPUTED_VALUE"""),2026)</f>
        <v>2026</v>
      </c>
      <c r="C137" s="15">
        <f ca="1">IFERROR(__xludf.DUMMYFUNCTION("""COMPUTED_VALUE"""),2)</f>
        <v>2</v>
      </c>
      <c r="D137" s="6" t="str">
        <f ca="1">IFERROR(__xludf.DUMMYFUNCTION("""COMPUTED_VALUE"""),"NO")</f>
        <v>NO</v>
      </c>
      <c r="E137" s="6" t="str">
        <f ca="1">IFERROR(__xludf.DUMMYFUNCTION("""COMPUTED_VALUE"""),"Ourense")</f>
        <v>Ourense</v>
      </c>
      <c r="F137" s="16">
        <f ca="1">IFERROR(__xludf.DUMMYFUNCTION("""COMPUTED_VALUE"""),46058)</f>
        <v>46058</v>
      </c>
      <c r="G137" s="16">
        <f ca="1">IFERROR(__xludf.DUMMYFUNCTION("""COMPUTED_VALUE"""),46030)</f>
        <v>46030</v>
      </c>
      <c r="H137" s="6" t="str">
        <f ca="1">IFERROR(__xludf.DUMMYFUNCTION("""COMPUTED_VALUE"""),"Orense")</f>
        <v>Orense</v>
      </c>
      <c r="I137" s="6" t="str">
        <f ca="1">IFERROR(__xludf.DUMMYFUNCTION("""COMPUTED_VALUE"""),"C20261814759602992")</f>
        <v>C20261814759602992</v>
      </c>
      <c r="J137" s="6" t="str">
        <f ca="1">IFERROR(__xludf.DUMMYFUNCTION("""COMPUTED_VALUE"""),"LEONILDE DO ESPIRITU SANTO")</f>
        <v>LEONILDE DO ESPIRITU SANTO</v>
      </c>
      <c r="K137" s="15">
        <f ca="1">IFERROR(__xludf.DUMMYFUNCTION("""COMPUTED_VALUE"""),2)</f>
        <v>2</v>
      </c>
      <c r="L137" s="21">
        <f ca="1">IFERROR(__xludf.DUMMYFUNCTION("""COMPUTED_VALUE"""),2718.18)</f>
        <v>2718.18</v>
      </c>
      <c r="M137" s="6" t="str">
        <f ca="1">IFERROR(__xludf.DUMMYFUNCTION("""COMPUTED_VALUE"""),"03 ORL")</f>
        <v>03 ORL</v>
      </c>
      <c r="N137" s="6" t="str">
        <f ca="1">IFERROR(__xludf.DUMMYFUNCTION("""COMPUTED_VALUE"""),"06 ORL")</f>
        <v>06 ORL</v>
      </c>
      <c r="O137" s="6" t="str">
        <f ca="1">IFERROR(__xludf.DUMMYFUNCTION("""COMPUTED_VALUE"""),"No recuerda ORL")</f>
        <v>No recuerda ORL</v>
      </c>
      <c r="P137" s="6" t="str">
        <f ca="1">IFERROR(__xludf.DUMMYFUNCTION("""COMPUTED_VALUE"""),"Kiko Ortega (Galicia)")</f>
        <v>Kiko Ortega (Galicia)</v>
      </c>
    </row>
    <row r="138" spans="2:16">
      <c r="B138" s="33">
        <f ca="1">IFERROR(__xludf.DUMMYFUNCTION("""COMPUTED_VALUE"""),2026)</f>
        <v>2026</v>
      </c>
      <c r="C138" s="15">
        <f ca="1">IFERROR(__xludf.DUMMYFUNCTION("""COMPUTED_VALUE"""),2)</f>
        <v>2</v>
      </c>
      <c r="D138" s="6" t="str">
        <f ca="1">IFERROR(__xludf.DUMMYFUNCTION("""COMPUTED_VALUE"""),"SI")</f>
        <v>SI</v>
      </c>
      <c r="E138" s="6" t="str">
        <f ca="1">IFERROR(__xludf.DUMMYFUNCTION("""COMPUTED_VALUE"""),"Ponferrada")</f>
        <v>Ponferrada</v>
      </c>
      <c r="F138" s="16">
        <f ca="1">IFERROR(__xludf.DUMMYFUNCTION("""COMPUTED_VALUE"""),46058)</f>
        <v>46058</v>
      </c>
      <c r="G138" s="16">
        <f ca="1">IFERROR(__xludf.DUMMYFUNCTION("""COMPUTED_VALUE"""),44336)</f>
        <v>44336</v>
      </c>
      <c r="H138" s="6" t="str">
        <f ca="1">IFERROR(__xludf.DUMMYFUNCTION("""COMPUTED_VALUE"""),"Ponferrada")</f>
        <v>Ponferrada</v>
      </c>
      <c r="I138" s="6" t="str">
        <f ca="1">IFERROR(__xludf.DUMMYFUNCTION("""COMPUTED_VALUE"""),"PON-168")</f>
        <v>PON-168</v>
      </c>
      <c r="J138" s="6" t="str">
        <f ca="1">IFERROR(__xludf.DUMMYFUNCTION("""COMPUTED_VALUE"""),"CATALINA EXPOSITO ALVES")</f>
        <v>CATALINA EXPOSITO ALVES</v>
      </c>
      <c r="K138" s="15">
        <f ca="1">IFERROR(__xludf.DUMMYFUNCTION("""COMPUTED_VALUE"""),2)</f>
        <v>2</v>
      </c>
      <c r="L138" s="21">
        <f ca="1">IFERROR(__xludf.DUMMYFUNCTION("""COMPUTED_VALUE"""),2454.55)</f>
        <v>2454.5500000000002</v>
      </c>
      <c r="M138" s="6" t="str">
        <f ca="1">IFERROR(__xludf.DUMMYFUNCTION("""COMPUTED_VALUE"""),"03 ORL")</f>
        <v>03 ORL</v>
      </c>
      <c r="N138" s="6" t="str">
        <f ca="1">IFERROR(__xludf.DUMMYFUNCTION("""COMPUTED_VALUE"""),"06 ORL")</f>
        <v>06 ORL</v>
      </c>
      <c r="O138" s="6" t="str">
        <f ca="1">IFERROR(__xludf.DUMMYFUNCTION("""COMPUTED_VALUE"""),"Dra, Diana Lysbeth Lourido Piedrahita")</f>
        <v>Dra, Diana Lysbeth Lourido Piedrahita</v>
      </c>
      <c r="P138" s="6" t="str">
        <f ca="1">IFERROR(__xludf.DUMMYFUNCTION("""COMPUTED_VALUE"""),"Alberto Moreno (Madrid)")</f>
        <v>Alberto Moreno (Madrid)</v>
      </c>
    </row>
    <row r="139" spans="2:16">
      <c r="B139" s="33">
        <f ca="1">IFERROR(__xludf.DUMMYFUNCTION("""COMPUTED_VALUE"""),2026)</f>
        <v>2026</v>
      </c>
      <c r="C139" s="15">
        <f ca="1">IFERROR(__xludf.DUMMYFUNCTION("""COMPUTED_VALUE"""),2)</f>
        <v>2</v>
      </c>
      <c r="D139" s="6" t="str">
        <f ca="1">IFERROR(__xludf.DUMMYFUNCTION("""COMPUTED_VALUE"""),"SI")</f>
        <v>SI</v>
      </c>
      <c r="E139" s="6" t="str">
        <f ca="1">IFERROR(__xludf.DUMMYFUNCTION("""COMPUTED_VALUE"""),"Ponferrada")</f>
        <v>Ponferrada</v>
      </c>
      <c r="F139" s="16">
        <f ca="1">IFERROR(__xludf.DUMMYFUNCTION("""COMPUTED_VALUE"""),46058)</f>
        <v>46058</v>
      </c>
      <c r="G139" s="16">
        <f ca="1">IFERROR(__xludf.DUMMYFUNCTION("""COMPUTED_VALUE"""),45671)</f>
        <v>45671</v>
      </c>
      <c r="H139" s="6" t="str">
        <f ca="1">IFERROR(__xludf.DUMMYFUNCTION("""COMPUTED_VALUE"""),"Ponferrada")</f>
        <v>Ponferrada</v>
      </c>
      <c r="I139" s="6" t="str">
        <f ca="1">IFERROR(__xludf.DUMMYFUNCTION("""COMPUTED_VALUE"""),"PON-860")</f>
        <v>PON-860</v>
      </c>
      <c r="J139" s="6" t="str">
        <f ca="1">IFERROR(__xludf.DUMMYFUNCTION("""COMPUTED_VALUE"""),"MARCELO PEREZ PANIZO")</f>
        <v>MARCELO PEREZ PANIZO</v>
      </c>
      <c r="K139" s="15">
        <f ca="1">IFERROR(__xludf.DUMMYFUNCTION("""COMPUTED_VALUE"""),1)</f>
        <v>1</v>
      </c>
      <c r="L139" s="21">
        <f ca="1">IFERROR(__xludf.DUMMYFUNCTION("""COMPUTED_VALUE"""),709.09)</f>
        <v>709.09</v>
      </c>
      <c r="M139" s="6" t="str">
        <f ca="1">IFERROR(__xludf.DUMMYFUNCTION("""COMPUTED_VALUE"""),"04 TIENDA")</f>
        <v>04 TIENDA</v>
      </c>
      <c r="N139" s="6" t="str">
        <f ca="1">IFERROR(__xludf.DUMMYFUNCTION("""COMPUTED_VALUE"""),"19 CLIENTE RECOMPRA ESPONTANEA")</f>
        <v>19 CLIENTE RECOMPRA ESPONTANEA</v>
      </c>
      <c r="O139" s="6" t="str">
        <f ca="1">IFERROR(__xludf.DUMMYFUNCTION("""COMPUTED_VALUE"""),"Dra, Mónica Granda Rosales")</f>
        <v>Dra, Mónica Granda Rosales</v>
      </c>
      <c r="P139" s="6" t="str">
        <f ca="1">IFERROR(__xludf.DUMMYFUNCTION("""COMPUTED_VALUE"""),"Alberto Moreno (Madrid)")</f>
        <v>Alberto Moreno (Madrid)</v>
      </c>
    </row>
    <row r="140" spans="2:16">
      <c r="B140" s="33">
        <f ca="1">IFERROR(__xludf.DUMMYFUNCTION("""COMPUTED_VALUE"""),2026)</f>
        <v>2026</v>
      </c>
      <c r="C140" s="15">
        <f ca="1">IFERROR(__xludf.DUMMYFUNCTION("""COMPUTED_VALUE"""),2)</f>
        <v>2</v>
      </c>
      <c r="D140" s="6" t="str">
        <f ca="1">IFERROR(__xludf.DUMMYFUNCTION("""COMPUTED_VALUE"""),"NO")</f>
        <v>NO</v>
      </c>
      <c r="E140" s="6" t="str">
        <f ca="1">IFERROR(__xludf.DUMMYFUNCTION("""COMPUTED_VALUE"""),"Getafe")</f>
        <v>Getafe</v>
      </c>
      <c r="F140" s="16">
        <f ca="1">IFERROR(__xludf.DUMMYFUNCTION("""COMPUTED_VALUE"""),46059)</f>
        <v>46059</v>
      </c>
      <c r="G140" s="16">
        <f ca="1">IFERROR(__xludf.DUMMYFUNCTION("""COMPUTED_VALUE"""),46031)</f>
        <v>46031</v>
      </c>
      <c r="H140" s="6" t="str">
        <f ca="1">IFERROR(__xludf.DUMMYFUNCTION("""COMPUTED_VALUE"""),"Getafe")</f>
        <v>Getafe</v>
      </c>
      <c r="I140" s="6" t="str">
        <f ca="1">IFERROR(__xludf.DUMMYFUNCTION("""COMPUTED_VALUE"""),"C202619111440167855")</f>
        <v>C202619111440167855</v>
      </c>
      <c r="J140" s="6" t="str">
        <f ca="1">IFERROR(__xludf.DUMMYFUNCTION("""COMPUTED_VALUE"""),"FRANCISCO CARBAJO FERNÁNDEZ")</f>
        <v>FRANCISCO CARBAJO FERNÁNDEZ</v>
      </c>
      <c r="K140" s="15">
        <f ca="1">IFERROR(__xludf.DUMMYFUNCTION("""COMPUTED_VALUE"""),2)</f>
        <v>2</v>
      </c>
      <c r="L140" s="21">
        <f ca="1">IFERROR(__xludf.DUMMYFUNCTION("""COMPUTED_VALUE"""),3631.81)</f>
        <v>3631.81</v>
      </c>
      <c r="M140" s="6" t="str">
        <f ca="1">IFERROR(__xludf.DUMMYFUNCTION("""COMPUTED_VALUE"""),"03 ORL")</f>
        <v>03 ORL</v>
      </c>
      <c r="N140" s="6" t="str">
        <f ca="1">IFERROR(__xludf.DUMMYFUNCTION("""COMPUTED_VALUE"""),"06 ORL")</f>
        <v>06 ORL</v>
      </c>
      <c r="O140" s="6" t="str">
        <f ca="1">IFERROR(__xludf.DUMMYFUNCTION("""COMPUTED_VALUE"""),"Dr, Jonathan Esteban Sánchez")</f>
        <v>Dr, Jonathan Esteban Sánchez</v>
      </c>
      <c r="P140" s="6" t="str">
        <f ca="1">IFERROR(__xludf.DUMMYFUNCTION("""COMPUTED_VALUE"""),"Maika Blázquez (Madrid)")</f>
        <v>Maika Blázquez (Madrid)</v>
      </c>
    </row>
    <row r="141" spans="2:16">
      <c r="B141" s="33">
        <f ca="1">IFERROR(__xludf.DUMMYFUNCTION("""COMPUTED_VALUE"""),2026)</f>
        <v>2026</v>
      </c>
      <c r="C141" s="15">
        <f ca="1">IFERROR(__xludf.DUMMYFUNCTION("""COMPUTED_VALUE"""),2)</f>
        <v>2</v>
      </c>
      <c r="D141" s="6" t="str">
        <f ca="1">IFERROR(__xludf.DUMMYFUNCTION("""COMPUTED_VALUE"""),"NO")</f>
        <v>NO</v>
      </c>
      <c r="E141" s="6" t="str">
        <f ca="1">IFERROR(__xludf.DUMMYFUNCTION("""COMPUTED_VALUE"""),"Madrid- La Oca")</f>
        <v>Madrid- La Oca</v>
      </c>
      <c r="F141" s="16">
        <f ca="1">IFERROR(__xludf.DUMMYFUNCTION("""COMPUTED_VALUE"""),46059)</f>
        <v>46059</v>
      </c>
      <c r="G141" s="16">
        <f ca="1">IFERROR(__xludf.DUMMYFUNCTION("""COMPUTED_VALUE"""),46034)</f>
        <v>46034</v>
      </c>
      <c r="H141" s="6" t="str">
        <f ca="1">IFERROR(__xludf.DUMMYFUNCTION("""COMPUTED_VALUE"""),"La Oca")</f>
        <v>La Oca</v>
      </c>
      <c r="I141" s="6" t="str">
        <f ca="1">IFERROR(__xludf.DUMMYFUNCTION("""COMPUTED_VALUE"""),"C202611217114067532")</f>
        <v>C202611217114067532</v>
      </c>
      <c r="J141" s="6" t="str">
        <f ca="1">IFERROR(__xludf.DUMMYFUNCTION("""COMPUTED_VALUE"""),"MARIA TERESA CASTRO RODRIGUEZ")</f>
        <v>MARIA TERESA CASTRO RODRIGUEZ</v>
      </c>
      <c r="K141" s="15">
        <f ca="1">IFERROR(__xludf.DUMMYFUNCTION("""COMPUTED_VALUE"""),2)</f>
        <v>2</v>
      </c>
      <c r="L141" s="21">
        <f ca="1">IFERROR(__xludf.DUMMYFUNCTION("""COMPUTED_VALUE"""),2718.18)</f>
        <v>2718.18</v>
      </c>
      <c r="M141" s="6" t="str">
        <f ca="1">IFERROR(__xludf.DUMMYFUNCTION("""COMPUTED_VALUE"""),"03 ORL")</f>
        <v>03 ORL</v>
      </c>
      <c r="N141" s="6" t="str">
        <f ca="1">IFERROR(__xludf.DUMMYFUNCTION("""COMPUTED_VALUE"""),"06 ORL")</f>
        <v>06 ORL</v>
      </c>
      <c r="O141" s="6" t="str">
        <f ca="1">IFERROR(__xludf.DUMMYFUNCTION("""COMPUTED_VALUE"""),"Dra, Laura Ruano De Pablo")</f>
        <v>Dra, Laura Ruano De Pablo</v>
      </c>
      <c r="P141" s="6" t="str">
        <f ca="1">IFERROR(__xludf.DUMMYFUNCTION("""COMPUTED_VALUE"""),"Maika Blázquez (Madrid)")</f>
        <v>Maika Blázquez (Madrid)</v>
      </c>
    </row>
    <row r="142" spans="2:16">
      <c r="B142" s="33">
        <f ca="1">IFERROR(__xludf.DUMMYFUNCTION("""COMPUTED_VALUE"""),2026)</f>
        <v>2026</v>
      </c>
      <c r="C142" s="15">
        <f ca="1">IFERROR(__xludf.DUMMYFUNCTION("""COMPUTED_VALUE"""),2)</f>
        <v>2</v>
      </c>
      <c r="D142" s="6" t="str">
        <f ca="1">IFERROR(__xludf.DUMMYFUNCTION("""COMPUTED_VALUE"""),"NO")</f>
        <v>NO</v>
      </c>
      <c r="E142" s="6" t="str">
        <f ca="1">IFERROR(__xludf.DUMMYFUNCTION("""COMPUTED_VALUE"""),"Madrid- Canillas")</f>
        <v>Madrid- Canillas</v>
      </c>
      <c r="F142" s="16">
        <f ca="1">IFERROR(__xludf.DUMMYFUNCTION("""COMPUTED_VALUE"""),46059)</f>
        <v>46059</v>
      </c>
      <c r="G142" s="16">
        <f ca="1">IFERROR(__xludf.DUMMYFUNCTION("""COMPUTED_VALUE"""),46037)</f>
        <v>46037</v>
      </c>
      <c r="H142" s="6" t="str">
        <f ca="1">IFERROR(__xludf.DUMMYFUNCTION("""COMPUTED_VALUE"""),"Canillas")</f>
        <v>Canillas</v>
      </c>
      <c r="I142" s="6" t="str">
        <f ca="1">IFERROR(__xludf.DUMMYFUNCTION("""COMPUTED_VALUE"""),"C202611511232378449")</f>
        <v>C202611511232378449</v>
      </c>
      <c r="J142" s="6" t="str">
        <f ca="1">IFERROR(__xludf.DUMMYFUNCTION("""COMPUTED_VALUE"""),"OREN ALMENDRO NEVADO")</f>
        <v>OREN ALMENDRO NEVADO</v>
      </c>
      <c r="K142" s="15">
        <f ca="1">IFERROR(__xludf.DUMMYFUNCTION("""COMPUTED_VALUE"""),2)</f>
        <v>2</v>
      </c>
      <c r="L142" s="21">
        <f ca="1">IFERROR(__xludf.DUMMYFUNCTION("""COMPUTED_VALUE"""),3930)</f>
        <v>3930</v>
      </c>
      <c r="M142" s="6" t="str">
        <f ca="1">IFERROR(__xludf.DUMMYFUNCTION("""COMPUTED_VALUE"""),"03 ORL")</f>
        <v>03 ORL</v>
      </c>
      <c r="N142" s="6" t="str">
        <f ca="1">IFERROR(__xludf.DUMMYFUNCTION("""COMPUTED_VALUE"""),"06 ORL")</f>
        <v>06 ORL</v>
      </c>
      <c r="O142" s="6" t="str">
        <f ca="1">IFERROR(__xludf.DUMMYFUNCTION("""COMPUTED_VALUE"""),"Dr, José Gustavo Barroso Braojos")</f>
        <v>Dr, José Gustavo Barroso Braojos</v>
      </c>
      <c r="P142" s="6" t="str">
        <f ca="1">IFERROR(__xludf.DUMMYFUNCTION("""COMPUTED_VALUE"""),"Maika Blázquez (Madrid)")</f>
        <v>Maika Blázquez (Madrid)</v>
      </c>
    </row>
    <row r="143" spans="2:16">
      <c r="B143" s="33">
        <f ca="1">IFERROR(__xludf.DUMMYFUNCTION("""COMPUTED_VALUE"""),2026)</f>
        <v>2026</v>
      </c>
      <c r="C143" s="15">
        <f ca="1">IFERROR(__xludf.DUMMYFUNCTION("""COMPUTED_VALUE"""),2)</f>
        <v>2</v>
      </c>
      <c r="D143" s="6" t="str">
        <f ca="1">IFERROR(__xludf.DUMMYFUNCTION("""COMPUTED_VALUE"""),"NO")</f>
        <v>NO</v>
      </c>
      <c r="E143" s="6" t="str">
        <f ca="1">IFERROR(__xludf.DUMMYFUNCTION("""COMPUTED_VALUE"""),"Getafe")</f>
        <v>Getafe</v>
      </c>
      <c r="F143" s="16">
        <f ca="1">IFERROR(__xludf.DUMMYFUNCTION("""COMPUTED_VALUE"""),46059)</f>
        <v>46059</v>
      </c>
      <c r="G143" s="16">
        <f ca="1">IFERROR(__xludf.DUMMYFUNCTION("""COMPUTED_VALUE"""),46017)</f>
        <v>46017</v>
      </c>
      <c r="H143" s="6" t="str">
        <f ca="1">IFERROR(__xludf.DUMMYFUNCTION("""COMPUTED_VALUE"""),"Getafe")</f>
        <v>Getafe</v>
      </c>
      <c r="I143" s="6" t="str">
        <f ca="1">IFERROR(__xludf.DUMMYFUNCTION("""COMPUTED_VALUE"""),"C202512261118280164")</f>
        <v>C202512261118280164</v>
      </c>
      <c r="J143" s="6" t="str">
        <f ca="1">IFERROR(__xludf.DUMMYFUNCTION("""COMPUTED_VALUE"""),"MARÍA PILAR GONZÁLEZ LÓPEZ")</f>
        <v>MARÍA PILAR GONZÁLEZ LÓPEZ</v>
      </c>
      <c r="K143" s="15">
        <f ca="1">IFERROR(__xludf.DUMMYFUNCTION("""COMPUTED_VALUE"""),2)</f>
        <v>2</v>
      </c>
      <c r="L143" s="21">
        <f ca="1">IFERROR(__xludf.DUMMYFUNCTION("""COMPUTED_VALUE"""),3631.82)</f>
        <v>3631.82</v>
      </c>
      <c r="M143" s="6" t="str">
        <f ca="1">IFERROR(__xludf.DUMMYFUNCTION("""COMPUTED_VALUE"""),"03 ORL")</f>
        <v>03 ORL</v>
      </c>
      <c r="N143" s="6" t="str">
        <f ca="1">IFERROR(__xludf.DUMMYFUNCTION("""COMPUTED_VALUE"""),"06 ORL")</f>
        <v>06 ORL</v>
      </c>
      <c r="O143" s="6" t="str">
        <f ca="1">IFERROR(__xludf.DUMMYFUNCTION("""COMPUTED_VALUE"""),"Dra, María Garrote Garrote")</f>
        <v>Dra, María Garrote Garrote</v>
      </c>
      <c r="P143" s="6" t="str">
        <f ca="1">IFERROR(__xludf.DUMMYFUNCTION("""COMPUTED_VALUE"""),"Maika Blázquez (Madrid)")</f>
        <v>Maika Blázquez (Madrid)</v>
      </c>
    </row>
    <row r="144" spans="2:16">
      <c r="B144" s="33">
        <f ca="1">IFERROR(__xludf.DUMMYFUNCTION("""COMPUTED_VALUE"""),2026)</f>
        <v>2026</v>
      </c>
      <c r="C144" s="15">
        <f ca="1">IFERROR(__xludf.DUMMYFUNCTION("""COMPUTED_VALUE"""),2)</f>
        <v>2</v>
      </c>
      <c r="D144" s="6" t="str">
        <f ca="1">IFERROR(__xludf.DUMMYFUNCTION("""COMPUTED_VALUE"""),"NO")</f>
        <v>NO</v>
      </c>
      <c r="E144" s="6" t="str">
        <f ca="1">IFERROR(__xludf.DUMMYFUNCTION("""COMPUTED_VALUE"""),"Almería")</f>
        <v>Almería</v>
      </c>
      <c r="F144" s="16">
        <f ca="1">IFERROR(__xludf.DUMMYFUNCTION("""COMPUTED_VALUE"""),46062)</f>
        <v>46062</v>
      </c>
      <c r="G144" s="16">
        <f ca="1">IFERROR(__xludf.DUMMYFUNCTION("""COMPUTED_VALUE"""),46037)</f>
        <v>46037</v>
      </c>
      <c r="H144" s="6" t="str">
        <f ca="1">IFERROR(__xludf.DUMMYFUNCTION("""COMPUTED_VALUE"""),"Almería")</f>
        <v>Almería</v>
      </c>
      <c r="I144" s="6" t="str">
        <f ca="1">IFERROR(__xludf.DUMMYFUNCTION("""COMPUTED_VALUE"""),"C202611510395603360")</f>
        <v>C202611510395603360</v>
      </c>
      <c r="J144" s="6" t="str">
        <f ca="1">IFERROR(__xludf.DUMMYFUNCTION("""COMPUTED_VALUE"""),"CARMEN FERNANDEZ HEREDIA")</f>
        <v>CARMEN FERNANDEZ HEREDIA</v>
      </c>
      <c r="K144" s="15">
        <f ca="1">IFERROR(__xludf.DUMMYFUNCTION("""COMPUTED_VALUE"""),2)</f>
        <v>2</v>
      </c>
      <c r="L144" s="21">
        <f ca="1">IFERROR(__xludf.DUMMYFUNCTION("""COMPUTED_VALUE"""),3631.82)</f>
        <v>3631.82</v>
      </c>
      <c r="M144" s="6" t="str">
        <f ca="1">IFERROR(__xludf.DUMMYFUNCTION("""COMPUTED_VALUE"""),"03 ORL")</f>
        <v>03 ORL</v>
      </c>
      <c r="N144" s="6" t="str">
        <f ca="1">IFERROR(__xludf.DUMMYFUNCTION("""COMPUTED_VALUE"""),"06 ORL")</f>
        <v>06 ORL</v>
      </c>
      <c r="O144" s="6" t="str">
        <f ca="1">IFERROR(__xludf.DUMMYFUNCTION("""COMPUTED_VALUE"""),"Dr, Javier Padilla Cabello")</f>
        <v>Dr, Javier Padilla Cabello</v>
      </c>
      <c r="P144" s="6" t="str">
        <f ca="1">IFERROR(__xludf.DUMMYFUNCTION("""COMPUTED_VALUE"""),"Ramon Ferrando(Valencia)")</f>
        <v>Ramon Ferrando(Valencia)</v>
      </c>
    </row>
    <row r="145" spans="2:16">
      <c r="B145" s="33">
        <f ca="1">IFERROR(__xludf.DUMMYFUNCTION("""COMPUTED_VALUE"""),2026)</f>
        <v>2026</v>
      </c>
      <c r="C145" s="15">
        <f ca="1">IFERROR(__xludf.DUMMYFUNCTION("""COMPUTED_VALUE"""),2)</f>
        <v>2</v>
      </c>
      <c r="D145" s="6" t="str">
        <f ca="1">IFERROR(__xludf.DUMMYFUNCTION("""COMPUTED_VALUE"""),"NO")</f>
        <v>NO</v>
      </c>
      <c r="E145" s="6" t="str">
        <f ca="1">IFERROR(__xludf.DUMMYFUNCTION("""COMPUTED_VALUE"""),"Sevilla- Ciencias")</f>
        <v>Sevilla- Ciencias</v>
      </c>
      <c r="F145" s="16">
        <f ca="1">IFERROR(__xludf.DUMMYFUNCTION("""COMPUTED_VALUE"""),46062)</f>
        <v>46062</v>
      </c>
      <c r="G145" s="16">
        <f ca="1">IFERROR(__xludf.DUMMYFUNCTION("""COMPUTED_VALUE"""),46030)</f>
        <v>46030</v>
      </c>
      <c r="H145" s="6" t="str">
        <f ca="1">IFERROR(__xludf.DUMMYFUNCTION("""COMPUTED_VALUE"""),"Sevilla Este")</f>
        <v>Sevilla Este</v>
      </c>
      <c r="I145" s="6" t="str">
        <f ca="1">IFERROR(__xludf.DUMMYFUNCTION("""COMPUTED_VALUE"""),"C20261818914658342")</f>
        <v>C20261818914658342</v>
      </c>
      <c r="J145" s="6" t="str">
        <f ca="1">IFERROR(__xludf.DUMMYFUNCTION("""COMPUTED_VALUE"""),"ARACELI HEREDIA SANCHEZ")</f>
        <v>ARACELI HEREDIA SANCHEZ</v>
      </c>
      <c r="K145" s="15">
        <f ca="1">IFERROR(__xludf.DUMMYFUNCTION("""COMPUTED_VALUE"""),2)</f>
        <v>2</v>
      </c>
      <c r="L145" s="21">
        <f ca="1">IFERROR(__xludf.DUMMYFUNCTION("""COMPUTED_VALUE"""),2718.19)</f>
        <v>2718.19</v>
      </c>
      <c r="M145" s="6" t="str">
        <f ca="1">IFERROR(__xludf.DUMMYFUNCTION("""COMPUTED_VALUE"""),"03 ORL")</f>
        <v>03 ORL</v>
      </c>
      <c r="N145" s="6" t="str">
        <f ca="1">IFERROR(__xludf.DUMMYFUNCTION("""COMPUTED_VALUE"""),"06 ORL")</f>
        <v>06 ORL</v>
      </c>
      <c r="O145" s="6" t="str">
        <f ca="1">IFERROR(__xludf.DUMMYFUNCTION("""COMPUTED_VALUE"""),"Dr, Francisco Javier Aguilar Vera")</f>
        <v>Dr, Francisco Javier Aguilar Vera</v>
      </c>
      <c r="P145" s="6" t="str">
        <f ca="1">IFERROR(__xludf.DUMMYFUNCTION("""COMPUTED_VALUE"""),"Luis Alberto Rodríguez (Andalucía y Badajoz)")</f>
        <v>Luis Alberto Rodríguez (Andalucía y Badajoz)</v>
      </c>
    </row>
    <row r="146" spans="2:16">
      <c r="B146" s="33">
        <f ca="1">IFERROR(__xludf.DUMMYFUNCTION("""COMPUTED_VALUE"""),2026)</f>
        <v>2026</v>
      </c>
      <c r="C146" s="15">
        <f ca="1">IFERROR(__xludf.DUMMYFUNCTION("""COMPUTED_VALUE"""),2)</f>
        <v>2</v>
      </c>
      <c r="D146" s="6" t="str">
        <f ca="1">IFERROR(__xludf.DUMMYFUNCTION("""COMPUTED_VALUE"""),"NO")</f>
        <v>NO</v>
      </c>
      <c r="E146" s="6" t="str">
        <f ca="1">IFERROR(__xludf.DUMMYFUNCTION("""COMPUTED_VALUE"""),"León")</f>
        <v>León</v>
      </c>
      <c r="F146" s="16">
        <f ca="1">IFERROR(__xludf.DUMMYFUNCTION("""COMPUTED_VALUE"""),46063)</f>
        <v>46063</v>
      </c>
      <c r="G146" s="16">
        <f ca="1">IFERROR(__xludf.DUMMYFUNCTION("""COMPUTED_VALUE"""),46035)</f>
        <v>46035</v>
      </c>
      <c r="H146" s="6" t="str">
        <f ca="1">IFERROR(__xludf.DUMMYFUNCTION("""COMPUTED_VALUE"""),"León")</f>
        <v>León</v>
      </c>
      <c r="I146" s="6" t="str">
        <f ca="1">IFERROR(__xludf.DUMMYFUNCTION("""COMPUTED_VALUE"""),"C202611317321362954")</f>
        <v>C202611317321362954</v>
      </c>
      <c r="J146" s="6" t="str">
        <f ca="1">IFERROR(__xludf.DUMMYFUNCTION("""COMPUTED_VALUE"""),"Ana Llamazares Gonzalez")</f>
        <v>Ana Llamazares Gonzalez</v>
      </c>
      <c r="K146" s="15">
        <f ca="1">IFERROR(__xludf.DUMMYFUNCTION("""COMPUTED_VALUE"""),1)</f>
        <v>1</v>
      </c>
      <c r="L146" s="21">
        <f ca="1">IFERROR(__xludf.DUMMYFUNCTION("""COMPUTED_VALUE"""),2045.45)</f>
        <v>2045.45</v>
      </c>
      <c r="M146" s="6" t="str">
        <f ca="1">IFERROR(__xludf.DUMMYFUNCTION("""COMPUTED_VALUE"""),"01 MARKETING ON LINE")</f>
        <v>01 MARKETING ON LINE</v>
      </c>
      <c r="N146" s="6" t="str">
        <f ca="1">IFERROR(__xludf.DUMMYFUNCTION("""COMPUTED_VALUE"""),"04 AUDIFONO,ES")</f>
        <v>04 AUDIFONO,ES</v>
      </c>
      <c r="O146" s="6" t="str">
        <f ca="1">IFERROR(__xludf.DUMMYFUNCTION("""COMPUTED_VALUE"""),"Dr, Rafael Pérez González")</f>
        <v>Dr, Rafael Pérez González</v>
      </c>
      <c r="P146" s="6" t="str">
        <f ca="1">IFERROR(__xludf.DUMMYFUNCTION("""COMPUTED_VALUE"""),"Alberto Moreno (Madrid)")</f>
        <v>Alberto Moreno (Madrid)</v>
      </c>
    </row>
    <row r="147" spans="2:16">
      <c r="B147" s="33">
        <f ca="1">IFERROR(__xludf.DUMMYFUNCTION("""COMPUTED_VALUE"""),2026)</f>
        <v>2026</v>
      </c>
      <c r="C147" s="15">
        <f ca="1">IFERROR(__xludf.DUMMYFUNCTION("""COMPUTED_VALUE"""),2)</f>
        <v>2</v>
      </c>
      <c r="D147" s="6" t="str">
        <f ca="1">IFERROR(__xludf.DUMMYFUNCTION("""COMPUTED_VALUE"""),"NO")</f>
        <v>NO</v>
      </c>
      <c r="E147" s="6" t="str">
        <f ca="1">IFERROR(__xludf.DUMMYFUNCTION("""COMPUTED_VALUE"""),"San Javier")</f>
        <v>San Javier</v>
      </c>
      <c r="F147" s="16">
        <f ca="1">IFERROR(__xludf.DUMMYFUNCTION("""COMPUTED_VALUE"""),46063)</f>
        <v>46063</v>
      </c>
      <c r="G147" s="16">
        <f ca="1">IFERROR(__xludf.DUMMYFUNCTION("""COMPUTED_VALUE"""),46045)</f>
        <v>46045</v>
      </c>
      <c r="H147" s="6" t="str">
        <f ca="1">IFERROR(__xludf.DUMMYFUNCTION("""COMPUTED_VALUE"""),"San Javier")</f>
        <v>San Javier</v>
      </c>
      <c r="I147" s="6" t="str">
        <f ca="1">IFERROR(__xludf.DUMMYFUNCTION("""COMPUTED_VALUE"""),"C202612382329680169")</f>
        <v>C202612382329680169</v>
      </c>
      <c r="J147" s="6" t="str">
        <f ca="1">IFERROR(__xludf.DUMMYFUNCTION("""COMPUTED_VALUE"""),"PEDRO JOSE MEDINA GARCIA")</f>
        <v>PEDRO JOSE MEDINA GARCIA</v>
      </c>
      <c r="K147" s="15">
        <f ca="1">IFERROR(__xludf.DUMMYFUNCTION("""COMPUTED_VALUE"""),2)</f>
        <v>2</v>
      </c>
      <c r="L147" s="21">
        <f ca="1">IFERROR(__xludf.DUMMYFUNCTION("""COMPUTED_VALUE"""),2718.18)</f>
        <v>2718.18</v>
      </c>
      <c r="M147" s="6" t="str">
        <f ca="1">IFERROR(__xludf.DUMMYFUNCTION("""COMPUTED_VALUE"""),"03 ORL")</f>
        <v>03 ORL</v>
      </c>
      <c r="N147" s="6" t="str">
        <f ca="1">IFERROR(__xludf.DUMMYFUNCTION("""COMPUTED_VALUE"""),"06 ORL")</f>
        <v>06 ORL</v>
      </c>
      <c r="O147" s="6" t="str">
        <f ca="1">IFERROR(__xludf.DUMMYFUNCTION("""COMPUTED_VALUE"""),"Dr, Dinis Antunes Silva")</f>
        <v>Dr, Dinis Antunes Silva</v>
      </c>
      <c r="P147" s="6" t="str">
        <f ca="1">IFERROR(__xludf.DUMMYFUNCTION("""COMPUTED_VALUE"""),"Iván Sánchez (Levante y Albacete)")</f>
        <v>Iván Sánchez (Levante y Albacete)</v>
      </c>
    </row>
    <row r="148" spans="2:16">
      <c r="B148" s="33">
        <f ca="1">IFERROR(__xludf.DUMMYFUNCTION("""COMPUTED_VALUE"""),2026)</f>
        <v>2026</v>
      </c>
      <c r="C148" s="15">
        <f ca="1">IFERROR(__xludf.DUMMYFUNCTION("""COMPUTED_VALUE"""),2)</f>
        <v>2</v>
      </c>
      <c r="D148" s="6" t="str">
        <f ca="1">IFERROR(__xludf.DUMMYFUNCTION("""COMPUTED_VALUE"""),"NO")</f>
        <v>NO</v>
      </c>
      <c r="E148" s="6" t="str">
        <f ca="1">IFERROR(__xludf.DUMMYFUNCTION("""COMPUTED_VALUE"""),"Murcia")</f>
        <v>Murcia</v>
      </c>
      <c r="F148" s="16">
        <f ca="1">IFERROR(__xludf.DUMMYFUNCTION("""COMPUTED_VALUE"""),46063)</f>
        <v>46063</v>
      </c>
      <c r="G148" s="16">
        <f ca="1">IFERROR(__xludf.DUMMYFUNCTION("""COMPUTED_VALUE"""),46036)</f>
        <v>46036</v>
      </c>
      <c r="H148" s="6" t="str">
        <f ca="1">IFERROR(__xludf.DUMMYFUNCTION("""COMPUTED_VALUE"""),"Murcia")</f>
        <v>Murcia</v>
      </c>
      <c r="I148" s="6" t="str">
        <f ca="1">IFERROR(__xludf.DUMMYFUNCTION("""COMPUTED_VALUE"""),"C202611495935635852")</f>
        <v>C202611495935635852</v>
      </c>
      <c r="J148" s="6" t="str">
        <f ca="1">IFERROR(__xludf.DUMMYFUNCTION("""COMPUTED_VALUE"""),"MERCEDES GARCIA MARTINEZ")</f>
        <v>MERCEDES GARCIA MARTINEZ</v>
      </c>
      <c r="K148" s="15">
        <f ca="1">IFERROR(__xludf.DUMMYFUNCTION("""COMPUTED_VALUE"""),2)</f>
        <v>2</v>
      </c>
      <c r="L148" s="21">
        <f ca="1">IFERROR(__xludf.DUMMYFUNCTION("""COMPUTED_VALUE"""),2581.82)</f>
        <v>2581.8200000000002</v>
      </c>
      <c r="M148" s="6" t="str">
        <f ca="1">IFERROR(__xludf.DUMMYFUNCTION("""COMPUTED_VALUE"""),"03 ORL")</f>
        <v>03 ORL</v>
      </c>
      <c r="N148" s="6" t="str">
        <f ca="1">IFERROR(__xludf.DUMMYFUNCTION("""COMPUTED_VALUE"""),"06 ORL")</f>
        <v>06 ORL</v>
      </c>
      <c r="O148" s="6" t="str">
        <f ca="1">IFERROR(__xludf.DUMMYFUNCTION("""COMPUTED_VALUE"""),"Dra, Laura Guillamon Vivancos")</f>
        <v>Dra, Laura Guillamon Vivancos</v>
      </c>
      <c r="P148" s="6" t="str">
        <f ca="1">IFERROR(__xludf.DUMMYFUNCTION("""COMPUTED_VALUE"""),"Iván Sánchez (Levante y Albacete)")</f>
        <v>Iván Sánchez (Levante y Albacete)</v>
      </c>
    </row>
    <row r="149" spans="2:16">
      <c r="B149" s="33">
        <f ca="1">IFERROR(__xludf.DUMMYFUNCTION("""COMPUTED_VALUE"""),2026)</f>
        <v>2026</v>
      </c>
      <c r="C149" s="15">
        <f ca="1">IFERROR(__xludf.DUMMYFUNCTION("""COMPUTED_VALUE"""),2)</f>
        <v>2</v>
      </c>
      <c r="D149" s="6" t="str">
        <f ca="1">IFERROR(__xludf.DUMMYFUNCTION("""COMPUTED_VALUE"""),"NO")</f>
        <v>NO</v>
      </c>
      <c r="E149" s="6" t="str">
        <f ca="1">IFERROR(__xludf.DUMMYFUNCTION("""COMPUTED_VALUE"""),"Murcia")</f>
        <v>Murcia</v>
      </c>
      <c r="F149" s="16">
        <f ca="1">IFERROR(__xludf.DUMMYFUNCTION("""COMPUTED_VALUE"""),46063)</f>
        <v>46063</v>
      </c>
      <c r="G149" s="16">
        <f ca="1">IFERROR(__xludf.DUMMYFUNCTION("""COMPUTED_VALUE"""),46037)</f>
        <v>46037</v>
      </c>
      <c r="H149" s="6" t="str">
        <f ca="1">IFERROR(__xludf.DUMMYFUNCTION("""COMPUTED_VALUE"""),"Murcia")</f>
        <v>Murcia</v>
      </c>
      <c r="I149" s="6" t="str">
        <f ca="1">IFERROR(__xludf.DUMMYFUNCTION("""COMPUTED_VALUE"""),"C202611594434141073")</f>
        <v>C202611594434141073</v>
      </c>
      <c r="J149" s="6" t="str">
        <f ca="1">IFERROR(__xludf.DUMMYFUNCTION("""COMPUTED_VALUE"""),"FRANCISCO LOPEZ ZAMBUDIO")</f>
        <v>FRANCISCO LOPEZ ZAMBUDIO</v>
      </c>
      <c r="K149" s="15">
        <f ca="1">IFERROR(__xludf.DUMMYFUNCTION("""COMPUTED_VALUE"""),2)</f>
        <v>2</v>
      </c>
      <c r="L149" s="21">
        <f ca="1">IFERROR(__xludf.DUMMYFUNCTION("""COMPUTED_VALUE"""),3631.82)</f>
        <v>3631.82</v>
      </c>
      <c r="M149" s="6" t="str">
        <f ca="1">IFERROR(__xludf.DUMMYFUNCTION("""COMPUTED_VALUE"""),"03 ORL")</f>
        <v>03 ORL</v>
      </c>
      <c r="N149" s="6" t="str">
        <f ca="1">IFERROR(__xludf.DUMMYFUNCTION("""COMPUTED_VALUE"""),"06 ORL")</f>
        <v>06 ORL</v>
      </c>
      <c r="O149" s="6" t="str">
        <f ca="1">IFERROR(__xludf.DUMMYFUNCTION("""COMPUTED_VALUE"""),"Dr, Jesús Miguel Iniesta Turpín")</f>
        <v>Dr, Jesús Miguel Iniesta Turpín</v>
      </c>
      <c r="P149" s="6" t="str">
        <f ca="1">IFERROR(__xludf.DUMMYFUNCTION("""COMPUTED_VALUE"""),"Iván Sánchez (Levante y Albacete)")</f>
        <v>Iván Sánchez (Levante y Albacete)</v>
      </c>
    </row>
    <row r="150" spans="2:16">
      <c r="B150" s="33">
        <f ca="1">IFERROR(__xludf.DUMMYFUNCTION("""COMPUTED_VALUE"""),2026)</f>
        <v>2026</v>
      </c>
      <c r="C150" s="15">
        <f ca="1">IFERROR(__xludf.DUMMYFUNCTION("""COMPUTED_VALUE"""),2)</f>
        <v>2</v>
      </c>
      <c r="D150" s="6" t="str">
        <f ca="1">IFERROR(__xludf.DUMMYFUNCTION("""COMPUTED_VALUE"""),"NO")</f>
        <v>NO</v>
      </c>
      <c r="E150" s="6" t="str">
        <f ca="1">IFERROR(__xludf.DUMMYFUNCTION("""COMPUTED_VALUE"""),"Sevilla- Montoto")</f>
        <v>Sevilla- Montoto</v>
      </c>
      <c r="F150" s="16">
        <f ca="1">IFERROR(__xludf.DUMMYFUNCTION("""COMPUTED_VALUE"""),46063)</f>
        <v>46063</v>
      </c>
      <c r="G150" s="16">
        <f ca="1">IFERROR(__xludf.DUMMYFUNCTION("""COMPUTED_VALUE"""),45684)</f>
        <v>45684</v>
      </c>
      <c r="H150" s="6" t="str">
        <f ca="1">IFERROR(__xludf.DUMMYFUNCTION("""COMPUTED_VALUE"""),"Montoto")</f>
        <v>Montoto</v>
      </c>
      <c r="I150" s="6" t="str">
        <f ca="1">IFERROR(__xludf.DUMMYFUNCTION("""COMPUTED_VALUE"""),"C2026116117442")</f>
        <v>C2026116117442</v>
      </c>
      <c r="J150" s="6" t="str">
        <f ca="1">IFERROR(__xludf.DUMMYFUNCTION("""COMPUTED_VALUE"""),"DAVID GALVEZ BERMUDO")</f>
        <v>DAVID GALVEZ BERMUDO</v>
      </c>
      <c r="K150" s="15">
        <f ca="1">IFERROR(__xludf.DUMMYFUNCTION("""COMPUTED_VALUE"""),1)</f>
        <v>1</v>
      </c>
      <c r="L150" s="21">
        <f ca="1">IFERROR(__xludf.DUMMYFUNCTION("""COMPUTED_VALUE"""),1631.82)</f>
        <v>1631.82</v>
      </c>
      <c r="M150" s="6" t="str">
        <f ca="1">IFERROR(__xludf.DUMMYFUNCTION("""COMPUTED_VALUE"""),"03 ORL")</f>
        <v>03 ORL</v>
      </c>
      <c r="N150" s="6" t="str">
        <f ca="1">IFERROR(__xludf.DUMMYFUNCTION("""COMPUTED_VALUE"""),"06 ORL")</f>
        <v>06 ORL</v>
      </c>
      <c r="O150" s="6" t="str">
        <f ca="1">IFERROR(__xludf.DUMMYFUNCTION("""COMPUTED_VALUE"""),"Dr, Francisco Javier Aguilar Vera")</f>
        <v>Dr, Francisco Javier Aguilar Vera</v>
      </c>
      <c r="P150" s="6" t="str">
        <f ca="1">IFERROR(__xludf.DUMMYFUNCTION("""COMPUTED_VALUE"""),"Luis Alberto Rodríguez (Andalucía y Badajoz)")</f>
        <v>Luis Alberto Rodríguez (Andalucía y Badajoz)</v>
      </c>
    </row>
    <row r="151" spans="2:16">
      <c r="B151" s="33">
        <f ca="1">IFERROR(__xludf.DUMMYFUNCTION("""COMPUTED_VALUE"""),2026)</f>
        <v>2026</v>
      </c>
      <c r="C151" s="15">
        <f ca="1">IFERROR(__xludf.DUMMYFUNCTION("""COMPUTED_VALUE"""),2)</f>
        <v>2</v>
      </c>
      <c r="D151" s="6" t="str">
        <f ca="1">IFERROR(__xludf.DUMMYFUNCTION("""COMPUTED_VALUE"""),"NO")</f>
        <v>NO</v>
      </c>
      <c r="E151" s="6" t="str">
        <f ca="1">IFERROR(__xludf.DUMMYFUNCTION("""COMPUTED_VALUE"""),"Madrid- Juan Bravo")</f>
        <v>Madrid- Juan Bravo</v>
      </c>
      <c r="F151" s="16">
        <f ca="1">IFERROR(__xludf.DUMMYFUNCTION("""COMPUTED_VALUE"""),46063)</f>
        <v>46063</v>
      </c>
      <c r="G151" s="16">
        <f ca="1">IFERROR(__xludf.DUMMYFUNCTION("""COMPUTED_VALUE"""),45992)</f>
        <v>45992</v>
      </c>
      <c r="H151" s="6" t="str">
        <f ca="1">IFERROR(__xludf.DUMMYFUNCTION("""COMPUTED_VALUE"""),"Juan Bravo")</f>
        <v>Juan Bravo</v>
      </c>
      <c r="I151" s="6" t="str">
        <f ca="1">IFERROR(__xludf.DUMMYFUNCTION("""COMPUTED_VALUE"""),"C202512116211113918")</f>
        <v>C202512116211113918</v>
      </c>
      <c r="J151" s="6" t="str">
        <f ca="1">IFERROR(__xludf.DUMMYFUNCTION("""COMPUTED_VALUE"""),"FERNANDO DIAZ ROLDAN")</f>
        <v>FERNANDO DIAZ ROLDAN</v>
      </c>
      <c r="K151" s="15">
        <f ca="1">IFERROR(__xludf.DUMMYFUNCTION("""COMPUTED_VALUE"""),2)</f>
        <v>2</v>
      </c>
      <c r="L151" s="21">
        <f ca="1">IFERROR(__xludf.DUMMYFUNCTION("""COMPUTED_VALUE"""),3888.64)</f>
        <v>3888.64</v>
      </c>
      <c r="M151" s="6" t="str">
        <f ca="1">IFERROR(__xludf.DUMMYFUNCTION("""COMPUTED_VALUE"""),"03 ORL")</f>
        <v>03 ORL</v>
      </c>
      <c r="N151" s="6" t="str">
        <f ca="1">IFERROR(__xludf.DUMMYFUNCTION("""COMPUTED_VALUE"""),"06 ORL")</f>
        <v>06 ORL</v>
      </c>
      <c r="O151" s="6" t="str">
        <f ca="1">IFERROR(__xludf.DUMMYFUNCTION("""COMPUTED_VALUE"""),"Dra, María del Mar Medina González")</f>
        <v>Dra, María del Mar Medina González</v>
      </c>
      <c r="P151" s="6" t="str">
        <f ca="1">IFERROR(__xludf.DUMMYFUNCTION("""COMPUTED_VALUE"""),"Maika Blázquez (Madrid)")</f>
        <v>Maika Blázquez (Madrid)</v>
      </c>
    </row>
    <row r="152" spans="2:16">
      <c r="B152" s="33">
        <f ca="1">IFERROR(__xludf.DUMMYFUNCTION("""COMPUTED_VALUE"""),2026)</f>
        <v>2026</v>
      </c>
      <c r="C152" s="15">
        <f ca="1">IFERROR(__xludf.DUMMYFUNCTION("""COMPUTED_VALUE"""),2)</f>
        <v>2</v>
      </c>
      <c r="D152" s="6" t="str">
        <f ca="1">IFERROR(__xludf.DUMMYFUNCTION("""COMPUTED_VALUE"""),"NO")</f>
        <v>NO</v>
      </c>
      <c r="E152" s="6" t="str">
        <f ca="1">IFERROR(__xludf.DUMMYFUNCTION("""COMPUTED_VALUE"""),"San Javier")</f>
        <v>San Javier</v>
      </c>
      <c r="F152" s="16">
        <f ca="1">IFERROR(__xludf.DUMMYFUNCTION("""COMPUTED_VALUE"""),46063)</f>
        <v>46063</v>
      </c>
      <c r="G152" s="16">
        <f ca="1">IFERROR(__xludf.DUMMYFUNCTION("""COMPUTED_VALUE"""),46051)</f>
        <v>46051</v>
      </c>
      <c r="H152" s="6" t="str">
        <f ca="1">IFERROR(__xludf.DUMMYFUNCTION("""COMPUTED_VALUE"""),"San Javier")</f>
        <v>San Javier</v>
      </c>
      <c r="I152" s="6" t="str">
        <f ca="1">IFERROR(__xludf.DUMMYFUNCTION("""COMPUTED_VALUE"""),"C202612912171931207")</f>
        <v>C202612912171931207</v>
      </c>
      <c r="J152" s="6" t="str">
        <f ca="1">IFERROR(__xludf.DUMMYFUNCTION("""COMPUTED_VALUE"""),"GARETH JOHN PETER SOCKETT")</f>
        <v>GARETH JOHN PETER SOCKETT</v>
      </c>
      <c r="K152" s="15">
        <f ca="1">IFERROR(__xludf.DUMMYFUNCTION("""COMPUTED_VALUE"""),2)</f>
        <v>2</v>
      </c>
      <c r="L152" s="21">
        <f ca="1">IFERROR(__xludf.DUMMYFUNCTION("""COMPUTED_VALUE"""),3631.82)</f>
        <v>3631.82</v>
      </c>
      <c r="M152" s="6" t="str">
        <f ca="1">IFERROR(__xludf.DUMMYFUNCTION("""COMPUTED_VALUE"""),"03 ORL")</f>
        <v>03 ORL</v>
      </c>
      <c r="N152" s="6" t="str">
        <f ca="1">IFERROR(__xludf.DUMMYFUNCTION("""COMPUTED_VALUE"""),"06 ORL")</f>
        <v>06 ORL</v>
      </c>
      <c r="O152" s="6" t="str">
        <f ca="1">IFERROR(__xludf.DUMMYFUNCTION("""COMPUTED_VALUE"""),"Dra, María Agustina Sevilla García")</f>
        <v>Dra, María Agustina Sevilla García</v>
      </c>
      <c r="P152" s="6" t="str">
        <f ca="1">IFERROR(__xludf.DUMMYFUNCTION("""COMPUTED_VALUE"""),"Iván Sánchez (Levante y Albacete)")</f>
        <v>Iván Sánchez (Levante y Albacete)</v>
      </c>
    </row>
    <row r="153" spans="2:16">
      <c r="B153" s="33">
        <f ca="1">IFERROR(__xludf.DUMMYFUNCTION("""COMPUTED_VALUE"""),2026)</f>
        <v>2026</v>
      </c>
      <c r="C153" s="15">
        <f ca="1">IFERROR(__xludf.DUMMYFUNCTION("""COMPUTED_VALUE"""),2)</f>
        <v>2</v>
      </c>
      <c r="D153" s="6" t="str">
        <f ca="1">IFERROR(__xludf.DUMMYFUNCTION("""COMPUTED_VALUE"""),"NO")</f>
        <v>NO</v>
      </c>
      <c r="E153" s="6" t="str">
        <f ca="1">IFERROR(__xludf.DUMMYFUNCTION("""COMPUTED_VALUE"""),"Sevilla- Montoto")</f>
        <v>Sevilla- Montoto</v>
      </c>
      <c r="F153" s="16">
        <f ca="1">IFERROR(__xludf.DUMMYFUNCTION("""COMPUTED_VALUE"""),46063)</f>
        <v>46063</v>
      </c>
      <c r="G153" s="16">
        <f ca="1">IFERROR(__xludf.DUMMYFUNCTION("""COMPUTED_VALUE"""),46008)</f>
        <v>46008</v>
      </c>
      <c r="H153" s="6" t="str">
        <f ca="1">IFERROR(__xludf.DUMMYFUNCTION("""COMPUTED_VALUE"""),"Montoto")</f>
        <v>Montoto</v>
      </c>
      <c r="I153" s="6" t="str">
        <f ca="1">IFERROR(__xludf.DUMMYFUNCTION("""COMPUTED_VALUE"""),"C202512171723206010")</f>
        <v>C202512171723206010</v>
      </c>
      <c r="J153" s="6" t="str">
        <f ca="1">IFERROR(__xludf.DUMMYFUNCTION("""COMPUTED_VALUE"""),"MARIA JOSEFA CARRO VALDES-HEVIA")</f>
        <v>MARIA JOSEFA CARRO VALDES-HEVIA</v>
      </c>
      <c r="K153" s="15">
        <f ca="1">IFERROR(__xludf.DUMMYFUNCTION("""COMPUTED_VALUE"""),2)</f>
        <v>2</v>
      </c>
      <c r="L153" s="21">
        <f ca="1">IFERROR(__xludf.DUMMYFUNCTION("""COMPUTED_VALUE"""),3631.82)</f>
        <v>3631.82</v>
      </c>
      <c r="M153" s="6" t="str">
        <f ca="1">IFERROR(__xludf.DUMMYFUNCTION("""COMPUTED_VALUE"""),"03 ORL")</f>
        <v>03 ORL</v>
      </c>
      <c r="N153" s="6" t="str">
        <f ca="1">IFERROR(__xludf.DUMMYFUNCTION("""COMPUTED_VALUE"""),"06 ORL")</f>
        <v>06 ORL</v>
      </c>
      <c r="O153" s="6" t="str">
        <f ca="1">IFERROR(__xludf.DUMMYFUNCTION("""COMPUTED_VALUE"""),"Dr, Francisco Javier Aguilar Vera")</f>
        <v>Dr, Francisco Javier Aguilar Vera</v>
      </c>
      <c r="P153" s="6" t="str">
        <f ca="1">IFERROR(__xludf.DUMMYFUNCTION("""COMPUTED_VALUE"""),"Luis Alberto Rodríguez (Andalucía y Badajoz)")</f>
        <v>Luis Alberto Rodríguez (Andalucía y Badajoz)</v>
      </c>
    </row>
    <row r="154" spans="2:16">
      <c r="B154" s="33">
        <f ca="1">IFERROR(__xludf.DUMMYFUNCTION("""COMPUTED_VALUE"""),2026)</f>
        <v>2026</v>
      </c>
      <c r="C154" s="15">
        <f ca="1">IFERROR(__xludf.DUMMYFUNCTION("""COMPUTED_VALUE"""),2)</f>
        <v>2</v>
      </c>
      <c r="D154" s="6" t="str">
        <f ca="1">IFERROR(__xludf.DUMMYFUNCTION("""COMPUTED_VALUE"""),"NO")</f>
        <v>NO</v>
      </c>
      <c r="E154" s="6" t="str">
        <f ca="1">IFERROR(__xludf.DUMMYFUNCTION("""COMPUTED_VALUE"""),"Talavera")</f>
        <v>Talavera</v>
      </c>
      <c r="F154" s="16">
        <f ca="1">IFERROR(__xludf.DUMMYFUNCTION("""COMPUTED_VALUE"""),46063)</f>
        <v>46063</v>
      </c>
      <c r="G154" s="16">
        <f ca="1">IFERROR(__xludf.DUMMYFUNCTION("""COMPUTED_VALUE"""),46030)</f>
        <v>46030</v>
      </c>
      <c r="H154" s="6" t="str">
        <f ca="1">IFERROR(__xludf.DUMMYFUNCTION("""COMPUTED_VALUE"""),"Talavera")</f>
        <v>Talavera</v>
      </c>
      <c r="I154" s="6" t="str">
        <f ca="1">IFERROR(__xludf.DUMMYFUNCTION("""COMPUTED_VALUE"""),"C20261810363892932")</f>
        <v>C20261810363892932</v>
      </c>
      <c r="J154" s="6" t="str">
        <f ca="1">IFERROR(__xludf.DUMMYFUNCTION("""COMPUTED_VALUE"""),"PABLO GARCÍA PÉREZ")</f>
        <v>PABLO GARCÍA PÉREZ</v>
      </c>
      <c r="K154" s="15">
        <f ca="1">IFERROR(__xludf.DUMMYFUNCTION("""COMPUTED_VALUE"""),2)</f>
        <v>2</v>
      </c>
      <c r="L154" s="21">
        <f ca="1">IFERROR(__xludf.DUMMYFUNCTION("""COMPUTED_VALUE"""),2718.18)</f>
        <v>2718.18</v>
      </c>
      <c r="M154" s="6" t="str">
        <f ca="1">IFERROR(__xludf.DUMMYFUNCTION("""COMPUTED_VALUE"""),"03 ORL")</f>
        <v>03 ORL</v>
      </c>
      <c r="N154" s="6" t="str">
        <f ca="1">IFERROR(__xludf.DUMMYFUNCTION("""COMPUTED_VALUE"""),"06 ORL")</f>
        <v>06 ORL</v>
      </c>
      <c r="O154" s="6" t="str">
        <f ca="1">IFERROR(__xludf.DUMMYFUNCTION("""COMPUTED_VALUE"""),"Dr, Carlos Félix Asensio Nieto")</f>
        <v>Dr, Carlos Félix Asensio Nieto</v>
      </c>
      <c r="P154" s="6" t="str">
        <f ca="1">IFERROR(__xludf.DUMMYFUNCTION("""COMPUTED_VALUE"""),"Lisandro Russian (Madrid, Cáceres, Toledo, Talavera y Logroño)")</f>
        <v>Lisandro Russian (Madrid, Cáceres, Toledo, Talavera y Logroño)</v>
      </c>
    </row>
    <row r="155" spans="2:16">
      <c r="B155" s="33">
        <f ca="1">IFERROR(__xludf.DUMMYFUNCTION("""COMPUTED_VALUE"""),2026)</f>
        <v>2026</v>
      </c>
      <c r="C155" s="15">
        <f ca="1">IFERROR(__xludf.DUMMYFUNCTION("""COMPUTED_VALUE"""),2)</f>
        <v>2</v>
      </c>
      <c r="D155" s="6" t="str">
        <f ca="1">IFERROR(__xludf.DUMMYFUNCTION("""COMPUTED_VALUE"""),"NO")</f>
        <v>NO</v>
      </c>
      <c r="E155" s="6" t="str">
        <f ca="1">IFERROR(__xludf.DUMMYFUNCTION("""COMPUTED_VALUE"""),"Orihuela")</f>
        <v>Orihuela</v>
      </c>
      <c r="F155" s="16">
        <f ca="1">IFERROR(__xludf.DUMMYFUNCTION("""COMPUTED_VALUE"""),46064)</f>
        <v>46064</v>
      </c>
      <c r="G155" s="16">
        <f ca="1">IFERROR(__xludf.DUMMYFUNCTION("""COMPUTED_VALUE"""),46008)</f>
        <v>46008</v>
      </c>
      <c r="H155" s="6" t="str">
        <f ca="1">IFERROR(__xludf.DUMMYFUNCTION("""COMPUTED_VALUE"""),"La Zenia")</f>
        <v>La Zenia</v>
      </c>
      <c r="I155" s="6" t="str">
        <f ca="1">IFERROR(__xludf.DUMMYFUNCTION("""COMPUTED_VALUE"""),"C202512171774713468")</f>
        <v>C202512171774713468</v>
      </c>
      <c r="J155" s="6" t="str">
        <f ca="1">IFERROR(__xludf.DUMMYFUNCTION("""COMPUTED_VALUE"""),"MONICA JIMENEZ ANGULO")</f>
        <v>MONICA JIMENEZ ANGULO</v>
      </c>
      <c r="K155" s="15">
        <f ca="1">IFERROR(__xludf.DUMMYFUNCTION("""COMPUTED_VALUE"""),2)</f>
        <v>2</v>
      </c>
      <c r="L155" s="21">
        <f ca="1">IFERROR(__xludf.DUMMYFUNCTION("""COMPUTED_VALUE"""),4136.36)</f>
        <v>4136.3599999999997</v>
      </c>
      <c r="M155" s="6" t="str">
        <f ca="1">IFERROR(__xludf.DUMMYFUNCTION("""COMPUTED_VALUE"""),"03 ORL")</f>
        <v>03 ORL</v>
      </c>
      <c r="N155" s="6" t="str">
        <f ca="1">IFERROR(__xludf.DUMMYFUNCTION("""COMPUTED_VALUE"""),"06 ORL")</f>
        <v>06 ORL</v>
      </c>
      <c r="O155" s="6" t="str">
        <f ca="1">IFERROR(__xludf.DUMMYFUNCTION("""COMPUTED_VALUE"""),"Dr, Juan Javier Álvarez López")</f>
        <v>Dr, Juan Javier Álvarez López</v>
      </c>
      <c r="P155" s="6" t="str">
        <f ca="1">IFERROR(__xludf.DUMMYFUNCTION("""COMPUTED_VALUE"""),"Iván Sánchez (Levante y Albacete)")</f>
        <v>Iván Sánchez (Levante y Albacete)</v>
      </c>
    </row>
    <row r="156" spans="2:16">
      <c r="B156" s="33">
        <f ca="1">IFERROR(__xludf.DUMMYFUNCTION("""COMPUTED_VALUE"""),2026)</f>
        <v>2026</v>
      </c>
      <c r="C156" s="15">
        <f ca="1">IFERROR(__xludf.DUMMYFUNCTION("""COMPUTED_VALUE"""),2)</f>
        <v>2</v>
      </c>
      <c r="D156" s="6" t="str">
        <f ca="1">IFERROR(__xludf.DUMMYFUNCTION("""COMPUTED_VALUE"""),"NO")</f>
        <v>NO</v>
      </c>
      <c r="E156" s="6" t="str">
        <f ca="1">IFERROR(__xludf.DUMMYFUNCTION("""COMPUTED_VALUE"""),"Badajoz")</f>
        <v>Badajoz</v>
      </c>
      <c r="F156" s="16">
        <f ca="1">IFERROR(__xludf.DUMMYFUNCTION("""COMPUTED_VALUE"""),46064)</f>
        <v>46064</v>
      </c>
      <c r="G156" s="16">
        <f ca="1">IFERROR(__xludf.DUMMYFUNCTION("""COMPUTED_VALUE"""),46008)</f>
        <v>46008</v>
      </c>
      <c r="H156" s="6" t="str">
        <f ca="1">IFERROR(__xludf.DUMMYFUNCTION("""COMPUTED_VALUE"""),"Badajoz")</f>
        <v>Badajoz</v>
      </c>
      <c r="I156" s="6" t="str">
        <f ca="1">IFERROR(__xludf.DUMMYFUNCTION("""COMPUTED_VALUE"""),"C202512178505738777")</f>
        <v>C202512178505738777</v>
      </c>
      <c r="J156" s="6" t="str">
        <f ca="1">IFERROR(__xludf.DUMMYFUNCTION("""COMPUTED_VALUE"""),"CASIMIRA MORENO SANDEZ")</f>
        <v>CASIMIRA MORENO SANDEZ</v>
      </c>
      <c r="K156" s="15">
        <f ca="1">IFERROR(__xludf.DUMMYFUNCTION("""COMPUTED_VALUE"""),2)</f>
        <v>2</v>
      </c>
      <c r="L156" s="21">
        <f ca="1">IFERROR(__xludf.DUMMYFUNCTION("""COMPUTED_VALUE"""),3263.64)</f>
        <v>3263.64</v>
      </c>
      <c r="M156" s="6" t="str">
        <f ca="1">IFERROR(__xludf.DUMMYFUNCTION("""COMPUTED_VALUE"""),"03 ORL")</f>
        <v>03 ORL</v>
      </c>
      <c r="N156" s="6" t="str">
        <f ca="1">IFERROR(__xludf.DUMMYFUNCTION("""COMPUTED_VALUE"""),"06 ORL")</f>
        <v>06 ORL</v>
      </c>
      <c r="O156" s="6" t="str">
        <f ca="1">IFERROR(__xludf.DUMMYFUNCTION("""COMPUTED_VALUE"""),"Dr, Isidoro Rubio Correa")</f>
        <v>Dr, Isidoro Rubio Correa</v>
      </c>
      <c r="P156" s="6" t="str">
        <f ca="1">IFERROR(__xludf.DUMMYFUNCTION("""COMPUTED_VALUE"""),"Luis Alberto Rodríguez (Andalucía y Badajoz)")</f>
        <v>Luis Alberto Rodríguez (Andalucía y Badajoz)</v>
      </c>
    </row>
    <row r="157" spans="2:16">
      <c r="B157" s="33">
        <f ca="1">IFERROR(__xludf.DUMMYFUNCTION("""COMPUTED_VALUE"""),2026)</f>
        <v>2026</v>
      </c>
      <c r="C157" s="15">
        <f ca="1">IFERROR(__xludf.DUMMYFUNCTION("""COMPUTED_VALUE"""),2)</f>
        <v>2</v>
      </c>
      <c r="D157" s="6" t="str">
        <f ca="1">IFERROR(__xludf.DUMMYFUNCTION("""COMPUTED_VALUE"""),"NO")</f>
        <v>NO</v>
      </c>
      <c r="E157" s="6" t="str">
        <f ca="1">IFERROR(__xludf.DUMMYFUNCTION("""COMPUTED_VALUE"""),"Torrejón de Ardoz")</f>
        <v>Torrejón de Ardoz</v>
      </c>
      <c r="F157" s="16">
        <f ca="1">IFERROR(__xludf.DUMMYFUNCTION("""COMPUTED_VALUE"""),46065)</f>
        <v>46065</v>
      </c>
      <c r="G157" s="16">
        <f ca="1">IFERROR(__xludf.DUMMYFUNCTION("""COMPUTED_VALUE"""),45961)</f>
        <v>45961</v>
      </c>
      <c r="H157" s="6" t="str">
        <f ca="1">IFERROR(__xludf.DUMMYFUNCTION("""COMPUTED_VALUE"""),"Torrejón")</f>
        <v>Torrejón</v>
      </c>
      <c r="I157" s="6" t="str">
        <f ca="1">IFERROR(__xludf.DUMMYFUNCTION("""COMPUTED_VALUE"""),"C202510311214327514")</f>
        <v>C202510311214327514</v>
      </c>
      <c r="J157" s="6" t="str">
        <f ca="1">IFERROR(__xludf.DUMMYFUNCTION("""COMPUTED_VALUE"""),"MARGARITA CABALLERO CALVO")</f>
        <v>MARGARITA CABALLERO CALVO</v>
      </c>
      <c r="K157" s="15">
        <f ca="1">IFERROR(__xludf.DUMMYFUNCTION("""COMPUTED_VALUE"""),1)</f>
        <v>1</v>
      </c>
      <c r="L157" s="21">
        <f ca="1">IFERROR(__xludf.DUMMYFUNCTION("""COMPUTED_VALUE"""),2481.82)</f>
        <v>2481.8200000000002</v>
      </c>
      <c r="M157" s="6" t="str">
        <f ca="1">IFERROR(__xludf.DUMMYFUNCTION("""COMPUTED_VALUE"""),"03 ORL")</f>
        <v>03 ORL</v>
      </c>
      <c r="N157" s="6" t="str">
        <f ca="1">IFERROR(__xludf.DUMMYFUNCTION("""COMPUTED_VALUE"""),"06 ORL")</f>
        <v>06 ORL</v>
      </c>
      <c r="O157" s="6" t="str">
        <f ca="1">IFERROR(__xludf.DUMMYFUNCTION("""COMPUTED_VALUE"""),"Dr, Alejandro Harguindey Antoli-Candela")</f>
        <v>Dr, Alejandro Harguindey Antoli-Candela</v>
      </c>
      <c r="P157" s="6" t="str">
        <f ca="1">IFERROR(__xludf.DUMMYFUNCTION("""COMPUTED_VALUE"""),"Maika Blázquez (Madrid)")</f>
        <v>Maika Blázquez (Madrid)</v>
      </c>
    </row>
    <row r="158" spans="2:16">
      <c r="B158" s="33">
        <f ca="1">IFERROR(__xludf.DUMMYFUNCTION("""COMPUTED_VALUE"""),2026)</f>
        <v>2026</v>
      </c>
      <c r="C158" s="15">
        <f ca="1">IFERROR(__xludf.DUMMYFUNCTION("""COMPUTED_VALUE"""),2)</f>
        <v>2</v>
      </c>
      <c r="D158" s="6" t="str">
        <f ca="1">IFERROR(__xludf.DUMMYFUNCTION("""COMPUTED_VALUE"""),"NO")</f>
        <v>NO</v>
      </c>
      <c r="E158" s="6" t="str">
        <f ca="1">IFERROR(__xludf.DUMMYFUNCTION("""COMPUTED_VALUE"""),"Murcia")</f>
        <v>Murcia</v>
      </c>
      <c r="F158" s="16">
        <f ca="1">IFERROR(__xludf.DUMMYFUNCTION("""COMPUTED_VALUE"""),46065)</f>
        <v>46065</v>
      </c>
      <c r="G158" s="16">
        <f ca="1">IFERROR(__xludf.DUMMYFUNCTION("""COMPUTED_VALUE"""),46049)</f>
        <v>46049</v>
      </c>
      <c r="H158" s="6" t="str">
        <f ca="1">IFERROR(__xludf.DUMMYFUNCTION("""COMPUTED_VALUE"""),"Murcia")</f>
        <v>Murcia</v>
      </c>
      <c r="I158" s="6" t="str">
        <f ca="1">IFERROR(__xludf.DUMMYFUNCTION("""COMPUTED_VALUE"""),"C202612791443808408")</f>
        <v>C202612791443808408</v>
      </c>
      <c r="J158" s="6" t="str">
        <f ca="1">IFERROR(__xludf.DUMMYFUNCTION("""COMPUTED_VALUE"""),"ANTONIO MOYA GARRIDO")</f>
        <v>ANTONIO MOYA GARRIDO</v>
      </c>
      <c r="K158" s="15">
        <f ca="1">IFERROR(__xludf.DUMMYFUNCTION("""COMPUTED_VALUE"""),1)</f>
        <v>1</v>
      </c>
      <c r="L158" s="21">
        <f ca="1">IFERROR(__xludf.DUMMYFUNCTION("""COMPUTED_VALUE"""),1631.82)</f>
        <v>1631.82</v>
      </c>
      <c r="M158" s="6" t="str">
        <f ca="1">IFERROR(__xludf.DUMMYFUNCTION("""COMPUTED_VALUE"""),"03 ORL")</f>
        <v>03 ORL</v>
      </c>
      <c r="N158" s="6" t="str">
        <f ca="1">IFERROR(__xludf.DUMMYFUNCTION("""COMPUTED_VALUE"""),"06 ORL")</f>
        <v>06 ORL</v>
      </c>
      <c r="O158" s="6" t="str">
        <f ca="1">IFERROR(__xludf.DUMMYFUNCTION("""COMPUTED_VALUE"""),"Dra, Aida Aviñoa Arias")</f>
        <v>Dra, Aida Aviñoa Arias</v>
      </c>
      <c r="P158" s="6" t="str">
        <f ca="1">IFERROR(__xludf.DUMMYFUNCTION("""COMPUTED_VALUE"""),"Iván Sánchez (Levante y Albacete)")</f>
        <v>Iván Sánchez (Levante y Albacete)</v>
      </c>
    </row>
    <row r="159" spans="2:16">
      <c r="B159" s="33">
        <f ca="1">IFERROR(__xludf.DUMMYFUNCTION("""COMPUTED_VALUE"""),2026)</f>
        <v>2026</v>
      </c>
      <c r="C159" s="15">
        <f ca="1">IFERROR(__xludf.DUMMYFUNCTION("""COMPUTED_VALUE"""),2)</f>
        <v>2</v>
      </c>
      <c r="D159" s="6" t="str">
        <f ca="1">IFERROR(__xludf.DUMMYFUNCTION("""COMPUTED_VALUE"""),"NO")</f>
        <v>NO</v>
      </c>
      <c r="E159" s="6" t="str">
        <f ca="1">IFERROR(__xludf.DUMMYFUNCTION("""COMPUTED_VALUE"""),"Albacete")</f>
        <v>Albacete</v>
      </c>
      <c r="F159" s="16">
        <f ca="1">IFERROR(__xludf.DUMMYFUNCTION("""COMPUTED_VALUE"""),46065)</f>
        <v>46065</v>
      </c>
      <c r="G159" s="16">
        <f ca="1">IFERROR(__xludf.DUMMYFUNCTION("""COMPUTED_VALUE"""),46029)</f>
        <v>46029</v>
      </c>
      <c r="H159" s="6" t="str">
        <f ca="1">IFERROR(__xludf.DUMMYFUNCTION("""COMPUTED_VALUE"""),"Albacete")</f>
        <v>Albacete</v>
      </c>
      <c r="I159" s="6" t="str">
        <f ca="1">IFERROR(__xludf.DUMMYFUNCTION("""COMPUTED_VALUE"""),"C20261711017941690")</f>
        <v>C20261711017941690</v>
      </c>
      <c r="J159" s="6" t="str">
        <f ca="1">IFERROR(__xludf.DUMMYFUNCTION("""COMPUTED_VALUE"""),"CECILIA PINA DE YLLANA")</f>
        <v>CECILIA PINA DE YLLANA</v>
      </c>
      <c r="K159" s="15">
        <f ca="1">IFERROR(__xludf.DUMMYFUNCTION("""COMPUTED_VALUE"""),2)</f>
        <v>2</v>
      </c>
      <c r="L159" s="21">
        <f ca="1">IFERROR(__xludf.DUMMYFUNCTION("""COMPUTED_VALUE"""),4136.36)</f>
        <v>4136.3599999999997</v>
      </c>
      <c r="M159" s="6" t="str">
        <f ca="1">IFERROR(__xludf.DUMMYFUNCTION("""COMPUTED_VALUE"""),"03 ORL")</f>
        <v>03 ORL</v>
      </c>
      <c r="N159" s="6" t="str">
        <f ca="1">IFERROR(__xludf.DUMMYFUNCTION("""COMPUTED_VALUE"""),"06 ORL")</f>
        <v>06 ORL</v>
      </c>
      <c r="O159" s="6" t="str">
        <f ca="1">IFERROR(__xludf.DUMMYFUNCTION("""COMPUTED_VALUE"""),"Dr, Pedro Seguí Moya")</f>
        <v>Dr, Pedro Seguí Moya</v>
      </c>
      <c r="P159" s="6" t="str">
        <f ca="1">IFERROR(__xludf.DUMMYFUNCTION("""COMPUTED_VALUE"""),"Iván Sánchez (Levante y Albacete)")</f>
        <v>Iván Sánchez (Levante y Albacete)</v>
      </c>
    </row>
    <row r="160" spans="2:16">
      <c r="B160" s="33">
        <f ca="1">IFERROR(__xludf.DUMMYFUNCTION("""COMPUTED_VALUE"""),2026)</f>
        <v>2026</v>
      </c>
      <c r="C160" s="15">
        <f ca="1">IFERROR(__xludf.DUMMYFUNCTION("""COMPUTED_VALUE"""),2)</f>
        <v>2</v>
      </c>
      <c r="D160" s="6" t="str">
        <f ca="1">IFERROR(__xludf.DUMMYFUNCTION("""COMPUTED_VALUE"""),"NO")</f>
        <v>NO</v>
      </c>
      <c r="E160" s="6" t="str">
        <f ca="1">IFERROR(__xludf.DUMMYFUNCTION("""COMPUTED_VALUE"""),"Madrid- Moratalaz")</f>
        <v>Madrid- Moratalaz</v>
      </c>
      <c r="F160" s="16">
        <f ca="1">IFERROR(__xludf.DUMMYFUNCTION("""COMPUTED_VALUE"""),46065)</f>
        <v>46065</v>
      </c>
      <c r="G160" s="16">
        <f ca="1">IFERROR(__xludf.DUMMYFUNCTION("""COMPUTED_VALUE"""),46044)</f>
        <v>46044</v>
      </c>
      <c r="H160" s="6" t="str">
        <f ca="1">IFERROR(__xludf.DUMMYFUNCTION("""COMPUTED_VALUE"""),"Moratalaz")</f>
        <v>Moratalaz</v>
      </c>
      <c r="I160" s="6" t="str">
        <f ca="1">IFERROR(__xludf.DUMMYFUNCTION("""COMPUTED_VALUE"""),"C20261221054127267")</f>
        <v>C20261221054127267</v>
      </c>
      <c r="J160" s="6" t="str">
        <f ca="1">IFERROR(__xludf.DUMMYFUNCTION("""COMPUTED_VALUE"""),"ENRIQUE JIMENEZ TELO")</f>
        <v>ENRIQUE JIMENEZ TELO</v>
      </c>
      <c r="K160" s="15">
        <f ca="1">IFERROR(__xludf.DUMMYFUNCTION("""COMPUTED_VALUE"""),2)</f>
        <v>2</v>
      </c>
      <c r="L160" s="21">
        <f ca="1">IFERROR(__xludf.DUMMYFUNCTION("""COMPUTED_VALUE"""),3722.73)</f>
        <v>3722.73</v>
      </c>
      <c r="M160" s="6" t="str">
        <f ca="1">IFERROR(__xludf.DUMMYFUNCTION("""COMPUTED_VALUE"""),"03 ORL")</f>
        <v>03 ORL</v>
      </c>
      <c r="N160" s="6" t="str">
        <f ca="1">IFERROR(__xludf.DUMMYFUNCTION("""COMPUTED_VALUE"""),"06 ORL")</f>
        <v>06 ORL</v>
      </c>
      <c r="O160" s="6" t="str">
        <f ca="1">IFERROR(__xludf.DUMMYFUNCTION("""COMPUTED_VALUE"""),"Dr, Julio López Moya")</f>
        <v>Dr, Julio López Moya</v>
      </c>
      <c r="P160" s="6" t="str">
        <f ca="1">IFERROR(__xludf.DUMMYFUNCTION("""COMPUTED_VALUE"""),"Maika Blázquez (Madrid)")</f>
        <v>Maika Blázquez (Madrid)</v>
      </c>
    </row>
    <row r="161" spans="2:16">
      <c r="B161" s="33">
        <f ca="1">IFERROR(__xludf.DUMMYFUNCTION("""COMPUTED_VALUE"""),2026)</f>
        <v>2026</v>
      </c>
      <c r="C161" s="15">
        <f ca="1">IFERROR(__xludf.DUMMYFUNCTION("""COMPUTED_VALUE"""),2)</f>
        <v>2</v>
      </c>
      <c r="D161" s="6" t="str">
        <f ca="1">IFERROR(__xludf.DUMMYFUNCTION("""COMPUTED_VALUE"""),"NO")</f>
        <v>NO</v>
      </c>
      <c r="E161" s="6" t="str">
        <f ca="1">IFERROR(__xludf.DUMMYFUNCTION("""COMPUTED_VALUE"""),"Jerez de la Frontera")</f>
        <v>Jerez de la Frontera</v>
      </c>
      <c r="F161" s="16">
        <f ca="1">IFERROR(__xludf.DUMMYFUNCTION("""COMPUTED_VALUE"""),46065)</f>
        <v>46065</v>
      </c>
      <c r="G161" s="16">
        <f ca="1">IFERROR(__xludf.DUMMYFUNCTION("""COMPUTED_VALUE"""),46045)</f>
        <v>46045</v>
      </c>
      <c r="H161" s="6" t="str">
        <f ca="1">IFERROR(__xludf.DUMMYFUNCTION("""COMPUTED_VALUE"""),"Jerez")</f>
        <v>Jerez</v>
      </c>
      <c r="I161" s="6" t="str">
        <f ca="1">IFERROR(__xludf.DUMMYFUNCTION("""COMPUTED_VALUE"""),"C202612312344833330")</f>
        <v>C202612312344833330</v>
      </c>
      <c r="J161" s="6" t="str">
        <f ca="1">IFERROR(__xludf.DUMMYFUNCTION("""COMPUTED_VALUE"""),"BORJA GONZALEZ DE RABAGO")</f>
        <v>BORJA GONZALEZ DE RABAGO</v>
      </c>
      <c r="K161" s="15">
        <f ca="1">IFERROR(__xludf.DUMMYFUNCTION("""COMPUTED_VALUE"""),2)</f>
        <v>2</v>
      </c>
      <c r="L161" s="21">
        <f ca="1">IFERROR(__xludf.DUMMYFUNCTION("""COMPUTED_VALUE"""),2718.18)</f>
        <v>2718.18</v>
      </c>
      <c r="M161" s="6" t="str">
        <f ca="1">IFERROR(__xludf.DUMMYFUNCTION("""COMPUTED_VALUE"""),"03 ORL")</f>
        <v>03 ORL</v>
      </c>
      <c r="N161" s="6" t="str">
        <f ca="1">IFERROR(__xludf.DUMMYFUNCTION("""COMPUTED_VALUE"""),"06 ORL")</f>
        <v>06 ORL</v>
      </c>
      <c r="O161" s="6" t="str">
        <f ca="1">IFERROR(__xludf.DUMMYFUNCTION("""COMPUTED_VALUE"""),"Dra, Maria Del Carmen Salom Coveñas")</f>
        <v>Dra, Maria Del Carmen Salom Coveñas</v>
      </c>
      <c r="P161" s="6" t="str">
        <f ca="1">IFERROR(__xludf.DUMMYFUNCTION("""COMPUTED_VALUE"""),"Luis Alberto Rodríguez (Andalucía y Badajoz)")</f>
        <v>Luis Alberto Rodríguez (Andalucía y Badajoz)</v>
      </c>
    </row>
    <row r="162" spans="2:16">
      <c r="B162" s="33">
        <f ca="1">IFERROR(__xludf.DUMMYFUNCTION("""COMPUTED_VALUE"""),2026)</f>
        <v>2026</v>
      </c>
      <c r="C162" s="15">
        <f ca="1">IFERROR(__xludf.DUMMYFUNCTION("""COMPUTED_VALUE"""),2)</f>
        <v>2</v>
      </c>
      <c r="D162" s="6" t="str">
        <f ca="1">IFERROR(__xludf.DUMMYFUNCTION("""COMPUTED_VALUE"""),"NO")</f>
        <v>NO</v>
      </c>
      <c r="E162" s="6" t="str">
        <f ca="1">IFERROR(__xludf.DUMMYFUNCTION("""COMPUTED_VALUE"""),"Madrid- Moratalaz")</f>
        <v>Madrid- Moratalaz</v>
      </c>
      <c r="F162" s="16">
        <f ca="1">IFERROR(__xludf.DUMMYFUNCTION("""COMPUTED_VALUE"""),46065)</f>
        <v>46065</v>
      </c>
      <c r="G162" s="16">
        <f ca="1">IFERROR(__xludf.DUMMYFUNCTION("""COMPUTED_VALUE"""),46044)</f>
        <v>46044</v>
      </c>
      <c r="H162" s="6" t="str">
        <f ca="1">IFERROR(__xludf.DUMMYFUNCTION("""COMPUTED_VALUE"""),"Moratalaz")</f>
        <v>Moratalaz</v>
      </c>
      <c r="I162" s="6" t="str">
        <f ca="1">IFERROR(__xludf.DUMMYFUNCTION("""COMPUTED_VALUE"""),"C202612210645622394")</f>
        <v>C202612210645622394</v>
      </c>
      <c r="J162" s="6" t="str">
        <f ca="1">IFERROR(__xludf.DUMMYFUNCTION("""COMPUTED_VALUE"""),"MARIA JESUS FERNANDEZ EGUÍLUZ")</f>
        <v>MARIA JESUS FERNANDEZ EGUÍLUZ</v>
      </c>
      <c r="K162" s="15">
        <f ca="1">IFERROR(__xludf.DUMMYFUNCTION("""COMPUTED_VALUE"""),2)</f>
        <v>2</v>
      </c>
      <c r="L162" s="21">
        <f ca="1">IFERROR(__xludf.DUMMYFUNCTION("""COMPUTED_VALUE"""),3722.73)</f>
        <v>3722.73</v>
      </c>
      <c r="M162" s="6" t="str">
        <f ca="1">IFERROR(__xludf.DUMMYFUNCTION("""COMPUTED_VALUE"""),"03 ORL")</f>
        <v>03 ORL</v>
      </c>
      <c r="N162" s="6" t="str">
        <f ca="1">IFERROR(__xludf.DUMMYFUNCTION("""COMPUTED_VALUE"""),"06 ORL")</f>
        <v>06 ORL</v>
      </c>
      <c r="O162" s="6" t="str">
        <f ca="1">IFERROR(__xludf.DUMMYFUNCTION("""COMPUTED_VALUE"""),"Dr, Julio López Moya")</f>
        <v>Dr, Julio López Moya</v>
      </c>
      <c r="P162" s="6" t="str">
        <f ca="1">IFERROR(__xludf.DUMMYFUNCTION("""COMPUTED_VALUE"""),"Maika Blázquez (Madrid)")</f>
        <v>Maika Blázquez (Madrid)</v>
      </c>
    </row>
    <row r="163" spans="2:16">
      <c r="B163" s="33">
        <f ca="1">IFERROR(__xludf.DUMMYFUNCTION("""COMPUTED_VALUE"""),2026)</f>
        <v>2026</v>
      </c>
      <c r="C163" s="15">
        <f ca="1">IFERROR(__xludf.DUMMYFUNCTION("""COMPUTED_VALUE"""),2)</f>
        <v>2</v>
      </c>
      <c r="D163" s="6" t="str">
        <f ca="1">IFERROR(__xludf.DUMMYFUNCTION("""COMPUTED_VALUE"""),"NO")</f>
        <v>NO</v>
      </c>
      <c r="E163" s="6" t="str">
        <f ca="1">IFERROR(__xludf.DUMMYFUNCTION("""COMPUTED_VALUE"""),"Talavera")</f>
        <v>Talavera</v>
      </c>
      <c r="F163" s="16">
        <f ca="1">IFERROR(__xludf.DUMMYFUNCTION("""COMPUTED_VALUE"""),46065)</f>
        <v>46065</v>
      </c>
      <c r="G163" s="16">
        <f ca="1">IFERROR(__xludf.DUMMYFUNCTION("""COMPUTED_VALUE"""),46008)</f>
        <v>46008</v>
      </c>
      <c r="H163" s="6" t="str">
        <f ca="1">IFERROR(__xludf.DUMMYFUNCTION("""COMPUTED_VALUE"""),"Talavera")</f>
        <v>Talavera</v>
      </c>
      <c r="I163" s="6" t="str">
        <f ca="1">IFERROR(__xludf.DUMMYFUNCTION("""COMPUTED_VALUE"""),"C202512171752132637")</f>
        <v>C202512171752132637</v>
      </c>
      <c r="J163" s="6" t="str">
        <f ca="1">IFERROR(__xludf.DUMMYFUNCTION("""COMPUTED_VALUE"""),"CAROLINA CORONADO ROPERO")</f>
        <v>CAROLINA CORONADO ROPERO</v>
      </c>
      <c r="K163" s="15">
        <f ca="1">IFERROR(__xludf.DUMMYFUNCTION("""COMPUTED_VALUE"""),2)</f>
        <v>2</v>
      </c>
      <c r="L163" s="21">
        <f ca="1">IFERROR(__xludf.DUMMYFUNCTION("""COMPUTED_VALUE"""),4136.36)</f>
        <v>4136.3599999999997</v>
      </c>
      <c r="M163" s="6" t="str">
        <f ca="1">IFERROR(__xludf.DUMMYFUNCTION("""COMPUTED_VALUE"""),"03 ORL")</f>
        <v>03 ORL</v>
      </c>
      <c r="N163" s="6" t="str">
        <f ca="1">IFERROR(__xludf.DUMMYFUNCTION("""COMPUTED_VALUE"""),"06 ORL")</f>
        <v>06 ORL</v>
      </c>
      <c r="O163" s="6" t="str">
        <f ca="1">IFERROR(__xludf.DUMMYFUNCTION("""COMPUTED_VALUE"""),"Dra, Ainhoa Moreno Bravo")</f>
        <v>Dra, Ainhoa Moreno Bravo</v>
      </c>
      <c r="P163" s="6" t="str">
        <f ca="1">IFERROR(__xludf.DUMMYFUNCTION("""COMPUTED_VALUE"""),"Lisandro Russian (Madrid, Cáceres, Toledo, Talavera y Logroño)")</f>
        <v>Lisandro Russian (Madrid, Cáceres, Toledo, Talavera y Logroño)</v>
      </c>
    </row>
    <row r="164" spans="2:16">
      <c r="B164" s="33">
        <f ca="1">IFERROR(__xludf.DUMMYFUNCTION("""COMPUTED_VALUE"""),2026)</f>
        <v>2026</v>
      </c>
      <c r="C164" s="15">
        <f ca="1">IFERROR(__xludf.DUMMYFUNCTION("""COMPUTED_VALUE"""),2)</f>
        <v>2</v>
      </c>
      <c r="D164" s="6" t="str">
        <f ca="1">IFERROR(__xludf.DUMMYFUNCTION("""COMPUTED_VALUE"""),"NO")</f>
        <v>NO</v>
      </c>
      <c r="E164" s="6" t="str">
        <f ca="1">IFERROR(__xludf.DUMMYFUNCTION("""COMPUTED_VALUE"""),"Fuenlabrada")</f>
        <v>Fuenlabrada</v>
      </c>
      <c r="F164" s="16">
        <f ca="1">IFERROR(__xludf.DUMMYFUNCTION("""COMPUTED_VALUE"""),46065)</f>
        <v>46065</v>
      </c>
      <c r="G164" s="16">
        <f ca="1">IFERROR(__xludf.DUMMYFUNCTION("""COMPUTED_VALUE"""),45800)</f>
        <v>45800</v>
      </c>
      <c r="H164" s="6" t="str">
        <f ca="1">IFERROR(__xludf.DUMMYFUNCTION("""COMPUTED_VALUE"""),"Fuenlabrada")</f>
        <v>Fuenlabrada</v>
      </c>
      <c r="I164" s="6" t="str">
        <f ca="1">IFERROR(__xludf.DUMMYFUNCTION("""COMPUTED_VALUE"""),"C202552693132758")</f>
        <v>C202552693132758</v>
      </c>
      <c r="J164" s="6" t="str">
        <f ca="1">IFERROR(__xludf.DUMMYFUNCTION("""COMPUTED_VALUE"""),"JOSE ANTONIO QUINTANA LOPEZ")</f>
        <v>JOSE ANTONIO QUINTANA LOPEZ</v>
      </c>
      <c r="K164" s="15">
        <f ca="1">IFERROR(__xludf.DUMMYFUNCTION("""COMPUTED_VALUE"""),2)</f>
        <v>2</v>
      </c>
      <c r="L164" s="21">
        <f ca="1">IFERROR(__xludf.DUMMYFUNCTION("""COMPUTED_VALUE"""),3450)</f>
        <v>3450</v>
      </c>
      <c r="M164" s="6" t="str">
        <f ca="1">IFERROR(__xludf.DUMMYFUNCTION("""COMPUTED_VALUE"""),"03 ORL")</f>
        <v>03 ORL</v>
      </c>
      <c r="N164" s="6" t="str">
        <f ca="1">IFERROR(__xludf.DUMMYFUNCTION("""COMPUTED_VALUE"""),"22 AUDIOMETRIA CLINICA")</f>
        <v>22 AUDIOMETRIA CLINICA</v>
      </c>
      <c r="O164" s="6" t="str">
        <f ca="1">IFERROR(__xludf.DUMMYFUNCTION("""COMPUTED_VALUE"""),"Dr, Adolfo Toledano Muñoz")</f>
        <v>Dr, Adolfo Toledano Muñoz</v>
      </c>
      <c r="P164" s="6" t="str">
        <f ca="1">IFERROR(__xludf.DUMMYFUNCTION("""COMPUTED_VALUE"""),"Maika Blázquez (Madrid)")</f>
        <v>Maika Blázquez (Madrid)</v>
      </c>
    </row>
    <row r="165" spans="2:16">
      <c r="B165" s="33">
        <f ca="1">IFERROR(__xludf.DUMMYFUNCTION("""COMPUTED_VALUE"""),2026)</f>
        <v>2026</v>
      </c>
      <c r="C165" s="15">
        <f ca="1">IFERROR(__xludf.DUMMYFUNCTION("""COMPUTED_VALUE"""),2)</f>
        <v>2</v>
      </c>
      <c r="D165" s="6" t="str">
        <f ca="1">IFERROR(__xludf.DUMMYFUNCTION("""COMPUTED_VALUE"""),"NO")</f>
        <v>NO</v>
      </c>
      <c r="E165" s="6" t="str">
        <f ca="1">IFERROR(__xludf.DUMMYFUNCTION("""COMPUTED_VALUE"""),"Talavera")</f>
        <v>Talavera</v>
      </c>
      <c r="F165" s="16">
        <f ca="1">IFERROR(__xludf.DUMMYFUNCTION("""COMPUTED_VALUE"""),46065)</f>
        <v>46065</v>
      </c>
      <c r="G165" s="16">
        <f ca="1">IFERROR(__xludf.DUMMYFUNCTION("""COMPUTED_VALUE"""),46022)</f>
        <v>46022</v>
      </c>
      <c r="H165" s="6" t="str">
        <f ca="1">IFERROR(__xludf.DUMMYFUNCTION("""COMPUTED_VALUE"""),"Talavera")</f>
        <v>Talavera</v>
      </c>
      <c r="I165" s="6" t="str">
        <f ca="1">IFERROR(__xludf.DUMMYFUNCTION("""COMPUTED_VALUE"""),"C202512311031454328")</f>
        <v>C202512311031454328</v>
      </c>
      <c r="J165" s="6" t="str">
        <f ca="1">IFERROR(__xludf.DUMMYFUNCTION("""COMPUTED_VALUE"""),"ANGEL MUÑOZ JIMENEZ")</f>
        <v>ANGEL MUÑOZ JIMENEZ</v>
      </c>
      <c r="K165" s="15">
        <f ca="1">IFERROR(__xludf.DUMMYFUNCTION("""COMPUTED_VALUE"""),2)</f>
        <v>2</v>
      </c>
      <c r="L165" s="21">
        <f ca="1">IFERROR(__xludf.DUMMYFUNCTION("""COMPUTED_VALUE"""),2582.27)</f>
        <v>2582.27</v>
      </c>
      <c r="M165" s="6" t="str">
        <f ca="1">IFERROR(__xludf.DUMMYFUNCTION("""COMPUTED_VALUE"""),"03 ORL")</f>
        <v>03 ORL</v>
      </c>
      <c r="N165" s="6" t="str">
        <f ca="1">IFERROR(__xludf.DUMMYFUNCTION("""COMPUTED_VALUE"""),"06 ORL")</f>
        <v>06 ORL</v>
      </c>
      <c r="O165" s="6" t="str">
        <f ca="1">IFERROR(__xludf.DUMMYFUNCTION("""COMPUTED_VALUE"""),"Dra, Patricia Ezcurra Hernández")</f>
        <v>Dra, Patricia Ezcurra Hernández</v>
      </c>
      <c r="P165" s="6" t="str">
        <f ca="1">IFERROR(__xludf.DUMMYFUNCTION("""COMPUTED_VALUE"""),"Lisandro Russian (Madrid, Cáceres, Toledo, Talavera y Logroño)")</f>
        <v>Lisandro Russian (Madrid, Cáceres, Toledo, Talavera y Logroño)</v>
      </c>
    </row>
    <row r="166" spans="2:16">
      <c r="B166" s="33">
        <f ca="1">IFERROR(__xludf.DUMMYFUNCTION("""COMPUTED_VALUE"""),2026)</f>
        <v>2026</v>
      </c>
      <c r="C166" s="15">
        <f ca="1">IFERROR(__xludf.DUMMYFUNCTION("""COMPUTED_VALUE"""),2)</f>
        <v>2</v>
      </c>
      <c r="D166" s="6" t="str">
        <f ca="1">IFERROR(__xludf.DUMMYFUNCTION("""COMPUTED_VALUE"""),"NO")</f>
        <v>NO</v>
      </c>
      <c r="E166" s="6" t="str">
        <f ca="1">IFERROR(__xludf.DUMMYFUNCTION("""COMPUTED_VALUE"""),"Jerez de la Frontera")</f>
        <v>Jerez de la Frontera</v>
      </c>
      <c r="F166" s="16">
        <f ca="1">IFERROR(__xludf.DUMMYFUNCTION("""COMPUTED_VALUE"""),46065)</f>
        <v>46065</v>
      </c>
      <c r="G166" s="16">
        <f ca="1">IFERROR(__xludf.DUMMYFUNCTION("""COMPUTED_VALUE"""),46044)</f>
        <v>46044</v>
      </c>
      <c r="H166" s="6" t="str">
        <f ca="1">IFERROR(__xludf.DUMMYFUNCTION("""COMPUTED_VALUE"""),"Jerez")</f>
        <v>Jerez</v>
      </c>
      <c r="I166" s="6" t="str">
        <f ca="1">IFERROR(__xludf.DUMMYFUNCTION("""COMPUTED_VALUE"""),"C202612216365615147")</f>
        <v>C202612216365615147</v>
      </c>
      <c r="J166" s="6" t="str">
        <f ca="1">IFERROR(__xludf.DUMMYFUNCTION("""COMPUTED_VALUE"""),"ANTONIO MARTINEZ BENAVIDES")</f>
        <v>ANTONIO MARTINEZ BENAVIDES</v>
      </c>
      <c r="K166" s="15">
        <f ca="1">IFERROR(__xludf.DUMMYFUNCTION("""COMPUTED_VALUE"""),1)</f>
        <v>1</v>
      </c>
      <c r="L166" s="21">
        <f ca="1">IFERROR(__xludf.DUMMYFUNCTION("""COMPUTED_VALUE"""),2481.82)</f>
        <v>2481.8200000000002</v>
      </c>
      <c r="M166" s="6" t="str">
        <f ca="1">IFERROR(__xludf.DUMMYFUNCTION("""COMPUTED_VALUE"""),"03 ORL")</f>
        <v>03 ORL</v>
      </c>
      <c r="N166" s="6" t="str">
        <f ca="1">IFERROR(__xludf.DUMMYFUNCTION("""COMPUTED_VALUE"""),"06 ORL")</f>
        <v>06 ORL</v>
      </c>
      <c r="O166" s="6" t="str">
        <f ca="1">IFERROR(__xludf.DUMMYFUNCTION("""COMPUTED_VALUE"""),"Dra, Maria Del Carmen Salom Coveñas")</f>
        <v>Dra, Maria Del Carmen Salom Coveñas</v>
      </c>
      <c r="P166" s="6" t="str">
        <f ca="1">IFERROR(__xludf.DUMMYFUNCTION("""COMPUTED_VALUE"""),"Luis Alberto Rodríguez (Andalucía y Badajoz)")</f>
        <v>Luis Alberto Rodríguez (Andalucía y Badajoz)</v>
      </c>
    </row>
    <row r="167" spans="2:16">
      <c r="B167" s="33">
        <f ca="1">IFERROR(__xludf.DUMMYFUNCTION("""COMPUTED_VALUE"""),2026)</f>
        <v>2026</v>
      </c>
      <c r="C167" s="15">
        <f ca="1">IFERROR(__xludf.DUMMYFUNCTION("""COMPUTED_VALUE"""),2)</f>
        <v>2</v>
      </c>
      <c r="D167" s="6" t="str">
        <f ca="1">IFERROR(__xludf.DUMMYFUNCTION("""COMPUTED_VALUE"""),"NO")</f>
        <v>NO</v>
      </c>
      <c r="E167" s="6" t="str">
        <f ca="1">IFERROR(__xludf.DUMMYFUNCTION("""COMPUTED_VALUE"""),"Ourense")</f>
        <v>Ourense</v>
      </c>
      <c r="F167" s="16">
        <f ca="1">IFERROR(__xludf.DUMMYFUNCTION("""COMPUTED_VALUE"""),46065)</f>
        <v>46065</v>
      </c>
      <c r="G167" s="16">
        <f ca="1">IFERROR(__xludf.DUMMYFUNCTION("""COMPUTED_VALUE"""),46020)</f>
        <v>46020</v>
      </c>
      <c r="H167" s="6" t="str">
        <f ca="1">IFERROR(__xludf.DUMMYFUNCTION("""COMPUTED_VALUE"""),"Orense")</f>
        <v>Orense</v>
      </c>
      <c r="I167" s="6" t="str">
        <f ca="1">IFERROR(__xludf.DUMMYFUNCTION("""COMPUTED_VALUE"""),"C202512291616562251")</f>
        <v>C202512291616562251</v>
      </c>
      <c r="J167" s="6" t="str">
        <f ca="1">IFERROR(__xludf.DUMMYFUNCTION("""COMPUTED_VALUE"""),"DOLORES FERNANDEZ SUAREZ")</f>
        <v>DOLORES FERNANDEZ SUAREZ</v>
      </c>
      <c r="K167" s="15">
        <f ca="1">IFERROR(__xludf.DUMMYFUNCTION("""COMPUTED_VALUE"""),1)</f>
        <v>1</v>
      </c>
      <c r="L167" s="21">
        <f ca="1">IFERROR(__xludf.DUMMYFUNCTION("""COMPUTED_VALUE"""),1631.82)</f>
        <v>1631.82</v>
      </c>
      <c r="M167" s="6" t="str">
        <f ca="1">IFERROR(__xludf.DUMMYFUNCTION("""COMPUTED_VALUE"""),"03 ORL")</f>
        <v>03 ORL</v>
      </c>
      <c r="N167" s="6" t="str">
        <f ca="1">IFERROR(__xludf.DUMMYFUNCTION("""COMPUTED_VALUE"""),"06 ORL")</f>
        <v>06 ORL</v>
      </c>
      <c r="O167" s="6" t="str">
        <f ca="1">IFERROR(__xludf.DUMMYFUNCTION("""COMPUTED_VALUE"""),"Dra, María Rey Marcos")</f>
        <v>Dra, María Rey Marcos</v>
      </c>
      <c r="P167" s="6" t="str">
        <f ca="1">IFERROR(__xludf.DUMMYFUNCTION("""COMPUTED_VALUE"""),"Kiko Ortega (Galicia)")</f>
        <v>Kiko Ortega (Galicia)</v>
      </c>
    </row>
    <row r="168" spans="2:16">
      <c r="B168" s="33">
        <f ca="1">IFERROR(__xludf.DUMMYFUNCTION("""COMPUTED_VALUE"""),2026)</f>
        <v>2026</v>
      </c>
      <c r="C168" s="15">
        <f ca="1">IFERROR(__xludf.DUMMYFUNCTION("""COMPUTED_VALUE"""),2)</f>
        <v>2</v>
      </c>
      <c r="D168" s="6" t="str">
        <f ca="1">IFERROR(__xludf.DUMMYFUNCTION("""COMPUTED_VALUE"""),"NO")</f>
        <v>NO</v>
      </c>
      <c r="E168" s="6" t="str">
        <f ca="1">IFERROR(__xludf.DUMMYFUNCTION("""COMPUTED_VALUE"""),"Sevilla- Montoto")</f>
        <v>Sevilla- Montoto</v>
      </c>
      <c r="F168" s="16">
        <f ca="1">IFERROR(__xludf.DUMMYFUNCTION("""COMPUTED_VALUE"""),46065)</f>
        <v>46065</v>
      </c>
      <c r="G168" s="16">
        <f ca="1">IFERROR(__xludf.DUMMYFUNCTION("""COMPUTED_VALUE"""),46048)</f>
        <v>46048</v>
      </c>
      <c r="H168" s="6" t="str">
        <f ca="1">IFERROR(__xludf.DUMMYFUNCTION("""COMPUTED_VALUE"""),"Montoto")</f>
        <v>Montoto</v>
      </c>
      <c r="I168" s="6" t="str">
        <f ca="1">IFERROR(__xludf.DUMMYFUNCTION("""COMPUTED_VALUE"""),"C202612618154308409")</f>
        <v>C202612618154308409</v>
      </c>
      <c r="J168" s="6" t="str">
        <f ca="1">IFERROR(__xludf.DUMMYFUNCTION("""COMPUTED_VALUE"""),"MARIA DEL CARMEN MORENO DIAZ")</f>
        <v>MARIA DEL CARMEN MORENO DIAZ</v>
      </c>
      <c r="K168" s="15">
        <f ca="1">IFERROR(__xludf.DUMMYFUNCTION("""COMPUTED_VALUE"""),1)</f>
        <v>1</v>
      </c>
      <c r="L168" s="21">
        <f ca="1">IFERROR(__xludf.DUMMYFUNCTION("""COMPUTED_VALUE"""),2180.77)</f>
        <v>2180.77</v>
      </c>
      <c r="M168" s="6" t="str">
        <f ca="1">IFERROR(__xludf.DUMMYFUNCTION("""COMPUTED_VALUE"""),"03 ORL")</f>
        <v>03 ORL</v>
      </c>
      <c r="N168" s="6" t="str">
        <f ca="1">IFERROR(__xludf.DUMMYFUNCTION("""COMPUTED_VALUE"""),"06 ORL")</f>
        <v>06 ORL</v>
      </c>
      <c r="O168" s="6" t="str">
        <f ca="1">IFERROR(__xludf.DUMMYFUNCTION("""COMPUTED_VALUE"""),"Dr, Gustavo Benavente Bermudo")</f>
        <v>Dr, Gustavo Benavente Bermudo</v>
      </c>
      <c r="P168" s="6" t="str">
        <f ca="1">IFERROR(__xludf.DUMMYFUNCTION("""COMPUTED_VALUE"""),"Luis Alberto Rodríguez (Andalucía y Badajoz)")</f>
        <v>Luis Alberto Rodríguez (Andalucía y Badajoz)</v>
      </c>
    </row>
    <row r="169" spans="2:16">
      <c r="B169" s="33">
        <f ca="1">IFERROR(__xludf.DUMMYFUNCTION("""COMPUTED_VALUE"""),2026)</f>
        <v>2026</v>
      </c>
      <c r="C169" s="15">
        <f ca="1">IFERROR(__xludf.DUMMYFUNCTION("""COMPUTED_VALUE"""),2)</f>
        <v>2</v>
      </c>
      <c r="D169" s="6" t="str">
        <f ca="1">IFERROR(__xludf.DUMMYFUNCTION("""COMPUTED_VALUE"""),"NO")</f>
        <v>NO</v>
      </c>
      <c r="E169" s="6" t="str">
        <f ca="1">IFERROR(__xludf.DUMMYFUNCTION("""COMPUTED_VALUE"""),"Cáceres")</f>
        <v>Cáceres</v>
      </c>
      <c r="F169" s="16">
        <f ca="1">IFERROR(__xludf.DUMMYFUNCTION("""COMPUTED_VALUE"""),46066)</f>
        <v>46066</v>
      </c>
      <c r="G169" s="16">
        <f ca="1">IFERROR(__xludf.DUMMYFUNCTION("""COMPUTED_VALUE"""),46029)</f>
        <v>46029</v>
      </c>
      <c r="H169" s="6" t="str">
        <f ca="1">IFERROR(__xludf.DUMMYFUNCTION("""COMPUTED_VALUE"""),"Cáceres")</f>
        <v>Cáceres</v>
      </c>
      <c r="I169" s="6" t="str">
        <f ca="1">IFERROR(__xludf.DUMMYFUNCTION("""COMPUTED_VALUE"""),"C20261710421168634")</f>
        <v>C20261710421168634</v>
      </c>
      <c r="J169" s="6" t="str">
        <f ca="1">IFERROR(__xludf.DUMMYFUNCTION("""COMPUTED_VALUE"""),"BEATRIZ MORENO TALAVERA")</f>
        <v>BEATRIZ MORENO TALAVERA</v>
      </c>
      <c r="K169" s="15">
        <f ca="1">IFERROR(__xludf.DUMMYFUNCTION("""COMPUTED_VALUE"""),2)</f>
        <v>2</v>
      </c>
      <c r="L169" s="21">
        <f ca="1">IFERROR(__xludf.DUMMYFUNCTION("""COMPUTED_VALUE"""),3940.91)</f>
        <v>3940.91</v>
      </c>
      <c r="M169" s="6" t="str">
        <f ca="1">IFERROR(__xludf.DUMMYFUNCTION("""COMPUTED_VALUE"""),"03 ORL")</f>
        <v>03 ORL</v>
      </c>
      <c r="N169" s="6" t="str">
        <f ca="1">IFERROR(__xludf.DUMMYFUNCTION("""COMPUTED_VALUE"""),"06 ORL")</f>
        <v>06 ORL</v>
      </c>
      <c r="O169" s="6" t="str">
        <f ca="1">IFERROR(__xludf.DUMMYFUNCTION("""COMPUTED_VALUE"""),"Dra, Andrea Cifuentes Navas")</f>
        <v>Dra, Andrea Cifuentes Navas</v>
      </c>
      <c r="P169" s="6" t="str">
        <f ca="1">IFERROR(__xludf.DUMMYFUNCTION("""COMPUTED_VALUE"""),"Lisandro Russian (Madrid, Cáceres, Toledo, Talavera y Logroño)")</f>
        <v>Lisandro Russian (Madrid, Cáceres, Toledo, Talavera y Logroño)</v>
      </c>
    </row>
    <row r="170" spans="2:16">
      <c r="B170" s="33">
        <f ca="1">IFERROR(__xludf.DUMMYFUNCTION("""COMPUTED_VALUE"""),2026)</f>
        <v>2026</v>
      </c>
      <c r="C170" s="15">
        <f ca="1">IFERROR(__xludf.DUMMYFUNCTION("""COMPUTED_VALUE"""),2)</f>
        <v>2</v>
      </c>
      <c r="D170" s="6" t="str">
        <f ca="1">IFERROR(__xludf.DUMMYFUNCTION("""COMPUTED_VALUE"""),"NO")</f>
        <v>NO</v>
      </c>
      <c r="E170" s="6" t="str">
        <f ca="1">IFERROR(__xludf.DUMMYFUNCTION("""COMPUTED_VALUE"""),"Cáceres")</f>
        <v>Cáceres</v>
      </c>
      <c r="F170" s="16">
        <f ca="1">IFERROR(__xludf.DUMMYFUNCTION("""COMPUTED_VALUE"""),46066)</f>
        <v>46066</v>
      </c>
      <c r="G170" s="16">
        <f ca="1">IFERROR(__xludf.DUMMYFUNCTION("""COMPUTED_VALUE"""),46045)</f>
        <v>46045</v>
      </c>
      <c r="H170" s="6" t="str">
        <f ca="1">IFERROR(__xludf.DUMMYFUNCTION("""COMPUTED_VALUE"""),"Cáceres")</f>
        <v>Cáceres</v>
      </c>
      <c r="I170" s="6" t="str">
        <f ca="1">IFERROR(__xludf.DUMMYFUNCTION("""COMPUTED_VALUE"""),"C202612317185580520")</f>
        <v>C202612317185580520</v>
      </c>
      <c r="J170" s="6" t="str">
        <f ca="1">IFERROR(__xludf.DUMMYFUNCTION("""COMPUTED_VALUE"""),"MANUELA GOMEZ FERNANDEZ")</f>
        <v>MANUELA GOMEZ FERNANDEZ</v>
      </c>
      <c r="K170" s="15">
        <f ca="1">IFERROR(__xludf.DUMMYFUNCTION("""COMPUTED_VALUE"""),2)</f>
        <v>2</v>
      </c>
      <c r="L170" s="21">
        <f ca="1">IFERROR(__xludf.DUMMYFUNCTION("""COMPUTED_VALUE"""),3554.55)</f>
        <v>3554.55</v>
      </c>
      <c r="M170" s="6" t="str">
        <f ca="1">IFERROR(__xludf.DUMMYFUNCTION("""COMPUTED_VALUE"""),"03 ORL")</f>
        <v>03 ORL</v>
      </c>
      <c r="N170" s="6" t="str">
        <f ca="1">IFERROR(__xludf.DUMMYFUNCTION("""COMPUTED_VALUE"""),"06 ORL")</f>
        <v>06 ORL</v>
      </c>
      <c r="O170" s="6" t="str">
        <f ca="1">IFERROR(__xludf.DUMMYFUNCTION("""COMPUTED_VALUE"""),"Dra, Daniela Carolina Laguado Bulgheroni")</f>
        <v>Dra, Daniela Carolina Laguado Bulgheroni</v>
      </c>
      <c r="P170" s="6" t="str">
        <f ca="1">IFERROR(__xludf.DUMMYFUNCTION("""COMPUTED_VALUE"""),"Lisandro Russian (Madrid, Cáceres, Toledo, Talavera y Logroño)")</f>
        <v>Lisandro Russian (Madrid, Cáceres, Toledo, Talavera y Logroño)</v>
      </c>
    </row>
    <row r="171" spans="2:16">
      <c r="B171" s="33">
        <f ca="1">IFERROR(__xludf.DUMMYFUNCTION("""COMPUTED_VALUE"""),2026)</f>
        <v>2026</v>
      </c>
      <c r="C171" s="15">
        <f ca="1">IFERROR(__xludf.DUMMYFUNCTION("""COMPUTED_VALUE"""),2)</f>
        <v>2</v>
      </c>
      <c r="D171" s="6" t="str">
        <f ca="1">IFERROR(__xludf.DUMMYFUNCTION("""COMPUTED_VALUE"""),"NO")</f>
        <v>NO</v>
      </c>
      <c r="E171" s="6" t="str">
        <f ca="1">IFERROR(__xludf.DUMMYFUNCTION("""COMPUTED_VALUE"""),"Cáceres")</f>
        <v>Cáceres</v>
      </c>
      <c r="F171" s="16">
        <f ca="1">IFERROR(__xludf.DUMMYFUNCTION("""COMPUTED_VALUE"""),46066)</f>
        <v>46066</v>
      </c>
      <c r="G171" s="16">
        <f ca="1">IFERROR(__xludf.DUMMYFUNCTION("""COMPUTED_VALUE"""),46037)</f>
        <v>46037</v>
      </c>
      <c r="H171" s="6" t="str">
        <f ca="1">IFERROR(__xludf.DUMMYFUNCTION("""COMPUTED_VALUE"""),"Cáceres")</f>
        <v>Cáceres</v>
      </c>
      <c r="I171" s="6" t="str">
        <f ca="1">IFERROR(__xludf.DUMMYFUNCTION("""COMPUTED_VALUE"""),"C202611516415571807")</f>
        <v>C202611516415571807</v>
      </c>
      <c r="J171" s="6" t="str">
        <f ca="1">IFERROR(__xludf.DUMMYFUNCTION("""COMPUTED_VALUE"""),"MARIA DEL CARMEN MANZANO GOMEZ")</f>
        <v>MARIA DEL CARMEN MANZANO GOMEZ</v>
      </c>
      <c r="K171" s="15">
        <f ca="1">IFERROR(__xludf.DUMMYFUNCTION("""COMPUTED_VALUE"""),2)</f>
        <v>2</v>
      </c>
      <c r="L171" s="21">
        <f ca="1">IFERROR(__xludf.DUMMYFUNCTION("""COMPUTED_VALUE"""),4500)</f>
        <v>4500</v>
      </c>
      <c r="M171" s="6" t="str">
        <f ca="1">IFERROR(__xludf.DUMMYFUNCTION("""COMPUTED_VALUE"""),"03 ORL")</f>
        <v>03 ORL</v>
      </c>
      <c r="N171" s="6" t="str">
        <f ca="1">IFERROR(__xludf.DUMMYFUNCTION("""COMPUTED_VALUE"""),"06 ORL")</f>
        <v>06 ORL</v>
      </c>
      <c r="O171" s="6" t="str">
        <f ca="1">IFERROR(__xludf.DUMMYFUNCTION("""COMPUTED_VALUE"""),"Dra, Marta García Jiménez")</f>
        <v>Dra, Marta García Jiménez</v>
      </c>
      <c r="P171" s="6" t="str">
        <f ca="1">IFERROR(__xludf.DUMMYFUNCTION("""COMPUTED_VALUE"""),"Lisandro Russian (Madrid, Cáceres, Toledo, Talavera y Logroño)")</f>
        <v>Lisandro Russian (Madrid, Cáceres, Toledo, Talavera y Logroño)</v>
      </c>
    </row>
    <row r="172" spans="2:16">
      <c r="B172" s="33">
        <f ca="1">IFERROR(__xludf.DUMMYFUNCTION("""COMPUTED_VALUE"""),2026)</f>
        <v>2026</v>
      </c>
      <c r="C172" s="15">
        <f ca="1">IFERROR(__xludf.DUMMYFUNCTION("""COMPUTED_VALUE"""),2)</f>
        <v>2</v>
      </c>
      <c r="D172" s="6" t="str">
        <f ca="1">IFERROR(__xludf.DUMMYFUNCTION("""COMPUTED_VALUE"""),"NO")</f>
        <v>NO</v>
      </c>
      <c r="E172" s="6" t="str">
        <f ca="1">IFERROR(__xludf.DUMMYFUNCTION("""COMPUTED_VALUE"""),"San Javier")</f>
        <v>San Javier</v>
      </c>
      <c r="F172" s="16">
        <f ca="1">IFERROR(__xludf.DUMMYFUNCTION("""COMPUTED_VALUE"""),46066)</f>
        <v>46066</v>
      </c>
      <c r="G172" s="16">
        <f ca="1">IFERROR(__xludf.DUMMYFUNCTION("""COMPUTED_VALUE"""),46015)</f>
        <v>46015</v>
      </c>
      <c r="H172" s="6" t="str">
        <f ca="1">IFERROR(__xludf.DUMMYFUNCTION("""COMPUTED_VALUE"""),"San Javier")</f>
        <v>San Javier</v>
      </c>
      <c r="I172" s="6" t="str">
        <f ca="1">IFERROR(__xludf.DUMMYFUNCTION("""COMPUTED_VALUE"""),"C202512249291842480")</f>
        <v>C202512249291842480</v>
      </c>
      <c r="J172" s="6" t="str">
        <f ca="1">IFERROR(__xludf.DUMMYFUNCTION("""COMPUTED_VALUE"""),"ABDESSLEM TAHROUCHT EDDEAIF")</f>
        <v>ABDESSLEM TAHROUCHT EDDEAIF</v>
      </c>
      <c r="K172" s="15">
        <f ca="1">IFERROR(__xludf.DUMMYFUNCTION("""COMPUTED_VALUE"""),1)</f>
        <v>1</v>
      </c>
      <c r="L172" s="21">
        <f ca="1">IFERROR(__xludf.DUMMYFUNCTION("""COMPUTED_VALUE"""),1631.82)</f>
        <v>1631.82</v>
      </c>
      <c r="M172" s="6" t="str">
        <f ca="1">IFERROR(__xludf.DUMMYFUNCTION("""COMPUTED_VALUE"""),"03 ORL")</f>
        <v>03 ORL</v>
      </c>
      <c r="N172" s="6" t="str">
        <f ca="1">IFERROR(__xludf.DUMMYFUNCTION("""COMPUTED_VALUE"""),"06 ORL")</f>
        <v>06 ORL</v>
      </c>
      <c r="O172" s="6" t="str">
        <f ca="1">IFERROR(__xludf.DUMMYFUNCTION("""COMPUTED_VALUE"""),"Dra, María Teresa Almela Rojo")</f>
        <v>Dra, María Teresa Almela Rojo</v>
      </c>
      <c r="P172" s="6" t="str">
        <f ca="1">IFERROR(__xludf.DUMMYFUNCTION("""COMPUTED_VALUE"""),"Iván Sánchez (Levante y Albacete)")</f>
        <v>Iván Sánchez (Levante y Albacete)</v>
      </c>
    </row>
    <row r="173" spans="2:16">
      <c r="B173" s="33">
        <f ca="1">IFERROR(__xludf.DUMMYFUNCTION("""COMPUTED_VALUE"""),2026)</f>
        <v>2026</v>
      </c>
      <c r="C173" s="15">
        <f ca="1">IFERROR(__xludf.DUMMYFUNCTION("""COMPUTED_VALUE"""),2)</f>
        <v>2</v>
      </c>
      <c r="D173" s="6" t="str">
        <f ca="1">IFERROR(__xludf.DUMMYFUNCTION("""COMPUTED_VALUE"""),"NO")</f>
        <v>NO</v>
      </c>
      <c r="E173" s="6" t="str">
        <f ca="1">IFERROR(__xludf.DUMMYFUNCTION("""COMPUTED_VALUE"""),"Logroño")</f>
        <v>Logroño</v>
      </c>
      <c r="F173" s="16">
        <f ca="1">IFERROR(__xludf.DUMMYFUNCTION("""COMPUTED_VALUE"""),46066)</f>
        <v>46066</v>
      </c>
      <c r="G173" s="16">
        <f ca="1">IFERROR(__xludf.DUMMYFUNCTION("""COMPUTED_VALUE"""),46057)</f>
        <v>46057</v>
      </c>
      <c r="H173" s="6" t="str">
        <f ca="1">IFERROR(__xludf.DUMMYFUNCTION("""COMPUTED_VALUE"""),"Logroño")</f>
        <v>Logroño</v>
      </c>
      <c r="I173" s="6" t="str">
        <f ca="1">IFERROR(__xludf.DUMMYFUNCTION("""COMPUTED_VALUE"""),"C20262485022588916")</f>
        <v>C20262485022588916</v>
      </c>
      <c r="J173" s="6" t="str">
        <f ca="1">IFERROR(__xludf.DUMMYFUNCTION("""COMPUTED_VALUE"""),"MARIA SANTOS ZORZANO AROSTEGUI")</f>
        <v>MARIA SANTOS ZORZANO AROSTEGUI</v>
      </c>
      <c r="K173" s="15">
        <f ca="1">IFERROR(__xludf.DUMMYFUNCTION("""COMPUTED_VALUE"""),2)</f>
        <v>2</v>
      </c>
      <c r="L173" s="21">
        <f ca="1">IFERROR(__xludf.DUMMYFUNCTION("""COMPUTED_VALUE"""),3631.82)</f>
        <v>3631.82</v>
      </c>
      <c r="M173" s="6" t="str">
        <f ca="1">IFERROR(__xludf.DUMMYFUNCTION("""COMPUTED_VALUE"""),"03 ORL")</f>
        <v>03 ORL</v>
      </c>
      <c r="N173" s="6" t="str">
        <f ca="1">IFERROR(__xludf.DUMMYFUNCTION("""COMPUTED_VALUE"""),"06 ORL")</f>
        <v>06 ORL</v>
      </c>
      <c r="O173" s="6" t="str">
        <f ca="1">IFERROR(__xludf.DUMMYFUNCTION("""COMPUTED_VALUE"""),"Dr, Fernando Salazar Barcelona")</f>
        <v>Dr, Fernando Salazar Barcelona</v>
      </c>
      <c r="P173" s="6" t="str">
        <f ca="1">IFERROR(__xludf.DUMMYFUNCTION("""COMPUTED_VALUE"""),"Lisandro Russian (Madrid, Cáceres, Toledo, Talavera y Logroño)")</f>
        <v>Lisandro Russian (Madrid, Cáceres, Toledo, Talavera y Logroño)</v>
      </c>
    </row>
    <row r="174" spans="2:16">
      <c r="B174" s="33">
        <f ca="1">IFERROR(__xludf.DUMMYFUNCTION("""COMPUTED_VALUE"""),2026)</f>
        <v>2026</v>
      </c>
      <c r="C174" s="15">
        <f ca="1">IFERROR(__xludf.DUMMYFUNCTION("""COMPUTED_VALUE"""),2)</f>
        <v>2</v>
      </c>
      <c r="D174" s="6" t="str">
        <f ca="1">IFERROR(__xludf.DUMMYFUNCTION("""COMPUTED_VALUE"""),"NO")</f>
        <v>NO</v>
      </c>
      <c r="E174" s="6" t="str">
        <f ca="1">IFERROR(__xludf.DUMMYFUNCTION("""COMPUTED_VALUE"""),"Fuenlabrada")</f>
        <v>Fuenlabrada</v>
      </c>
      <c r="F174" s="16">
        <f ca="1">IFERROR(__xludf.DUMMYFUNCTION("""COMPUTED_VALUE"""),46066)</f>
        <v>46066</v>
      </c>
      <c r="G174" s="16">
        <f ca="1">IFERROR(__xludf.DUMMYFUNCTION("""COMPUTED_VALUE"""),46036)</f>
        <v>46036</v>
      </c>
      <c r="H174" s="6" t="str">
        <f ca="1">IFERROR(__xludf.DUMMYFUNCTION("""COMPUTED_VALUE"""),"Fuenlabrada")</f>
        <v>Fuenlabrada</v>
      </c>
      <c r="I174" s="6" t="str">
        <f ca="1">IFERROR(__xludf.DUMMYFUNCTION("""COMPUTED_VALUE"""),"C202611417553390982")</f>
        <v>C202611417553390982</v>
      </c>
      <c r="J174" s="6" t="str">
        <f ca="1">IFERROR(__xludf.DUMMYFUNCTION("""COMPUTED_VALUE"""),"RAFAEL DIEZ GARCÍA")</f>
        <v>RAFAEL DIEZ GARCÍA</v>
      </c>
      <c r="K174" s="15">
        <f ca="1">IFERROR(__xludf.DUMMYFUNCTION("""COMPUTED_VALUE"""),2)</f>
        <v>2</v>
      </c>
      <c r="L174" s="21">
        <f ca="1">IFERROR(__xludf.DUMMYFUNCTION("""COMPUTED_VALUE"""),3631.82)</f>
        <v>3631.82</v>
      </c>
      <c r="M174" s="6" t="str">
        <f ca="1">IFERROR(__xludf.DUMMYFUNCTION("""COMPUTED_VALUE"""),"03 ORL")</f>
        <v>03 ORL</v>
      </c>
      <c r="N174" s="6" t="str">
        <f ca="1">IFERROR(__xludf.DUMMYFUNCTION("""COMPUTED_VALUE"""),"06 ORL")</f>
        <v>06 ORL</v>
      </c>
      <c r="O174" s="6" t="str">
        <f ca="1">IFERROR(__xludf.DUMMYFUNCTION("""COMPUTED_VALUE"""),"Dr, Fabio Fernández Mateos")</f>
        <v>Dr, Fabio Fernández Mateos</v>
      </c>
      <c r="P174" s="6" t="str">
        <f ca="1">IFERROR(__xludf.DUMMYFUNCTION("""COMPUTED_VALUE"""),"Maika Blázquez (Madrid)")</f>
        <v>Maika Blázquez (Madrid)</v>
      </c>
    </row>
    <row r="175" spans="2:16">
      <c r="B175" s="33">
        <f ca="1">IFERROR(__xludf.DUMMYFUNCTION("""COMPUTED_VALUE"""),2026)</f>
        <v>2026</v>
      </c>
      <c r="C175" s="15">
        <f ca="1">IFERROR(__xludf.DUMMYFUNCTION("""COMPUTED_VALUE"""),2)</f>
        <v>2</v>
      </c>
      <c r="D175" s="6" t="str">
        <f ca="1">IFERROR(__xludf.DUMMYFUNCTION("""COMPUTED_VALUE"""),"NO")</f>
        <v>NO</v>
      </c>
      <c r="E175" s="6" t="str">
        <f ca="1">IFERROR(__xludf.DUMMYFUNCTION("""COMPUTED_VALUE"""),"Sevilla- Montoto")</f>
        <v>Sevilla- Montoto</v>
      </c>
      <c r="F175" s="16">
        <f ca="1">IFERROR(__xludf.DUMMYFUNCTION("""COMPUTED_VALUE"""),46066)</f>
        <v>46066</v>
      </c>
      <c r="G175" s="16">
        <f ca="1">IFERROR(__xludf.DUMMYFUNCTION("""COMPUTED_VALUE"""),46001)</f>
        <v>46001</v>
      </c>
      <c r="H175" s="6" t="str">
        <f ca="1">IFERROR(__xludf.DUMMYFUNCTION("""COMPUTED_VALUE"""),"Montoto")</f>
        <v>Montoto</v>
      </c>
      <c r="I175" s="6" t="str">
        <f ca="1">IFERROR(__xludf.DUMMYFUNCTION("""COMPUTED_VALUE"""),"C202512109102071586")</f>
        <v>C202512109102071586</v>
      </c>
      <c r="J175" s="6" t="str">
        <f ca="1">IFERROR(__xludf.DUMMYFUNCTION("""COMPUTED_VALUE"""),"CLAUDIA ATENEA PEREZ PACHECO")</f>
        <v>CLAUDIA ATENEA PEREZ PACHECO</v>
      </c>
      <c r="K175" s="15">
        <f ca="1">IFERROR(__xludf.DUMMYFUNCTION("""COMPUTED_VALUE"""),1)</f>
        <v>1</v>
      </c>
      <c r="L175" s="21">
        <f ca="1">IFERROR(__xludf.DUMMYFUNCTION("""COMPUTED_VALUE"""),2722.73)</f>
        <v>2722.73</v>
      </c>
      <c r="M175" s="6" t="str">
        <f ca="1">IFERROR(__xludf.DUMMYFUNCTION("""COMPUTED_VALUE"""),"01 MARKETING ON LINE")</f>
        <v>01 MARKETING ON LINE</v>
      </c>
      <c r="N175" s="6" t="str">
        <f ca="1">IFERROR(__xludf.DUMMYFUNCTION("""COMPUTED_VALUE"""),"01 WEB AUDICOST")</f>
        <v>01 WEB AUDICOST</v>
      </c>
      <c r="O175" s="6" t="str">
        <f ca="1">IFERROR(__xludf.DUMMYFUNCTION("""COMPUTED_VALUE"""),"Dr, Antonio Medinilla Vallejo")</f>
        <v>Dr, Antonio Medinilla Vallejo</v>
      </c>
      <c r="P175" s="6" t="str">
        <f ca="1">IFERROR(__xludf.DUMMYFUNCTION("""COMPUTED_VALUE"""),"Luis Alberto Rodríguez (Andalucía y Badajoz)")</f>
        <v>Luis Alberto Rodríguez (Andalucía y Badajoz)</v>
      </c>
    </row>
    <row r="176" spans="2:16">
      <c r="B176" s="33">
        <f ca="1">IFERROR(__xludf.DUMMYFUNCTION("""COMPUTED_VALUE"""),2026)</f>
        <v>2026</v>
      </c>
      <c r="C176" s="15">
        <f ca="1">IFERROR(__xludf.DUMMYFUNCTION("""COMPUTED_VALUE"""),2)</f>
        <v>2</v>
      </c>
      <c r="D176" s="6" t="str">
        <f ca="1">IFERROR(__xludf.DUMMYFUNCTION("""COMPUTED_VALUE"""),"NO")</f>
        <v>NO</v>
      </c>
      <c r="E176" s="6" t="str">
        <f ca="1">IFERROR(__xludf.DUMMYFUNCTION("""COMPUTED_VALUE"""),"Madrid- La Oca")</f>
        <v>Madrid- La Oca</v>
      </c>
      <c r="F176" s="16">
        <f ca="1">IFERROR(__xludf.DUMMYFUNCTION("""COMPUTED_VALUE"""),46069)</f>
        <v>46069</v>
      </c>
      <c r="G176" s="16">
        <f ca="1">IFERROR(__xludf.DUMMYFUNCTION("""COMPUTED_VALUE"""),46034)</f>
        <v>46034</v>
      </c>
      <c r="H176" s="6" t="str">
        <f ca="1">IFERROR(__xludf.DUMMYFUNCTION("""COMPUTED_VALUE"""),"La Oca")</f>
        <v>La Oca</v>
      </c>
      <c r="I176" s="6" t="str">
        <f ca="1">IFERROR(__xludf.DUMMYFUNCTION("""COMPUTED_VALUE"""),"C202611211324742365")</f>
        <v>C202611211324742365</v>
      </c>
      <c r="J176" s="6" t="str">
        <f ca="1">IFERROR(__xludf.DUMMYFUNCTION("""COMPUTED_VALUE"""),"ANA MARIA  HERRERO MARTIN")</f>
        <v>ANA MARIA  HERRERO MARTIN</v>
      </c>
      <c r="K176" s="15">
        <f ca="1">IFERROR(__xludf.DUMMYFUNCTION("""COMPUTED_VALUE"""),2)</f>
        <v>2</v>
      </c>
      <c r="L176" s="21">
        <f ca="1">IFERROR(__xludf.DUMMYFUNCTION("""COMPUTED_VALUE"""),3631.82)</f>
        <v>3631.82</v>
      </c>
      <c r="M176" s="6" t="str">
        <f ca="1">IFERROR(__xludf.DUMMYFUNCTION("""COMPUTED_VALUE"""),"03 ORL")</f>
        <v>03 ORL</v>
      </c>
      <c r="N176" s="6" t="str">
        <f ca="1">IFERROR(__xludf.DUMMYFUNCTION("""COMPUTED_VALUE"""),"06 ORL")</f>
        <v>06 ORL</v>
      </c>
      <c r="O176" s="6" t="str">
        <f ca="1">IFERROR(__xludf.DUMMYFUNCTION("""COMPUTED_VALUE"""),"Dr, José Joaquín Gutiérrez Barquín")</f>
        <v>Dr, José Joaquín Gutiérrez Barquín</v>
      </c>
      <c r="P176" s="6" t="str">
        <f ca="1">IFERROR(__xludf.DUMMYFUNCTION("""COMPUTED_VALUE"""),"Maika Blázquez (Madrid)")</f>
        <v>Maika Blázquez (Madrid)</v>
      </c>
    </row>
    <row r="177" spans="2:16">
      <c r="B177" s="33">
        <f ca="1">IFERROR(__xludf.DUMMYFUNCTION("""COMPUTED_VALUE"""),2026)</f>
        <v>2026</v>
      </c>
      <c r="C177" s="15">
        <f ca="1">IFERROR(__xludf.DUMMYFUNCTION("""COMPUTED_VALUE"""),2)</f>
        <v>2</v>
      </c>
      <c r="D177" s="6" t="str">
        <f ca="1">IFERROR(__xludf.DUMMYFUNCTION("""COMPUTED_VALUE"""),"NO")</f>
        <v>NO</v>
      </c>
      <c r="E177" s="6" t="str">
        <f ca="1">IFERROR(__xludf.DUMMYFUNCTION("""COMPUTED_VALUE"""),"El Albir (Benidorm)")</f>
        <v>El Albir (Benidorm)</v>
      </c>
      <c r="F177" s="16">
        <f ca="1">IFERROR(__xludf.DUMMYFUNCTION("""COMPUTED_VALUE"""),46069)</f>
        <v>46069</v>
      </c>
      <c r="G177" s="16">
        <f ca="1">IFERROR(__xludf.DUMMYFUNCTION("""COMPUTED_VALUE"""),46035)</f>
        <v>46035</v>
      </c>
      <c r="H177" s="6" t="str">
        <f ca="1">IFERROR(__xludf.DUMMYFUNCTION("""COMPUTED_VALUE"""),"El Albir (Benidorm)")</f>
        <v>El Albir (Benidorm)</v>
      </c>
      <c r="I177" s="6" t="str">
        <f ca="1">IFERROR(__xludf.DUMMYFUNCTION("""COMPUTED_VALUE"""),"C202611316565194107")</f>
        <v>C202611316565194107</v>
      </c>
      <c r="J177" s="6" t="str">
        <f ca="1">IFERROR(__xludf.DUMMYFUNCTION("""COMPUTED_VALUE"""),"FRANCISCO JAVIER  FREIJIDO BREA")</f>
        <v>FRANCISCO JAVIER  FREIJIDO BREA</v>
      </c>
      <c r="K177" s="15">
        <f ca="1">IFERROR(__xludf.DUMMYFUNCTION("""COMPUTED_VALUE"""),2)</f>
        <v>2</v>
      </c>
      <c r="L177" s="21">
        <f ca="1">IFERROR(__xludf.DUMMYFUNCTION("""COMPUTED_VALUE"""),2718.18)</f>
        <v>2718.18</v>
      </c>
      <c r="M177" s="6" t="str">
        <f ca="1">IFERROR(__xludf.DUMMYFUNCTION("""COMPUTED_VALUE"""),"04 TIENDA")</f>
        <v>04 TIENDA</v>
      </c>
      <c r="N177" s="6" t="str">
        <f ca="1">IFERROR(__xludf.DUMMYFUNCTION("""COMPUTED_VALUE"""),"07 BOCA/BOCA")</f>
        <v>07 BOCA/BOCA</v>
      </c>
      <c r="O177" s="6" t="str">
        <f ca="1">IFERROR(__xludf.DUMMYFUNCTION("""COMPUTED_VALUE"""),"Dra, María Emilia García Ruiz")</f>
        <v>Dra, María Emilia García Ruiz</v>
      </c>
      <c r="P177" s="6" t="str">
        <f ca="1">IFERROR(__xludf.DUMMYFUNCTION("""COMPUTED_VALUE"""),"Ramon Ferrando(Valencia)")</f>
        <v>Ramon Ferrando(Valencia)</v>
      </c>
    </row>
    <row r="178" spans="2:16">
      <c r="B178" s="33">
        <f ca="1">IFERROR(__xludf.DUMMYFUNCTION("""COMPUTED_VALUE"""),2026)</f>
        <v>2026</v>
      </c>
      <c r="C178" s="15">
        <f ca="1">IFERROR(__xludf.DUMMYFUNCTION("""COMPUTED_VALUE"""),2)</f>
        <v>2</v>
      </c>
      <c r="D178" s="6" t="str">
        <f ca="1">IFERROR(__xludf.DUMMYFUNCTION("""COMPUTED_VALUE"""),"NO")</f>
        <v>NO</v>
      </c>
      <c r="E178" s="6" t="str">
        <f ca="1">IFERROR(__xludf.DUMMYFUNCTION("""COMPUTED_VALUE"""),"Cáceres")</f>
        <v>Cáceres</v>
      </c>
      <c r="F178" s="16">
        <f ca="1">IFERROR(__xludf.DUMMYFUNCTION("""COMPUTED_VALUE"""),46069)</f>
        <v>46069</v>
      </c>
      <c r="G178" s="16">
        <f ca="1">IFERROR(__xludf.DUMMYFUNCTION("""COMPUTED_VALUE"""),46035)</f>
        <v>46035</v>
      </c>
      <c r="H178" s="6" t="str">
        <f ca="1">IFERROR(__xludf.DUMMYFUNCTION("""COMPUTED_VALUE"""),"Cáceres")</f>
        <v>Cáceres</v>
      </c>
      <c r="I178" s="6" t="str">
        <f ca="1">IFERROR(__xludf.DUMMYFUNCTION("""COMPUTED_VALUE"""),"C20261131866025031")</f>
        <v>C20261131866025031</v>
      </c>
      <c r="J178" s="6" t="str">
        <f ca="1">IFERROR(__xludf.DUMMYFUNCTION("""COMPUTED_VALUE"""),"ISABEL PALACIN LEAL")</f>
        <v>ISABEL PALACIN LEAL</v>
      </c>
      <c r="K178" s="15">
        <f ca="1">IFERROR(__xludf.DUMMYFUNCTION("""COMPUTED_VALUE"""),2)</f>
        <v>2</v>
      </c>
      <c r="L178" s="21">
        <f ca="1">IFERROR(__xludf.DUMMYFUNCTION("""COMPUTED_VALUE"""),3940.91)</f>
        <v>3940.91</v>
      </c>
      <c r="M178" s="6" t="str">
        <f ca="1">IFERROR(__xludf.DUMMYFUNCTION("""COMPUTED_VALUE"""),"03 ORL")</f>
        <v>03 ORL</v>
      </c>
      <c r="N178" s="6" t="str">
        <f ca="1">IFERROR(__xludf.DUMMYFUNCTION("""COMPUTED_VALUE"""),"06 ORL")</f>
        <v>06 ORL</v>
      </c>
      <c r="O178" s="1" t="str">
        <f ca="1">IFERROR(__xludf.DUMMYFUNCTION("""COMPUTED_VALUE"""),"Dra, Marta García Jiménez")</f>
        <v>Dra, Marta García Jiménez</v>
      </c>
      <c r="P178" s="6" t="str">
        <f ca="1">IFERROR(__xludf.DUMMYFUNCTION("""COMPUTED_VALUE"""),"Lisandro Russian (Madrid, Cáceres, Toledo, Talavera y Logroño)")</f>
        <v>Lisandro Russian (Madrid, Cáceres, Toledo, Talavera y Logroño)</v>
      </c>
    </row>
    <row r="179" spans="2:16">
      <c r="B179" s="33">
        <f ca="1">IFERROR(__xludf.DUMMYFUNCTION("""COMPUTED_VALUE"""),2026)</f>
        <v>2026</v>
      </c>
      <c r="C179" s="15">
        <f ca="1">IFERROR(__xludf.DUMMYFUNCTION("""COMPUTED_VALUE"""),2)</f>
        <v>2</v>
      </c>
      <c r="D179" s="6" t="str">
        <f ca="1">IFERROR(__xludf.DUMMYFUNCTION("""COMPUTED_VALUE"""),"NO")</f>
        <v>NO</v>
      </c>
      <c r="E179" s="6" t="str">
        <f ca="1">IFERROR(__xludf.DUMMYFUNCTION("""COMPUTED_VALUE"""),"Madrid- La Oca")</f>
        <v>Madrid- La Oca</v>
      </c>
      <c r="F179" s="16">
        <f ca="1">IFERROR(__xludf.DUMMYFUNCTION("""COMPUTED_VALUE"""),46069)</f>
        <v>46069</v>
      </c>
      <c r="G179" s="16">
        <f ca="1">IFERROR(__xludf.DUMMYFUNCTION("""COMPUTED_VALUE"""),46036)</f>
        <v>46036</v>
      </c>
      <c r="H179" s="6" t="str">
        <f ca="1">IFERROR(__xludf.DUMMYFUNCTION("""COMPUTED_VALUE"""),"La Oca")</f>
        <v>La Oca</v>
      </c>
      <c r="I179" s="6" t="str">
        <f ca="1">IFERROR(__xludf.DUMMYFUNCTION("""COMPUTED_VALUE"""),"C202611495954073474")</f>
        <v>C202611495954073474</v>
      </c>
      <c r="J179" s="6" t="str">
        <f ca="1">IFERROR(__xludf.DUMMYFUNCTION("""COMPUTED_VALUE"""),"ALFONSO GONZALEZ-NICOLAS JUNCOS")</f>
        <v>ALFONSO GONZALEZ-NICOLAS JUNCOS</v>
      </c>
      <c r="K179" s="15">
        <f ca="1">IFERROR(__xludf.DUMMYFUNCTION("""COMPUTED_VALUE"""),2)</f>
        <v>2</v>
      </c>
      <c r="L179" s="21">
        <f ca="1">IFERROR(__xludf.DUMMYFUNCTION("""COMPUTED_VALUE"""),4136.36)</f>
        <v>4136.3599999999997</v>
      </c>
      <c r="M179" s="6" t="str">
        <f ca="1">IFERROR(__xludf.DUMMYFUNCTION("""COMPUTED_VALUE"""),"03 ORL")</f>
        <v>03 ORL</v>
      </c>
      <c r="N179" s="6" t="str">
        <f ca="1">IFERROR(__xludf.DUMMYFUNCTION("""COMPUTED_VALUE"""),"06 ORL")</f>
        <v>06 ORL</v>
      </c>
      <c r="O179" s="6" t="str">
        <f ca="1">IFERROR(__xludf.DUMMYFUNCTION("""COMPUTED_VALUE"""),"No recuerda ORL")</f>
        <v>No recuerda ORL</v>
      </c>
      <c r="P179" s="6" t="str">
        <f ca="1">IFERROR(__xludf.DUMMYFUNCTION("""COMPUTED_VALUE"""),"Maika Blázquez (Madrid)")</f>
        <v>Maika Blázquez (Madrid)</v>
      </c>
    </row>
    <row r="180" spans="2:16">
      <c r="B180" s="33">
        <f ca="1">IFERROR(__xludf.DUMMYFUNCTION("""COMPUTED_VALUE"""),2026)</f>
        <v>2026</v>
      </c>
      <c r="C180" s="15">
        <f ca="1">IFERROR(__xludf.DUMMYFUNCTION("""COMPUTED_VALUE"""),2)</f>
        <v>2</v>
      </c>
      <c r="D180" s="6" t="str">
        <f ca="1">IFERROR(__xludf.DUMMYFUNCTION("""COMPUTED_VALUE"""),"NO")</f>
        <v>NO</v>
      </c>
      <c r="E180" s="6" t="str">
        <f ca="1">IFERROR(__xludf.DUMMYFUNCTION("""COMPUTED_VALUE"""),"San Javier")</f>
        <v>San Javier</v>
      </c>
      <c r="F180" s="16">
        <f ca="1">IFERROR(__xludf.DUMMYFUNCTION("""COMPUTED_VALUE"""),46069)</f>
        <v>46069</v>
      </c>
      <c r="G180" s="16">
        <f ca="1">IFERROR(__xludf.DUMMYFUNCTION("""COMPUTED_VALUE"""),46042)</f>
        <v>46042</v>
      </c>
      <c r="H180" s="6" t="str">
        <f ca="1">IFERROR(__xludf.DUMMYFUNCTION("""COMPUTED_VALUE"""),"San Javier")</f>
        <v>San Javier</v>
      </c>
      <c r="I180" s="6" t="str">
        <f ca="1">IFERROR(__xludf.DUMMYFUNCTION("""COMPUTED_VALUE"""),"C202612015135615894")</f>
        <v>C202612015135615894</v>
      </c>
      <c r="J180" s="6" t="str">
        <f ca="1">IFERROR(__xludf.DUMMYFUNCTION("""COMPUTED_VALUE"""),"CARMEN SANCHEZ HERNANDEZ")</f>
        <v>CARMEN SANCHEZ HERNANDEZ</v>
      </c>
      <c r="K180" s="15">
        <f ca="1">IFERROR(__xludf.DUMMYFUNCTION("""COMPUTED_VALUE"""),2)</f>
        <v>2</v>
      </c>
      <c r="L180" s="21">
        <f ca="1">IFERROR(__xludf.DUMMYFUNCTION("""COMPUTED_VALUE"""),2718.18)</f>
        <v>2718.18</v>
      </c>
      <c r="M180" s="6" t="str">
        <f ca="1">IFERROR(__xludf.DUMMYFUNCTION("""COMPUTED_VALUE"""),"03 ORL")</f>
        <v>03 ORL</v>
      </c>
      <c r="N180" s="6" t="str">
        <f ca="1">IFERROR(__xludf.DUMMYFUNCTION("""COMPUTED_VALUE"""),"06 ORL")</f>
        <v>06 ORL</v>
      </c>
      <c r="O180" s="6" t="str">
        <f ca="1">IFERROR(__xludf.DUMMYFUNCTION("""COMPUTED_VALUE"""),"Dra, Alba Molina Moreno")</f>
        <v>Dra, Alba Molina Moreno</v>
      </c>
      <c r="P180" s="6" t="str">
        <f ca="1">IFERROR(__xludf.DUMMYFUNCTION("""COMPUTED_VALUE"""),"Iván Sánchez (Levante y Albacete)")</f>
        <v>Iván Sánchez (Levante y Albacete)</v>
      </c>
    </row>
    <row r="181" spans="2:16">
      <c r="B181" s="33">
        <f ca="1">IFERROR(__xludf.DUMMYFUNCTION("""COMPUTED_VALUE"""),2026)</f>
        <v>2026</v>
      </c>
      <c r="C181" s="15">
        <f ca="1">IFERROR(__xludf.DUMMYFUNCTION("""COMPUTED_VALUE"""),2)</f>
        <v>2</v>
      </c>
      <c r="D181" s="6" t="str">
        <f ca="1">IFERROR(__xludf.DUMMYFUNCTION("""COMPUTED_VALUE"""),"NO")</f>
        <v>NO</v>
      </c>
      <c r="E181" s="6" t="str">
        <f ca="1">IFERROR(__xludf.DUMMYFUNCTION("""COMPUTED_VALUE"""),"Orihuela")</f>
        <v>Orihuela</v>
      </c>
      <c r="F181" s="16">
        <f ca="1">IFERROR(__xludf.DUMMYFUNCTION("""COMPUTED_VALUE"""),46069)</f>
        <v>46069</v>
      </c>
      <c r="G181" s="16">
        <f ca="1">IFERROR(__xludf.DUMMYFUNCTION("""COMPUTED_VALUE"""),46036)</f>
        <v>46036</v>
      </c>
      <c r="H181" s="6" t="str">
        <f ca="1">IFERROR(__xludf.DUMMYFUNCTION("""COMPUTED_VALUE"""),"La Zenia")</f>
        <v>La Zenia</v>
      </c>
      <c r="I181" s="6" t="str">
        <f ca="1">IFERROR(__xludf.DUMMYFUNCTION("""COMPUTED_VALUE"""),"C202611411820969634")</f>
        <v>C202611411820969634</v>
      </c>
      <c r="J181" s="6" t="str">
        <f ca="1">IFERROR(__xludf.DUMMYFUNCTION("""COMPUTED_VALUE"""),"ALEXANDRA CALLEJA CHAMORRO")</f>
        <v>ALEXANDRA CALLEJA CHAMORRO</v>
      </c>
      <c r="K181" s="15">
        <f ca="1">IFERROR(__xludf.DUMMYFUNCTION("""COMPUTED_VALUE"""),1)</f>
        <v>1</v>
      </c>
      <c r="L181" s="21">
        <f ca="1">IFERROR(__xludf.DUMMYFUNCTION("""COMPUTED_VALUE"""),2180.77)</f>
        <v>2180.77</v>
      </c>
      <c r="M181" s="6" t="str">
        <f ca="1">IFERROR(__xludf.DUMMYFUNCTION("""COMPUTED_VALUE"""),"03 ORL")</f>
        <v>03 ORL</v>
      </c>
      <c r="N181" s="6" t="str">
        <f ca="1">IFERROR(__xludf.DUMMYFUNCTION("""COMPUTED_VALUE"""),"06 ORL")</f>
        <v>06 ORL</v>
      </c>
      <c r="O181" s="6" t="str">
        <f ca="1">IFERROR(__xludf.DUMMYFUNCTION("""COMPUTED_VALUE"""),"Dra, Paula Hernández Ruíz")</f>
        <v>Dra, Paula Hernández Ruíz</v>
      </c>
      <c r="P181" s="6" t="str">
        <f ca="1">IFERROR(__xludf.DUMMYFUNCTION("""COMPUTED_VALUE"""),"Iván Sánchez (Levante y Albacete)")</f>
        <v>Iván Sánchez (Levante y Albacete)</v>
      </c>
    </row>
    <row r="182" spans="2:16">
      <c r="B182" s="33">
        <f ca="1">IFERROR(__xludf.DUMMYFUNCTION("""COMPUTED_VALUE"""),2026)</f>
        <v>2026</v>
      </c>
      <c r="C182" s="15">
        <f ca="1">IFERROR(__xludf.DUMMYFUNCTION("""COMPUTED_VALUE"""),2)</f>
        <v>2</v>
      </c>
      <c r="D182" s="6" t="str">
        <f ca="1">IFERROR(__xludf.DUMMYFUNCTION("""COMPUTED_VALUE"""),"NO")</f>
        <v>NO</v>
      </c>
      <c r="E182" s="6" t="str">
        <f ca="1">IFERROR(__xludf.DUMMYFUNCTION("""COMPUTED_VALUE"""),"Sevilla- Ciencias")</f>
        <v>Sevilla- Ciencias</v>
      </c>
      <c r="F182" s="16">
        <f ca="1">IFERROR(__xludf.DUMMYFUNCTION("""COMPUTED_VALUE"""),46069)</f>
        <v>46069</v>
      </c>
      <c r="G182" s="16">
        <f ca="1">IFERROR(__xludf.DUMMYFUNCTION("""COMPUTED_VALUE"""),46045)</f>
        <v>46045</v>
      </c>
      <c r="H182" s="6" t="str">
        <f ca="1">IFERROR(__xludf.DUMMYFUNCTION("""COMPUTED_VALUE"""),"Sevilla Este")</f>
        <v>Sevilla Este</v>
      </c>
      <c r="I182" s="6" t="str">
        <f ca="1">IFERROR(__xludf.DUMMYFUNCTION("""COMPUTED_VALUE"""),"C202612312273722386")</f>
        <v>C202612312273722386</v>
      </c>
      <c r="J182" s="6" t="str">
        <f ca="1">IFERROR(__xludf.DUMMYFUNCTION("""COMPUTED_VALUE"""),"FRANCISCO VINUESA LIMA")</f>
        <v>FRANCISCO VINUESA LIMA</v>
      </c>
      <c r="K182" s="15">
        <f ca="1">IFERROR(__xludf.DUMMYFUNCTION("""COMPUTED_VALUE"""),2)</f>
        <v>2</v>
      </c>
      <c r="L182" s="21">
        <f ca="1">IFERROR(__xludf.DUMMYFUNCTION("""COMPUTED_VALUE"""),2718.18)</f>
        <v>2718.18</v>
      </c>
      <c r="M182" s="6" t="str">
        <f ca="1">IFERROR(__xludf.DUMMYFUNCTION("""COMPUTED_VALUE"""),"03 ORL")</f>
        <v>03 ORL</v>
      </c>
      <c r="N182" s="6" t="str">
        <f ca="1">IFERROR(__xludf.DUMMYFUNCTION("""COMPUTED_VALUE"""),"06 ORL")</f>
        <v>06 ORL</v>
      </c>
      <c r="O182" s="6" t="str">
        <f ca="1">IFERROR(__xludf.DUMMYFUNCTION("""COMPUTED_VALUE"""),"Dr, José María Palacios García")</f>
        <v>Dr, José María Palacios García</v>
      </c>
      <c r="P182" s="6" t="str">
        <f ca="1">IFERROR(__xludf.DUMMYFUNCTION("""COMPUTED_VALUE"""),"Luis Alberto Rodríguez (Andalucía y Badajoz)")</f>
        <v>Luis Alberto Rodríguez (Andalucía y Badajoz)</v>
      </c>
    </row>
    <row r="183" spans="2:16">
      <c r="B183" s="33">
        <f ca="1">IFERROR(__xludf.DUMMYFUNCTION("""COMPUTED_VALUE"""),2026)</f>
        <v>2026</v>
      </c>
      <c r="C183" s="15">
        <f ca="1">IFERROR(__xludf.DUMMYFUNCTION("""COMPUTED_VALUE"""),2)</f>
        <v>2</v>
      </c>
      <c r="D183" s="6" t="str">
        <f ca="1">IFERROR(__xludf.DUMMYFUNCTION("""COMPUTED_VALUE"""),"NO")</f>
        <v>NO</v>
      </c>
      <c r="E183" s="6" t="str">
        <f ca="1">IFERROR(__xludf.DUMMYFUNCTION("""COMPUTED_VALUE"""),"Alicante")</f>
        <v>Alicante</v>
      </c>
      <c r="F183" s="16">
        <f ca="1">IFERROR(__xludf.DUMMYFUNCTION("""COMPUTED_VALUE"""),46069)</f>
        <v>46069</v>
      </c>
      <c r="G183" s="16">
        <f ca="1">IFERROR(__xludf.DUMMYFUNCTION("""COMPUTED_VALUE"""),46036)</f>
        <v>46036</v>
      </c>
      <c r="H183" s="6" t="str">
        <f ca="1">IFERROR(__xludf.DUMMYFUNCTION("""COMPUTED_VALUE"""),"Alicante")</f>
        <v>Alicante</v>
      </c>
      <c r="I183" s="6" t="str">
        <f ca="1">IFERROR(__xludf.DUMMYFUNCTION("""COMPUTED_VALUE"""),"C202611410111286111")</f>
        <v>C202611410111286111</v>
      </c>
      <c r="J183" s="6" t="str">
        <f ca="1">IFERROR(__xludf.DUMMYFUNCTION("""COMPUTED_VALUE"""),"SUSANA ASENSI GARCIA")</f>
        <v>SUSANA ASENSI GARCIA</v>
      </c>
      <c r="K183" s="15">
        <f ca="1">IFERROR(__xludf.DUMMYFUNCTION("""COMPUTED_VALUE"""),1)</f>
        <v>1</v>
      </c>
      <c r="L183" s="21">
        <f ca="1">IFERROR(__xludf.DUMMYFUNCTION("""COMPUTED_VALUE"""),1631.82)</f>
        <v>1631.82</v>
      </c>
      <c r="M183" s="6" t="str">
        <f ca="1">IFERROR(__xludf.DUMMYFUNCTION("""COMPUTED_VALUE"""),"03 ORL")</f>
        <v>03 ORL</v>
      </c>
      <c r="N183" s="6" t="str">
        <f ca="1">IFERROR(__xludf.DUMMYFUNCTION("""COMPUTED_VALUE"""),"06 ORL")</f>
        <v>06 ORL</v>
      </c>
      <c r="O183" s="6" t="str">
        <f ca="1">IFERROR(__xludf.DUMMYFUNCTION("""COMPUTED_VALUE"""),"Dra, Laura Isabel del Amo Martínez")</f>
        <v>Dra, Laura Isabel del Amo Martínez</v>
      </c>
      <c r="P183" s="6" t="str">
        <f ca="1">IFERROR(__xludf.DUMMYFUNCTION("""COMPUTED_VALUE"""),"Iván Sánchez (Levante y Albacete)")</f>
        <v>Iván Sánchez (Levante y Albacete)</v>
      </c>
    </row>
    <row r="184" spans="2:16">
      <c r="B184" s="33">
        <f ca="1">IFERROR(__xludf.DUMMYFUNCTION("""COMPUTED_VALUE"""),2026)</f>
        <v>2026</v>
      </c>
      <c r="C184" s="15">
        <f ca="1">IFERROR(__xludf.DUMMYFUNCTION("""COMPUTED_VALUE"""),2)</f>
        <v>2</v>
      </c>
      <c r="D184" s="6" t="str">
        <f ca="1">IFERROR(__xludf.DUMMYFUNCTION("""COMPUTED_VALUE"""),"NO")</f>
        <v>NO</v>
      </c>
      <c r="E184" s="6" t="str">
        <f ca="1">IFERROR(__xludf.DUMMYFUNCTION("""COMPUTED_VALUE"""),"Badajoz")</f>
        <v>Badajoz</v>
      </c>
      <c r="F184" s="16">
        <f ca="1">IFERROR(__xludf.DUMMYFUNCTION("""COMPUTED_VALUE"""),46069)</f>
        <v>46069</v>
      </c>
      <c r="G184" s="16">
        <f ca="1">IFERROR(__xludf.DUMMYFUNCTION("""COMPUTED_VALUE"""),45992)</f>
        <v>45992</v>
      </c>
      <c r="H184" s="6" t="str">
        <f ca="1">IFERROR(__xludf.DUMMYFUNCTION("""COMPUTED_VALUE"""),"Badajoz")</f>
        <v>Badajoz</v>
      </c>
      <c r="I184" s="6" t="str">
        <f ca="1">IFERROR(__xludf.DUMMYFUNCTION("""COMPUTED_VALUE"""),"C202512119361746759")</f>
        <v>C202512119361746759</v>
      </c>
      <c r="J184" s="6" t="str">
        <f ca="1">IFERROR(__xludf.DUMMYFUNCTION("""COMPUTED_VALUE"""),"VICTOR HUGO BOTHELO CAPUCHO SIMOES")</f>
        <v>VICTOR HUGO BOTHELO CAPUCHO SIMOES</v>
      </c>
      <c r="K184" s="15">
        <f ca="1">IFERROR(__xludf.DUMMYFUNCTION("""COMPUTED_VALUE"""),2)</f>
        <v>2</v>
      </c>
      <c r="L184" s="21">
        <f ca="1">IFERROR(__xludf.DUMMYFUNCTION("""COMPUTED_VALUE"""),3635.45)</f>
        <v>3635.45</v>
      </c>
      <c r="M184" s="6" t="str">
        <f ca="1">IFERROR(__xludf.DUMMYFUNCTION("""COMPUTED_VALUE"""),"03 ORL")</f>
        <v>03 ORL</v>
      </c>
      <c r="N184" s="6" t="str">
        <f ca="1">IFERROR(__xludf.DUMMYFUNCTION("""COMPUTED_VALUE"""),"06 ORL")</f>
        <v>06 ORL</v>
      </c>
      <c r="O184" s="6" t="str">
        <f ca="1">IFERROR(__xludf.DUMMYFUNCTION("""COMPUTED_VALUE"""),"Dr, Sonia García Díaz")</f>
        <v>Dr, Sonia García Díaz</v>
      </c>
      <c r="P184" s="6" t="str">
        <f ca="1">IFERROR(__xludf.DUMMYFUNCTION("""COMPUTED_VALUE"""),"Luis Alberto Rodríguez (Andalucía y Badajoz)")</f>
        <v>Luis Alberto Rodríguez (Andalucía y Badajoz)</v>
      </c>
    </row>
    <row r="185" spans="2:16">
      <c r="B185" s="33">
        <f ca="1">IFERROR(__xludf.DUMMYFUNCTION("""COMPUTED_VALUE"""),2026)</f>
        <v>2026</v>
      </c>
      <c r="C185" s="15">
        <f ca="1">IFERROR(__xludf.DUMMYFUNCTION("""COMPUTED_VALUE"""),2)</f>
        <v>2</v>
      </c>
      <c r="D185" s="6" t="str">
        <f ca="1">IFERROR(__xludf.DUMMYFUNCTION("""COMPUTED_VALUE"""),"NO")</f>
        <v>NO</v>
      </c>
      <c r="E185" s="6" t="str">
        <f ca="1">IFERROR(__xludf.DUMMYFUNCTION("""COMPUTED_VALUE"""),"Sevilla- Montoto")</f>
        <v>Sevilla- Montoto</v>
      </c>
      <c r="F185" s="16">
        <f ca="1">IFERROR(__xludf.DUMMYFUNCTION("""COMPUTED_VALUE"""),46069)</f>
        <v>46069</v>
      </c>
      <c r="G185" s="16">
        <f ca="1">IFERROR(__xludf.DUMMYFUNCTION("""COMPUTED_VALUE"""),46043)</f>
        <v>46043</v>
      </c>
      <c r="H185" s="6" t="str">
        <f ca="1">IFERROR(__xludf.DUMMYFUNCTION("""COMPUTED_VALUE"""),"Montoto")</f>
        <v>Montoto</v>
      </c>
      <c r="I185" s="6" t="str">
        <f ca="1">IFERROR(__xludf.DUMMYFUNCTION("""COMPUTED_VALUE"""),"C20261218466529707")</f>
        <v>C20261218466529707</v>
      </c>
      <c r="J185" s="6" t="str">
        <f ca="1">IFERROR(__xludf.DUMMYFUNCTION("""COMPUTED_VALUE"""),"MICHAEL BASSEM NWELATTI")</f>
        <v>MICHAEL BASSEM NWELATTI</v>
      </c>
      <c r="K185" s="15">
        <f ca="1">IFERROR(__xludf.DUMMYFUNCTION("""COMPUTED_VALUE"""),2)</f>
        <v>2</v>
      </c>
      <c r="L185" s="21">
        <f ca="1">IFERROR(__xludf.DUMMYFUNCTION("""COMPUTED_VALUE"""),3643.64)</f>
        <v>3643.64</v>
      </c>
      <c r="M185" s="6" t="str">
        <f ca="1">IFERROR(__xludf.DUMMYFUNCTION("""COMPUTED_VALUE"""),"03 ORL")</f>
        <v>03 ORL</v>
      </c>
      <c r="N185" s="6" t="str">
        <f ca="1">IFERROR(__xludf.DUMMYFUNCTION("""COMPUTED_VALUE"""),"06 ORL")</f>
        <v>06 ORL</v>
      </c>
      <c r="O185" s="6" t="str">
        <f ca="1">IFERROR(__xludf.DUMMYFUNCTION("""COMPUTED_VALUE"""),"Dra, Noelia García García")</f>
        <v>Dra, Noelia García García</v>
      </c>
      <c r="P185" s="6" t="str">
        <f ca="1">IFERROR(__xludf.DUMMYFUNCTION("""COMPUTED_VALUE"""),"Luis Alberto Rodríguez (Andalucía y Badajoz)")</f>
        <v>Luis Alberto Rodríguez (Andalucía y Badajoz)</v>
      </c>
    </row>
    <row r="186" spans="2:16">
      <c r="B186" s="33">
        <f ca="1">IFERROR(__xludf.DUMMYFUNCTION("""COMPUTED_VALUE"""),2026)</f>
        <v>2026</v>
      </c>
      <c r="C186" s="15">
        <f ca="1">IFERROR(__xludf.DUMMYFUNCTION("""COMPUTED_VALUE"""),2)</f>
        <v>2</v>
      </c>
      <c r="D186" s="6" t="str">
        <f ca="1">IFERROR(__xludf.DUMMYFUNCTION("""COMPUTED_VALUE"""),"NO")</f>
        <v>NO</v>
      </c>
      <c r="E186" s="6" t="str">
        <f ca="1">IFERROR(__xludf.DUMMYFUNCTION("""COMPUTED_VALUE"""),"Madrid- Costa Rica")</f>
        <v>Madrid- Costa Rica</v>
      </c>
      <c r="F186" s="16">
        <f ca="1">IFERROR(__xludf.DUMMYFUNCTION("""COMPUTED_VALUE"""),46069)</f>
        <v>46069</v>
      </c>
      <c r="G186" s="16">
        <f ca="1">IFERROR(__xludf.DUMMYFUNCTION("""COMPUTED_VALUE"""),45989)</f>
        <v>45989</v>
      </c>
      <c r="H186" s="6" t="str">
        <f ca="1">IFERROR(__xludf.DUMMYFUNCTION("""COMPUTED_VALUE"""),"Costa Rica")</f>
        <v>Costa Rica</v>
      </c>
      <c r="I186" s="6" t="str">
        <f ca="1">IFERROR(__xludf.DUMMYFUNCTION("""COMPUTED_VALUE"""),"C202511281040236575")</f>
        <v>C202511281040236575</v>
      </c>
      <c r="J186" s="6" t="str">
        <f ca="1">IFERROR(__xludf.DUMMYFUNCTION("""COMPUTED_VALUE"""),"ADELARDO  MORTE CARRILLO")</f>
        <v>ADELARDO  MORTE CARRILLO</v>
      </c>
      <c r="K186" s="15">
        <f ca="1">IFERROR(__xludf.DUMMYFUNCTION("""COMPUTED_VALUE"""),2)</f>
        <v>2</v>
      </c>
      <c r="L186" s="21">
        <f ca="1">IFERROR(__xludf.DUMMYFUNCTION("""COMPUTED_VALUE"""),2718.18)</f>
        <v>2718.18</v>
      </c>
      <c r="M186" s="6" t="str">
        <f ca="1">IFERROR(__xludf.DUMMYFUNCTION("""COMPUTED_VALUE"""),"03 ORL")</f>
        <v>03 ORL</v>
      </c>
      <c r="N186" s="6" t="str">
        <f ca="1">IFERROR(__xludf.DUMMYFUNCTION("""COMPUTED_VALUE"""),"06 ORL")</f>
        <v>06 ORL</v>
      </c>
      <c r="O186" s="6" t="str">
        <f ca="1">IFERROR(__xludf.DUMMYFUNCTION("""COMPUTED_VALUE"""),"Dr, Luis Jiménez Ferreres")</f>
        <v>Dr, Luis Jiménez Ferreres</v>
      </c>
      <c r="P186" s="6" t="str">
        <f ca="1">IFERROR(__xludf.DUMMYFUNCTION("""COMPUTED_VALUE"""),"Lisandro Russian (Madrid, Cáceres, Toledo, Talavera y Logroño)")</f>
        <v>Lisandro Russian (Madrid, Cáceres, Toledo, Talavera y Logroño)</v>
      </c>
    </row>
    <row r="187" spans="2:16">
      <c r="B187" s="33">
        <f ca="1">IFERROR(__xludf.DUMMYFUNCTION("""COMPUTED_VALUE"""),2026)</f>
        <v>2026</v>
      </c>
      <c r="C187" s="15">
        <f ca="1">IFERROR(__xludf.DUMMYFUNCTION("""COMPUTED_VALUE"""),2)</f>
        <v>2</v>
      </c>
      <c r="D187" s="6" t="str">
        <f ca="1">IFERROR(__xludf.DUMMYFUNCTION("""COMPUTED_VALUE"""),"NO")</f>
        <v>NO</v>
      </c>
      <c r="E187" s="6" t="str">
        <f ca="1">IFERROR(__xludf.DUMMYFUNCTION("""COMPUTED_VALUE"""),"Cáceres")</f>
        <v>Cáceres</v>
      </c>
      <c r="F187" s="16">
        <f ca="1">IFERROR(__xludf.DUMMYFUNCTION("""COMPUTED_VALUE"""),46070)</f>
        <v>46070</v>
      </c>
      <c r="G187" s="16">
        <f ca="1">IFERROR(__xludf.DUMMYFUNCTION("""COMPUTED_VALUE"""),46048)</f>
        <v>46048</v>
      </c>
      <c r="H187" s="6" t="str">
        <f ca="1">IFERROR(__xludf.DUMMYFUNCTION("""COMPUTED_VALUE"""),"Cáceres")</f>
        <v>Cáceres</v>
      </c>
      <c r="I187" s="6" t="str">
        <f ca="1">IFERROR(__xludf.DUMMYFUNCTION("""COMPUTED_VALUE"""),"C202612610453306531")</f>
        <v>C202612610453306531</v>
      </c>
      <c r="J187" s="6" t="str">
        <f ca="1">IFERROR(__xludf.DUMMYFUNCTION("""COMPUTED_VALUE"""),"FRANCISCA CORRALES MORENO")</f>
        <v>FRANCISCA CORRALES MORENO</v>
      </c>
      <c r="K187" s="15">
        <f ca="1">IFERROR(__xludf.DUMMYFUNCTION("""COMPUTED_VALUE"""),1)</f>
        <v>1</v>
      </c>
      <c r="L187" s="21">
        <f ca="1">IFERROR(__xludf.DUMMYFUNCTION("""COMPUTED_VALUE"""),2101.82)</f>
        <v>2101.8200000000002</v>
      </c>
      <c r="M187" s="6" t="str">
        <f ca="1">IFERROR(__xludf.DUMMYFUNCTION("""COMPUTED_VALUE"""),"03 ORL")</f>
        <v>03 ORL</v>
      </c>
      <c r="N187" s="6" t="str">
        <f ca="1">IFERROR(__xludf.DUMMYFUNCTION("""COMPUTED_VALUE"""),"06 ORL")</f>
        <v>06 ORL</v>
      </c>
      <c r="O187" s="6" t="str">
        <f ca="1">IFERROR(__xludf.DUMMYFUNCTION("""COMPUTED_VALUE"""),"Dra, Marta García Jiménez")</f>
        <v>Dra, Marta García Jiménez</v>
      </c>
      <c r="P187" s="6" t="str">
        <f ca="1">IFERROR(__xludf.DUMMYFUNCTION("""COMPUTED_VALUE"""),"Lisandro Russian (Madrid, Cáceres, Toledo, Talavera y Logroño)")</f>
        <v>Lisandro Russian (Madrid, Cáceres, Toledo, Talavera y Logroño)</v>
      </c>
    </row>
    <row r="188" spans="2:16">
      <c r="B188" s="33">
        <f ca="1">IFERROR(__xludf.DUMMYFUNCTION("""COMPUTED_VALUE"""),2026)</f>
        <v>2026</v>
      </c>
      <c r="C188" s="15">
        <f ca="1">IFERROR(__xludf.DUMMYFUNCTION("""COMPUTED_VALUE"""),2)</f>
        <v>2</v>
      </c>
      <c r="D188" s="6" t="str">
        <f ca="1">IFERROR(__xludf.DUMMYFUNCTION("""COMPUTED_VALUE"""),"NO")</f>
        <v>NO</v>
      </c>
      <c r="E188" s="6" t="str">
        <f ca="1">IFERROR(__xludf.DUMMYFUNCTION("""COMPUTED_VALUE"""),"Jerez de la Frontera")</f>
        <v>Jerez de la Frontera</v>
      </c>
      <c r="F188" s="16">
        <f ca="1">IFERROR(__xludf.DUMMYFUNCTION("""COMPUTED_VALUE"""),46070)</f>
        <v>46070</v>
      </c>
      <c r="G188" s="16">
        <f ca="1">IFERROR(__xludf.DUMMYFUNCTION("""COMPUTED_VALUE"""),45985)</f>
        <v>45985</v>
      </c>
      <c r="H188" s="6" t="str">
        <f ca="1">IFERROR(__xludf.DUMMYFUNCTION("""COMPUTED_VALUE"""),"Jerez")</f>
        <v>Jerez</v>
      </c>
      <c r="I188" s="6" t="str">
        <f ca="1">IFERROR(__xludf.DUMMYFUNCTION("""COMPUTED_VALUE"""),"C202511241232424683")</f>
        <v>C202511241232424683</v>
      </c>
      <c r="J188" s="6" t="str">
        <f ca="1">IFERROR(__xludf.DUMMYFUNCTION("""COMPUTED_VALUE"""),"BASILIO MARTINEZ ANDRADE")</f>
        <v>BASILIO MARTINEZ ANDRADE</v>
      </c>
      <c r="K188" s="15">
        <f ca="1">IFERROR(__xludf.DUMMYFUNCTION("""COMPUTED_VALUE"""),1)</f>
        <v>1</v>
      </c>
      <c r="L188" s="21">
        <f ca="1">IFERROR(__xludf.DUMMYFUNCTION("""COMPUTED_VALUE"""),2481.82)</f>
        <v>2481.8200000000002</v>
      </c>
      <c r="M188" s="6" t="str">
        <f ca="1">IFERROR(__xludf.DUMMYFUNCTION("""COMPUTED_VALUE"""),"03 ORL")</f>
        <v>03 ORL</v>
      </c>
      <c r="N188" s="6" t="str">
        <f ca="1">IFERROR(__xludf.DUMMYFUNCTION("""COMPUTED_VALUE"""),"06 ORL")</f>
        <v>06 ORL</v>
      </c>
      <c r="O188" s="6" t="str">
        <f ca="1">IFERROR(__xludf.DUMMYFUNCTION("""COMPUTED_VALUE"""),"Dr, Manuel Tucciarone")</f>
        <v>Dr, Manuel Tucciarone</v>
      </c>
      <c r="P188" s="6" t="str">
        <f ca="1">IFERROR(__xludf.DUMMYFUNCTION("""COMPUTED_VALUE"""),"Luis Alberto Rodríguez (Andalucía y Badajoz)")</f>
        <v>Luis Alberto Rodríguez (Andalucía y Badajoz)</v>
      </c>
    </row>
    <row r="189" spans="2:16">
      <c r="B189" s="33">
        <f ca="1">IFERROR(__xludf.DUMMYFUNCTION("""COMPUTED_VALUE"""),2026)</f>
        <v>2026</v>
      </c>
      <c r="C189" s="15">
        <f ca="1">IFERROR(__xludf.DUMMYFUNCTION("""COMPUTED_VALUE"""),2)</f>
        <v>2</v>
      </c>
      <c r="D189" s="6" t="str">
        <f ca="1">IFERROR(__xludf.DUMMYFUNCTION("""COMPUTED_VALUE"""),"NO")</f>
        <v>NO</v>
      </c>
      <c r="E189" s="6" t="str">
        <f ca="1">IFERROR(__xludf.DUMMYFUNCTION("""COMPUTED_VALUE"""),"Talavera")</f>
        <v>Talavera</v>
      </c>
      <c r="F189" s="16">
        <f ca="1">IFERROR(__xludf.DUMMYFUNCTION("""COMPUTED_VALUE"""),46070)</f>
        <v>46070</v>
      </c>
      <c r="G189" s="16">
        <f ca="1">IFERROR(__xludf.DUMMYFUNCTION("""COMPUTED_VALUE"""),45748)</f>
        <v>45748</v>
      </c>
      <c r="H189" s="6" t="str">
        <f ca="1">IFERROR(__xludf.DUMMYFUNCTION("""COMPUTED_VALUE"""),"Talavera")</f>
        <v>Talavera</v>
      </c>
      <c r="I189" s="6" t="str">
        <f ca="1">IFERROR(__xludf.DUMMYFUNCTION("""COMPUTED_VALUE"""),"C20251216172816711")</f>
        <v>C20251216172816711</v>
      </c>
      <c r="J189" s="6" t="str">
        <f ca="1">IFERROR(__xludf.DUMMYFUNCTION("""COMPUTED_VALUE"""),"CIRIACO  JABATO AMADO")</f>
        <v>CIRIACO  JABATO AMADO</v>
      </c>
      <c r="K189" s="15">
        <f ca="1">IFERROR(__xludf.DUMMYFUNCTION("""COMPUTED_VALUE"""),2)</f>
        <v>2</v>
      </c>
      <c r="L189" s="21">
        <f ca="1">IFERROR(__xludf.DUMMYFUNCTION("""COMPUTED_VALUE"""),2718.18)</f>
        <v>2718.18</v>
      </c>
      <c r="M189" s="6" t="str">
        <f ca="1">IFERROR(__xludf.DUMMYFUNCTION("""COMPUTED_VALUE"""),"03 ORL")</f>
        <v>03 ORL</v>
      </c>
      <c r="N189" s="6" t="str">
        <f ca="1">IFERROR(__xludf.DUMMYFUNCTION("""COMPUTED_VALUE"""),"06 ORL")</f>
        <v>06 ORL</v>
      </c>
      <c r="O189" s="6" t="str">
        <f ca="1">IFERROR(__xludf.DUMMYFUNCTION("""COMPUTED_VALUE"""),"Dra, Patricia Ezcurra Hernández")</f>
        <v>Dra, Patricia Ezcurra Hernández</v>
      </c>
      <c r="P189" s="6" t="str">
        <f ca="1">IFERROR(__xludf.DUMMYFUNCTION("""COMPUTED_VALUE"""),"Lisandro Russian (Madrid, Cáceres, Toledo, Talavera y Logroño)")</f>
        <v>Lisandro Russian (Madrid, Cáceres, Toledo, Talavera y Logroño)</v>
      </c>
    </row>
    <row r="190" spans="2:16">
      <c r="B190" s="33">
        <f ca="1">IFERROR(__xludf.DUMMYFUNCTION("""COMPUTED_VALUE"""),2026)</f>
        <v>2026</v>
      </c>
      <c r="C190" s="15">
        <f ca="1">IFERROR(__xludf.DUMMYFUNCTION("""COMPUTED_VALUE"""),2)</f>
        <v>2</v>
      </c>
      <c r="D190" s="6" t="str">
        <f ca="1">IFERROR(__xludf.DUMMYFUNCTION("""COMPUTED_VALUE"""),"NO")</f>
        <v>NO</v>
      </c>
      <c r="E190" s="6" t="str">
        <f ca="1">IFERROR(__xludf.DUMMYFUNCTION("""COMPUTED_VALUE"""),"San Javier")</f>
        <v>San Javier</v>
      </c>
      <c r="F190" s="16">
        <f ca="1">IFERROR(__xludf.DUMMYFUNCTION("""COMPUTED_VALUE"""),46070)</f>
        <v>46070</v>
      </c>
      <c r="G190" s="16">
        <f ca="1">IFERROR(__xludf.DUMMYFUNCTION("""COMPUTED_VALUE"""),46038)</f>
        <v>46038</v>
      </c>
      <c r="H190" s="6" t="str">
        <f ca="1">IFERROR(__xludf.DUMMYFUNCTION("""COMPUTED_VALUE"""),"San Javier")</f>
        <v>San Javier</v>
      </c>
      <c r="I190" s="6" t="str">
        <f ca="1">IFERROR(__xludf.DUMMYFUNCTION("""COMPUTED_VALUE"""),"C202611611441608457")</f>
        <v>C202611611441608457</v>
      </c>
      <c r="J190" s="6" t="str">
        <f ca="1">IFERROR(__xludf.DUMMYFUNCTION("""COMPUTED_VALUE"""),"JOSEFA PEREZ PEREZ")</f>
        <v>JOSEFA PEREZ PEREZ</v>
      </c>
      <c r="K190" s="15">
        <f ca="1">IFERROR(__xludf.DUMMYFUNCTION("""COMPUTED_VALUE"""),2)</f>
        <v>2</v>
      </c>
      <c r="L190" s="21">
        <f ca="1">IFERROR(__xludf.DUMMYFUNCTION("""COMPUTED_VALUE"""),2718.18)</f>
        <v>2718.18</v>
      </c>
      <c r="M190" s="6" t="str">
        <f ca="1">IFERROR(__xludf.DUMMYFUNCTION("""COMPUTED_VALUE"""),"03 ORL")</f>
        <v>03 ORL</v>
      </c>
      <c r="N190" s="6" t="str">
        <f ca="1">IFERROR(__xludf.DUMMYFUNCTION("""COMPUTED_VALUE"""),"06 ORL")</f>
        <v>06 ORL</v>
      </c>
      <c r="O190" s="6" t="str">
        <f ca="1">IFERROR(__xludf.DUMMYFUNCTION("""COMPUTED_VALUE"""),"Dr, Alberto Raposo Jiménez")</f>
        <v>Dr, Alberto Raposo Jiménez</v>
      </c>
      <c r="P190" s="6" t="str">
        <f ca="1">IFERROR(__xludf.DUMMYFUNCTION("""COMPUTED_VALUE"""),"Iván Sánchez (Levante y Albacete)")</f>
        <v>Iván Sánchez (Levante y Albacete)</v>
      </c>
    </row>
    <row r="191" spans="2:16">
      <c r="B191" s="33">
        <f ca="1">IFERROR(__xludf.DUMMYFUNCTION("""COMPUTED_VALUE"""),2026)</f>
        <v>2026</v>
      </c>
      <c r="C191" s="15">
        <f ca="1">IFERROR(__xludf.DUMMYFUNCTION("""COMPUTED_VALUE"""),2)</f>
        <v>2</v>
      </c>
      <c r="D191" s="6" t="str">
        <f ca="1">IFERROR(__xludf.DUMMYFUNCTION("""COMPUTED_VALUE"""),"NO")</f>
        <v>NO</v>
      </c>
      <c r="E191" s="6" t="str">
        <f ca="1">IFERROR(__xludf.DUMMYFUNCTION("""COMPUTED_VALUE"""),"Albacete")</f>
        <v>Albacete</v>
      </c>
      <c r="F191" s="16">
        <f ca="1">IFERROR(__xludf.DUMMYFUNCTION("""COMPUTED_VALUE"""),46070)</f>
        <v>46070</v>
      </c>
      <c r="G191" s="16">
        <f ca="1">IFERROR(__xludf.DUMMYFUNCTION("""COMPUTED_VALUE"""),46036)</f>
        <v>46036</v>
      </c>
      <c r="H191" s="6" t="str">
        <f ca="1">IFERROR(__xludf.DUMMYFUNCTION("""COMPUTED_VALUE"""),"Albacete")</f>
        <v>Albacete</v>
      </c>
      <c r="I191" s="6" t="str">
        <f ca="1">IFERROR(__xludf.DUMMYFUNCTION("""COMPUTED_VALUE"""),"C20261141762719795")</f>
        <v>C20261141762719795</v>
      </c>
      <c r="J191" s="6" t="str">
        <f ca="1">IFERROR(__xludf.DUMMYFUNCTION("""COMPUTED_VALUE"""),"MARIA PILAR MORENO ORTEGA")</f>
        <v>MARIA PILAR MORENO ORTEGA</v>
      </c>
      <c r="K191" s="15">
        <f ca="1">IFERROR(__xludf.DUMMYFUNCTION("""COMPUTED_VALUE"""),1)</f>
        <v>1</v>
      </c>
      <c r="L191" s="21">
        <f ca="1">IFERROR(__xludf.DUMMYFUNCTION("""COMPUTED_VALUE"""),2481.82)</f>
        <v>2481.8200000000002</v>
      </c>
      <c r="M191" s="6" t="str">
        <f ca="1">IFERROR(__xludf.DUMMYFUNCTION("""COMPUTED_VALUE"""),"03 ORL")</f>
        <v>03 ORL</v>
      </c>
      <c r="N191" s="6" t="str">
        <f ca="1">IFERROR(__xludf.DUMMYFUNCTION("""COMPUTED_VALUE"""),"06 ORL")</f>
        <v>06 ORL</v>
      </c>
      <c r="O191" s="6" t="str">
        <f ca="1">IFERROR(__xludf.DUMMYFUNCTION("""COMPUTED_VALUE"""),"Dr, Pedro Seguí Moya")</f>
        <v>Dr, Pedro Seguí Moya</v>
      </c>
      <c r="P191" s="6" t="str">
        <f ca="1">IFERROR(__xludf.DUMMYFUNCTION("""COMPUTED_VALUE"""),"Iván Sánchez (Levante y Albacete)")</f>
        <v>Iván Sánchez (Levante y Albacete)</v>
      </c>
    </row>
    <row r="192" spans="2:16" ht="19.5" customHeight="1">
      <c r="B192" s="33">
        <f ca="1">IFERROR(__xludf.DUMMYFUNCTION("""COMPUTED_VALUE"""),2026)</f>
        <v>2026</v>
      </c>
      <c r="C192" s="15">
        <f ca="1">IFERROR(__xludf.DUMMYFUNCTION("""COMPUTED_VALUE"""),2)</f>
        <v>2</v>
      </c>
      <c r="D192" s="6" t="str">
        <f ca="1">IFERROR(__xludf.DUMMYFUNCTION("""COMPUTED_VALUE"""),"NO")</f>
        <v>NO</v>
      </c>
      <c r="E192" s="6" t="str">
        <f ca="1">IFERROR(__xludf.DUMMYFUNCTION("""COMPUTED_VALUE"""),"Alicante")</f>
        <v>Alicante</v>
      </c>
      <c r="F192" s="16">
        <f ca="1">IFERROR(__xludf.DUMMYFUNCTION("""COMPUTED_VALUE"""),46070)</f>
        <v>46070</v>
      </c>
      <c r="G192" s="16">
        <f ca="1">IFERROR(__xludf.DUMMYFUNCTION("""COMPUTED_VALUE"""),46035)</f>
        <v>46035</v>
      </c>
      <c r="H192" s="6" t="str">
        <f ca="1">IFERROR(__xludf.DUMMYFUNCTION("""COMPUTED_VALUE"""),"Alicante")</f>
        <v>Alicante</v>
      </c>
      <c r="I192" s="6" t="str">
        <f ca="1">IFERROR(__xludf.DUMMYFUNCTION("""COMPUTED_VALUE"""),"C202611316359736174")</f>
        <v>C202611316359736174</v>
      </c>
      <c r="J192" s="6" t="str">
        <f ca="1">IFERROR(__xludf.DUMMYFUNCTION("""COMPUTED_VALUE"""),"ASUNCION SOLER ORTS")</f>
        <v>ASUNCION SOLER ORTS</v>
      </c>
      <c r="K192" s="15">
        <f ca="1">IFERROR(__xludf.DUMMYFUNCTION("""COMPUTED_VALUE"""),2)</f>
        <v>2</v>
      </c>
      <c r="L192" s="21">
        <f ca="1">IFERROR(__xludf.DUMMYFUNCTION("""COMPUTED_VALUE"""),3631.82)</f>
        <v>3631.82</v>
      </c>
      <c r="M192" s="6" t="str">
        <f ca="1">IFERROR(__xludf.DUMMYFUNCTION("""COMPUTED_VALUE"""),"03 ORL")</f>
        <v>03 ORL</v>
      </c>
      <c r="N192" s="6" t="str">
        <f ca="1">IFERROR(__xludf.DUMMYFUNCTION("""COMPUTED_VALUE"""),"06 ORL")</f>
        <v>06 ORL</v>
      </c>
      <c r="O192" s="6" t="str">
        <f ca="1">IFERROR(__xludf.DUMMYFUNCTION("""COMPUTED_VALUE"""),"Dra, Cristina Muñoz Pinto")</f>
        <v>Dra, Cristina Muñoz Pinto</v>
      </c>
      <c r="P192" s="6" t="str">
        <f ca="1">IFERROR(__xludf.DUMMYFUNCTION("""COMPUTED_VALUE"""),"Iván Sánchez (Levante y Albacete)")</f>
        <v>Iván Sánchez (Levante y Albacete)</v>
      </c>
    </row>
    <row r="193" spans="2:16">
      <c r="B193" s="33">
        <f ca="1">IFERROR(__xludf.DUMMYFUNCTION("""COMPUTED_VALUE"""),2026)</f>
        <v>2026</v>
      </c>
      <c r="C193" s="15">
        <f ca="1">IFERROR(__xludf.DUMMYFUNCTION("""COMPUTED_VALUE"""),2)</f>
        <v>2</v>
      </c>
      <c r="D193" s="6" t="str">
        <f ca="1">IFERROR(__xludf.DUMMYFUNCTION("""COMPUTED_VALUE"""),"NO")</f>
        <v>NO</v>
      </c>
      <c r="E193" s="6" t="str">
        <f ca="1">IFERROR(__xludf.DUMMYFUNCTION("""COMPUTED_VALUE"""),"Getafe")</f>
        <v>Getafe</v>
      </c>
      <c r="F193" s="16">
        <f ca="1">IFERROR(__xludf.DUMMYFUNCTION("""COMPUTED_VALUE"""),46071)</f>
        <v>46071</v>
      </c>
      <c r="G193" s="16">
        <f ca="1">IFERROR(__xludf.DUMMYFUNCTION("""COMPUTED_VALUE"""),45986)</f>
        <v>45986</v>
      </c>
      <c r="H193" s="6" t="str">
        <f ca="1">IFERROR(__xludf.DUMMYFUNCTION("""COMPUTED_VALUE"""),"Getafe")</f>
        <v>Getafe</v>
      </c>
      <c r="I193" s="6" t="str">
        <f ca="1">IFERROR(__xludf.DUMMYFUNCTION("""COMPUTED_VALUE"""),"C202511251623151961")</f>
        <v>C202511251623151961</v>
      </c>
      <c r="J193" s="6" t="str">
        <f ca="1">IFERROR(__xludf.DUMMYFUNCTION("""COMPUTED_VALUE"""),"MARIFE SANCHEZ FOUZ")</f>
        <v>MARIFE SANCHEZ FOUZ</v>
      </c>
      <c r="K193" s="15">
        <f ca="1">IFERROR(__xludf.DUMMYFUNCTION("""COMPUTED_VALUE"""),2)</f>
        <v>2</v>
      </c>
      <c r="L193" s="21">
        <f ca="1">IFERROR(__xludf.DUMMYFUNCTION("""COMPUTED_VALUE"""),2718.18)</f>
        <v>2718.18</v>
      </c>
      <c r="M193" s="6" t="str">
        <f ca="1">IFERROR(__xludf.DUMMYFUNCTION("""COMPUTED_VALUE"""),"03 ORL")</f>
        <v>03 ORL</v>
      </c>
      <c r="N193" s="6" t="str">
        <f ca="1">IFERROR(__xludf.DUMMYFUNCTION("""COMPUTED_VALUE"""),"06 ORL")</f>
        <v>06 ORL</v>
      </c>
      <c r="O193" s="6" t="str">
        <f ca="1">IFERROR(__xludf.DUMMYFUNCTION("""COMPUTED_VALUE"""),"No recuerda ORL")</f>
        <v>No recuerda ORL</v>
      </c>
      <c r="P193" s="6" t="str">
        <f ca="1">IFERROR(__xludf.DUMMYFUNCTION("""COMPUTED_VALUE"""),"Maika Blázquez (Madrid)")</f>
        <v>Maika Blázquez (Madrid)</v>
      </c>
    </row>
    <row r="194" spans="2:16">
      <c r="B194" s="33">
        <f ca="1">IFERROR(__xludf.DUMMYFUNCTION("""COMPUTED_VALUE"""),2026)</f>
        <v>2026</v>
      </c>
      <c r="C194" s="15">
        <f ca="1">IFERROR(__xludf.DUMMYFUNCTION("""COMPUTED_VALUE"""),2)</f>
        <v>2</v>
      </c>
      <c r="D194" s="6" t="str">
        <f ca="1">IFERROR(__xludf.DUMMYFUNCTION("""COMPUTED_VALUE"""),"NO")</f>
        <v>NO</v>
      </c>
      <c r="E194" s="6" t="str">
        <f ca="1">IFERROR(__xludf.DUMMYFUNCTION("""COMPUTED_VALUE"""),"Cáceres")</f>
        <v>Cáceres</v>
      </c>
      <c r="F194" s="16">
        <f ca="1">IFERROR(__xludf.DUMMYFUNCTION("""COMPUTED_VALUE"""),46071)</f>
        <v>46071</v>
      </c>
      <c r="G194" s="16">
        <f ca="1">IFERROR(__xludf.DUMMYFUNCTION("""COMPUTED_VALUE"""),46049)</f>
        <v>46049</v>
      </c>
      <c r="H194" s="6" t="str">
        <f ca="1">IFERROR(__xludf.DUMMYFUNCTION("""COMPUTED_VALUE"""),"Cáceres")</f>
        <v>Cáceres</v>
      </c>
      <c r="I194" s="6" t="str">
        <f ca="1">IFERROR(__xludf.DUMMYFUNCTION("""COMPUTED_VALUE"""),"C20261279438014227")</f>
        <v>C20261279438014227</v>
      </c>
      <c r="J194" s="6" t="str">
        <f ca="1">IFERROR(__xludf.DUMMYFUNCTION("""COMPUTED_VALUE"""),"VICTORIA GOMEZ CORTES")</f>
        <v>VICTORIA GOMEZ CORTES</v>
      </c>
      <c r="K194" s="15">
        <f ca="1">IFERROR(__xludf.DUMMYFUNCTION("""COMPUTED_VALUE"""),2)</f>
        <v>2</v>
      </c>
      <c r="L194" s="21">
        <f ca="1">IFERROR(__xludf.DUMMYFUNCTION("""COMPUTED_VALUE"""),4990.91)</f>
        <v>4990.91</v>
      </c>
      <c r="M194" s="6" t="str">
        <f ca="1">IFERROR(__xludf.DUMMYFUNCTION("""COMPUTED_VALUE"""),"03 ORL")</f>
        <v>03 ORL</v>
      </c>
      <c r="N194" s="6" t="str">
        <f ca="1">IFERROR(__xludf.DUMMYFUNCTION("""COMPUTED_VALUE"""),"06 ORL")</f>
        <v>06 ORL</v>
      </c>
      <c r="O194" s="6" t="str">
        <f ca="1">IFERROR(__xludf.DUMMYFUNCTION("""COMPUTED_VALUE"""),"Dra, Marta García Jiménez")</f>
        <v>Dra, Marta García Jiménez</v>
      </c>
      <c r="P194" s="6" t="str">
        <f ca="1">IFERROR(__xludf.DUMMYFUNCTION("""COMPUTED_VALUE"""),"Lisandro Russian (Madrid, Cáceres, Toledo, Talavera y Logroño)")</f>
        <v>Lisandro Russian (Madrid, Cáceres, Toledo, Talavera y Logroño)</v>
      </c>
    </row>
    <row r="195" spans="2:16">
      <c r="B195" s="33">
        <f ca="1">IFERROR(__xludf.DUMMYFUNCTION("""COMPUTED_VALUE"""),2026)</f>
        <v>2026</v>
      </c>
      <c r="C195" s="15">
        <f ca="1">IFERROR(__xludf.DUMMYFUNCTION("""COMPUTED_VALUE"""),2)</f>
        <v>2</v>
      </c>
      <c r="D195" s="6" t="str">
        <f ca="1">IFERROR(__xludf.DUMMYFUNCTION("""COMPUTED_VALUE"""),"NO")</f>
        <v>NO</v>
      </c>
      <c r="E195" s="6" t="str">
        <f ca="1">IFERROR(__xludf.DUMMYFUNCTION("""COMPUTED_VALUE"""),"Fuenlabrada")</f>
        <v>Fuenlabrada</v>
      </c>
      <c r="F195" s="16">
        <f ca="1">IFERROR(__xludf.DUMMYFUNCTION("""COMPUTED_VALUE"""),46071)</f>
        <v>46071</v>
      </c>
      <c r="G195" s="16">
        <f ca="1">IFERROR(__xludf.DUMMYFUNCTION("""COMPUTED_VALUE"""),45321)</f>
        <v>45321</v>
      </c>
      <c r="H195" s="6" t="str">
        <f ca="1">IFERROR(__xludf.DUMMYFUNCTION("""COMPUTED_VALUE"""),"Fuenlabrada")</f>
        <v>Fuenlabrada</v>
      </c>
      <c r="I195" s="6" t="str">
        <f ca="1">IFERROR(__xludf.DUMMYFUNCTION("""COMPUTED_VALUE"""),"FNL-3357")</f>
        <v>FNL-3357</v>
      </c>
      <c r="J195" s="6" t="str">
        <f ca="1">IFERROR(__xludf.DUMMYFUNCTION("""COMPUTED_VALUE"""),"JOSE ANTONIO MARTINEZ ANDRES")</f>
        <v>JOSE ANTONIO MARTINEZ ANDRES</v>
      </c>
      <c r="K195" s="15">
        <f ca="1">IFERROR(__xludf.DUMMYFUNCTION("""COMPUTED_VALUE"""),1)</f>
        <v>1</v>
      </c>
      <c r="L195" s="21">
        <f ca="1">IFERROR(__xludf.DUMMYFUNCTION("""COMPUTED_VALUE"""),2180.91)</f>
        <v>2180.91</v>
      </c>
      <c r="M195" s="6" t="str">
        <f ca="1">IFERROR(__xludf.DUMMYFUNCTION("""COMPUTED_VALUE"""),"03 ORL")</f>
        <v>03 ORL</v>
      </c>
      <c r="N195" s="6" t="str">
        <f ca="1">IFERROR(__xludf.DUMMYFUNCTION("""COMPUTED_VALUE"""),"06 ORL")</f>
        <v>06 ORL</v>
      </c>
      <c r="O195" s="6" t="str">
        <f ca="1">IFERROR(__xludf.DUMMYFUNCTION("""COMPUTED_VALUE"""),"Dra, Concepcion Rodríguez Izquierdo")</f>
        <v>Dra, Concepcion Rodríguez Izquierdo</v>
      </c>
      <c r="P195" s="6" t="str">
        <f ca="1">IFERROR(__xludf.DUMMYFUNCTION("""COMPUTED_VALUE"""),"Maika Blázquez (Madrid)")</f>
        <v>Maika Blázquez (Madrid)</v>
      </c>
    </row>
    <row r="196" spans="2:16">
      <c r="B196" s="33">
        <f ca="1">IFERROR(__xludf.DUMMYFUNCTION("""COMPUTED_VALUE"""),2026)</f>
        <v>2026</v>
      </c>
      <c r="C196" s="15">
        <f ca="1">IFERROR(__xludf.DUMMYFUNCTION("""COMPUTED_VALUE"""),2)</f>
        <v>2</v>
      </c>
      <c r="D196" s="6" t="str">
        <f ca="1">IFERROR(__xludf.DUMMYFUNCTION("""COMPUTED_VALUE"""),"NO")</f>
        <v>NO</v>
      </c>
      <c r="E196" s="6" t="str">
        <f ca="1">IFERROR(__xludf.DUMMYFUNCTION("""COMPUTED_VALUE"""),"Salamanca")</f>
        <v>Salamanca</v>
      </c>
      <c r="F196" s="16">
        <f ca="1">IFERROR(__xludf.DUMMYFUNCTION("""COMPUTED_VALUE"""),46071)</f>
        <v>46071</v>
      </c>
      <c r="G196" s="16">
        <f ca="1">IFERROR(__xludf.DUMMYFUNCTION("""COMPUTED_VALUE"""),46029)</f>
        <v>46029</v>
      </c>
      <c r="H196" s="6" t="str">
        <f ca="1">IFERROR(__xludf.DUMMYFUNCTION("""COMPUTED_VALUE"""),"Salamanca")</f>
        <v>Salamanca</v>
      </c>
      <c r="I196" s="6" t="str">
        <f ca="1">IFERROR(__xludf.DUMMYFUNCTION("""COMPUTED_VALUE"""),"C20261792847389075")</f>
        <v>C20261792847389075</v>
      </c>
      <c r="J196" s="6" t="str">
        <f ca="1">IFERROR(__xludf.DUMMYFUNCTION("""COMPUTED_VALUE"""),"MARIA INMACULADA  GOMEZ MARTIN")</f>
        <v>MARIA INMACULADA  GOMEZ MARTIN</v>
      </c>
      <c r="K196" s="15">
        <f ca="1">IFERROR(__xludf.DUMMYFUNCTION("""COMPUTED_VALUE"""),2)</f>
        <v>2</v>
      </c>
      <c r="L196" s="21">
        <f ca="1">IFERROR(__xludf.DUMMYFUNCTION("""COMPUTED_VALUE"""),3730)</f>
        <v>3730</v>
      </c>
      <c r="M196" s="6" t="str">
        <f ca="1">IFERROR(__xludf.DUMMYFUNCTION("""COMPUTED_VALUE"""),"03 ORL")</f>
        <v>03 ORL</v>
      </c>
      <c r="N196" s="6" t="str">
        <f ca="1">IFERROR(__xludf.DUMMYFUNCTION("""COMPUTED_VALUE"""),"06 ORL")</f>
        <v>06 ORL</v>
      </c>
      <c r="O196" s="6" t="str">
        <f ca="1">IFERROR(__xludf.DUMMYFUNCTION("""COMPUTED_VALUE"""),"No recuerda ORL")</f>
        <v>No recuerda ORL</v>
      </c>
      <c r="P196" s="6" t="str">
        <f ca="1">IFERROR(__xludf.DUMMYFUNCTION("""COMPUTED_VALUE"""),"Alberto Moreno (Madrid)")</f>
        <v>Alberto Moreno (Madrid)</v>
      </c>
    </row>
    <row r="197" spans="2:16">
      <c r="B197" s="33">
        <f ca="1">IFERROR(__xludf.DUMMYFUNCTION("""COMPUTED_VALUE"""),2026)</f>
        <v>2026</v>
      </c>
      <c r="C197" s="15">
        <f ca="1">IFERROR(__xludf.DUMMYFUNCTION("""COMPUTED_VALUE"""),2)</f>
        <v>2</v>
      </c>
      <c r="D197" s="6" t="str">
        <f ca="1">IFERROR(__xludf.DUMMYFUNCTION("""COMPUTED_VALUE"""),"NO")</f>
        <v>NO</v>
      </c>
      <c r="E197" s="6" t="str">
        <f ca="1">IFERROR(__xludf.DUMMYFUNCTION("""COMPUTED_VALUE"""),"Sevilla- Montoto")</f>
        <v>Sevilla- Montoto</v>
      </c>
      <c r="F197" s="16">
        <f ca="1">IFERROR(__xludf.DUMMYFUNCTION("""COMPUTED_VALUE"""),46071)</f>
        <v>46071</v>
      </c>
      <c r="G197" s="16">
        <f ca="1">IFERROR(__xludf.DUMMYFUNCTION("""COMPUTED_VALUE"""),46014)</f>
        <v>46014</v>
      </c>
      <c r="H197" s="6" t="str">
        <f ca="1">IFERROR(__xludf.DUMMYFUNCTION("""COMPUTED_VALUE"""),"Montoto")</f>
        <v>Montoto</v>
      </c>
      <c r="I197" s="6" t="str">
        <f ca="1">IFERROR(__xludf.DUMMYFUNCTION("""COMPUTED_VALUE"""),"C202512231741419868")</f>
        <v>C202512231741419868</v>
      </c>
      <c r="J197" s="6" t="str">
        <f ca="1">IFERROR(__xludf.DUMMYFUNCTION("""COMPUTED_VALUE"""),"JOSE MANUEL ROMERO ALVAREZ")</f>
        <v>JOSE MANUEL ROMERO ALVAREZ</v>
      </c>
      <c r="K197" s="15">
        <f ca="1">IFERROR(__xludf.DUMMYFUNCTION("""COMPUTED_VALUE"""),2)</f>
        <v>2</v>
      </c>
      <c r="L197" s="21">
        <f ca="1">IFERROR(__xludf.DUMMYFUNCTION("""COMPUTED_VALUE"""),3631.82)</f>
        <v>3631.82</v>
      </c>
      <c r="M197" s="6" t="str">
        <f ca="1">IFERROR(__xludf.DUMMYFUNCTION("""COMPUTED_VALUE"""),"03 ORL")</f>
        <v>03 ORL</v>
      </c>
      <c r="N197" s="6" t="str">
        <f ca="1">IFERROR(__xludf.DUMMYFUNCTION("""COMPUTED_VALUE"""),"06 ORL")</f>
        <v>06 ORL</v>
      </c>
      <c r="O197" s="6" t="str">
        <f ca="1">IFERROR(__xludf.DUMMYFUNCTION("""COMPUTED_VALUE"""),"Dr, Alfonso María Pérez Sánchez")</f>
        <v>Dr, Alfonso María Pérez Sánchez</v>
      </c>
      <c r="P197" s="6" t="str">
        <f ca="1">IFERROR(__xludf.DUMMYFUNCTION("""COMPUTED_VALUE"""),"Luis Alberto Rodríguez (Andalucía y Badajoz)")</f>
        <v>Luis Alberto Rodríguez (Andalucía y Badajoz)</v>
      </c>
    </row>
    <row r="198" spans="2:16">
      <c r="B198" s="33">
        <f ca="1">IFERROR(__xludf.DUMMYFUNCTION("""COMPUTED_VALUE"""),2026)</f>
        <v>2026</v>
      </c>
      <c r="C198" s="15">
        <f ca="1">IFERROR(__xludf.DUMMYFUNCTION("""COMPUTED_VALUE"""),2)</f>
        <v>2</v>
      </c>
      <c r="D198" s="6" t="str">
        <f ca="1">IFERROR(__xludf.DUMMYFUNCTION("""COMPUTED_VALUE"""),"NO")</f>
        <v>NO</v>
      </c>
      <c r="E198" s="6" t="str">
        <f ca="1">IFERROR(__xludf.DUMMYFUNCTION("""COMPUTED_VALUE"""),"Orihuela")</f>
        <v>Orihuela</v>
      </c>
      <c r="F198" s="16">
        <f ca="1">IFERROR(__xludf.DUMMYFUNCTION("""COMPUTED_VALUE"""),46071)</f>
        <v>46071</v>
      </c>
      <c r="G198" s="16">
        <f ca="1">IFERROR(__xludf.DUMMYFUNCTION("""COMPUTED_VALUE"""),46050)</f>
        <v>46050</v>
      </c>
      <c r="H198" s="6" t="str">
        <f ca="1">IFERROR(__xludf.DUMMYFUNCTION("""COMPUTED_VALUE"""),"La Zenia")</f>
        <v>La Zenia</v>
      </c>
      <c r="I198" s="6" t="str">
        <f ca="1">IFERROR(__xludf.DUMMYFUNCTION("""COMPUTED_VALUE"""),"C202612811201547926")</f>
        <v>C202612811201547926</v>
      </c>
      <c r="J198" s="6" t="str">
        <f ca="1">IFERROR(__xludf.DUMMYFUNCTION("""COMPUTED_VALUE"""),"HANS PETER DECKER")</f>
        <v>HANS PETER DECKER</v>
      </c>
      <c r="K198" s="15">
        <f ca="1">IFERROR(__xludf.DUMMYFUNCTION("""COMPUTED_VALUE"""),2)</f>
        <v>2</v>
      </c>
      <c r="L198" s="21">
        <f ca="1">IFERROR(__xludf.DUMMYFUNCTION("""COMPUTED_VALUE"""),3631.82)</f>
        <v>3631.82</v>
      </c>
      <c r="M198" s="6" t="str">
        <f ca="1">IFERROR(__xludf.DUMMYFUNCTION("""COMPUTED_VALUE"""),"03 ORL")</f>
        <v>03 ORL</v>
      </c>
      <c r="N198" s="6" t="str">
        <f ca="1">IFERROR(__xludf.DUMMYFUNCTION("""COMPUTED_VALUE"""),"06 ORL")</f>
        <v>06 ORL</v>
      </c>
      <c r="O198" s="6" t="str">
        <f ca="1">IFERROR(__xludf.DUMMYFUNCTION("""COMPUTED_VALUE"""),"Dra, María Agustina Sevilla García")</f>
        <v>Dra, María Agustina Sevilla García</v>
      </c>
      <c r="P198" s="6" t="str">
        <f ca="1">IFERROR(__xludf.DUMMYFUNCTION("""COMPUTED_VALUE"""),"Iván Sánchez (Levante y Albacete)")</f>
        <v>Iván Sánchez (Levante y Albacete)</v>
      </c>
    </row>
    <row r="199" spans="2:16">
      <c r="B199" s="33">
        <f ca="1">IFERROR(__xludf.DUMMYFUNCTION("""COMPUTED_VALUE"""),2026)</f>
        <v>2026</v>
      </c>
      <c r="C199" s="15">
        <f ca="1">IFERROR(__xludf.DUMMYFUNCTION("""COMPUTED_VALUE"""),2)</f>
        <v>2</v>
      </c>
      <c r="D199" s="6" t="str">
        <f ca="1">IFERROR(__xludf.DUMMYFUNCTION("""COMPUTED_VALUE"""),"NO")</f>
        <v>NO</v>
      </c>
      <c r="E199" s="6" t="str">
        <f ca="1">IFERROR(__xludf.DUMMYFUNCTION("""COMPUTED_VALUE"""),"Lugo")</f>
        <v>Lugo</v>
      </c>
      <c r="F199" s="16">
        <f ca="1">IFERROR(__xludf.DUMMYFUNCTION("""COMPUTED_VALUE"""),46072)</f>
        <v>46072</v>
      </c>
      <c r="G199" s="16">
        <f ca="1">IFERROR(__xludf.DUMMYFUNCTION("""COMPUTED_VALUE"""),46037)</f>
        <v>46037</v>
      </c>
      <c r="H199" s="6" t="str">
        <f ca="1">IFERROR(__xludf.DUMMYFUNCTION("""COMPUTED_VALUE"""),"Lugo")</f>
        <v>Lugo</v>
      </c>
      <c r="I199" s="6" t="str">
        <f ca="1">IFERROR(__xludf.DUMMYFUNCTION("""COMPUTED_VALUE"""),"C202611515322507357")</f>
        <v>C202611515322507357</v>
      </c>
      <c r="J199" s="6" t="str">
        <f ca="1">IFERROR(__xludf.DUMMYFUNCTION("""COMPUTED_VALUE"""),"JESUSA BARREIRO MARTINEZ")</f>
        <v>JESUSA BARREIRO MARTINEZ</v>
      </c>
      <c r="K199" s="15">
        <f ca="1">IFERROR(__xludf.DUMMYFUNCTION("""COMPUTED_VALUE"""),2)</f>
        <v>2</v>
      </c>
      <c r="L199" s="21">
        <f ca="1">IFERROR(__xludf.DUMMYFUNCTION("""COMPUTED_VALUE"""),2718.18)</f>
        <v>2718.18</v>
      </c>
      <c r="M199" s="6" t="str">
        <f ca="1">IFERROR(__xludf.DUMMYFUNCTION("""COMPUTED_VALUE"""),"03 ORL")</f>
        <v>03 ORL</v>
      </c>
      <c r="N199" s="6" t="str">
        <f ca="1">IFERROR(__xludf.DUMMYFUNCTION("""COMPUTED_VALUE"""),"06 ORL")</f>
        <v>06 ORL</v>
      </c>
      <c r="O199" s="6" t="str">
        <f ca="1">IFERROR(__xludf.DUMMYFUNCTION("""COMPUTED_VALUE"""),"Dr, Pedro Juiz López")</f>
        <v>Dr, Pedro Juiz López</v>
      </c>
      <c r="P199" s="6" t="str">
        <f ca="1">IFERROR(__xludf.DUMMYFUNCTION("""COMPUTED_VALUE"""),"Kiko Ortega (Galicia)")</f>
        <v>Kiko Ortega (Galicia)</v>
      </c>
    </row>
    <row r="200" spans="2:16">
      <c r="B200" s="33">
        <f ca="1">IFERROR(__xludf.DUMMYFUNCTION("""COMPUTED_VALUE"""),2026)</f>
        <v>2026</v>
      </c>
      <c r="C200" s="15">
        <f ca="1">IFERROR(__xludf.DUMMYFUNCTION("""COMPUTED_VALUE"""),2)</f>
        <v>2</v>
      </c>
      <c r="D200" s="6" t="str">
        <f ca="1">IFERROR(__xludf.DUMMYFUNCTION("""COMPUTED_VALUE"""),"NO")</f>
        <v>NO</v>
      </c>
      <c r="E200" s="6" t="str">
        <f ca="1">IFERROR(__xludf.DUMMYFUNCTION("""COMPUTED_VALUE"""),"Sevilla- Ciencias")</f>
        <v>Sevilla- Ciencias</v>
      </c>
      <c r="F200" s="16">
        <f ca="1">IFERROR(__xludf.DUMMYFUNCTION("""COMPUTED_VALUE"""),46072)</f>
        <v>46072</v>
      </c>
      <c r="G200" s="16">
        <f ca="1">IFERROR(__xludf.DUMMYFUNCTION("""COMPUTED_VALUE"""),46037)</f>
        <v>46037</v>
      </c>
      <c r="H200" s="6" t="str">
        <f ca="1">IFERROR(__xludf.DUMMYFUNCTION("""COMPUTED_VALUE"""),"Sevilla Este")</f>
        <v>Sevilla Este</v>
      </c>
      <c r="I200" s="6" t="str">
        <f ca="1">IFERROR(__xludf.DUMMYFUNCTION("""COMPUTED_VALUE"""),"C202611513242917232")</f>
        <v>C202611513242917232</v>
      </c>
      <c r="J200" s="6" t="str">
        <f ca="1">IFERROR(__xludf.DUMMYFUNCTION("""COMPUTED_VALUE"""),"MANUEL ZAMORA CASTRO")</f>
        <v>MANUEL ZAMORA CASTRO</v>
      </c>
      <c r="K200" s="15">
        <f ca="1">IFERROR(__xludf.DUMMYFUNCTION("""COMPUTED_VALUE"""),2)</f>
        <v>2</v>
      </c>
      <c r="L200" s="21">
        <f ca="1">IFERROR(__xludf.DUMMYFUNCTION("""COMPUTED_VALUE"""),3631.82)</f>
        <v>3631.82</v>
      </c>
      <c r="M200" s="6" t="str">
        <f ca="1">IFERROR(__xludf.DUMMYFUNCTION("""COMPUTED_VALUE"""),"03 ORL")</f>
        <v>03 ORL</v>
      </c>
      <c r="N200" s="6" t="str">
        <f ca="1">IFERROR(__xludf.DUMMYFUNCTION("""COMPUTED_VALUE"""),"06 ORL")</f>
        <v>06 ORL</v>
      </c>
      <c r="O200" s="6" t="str">
        <f ca="1">IFERROR(__xludf.DUMMYFUNCTION("""COMPUTED_VALUE"""),"Dr, Gustavo Benavente Bermudo")</f>
        <v>Dr, Gustavo Benavente Bermudo</v>
      </c>
      <c r="P200" s="6" t="str">
        <f ca="1">IFERROR(__xludf.DUMMYFUNCTION("""COMPUTED_VALUE"""),"Luis Alberto Rodríguez (Andalucía y Badajoz)")</f>
        <v>Luis Alberto Rodríguez (Andalucía y Badajoz)</v>
      </c>
    </row>
    <row r="201" spans="2:16">
      <c r="B201" s="33">
        <f ca="1">IFERROR(__xludf.DUMMYFUNCTION("""COMPUTED_VALUE"""),2026)</f>
        <v>2026</v>
      </c>
      <c r="C201" s="15">
        <f ca="1">IFERROR(__xludf.DUMMYFUNCTION("""COMPUTED_VALUE"""),2)</f>
        <v>2</v>
      </c>
      <c r="D201" s="6" t="str">
        <f ca="1">IFERROR(__xludf.DUMMYFUNCTION("""COMPUTED_VALUE"""),"NO")</f>
        <v>NO</v>
      </c>
      <c r="E201" s="6" t="str">
        <f ca="1">IFERROR(__xludf.DUMMYFUNCTION("""COMPUTED_VALUE"""),"Madrid- La Oca")</f>
        <v>Madrid- La Oca</v>
      </c>
      <c r="F201" s="16">
        <f ca="1">IFERROR(__xludf.DUMMYFUNCTION("""COMPUTED_VALUE"""),46072)</f>
        <v>46072</v>
      </c>
      <c r="G201" s="16">
        <f ca="1">IFERROR(__xludf.DUMMYFUNCTION("""COMPUTED_VALUE"""),46042)</f>
        <v>46042</v>
      </c>
      <c r="H201" s="6" t="str">
        <f ca="1">IFERROR(__xludf.DUMMYFUNCTION("""COMPUTED_VALUE"""),"La Oca")</f>
        <v>La Oca</v>
      </c>
      <c r="I201" s="6" t="str">
        <f ca="1">IFERROR(__xludf.DUMMYFUNCTION("""COMPUTED_VALUE"""),"C202612010113803169")</f>
        <v>C202612010113803169</v>
      </c>
      <c r="J201" s="6" t="str">
        <f ca="1">IFERROR(__xludf.DUMMYFUNCTION("""COMPUTED_VALUE"""),"MARIA ENCARNACION GONZALEZ GALLEGO ESPINOSA")</f>
        <v>MARIA ENCARNACION GONZALEZ GALLEGO ESPINOSA</v>
      </c>
      <c r="K201" s="15">
        <f ca="1">IFERROR(__xludf.DUMMYFUNCTION("""COMPUTED_VALUE"""),2)</f>
        <v>2</v>
      </c>
      <c r="L201" s="21">
        <f ca="1">IFERROR(__xludf.DUMMYFUNCTION("""COMPUTED_VALUE"""),2718.18)</f>
        <v>2718.18</v>
      </c>
      <c r="M201" s="6" t="str">
        <f ca="1">IFERROR(__xludf.DUMMYFUNCTION("""COMPUTED_VALUE"""),"03 ORL")</f>
        <v>03 ORL</v>
      </c>
      <c r="N201" s="6" t="str">
        <f ca="1">IFERROR(__xludf.DUMMYFUNCTION("""COMPUTED_VALUE"""),"06 ORL")</f>
        <v>06 ORL</v>
      </c>
      <c r="O201" s="6" t="str">
        <f ca="1">IFERROR(__xludf.DUMMYFUNCTION("""COMPUTED_VALUE"""),"Dr, Julio López Moya")</f>
        <v>Dr, Julio López Moya</v>
      </c>
      <c r="P201" s="6" t="str">
        <f ca="1">IFERROR(__xludf.DUMMYFUNCTION("""COMPUTED_VALUE"""),"Maika Blázquez (Madrid)")</f>
        <v>Maika Blázquez (Madrid)</v>
      </c>
    </row>
    <row r="202" spans="2:16">
      <c r="B202" s="33">
        <f ca="1">IFERROR(__xludf.DUMMYFUNCTION("""COMPUTED_VALUE"""),2026)</f>
        <v>2026</v>
      </c>
      <c r="C202" s="15">
        <f ca="1">IFERROR(__xludf.DUMMYFUNCTION("""COMPUTED_VALUE"""),2)</f>
        <v>2</v>
      </c>
      <c r="D202" s="6" t="str">
        <f ca="1">IFERROR(__xludf.DUMMYFUNCTION("""COMPUTED_VALUE"""),"NO")</f>
        <v>NO</v>
      </c>
      <c r="E202" s="6" t="str">
        <f ca="1">IFERROR(__xludf.DUMMYFUNCTION("""COMPUTED_VALUE"""),"Albacete")</f>
        <v>Albacete</v>
      </c>
      <c r="F202" s="16">
        <f ca="1">IFERROR(__xludf.DUMMYFUNCTION("""COMPUTED_VALUE"""),46072)</f>
        <v>46072</v>
      </c>
      <c r="G202" s="16">
        <f ca="1">IFERROR(__xludf.DUMMYFUNCTION("""COMPUTED_VALUE"""),46045)</f>
        <v>46045</v>
      </c>
      <c r="H202" s="6" t="str">
        <f ca="1">IFERROR(__xludf.DUMMYFUNCTION("""COMPUTED_VALUE"""),"Albacete")</f>
        <v>Albacete</v>
      </c>
      <c r="I202" s="6" t="str">
        <f ca="1">IFERROR(__xludf.DUMMYFUNCTION("""COMPUTED_VALUE"""),"C202612312201081452")</f>
        <v>C202612312201081452</v>
      </c>
      <c r="J202" s="6" t="str">
        <f ca="1">IFERROR(__xludf.DUMMYFUNCTION("""COMPUTED_VALUE"""),"ANTONIO GABALDON CANTERO")</f>
        <v>ANTONIO GABALDON CANTERO</v>
      </c>
      <c r="K202" s="15">
        <f ca="1">IFERROR(__xludf.DUMMYFUNCTION("""COMPUTED_VALUE"""),1)</f>
        <v>1</v>
      </c>
      <c r="L202" s="21">
        <f ca="1">IFERROR(__xludf.DUMMYFUNCTION("""COMPUTED_VALUE"""),1631.82)</f>
        <v>1631.82</v>
      </c>
      <c r="M202" s="6" t="str">
        <f ca="1">IFERROR(__xludf.DUMMYFUNCTION("""COMPUTED_VALUE"""),"03 ORL")</f>
        <v>03 ORL</v>
      </c>
      <c r="N202" s="6" t="str">
        <f ca="1">IFERROR(__xludf.DUMMYFUNCTION("""COMPUTED_VALUE"""),"06 ORL")</f>
        <v>06 ORL</v>
      </c>
      <c r="O202" s="6" t="str">
        <f ca="1">IFERROR(__xludf.DUMMYFUNCTION("""COMPUTED_VALUE"""),"Dr, Pedro Masegosa Zapata")</f>
        <v>Dr, Pedro Masegosa Zapata</v>
      </c>
      <c r="P202" s="6" t="str">
        <f ca="1">IFERROR(__xludf.DUMMYFUNCTION("""COMPUTED_VALUE"""),"Iván Sánchez (Levante y Albacete)")</f>
        <v>Iván Sánchez (Levante y Albacete)</v>
      </c>
    </row>
    <row r="203" spans="2:16">
      <c r="B203" s="33">
        <f ca="1">IFERROR(__xludf.DUMMYFUNCTION("""COMPUTED_VALUE"""),2026)</f>
        <v>2026</v>
      </c>
      <c r="C203" s="15">
        <f ca="1">IFERROR(__xludf.DUMMYFUNCTION("""COMPUTED_VALUE"""),2)</f>
        <v>2</v>
      </c>
      <c r="D203" s="6" t="str">
        <f ca="1">IFERROR(__xludf.DUMMYFUNCTION("""COMPUTED_VALUE"""),"NO")</f>
        <v>NO</v>
      </c>
      <c r="E203" s="6" t="str">
        <f ca="1">IFERROR(__xludf.DUMMYFUNCTION("""COMPUTED_VALUE"""),"Fuenlabrada")</f>
        <v>Fuenlabrada</v>
      </c>
      <c r="F203" s="16">
        <f ca="1">IFERROR(__xludf.DUMMYFUNCTION("""COMPUTED_VALUE"""),46072)</f>
        <v>46072</v>
      </c>
      <c r="G203" s="16">
        <f ca="1">IFERROR(__xludf.DUMMYFUNCTION("""COMPUTED_VALUE"""),46036)</f>
        <v>46036</v>
      </c>
      <c r="H203" s="6" t="str">
        <f ca="1">IFERROR(__xludf.DUMMYFUNCTION("""COMPUTED_VALUE"""),"Fuenlabrada")</f>
        <v>Fuenlabrada</v>
      </c>
      <c r="I203" s="6" t="str">
        <f ca="1">IFERROR(__xludf.DUMMYFUNCTION("""COMPUTED_VALUE"""),"C202611417462554800")</f>
        <v>C202611417462554800</v>
      </c>
      <c r="J203" s="6" t="str">
        <f ca="1">IFERROR(__xludf.DUMMYFUNCTION("""COMPUTED_VALUE"""),"MARGARITA GONZALEZ MARTIN")</f>
        <v>MARGARITA GONZALEZ MARTIN</v>
      </c>
      <c r="K203" s="15">
        <f ca="1">IFERROR(__xludf.DUMMYFUNCTION("""COMPUTED_VALUE"""),1)</f>
        <v>1</v>
      </c>
      <c r="L203" s="21">
        <f ca="1">IFERROR(__xludf.DUMMYFUNCTION("""COMPUTED_VALUE"""),1631.82)</f>
        <v>1631.82</v>
      </c>
      <c r="M203" s="6" t="str">
        <f ca="1">IFERROR(__xludf.DUMMYFUNCTION("""COMPUTED_VALUE"""),"03 ORL")</f>
        <v>03 ORL</v>
      </c>
      <c r="N203" s="6" t="str">
        <f ca="1">IFERROR(__xludf.DUMMYFUNCTION("""COMPUTED_VALUE"""),"06 ORL")</f>
        <v>06 ORL</v>
      </c>
      <c r="O203" s="6" t="str">
        <f ca="1">IFERROR(__xludf.DUMMYFUNCTION("""COMPUTED_VALUE"""),"Dra, Concepcion Rodríguez Izquierdo")</f>
        <v>Dra, Concepcion Rodríguez Izquierdo</v>
      </c>
      <c r="P203" s="6" t="str">
        <f ca="1">IFERROR(__xludf.DUMMYFUNCTION("""COMPUTED_VALUE"""),"Maika Blázquez (Madrid)")</f>
        <v>Maika Blázquez (Madrid)</v>
      </c>
    </row>
    <row r="204" spans="2:16">
      <c r="B204" s="33">
        <f ca="1">IFERROR(__xludf.DUMMYFUNCTION("""COMPUTED_VALUE"""),2026)</f>
        <v>2026</v>
      </c>
      <c r="C204" s="15">
        <f ca="1">IFERROR(__xludf.DUMMYFUNCTION("""COMPUTED_VALUE"""),2)</f>
        <v>2</v>
      </c>
      <c r="D204" s="6" t="str">
        <f ca="1">IFERROR(__xludf.DUMMYFUNCTION("""COMPUTED_VALUE"""),"NO")</f>
        <v>NO</v>
      </c>
      <c r="E204" s="6" t="str">
        <f ca="1">IFERROR(__xludf.DUMMYFUNCTION("""COMPUTED_VALUE"""),"León")</f>
        <v>León</v>
      </c>
      <c r="F204" s="16">
        <f ca="1">IFERROR(__xludf.DUMMYFUNCTION("""COMPUTED_VALUE"""),46072)</f>
        <v>46072</v>
      </c>
      <c r="G204" s="16">
        <f ca="1">IFERROR(__xludf.DUMMYFUNCTION("""COMPUTED_VALUE"""),46059)</f>
        <v>46059</v>
      </c>
      <c r="H204" s="6" t="str">
        <f ca="1">IFERROR(__xludf.DUMMYFUNCTION("""COMPUTED_VALUE"""),"León")</f>
        <v>León</v>
      </c>
      <c r="I204" s="6" t="str">
        <f ca="1">IFERROR(__xludf.DUMMYFUNCTION("""COMPUTED_VALUE"""),"C20262695038079529")</f>
        <v>C20262695038079529</v>
      </c>
      <c r="J204" s="6" t="str">
        <f ca="1">IFERROR(__xludf.DUMMYFUNCTION("""COMPUTED_VALUE"""),"Erundina Herrero Calvo")</f>
        <v>Erundina Herrero Calvo</v>
      </c>
      <c r="K204" s="15">
        <f ca="1">IFERROR(__xludf.DUMMYFUNCTION("""COMPUTED_VALUE"""),2)</f>
        <v>2</v>
      </c>
      <c r="L204" s="21">
        <f ca="1">IFERROR(__xludf.DUMMYFUNCTION("""COMPUTED_VALUE"""),4090.91)</f>
        <v>4090.91</v>
      </c>
      <c r="M204" s="6" t="str">
        <f ca="1">IFERROR(__xludf.DUMMYFUNCTION("""COMPUTED_VALUE"""),"03 ORL")</f>
        <v>03 ORL</v>
      </c>
      <c r="N204" s="6" t="str">
        <f ca="1">IFERROR(__xludf.DUMMYFUNCTION("""COMPUTED_VALUE"""),"06 ORL")</f>
        <v>06 ORL</v>
      </c>
      <c r="O204" s="6" t="str">
        <f ca="1">IFERROR(__xludf.DUMMYFUNCTION("""COMPUTED_VALUE"""),"Dr, Carlos Durán Díez")</f>
        <v>Dr, Carlos Durán Díez</v>
      </c>
      <c r="P204" s="6" t="str">
        <f ca="1">IFERROR(__xludf.DUMMYFUNCTION("""COMPUTED_VALUE"""),"Alberto Moreno (Madrid)")</f>
        <v>Alberto Moreno (Madrid)</v>
      </c>
    </row>
    <row r="205" spans="2:16">
      <c r="B205" s="33">
        <f ca="1">IFERROR(__xludf.DUMMYFUNCTION("""COMPUTED_VALUE"""),2026)</f>
        <v>2026</v>
      </c>
      <c r="C205" s="15">
        <f ca="1">IFERROR(__xludf.DUMMYFUNCTION("""COMPUTED_VALUE"""),2)</f>
        <v>2</v>
      </c>
      <c r="D205" s="6" t="str">
        <f ca="1">IFERROR(__xludf.DUMMYFUNCTION("""COMPUTED_VALUE"""),"NO")</f>
        <v>NO</v>
      </c>
      <c r="E205" s="6" t="str">
        <f ca="1">IFERROR(__xludf.DUMMYFUNCTION("""COMPUTED_VALUE"""),"Madrid- Juan Bravo")</f>
        <v>Madrid- Juan Bravo</v>
      </c>
      <c r="F205" s="16">
        <f ca="1">IFERROR(__xludf.DUMMYFUNCTION("""COMPUTED_VALUE"""),46072)</f>
        <v>46072</v>
      </c>
      <c r="G205" s="16">
        <f ca="1">IFERROR(__xludf.DUMMYFUNCTION("""COMPUTED_VALUE"""),46051)</f>
        <v>46051</v>
      </c>
      <c r="H205" s="6" t="str">
        <f ca="1">IFERROR(__xludf.DUMMYFUNCTION("""COMPUTED_VALUE"""),"Juan Bravo")</f>
        <v>Juan Bravo</v>
      </c>
      <c r="I205" s="6" t="str">
        <f ca="1">IFERROR(__xludf.DUMMYFUNCTION("""COMPUTED_VALUE"""),"C202612911221958756")</f>
        <v>C202612911221958756</v>
      </c>
      <c r="J205" s="6" t="str">
        <f ca="1">IFERROR(__xludf.DUMMYFUNCTION("""COMPUTED_VALUE"""),"SOFIA MARTINEZ PONCE")</f>
        <v>SOFIA MARTINEZ PONCE</v>
      </c>
      <c r="K205" s="15">
        <f ca="1">IFERROR(__xludf.DUMMYFUNCTION("""COMPUTED_VALUE"""),2)</f>
        <v>2</v>
      </c>
      <c r="L205" s="21">
        <f ca="1">IFERROR(__xludf.DUMMYFUNCTION("""COMPUTED_VALUE"""),4136.36)</f>
        <v>4136.3599999999997</v>
      </c>
      <c r="M205" s="6" t="str">
        <f ca="1">IFERROR(__xludf.DUMMYFUNCTION("""COMPUTED_VALUE"""),"03 ORL")</f>
        <v>03 ORL</v>
      </c>
      <c r="N205" s="6" t="str">
        <f ca="1">IFERROR(__xludf.DUMMYFUNCTION("""COMPUTED_VALUE"""),"06 ORL")</f>
        <v>06 ORL</v>
      </c>
      <c r="O205" s="6" t="str">
        <f ca="1">IFERROR(__xludf.DUMMYFUNCTION("""COMPUTED_VALUE"""),"Dr, Javier García Domínguez")</f>
        <v>Dr, Javier García Domínguez</v>
      </c>
      <c r="P205" s="6" t="str">
        <f ca="1">IFERROR(__xludf.DUMMYFUNCTION("""COMPUTED_VALUE"""),"Maika Blázquez (Madrid)")</f>
        <v>Maika Blázquez (Madrid)</v>
      </c>
    </row>
    <row r="206" spans="2:16">
      <c r="B206" s="33">
        <f ca="1">IFERROR(__xludf.DUMMYFUNCTION("""COMPUTED_VALUE"""),2026)</f>
        <v>2026</v>
      </c>
      <c r="C206" s="15">
        <f ca="1">IFERROR(__xludf.DUMMYFUNCTION("""COMPUTED_VALUE"""),2)</f>
        <v>2</v>
      </c>
      <c r="D206" s="6" t="str">
        <f ca="1">IFERROR(__xludf.DUMMYFUNCTION("""COMPUTED_VALUE"""),"NO")</f>
        <v>NO</v>
      </c>
      <c r="E206" s="6" t="str">
        <f ca="1">IFERROR(__xludf.DUMMYFUNCTION("""COMPUTED_VALUE"""),"Torrejón de Ardoz")</f>
        <v>Torrejón de Ardoz</v>
      </c>
      <c r="F206" s="16">
        <f ca="1">IFERROR(__xludf.DUMMYFUNCTION("""COMPUTED_VALUE"""),46073)</f>
        <v>46073</v>
      </c>
      <c r="G206" s="16">
        <f ca="1">IFERROR(__xludf.DUMMYFUNCTION("""COMPUTED_VALUE"""),46031)</f>
        <v>46031</v>
      </c>
      <c r="H206" s="6" t="str">
        <f ca="1">IFERROR(__xludf.DUMMYFUNCTION("""COMPUTED_VALUE"""),"Torrejón")</f>
        <v>Torrejón</v>
      </c>
      <c r="I206" s="6" t="str">
        <f ca="1">IFERROR(__xludf.DUMMYFUNCTION("""COMPUTED_VALUE"""),"C20261985450557701")</f>
        <v>C20261985450557701</v>
      </c>
      <c r="J206" s="6" t="str">
        <f ca="1">IFERROR(__xludf.DUMMYFUNCTION("""COMPUTED_VALUE"""),"FRANCISCO JAVIER TRILLA MOCHALES")</f>
        <v>FRANCISCO JAVIER TRILLA MOCHALES</v>
      </c>
      <c r="K206" s="15">
        <f ca="1">IFERROR(__xludf.DUMMYFUNCTION("""COMPUTED_VALUE"""),1)</f>
        <v>1</v>
      </c>
      <c r="L206" s="21">
        <f ca="1">IFERROR(__xludf.DUMMYFUNCTION("""COMPUTED_VALUE"""),1550.23)</f>
        <v>1550.23</v>
      </c>
      <c r="M206" s="6" t="str">
        <f ca="1">IFERROR(__xludf.DUMMYFUNCTION("""COMPUTED_VALUE"""),"03 ORL")</f>
        <v>03 ORL</v>
      </c>
      <c r="N206" s="6" t="str">
        <f ca="1">IFERROR(__xludf.DUMMYFUNCTION("""COMPUTED_VALUE"""),"06 ORL")</f>
        <v>06 ORL</v>
      </c>
      <c r="O206" s="6" t="str">
        <f ca="1">IFERROR(__xludf.DUMMYFUNCTION("""COMPUTED_VALUE"""),"Dra, Cristina Peña Cifuentes")</f>
        <v>Dra, Cristina Peña Cifuentes</v>
      </c>
      <c r="P206" s="6" t="str">
        <f ca="1">IFERROR(__xludf.DUMMYFUNCTION("""COMPUTED_VALUE"""),"Maika Blázquez (Madrid)")</f>
        <v>Maika Blázquez (Madrid)</v>
      </c>
    </row>
    <row r="207" spans="2:16">
      <c r="B207" s="33">
        <f ca="1">IFERROR(__xludf.DUMMYFUNCTION("""COMPUTED_VALUE"""),2026)</f>
        <v>2026</v>
      </c>
      <c r="C207" s="15">
        <f ca="1">IFERROR(__xludf.DUMMYFUNCTION("""COMPUTED_VALUE"""),2)</f>
        <v>2</v>
      </c>
      <c r="D207" s="6" t="str">
        <f ca="1">IFERROR(__xludf.DUMMYFUNCTION("""COMPUTED_VALUE"""),"NO")</f>
        <v>NO</v>
      </c>
      <c r="E207" s="6" t="str">
        <f ca="1">IFERROR(__xludf.DUMMYFUNCTION("""COMPUTED_VALUE"""),"Valencia- Cádiz")</f>
        <v>Valencia- Cádiz</v>
      </c>
      <c r="F207" s="16">
        <f ca="1">IFERROR(__xludf.DUMMYFUNCTION("""COMPUTED_VALUE"""),46073)</f>
        <v>46073</v>
      </c>
      <c r="G207" s="16">
        <f ca="1">IFERROR(__xludf.DUMMYFUNCTION("""COMPUTED_VALUE"""),46001)</f>
        <v>46001</v>
      </c>
      <c r="H207" s="6" t="str">
        <f ca="1">IFERROR(__xludf.DUMMYFUNCTION("""COMPUTED_VALUE"""),"Valencia- Cádiz")</f>
        <v>Valencia- Cádiz</v>
      </c>
      <c r="I207" s="6" t="str">
        <f ca="1">IFERROR(__xludf.DUMMYFUNCTION("""COMPUTED_VALUE"""),"C202512101755565346")</f>
        <v>C202512101755565346</v>
      </c>
      <c r="J207" s="6" t="str">
        <f ca="1">IFERROR(__xludf.DUMMYFUNCTION("""COMPUTED_VALUE"""),"Maria del Carmen Delhom Costa")</f>
        <v>Maria del Carmen Delhom Costa</v>
      </c>
      <c r="K207" s="15">
        <f ca="1">IFERROR(__xludf.DUMMYFUNCTION("""COMPUTED_VALUE"""),2)</f>
        <v>2</v>
      </c>
      <c r="L207" s="21">
        <f ca="1">IFERROR(__xludf.DUMMYFUNCTION("""COMPUTED_VALUE"""),2718.19)</f>
        <v>2718.19</v>
      </c>
      <c r="M207" s="6" t="str">
        <f ca="1">IFERROR(__xludf.DUMMYFUNCTION("""COMPUTED_VALUE"""),"03 ORL")</f>
        <v>03 ORL</v>
      </c>
      <c r="N207" s="6" t="str">
        <f ca="1">IFERROR(__xludf.DUMMYFUNCTION("""COMPUTED_VALUE"""),"06 ORL")</f>
        <v>06 ORL</v>
      </c>
      <c r="O207" s="6" t="str">
        <f ca="1">IFERROR(__xludf.DUMMYFUNCTION("""COMPUTED_VALUE"""),"Dr, Abel Guzmán Calvete")</f>
        <v>Dr, Abel Guzmán Calvete</v>
      </c>
      <c r="P207" s="6" t="str">
        <f ca="1">IFERROR(__xludf.DUMMYFUNCTION("""COMPUTED_VALUE"""),"Ramon Ferrando(Valencia)")</f>
        <v>Ramon Ferrando(Valencia)</v>
      </c>
    </row>
    <row r="208" spans="2:16">
      <c r="B208" s="33">
        <f ca="1">IFERROR(__xludf.DUMMYFUNCTION("""COMPUTED_VALUE"""),2026)</f>
        <v>2026</v>
      </c>
      <c r="C208" s="15">
        <f ca="1">IFERROR(__xludf.DUMMYFUNCTION("""COMPUTED_VALUE"""),2)</f>
        <v>2</v>
      </c>
      <c r="D208" s="6" t="str">
        <f ca="1">IFERROR(__xludf.DUMMYFUNCTION("""COMPUTED_VALUE"""),"NO")</f>
        <v>NO</v>
      </c>
      <c r="E208" s="6" t="str">
        <f ca="1">IFERROR(__xludf.DUMMYFUNCTION("""COMPUTED_VALUE"""),"Leganés")</f>
        <v>Leganés</v>
      </c>
      <c r="F208" s="16">
        <f ca="1">IFERROR(__xludf.DUMMYFUNCTION("""COMPUTED_VALUE"""),46073)</f>
        <v>46073</v>
      </c>
      <c r="G208" s="16">
        <f ca="1">IFERROR(__xludf.DUMMYFUNCTION("""COMPUTED_VALUE"""),46036)</f>
        <v>46036</v>
      </c>
      <c r="H208" s="6" t="str">
        <f ca="1">IFERROR(__xludf.DUMMYFUNCTION("""COMPUTED_VALUE"""),"Leganés")</f>
        <v>Leganés</v>
      </c>
      <c r="I208" s="6" t="str">
        <f ca="1">IFERROR(__xludf.DUMMYFUNCTION("""COMPUTED_VALUE"""),"C202611495230842894")</f>
        <v>C202611495230842894</v>
      </c>
      <c r="J208" s="6" t="str">
        <f ca="1">IFERROR(__xludf.DUMMYFUNCTION("""COMPUTED_VALUE"""),"JUAN FIDEL SOTO MARTINEZ")</f>
        <v>JUAN FIDEL SOTO MARTINEZ</v>
      </c>
      <c r="K208" s="15">
        <f ca="1">IFERROR(__xludf.DUMMYFUNCTION("""COMPUTED_VALUE"""),1)</f>
        <v>1</v>
      </c>
      <c r="L208" s="21">
        <f ca="1">IFERROR(__xludf.DUMMYFUNCTION("""COMPUTED_VALUE"""),1631.82)</f>
        <v>1631.82</v>
      </c>
      <c r="M208" s="6" t="str">
        <f ca="1">IFERROR(__xludf.DUMMYFUNCTION("""COMPUTED_VALUE"""),"03 ORL")</f>
        <v>03 ORL</v>
      </c>
      <c r="N208" s="6" t="str">
        <f ca="1">IFERROR(__xludf.DUMMYFUNCTION("""COMPUTED_VALUE"""),"06 ORL")</f>
        <v>06 ORL</v>
      </c>
      <c r="O208" s="6" t="str">
        <f ca="1">IFERROR(__xludf.DUMMYFUNCTION("""COMPUTED_VALUE"""),"Dra, Ana Ruiz Fornells Noreña")</f>
        <v>Dra, Ana Ruiz Fornells Noreña</v>
      </c>
      <c r="P208" s="6" t="str">
        <f ca="1">IFERROR(__xludf.DUMMYFUNCTION("""COMPUTED_VALUE"""),"Maika Blázquez (Madrid)")</f>
        <v>Maika Blázquez (Madrid)</v>
      </c>
    </row>
    <row r="209" spans="2:16">
      <c r="B209" s="33">
        <f ca="1">IFERROR(__xludf.DUMMYFUNCTION("""COMPUTED_VALUE"""),2026)</f>
        <v>2026</v>
      </c>
      <c r="C209" s="15">
        <f ca="1">IFERROR(__xludf.DUMMYFUNCTION("""COMPUTED_VALUE"""),2)</f>
        <v>2</v>
      </c>
      <c r="D209" s="6" t="str">
        <f ca="1">IFERROR(__xludf.DUMMYFUNCTION("""COMPUTED_VALUE"""),"NO")</f>
        <v>NO</v>
      </c>
      <c r="E209" s="6" t="str">
        <f ca="1">IFERROR(__xludf.DUMMYFUNCTION("""COMPUTED_VALUE"""),"Getafe")</f>
        <v>Getafe</v>
      </c>
      <c r="F209" s="16">
        <f ca="1">IFERROR(__xludf.DUMMYFUNCTION("""COMPUTED_VALUE"""),46073)</f>
        <v>46073</v>
      </c>
      <c r="G209" s="16">
        <f ca="1">IFERROR(__xludf.DUMMYFUNCTION("""COMPUTED_VALUE"""),46007)</f>
        <v>46007</v>
      </c>
      <c r="H209" s="6" t="str">
        <f ca="1">IFERROR(__xludf.DUMMYFUNCTION("""COMPUTED_VALUE"""),"Getafe")</f>
        <v>Getafe</v>
      </c>
      <c r="I209" s="6" t="str">
        <f ca="1">IFERROR(__xludf.DUMMYFUNCTION("""COMPUTED_VALUE"""),"C202512161237501240")</f>
        <v>C202512161237501240</v>
      </c>
      <c r="J209" s="6" t="str">
        <f ca="1">IFERROR(__xludf.DUMMYFUNCTION("""COMPUTED_VALUE"""),"MARIA CONCEPCION GONZALEZ SUAREZ")</f>
        <v>MARIA CONCEPCION GONZALEZ SUAREZ</v>
      </c>
      <c r="K209" s="15">
        <f ca="1">IFERROR(__xludf.DUMMYFUNCTION("""COMPUTED_VALUE"""),2)</f>
        <v>2</v>
      </c>
      <c r="L209" s="21">
        <f ca="1">IFERROR(__xludf.DUMMYFUNCTION("""COMPUTED_VALUE"""),4136.36)</f>
        <v>4136.3599999999997</v>
      </c>
      <c r="M209" s="6" t="str">
        <f ca="1">IFERROR(__xludf.DUMMYFUNCTION("""COMPUTED_VALUE"""),"03 ORL")</f>
        <v>03 ORL</v>
      </c>
      <c r="N209" s="6" t="str">
        <f ca="1">IFERROR(__xludf.DUMMYFUNCTION("""COMPUTED_VALUE"""),"06 ORL")</f>
        <v>06 ORL</v>
      </c>
      <c r="O209" s="6" t="str">
        <f ca="1">IFERROR(__xludf.DUMMYFUNCTION("""COMPUTED_VALUE"""),"Dra, Laura Ruano De Pablo")</f>
        <v>Dra, Laura Ruano De Pablo</v>
      </c>
      <c r="P209" s="6" t="str">
        <f ca="1">IFERROR(__xludf.DUMMYFUNCTION("""COMPUTED_VALUE"""),"Maika Blázquez (Madrid)")</f>
        <v>Maika Blázquez (Madrid)</v>
      </c>
    </row>
    <row r="210" spans="2:16">
      <c r="B210" s="33">
        <f ca="1">IFERROR(__xludf.DUMMYFUNCTION("""COMPUTED_VALUE"""),2026)</f>
        <v>2026</v>
      </c>
      <c r="C210" s="15">
        <f ca="1">IFERROR(__xludf.DUMMYFUNCTION("""COMPUTED_VALUE"""),2)</f>
        <v>2</v>
      </c>
      <c r="D210" s="6" t="str">
        <f ca="1">IFERROR(__xludf.DUMMYFUNCTION("""COMPUTED_VALUE"""),"NO")</f>
        <v>NO</v>
      </c>
      <c r="E210" s="6" t="str">
        <f ca="1">IFERROR(__xludf.DUMMYFUNCTION("""COMPUTED_VALUE"""),"Alcorcón")</f>
        <v>Alcorcón</v>
      </c>
      <c r="F210" s="16">
        <f ca="1">IFERROR(__xludf.DUMMYFUNCTION("""COMPUTED_VALUE"""),46073)</f>
        <v>46073</v>
      </c>
      <c r="G210" s="16">
        <f ca="1">IFERROR(__xludf.DUMMYFUNCTION("""COMPUTED_VALUE"""),46038)</f>
        <v>46038</v>
      </c>
      <c r="H210" s="6" t="str">
        <f ca="1">IFERROR(__xludf.DUMMYFUNCTION("""COMPUTED_VALUE"""),"Alcorcón")</f>
        <v>Alcorcón</v>
      </c>
      <c r="I210" s="6" t="str">
        <f ca="1">IFERROR(__xludf.DUMMYFUNCTION("""COMPUTED_VALUE"""),"C202611612232415334")</f>
        <v>C202611612232415334</v>
      </c>
      <c r="J210" s="6" t="str">
        <f ca="1">IFERROR(__xludf.DUMMYFUNCTION("""COMPUTED_VALUE"""),"TOMAS  DIAZ DE LA CAMPA GARCIA")</f>
        <v>TOMAS  DIAZ DE LA CAMPA GARCIA</v>
      </c>
      <c r="K210" s="15">
        <f ca="1">IFERROR(__xludf.DUMMYFUNCTION("""COMPUTED_VALUE"""),1)</f>
        <v>1</v>
      </c>
      <c r="L210" s="21">
        <f ca="1">IFERROR(__xludf.DUMMYFUNCTION("""COMPUTED_VALUE"""),1631.82)</f>
        <v>1631.82</v>
      </c>
      <c r="M210" s="6" t="str">
        <f ca="1">IFERROR(__xludf.DUMMYFUNCTION("""COMPUTED_VALUE"""),"03 ORL")</f>
        <v>03 ORL</v>
      </c>
      <c r="N210" s="6" t="str">
        <f ca="1">IFERROR(__xludf.DUMMYFUNCTION("""COMPUTED_VALUE"""),"22 AUDIOMETRIA CLINICA")</f>
        <v>22 AUDIOMETRIA CLINICA</v>
      </c>
      <c r="O210" s="6" t="str">
        <f ca="1">IFERROR(__xludf.DUMMYFUNCTION("""COMPUTED_VALUE"""),"Dra, Elvylins Vargas Yglesia")</f>
        <v>Dra, Elvylins Vargas Yglesia</v>
      </c>
      <c r="P210" s="6" t="str">
        <f ca="1">IFERROR(__xludf.DUMMYFUNCTION("""COMPUTED_VALUE"""),"Maika Blázquez (Madrid)")</f>
        <v>Maika Blázquez (Madrid)</v>
      </c>
    </row>
    <row r="211" spans="2:16">
      <c r="B211" s="33">
        <f ca="1">IFERROR(__xludf.DUMMYFUNCTION("""COMPUTED_VALUE"""),2026)</f>
        <v>2026</v>
      </c>
      <c r="C211" s="15">
        <f ca="1">IFERROR(__xludf.DUMMYFUNCTION("""COMPUTED_VALUE"""),2)</f>
        <v>2</v>
      </c>
      <c r="D211" s="6" t="str">
        <f ca="1">IFERROR(__xludf.DUMMYFUNCTION("""COMPUTED_VALUE"""),"NO")</f>
        <v>NO</v>
      </c>
      <c r="E211" s="6" t="str">
        <f ca="1">IFERROR(__xludf.DUMMYFUNCTION("""COMPUTED_VALUE"""),"Murcia")</f>
        <v>Murcia</v>
      </c>
      <c r="F211" s="16">
        <f ca="1">IFERROR(__xludf.DUMMYFUNCTION("""COMPUTED_VALUE"""),46076)</f>
        <v>46076</v>
      </c>
      <c r="G211" s="16">
        <f ca="1">IFERROR(__xludf.DUMMYFUNCTION("""COMPUTED_VALUE"""),46034)</f>
        <v>46034</v>
      </c>
      <c r="H211" s="6" t="str">
        <f ca="1">IFERROR(__xludf.DUMMYFUNCTION("""COMPUTED_VALUE"""),"Murcia")</f>
        <v>Murcia</v>
      </c>
      <c r="I211" s="6" t="str">
        <f ca="1">IFERROR(__xludf.DUMMYFUNCTION("""COMPUTED_VALUE"""),"C202611214373858803")</f>
        <v>C202611214373858803</v>
      </c>
      <c r="J211" s="6" t="str">
        <f ca="1">IFERROR(__xludf.DUMMYFUNCTION("""COMPUTED_VALUE"""),"JOSE FRANCISCO GALVEZ INIESTA")</f>
        <v>JOSE FRANCISCO GALVEZ INIESTA</v>
      </c>
      <c r="K211" s="15">
        <f ca="1">IFERROR(__xludf.DUMMYFUNCTION("""COMPUTED_VALUE"""),2)</f>
        <v>2</v>
      </c>
      <c r="L211" s="21">
        <f ca="1">IFERROR(__xludf.DUMMYFUNCTION("""COMPUTED_VALUE"""),2718.18)</f>
        <v>2718.18</v>
      </c>
      <c r="M211" s="6" t="str">
        <f ca="1">IFERROR(__xludf.DUMMYFUNCTION("""COMPUTED_VALUE"""),"03 ORL")</f>
        <v>03 ORL</v>
      </c>
      <c r="N211" s="6" t="str">
        <f ca="1">IFERROR(__xludf.DUMMYFUNCTION("""COMPUTED_VALUE"""),"06 ORL")</f>
        <v>06 ORL</v>
      </c>
      <c r="O211" s="6" t="str">
        <f ca="1">IFERROR(__xludf.DUMMYFUNCTION("""COMPUTED_VALUE"""),"Dr, Jesús Miguel Iniesta Turpín")</f>
        <v>Dr, Jesús Miguel Iniesta Turpín</v>
      </c>
      <c r="P211" s="6" t="str">
        <f ca="1">IFERROR(__xludf.DUMMYFUNCTION("""COMPUTED_VALUE"""),"Iván Sánchez (Levante y Albacete)")</f>
        <v>Iván Sánchez (Levante y Albacete)</v>
      </c>
    </row>
    <row r="212" spans="2:16">
      <c r="B212" s="33">
        <f ca="1">IFERROR(__xludf.DUMMYFUNCTION("""COMPUTED_VALUE"""),2026)</f>
        <v>2026</v>
      </c>
      <c r="C212" s="15">
        <f ca="1">IFERROR(__xludf.DUMMYFUNCTION("""COMPUTED_VALUE"""),2)</f>
        <v>2</v>
      </c>
      <c r="D212" s="6" t="str">
        <f ca="1">IFERROR(__xludf.DUMMYFUNCTION("""COMPUTED_VALUE"""),"NO")</f>
        <v>NO</v>
      </c>
      <c r="E212" s="6" t="str">
        <f ca="1">IFERROR(__xludf.DUMMYFUNCTION("""COMPUTED_VALUE"""),"Orihuela")</f>
        <v>Orihuela</v>
      </c>
      <c r="F212" s="16">
        <f ca="1">IFERROR(__xludf.DUMMYFUNCTION("""COMPUTED_VALUE"""),46076)</f>
        <v>46076</v>
      </c>
      <c r="G212" s="16">
        <f ca="1">IFERROR(__xludf.DUMMYFUNCTION("""COMPUTED_VALUE"""),46052)</f>
        <v>46052</v>
      </c>
      <c r="H212" s="6" t="str">
        <f ca="1">IFERROR(__xludf.DUMMYFUNCTION("""COMPUTED_VALUE"""),"La Zenia")</f>
        <v>La Zenia</v>
      </c>
      <c r="I212" s="6" t="str">
        <f ca="1">IFERROR(__xludf.DUMMYFUNCTION("""COMPUTED_VALUE"""),"C202613011203270810")</f>
        <v>C202613011203270810</v>
      </c>
      <c r="J212" s="6" t="str">
        <f ca="1">IFERROR(__xludf.DUMMYFUNCTION("""COMPUTED_VALUE"""),"MARINA VARGAS SERRANO")</f>
        <v>MARINA VARGAS SERRANO</v>
      </c>
      <c r="K212" s="15">
        <f ca="1">IFERROR(__xludf.DUMMYFUNCTION("""COMPUTED_VALUE"""),2)</f>
        <v>2</v>
      </c>
      <c r="L212" s="21">
        <f ca="1">IFERROR(__xludf.DUMMYFUNCTION("""COMPUTED_VALUE"""),3631.82)</f>
        <v>3631.82</v>
      </c>
      <c r="M212" s="6" t="str">
        <f ca="1">IFERROR(__xludf.DUMMYFUNCTION("""COMPUTED_VALUE"""),"03 ORL")</f>
        <v>03 ORL</v>
      </c>
      <c r="N212" s="6" t="str">
        <f ca="1">IFERROR(__xludf.DUMMYFUNCTION("""COMPUTED_VALUE"""),"06 ORL")</f>
        <v>06 ORL</v>
      </c>
      <c r="O212" s="6" t="str">
        <f ca="1">IFERROR(__xludf.DUMMYFUNCTION("""COMPUTED_VALUE"""),"Dr, Juan Javier Álvarez López")</f>
        <v>Dr, Juan Javier Álvarez López</v>
      </c>
      <c r="P212" s="6" t="str">
        <f ca="1">IFERROR(__xludf.DUMMYFUNCTION("""COMPUTED_VALUE"""),"Iván Sánchez (Levante y Albacete)")</f>
        <v>Iván Sánchez (Levante y Albacete)</v>
      </c>
    </row>
    <row r="213" spans="2:16">
      <c r="B213" s="33">
        <f ca="1">IFERROR(__xludf.DUMMYFUNCTION("""COMPUTED_VALUE"""),2026)</f>
        <v>2026</v>
      </c>
      <c r="C213" s="15">
        <f ca="1">IFERROR(__xludf.DUMMYFUNCTION("""COMPUTED_VALUE"""),2)</f>
        <v>2</v>
      </c>
      <c r="D213" s="6" t="str">
        <f ca="1">IFERROR(__xludf.DUMMYFUNCTION("""COMPUTED_VALUE"""),"NO")</f>
        <v>NO</v>
      </c>
      <c r="E213" s="6" t="str">
        <f ca="1">IFERROR(__xludf.DUMMYFUNCTION("""COMPUTED_VALUE"""),"Madrid- Juan Bravo")</f>
        <v>Madrid- Juan Bravo</v>
      </c>
      <c r="F213" s="16">
        <f ca="1">IFERROR(__xludf.DUMMYFUNCTION("""COMPUTED_VALUE"""),46076)</f>
        <v>46076</v>
      </c>
      <c r="G213" s="16">
        <f ca="1">IFERROR(__xludf.DUMMYFUNCTION("""COMPUTED_VALUE"""),46038)</f>
        <v>46038</v>
      </c>
      <c r="H213" s="6" t="str">
        <f ca="1">IFERROR(__xludf.DUMMYFUNCTION("""COMPUTED_VALUE"""),"Juan Bravo")</f>
        <v>Juan Bravo</v>
      </c>
      <c r="I213" s="6" t="str">
        <f ca="1">IFERROR(__xludf.DUMMYFUNCTION("""COMPUTED_VALUE"""),"C202611610349790438")</f>
        <v>C202611610349790438</v>
      </c>
      <c r="J213" s="6" t="str">
        <f ca="1">IFERROR(__xludf.DUMMYFUNCTION("""COMPUTED_VALUE"""),"JUAN CARLOS  DEL VALLE AGUSTIN")</f>
        <v>JUAN CARLOS  DEL VALLE AGUSTIN</v>
      </c>
      <c r="K213" s="15">
        <f ca="1">IFERROR(__xludf.DUMMYFUNCTION("""COMPUTED_VALUE"""),2)</f>
        <v>2</v>
      </c>
      <c r="L213" s="21">
        <f ca="1">IFERROR(__xludf.DUMMYFUNCTION("""COMPUTED_VALUE"""),4309.55)</f>
        <v>4309.55</v>
      </c>
      <c r="M213" s="6" t="str">
        <f ca="1">IFERROR(__xludf.DUMMYFUNCTION("""COMPUTED_VALUE"""),"03 ORL")</f>
        <v>03 ORL</v>
      </c>
      <c r="N213" s="6" t="str">
        <f ca="1">IFERROR(__xludf.DUMMYFUNCTION("""COMPUTED_VALUE"""),"06 ORL")</f>
        <v>06 ORL</v>
      </c>
      <c r="O213" s="6" t="str">
        <f ca="1">IFERROR(__xludf.DUMMYFUNCTION("""COMPUTED_VALUE"""),"Dra, Karla Natali Montaño Rueda")</f>
        <v>Dra, Karla Natali Montaño Rueda</v>
      </c>
      <c r="P213" s="6" t="str">
        <f ca="1">IFERROR(__xludf.DUMMYFUNCTION("""COMPUTED_VALUE"""),"Maika Blázquez (Madrid)")</f>
        <v>Maika Blázquez (Madrid)</v>
      </c>
    </row>
    <row r="214" spans="2:16">
      <c r="B214" s="33">
        <f ca="1">IFERROR(__xludf.DUMMYFUNCTION("""COMPUTED_VALUE"""),2026)</f>
        <v>2026</v>
      </c>
      <c r="C214" s="15">
        <f ca="1">IFERROR(__xludf.DUMMYFUNCTION("""COMPUTED_VALUE"""),2)</f>
        <v>2</v>
      </c>
      <c r="D214" s="6" t="str">
        <f ca="1">IFERROR(__xludf.DUMMYFUNCTION("""COMPUTED_VALUE"""),"NO")</f>
        <v>NO</v>
      </c>
      <c r="E214" s="6" t="str">
        <f ca="1">IFERROR(__xludf.DUMMYFUNCTION("""COMPUTED_VALUE"""),"Valladolid")</f>
        <v>Valladolid</v>
      </c>
      <c r="F214" s="16">
        <f ca="1">IFERROR(__xludf.DUMMYFUNCTION("""COMPUTED_VALUE"""),46076)</f>
        <v>46076</v>
      </c>
      <c r="G214" s="16">
        <f ca="1">IFERROR(__xludf.DUMMYFUNCTION("""COMPUTED_VALUE"""),46036)</f>
        <v>46036</v>
      </c>
      <c r="H214" s="6" t="str">
        <f ca="1">IFERROR(__xludf.DUMMYFUNCTION("""COMPUTED_VALUE"""),"Valladolid")</f>
        <v>Valladolid</v>
      </c>
      <c r="I214" s="6" t="str">
        <f ca="1">IFERROR(__xludf.DUMMYFUNCTION("""COMPUTED_VALUE"""),"C20261141044350634")</f>
        <v>C20261141044350634</v>
      </c>
      <c r="J214" s="6" t="str">
        <f ca="1">IFERROR(__xludf.DUMMYFUNCTION("""COMPUTED_VALUE"""),"TEOFILO CAPELLAN ALONSO")</f>
        <v>TEOFILO CAPELLAN ALONSO</v>
      </c>
      <c r="K214" s="15">
        <f ca="1">IFERROR(__xludf.DUMMYFUNCTION("""COMPUTED_VALUE"""),1)</f>
        <v>1</v>
      </c>
      <c r="L214" s="21">
        <f ca="1">IFERROR(__xludf.DUMMYFUNCTION("""COMPUTED_VALUE"""),2307.27)</f>
        <v>2307.27</v>
      </c>
      <c r="M214" s="6" t="str">
        <f ca="1">IFERROR(__xludf.DUMMYFUNCTION("""COMPUTED_VALUE"""),"03 ORL")</f>
        <v>03 ORL</v>
      </c>
      <c r="N214" s="6" t="str">
        <f ca="1">IFERROR(__xludf.DUMMYFUNCTION("""COMPUTED_VALUE"""),"06 ORL")</f>
        <v>06 ORL</v>
      </c>
      <c r="O214" s="6" t="str">
        <f ca="1">IFERROR(__xludf.DUMMYFUNCTION("""COMPUTED_VALUE"""),"Dr, Carlos Miguel Salvador Martínez")</f>
        <v>Dr, Carlos Miguel Salvador Martínez</v>
      </c>
      <c r="P214" s="6" t="str">
        <f ca="1">IFERROR(__xludf.DUMMYFUNCTION("""COMPUTED_VALUE"""),"Alberto Moreno (Madrid)")</f>
        <v>Alberto Moreno (Madrid)</v>
      </c>
    </row>
    <row r="215" spans="2:16">
      <c r="B215" s="33">
        <f ca="1">IFERROR(__xludf.DUMMYFUNCTION("""COMPUTED_VALUE"""),2026)</f>
        <v>2026</v>
      </c>
      <c r="C215" s="15">
        <f ca="1">IFERROR(__xludf.DUMMYFUNCTION("""COMPUTED_VALUE"""),2)</f>
        <v>2</v>
      </c>
      <c r="D215" s="6" t="str">
        <f ca="1">IFERROR(__xludf.DUMMYFUNCTION("""COMPUTED_VALUE"""),"NO")</f>
        <v>NO</v>
      </c>
      <c r="E215" s="6" t="str">
        <f ca="1">IFERROR(__xludf.DUMMYFUNCTION("""COMPUTED_VALUE"""),"Cáceres")</f>
        <v>Cáceres</v>
      </c>
      <c r="F215" s="16">
        <f ca="1">IFERROR(__xludf.DUMMYFUNCTION("""COMPUTED_VALUE"""),46076)</f>
        <v>46076</v>
      </c>
      <c r="G215" s="16">
        <f ca="1">IFERROR(__xludf.DUMMYFUNCTION("""COMPUTED_VALUE"""),46050)</f>
        <v>46050</v>
      </c>
      <c r="H215" s="6" t="str">
        <f ca="1">IFERROR(__xludf.DUMMYFUNCTION("""COMPUTED_VALUE"""),"Cáceres")</f>
        <v>Cáceres</v>
      </c>
      <c r="I215" s="6" t="str">
        <f ca="1">IFERROR(__xludf.DUMMYFUNCTION("""COMPUTED_VALUE"""),"C202612817343055326")</f>
        <v>C202612817343055326</v>
      </c>
      <c r="J215" s="6" t="str">
        <f ca="1">IFERROR(__xludf.DUMMYFUNCTION("""COMPUTED_VALUE"""),"JAVIER GARCIA VILLALON")</f>
        <v>JAVIER GARCIA VILLALON</v>
      </c>
      <c r="K215" s="15">
        <f ca="1">IFERROR(__xludf.DUMMYFUNCTION("""COMPUTED_VALUE"""),2)</f>
        <v>2</v>
      </c>
      <c r="L215" s="21">
        <f ca="1">IFERROR(__xludf.DUMMYFUNCTION("""COMPUTED_VALUE"""),3940.91)</f>
        <v>3940.91</v>
      </c>
      <c r="M215" s="6" t="str">
        <f ca="1">IFERROR(__xludf.DUMMYFUNCTION("""COMPUTED_VALUE"""),"03 ORL")</f>
        <v>03 ORL</v>
      </c>
      <c r="N215" s="6" t="str">
        <f ca="1">IFERROR(__xludf.DUMMYFUNCTION("""COMPUTED_VALUE"""),"06 ORL")</f>
        <v>06 ORL</v>
      </c>
      <c r="O215" s="6" t="str">
        <f ca="1">IFERROR(__xludf.DUMMYFUNCTION("""COMPUTED_VALUE"""),"Dra, Marta García Jiménez")</f>
        <v>Dra, Marta García Jiménez</v>
      </c>
      <c r="P215" s="6" t="str">
        <f ca="1">IFERROR(__xludf.DUMMYFUNCTION("""COMPUTED_VALUE"""),"Lisandro Russian (Madrid, Cáceres, Toledo, Talavera y Logroño)")</f>
        <v>Lisandro Russian (Madrid, Cáceres, Toledo, Talavera y Logroño)</v>
      </c>
    </row>
    <row r="216" spans="2:16">
      <c r="B216" s="33">
        <f ca="1">IFERROR(__xludf.DUMMYFUNCTION("""COMPUTED_VALUE"""),2026)</f>
        <v>2026</v>
      </c>
      <c r="C216" s="15">
        <f ca="1">IFERROR(__xludf.DUMMYFUNCTION("""COMPUTED_VALUE"""),2)</f>
        <v>2</v>
      </c>
      <c r="D216" s="6" t="str">
        <f ca="1">IFERROR(__xludf.DUMMYFUNCTION("""COMPUTED_VALUE"""),"NO")</f>
        <v>NO</v>
      </c>
      <c r="E216" s="6" t="str">
        <f ca="1">IFERROR(__xludf.DUMMYFUNCTION("""COMPUTED_VALUE"""),"Madrid- Costa Rica")</f>
        <v>Madrid- Costa Rica</v>
      </c>
      <c r="F216" s="16">
        <f ca="1">IFERROR(__xludf.DUMMYFUNCTION("""COMPUTED_VALUE"""),46076)</f>
        <v>46076</v>
      </c>
      <c r="G216" s="16">
        <f ca="1">IFERROR(__xludf.DUMMYFUNCTION("""COMPUTED_VALUE"""),46009)</f>
        <v>46009</v>
      </c>
      <c r="H216" s="6" t="str">
        <f ca="1">IFERROR(__xludf.DUMMYFUNCTION("""COMPUTED_VALUE"""),"Costa Rica")</f>
        <v>Costa Rica</v>
      </c>
      <c r="I216" s="6" t="str">
        <f ca="1">IFERROR(__xludf.DUMMYFUNCTION("""COMPUTED_VALUE"""),"C202512181349346605")</f>
        <v>C202512181349346605</v>
      </c>
      <c r="J216" s="6" t="str">
        <f ca="1">IFERROR(__xludf.DUMMYFUNCTION("""COMPUTED_VALUE"""),"Angeles Llorens Fantova")</f>
        <v>Angeles Llorens Fantova</v>
      </c>
      <c r="K216" s="15">
        <f ca="1">IFERROR(__xludf.DUMMYFUNCTION("""COMPUTED_VALUE"""),2)</f>
        <v>2</v>
      </c>
      <c r="L216" s="21">
        <f ca="1">IFERROR(__xludf.DUMMYFUNCTION("""COMPUTED_VALUE"""),3631.82)</f>
        <v>3631.82</v>
      </c>
      <c r="M216" s="6" t="str">
        <f ca="1">IFERROR(__xludf.DUMMYFUNCTION("""COMPUTED_VALUE"""),"03 ORL")</f>
        <v>03 ORL</v>
      </c>
      <c r="N216" s="6" t="str">
        <f ca="1">IFERROR(__xludf.DUMMYFUNCTION("""COMPUTED_VALUE"""),"06 ORL")</f>
        <v>06 ORL</v>
      </c>
      <c r="O216" s="6" t="str">
        <f ca="1">IFERROR(__xludf.DUMMYFUNCTION("""COMPUTED_VALUE"""),"Dr, Julio López Moya")</f>
        <v>Dr, Julio López Moya</v>
      </c>
      <c r="P216" s="6" t="str">
        <f ca="1">IFERROR(__xludf.DUMMYFUNCTION("""COMPUTED_VALUE"""),"Maika Blázquez (Madrid)")</f>
        <v>Maika Blázquez (Madrid)</v>
      </c>
    </row>
    <row r="217" spans="2:16">
      <c r="B217" s="33">
        <f ca="1">IFERROR(__xludf.DUMMYFUNCTION("""COMPUTED_VALUE"""),2026)</f>
        <v>2026</v>
      </c>
      <c r="C217" s="15">
        <f ca="1">IFERROR(__xludf.DUMMYFUNCTION("""COMPUTED_VALUE"""),2)</f>
        <v>2</v>
      </c>
      <c r="D217" s="6" t="str">
        <f ca="1">IFERROR(__xludf.DUMMYFUNCTION("""COMPUTED_VALUE"""),"NO")</f>
        <v>NO</v>
      </c>
      <c r="E217" s="6" t="str">
        <f ca="1">IFERROR(__xludf.DUMMYFUNCTION("""COMPUTED_VALUE"""),"Ourense")</f>
        <v>Ourense</v>
      </c>
      <c r="F217" s="16">
        <f ca="1">IFERROR(__xludf.DUMMYFUNCTION("""COMPUTED_VALUE"""),46076)</f>
        <v>46076</v>
      </c>
      <c r="G217" s="16">
        <f ca="1">IFERROR(__xludf.DUMMYFUNCTION("""COMPUTED_VALUE"""),46036)</f>
        <v>46036</v>
      </c>
      <c r="H217" s="6" t="str">
        <f ca="1">IFERROR(__xludf.DUMMYFUNCTION("""COMPUTED_VALUE"""),"Orense")</f>
        <v>Orense</v>
      </c>
      <c r="I217" s="6" t="str">
        <f ca="1">IFERROR(__xludf.DUMMYFUNCTION("""COMPUTED_VALUE"""),"C202611413754509934")</f>
        <v>C202611413754509934</v>
      </c>
      <c r="J217" s="6" t="str">
        <f ca="1">IFERROR(__xludf.DUMMYFUNCTION("""COMPUTED_VALUE"""),"MARIA ELISA CEBREIRO FERNANDEZ")</f>
        <v>MARIA ELISA CEBREIRO FERNANDEZ</v>
      </c>
      <c r="K217" s="15">
        <f ca="1">IFERROR(__xludf.DUMMYFUNCTION("""COMPUTED_VALUE"""),1)</f>
        <v>1</v>
      </c>
      <c r="L217" s="21">
        <f ca="1">IFERROR(__xludf.DUMMYFUNCTION("""COMPUTED_VALUE"""),2180.91)</f>
        <v>2180.91</v>
      </c>
      <c r="M217" s="6" t="str">
        <f ca="1">IFERROR(__xludf.DUMMYFUNCTION("""COMPUTED_VALUE"""),"03 ORL")</f>
        <v>03 ORL</v>
      </c>
      <c r="N217" s="6" t="str">
        <f ca="1">IFERROR(__xludf.DUMMYFUNCTION("""COMPUTED_VALUE"""),"06 ORL")</f>
        <v>06 ORL</v>
      </c>
      <c r="O217" s="6" t="str">
        <f ca="1">IFERROR(__xludf.DUMMYFUNCTION("""COMPUTED_VALUE"""),"Dra, Ana Quintana Sanjuan")</f>
        <v>Dra, Ana Quintana Sanjuan</v>
      </c>
      <c r="P217" s="6" t="str">
        <f ca="1">IFERROR(__xludf.DUMMYFUNCTION("""COMPUTED_VALUE"""),"Kiko Ortega (Galicia)")</f>
        <v>Kiko Ortega (Galicia)</v>
      </c>
    </row>
    <row r="218" spans="2:16">
      <c r="B218" s="33">
        <f ca="1">IFERROR(__xludf.DUMMYFUNCTION("""COMPUTED_VALUE"""),2026)</f>
        <v>2026</v>
      </c>
      <c r="C218" s="15">
        <f ca="1">IFERROR(__xludf.DUMMYFUNCTION("""COMPUTED_VALUE"""),2)</f>
        <v>2</v>
      </c>
      <c r="D218" s="6" t="str">
        <f ca="1">IFERROR(__xludf.DUMMYFUNCTION("""COMPUTED_VALUE"""),"NO")</f>
        <v>NO</v>
      </c>
      <c r="E218" s="6" t="str">
        <f ca="1">IFERROR(__xludf.DUMMYFUNCTION("""COMPUTED_VALUE"""),"Albacete")</f>
        <v>Albacete</v>
      </c>
      <c r="F218" s="16">
        <f ca="1">IFERROR(__xludf.DUMMYFUNCTION("""COMPUTED_VALUE"""),46076)</f>
        <v>46076</v>
      </c>
      <c r="G218" s="16">
        <f ca="1">IFERROR(__xludf.DUMMYFUNCTION("""COMPUTED_VALUE"""),44909)</f>
        <v>44909</v>
      </c>
      <c r="H218" s="6" t="str">
        <f ca="1">IFERROR(__xludf.DUMMYFUNCTION("""COMPUTED_VALUE"""),"Albacete")</f>
        <v>Albacete</v>
      </c>
      <c r="I218" s="6" t="str">
        <f ca="1">IFERROR(__xludf.DUMMYFUNCTION("""COMPUTED_VALUE"""),"ALB-517")</f>
        <v>ALB-517</v>
      </c>
      <c r="J218" s="6" t="str">
        <f ca="1">IFERROR(__xludf.DUMMYFUNCTION("""COMPUTED_VALUE"""),"CARLOS ENRIQUE POZUELO SOLER")</f>
        <v>CARLOS ENRIQUE POZUELO SOLER</v>
      </c>
      <c r="K218" s="15">
        <f ca="1">IFERROR(__xludf.DUMMYFUNCTION("""COMPUTED_VALUE"""),2)</f>
        <v>2</v>
      </c>
      <c r="L218" s="21">
        <f ca="1">IFERROR(__xludf.DUMMYFUNCTION("""COMPUTED_VALUE"""),3631.82)</f>
        <v>3631.82</v>
      </c>
      <c r="M218" s="6" t="str">
        <f ca="1">IFERROR(__xludf.DUMMYFUNCTION("""COMPUTED_VALUE"""),"03 ORL")</f>
        <v>03 ORL</v>
      </c>
      <c r="N218" s="6" t="str">
        <f ca="1">IFERROR(__xludf.DUMMYFUNCTION("""COMPUTED_VALUE"""),"06 ORL")</f>
        <v>06 ORL</v>
      </c>
      <c r="O218" s="6" t="str">
        <f ca="1">IFERROR(__xludf.DUMMYFUNCTION("""COMPUTED_VALUE"""),"Dra, Alejandra Jara Maquilón")</f>
        <v>Dra, Alejandra Jara Maquilón</v>
      </c>
      <c r="P218" s="6" t="str">
        <f ca="1">IFERROR(__xludf.DUMMYFUNCTION("""COMPUTED_VALUE"""),"Iván Sánchez (Levante y Albacete)")</f>
        <v>Iván Sánchez (Levante y Albacete)</v>
      </c>
    </row>
    <row r="219" spans="2:16">
      <c r="B219" s="33">
        <f ca="1">IFERROR(__xludf.DUMMYFUNCTION("""COMPUTED_VALUE"""),2026)</f>
        <v>2026</v>
      </c>
      <c r="C219" s="15">
        <f ca="1">IFERROR(__xludf.DUMMYFUNCTION("""COMPUTED_VALUE"""),2)</f>
        <v>2</v>
      </c>
      <c r="D219" s="6" t="str">
        <f ca="1">IFERROR(__xludf.DUMMYFUNCTION("""COMPUTED_VALUE"""),"NO")</f>
        <v>NO</v>
      </c>
      <c r="E219" s="6" t="str">
        <f ca="1">IFERROR(__xludf.DUMMYFUNCTION("""COMPUTED_VALUE"""),"Toledo")</f>
        <v>Toledo</v>
      </c>
      <c r="F219" s="16">
        <f ca="1">IFERROR(__xludf.DUMMYFUNCTION("""COMPUTED_VALUE"""),46076)</f>
        <v>46076</v>
      </c>
      <c r="G219" s="16">
        <f ca="1">IFERROR(__xludf.DUMMYFUNCTION("""COMPUTED_VALUE"""),46052)</f>
        <v>46052</v>
      </c>
      <c r="H219" s="6" t="str">
        <f ca="1">IFERROR(__xludf.DUMMYFUNCTION("""COMPUTED_VALUE"""),"Toledo")</f>
        <v>Toledo</v>
      </c>
      <c r="I219" s="6" t="str">
        <f ca="1">IFERROR(__xludf.DUMMYFUNCTION("""COMPUTED_VALUE"""),"C202613012740821037")</f>
        <v>C202613012740821037</v>
      </c>
      <c r="J219" s="6" t="str">
        <f ca="1">IFERROR(__xludf.DUMMYFUNCTION("""COMPUTED_VALUE"""),"Eduardo Segura Paez")</f>
        <v>Eduardo Segura Paez</v>
      </c>
      <c r="K219" s="15">
        <f ca="1">IFERROR(__xludf.DUMMYFUNCTION("""COMPUTED_VALUE"""),2)</f>
        <v>2</v>
      </c>
      <c r="L219" s="21">
        <f ca="1">IFERROR(__xludf.DUMMYFUNCTION("""COMPUTED_VALUE"""),2718.18)</f>
        <v>2718.18</v>
      </c>
      <c r="M219" s="6" t="str">
        <f ca="1">IFERROR(__xludf.DUMMYFUNCTION("""COMPUTED_VALUE"""),"03 ORL")</f>
        <v>03 ORL</v>
      </c>
      <c r="N219" s="6" t="str">
        <f ca="1">IFERROR(__xludf.DUMMYFUNCTION("""COMPUTED_VALUE"""),"06 ORL")</f>
        <v>06 ORL</v>
      </c>
      <c r="O219" s="6" t="str">
        <f ca="1">IFERROR(__xludf.DUMMYFUNCTION("""COMPUTED_VALUE"""),"Dra, María Eva Ruiz de Gauna Martín")</f>
        <v>Dra, María Eva Ruiz de Gauna Martín</v>
      </c>
      <c r="P219" s="6" t="str">
        <f ca="1">IFERROR(__xludf.DUMMYFUNCTION("""COMPUTED_VALUE"""),"Lisandro Russian (Madrid, Cáceres, Toledo, Talavera y Logroño)")</f>
        <v>Lisandro Russian (Madrid, Cáceres, Toledo, Talavera y Logroño)</v>
      </c>
    </row>
    <row r="220" spans="2:16">
      <c r="B220" s="33">
        <f ca="1">IFERROR(__xludf.DUMMYFUNCTION("""COMPUTED_VALUE"""),2026)</f>
        <v>2026</v>
      </c>
      <c r="C220" s="15">
        <f ca="1">IFERROR(__xludf.DUMMYFUNCTION("""COMPUTED_VALUE"""),2)</f>
        <v>2</v>
      </c>
      <c r="D220" s="6" t="str">
        <f ca="1">IFERROR(__xludf.DUMMYFUNCTION("""COMPUTED_VALUE"""),"NO")</f>
        <v>NO</v>
      </c>
      <c r="E220" s="6" t="str">
        <f ca="1">IFERROR(__xludf.DUMMYFUNCTION("""COMPUTED_VALUE"""),"Orihuela")</f>
        <v>Orihuela</v>
      </c>
      <c r="F220" s="16">
        <f ca="1">IFERROR(__xludf.DUMMYFUNCTION("""COMPUTED_VALUE"""),46076)</f>
        <v>46076</v>
      </c>
      <c r="G220" s="16">
        <f ca="1">IFERROR(__xludf.DUMMYFUNCTION("""COMPUTED_VALUE"""),46020)</f>
        <v>46020</v>
      </c>
      <c r="H220" s="6" t="str">
        <f ca="1">IFERROR(__xludf.DUMMYFUNCTION("""COMPUTED_VALUE"""),"La Zenia")</f>
        <v>La Zenia</v>
      </c>
      <c r="I220" s="6" t="str">
        <f ca="1">IFERROR(__xludf.DUMMYFUNCTION("""COMPUTED_VALUE"""),"C202512291515125355")</f>
        <v>C202512291515125355</v>
      </c>
      <c r="J220" s="6" t="str">
        <f ca="1">IFERROR(__xludf.DUMMYFUNCTION("""COMPUTED_VALUE"""),"HORST HERMANN KUDERA")</f>
        <v>HORST HERMANN KUDERA</v>
      </c>
      <c r="K220" s="15">
        <f ca="1">IFERROR(__xludf.DUMMYFUNCTION("""COMPUTED_VALUE"""),2)</f>
        <v>2</v>
      </c>
      <c r="L220" s="21">
        <f ca="1">IFERROR(__xludf.DUMMYFUNCTION("""COMPUTED_VALUE"""),4011.82)</f>
        <v>4011.82</v>
      </c>
      <c r="M220" s="6" t="str">
        <f ca="1">IFERROR(__xludf.DUMMYFUNCTION("""COMPUTED_VALUE"""),"03 ORL")</f>
        <v>03 ORL</v>
      </c>
      <c r="N220" s="6" t="str">
        <f ca="1">IFERROR(__xludf.DUMMYFUNCTION("""COMPUTED_VALUE"""),"06 ORL")</f>
        <v>06 ORL</v>
      </c>
      <c r="O220" s="6" t="str">
        <f ca="1">IFERROR(__xludf.DUMMYFUNCTION("""COMPUTED_VALUE"""),"Dr, Carlos Velásquez Fermín")</f>
        <v>Dr, Carlos Velásquez Fermín</v>
      </c>
      <c r="P220" s="6" t="str">
        <f ca="1">IFERROR(__xludf.DUMMYFUNCTION("""COMPUTED_VALUE"""),"Iván Sánchez (Levante y Albacete)")</f>
        <v>Iván Sánchez (Levante y Albacete)</v>
      </c>
    </row>
    <row r="221" spans="2:16">
      <c r="B221" s="33">
        <f ca="1">IFERROR(__xludf.DUMMYFUNCTION("""COMPUTED_VALUE"""),2026)</f>
        <v>2026</v>
      </c>
      <c r="C221" s="15">
        <f ca="1">IFERROR(__xludf.DUMMYFUNCTION("""COMPUTED_VALUE"""),2)</f>
        <v>2</v>
      </c>
      <c r="D221" s="6" t="str">
        <f ca="1">IFERROR(__xludf.DUMMYFUNCTION("""COMPUTED_VALUE"""),"NO")</f>
        <v>NO</v>
      </c>
      <c r="E221" s="6" t="str">
        <f ca="1">IFERROR(__xludf.DUMMYFUNCTION("""COMPUTED_VALUE"""),"Toledo")</f>
        <v>Toledo</v>
      </c>
      <c r="F221" s="16">
        <f ca="1">IFERROR(__xludf.DUMMYFUNCTION("""COMPUTED_VALUE"""),46076)</f>
        <v>46076</v>
      </c>
      <c r="G221" s="16">
        <f ca="1">IFERROR(__xludf.DUMMYFUNCTION("""COMPUTED_VALUE"""),45280)</f>
        <v>45280</v>
      </c>
      <c r="H221" s="6" t="str">
        <f ca="1">IFERROR(__xludf.DUMMYFUNCTION("""COMPUTED_VALUE"""),"Toledo")</f>
        <v>Toledo</v>
      </c>
      <c r="I221" s="6" t="str">
        <f ca="1">IFERROR(__xludf.DUMMYFUNCTION("""COMPUTED_VALUE"""),"TOL-579")</f>
        <v>TOL-579</v>
      </c>
      <c r="J221" s="6" t="str">
        <f ca="1">IFERROR(__xludf.DUMMYFUNCTION("""COMPUTED_VALUE"""),"ELENA CARRASCO RODRÍGUEZ")</f>
        <v>ELENA CARRASCO RODRÍGUEZ</v>
      </c>
      <c r="K221" s="15">
        <f ca="1">IFERROR(__xludf.DUMMYFUNCTION("""COMPUTED_VALUE"""),1)</f>
        <v>1</v>
      </c>
      <c r="L221" s="21">
        <f ca="1">IFERROR(__xludf.DUMMYFUNCTION("""COMPUTED_VALUE"""),1446.59)</f>
        <v>1446.59</v>
      </c>
      <c r="M221" s="6" t="str">
        <f ca="1">IFERROR(__xludf.DUMMYFUNCTION("""COMPUTED_VALUE"""),"03 ORL")</f>
        <v>03 ORL</v>
      </c>
      <c r="N221" s="6" t="str">
        <f ca="1">IFERROR(__xludf.DUMMYFUNCTION("""COMPUTED_VALUE"""),"06 ORL")</f>
        <v>06 ORL</v>
      </c>
      <c r="O221" s="6" t="str">
        <f ca="1">IFERROR(__xludf.DUMMYFUNCTION("""COMPUTED_VALUE"""),"Dr, Luis Miguel Menéndez Colino")</f>
        <v>Dr, Luis Miguel Menéndez Colino</v>
      </c>
      <c r="P221" s="6" t="str">
        <f ca="1">IFERROR(__xludf.DUMMYFUNCTION("""COMPUTED_VALUE"""),"Lisandro Russian (Madrid, Cáceres, Toledo, Talavera y Logroño)")</f>
        <v>Lisandro Russian (Madrid, Cáceres, Toledo, Talavera y Logroño)</v>
      </c>
    </row>
    <row r="222" spans="2:16">
      <c r="B222" s="33">
        <f ca="1">IFERROR(__xludf.DUMMYFUNCTION("""COMPUTED_VALUE"""),2026)</f>
        <v>2026</v>
      </c>
      <c r="C222" s="15">
        <f ca="1">IFERROR(__xludf.DUMMYFUNCTION("""COMPUTED_VALUE"""),2)</f>
        <v>2</v>
      </c>
      <c r="D222" s="6" t="str">
        <f ca="1">IFERROR(__xludf.DUMMYFUNCTION("""COMPUTED_VALUE"""),"NO")</f>
        <v>NO</v>
      </c>
      <c r="E222" s="6" t="str">
        <f ca="1">IFERROR(__xludf.DUMMYFUNCTION("""COMPUTED_VALUE"""),"Valladolid")</f>
        <v>Valladolid</v>
      </c>
      <c r="F222" s="16">
        <f ca="1">IFERROR(__xludf.DUMMYFUNCTION("""COMPUTED_VALUE"""),46076)</f>
        <v>46076</v>
      </c>
      <c r="G222" s="16">
        <f ca="1">IFERROR(__xludf.DUMMYFUNCTION("""COMPUTED_VALUE"""),46020)</f>
        <v>46020</v>
      </c>
      <c r="H222" s="6" t="str">
        <f ca="1">IFERROR(__xludf.DUMMYFUNCTION("""COMPUTED_VALUE"""),"Valladolid")</f>
        <v>Valladolid</v>
      </c>
      <c r="I222" s="6" t="str">
        <f ca="1">IFERROR(__xludf.DUMMYFUNCTION("""COMPUTED_VALUE"""),"C202512291733414502")</f>
        <v>C202512291733414502</v>
      </c>
      <c r="J222" s="6" t="str">
        <f ca="1">IFERROR(__xludf.DUMMYFUNCTION("""COMPUTED_VALUE"""),"MARIA ANGELES NEGRO VALLECILLO")</f>
        <v>MARIA ANGELES NEGRO VALLECILLO</v>
      </c>
      <c r="K222" s="15">
        <f ca="1">IFERROR(__xludf.DUMMYFUNCTION("""COMPUTED_VALUE"""),2)</f>
        <v>2</v>
      </c>
      <c r="L222" s="21">
        <f ca="1">IFERROR(__xludf.DUMMYFUNCTION("""COMPUTED_VALUE"""),4431.82)</f>
        <v>4431.82</v>
      </c>
      <c r="M222" s="6" t="str">
        <f ca="1">IFERROR(__xludf.DUMMYFUNCTION("""COMPUTED_VALUE"""),"03 ORL")</f>
        <v>03 ORL</v>
      </c>
      <c r="N222" s="6" t="str">
        <f ca="1">IFERROR(__xludf.DUMMYFUNCTION("""COMPUTED_VALUE"""),"06 ORL")</f>
        <v>06 ORL</v>
      </c>
      <c r="O222" s="6" t="str">
        <f ca="1">IFERROR(__xludf.DUMMYFUNCTION("""COMPUTED_VALUE"""),"Dra, Ana Fernández Rodríguez")</f>
        <v>Dra, Ana Fernández Rodríguez</v>
      </c>
      <c r="P222" s="6" t="str">
        <f ca="1">IFERROR(__xludf.DUMMYFUNCTION("""COMPUTED_VALUE"""),"Alberto Moreno (Madrid)")</f>
        <v>Alberto Moreno (Madrid)</v>
      </c>
    </row>
    <row r="223" spans="2:16">
      <c r="B223" s="33">
        <f ca="1">IFERROR(__xludf.DUMMYFUNCTION("""COMPUTED_VALUE"""),2026)</f>
        <v>2026</v>
      </c>
      <c r="C223" s="15">
        <f ca="1">IFERROR(__xludf.DUMMYFUNCTION("""COMPUTED_VALUE"""),2)</f>
        <v>2</v>
      </c>
      <c r="D223" s="6" t="str">
        <f ca="1">IFERROR(__xludf.DUMMYFUNCTION("""COMPUTED_VALUE"""),"NO")</f>
        <v>NO</v>
      </c>
      <c r="E223" s="6" t="str">
        <f ca="1">IFERROR(__xludf.DUMMYFUNCTION("""COMPUTED_VALUE"""),"Valencia- Cádiz")</f>
        <v>Valencia- Cádiz</v>
      </c>
      <c r="F223" s="16">
        <f ca="1">IFERROR(__xludf.DUMMYFUNCTION("""COMPUTED_VALUE"""),46076)</f>
        <v>46076</v>
      </c>
      <c r="G223" s="16">
        <f ca="1">IFERROR(__xludf.DUMMYFUNCTION("""COMPUTED_VALUE"""),46034)</f>
        <v>46034</v>
      </c>
      <c r="H223" s="6" t="str">
        <f ca="1">IFERROR(__xludf.DUMMYFUNCTION("""COMPUTED_VALUE"""),"Valencia- Cádiz")</f>
        <v>Valencia- Cádiz</v>
      </c>
      <c r="I223" s="6" t="str">
        <f ca="1">IFERROR(__xludf.DUMMYFUNCTION("""COMPUTED_VALUE"""),"C202611210232134460")</f>
        <v>C202611210232134460</v>
      </c>
      <c r="J223" s="6" t="str">
        <f ca="1">IFERROR(__xludf.DUMMYFUNCTION("""COMPUTED_VALUE"""),"ANTONIO MARTINEZ NAVARRO")</f>
        <v>ANTONIO MARTINEZ NAVARRO</v>
      </c>
      <c r="K223" s="15">
        <f ca="1">IFERROR(__xludf.DUMMYFUNCTION("""COMPUTED_VALUE"""),2)</f>
        <v>2</v>
      </c>
      <c r="L223" s="21">
        <f ca="1">IFERROR(__xludf.DUMMYFUNCTION("""COMPUTED_VALUE"""),2718.18)</f>
        <v>2718.18</v>
      </c>
      <c r="M223" s="6" t="str">
        <f ca="1">IFERROR(__xludf.DUMMYFUNCTION("""COMPUTED_VALUE"""),"03 ORL")</f>
        <v>03 ORL</v>
      </c>
      <c r="N223" s="6" t="str">
        <f ca="1">IFERROR(__xludf.DUMMYFUNCTION("""COMPUTED_VALUE"""),"06 ORL")</f>
        <v>06 ORL</v>
      </c>
      <c r="O223" s="6" t="str">
        <f ca="1">IFERROR(__xludf.DUMMYFUNCTION("""COMPUTED_VALUE"""),"Dra, Ainhoa García-Lliberos de Miguel")</f>
        <v>Dra, Ainhoa García-Lliberos de Miguel</v>
      </c>
      <c r="P223" s="6" t="str">
        <f ca="1">IFERROR(__xludf.DUMMYFUNCTION("""COMPUTED_VALUE"""),"Ramon Ferrando(Valencia)")</f>
        <v>Ramon Ferrando(Valencia)</v>
      </c>
    </row>
    <row r="224" spans="2:16">
      <c r="B224" s="33">
        <f ca="1">IFERROR(__xludf.DUMMYFUNCTION("""COMPUTED_VALUE"""),2026)</f>
        <v>2026</v>
      </c>
      <c r="C224" s="15">
        <f ca="1">IFERROR(__xludf.DUMMYFUNCTION("""COMPUTED_VALUE"""),2)</f>
        <v>2</v>
      </c>
      <c r="D224" s="6" t="str">
        <f ca="1">IFERROR(__xludf.DUMMYFUNCTION("""COMPUTED_VALUE"""),"NO")</f>
        <v>NO</v>
      </c>
      <c r="E224" s="6" t="str">
        <f ca="1">IFERROR(__xludf.DUMMYFUNCTION("""COMPUTED_VALUE"""),"Valencia- Parra")</f>
        <v>Valencia- Parra</v>
      </c>
      <c r="F224" s="16">
        <f ca="1">IFERROR(__xludf.DUMMYFUNCTION("""COMPUTED_VALUE"""),46077)</f>
        <v>46077</v>
      </c>
      <c r="G224" s="16">
        <f ca="1">IFERROR(__xludf.DUMMYFUNCTION("""COMPUTED_VALUE"""),46006)</f>
        <v>46006</v>
      </c>
      <c r="H224" s="6" t="str">
        <f ca="1">IFERROR(__xludf.DUMMYFUNCTION("""COMPUTED_VALUE"""),"Valencia- Parra")</f>
        <v>Valencia- Parra</v>
      </c>
      <c r="I224" s="6" t="str">
        <f ca="1">IFERROR(__xludf.DUMMYFUNCTION("""COMPUTED_VALUE"""),"C202512159325964174")</f>
        <v>C202512159325964174</v>
      </c>
      <c r="J224" s="6" t="str">
        <f ca="1">IFERROR(__xludf.DUMMYFUNCTION("""COMPUTED_VALUE"""),"ENCARNA GOMEZ LORENTE")</f>
        <v>ENCARNA GOMEZ LORENTE</v>
      </c>
      <c r="K224" s="15">
        <f ca="1">IFERROR(__xludf.DUMMYFUNCTION("""COMPUTED_VALUE"""),2)</f>
        <v>2</v>
      </c>
      <c r="L224" s="21">
        <f ca="1">IFERROR(__xludf.DUMMYFUNCTION("""COMPUTED_VALUE"""),4400)</f>
        <v>4400</v>
      </c>
      <c r="M224" s="6" t="str">
        <f ca="1">IFERROR(__xludf.DUMMYFUNCTION("""COMPUTED_VALUE"""),"03 ORL")</f>
        <v>03 ORL</v>
      </c>
      <c r="N224" s="6" t="str">
        <f ca="1">IFERROR(__xludf.DUMMYFUNCTION("""COMPUTED_VALUE"""),"06 ORL")</f>
        <v>06 ORL</v>
      </c>
      <c r="O224" s="6" t="str">
        <f ca="1">IFERROR(__xludf.DUMMYFUNCTION("""COMPUTED_VALUE"""),"No recuerda ORL")</f>
        <v>No recuerda ORL</v>
      </c>
      <c r="P224" s="6" t="str">
        <f ca="1">IFERROR(__xludf.DUMMYFUNCTION("""COMPUTED_VALUE"""),"Ramon Ferrando(Valencia)")</f>
        <v>Ramon Ferrando(Valencia)</v>
      </c>
    </row>
    <row r="225" spans="2:16">
      <c r="B225" s="33">
        <f ca="1">IFERROR(__xludf.DUMMYFUNCTION("""COMPUTED_VALUE"""),2026)</f>
        <v>2026</v>
      </c>
      <c r="C225" s="15">
        <f ca="1">IFERROR(__xludf.DUMMYFUNCTION("""COMPUTED_VALUE"""),2)</f>
        <v>2</v>
      </c>
      <c r="D225" s="6" t="str">
        <f ca="1">IFERROR(__xludf.DUMMYFUNCTION("""COMPUTED_VALUE"""),"NO")</f>
        <v>NO</v>
      </c>
      <c r="E225" s="6" t="str">
        <f ca="1">IFERROR(__xludf.DUMMYFUNCTION("""COMPUTED_VALUE"""),"Alicante")</f>
        <v>Alicante</v>
      </c>
      <c r="F225" s="16">
        <f ca="1">IFERROR(__xludf.DUMMYFUNCTION("""COMPUTED_VALUE"""),46077)</f>
        <v>46077</v>
      </c>
      <c r="G225" s="16">
        <f ca="1">IFERROR(__xludf.DUMMYFUNCTION("""COMPUTED_VALUE"""),46049)</f>
        <v>46049</v>
      </c>
      <c r="H225" s="6" t="str">
        <f ca="1">IFERROR(__xludf.DUMMYFUNCTION("""COMPUTED_VALUE"""),"Alicante")</f>
        <v>Alicante</v>
      </c>
      <c r="I225" s="6" t="str">
        <f ca="1">IFERROR(__xludf.DUMMYFUNCTION("""COMPUTED_VALUE"""),"C202612792335023888")</f>
        <v>C202612792335023888</v>
      </c>
      <c r="J225" s="6" t="str">
        <f ca="1">IFERROR(__xludf.DUMMYFUNCTION("""COMPUTED_VALUE"""),"JOSE ANTONIO SERRA AGULLO")</f>
        <v>JOSE ANTONIO SERRA AGULLO</v>
      </c>
      <c r="K225" s="15">
        <f ca="1">IFERROR(__xludf.DUMMYFUNCTION("""COMPUTED_VALUE"""),1)</f>
        <v>1</v>
      </c>
      <c r="L225" s="21">
        <f ca="1">IFERROR(__xludf.DUMMYFUNCTION("""COMPUTED_VALUE"""),2481.82)</f>
        <v>2481.8200000000002</v>
      </c>
      <c r="M225" s="6" t="str">
        <f ca="1">IFERROR(__xludf.DUMMYFUNCTION("""COMPUTED_VALUE"""),"03 ORL")</f>
        <v>03 ORL</v>
      </c>
      <c r="N225" s="6" t="str">
        <f ca="1">IFERROR(__xludf.DUMMYFUNCTION("""COMPUTED_VALUE"""),"06 ORL")</f>
        <v>06 ORL</v>
      </c>
      <c r="O225" s="6" t="str">
        <f ca="1">IFERROR(__xludf.DUMMYFUNCTION("""COMPUTED_VALUE"""),"Dr, Francisco Pastor Beviá")</f>
        <v>Dr, Francisco Pastor Beviá</v>
      </c>
      <c r="P225" s="6" t="str">
        <f ca="1">IFERROR(__xludf.DUMMYFUNCTION("""COMPUTED_VALUE"""),"Iván Sánchez (Levante y Albacete)")</f>
        <v>Iván Sánchez (Levante y Albacete)</v>
      </c>
    </row>
    <row r="226" spans="2:16">
      <c r="B226" s="33">
        <f ca="1">IFERROR(__xludf.DUMMYFUNCTION("""COMPUTED_VALUE"""),2026)</f>
        <v>2026</v>
      </c>
      <c r="C226" s="15">
        <f ca="1">IFERROR(__xludf.DUMMYFUNCTION("""COMPUTED_VALUE"""),2)</f>
        <v>2</v>
      </c>
      <c r="D226" s="6" t="str">
        <f ca="1">IFERROR(__xludf.DUMMYFUNCTION("""COMPUTED_VALUE"""),"NO")</f>
        <v>NO</v>
      </c>
      <c r="E226" s="6" t="str">
        <f ca="1">IFERROR(__xludf.DUMMYFUNCTION("""COMPUTED_VALUE"""),"El Albir (Benidorm)")</f>
        <v>El Albir (Benidorm)</v>
      </c>
      <c r="F226" s="16">
        <f ca="1">IFERROR(__xludf.DUMMYFUNCTION("""COMPUTED_VALUE"""),46077)</f>
        <v>46077</v>
      </c>
      <c r="G226" s="16">
        <f ca="1">IFERROR(__xludf.DUMMYFUNCTION("""COMPUTED_VALUE"""),46043)</f>
        <v>46043</v>
      </c>
      <c r="H226" s="6" t="str">
        <f ca="1">IFERROR(__xludf.DUMMYFUNCTION("""COMPUTED_VALUE"""),"El Albir (Benidorm)")</f>
        <v>El Albir (Benidorm)</v>
      </c>
      <c r="I226" s="6" t="str">
        <f ca="1">IFERROR(__xludf.DUMMYFUNCTION("""COMPUTED_VALUE"""),"C202612111181255673")</f>
        <v>C202612111181255673</v>
      </c>
      <c r="J226" s="6" t="str">
        <f ca="1">IFERROR(__xludf.DUMMYFUNCTION("""COMPUTED_VALUE"""),"EUSEBIO DURAN POLAINO")</f>
        <v>EUSEBIO DURAN POLAINO</v>
      </c>
      <c r="K226" s="15">
        <f ca="1">IFERROR(__xludf.DUMMYFUNCTION("""COMPUTED_VALUE"""),2)</f>
        <v>2</v>
      </c>
      <c r="L226" s="21">
        <f ca="1">IFERROR(__xludf.DUMMYFUNCTION("""COMPUTED_VALUE"""),4136.36)</f>
        <v>4136.3599999999997</v>
      </c>
      <c r="M226" s="6" t="str">
        <f ca="1">IFERROR(__xludf.DUMMYFUNCTION("""COMPUTED_VALUE"""),"03 ORL")</f>
        <v>03 ORL</v>
      </c>
      <c r="N226" s="6" t="str">
        <f ca="1">IFERROR(__xludf.DUMMYFUNCTION("""COMPUTED_VALUE"""),"06 ORL")</f>
        <v>06 ORL</v>
      </c>
      <c r="O226" s="6" t="str">
        <f ca="1">IFERROR(__xludf.DUMMYFUNCTION("""COMPUTED_VALUE"""),"Dr, José María Laborda Margolles")</f>
        <v>Dr, José María Laborda Margolles</v>
      </c>
      <c r="P226" s="6" t="str">
        <f ca="1">IFERROR(__xludf.DUMMYFUNCTION("""COMPUTED_VALUE"""),"Ramon Ferrando(Valencia)")</f>
        <v>Ramon Ferrando(Valencia)</v>
      </c>
    </row>
    <row r="227" spans="2:16">
      <c r="B227" s="33">
        <f ca="1">IFERROR(__xludf.DUMMYFUNCTION("""COMPUTED_VALUE"""),2026)</f>
        <v>2026</v>
      </c>
      <c r="C227" s="15">
        <f ca="1">IFERROR(__xludf.DUMMYFUNCTION("""COMPUTED_VALUE"""),2)</f>
        <v>2</v>
      </c>
      <c r="D227" s="6" t="str">
        <f ca="1">IFERROR(__xludf.DUMMYFUNCTION("""COMPUTED_VALUE"""),"NO")</f>
        <v>NO</v>
      </c>
      <c r="E227" s="6" t="str">
        <f ca="1">IFERROR(__xludf.DUMMYFUNCTION("""COMPUTED_VALUE"""),"San Javier")</f>
        <v>San Javier</v>
      </c>
      <c r="F227" s="16">
        <f ca="1">IFERROR(__xludf.DUMMYFUNCTION("""COMPUTED_VALUE"""),46077)</f>
        <v>46077</v>
      </c>
      <c r="G227" s="16">
        <f ca="1">IFERROR(__xludf.DUMMYFUNCTION("""COMPUTED_VALUE"""),46063)</f>
        <v>46063</v>
      </c>
      <c r="H227" s="6" t="str">
        <f ca="1">IFERROR(__xludf.DUMMYFUNCTION("""COMPUTED_VALUE"""),"San Javier")</f>
        <v>San Javier</v>
      </c>
      <c r="I227" s="6" t="str">
        <f ca="1">IFERROR(__xludf.DUMMYFUNCTION("""COMPUTED_VALUE"""),"C20262109335839729")</f>
        <v>C20262109335839729</v>
      </c>
      <c r="J227" s="6" t="str">
        <f ca="1">IFERROR(__xludf.DUMMYFUNCTION("""COMPUTED_VALUE"""),"JOSE ANTONIO SANCHEZ LORCA")</f>
        <v>JOSE ANTONIO SANCHEZ LORCA</v>
      </c>
      <c r="K227" s="15">
        <f ca="1">IFERROR(__xludf.DUMMYFUNCTION("""COMPUTED_VALUE"""),2)</f>
        <v>2</v>
      </c>
      <c r="L227" s="21">
        <f ca="1">IFERROR(__xludf.DUMMYFUNCTION("""COMPUTED_VALUE"""),3631.82)</f>
        <v>3631.82</v>
      </c>
      <c r="M227" s="6" t="str">
        <f ca="1">IFERROR(__xludf.DUMMYFUNCTION("""COMPUTED_VALUE"""),"03 ORL")</f>
        <v>03 ORL</v>
      </c>
      <c r="N227" s="6" t="str">
        <f ca="1">IFERROR(__xludf.DUMMYFUNCTION("""COMPUTED_VALUE"""),"06 ORL")</f>
        <v>06 ORL</v>
      </c>
      <c r="O227" s="6" t="str">
        <f ca="1">IFERROR(__xludf.DUMMYFUNCTION("""COMPUTED_VALUE"""),"Dr, Dinis Antunes Silva")</f>
        <v>Dr, Dinis Antunes Silva</v>
      </c>
      <c r="P227" s="6" t="str">
        <f ca="1">IFERROR(__xludf.DUMMYFUNCTION("""COMPUTED_VALUE"""),"Iván Sánchez (Levante y Albacete)")</f>
        <v>Iván Sánchez (Levante y Albacete)</v>
      </c>
    </row>
    <row r="228" spans="2:16">
      <c r="B228" s="33">
        <f ca="1">IFERROR(__xludf.DUMMYFUNCTION("""COMPUTED_VALUE"""),2026)</f>
        <v>2026</v>
      </c>
      <c r="C228" s="15">
        <f ca="1">IFERROR(__xludf.DUMMYFUNCTION("""COMPUTED_VALUE"""),2)</f>
        <v>2</v>
      </c>
      <c r="D228" s="6" t="str">
        <f ca="1">IFERROR(__xludf.DUMMYFUNCTION("""COMPUTED_VALUE"""),"NO")</f>
        <v>NO</v>
      </c>
      <c r="E228" s="6" t="str">
        <f ca="1">IFERROR(__xludf.DUMMYFUNCTION("""COMPUTED_VALUE"""),"Madrid- Juan Bravo")</f>
        <v>Madrid- Juan Bravo</v>
      </c>
      <c r="F228" s="16">
        <f ca="1">IFERROR(__xludf.DUMMYFUNCTION("""COMPUTED_VALUE"""),46077)</f>
        <v>46077</v>
      </c>
      <c r="G228" s="16">
        <f ca="1">IFERROR(__xludf.DUMMYFUNCTION("""COMPUTED_VALUE"""),46034)</f>
        <v>46034</v>
      </c>
      <c r="H228" s="6" t="str">
        <f ca="1">IFERROR(__xludf.DUMMYFUNCTION("""COMPUTED_VALUE"""),"Juan Bravo")</f>
        <v>Juan Bravo</v>
      </c>
      <c r="I228" s="6" t="str">
        <f ca="1">IFERROR(__xludf.DUMMYFUNCTION("""COMPUTED_VALUE"""),"C202611283024414467")</f>
        <v>C202611283024414467</v>
      </c>
      <c r="J228" s="6" t="str">
        <f ca="1">IFERROR(__xludf.DUMMYFUNCTION("""COMPUTED_VALUE"""),"MANUELA  PERTIERRA ALVAREZ")</f>
        <v>MANUELA  PERTIERRA ALVAREZ</v>
      </c>
      <c r="K228" s="15">
        <f ca="1">IFERROR(__xludf.DUMMYFUNCTION("""COMPUTED_VALUE"""),2)</f>
        <v>2</v>
      </c>
      <c r="L228" s="21">
        <f ca="1">IFERROR(__xludf.DUMMYFUNCTION("""COMPUTED_VALUE"""),2581.82)</f>
        <v>2581.8200000000002</v>
      </c>
      <c r="M228" s="6" t="str">
        <f ca="1">IFERROR(__xludf.DUMMYFUNCTION("""COMPUTED_VALUE"""),"03 ORL")</f>
        <v>03 ORL</v>
      </c>
      <c r="N228" s="6" t="str">
        <f ca="1">IFERROR(__xludf.DUMMYFUNCTION("""COMPUTED_VALUE"""),"06 ORL")</f>
        <v>06 ORL</v>
      </c>
      <c r="O228" s="6" t="str">
        <f ca="1">IFERROR(__xludf.DUMMYFUNCTION("""COMPUTED_VALUE"""),"Dra, Helena Moreno Pardo")</f>
        <v>Dra, Helena Moreno Pardo</v>
      </c>
      <c r="P228" s="6" t="str">
        <f ca="1">IFERROR(__xludf.DUMMYFUNCTION("""COMPUTED_VALUE"""),"Maika Blázquez (Madrid)")</f>
        <v>Maika Blázquez (Madrid)</v>
      </c>
    </row>
    <row r="229" spans="2:16">
      <c r="B229" s="33">
        <f ca="1">IFERROR(__xludf.DUMMYFUNCTION("""COMPUTED_VALUE"""),2026)</f>
        <v>2026</v>
      </c>
      <c r="C229" s="15">
        <f ca="1">IFERROR(__xludf.DUMMYFUNCTION("""COMPUTED_VALUE"""),2)</f>
        <v>2</v>
      </c>
      <c r="D229" s="6" t="str">
        <f ca="1">IFERROR(__xludf.DUMMYFUNCTION("""COMPUTED_VALUE"""),"NO")</f>
        <v>NO</v>
      </c>
      <c r="E229" s="6" t="str">
        <f ca="1">IFERROR(__xludf.DUMMYFUNCTION("""COMPUTED_VALUE"""),"El Albir (Benidorm)")</f>
        <v>El Albir (Benidorm)</v>
      </c>
      <c r="F229" s="16">
        <f ca="1">IFERROR(__xludf.DUMMYFUNCTION("""COMPUTED_VALUE"""),46077)</f>
        <v>46077</v>
      </c>
      <c r="G229" s="16">
        <f ca="1">IFERROR(__xludf.DUMMYFUNCTION("""COMPUTED_VALUE"""),46001)</f>
        <v>46001</v>
      </c>
      <c r="H229" s="6" t="str">
        <f ca="1">IFERROR(__xludf.DUMMYFUNCTION("""COMPUTED_VALUE"""),"El Albir (Benidorm)")</f>
        <v>El Albir (Benidorm)</v>
      </c>
      <c r="I229" s="6" t="str">
        <f ca="1">IFERROR(__xludf.DUMMYFUNCTION("""COMPUTED_VALUE"""),"C202512101113257912")</f>
        <v>C202512101113257912</v>
      </c>
      <c r="J229" s="6" t="str">
        <f ca="1">IFERROR(__xludf.DUMMYFUNCTION("""COMPUTED_VALUE"""),"IVAN  DE LA OSSA RODRIGUEZ")</f>
        <v>IVAN  DE LA OSSA RODRIGUEZ</v>
      </c>
      <c r="K229" s="15">
        <f ca="1">IFERROR(__xludf.DUMMYFUNCTION("""COMPUTED_VALUE"""),2)</f>
        <v>2</v>
      </c>
      <c r="L229" s="21">
        <f ca="1">IFERROR(__xludf.DUMMYFUNCTION("""COMPUTED_VALUE"""),2582.27)</f>
        <v>2582.27</v>
      </c>
      <c r="M229" s="6" t="str">
        <f ca="1">IFERROR(__xludf.DUMMYFUNCTION("""COMPUTED_VALUE"""),"03 ORL")</f>
        <v>03 ORL</v>
      </c>
      <c r="N229" s="6" t="str">
        <f ca="1">IFERROR(__xludf.DUMMYFUNCTION("""COMPUTED_VALUE"""),"06 ORL")</f>
        <v>06 ORL</v>
      </c>
      <c r="O229" s="6" t="str">
        <f ca="1">IFERROR(__xludf.DUMMYFUNCTION("""COMPUTED_VALUE"""),"Dr, José María Laborda Margolles")</f>
        <v>Dr, José María Laborda Margolles</v>
      </c>
      <c r="P229" s="6" t="str">
        <f ca="1">IFERROR(__xludf.DUMMYFUNCTION("""COMPUTED_VALUE"""),"Ramon Ferrando(Valencia)")</f>
        <v>Ramon Ferrando(Valencia)</v>
      </c>
    </row>
    <row r="230" spans="2:16">
      <c r="B230" s="33">
        <f ca="1">IFERROR(__xludf.DUMMYFUNCTION("""COMPUTED_VALUE"""),2026)</f>
        <v>2026</v>
      </c>
      <c r="C230" s="15">
        <f ca="1">IFERROR(__xludf.DUMMYFUNCTION("""COMPUTED_VALUE"""),2)</f>
        <v>2</v>
      </c>
      <c r="D230" s="6" t="str">
        <f ca="1">IFERROR(__xludf.DUMMYFUNCTION("""COMPUTED_VALUE"""),"NO")</f>
        <v>NO</v>
      </c>
      <c r="E230" s="6" t="str">
        <f ca="1">IFERROR(__xludf.DUMMYFUNCTION("""COMPUTED_VALUE"""),"Murcia")</f>
        <v>Murcia</v>
      </c>
      <c r="F230" s="16">
        <f ca="1">IFERROR(__xludf.DUMMYFUNCTION("""COMPUTED_VALUE"""),46077)</f>
        <v>46077</v>
      </c>
      <c r="G230" s="16">
        <f ca="1">IFERROR(__xludf.DUMMYFUNCTION("""COMPUTED_VALUE"""),46031)</f>
        <v>46031</v>
      </c>
      <c r="H230" s="6" t="str">
        <f ca="1">IFERROR(__xludf.DUMMYFUNCTION("""COMPUTED_VALUE"""),"Murcia")</f>
        <v>Murcia</v>
      </c>
      <c r="I230" s="6" t="str">
        <f ca="1">IFERROR(__xludf.DUMMYFUNCTION("""COMPUTED_VALUE"""),"C202619101846200563")</f>
        <v>C202619101846200563</v>
      </c>
      <c r="J230" s="6" t="str">
        <f ca="1">IFERROR(__xludf.DUMMYFUNCTION("""COMPUTED_VALUE"""),"JUAN ANTONIO PUIG TRULLEN")</f>
        <v>JUAN ANTONIO PUIG TRULLEN</v>
      </c>
      <c r="K230" s="15">
        <f ca="1">IFERROR(__xludf.DUMMYFUNCTION("""COMPUTED_VALUE"""),2)</f>
        <v>2</v>
      </c>
      <c r="L230" s="21">
        <f ca="1">IFERROR(__xludf.DUMMYFUNCTION("""COMPUTED_VALUE"""),2718.18)</f>
        <v>2718.18</v>
      </c>
      <c r="M230" s="6" t="str">
        <f ca="1">IFERROR(__xludf.DUMMYFUNCTION("""COMPUTED_VALUE"""),"03 ORL")</f>
        <v>03 ORL</v>
      </c>
      <c r="N230" s="6" t="str">
        <f ca="1">IFERROR(__xludf.DUMMYFUNCTION("""COMPUTED_VALUE"""),"06 ORL")</f>
        <v>06 ORL</v>
      </c>
      <c r="O230" s="6" t="str">
        <f ca="1">IFERROR(__xludf.DUMMYFUNCTION("""COMPUTED_VALUE"""),"Dra, María Agustina Sevilla García")</f>
        <v>Dra, María Agustina Sevilla García</v>
      </c>
      <c r="P230" s="6" t="str">
        <f ca="1">IFERROR(__xludf.DUMMYFUNCTION("""COMPUTED_VALUE"""),"Iván Sánchez (Levante y Albacete)")</f>
        <v>Iván Sánchez (Levante y Albacete)</v>
      </c>
    </row>
    <row r="231" spans="2:16">
      <c r="B231" s="33">
        <f ca="1">IFERROR(__xludf.DUMMYFUNCTION("""COMPUTED_VALUE"""),2026)</f>
        <v>2026</v>
      </c>
      <c r="C231" s="15">
        <f ca="1">IFERROR(__xludf.DUMMYFUNCTION("""COMPUTED_VALUE"""),2)</f>
        <v>2</v>
      </c>
      <c r="D231" s="6" t="str">
        <f ca="1">IFERROR(__xludf.DUMMYFUNCTION("""COMPUTED_VALUE"""),"NO")</f>
        <v>NO</v>
      </c>
      <c r="E231" s="6" t="str">
        <f ca="1">IFERROR(__xludf.DUMMYFUNCTION("""COMPUTED_VALUE"""),"Valladolid")</f>
        <v>Valladolid</v>
      </c>
      <c r="F231" s="16">
        <f ca="1">IFERROR(__xludf.DUMMYFUNCTION("""COMPUTED_VALUE"""),46077)</f>
        <v>46077</v>
      </c>
      <c r="G231" s="16">
        <f ca="1">IFERROR(__xludf.DUMMYFUNCTION("""COMPUTED_VALUE"""),46003)</f>
        <v>46003</v>
      </c>
      <c r="H231" s="6" t="str">
        <f ca="1">IFERROR(__xludf.DUMMYFUNCTION("""COMPUTED_VALUE"""),"Valladolid")</f>
        <v>Valladolid</v>
      </c>
      <c r="I231" s="6" t="str">
        <f ca="1">IFERROR(__xludf.DUMMYFUNCTION("""COMPUTED_VALUE"""),"C202512121543130386")</f>
        <v>C202512121543130386</v>
      </c>
      <c r="J231" s="6" t="str">
        <f ca="1">IFERROR(__xludf.DUMMYFUNCTION("""COMPUTED_VALUE"""),"FRANCISCO JAVIER PÉREZ PÉREZ")</f>
        <v>FRANCISCO JAVIER PÉREZ PÉREZ</v>
      </c>
      <c r="K231" s="15">
        <f ca="1">IFERROR(__xludf.DUMMYFUNCTION("""COMPUTED_VALUE"""),2)</f>
        <v>2</v>
      </c>
      <c r="L231" s="21">
        <f ca="1">IFERROR(__xludf.DUMMYFUNCTION("""COMPUTED_VALUE"""),3977.27)</f>
        <v>3977.27</v>
      </c>
      <c r="M231" s="6" t="str">
        <f ca="1">IFERROR(__xludf.DUMMYFUNCTION("""COMPUTED_VALUE"""),"03 ORL")</f>
        <v>03 ORL</v>
      </c>
      <c r="N231" s="6" t="str">
        <f ca="1">IFERROR(__xludf.DUMMYFUNCTION("""COMPUTED_VALUE"""),"06 ORL")</f>
        <v>06 ORL</v>
      </c>
      <c r="O231" s="6" t="str">
        <f ca="1">IFERROR(__xludf.DUMMYFUNCTION("""COMPUTED_VALUE"""),"Dra, Marina Madrigal Revuelta")</f>
        <v>Dra, Marina Madrigal Revuelta</v>
      </c>
      <c r="P231" s="6" t="str">
        <f ca="1">IFERROR(__xludf.DUMMYFUNCTION("""COMPUTED_VALUE"""),"Alberto Moreno (Madrid)")</f>
        <v>Alberto Moreno (Madrid)</v>
      </c>
    </row>
    <row r="232" spans="2:16">
      <c r="B232" s="33">
        <f ca="1">IFERROR(__xludf.DUMMYFUNCTION("""COMPUTED_VALUE"""),2026)</f>
        <v>2026</v>
      </c>
      <c r="C232" s="15">
        <f ca="1">IFERROR(__xludf.DUMMYFUNCTION("""COMPUTED_VALUE"""),2)</f>
        <v>2</v>
      </c>
      <c r="D232" s="6" t="str">
        <f ca="1">IFERROR(__xludf.DUMMYFUNCTION("""COMPUTED_VALUE"""),"NO")</f>
        <v>NO</v>
      </c>
      <c r="E232" s="6" t="str">
        <f ca="1">IFERROR(__xludf.DUMMYFUNCTION("""COMPUTED_VALUE"""),"Madrid- La Oca")</f>
        <v>Madrid- La Oca</v>
      </c>
      <c r="F232" s="16">
        <f ca="1">IFERROR(__xludf.DUMMYFUNCTION("""COMPUTED_VALUE"""),46077)</f>
        <v>46077</v>
      </c>
      <c r="G232" s="16">
        <f ca="1">IFERROR(__xludf.DUMMYFUNCTION("""COMPUTED_VALUE"""),46041)</f>
        <v>46041</v>
      </c>
      <c r="H232" s="6" t="str">
        <f ca="1">IFERROR(__xludf.DUMMYFUNCTION("""COMPUTED_VALUE"""),"La Oca")</f>
        <v>La Oca</v>
      </c>
      <c r="I232" s="6" t="str">
        <f ca="1">IFERROR(__xludf.DUMMYFUNCTION("""COMPUTED_VALUE"""),"C202611917564591568")</f>
        <v>C202611917564591568</v>
      </c>
      <c r="J232" s="6" t="str">
        <f ca="1">IFERROR(__xludf.DUMMYFUNCTION("""COMPUTED_VALUE"""),"MANUEL MARTINEZ MARTINEZ")</f>
        <v>MANUEL MARTINEZ MARTINEZ</v>
      </c>
      <c r="K232" s="15">
        <f ca="1">IFERROR(__xludf.DUMMYFUNCTION("""COMPUTED_VALUE"""),2)</f>
        <v>2</v>
      </c>
      <c r="L232" s="21">
        <f ca="1">IFERROR(__xludf.DUMMYFUNCTION("""COMPUTED_VALUE"""),2718.18)</f>
        <v>2718.18</v>
      </c>
      <c r="M232" s="6" t="str">
        <f ca="1">IFERROR(__xludf.DUMMYFUNCTION("""COMPUTED_VALUE"""),"01 MARKETING ON LINE")</f>
        <v>01 MARKETING ON LINE</v>
      </c>
      <c r="N232" s="6" t="str">
        <f ca="1">IFERROR(__xludf.DUMMYFUNCTION("""COMPUTED_VALUE"""),"04 AUDIFONO,ES")</f>
        <v>04 AUDIFONO,ES</v>
      </c>
      <c r="O232" s="6" t="str">
        <f ca="1">IFERROR(__xludf.DUMMYFUNCTION("""COMPUTED_VALUE"""),"Dr, Alfonso Plaza López")</f>
        <v>Dr, Alfonso Plaza López</v>
      </c>
      <c r="P232" s="6" t="str">
        <f ca="1">IFERROR(__xludf.DUMMYFUNCTION("""COMPUTED_VALUE"""),"Maika Blázquez (Madrid)")</f>
        <v>Maika Blázquez (Madrid)</v>
      </c>
    </row>
    <row r="233" spans="2:16">
      <c r="B233" s="33">
        <f ca="1">IFERROR(__xludf.DUMMYFUNCTION("""COMPUTED_VALUE"""),2026)</f>
        <v>2026</v>
      </c>
      <c r="C233" s="15">
        <f ca="1">IFERROR(__xludf.DUMMYFUNCTION("""COMPUTED_VALUE"""),2)</f>
        <v>2</v>
      </c>
      <c r="D233" s="6" t="str">
        <f ca="1">IFERROR(__xludf.DUMMYFUNCTION("""COMPUTED_VALUE"""),"NO")</f>
        <v>NO</v>
      </c>
      <c r="E233" s="6" t="str">
        <f ca="1">IFERROR(__xludf.DUMMYFUNCTION("""COMPUTED_VALUE"""),"Madrid- Monforte de Lemos")</f>
        <v>Madrid- Monforte de Lemos</v>
      </c>
      <c r="F233" s="16">
        <f ca="1">IFERROR(__xludf.DUMMYFUNCTION("""COMPUTED_VALUE"""),46077)</f>
        <v>46077</v>
      </c>
      <c r="G233" s="16">
        <f ca="1">IFERROR(__xludf.DUMMYFUNCTION("""COMPUTED_VALUE"""),46044)</f>
        <v>46044</v>
      </c>
      <c r="H233" s="6" t="str">
        <f ca="1">IFERROR(__xludf.DUMMYFUNCTION("""COMPUTED_VALUE"""),"La Vaguada")</f>
        <v>La Vaguada</v>
      </c>
      <c r="I233" s="6" t="str">
        <f ca="1">IFERROR(__xludf.DUMMYFUNCTION("""COMPUTED_VALUE"""),"C202612217385910574")</f>
        <v>C202612217385910574</v>
      </c>
      <c r="J233" s="6" t="str">
        <f ca="1">IFERROR(__xludf.DUMMYFUNCTION("""COMPUTED_VALUE"""),"MARIA ISABEL GONZALEZ GONZALEZ")</f>
        <v>MARIA ISABEL GONZALEZ GONZALEZ</v>
      </c>
      <c r="K233" s="15">
        <f ca="1">IFERROR(__xludf.DUMMYFUNCTION("""COMPUTED_VALUE"""),2)</f>
        <v>2</v>
      </c>
      <c r="L233" s="21">
        <f ca="1">IFERROR(__xludf.DUMMYFUNCTION("""COMPUTED_VALUE"""),4136.36)</f>
        <v>4136.3599999999997</v>
      </c>
      <c r="M233" s="6" t="str">
        <f ca="1">IFERROR(__xludf.DUMMYFUNCTION("""COMPUTED_VALUE"""),"03 ORL")</f>
        <v>03 ORL</v>
      </c>
      <c r="N233" s="6" t="str">
        <f ca="1">IFERROR(__xludf.DUMMYFUNCTION("""COMPUTED_VALUE"""),"06 ORL")</f>
        <v>06 ORL</v>
      </c>
      <c r="O233" s="6" t="str">
        <f ca="1">IFERROR(__xludf.DUMMYFUNCTION("""COMPUTED_VALUE"""),"Dra, Esther García González")</f>
        <v>Dra, Esther García González</v>
      </c>
      <c r="P233" s="6" t="str">
        <f ca="1">IFERROR(__xludf.DUMMYFUNCTION("""COMPUTED_VALUE"""),"Maika Blázquez (Madrid)")</f>
        <v>Maika Blázquez (Madrid)</v>
      </c>
    </row>
    <row r="234" spans="2:16">
      <c r="B234" s="33">
        <f ca="1">IFERROR(__xludf.DUMMYFUNCTION("""COMPUTED_VALUE"""),2026)</f>
        <v>2026</v>
      </c>
      <c r="C234" s="15">
        <f ca="1">IFERROR(__xludf.DUMMYFUNCTION("""COMPUTED_VALUE"""),2)</f>
        <v>2</v>
      </c>
      <c r="D234" s="6" t="str">
        <f ca="1">IFERROR(__xludf.DUMMYFUNCTION("""COMPUTED_VALUE"""),"NO")</f>
        <v>NO</v>
      </c>
      <c r="E234" s="6" t="str">
        <f ca="1">IFERROR(__xludf.DUMMYFUNCTION("""COMPUTED_VALUE"""),"Albacete")</f>
        <v>Albacete</v>
      </c>
      <c r="F234" s="16">
        <f ca="1">IFERROR(__xludf.DUMMYFUNCTION("""COMPUTED_VALUE"""),46077)</f>
        <v>46077</v>
      </c>
      <c r="G234" s="16">
        <f ca="1">IFERROR(__xludf.DUMMYFUNCTION("""COMPUTED_VALUE"""),46049)</f>
        <v>46049</v>
      </c>
      <c r="H234" s="6" t="str">
        <f ca="1">IFERROR(__xludf.DUMMYFUNCTION("""COMPUTED_VALUE"""),"Albacete")</f>
        <v>Albacete</v>
      </c>
      <c r="I234" s="6" t="str">
        <f ca="1">IFERROR(__xludf.DUMMYFUNCTION("""COMPUTED_VALUE"""),"C202612716305911990")</f>
        <v>C202612716305911990</v>
      </c>
      <c r="J234" s="6" t="str">
        <f ca="1">IFERROR(__xludf.DUMMYFUNCTION("""COMPUTED_VALUE"""),"MARIA DEL MAR MARIN BIELSA")</f>
        <v>MARIA DEL MAR MARIN BIELSA</v>
      </c>
      <c r="K234" s="15">
        <f ca="1">IFERROR(__xludf.DUMMYFUNCTION("""COMPUTED_VALUE"""),1)</f>
        <v>1</v>
      </c>
      <c r="L234" s="21">
        <f ca="1">IFERROR(__xludf.DUMMYFUNCTION("""COMPUTED_VALUE"""),2481.82)</f>
        <v>2481.8200000000002</v>
      </c>
      <c r="M234" s="6" t="str">
        <f ca="1">IFERROR(__xludf.DUMMYFUNCTION("""COMPUTED_VALUE"""),"03 ORL")</f>
        <v>03 ORL</v>
      </c>
      <c r="N234" s="6" t="str">
        <f ca="1">IFERROR(__xludf.DUMMYFUNCTION("""COMPUTED_VALUE"""),"06 ORL")</f>
        <v>06 ORL</v>
      </c>
      <c r="O234" s="6" t="str">
        <f ca="1">IFERROR(__xludf.DUMMYFUNCTION("""COMPUTED_VALUE"""),"Dr, Pedro Seguí Moya")</f>
        <v>Dr, Pedro Seguí Moya</v>
      </c>
      <c r="P234" s="6" t="str">
        <f ca="1">IFERROR(__xludf.DUMMYFUNCTION("""COMPUTED_VALUE"""),"Iván Sánchez (Levante y Albacete)")</f>
        <v>Iván Sánchez (Levante y Albacete)</v>
      </c>
    </row>
    <row r="235" spans="2:16">
      <c r="B235" s="33">
        <f ca="1">IFERROR(__xludf.DUMMYFUNCTION("""COMPUTED_VALUE"""),2026)</f>
        <v>2026</v>
      </c>
      <c r="C235" s="15">
        <f ca="1">IFERROR(__xludf.DUMMYFUNCTION("""COMPUTED_VALUE"""),2)</f>
        <v>2</v>
      </c>
      <c r="D235" s="6" t="str">
        <f ca="1">IFERROR(__xludf.DUMMYFUNCTION("""COMPUTED_VALUE"""),"NO")</f>
        <v>NO</v>
      </c>
      <c r="E235" s="6" t="str">
        <f ca="1">IFERROR(__xludf.DUMMYFUNCTION("""COMPUTED_VALUE"""),"Alicante")</f>
        <v>Alicante</v>
      </c>
      <c r="F235" s="16">
        <f ca="1">IFERROR(__xludf.DUMMYFUNCTION("""COMPUTED_VALUE"""),46078)</f>
        <v>46078</v>
      </c>
      <c r="G235" s="16">
        <f ca="1">IFERROR(__xludf.DUMMYFUNCTION("""COMPUTED_VALUE"""),46050)</f>
        <v>46050</v>
      </c>
      <c r="H235" s="6" t="str">
        <f ca="1">IFERROR(__xludf.DUMMYFUNCTION("""COMPUTED_VALUE"""),"Alicante")</f>
        <v>Alicante</v>
      </c>
      <c r="I235" s="6" t="str">
        <f ca="1">IFERROR(__xludf.DUMMYFUNCTION("""COMPUTED_VALUE"""),"C202612812373235514")</f>
        <v>C202612812373235514</v>
      </c>
      <c r="J235" s="6" t="str">
        <f ca="1">IFERROR(__xludf.DUMMYFUNCTION("""COMPUTED_VALUE"""),"CARMEN MAYOR PIQUERAS")</f>
        <v>CARMEN MAYOR PIQUERAS</v>
      </c>
      <c r="K235" s="15">
        <f ca="1">IFERROR(__xludf.DUMMYFUNCTION("""COMPUTED_VALUE"""),2)</f>
        <v>2</v>
      </c>
      <c r="L235" s="21">
        <f ca="1">IFERROR(__xludf.DUMMYFUNCTION("""COMPUTED_VALUE"""),2718.18)</f>
        <v>2718.18</v>
      </c>
      <c r="M235" s="6" t="str">
        <f ca="1">IFERROR(__xludf.DUMMYFUNCTION("""COMPUTED_VALUE"""),"04 TIENDA")</f>
        <v>04 TIENDA</v>
      </c>
      <c r="N235" s="6" t="str">
        <f ca="1">IFERROR(__xludf.DUMMYFUNCTION("""COMPUTED_VALUE"""),"07 BOCA/BOCA")</f>
        <v>07 BOCA/BOCA</v>
      </c>
      <c r="O235" s="6" t="str">
        <f ca="1">IFERROR(__xludf.DUMMYFUNCTION("""COMPUTED_VALUE"""),"Dra, Luisa Payá Pérez")</f>
        <v>Dra, Luisa Payá Pérez</v>
      </c>
      <c r="P235" s="6" t="str">
        <f ca="1">IFERROR(__xludf.DUMMYFUNCTION("""COMPUTED_VALUE"""),"Iván Sánchez (Levante y Albacete)")</f>
        <v>Iván Sánchez (Levante y Albacete)</v>
      </c>
    </row>
    <row r="236" spans="2:16">
      <c r="B236" s="33">
        <f ca="1">IFERROR(__xludf.DUMMYFUNCTION("""COMPUTED_VALUE"""),2026)</f>
        <v>2026</v>
      </c>
      <c r="C236" s="15">
        <f ca="1">IFERROR(__xludf.DUMMYFUNCTION("""COMPUTED_VALUE"""),2)</f>
        <v>2</v>
      </c>
      <c r="D236" s="6" t="str">
        <f ca="1">IFERROR(__xludf.DUMMYFUNCTION("""COMPUTED_VALUE"""),"NO")</f>
        <v>NO</v>
      </c>
      <c r="E236" s="6" t="str">
        <f ca="1">IFERROR(__xludf.DUMMYFUNCTION("""COMPUTED_VALUE"""),"Madrid- Canillas")</f>
        <v>Madrid- Canillas</v>
      </c>
      <c r="F236" s="16">
        <f ca="1">IFERROR(__xludf.DUMMYFUNCTION("""COMPUTED_VALUE"""),46078)</f>
        <v>46078</v>
      </c>
      <c r="G236" s="16">
        <f ca="1">IFERROR(__xludf.DUMMYFUNCTION("""COMPUTED_VALUE"""),46042)</f>
        <v>46042</v>
      </c>
      <c r="H236" s="6" t="str">
        <f ca="1">IFERROR(__xludf.DUMMYFUNCTION("""COMPUTED_VALUE"""),"Canillas")</f>
        <v>Canillas</v>
      </c>
      <c r="I236" s="6" t="str">
        <f ca="1">IFERROR(__xludf.DUMMYFUNCTION("""COMPUTED_VALUE"""),"C202612015347354164")</f>
        <v>C202612015347354164</v>
      </c>
      <c r="J236" s="6" t="str">
        <f ca="1">IFERROR(__xludf.DUMMYFUNCTION("""COMPUTED_VALUE"""),"RAFAEL PEREZ-OLLEROS RODRÍGUEZ")</f>
        <v>RAFAEL PEREZ-OLLEROS RODRÍGUEZ</v>
      </c>
      <c r="K236" s="15">
        <f ca="1">IFERROR(__xludf.DUMMYFUNCTION("""COMPUTED_VALUE"""),2)</f>
        <v>2</v>
      </c>
      <c r="L236" s="21">
        <f ca="1">IFERROR(__xludf.DUMMYFUNCTION("""COMPUTED_VALUE"""),3631.82)</f>
        <v>3631.82</v>
      </c>
      <c r="M236" s="6" t="str">
        <f ca="1">IFERROR(__xludf.DUMMYFUNCTION("""COMPUTED_VALUE"""),"03 ORL")</f>
        <v>03 ORL</v>
      </c>
      <c r="N236" s="6" t="str">
        <f ca="1">IFERROR(__xludf.DUMMYFUNCTION("""COMPUTED_VALUE"""),"06 ORL")</f>
        <v>06 ORL</v>
      </c>
      <c r="O236" s="6" t="str">
        <f ca="1">IFERROR(__xludf.DUMMYFUNCTION("""COMPUTED_VALUE"""),"Dra, Helena Moreno Pardo")</f>
        <v>Dra, Helena Moreno Pardo</v>
      </c>
      <c r="P236" s="6" t="str">
        <f ca="1">IFERROR(__xludf.DUMMYFUNCTION("""COMPUTED_VALUE"""),"Maika Blázquez (Madrid)")</f>
        <v>Maika Blázquez (Madrid)</v>
      </c>
    </row>
    <row r="237" spans="2:16">
      <c r="B237" s="33">
        <f ca="1">IFERROR(__xludf.DUMMYFUNCTION("""COMPUTED_VALUE"""),2026)</f>
        <v>2026</v>
      </c>
      <c r="C237" s="15">
        <f ca="1">IFERROR(__xludf.DUMMYFUNCTION("""COMPUTED_VALUE"""),2)</f>
        <v>2</v>
      </c>
      <c r="D237" s="6" t="str">
        <f ca="1">IFERROR(__xludf.DUMMYFUNCTION("""COMPUTED_VALUE"""),"NO")</f>
        <v>NO</v>
      </c>
      <c r="E237" s="6" t="str">
        <f ca="1">IFERROR(__xludf.DUMMYFUNCTION("""COMPUTED_VALUE"""),"Fuenlabrada")</f>
        <v>Fuenlabrada</v>
      </c>
      <c r="F237" s="16">
        <f ca="1">IFERROR(__xludf.DUMMYFUNCTION("""COMPUTED_VALUE"""),46078)</f>
        <v>46078</v>
      </c>
      <c r="G237" s="16">
        <f ca="1">IFERROR(__xludf.DUMMYFUNCTION("""COMPUTED_VALUE"""),46044)</f>
        <v>46044</v>
      </c>
      <c r="H237" s="6" t="str">
        <f ca="1">IFERROR(__xludf.DUMMYFUNCTION("""COMPUTED_VALUE"""),"Fuenlabrada")</f>
        <v>Fuenlabrada</v>
      </c>
      <c r="I237" s="6" t="str">
        <f ca="1">IFERROR(__xludf.DUMMYFUNCTION("""COMPUTED_VALUE"""),"C202612215343637378")</f>
        <v>C202612215343637378</v>
      </c>
      <c r="J237" s="6" t="str">
        <f ca="1">IFERROR(__xludf.DUMMYFUNCTION("""COMPUTED_VALUE"""),"JOSE LUIS PEREZ MOLINA")</f>
        <v>JOSE LUIS PEREZ MOLINA</v>
      </c>
      <c r="K237" s="15">
        <f ca="1">IFERROR(__xludf.DUMMYFUNCTION("""COMPUTED_VALUE"""),2)</f>
        <v>2</v>
      </c>
      <c r="L237" s="21">
        <f ca="1">IFERROR(__xludf.DUMMYFUNCTION("""COMPUTED_VALUE"""),2718.18)</f>
        <v>2718.18</v>
      </c>
      <c r="M237" s="6" t="str">
        <f ca="1">IFERROR(__xludf.DUMMYFUNCTION("""COMPUTED_VALUE"""),"03 ORL")</f>
        <v>03 ORL</v>
      </c>
      <c r="N237" s="6" t="str">
        <f ca="1">IFERROR(__xludf.DUMMYFUNCTION("""COMPUTED_VALUE"""),"06 ORL")</f>
        <v>06 ORL</v>
      </c>
      <c r="O237" s="6" t="str">
        <f ca="1">IFERROR(__xludf.DUMMYFUNCTION("""COMPUTED_VALUE"""),"Dra, Elvylins Vargas Yglesia")</f>
        <v>Dra, Elvylins Vargas Yglesia</v>
      </c>
      <c r="P237" s="6" t="str">
        <f ca="1">IFERROR(__xludf.DUMMYFUNCTION("""COMPUTED_VALUE"""),"Maika Blázquez (Madrid)")</f>
        <v>Maika Blázquez (Madrid)</v>
      </c>
    </row>
    <row r="238" spans="2:16">
      <c r="B238" s="33">
        <f ca="1">IFERROR(__xludf.DUMMYFUNCTION("""COMPUTED_VALUE"""),2026)</f>
        <v>2026</v>
      </c>
      <c r="C238" s="15">
        <f ca="1">IFERROR(__xludf.DUMMYFUNCTION("""COMPUTED_VALUE"""),2)</f>
        <v>2</v>
      </c>
      <c r="D238" s="6" t="str">
        <f ca="1">IFERROR(__xludf.DUMMYFUNCTION("""COMPUTED_VALUE"""),"NO")</f>
        <v>NO</v>
      </c>
      <c r="E238" s="6" t="str">
        <f ca="1">IFERROR(__xludf.DUMMYFUNCTION("""COMPUTED_VALUE"""),"Fuenlabrada")</f>
        <v>Fuenlabrada</v>
      </c>
      <c r="F238" s="16">
        <f ca="1">IFERROR(__xludf.DUMMYFUNCTION("""COMPUTED_VALUE"""),46078)</f>
        <v>46078</v>
      </c>
      <c r="G238" s="16">
        <f ca="1">IFERROR(__xludf.DUMMYFUNCTION("""COMPUTED_VALUE"""),46057)</f>
        <v>46057</v>
      </c>
      <c r="H238" s="6" t="str">
        <f ca="1">IFERROR(__xludf.DUMMYFUNCTION("""COMPUTED_VALUE"""),"Fuenlabrada")</f>
        <v>Fuenlabrada</v>
      </c>
      <c r="I238" s="6" t="str">
        <f ca="1">IFERROR(__xludf.DUMMYFUNCTION("""COMPUTED_VALUE"""),"C2026249239923062")</f>
        <v>C2026249239923062</v>
      </c>
      <c r="J238" s="6" t="str">
        <f ca="1">IFERROR(__xludf.DUMMYFUNCTION("""COMPUTED_VALUE"""),"CESAREO SANCHEZ MARTIN")</f>
        <v>CESAREO SANCHEZ MARTIN</v>
      </c>
      <c r="K238" s="15">
        <f ca="1">IFERROR(__xludf.DUMMYFUNCTION("""COMPUTED_VALUE"""),2)</f>
        <v>2</v>
      </c>
      <c r="L238" s="21">
        <f ca="1">IFERROR(__xludf.DUMMYFUNCTION("""COMPUTED_VALUE"""),2718.18)</f>
        <v>2718.18</v>
      </c>
      <c r="M238" s="6" t="str">
        <f ca="1">IFERROR(__xludf.DUMMYFUNCTION("""COMPUTED_VALUE"""),"03 ORL")</f>
        <v>03 ORL</v>
      </c>
      <c r="N238" s="6" t="str">
        <f ca="1">IFERROR(__xludf.DUMMYFUNCTION("""COMPUTED_VALUE"""),"06 ORL")</f>
        <v>06 ORL</v>
      </c>
      <c r="O238" s="6" t="str">
        <f ca="1">IFERROR(__xludf.DUMMYFUNCTION("""COMPUTED_VALUE"""),"Dra, María Teresa Herrera Mera")</f>
        <v>Dra, María Teresa Herrera Mera</v>
      </c>
      <c r="P238" s="6" t="str">
        <f ca="1">IFERROR(__xludf.DUMMYFUNCTION("""COMPUTED_VALUE"""),"Maika Blázquez (Madrid)")</f>
        <v>Maika Blázquez (Madrid)</v>
      </c>
    </row>
    <row r="239" spans="2:16">
      <c r="B239" s="33">
        <f ca="1">IFERROR(__xludf.DUMMYFUNCTION("""COMPUTED_VALUE"""),2026)</f>
        <v>2026</v>
      </c>
      <c r="C239" s="15">
        <f ca="1">IFERROR(__xludf.DUMMYFUNCTION("""COMPUTED_VALUE"""),2)</f>
        <v>2</v>
      </c>
      <c r="D239" s="6" t="str">
        <f ca="1">IFERROR(__xludf.DUMMYFUNCTION("""COMPUTED_VALUE"""),"NO")</f>
        <v>NO</v>
      </c>
      <c r="E239" s="6" t="str">
        <f ca="1">IFERROR(__xludf.DUMMYFUNCTION("""COMPUTED_VALUE"""),"Orihuela")</f>
        <v>Orihuela</v>
      </c>
      <c r="F239" s="16">
        <f ca="1">IFERROR(__xludf.DUMMYFUNCTION("""COMPUTED_VALUE"""),46078)</f>
        <v>46078</v>
      </c>
      <c r="G239" s="16">
        <f ca="1">IFERROR(__xludf.DUMMYFUNCTION("""COMPUTED_VALUE"""),46050)</f>
        <v>46050</v>
      </c>
      <c r="H239" s="6" t="str">
        <f ca="1">IFERROR(__xludf.DUMMYFUNCTION("""COMPUTED_VALUE"""),"La Zenia")</f>
        <v>La Zenia</v>
      </c>
      <c r="I239" s="6" t="str">
        <f ca="1">IFERROR(__xludf.DUMMYFUNCTION("""COMPUTED_VALUE"""),"C202612885730510878")</f>
        <v>C202612885730510878</v>
      </c>
      <c r="J239" s="6" t="str">
        <f ca="1">IFERROR(__xludf.DUMMYFUNCTION("""COMPUTED_VALUE"""),"HEINZ OTTO NEESER")</f>
        <v>HEINZ OTTO NEESER</v>
      </c>
      <c r="K239" s="15">
        <f ca="1">IFERROR(__xludf.DUMMYFUNCTION("""COMPUTED_VALUE"""),2)</f>
        <v>2</v>
      </c>
      <c r="L239" s="21">
        <f ca="1">IFERROR(__xludf.DUMMYFUNCTION("""COMPUTED_VALUE"""),4136.36)</f>
        <v>4136.3599999999997</v>
      </c>
      <c r="M239" s="6" t="str">
        <f ca="1">IFERROR(__xludf.DUMMYFUNCTION("""COMPUTED_VALUE"""),"01 MARKETING ON LINE")</f>
        <v>01 MARKETING ON LINE</v>
      </c>
      <c r="N239" s="6" t="str">
        <f ca="1">IFERROR(__xludf.DUMMYFUNCTION("""COMPUTED_VALUE"""),"01 WEB AUDICOST")</f>
        <v>01 WEB AUDICOST</v>
      </c>
      <c r="O239" s="6" t="str">
        <f ca="1">IFERROR(__xludf.DUMMYFUNCTION("""COMPUTED_VALUE"""),"Dr, José García Morillas")</f>
        <v>Dr, José García Morillas</v>
      </c>
      <c r="P239" s="6" t="str">
        <f ca="1">IFERROR(__xludf.DUMMYFUNCTION("""COMPUTED_VALUE"""),"Iván Sánchez (Levante y Albacete)")</f>
        <v>Iván Sánchez (Levante y Albacete)</v>
      </c>
    </row>
    <row r="240" spans="2:16">
      <c r="B240" s="33">
        <f ca="1">IFERROR(__xludf.DUMMYFUNCTION("""COMPUTED_VALUE"""),2026)</f>
        <v>2026</v>
      </c>
      <c r="C240" s="15">
        <f ca="1">IFERROR(__xludf.DUMMYFUNCTION("""COMPUTED_VALUE"""),2)</f>
        <v>2</v>
      </c>
      <c r="D240" s="6" t="str">
        <f ca="1">IFERROR(__xludf.DUMMYFUNCTION("""COMPUTED_VALUE"""),"NO")</f>
        <v>NO</v>
      </c>
      <c r="E240" s="6" t="str">
        <f ca="1">IFERROR(__xludf.DUMMYFUNCTION("""COMPUTED_VALUE"""),"Almería")</f>
        <v>Almería</v>
      </c>
      <c r="F240" s="16">
        <f ca="1">IFERROR(__xludf.DUMMYFUNCTION("""COMPUTED_VALUE"""),46078)</f>
        <v>46078</v>
      </c>
      <c r="G240" s="16">
        <f ca="1">IFERROR(__xludf.DUMMYFUNCTION("""COMPUTED_VALUE"""),46069)</f>
        <v>46069</v>
      </c>
      <c r="H240" s="6" t="str">
        <f ca="1">IFERROR(__xludf.DUMMYFUNCTION("""COMPUTED_VALUE"""),"Almería")</f>
        <v>Almería</v>
      </c>
      <c r="I240" s="6" t="str">
        <f ca="1">IFERROR(__xludf.DUMMYFUNCTION("""COMPUTED_VALUE"""),"C202621612475543331")</f>
        <v>C202621612475543331</v>
      </c>
      <c r="J240" s="6" t="str">
        <f ca="1">IFERROR(__xludf.DUMMYFUNCTION("""COMPUTED_VALUE"""),"ANA ASCENSION GARCIA RUIZ")</f>
        <v>ANA ASCENSION GARCIA RUIZ</v>
      </c>
      <c r="K240" s="15">
        <f ca="1">IFERROR(__xludf.DUMMYFUNCTION("""COMPUTED_VALUE"""),1)</f>
        <v>1</v>
      </c>
      <c r="L240" s="21">
        <f ca="1">IFERROR(__xludf.DUMMYFUNCTION("""COMPUTED_VALUE"""),1631.82)</f>
        <v>1631.82</v>
      </c>
      <c r="M240" s="6" t="str">
        <f ca="1">IFERROR(__xludf.DUMMYFUNCTION("""COMPUTED_VALUE"""),"03 ORL")</f>
        <v>03 ORL</v>
      </c>
      <c r="N240" s="6" t="str">
        <f ca="1">IFERROR(__xludf.DUMMYFUNCTION("""COMPUTED_VALUE"""),"06 ORL")</f>
        <v>06 ORL</v>
      </c>
      <c r="O240" s="6" t="str">
        <f ca="1">IFERROR(__xludf.DUMMYFUNCTION("""COMPUTED_VALUE"""),"Dra, María José Gámiz Maroto")</f>
        <v>Dra, María José Gámiz Maroto</v>
      </c>
      <c r="P240" s="6" t="str">
        <f ca="1">IFERROR(__xludf.DUMMYFUNCTION("""COMPUTED_VALUE"""),"Ramon Ferrando(Valencia)")</f>
        <v>Ramon Ferrando(Valencia)</v>
      </c>
    </row>
    <row r="241" spans="2:16">
      <c r="B241" s="33">
        <f ca="1">IFERROR(__xludf.DUMMYFUNCTION("""COMPUTED_VALUE"""),2026)</f>
        <v>2026</v>
      </c>
      <c r="C241" s="15">
        <f ca="1">IFERROR(__xludf.DUMMYFUNCTION("""COMPUTED_VALUE"""),2)</f>
        <v>2</v>
      </c>
      <c r="D241" s="6" t="str">
        <f ca="1">IFERROR(__xludf.DUMMYFUNCTION("""COMPUTED_VALUE"""),"NO")</f>
        <v>NO</v>
      </c>
      <c r="E241" s="6" t="str">
        <f ca="1">IFERROR(__xludf.DUMMYFUNCTION("""COMPUTED_VALUE"""),"Sevilla- Montoto")</f>
        <v>Sevilla- Montoto</v>
      </c>
      <c r="F241" s="16">
        <f ca="1">IFERROR(__xludf.DUMMYFUNCTION("""COMPUTED_VALUE"""),46078)</f>
        <v>46078</v>
      </c>
      <c r="G241" s="16">
        <f ca="1">IFERROR(__xludf.DUMMYFUNCTION("""COMPUTED_VALUE"""),45951)</f>
        <v>45951</v>
      </c>
      <c r="H241" s="6" t="str">
        <f ca="1">IFERROR(__xludf.DUMMYFUNCTION("""COMPUTED_VALUE"""),"Montoto")</f>
        <v>Montoto</v>
      </c>
      <c r="I241" s="6" t="str">
        <f ca="1">IFERROR(__xludf.DUMMYFUNCTION("""COMPUTED_VALUE"""),"C202510211025173009")</f>
        <v>C202510211025173009</v>
      </c>
      <c r="J241" s="6" t="str">
        <f ca="1">IFERROR(__xludf.DUMMYFUNCTION("""COMPUTED_VALUE"""),"ADOLFO JESUS CARVAJAL RAMOS")</f>
        <v>ADOLFO JESUS CARVAJAL RAMOS</v>
      </c>
      <c r="K241" s="15">
        <f ca="1">IFERROR(__xludf.DUMMYFUNCTION("""COMPUTED_VALUE"""),1)</f>
        <v>1</v>
      </c>
      <c r="L241" s="21">
        <f ca="1">IFERROR(__xludf.DUMMYFUNCTION("""COMPUTED_VALUE"""),2180.91)</f>
        <v>2180.91</v>
      </c>
      <c r="M241" s="6" t="str">
        <f ca="1">IFERROR(__xludf.DUMMYFUNCTION("""COMPUTED_VALUE"""),"03 ORL")</f>
        <v>03 ORL</v>
      </c>
      <c r="N241" s="6" t="str">
        <f ca="1">IFERROR(__xludf.DUMMYFUNCTION("""COMPUTED_VALUE"""),"06 ORL")</f>
        <v>06 ORL</v>
      </c>
      <c r="O241" s="6" t="str">
        <f ca="1">IFERROR(__xludf.DUMMYFUNCTION("""COMPUTED_VALUE"""),"Dr, David Castro Gutiérrez de Agüero")</f>
        <v>Dr, David Castro Gutiérrez de Agüero</v>
      </c>
      <c r="P241" s="6" t="str">
        <f ca="1">IFERROR(__xludf.DUMMYFUNCTION("""COMPUTED_VALUE"""),"Luis Alberto Rodríguez (Andalucía y Badajoz)")</f>
        <v>Luis Alberto Rodríguez (Andalucía y Badajoz)</v>
      </c>
    </row>
    <row r="242" spans="2:16">
      <c r="B242" s="33">
        <f ca="1">IFERROR(__xludf.DUMMYFUNCTION("""COMPUTED_VALUE"""),2026)</f>
        <v>2026</v>
      </c>
      <c r="C242" s="15">
        <f ca="1">IFERROR(__xludf.DUMMYFUNCTION("""COMPUTED_VALUE"""),2)</f>
        <v>2</v>
      </c>
      <c r="D242" s="6" t="str">
        <f ca="1">IFERROR(__xludf.DUMMYFUNCTION("""COMPUTED_VALUE"""),"NO")</f>
        <v>NO</v>
      </c>
      <c r="E242" s="6" t="str">
        <f ca="1">IFERROR(__xludf.DUMMYFUNCTION("""COMPUTED_VALUE"""),"Torrejón de Ardoz")</f>
        <v>Torrejón de Ardoz</v>
      </c>
      <c r="F242" s="16">
        <f ca="1">IFERROR(__xludf.DUMMYFUNCTION("""COMPUTED_VALUE"""),46078)</f>
        <v>46078</v>
      </c>
      <c r="G242" s="16">
        <f ca="1">IFERROR(__xludf.DUMMYFUNCTION("""COMPUTED_VALUE"""),45979)</f>
        <v>45979</v>
      </c>
      <c r="H242" s="6" t="str">
        <f ca="1">IFERROR(__xludf.DUMMYFUNCTION("""COMPUTED_VALUE"""),"Torrejón")</f>
        <v>Torrejón</v>
      </c>
      <c r="I242" s="6" t="str">
        <f ca="1">IFERROR(__xludf.DUMMYFUNCTION("""COMPUTED_VALUE"""),"C202511181118436565")</f>
        <v>C202511181118436565</v>
      </c>
      <c r="J242" s="6" t="str">
        <f ca="1">IFERROR(__xludf.DUMMYFUNCTION("""COMPUTED_VALUE"""),"CARMEN GONZALEZ RODRIGUEZ-CARRETERO")</f>
        <v>CARMEN GONZALEZ RODRIGUEZ-CARRETERO</v>
      </c>
      <c r="K242" s="15">
        <f ca="1">IFERROR(__xludf.DUMMYFUNCTION("""COMPUTED_VALUE"""),2)</f>
        <v>2</v>
      </c>
      <c r="L242" s="21">
        <f ca="1">IFERROR(__xludf.DUMMYFUNCTION("""COMPUTED_VALUE"""),2718.18)</f>
        <v>2718.18</v>
      </c>
      <c r="M242" s="6" t="str">
        <f ca="1">IFERROR(__xludf.DUMMYFUNCTION("""COMPUTED_VALUE"""),"03 ORL")</f>
        <v>03 ORL</v>
      </c>
      <c r="N242" s="6" t="str">
        <f ca="1">IFERROR(__xludf.DUMMYFUNCTION("""COMPUTED_VALUE"""),"06 ORL")</f>
        <v>06 ORL</v>
      </c>
      <c r="O242" s="6" t="str">
        <f ca="1">IFERROR(__xludf.DUMMYFUNCTION("""COMPUTED_VALUE"""),"Dra, Marta Abad Pascual")</f>
        <v>Dra, Marta Abad Pascual</v>
      </c>
      <c r="P242" s="6" t="str">
        <f ca="1">IFERROR(__xludf.DUMMYFUNCTION("""COMPUTED_VALUE"""),"Maika Blázquez (Madrid)")</f>
        <v>Maika Blázquez (Madrid)</v>
      </c>
    </row>
    <row r="243" spans="2:16">
      <c r="B243" s="33">
        <f ca="1">IFERROR(__xludf.DUMMYFUNCTION("""COMPUTED_VALUE"""),2026)</f>
        <v>2026</v>
      </c>
      <c r="C243" s="15">
        <f ca="1">IFERROR(__xludf.DUMMYFUNCTION("""COMPUTED_VALUE"""),2)</f>
        <v>2</v>
      </c>
      <c r="D243" s="6" t="str">
        <f ca="1">IFERROR(__xludf.DUMMYFUNCTION("""COMPUTED_VALUE"""),"NO")</f>
        <v>NO</v>
      </c>
      <c r="E243" s="6" t="str">
        <f ca="1">IFERROR(__xludf.DUMMYFUNCTION("""COMPUTED_VALUE"""),"Salamanca")</f>
        <v>Salamanca</v>
      </c>
      <c r="F243" s="16">
        <f ca="1">IFERROR(__xludf.DUMMYFUNCTION("""COMPUTED_VALUE"""),46078)</f>
        <v>46078</v>
      </c>
      <c r="G243" s="16">
        <f ca="1">IFERROR(__xludf.DUMMYFUNCTION("""COMPUTED_VALUE"""),46043)</f>
        <v>46043</v>
      </c>
      <c r="H243" s="6" t="str">
        <f ca="1">IFERROR(__xludf.DUMMYFUNCTION("""COMPUTED_VALUE"""),"Salamanca")</f>
        <v>Salamanca</v>
      </c>
      <c r="I243" s="6" t="str">
        <f ca="1">IFERROR(__xludf.DUMMYFUNCTION("""COMPUTED_VALUE"""),"C202612118321337950")</f>
        <v>C202612118321337950</v>
      </c>
      <c r="J243" s="6" t="str">
        <f ca="1">IFERROR(__xludf.DUMMYFUNCTION("""COMPUTED_VALUE"""),"Fernando  Gregorio-Lastra Moreda")</f>
        <v>Fernando  Gregorio-Lastra Moreda</v>
      </c>
      <c r="K243" s="15">
        <f ca="1">IFERROR(__xludf.DUMMYFUNCTION("""COMPUTED_VALUE"""),2)</f>
        <v>2</v>
      </c>
      <c r="L243" s="21">
        <f ca="1">IFERROR(__xludf.DUMMYFUNCTION("""COMPUTED_VALUE"""),3730)</f>
        <v>3730</v>
      </c>
      <c r="M243" s="6" t="str">
        <f ca="1">IFERROR(__xludf.DUMMYFUNCTION("""COMPUTED_VALUE"""),"03 ORL")</f>
        <v>03 ORL</v>
      </c>
      <c r="N243" s="6" t="str">
        <f ca="1">IFERROR(__xludf.DUMMYFUNCTION("""COMPUTED_VALUE"""),"06 ORL")</f>
        <v>06 ORL</v>
      </c>
      <c r="O243" s="6" t="str">
        <f ca="1">IFERROR(__xludf.DUMMYFUNCTION("""COMPUTED_VALUE"""),"No recuerda ORL")</f>
        <v>No recuerda ORL</v>
      </c>
      <c r="P243" s="6" t="str">
        <f ca="1">IFERROR(__xludf.DUMMYFUNCTION("""COMPUTED_VALUE"""),"Alberto Moreno (madrid)")</f>
        <v>Alberto Moreno (madrid)</v>
      </c>
    </row>
    <row r="244" spans="2:16">
      <c r="B244" s="33">
        <f ca="1">IFERROR(__xludf.DUMMYFUNCTION("""COMPUTED_VALUE"""),2026)</f>
        <v>2026</v>
      </c>
      <c r="C244" s="15">
        <f ca="1">IFERROR(__xludf.DUMMYFUNCTION("""COMPUTED_VALUE"""),2)</f>
        <v>2</v>
      </c>
      <c r="D244" s="6" t="str">
        <f ca="1">IFERROR(__xludf.DUMMYFUNCTION("""COMPUTED_VALUE"""),"NO")</f>
        <v>NO</v>
      </c>
      <c r="E244" s="6" t="str">
        <f ca="1">IFERROR(__xludf.DUMMYFUNCTION("""COMPUTED_VALUE"""),"Cáceres")</f>
        <v>Cáceres</v>
      </c>
      <c r="F244" s="16">
        <f ca="1">IFERROR(__xludf.DUMMYFUNCTION("""COMPUTED_VALUE"""),46078)</f>
        <v>46078</v>
      </c>
      <c r="G244" s="16">
        <f ca="1">IFERROR(__xludf.DUMMYFUNCTION("""COMPUTED_VALUE"""),46049)</f>
        <v>46049</v>
      </c>
      <c r="H244" s="6" t="str">
        <f ca="1">IFERROR(__xludf.DUMMYFUNCTION("""COMPUTED_VALUE"""),"Cáceres")</f>
        <v>Cáceres</v>
      </c>
      <c r="I244" s="6" t="str">
        <f ca="1">IFERROR(__xludf.DUMMYFUNCTION("""COMPUTED_VALUE"""),"C202612717262205434")</f>
        <v>C202612717262205434</v>
      </c>
      <c r="J244" s="6" t="str">
        <f ca="1">IFERROR(__xludf.DUMMYFUNCTION("""COMPUTED_VALUE"""),"MARIA DEL PRADO BARRANTES BORRELLA")</f>
        <v>MARIA DEL PRADO BARRANTES BORRELLA</v>
      </c>
      <c r="K244" s="15">
        <f ca="1">IFERROR(__xludf.DUMMYFUNCTION("""COMPUTED_VALUE"""),2)</f>
        <v>2</v>
      </c>
      <c r="L244" s="21">
        <f ca="1">IFERROR(__xludf.DUMMYFUNCTION("""COMPUTED_VALUE"""),3454.55)</f>
        <v>3454.55</v>
      </c>
      <c r="M244" s="6" t="str">
        <f ca="1">IFERROR(__xludf.DUMMYFUNCTION("""COMPUTED_VALUE"""),"01 MARKETING ON LINE")</f>
        <v>01 MARKETING ON LINE</v>
      </c>
      <c r="N244" s="6" t="str">
        <f ca="1">IFERROR(__xludf.DUMMYFUNCTION("""COMPUTED_VALUE"""),"04 AUDIFONO,ES")</f>
        <v>04 AUDIFONO,ES</v>
      </c>
      <c r="O244" s="6" t="str">
        <f ca="1">IFERROR(__xludf.DUMMYFUNCTION("""COMPUTED_VALUE"""),"Dr, Rafael Sanz Trenado")</f>
        <v>Dr, Rafael Sanz Trenado</v>
      </c>
      <c r="P244" s="6" t="str">
        <f ca="1">IFERROR(__xludf.DUMMYFUNCTION("""COMPUTED_VALUE"""),"Lisandro Russian (Madrid, Cáceres, Toledo, Talavera y Logroño)")</f>
        <v>Lisandro Russian (Madrid, Cáceres, Toledo, Talavera y Logroño)</v>
      </c>
    </row>
    <row r="245" spans="2:16">
      <c r="B245" s="33">
        <f ca="1">IFERROR(__xludf.DUMMYFUNCTION("""COMPUTED_VALUE"""),2026)</f>
        <v>2026</v>
      </c>
      <c r="C245" s="15">
        <f ca="1">IFERROR(__xludf.DUMMYFUNCTION("""COMPUTED_VALUE"""),2)</f>
        <v>2</v>
      </c>
      <c r="D245" s="6" t="str">
        <f ca="1">IFERROR(__xludf.DUMMYFUNCTION("""COMPUTED_VALUE"""),"NO")</f>
        <v>NO</v>
      </c>
      <c r="E245" s="6" t="str">
        <f ca="1">IFERROR(__xludf.DUMMYFUNCTION("""COMPUTED_VALUE"""),"Leganés")</f>
        <v>Leganés</v>
      </c>
      <c r="F245" s="16">
        <f ca="1">IFERROR(__xludf.DUMMYFUNCTION("""COMPUTED_VALUE"""),46078)</f>
        <v>46078</v>
      </c>
      <c r="G245" s="16">
        <f ca="1">IFERROR(__xludf.DUMMYFUNCTION("""COMPUTED_VALUE"""),44013)</f>
        <v>44013</v>
      </c>
      <c r="H245" s="6" t="str">
        <f ca="1">IFERROR(__xludf.DUMMYFUNCTION("""COMPUTED_VALUE"""),"Leganés")</f>
        <v>Leganés</v>
      </c>
      <c r="I245" s="6" t="str">
        <f ca="1">IFERROR(__xludf.DUMMYFUNCTION("""COMPUTED_VALUE"""),"PQL-1344")</f>
        <v>PQL-1344</v>
      </c>
      <c r="J245" s="6" t="str">
        <f ca="1">IFERROR(__xludf.DUMMYFUNCTION("""COMPUTED_VALUE"""),"JOSE LUIS ABARCA PONCE")</f>
        <v>JOSE LUIS ABARCA PONCE</v>
      </c>
      <c r="K245" s="15">
        <f ca="1">IFERROR(__xludf.DUMMYFUNCTION("""COMPUTED_VALUE"""),2)</f>
        <v>2</v>
      </c>
      <c r="L245" s="21">
        <f ca="1">IFERROR(__xludf.DUMMYFUNCTION("""COMPUTED_VALUE"""),2718.18)</f>
        <v>2718.18</v>
      </c>
      <c r="M245" s="6" t="str">
        <f ca="1">IFERROR(__xludf.DUMMYFUNCTION("""COMPUTED_VALUE"""),"03 ORL")</f>
        <v>03 ORL</v>
      </c>
      <c r="N245" s="6" t="str">
        <f ca="1">IFERROR(__xludf.DUMMYFUNCTION("""COMPUTED_VALUE"""),"06 ORL")</f>
        <v>06 ORL</v>
      </c>
      <c r="O245" s="6" t="str">
        <f ca="1">IFERROR(__xludf.DUMMYFUNCTION("""COMPUTED_VALUE"""),"Dra, Patricia García Vicente")</f>
        <v>Dra, Patricia García Vicente</v>
      </c>
      <c r="P245" s="6" t="str">
        <f ca="1">IFERROR(__xludf.DUMMYFUNCTION("""COMPUTED_VALUE"""),"Maika Blázquez (Madrid)")</f>
        <v>Maika Blázquez (Madrid)</v>
      </c>
    </row>
    <row r="246" spans="2:16">
      <c r="B246" s="33">
        <f ca="1">IFERROR(__xludf.DUMMYFUNCTION("""COMPUTED_VALUE"""),2026)</f>
        <v>2026</v>
      </c>
      <c r="C246" s="15">
        <f ca="1">IFERROR(__xludf.DUMMYFUNCTION("""COMPUTED_VALUE"""),2)</f>
        <v>2</v>
      </c>
      <c r="D246" s="6" t="str">
        <f ca="1">IFERROR(__xludf.DUMMYFUNCTION("""COMPUTED_VALUE"""),"NO")</f>
        <v>NO</v>
      </c>
      <c r="E246" s="6" t="str">
        <f ca="1">IFERROR(__xludf.DUMMYFUNCTION("""COMPUTED_VALUE"""),"Madrid- Monforte de Lemos")</f>
        <v>Madrid- Monforte de Lemos</v>
      </c>
      <c r="F246" s="16">
        <f ca="1">IFERROR(__xludf.DUMMYFUNCTION("""COMPUTED_VALUE"""),46078)</f>
        <v>46078</v>
      </c>
      <c r="G246" s="16">
        <f ca="1">IFERROR(__xludf.DUMMYFUNCTION("""COMPUTED_VALUE"""),46044)</f>
        <v>46044</v>
      </c>
      <c r="H246" s="6" t="str">
        <f ca="1">IFERROR(__xludf.DUMMYFUNCTION("""COMPUTED_VALUE"""),"La Vaguada")</f>
        <v>La Vaguada</v>
      </c>
      <c r="I246" s="6" t="str">
        <f ca="1">IFERROR(__xludf.DUMMYFUNCTION("""COMPUTED_VALUE"""),"C202612216648697539")</f>
        <v>C202612216648697539</v>
      </c>
      <c r="J246" s="6" t="str">
        <f ca="1">IFERROR(__xludf.DUMMYFUNCTION("""COMPUTED_VALUE"""),"MARIA DOLORES JIMENEZ DE LA POZA")</f>
        <v>MARIA DOLORES JIMENEZ DE LA POZA</v>
      </c>
      <c r="K246" s="15">
        <f ca="1">IFERROR(__xludf.DUMMYFUNCTION("""COMPUTED_VALUE"""),2)</f>
        <v>2</v>
      </c>
      <c r="L246" s="21">
        <f ca="1">IFERROR(__xludf.DUMMYFUNCTION("""COMPUTED_VALUE"""),4136.36)</f>
        <v>4136.3599999999997</v>
      </c>
      <c r="M246" s="6" t="str">
        <f ca="1">IFERROR(__xludf.DUMMYFUNCTION("""COMPUTED_VALUE"""),"03 ORL")</f>
        <v>03 ORL</v>
      </c>
      <c r="N246" s="6" t="str">
        <f ca="1">IFERROR(__xludf.DUMMYFUNCTION("""COMPUTED_VALUE"""),"06 ORL")</f>
        <v>06 ORL</v>
      </c>
      <c r="O246" s="6" t="str">
        <f ca="1">IFERROR(__xludf.DUMMYFUNCTION("""COMPUTED_VALUE"""),"Dr, Julio López Moya")</f>
        <v>Dr, Julio López Moya</v>
      </c>
      <c r="P246" s="6" t="str">
        <f ca="1">IFERROR(__xludf.DUMMYFUNCTION("""COMPUTED_VALUE"""),"Maika Blázquez (Madrid)")</f>
        <v>Maika Blázquez (Madrid)</v>
      </c>
    </row>
    <row r="247" spans="2:16">
      <c r="B247" s="33">
        <f ca="1">IFERROR(__xludf.DUMMYFUNCTION("""COMPUTED_VALUE"""),2026)</f>
        <v>2026</v>
      </c>
      <c r="C247" s="15">
        <f ca="1">IFERROR(__xludf.DUMMYFUNCTION("""COMPUTED_VALUE"""),2)</f>
        <v>2</v>
      </c>
      <c r="D247" s="6" t="str">
        <f ca="1">IFERROR(__xludf.DUMMYFUNCTION("""COMPUTED_VALUE"""),"NO")</f>
        <v>NO</v>
      </c>
      <c r="E247" s="6" t="str">
        <f ca="1">IFERROR(__xludf.DUMMYFUNCTION("""COMPUTED_VALUE"""),"Murcia")</f>
        <v>Murcia</v>
      </c>
      <c r="F247" s="16">
        <f ca="1">IFERROR(__xludf.DUMMYFUNCTION("""COMPUTED_VALUE"""),46078)</f>
        <v>46078</v>
      </c>
      <c r="G247" s="16">
        <f ca="1">IFERROR(__xludf.DUMMYFUNCTION("""COMPUTED_VALUE"""),46052)</f>
        <v>46052</v>
      </c>
      <c r="H247" s="6" t="str">
        <f ca="1">IFERROR(__xludf.DUMMYFUNCTION("""COMPUTED_VALUE"""),"Murcia")</f>
        <v>Murcia</v>
      </c>
      <c r="I247" s="6" t="str">
        <f ca="1">IFERROR(__xludf.DUMMYFUNCTION("""COMPUTED_VALUE"""),"C202613082451127538")</f>
        <v>C202613082451127538</v>
      </c>
      <c r="J247" s="6" t="str">
        <f ca="1">IFERROR(__xludf.DUMMYFUNCTION("""COMPUTED_VALUE"""),"PURIFICACIÓN GOMEZ GARCIA")</f>
        <v>PURIFICACIÓN GOMEZ GARCIA</v>
      </c>
      <c r="K247" s="15">
        <f ca="1">IFERROR(__xludf.DUMMYFUNCTION("""COMPUTED_VALUE"""),2)</f>
        <v>2</v>
      </c>
      <c r="L247" s="21">
        <f ca="1">IFERROR(__xludf.DUMMYFUNCTION("""COMPUTED_VALUE"""),2718.18)</f>
        <v>2718.18</v>
      </c>
      <c r="M247" s="6" t="str">
        <f ca="1">IFERROR(__xludf.DUMMYFUNCTION("""COMPUTED_VALUE"""),"03 ORL")</f>
        <v>03 ORL</v>
      </c>
      <c r="N247" s="6" t="str">
        <f ca="1">IFERROR(__xludf.DUMMYFUNCTION("""COMPUTED_VALUE"""),"06 ORL")</f>
        <v>06 ORL</v>
      </c>
      <c r="O247" s="6" t="str">
        <f ca="1">IFERROR(__xludf.DUMMYFUNCTION("""COMPUTED_VALUE"""),"Dr, Jesús Miguel Iniesta Turpín")</f>
        <v>Dr, Jesús Miguel Iniesta Turpín</v>
      </c>
      <c r="P247" s="6" t="str">
        <f ca="1">IFERROR(__xludf.DUMMYFUNCTION("""COMPUTED_VALUE"""),"Iván Sánchez (Levante y Albacete)")</f>
        <v>Iván Sánchez (Levante y Albacete)</v>
      </c>
    </row>
    <row r="248" spans="2:16">
      <c r="B248" s="33">
        <f ca="1">IFERROR(__xludf.DUMMYFUNCTION("""COMPUTED_VALUE"""),2026)</f>
        <v>2026</v>
      </c>
      <c r="C248" s="15">
        <f ca="1">IFERROR(__xludf.DUMMYFUNCTION("""COMPUTED_VALUE"""),2)</f>
        <v>2</v>
      </c>
      <c r="D248" s="6" t="str">
        <f ca="1">IFERROR(__xludf.DUMMYFUNCTION("""COMPUTED_VALUE"""),"NO")</f>
        <v>NO</v>
      </c>
      <c r="E248" s="6" t="str">
        <f ca="1">IFERROR(__xludf.DUMMYFUNCTION("""COMPUTED_VALUE"""),"Talavera")</f>
        <v>Talavera</v>
      </c>
      <c r="F248" s="16">
        <f ca="1">IFERROR(__xludf.DUMMYFUNCTION("""COMPUTED_VALUE"""),46078)</f>
        <v>46078</v>
      </c>
      <c r="G248" s="16">
        <f ca="1">IFERROR(__xludf.DUMMYFUNCTION("""COMPUTED_VALUE"""),46051)</f>
        <v>46051</v>
      </c>
      <c r="H248" s="6" t="str">
        <f ca="1">IFERROR(__xludf.DUMMYFUNCTION("""COMPUTED_VALUE"""),"Talavera")</f>
        <v>Talavera</v>
      </c>
      <c r="I248" s="6" t="str">
        <f ca="1">IFERROR(__xludf.DUMMYFUNCTION("""COMPUTED_VALUE"""),"C202612917304004894")</f>
        <v>C202612917304004894</v>
      </c>
      <c r="J248" s="6" t="str">
        <f ca="1">IFERROR(__xludf.DUMMYFUNCTION("""COMPUTED_VALUE"""),"MARIA DEL PILAR CHOZAS SERRANO")</f>
        <v>MARIA DEL PILAR CHOZAS SERRANO</v>
      </c>
      <c r="K248" s="15">
        <f ca="1">IFERROR(__xludf.DUMMYFUNCTION("""COMPUTED_VALUE"""),2)</f>
        <v>2</v>
      </c>
      <c r="L248" s="21">
        <f ca="1">IFERROR(__xludf.DUMMYFUNCTION("""COMPUTED_VALUE"""),3631.82)</f>
        <v>3631.82</v>
      </c>
      <c r="M248" s="6" t="str">
        <f ca="1">IFERROR(__xludf.DUMMYFUNCTION("""COMPUTED_VALUE"""),"03 ORL")</f>
        <v>03 ORL</v>
      </c>
      <c r="N248" s="6" t="str">
        <f ca="1">IFERROR(__xludf.DUMMYFUNCTION("""COMPUTED_VALUE"""),"06 ORL")</f>
        <v>06 ORL</v>
      </c>
      <c r="O248" s="6" t="str">
        <f ca="1">IFERROR(__xludf.DUMMYFUNCTION("""COMPUTED_VALUE"""),"Dr, Carlos Félix Asensio Nieto")</f>
        <v>Dr, Carlos Félix Asensio Nieto</v>
      </c>
      <c r="P248" s="6" t="str">
        <f ca="1">IFERROR(__xludf.DUMMYFUNCTION("""COMPUTED_VALUE"""),"Lisandro Russian (Madrid, Cáceres, Toledo, Talavera y Logroño)")</f>
        <v>Lisandro Russian (Madrid, Cáceres, Toledo, Talavera y Logroño)</v>
      </c>
    </row>
    <row r="249" spans="2:16">
      <c r="B249" s="33">
        <f ca="1">IFERROR(__xludf.DUMMYFUNCTION("""COMPUTED_VALUE"""),2026)</f>
        <v>2026</v>
      </c>
      <c r="C249" s="15">
        <f ca="1">IFERROR(__xludf.DUMMYFUNCTION("""COMPUTED_VALUE"""),2)</f>
        <v>2</v>
      </c>
      <c r="D249" s="6" t="str">
        <f ca="1">IFERROR(__xludf.DUMMYFUNCTION("""COMPUTED_VALUE"""),"NO")</f>
        <v>NO</v>
      </c>
      <c r="E249" s="6" t="str">
        <f ca="1">IFERROR(__xludf.DUMMYFUNCTION("""COMPUTED_VALUE"""),"Alicante")</f>
        <v>Alicante</v>
      </c>
      <c r="F249" s="16">
        <f ca="1">IFERROR(__xludf.DUMMYFUNCTION("""COMPUTED_VALUE"""),46079)</f>
        <v>46079</v>
      </c>
      <c r="G249" s="16">
        <f ca="1">IFERROR(__xludf.DUMMYFUNCTION("""COMPUTED_VALUE"""),46048)</f>
        <v>46048</v>
      </c>
      <c r="H249" s="6" t="str">
        <f ca="1">IFERROR(__xludf.DUMMYFUNCTION("""COMPUTED_VALUE"""),"Alicante")</f>
        <v>Alicante</v>
      </c>
      <c r="I249" s="6" t="str">
        <f ca="1">IFERROR(__xludf.DUMMYFUNCTION("""COMPUTED_VALUE"""),"C202612613472119982")</f>
        <v>C202612613472119982</v>
      </c>
      <c r="J249" s="6" t="str">
        <f ca="1">IFERROR(__xludf.DUMMYFUNCTION("""COMPUTED_VALUE"""),"SONIA ARACIL BOIX")</f>
        <v>SONIA ARACIL BOIX</v>
      </c>
      <c r="K249" s="15">
        <f ca="1">IFERROR(__xludf.DUMMYFUNCTION("""COMPUTED_VALUE"""),2)</f>
        <v>2</v>
      </c>
      <c r="L249" s="21">
        <f ca="1">IFERROR(__xludf.DUMMYFUNCTION("""COMPUTED_VALUE"""),2718.18)</f>
        <v>2718.18</v>
      </c>
      <c r="M249" s="6" t="str">
        <f ca="1">IFERROR(__xludf.DUMMYFUNCTION("""COMPUTED_VALUE"""),"03 ORL")</f>
        <v>03 ORL</v>
      </c>
      <c r="N249" s="6" t="str">
        <f ca="1">IFERROR(__xludf.DUMMYFUNCTION("""COMPUTED_VALUE"""),"06 ORL")</f>
        <v>06 ORL</v>
      </c>
      <c r="O249" s="6" t="str">
        <f ca="1">IFERROR(__xludf.DUMMYFUNCTION("""COMPUTED_VALUE"""),"Dr, Carlos Velásquez Fermín")</f>
        <v>Dr, Carlos Velásquez Fermín</v>
      </c>
      <c r="P249" s="6" t="str">
        <f ca="1">IFERROR(__xludf.DUMMYFUNCTION("""COMPUTED_VALUE"""),"Iván Sánchez (Levante y Albacete)")</f>
        <v>Iván Sánchez (Levante y Albacete)</v>
      </c>
    </row>
    <row r="250" spans="2:16">
      <c r="B250" s="33">
        <f ca="1">IFERROR(__xludf.DUMMYFUNCTION("""COMPUTED_VALUE"""),2026)</f>
        <v>2026</v>
      </c>
      <c r="C250" s="15">
        <f ca="1">IFERROR(__xludf.DUMMYFUNCTION("""COMPUTED_VALUE"""),2)</f>
        <v>2</v>
      </c>
      <c r="D250" s="6" t="str">
        <f ca="1">IFERROR(__xludf.DUMMYFUNCTION("""COMPUTED_VALUE"""),"NO")</f>
        <v>NO</v>
      </c>
      <c r="E250" s="6" t="str">
        <f ca="1">IFERROR(__xludf.DUMMYFUNCTION("""COMPUTED_VALUE"""),"Zaragoza- León XIII")</f>
        <v>Zaragoza- León XIII</v>
      </c>
      <c r="F250" s="16">
        <f ca="1">IFERROR(__xludf.DUMMYFUNCTION("""COMPUTED_VALUE"""),46079)</f>
        <v>46079</v>
      </c>
      <c r="G250" s="16">
        <f ca="1">IFERROR(__xludf.DUMMYFUNCTION("""COMPUTED_VALUE"""),46037)</f>
        <v>46037</v>
      </c>
      <c r="H250" s="6" t="str">
        <f ca="1">IFERROR(__xludf.DUMMYFUNCTION("""COMPUTED_VALUE"""),"Zaragoza")</f>
        <v>Zaragoza</v>
      </c>
      <c r="I250" s="6" t="str">
        <f ca="1">IFERROR(__xludf.DUMMYFUNCTION("""COMPUTED_VALUE"""),"C202611510254323676")</f>
        <v>C202611510254323676</v>
      </c>
      <c r="J250" s="6" t="str">
        <f ca="1">IFERROR(__xludf.DUMMYFUNCTION("""COMPUTED_VALUE"""),"ANTONIO AGUILAR LAUSÍN")</f>
        <v>ANTONIO AGUILAR LAUSÍN</v>
      </c>
      <c r="K250" s="15">
        <f ca="1">IFERROR(__xludf.DUMMYFUNCTION("""COMPUTED_VALUE"""),2)</f>
        <v>2</v>
      </c>
      <c r="L250" s="21">
        <f ca="1">IFERROR(__xludf.DUMMYFUNCTION("""COMPUTED_VALUE"""),2936.78)</f>
        <v>2936.78</v>
      </c>
      <c r="M250" s="6" t="str">
        <f ca="1">IFERROR(__xludf.DUMMYFUNCTION("""COMPUTED_VALUE"""),"03 ORL")</f>
        <v>03 ORL</v>
      </c>
      <c r="N250" s="6" t="str">
        <f ca="1">IFERROR(__xludf.DUMMYFUNCTION("""COMPUTED_VALUE"""),"06 ORL")</f>
        <v>06 ORL</v>
      </c>
      <c r="O250" s="6" t="str">
        <f ca="1">IFERROR(__xludf.DUMMYFUNCTION("""COMPUTED_VALUE"""),"Dr, Héctor Vallés Varela")</f>
        <v>Dr, Héctor Vallés Varela</v>
      </c>
      <c r="P250" s="6" t="str">
        <f ca="1">IFERROR(__xludf.DUMMYFUNCTION("""COMPUTED_VALUE"""),"Ignacio Berdejo (Zaragoza)")</f>
        <v>Ignacio Berdejo (Zaragoza)</v>
      </c>
    </row>
    <row r="251" spans="2:16">
      <c r="B251" s="33">
        <f ca="1">IFERROR(__xludf.DUMMYFUNCTION("""COMPUTED_VALUE"""),2026)</f>
        <v>2026</v>
      </c>
      <c r="C251" s="15">
        <f ca="1">IFERROR(__xludf.DUMMYFUNCTION("""COMPUTED_VALUE"""),2)</f>
        <v>2</v>
      </c>
      <c r="D251" s="6" t="str">
        <f ca="1">IFERROR(__xludf.DUMMYFUNCTION("""COMPUTED_VALUE"""),"NO")</f>
        <v>NO</v>
      </c>
      <c r="E251" s="6" t="str">
        <f ca="1">IFERROR(__xludf.DUMMYFUNCTION("""COMPUTED_VALUE"""),"San Javier")</f>
        <v>San Javier</v>
      </c>
      <c r="F251" s="16">
        <f ca="1">IFERROR(__xludf.DUMMYFUNCTION("""COMPUTED_VALUE"""),46079)</f>
        <v>46079</v>
      </c>
      <c r="G251" s="16">
        <f ca="1">IFERROR(__xludf.DUMMYFUNCTION("""COMPUTED_VALUE"""),46048)</f>
        <v>46048</v>
      </c>
      <c r="H251" s="6" t="str">
        <f ca="1">IFERROR(__xludf.DUMMYFUNCTION("""COMPUTED_VALUE"""),"San Javier")</f>
        <v>San Javier</v>
      </c>
      <c r="I251" s="6" t="str">
        <f ca="1">IFERROR(__xludf.DUMMYFUNCTION("""COMPUTED_VALUE"""),"C202612617528309365")</f>
        <v>C202612617528309365</v>
      </c>
      <c r="J251" s="6" t="str">
        <f ca="1">IFERROR(__xludf.DUMMYFUNCTION("""COMPUTED_VALUE"""),"LUIS REDONDO NARGANES")</f>
        <v>LUIS REDONDO NARGANES</v>
      </c>
      <c r="K251" s="15">
        <f ca="1">IFERROR(__xludf.DUMMYFUNCTION("""COMPUTED_VALUE"""),2)</f>
        <v>2</v>
      </c>
      <c r="L251" s="21">
        <f ca="1">IFERROR(__xludf.DUMMYFUNCTION("""COMPUTED_VALUE"""),4536.36)</f>
        <v>4536.3599999999997</v>
      </c>
      <c r="M251" s="6" t="str">
        <f ca="1">IFERROR(__xludf.DUMMYFUNCTION("""COMPUTED_VALUE"""),"03 ORL")</f>
        <v>03 ORL</v>
      </c>
      <c r="N251" s="6" t="str">
        <f ca="1">IFERROR(__xludf.DUMMYFUNCTION("""COMPUTED_VALUE"""),"06 ORL")</f>
        <v>06 ORL</v>
      </c>
      <c r="O251" s="6" t="str">
        <f ca="1">IFERROR(__xludf.DUMMYFUNCTION("""COMPUTED_VALUE"""),"Dra, Ana Giribet Fernández-Pacheco")</f>
        <v>Dra, Ana Giribet Fernández-Pacheco</v>
      </c>
      <c r="P251" s="6" t="str">
        <f ca="1">IFERROR(__xludf.DUMMYFUNCTION("""COMPUTED_VALUE"""),"Iván Sánchez (Levante y Albacete)")</f>
        <v>Iván Sánchez (Levante y Albacete)</v>
      </c>
    </row>
    <row r="252" spans="2:16">
      <c r="B252" s="33">
        <f ca="1">IFERROR(__xludf.DUMMYFUNCTION("""COMPUTED_VALUE"""),2026)</f>
        <v>2026</v>
      </c>
      <c r="C252" s="15">
        <f ca="1">IFERROR(__xludf.DUMMYFUNCTION("""COMPUTED_VALUE"""),2)</f>
        <v>2</v>
      </c>
      <c r="D252" s="6" t="str">
        <f ca="1">IFERROR(__xludf.DUMMYFUNCTION("""COMPUTED_VALUE"""),"NO")</f>
        <v>NO</v>
      </c>
      <c r="E252" s="6" t="str">
        <f ca="1">IFERROR(__xludf.DUMMYFUNCTION("""COMPUTED_VALUE"""),"Madrid- Juan Bravo")</f>
        <v>Madrid- Juan Bravo</v>
      </c>
      <c r="F252" s="16">
        <f ca="1">IFERROR(__xludf.DUMMYFUNCTION("""COMPUTED_VALUE"""),46079)</f>
        <v>46079</v>
      </c>
      <c r="G252" s="16">
        <f ca="1">IFERROR(__xludf.DUMMYFUNCTION("""COMPUTED_VALUE"""),46048)</f>
        <v>46048</v>
      </c>
      <c r="H252" s="6" t="str">
        <f ca="1">IFERROR(__xludf.DUMMYFUNCTION("""COMPUTED_VALUE"""),"Juan Bravo")</f>
        <v>Juan Bravo</v>
      </c>
      <c r="I252" s="6" t="str">
        <f ca="1">IFERROR(__xludf.DUMMYFUNCTION("""COMPUTED_VALUE"""),"C202612694221558027")</f>
        <v>C202612694221558027</v>
      </c>
      <c r="J252" s="6" t="str">
        <f ca="1">IFERROR(__xludf.DUMMYFUNCTION("""COMPUTED_VALUE"""),"MARTIN AGUADO BLAZQUEZ")</f>
        <v>MARTIN AGUADO BLAZQUEZ</v>
      </c>
      <c r="K252" s="15">
        <f ca="1">IFERROR(__xludf.DUMMYFUNCTION("""COMPUTED_VALUE"""),1)</f>
        <v>1</v>
      </c>
      <c r="L252" s="21">
        <f ca="1">IFERROR(__xludf.DUMMYFUNCTION("""COMPUTED_VALUE"""),2481.82)</f>
        <v>2481.8200000000002</v>
      </c>
      <c r="M252" s="6" t="str">
        <f ca="1">IFERROR(__xludf.DUMMYFUNCTION("""COMPUTED_VALUE"""),"03 ORL")</f>
        <v>03 ORL</v>
      </c>
      <c r="N252" s="6" t="str">
        <f ca="1">IFERROR(__xludf.DUMMYFUNCTION("""COMPUTED_VALUE"""),"06 ORL")</f>
        <v>06 ORL</v>
      </c>
      <c r="O252" s="6" t="str">
        <f ca="1">IFERROR(__xludf.DUMMYFUNCTION("""COMPUTED_VALUE"""),"Dr, Javier García Domínguez")</f>
        <v>Dr, Javier García Domínguez</v>
      </c>
      <c r="P252" s="6" t="str">
        <f ca="1">IFERROR(__xludf.DUMMYFUNCTION("""COMPUTED_VALUE"""),"Maika Blázquez (Madrid)")</f>
        <v>Maika Blázquez (Madrid)</v>
      </c>
    </row>
    <row r="253" spans="2:16">
      <c r="B253" s="33">
        <f ca="1">IFERROR(__xludf.DUMMYFUNCTION("""COMPUTED_VALUE"""),2026)</f>
        <v>2026</v>
      </c>
      <c r="C253" s="15">
        <f ca="1">IFERROR(__xludf.DUMMYFUNCTION("""COMPUTED_VALUE"""),2)</f>
        <v>2</v>
      </c>
      <c r="D253" s="6" t="str">
        <f ca="1">IFERROR(__xludf.DUMMYFUNCTION("""COMPUTED_VALUE"""),"NO")</f>
        <v>NO</v>
      </c>
      <c r="E253" s="6" t="str">
        <f ca="1">IFERROR(__xludf.DUMMYFUNCTION("""COMPUTED_VALUE"""),"San Javier")</f>
        <v>San Javier</v>
      </c>
      <c r="F253" s="16">
        <f ca="1">IFERROR(__xludf.DUMMYFUNCTION("""COMPUTED_VALUE"""),46079)</f>
        <v>46079</v>
      </c>
      <c r="G253" s="16">
        <f ca="1">IFERROR(__xludf.DUMMYFUNCTION("""COMPUTED_VALUE"""),46044)</f>
        <v>46044</v>
      </c>
      <c r="H253" s="6" t="str">
        <f ca="1">IFERROR(__xludf.DUMMYFUNCTION("""COMPUTED_VALUE"""),"San Javier")</f>
        <v>San Javier</v>
      </c>
      <c r="I253" s="6" t="str">
        <f ca="1">IFERROR(__xludf.DUMMYFUNCTION("""COMPUTED_VALUE"""),"C202612215332992198")</f>
        <v>C202612215332992198</v>
      </c>
      <c r="J253" s="6" t="str">
        <f ca="1">IFERROR(__xludf.DUMMYFUNCTION("""COMPUTED_VALUE"""),"FRANCISCA GARCIA LOPEZ")</f>
        <v>FRANCISCA GARCIA LOPEZ</v>
      </c>
      <c r="K253" s="15">
        <f ca="1">IFERROR(__xludf.DUMMYFUNCTION("""COMPUTED_VALUE"""),2)</f>
        <v>2</v>
      </c>
      <c r="L253" s="21">
        <f ca="1">IFERROR(__xludf.DUMMYFUNCTION("""COMPUTED_VALUE"""),4536.36)</f>
        <v>4536.3599999999997</v>
      </c>
      <c r="M253" s="6" t="str">
        <f ca="1">IFERROR(__xludf.DUMMYFUNCTION("""COMPUTED_VALUE"""),"03 ORL")</f>
        <v>03 ORL</v>
      </c>
      <c r="N253" s="6" t="str">
        <f ca="1">IFERROR(__xludf.DUMMYFUNCTION("""COMPUTED_VALUE"""),"06 ORL")</f>
        <v>06 ORL</v>
      </c>
      <c r="O253" s="6" t="str">
        <f ca="1">IFERROR(__xludf.DUMMYFUNCTION("""COMPUTED_VALUE"""),"Dr, Ángel Onofre Pérez Coll
")</f>
        <v xml:space="preserve">Dr, Ángel Onofre Pérez Coll
</v>
      </c>
      <c r="P253" s="6" t="str">
        <f ca="1">IFERROR(__xludf.DUMMYFUNCTION("""COMPUTED_VALUE"""),"Iván Sánchez (Levante y Albacete)")</f>
        <v>Iván Sánchez (Levante y Albacete)</v>
      </c>
    </row>
    <row r="254" spans="2:16">
      <c r="B254" s="33">
        <f ca="1">IFERROR(__xludf.DUMMYFUNCTION("""COMPUTED_VALUE"""),2026)</f>
        <v>2026</v>
      </c>
      <c r="C254" s="15">
        <f ca="1">IFERROR(__xludf.DUMMYFUNCTION("""COMPUTED_VALUE"""),2)</f>
        <v>2</v>
      </c>
      <c r="D254" s="6" t="str">
        <f ca="1">IFERROR(__xludf.DUMMYFUNCTION("""COMPUTED_VALUE"""),"NO")</f>
        <v>NO</v>
      </c>
      <c r="E254" s="6" t="str">
        <f ca="1">IFERROR(__xludf.DUMMYFUNCTION("""COMPUTED_VALUE"""),"San Javier")</f>
        <v>San Javier</v>
      </c>
      <c r="F254" s="16">
        <f ca="1">IFERROR(__xludf.DUMMYFUNCTION("""COMPUTED_VALUE"""),46079)</f>
        <v>46079</v>
      </c>
      <c r="G254" s="16">
        <f ca="1">IFERROR(__xludf.DUMMYFUNCTION("""COMPUTED_VALUE"""),46066)</f>
        <v>46066</v>
      </c>
      <c r="H254" s="6" t="str">
        <f ca="1">IFERROR(__xludf.DUMMYFUNCTION("""COMPUTED_VALUE"""),"San Javier")</f>
        <v>San Javier</v>
      </c>
      <c r="I254" s="6" t="str">
        <f ca="1">IFERROR(__xludf.DUMMYFUNCTION("""COMPUTED_VALUE"""),"C202621391629035747")</f>
        <v>C202621391629035747</v>
      </c>
      <c r="J254" s="6" t="str">
        <f ca="1">IFERROR(__xludf.DUMMYFUNCTION("""COMPUTED_VALUE"""),"MARIA PILAR MARTINEZ GARCERAN")</f>
        <v>MARIA PILAR MARTINEZ GARCERAN</v>
      </c>
      <c r="K254" s="15">
        <f ca="1">IFERROR(__xludf.DUMMYFUNCTION("""COMPUTED_VALUE"""),2)</f>
        <v>2</v>
      </c>
      <c r="L254" s="21">
        <f ca="1">IFERROR(__xludf.DUMMYFUNCTION("""COMPUTED_VALUE"""),4536.36)</f>
        <v>4536.3599999999997</v>
      </c>
      <c r="M254" s="6" t="str">
        <f ca="1">IFERROR(__xludf.DUMMYFUNCTION("""COMPUTED_VALUE"""),"03 ORL")</f>
        <v>03 ORL</v>
      </c>
      <c r="N254" s="6" t="str">
        <f ca="1">IFERROR(__xludf.DUMMYFUNCTION("""COMPUTED_VALUE"""),"06 ORL")</f>
        <v>06 ORL</v>
      </c>
      <c r="O254" s="6" t="str">
        <f ca="1">IFERROR(__xludf.DUMMYFUNCTION("""COMPUTED_VALUE"""),"Dr, Alberto Raposo Jiménez")</f>
        <v>Dr, Alberto Raposo Jiménez</v>
      </c>
      <c r="P254" s="6" t="str">
        <f ca="1">IFERROR(__xludf.DUMMYFUNCTION("""COMPUTED_VALUE"""),"Iván Sánchez (Levante y Albacete)")</f>
        <v>Iván Sánchez (Levante y Albacete)</v>
      </c>
    </row>
    <row r="255" spans="2:16">
      <c r="B255" s="33">
        <f ca="1">IFERROR(__xludf.DUMMYFUNCTION("""COMPUTED_VALUE"""),2026)</f>
        <v>2026</v>
      </c>
      <c r="C255" s="15">
        <f ca="1">IFERROR(__xludf.DUMMYFUNCTION("""COMPUTED_VALUE"""),2)</f>
        <v>2</v>
      </c>
      <c r="D255" s="6" t="str">
        <f ca="1">IFERROR(__xludf.DUMMYFUNCTION("""COMPUTED_VALUE"""),"NO")</f>
        <v>NO</v>
      </c>
      <c r="E255" s="6" t="str">
        <f ca="1">IFERROR(__xludf.DUMMYFUNCTION("""COMPUTED_VALUE"""),"Madrid- Moratalaz")</f>
        <v>Madrid- Moratalaz</v>
      </c>
      <c r="F255" s="16">
        <f ca="1">IFERROR(__xludf.DUMMYFUNCTION("""COMPUTED_VALUE"""),46079)</f>
        <v>46079</v>
      </c>
      <c r="G255" s="16">
        <f ca="1">IFERROR(__xludf.DUMMYFUNCTION("""COMPUTED_VALUE"""),46073)</f>
        <v>46073</v>
      </c>
      <c r="H255" s="6" t="str">
        <f ca="1">IFERROR(__xludf.DUMMYFUNCTION("""COMPUTED_VALUE"""),"Moratalaz")</f>
        <v>Moratalaz</v>
      </c>
      <c r="I255" s="6" t="str">
        <f ca="1">IFERROR(__xludf.DUMMYFUNCTION("""COMPUTED_VALUE"""),"C202622085534244744")</f>
        <v>C202622085534244744</v>
      </c>
      <c r="J255" s="6" t="str">
        <f ca="1">IFERROR(__xludf.DUMMYFUNCTION("""COMPUTED_VALUE"""),"MARIA  MATEO HERNANDEZ")</f>
        <v>MARIA  MATEO HERNANDEZ</v>
      </c>
      <c r="K255" s="15">
        <f ca="1">IFERROR(__xludf.DUMMYFUNCTION("""COMPUTED_VALUE"""),2)</f>
        <v>2</v>
      </c>
      <c r="L255" s="21">
        <f ca="1">IFERROR(__xludf.DUMMYFUNCTION("""COMPUTED_VALUE"""),3631.82)</f>
        <v>3631.82</v>
      </c>
      <c r="M255" s="6" t="str">
        <f ca="1">IFERROR(__xludf.DUMMYFUNCTION("""COMPUTED_VALUE"""),"03 ORL")</f>
        <v>03 ORL</v>
      </c>
      <c r="N255" s="6" t="str">
        <f ca="1">IFERROR(__xludf.DUMMYFUNCTION("""COMPUTED_VALUE"""),"06 ORL")</f>
        <v>06 ORL</v>
      </c>
      <c r="O255" s="6" t="str">
        <f ca="1">IFERROR(__xludf.DUMMYFUNCTION("""COMPUTED_VALUE"""),"Dr, Esteban Scola Pliego")</f>
        <v>Dr, Esteban Scola Pliego</v>
      </c>
      <c r="P255" s="6" t="str">
        <f ca="1">IFERROR(__xludf.DUMMYFUNCTION("""COMPUTED_VALUE"""),"Maika Blázquez (Madrid)")</f>
        <v>Maika Blázquez (Madrid)</v>
      </c>
    </row>
    <row r="256" spans="2:16">
      <c r="B256" s="33">
        <f ca="1">IFERROR(__xludf.DUMMYFUNCTION("""COMPUTED_VALUE"""),2026)</f>
        <v>2026</v>
      </c>
      <c r="C256" s="15">
        <f ca="1">IFERROR(__xludf.DUMMYFUNCTION("""COMPUTED_VALUE"""),2)</f>
        <v>2</v>
      </c>
      <c r="D256" s="6" t="str">
        <f ca="1">IFERROR(__xludf.DUMMYFUNCTION("""COMPUTED_VALUE"""),"NO")</f>
        <v>NO</v>
      </c>
      <c r="E256" s="6" t="str">
        <f ca="1">IFERROR(__xludf.DUMMYFUNCTION("""COMPUTED_VALUE"""),"Alicante")</f>
        <v>Alicante</v>
      </c>
      <c r="F256" s="16">
        <f ca="1">IFERROR(__xludf.DUMMYFUNCTION("""COMPUTED_VALUE"""),46079)</f>
        <v>46079</v>
      </c>
      <c r="G256" s="16">
        <f ca="1">IFERROR(__xludf.DUMMYFUNCTION("""COMPUTED_VALUE"""),45348)</f>
        <v>45348</v>
      </c>
      <c r="H256" s="6" t="str">
        <f ca="1">IFERROR(__xludf.DUMMYFUNCTION("""COMPUTED_VALUE"""),"Alicante")</f>
        <v>Alicante</v>
      </c>
      <c r="I256" s="6" t="str">
        <f ca="1">IFERROR(__xludf.DUMMYFUNCTION("""COMPUTED_VALUE"""),"ALC-3827")</f>
        <v>ALC-3827</v>
      </c>
      <c r="J256" s="6" t="str">
        <f ca="1">IFERROR(__xludf.DUMMYFUNCTION("""COMPUTED_VALUE"""),"RICARDO MARTINEZ CABAÑAS ESPAÑOL")</f>
        <v>RICARDO MARTINEZ CABAÑAS ESPAÑOL</v>
      </c>
      <c r="K256" s="15">
        <f ca="1">IFERROR(__xludf.DUMMYFUNCTION("""COMPUTED_VALUE"""),2)</f>
        <v>2</v>
      </c>
      <c r="L256" s="21">
        <f ca="1">IFERROR(__xludf.DUMMYFUNCTION("""COMPUTED_VALUE"""),3631.82)</f>
        <v>3631.82</v>
      </c>
      <c r="M256" s="6" t="str">
        <f ca="1">IFERROR(__xludf.DUMMYFUNCTION("""COMPUTED_VALUE"""),"03 ORL")</f>
        <v>03 ORL</v>
      </c>
      <c r="N256" s="6" t="str">
        <f ca="1">IFERROR(__xludf.DUMMYFUNCTION("""COMPUTED_VALUE"""),"06 ORL")</f>
        <v>06 ORL</v>
      </c>
      <c r="O256" s="6" t="str">
        <f ca="1">IFERROR(__xludf.DUMMYFUNCTION("""COMPUTED_VALUE"""),"Dra, Cristina Muñoz Pinto")</f>
        <v>Dra, Cristina Muñoz Pinto</v>
      </c>
      <c r="P256" s="6" t="str">
        <f ca="1">IFERROR(__xludf.DUMMYFUNCTION("""COMPUTED_VALUE"""),"Iván Sánchez (Levante y Albacete)")</f>
        <v>Iván Sánchez (Levante y Albacete)</v>
      </c>
    </row>
    <row r="257" spans="2:16">
      <c r="B257" s="33">
        <f ca="1">IFERROR(__xludf.DUMMYFUNCTION("""COMPUTED_VALUE"""),2026)</f>
        <v>2026</v>
      </c>
      <c r="C257" s="15">
        <f ca="1">IFERROR(__xludf.DUMMYFUNCTION("""COMPUTED_VALUE"""),2)</f>
        <v>2</v>
      </c>
      <c r="D257" s="6" t="str">
        <f ca="1">IFERROR(__xludf.DUMMYFUNCTION("""COMPUTED_VALUE"""),"NO")</f>
        <v>NO</v>
      </c>
      <c r="E257" s="6" t="str">
        <f ca="1">IFERROR(__xludf.DUMMYFUNCTION("""COMPUTED_VALUE"""),"El Albir (Benidorm)")</f>
        <v>El Albir (Benidorm)</v>
      </c>
      <c r="F257" s="16">
        <f ca="1">IFERROR(__xludf.DUMMYFUNCTION("""COMPUTED_VALUE"""),46079)</f>
        <v>46079</v>
      </c>
      <c r="G257" s="16">
        <f ca="1">IFERROR(__xludf.DUMMYFUNCTION("""COMPUTED_VALUE"""),46010)</f>
        <v>46010</v>
      </c>
      <c r="H257" s="6" t="str">
        <f ca="1">IFERROR(__xludf.DUMMYFUNCTION("""COMPUTED_VALUE"""),"El Albir (Benidorm)")</f>
        <v>El Albir (Benidorm)</v>
      </c>
      <c r="I257" s="6" t="str">
        <f ca="1">IFERROR(__xludf.DUMMYFUNCTION("""COMPUTED_VALUE"""),"C202512191013203444")</f>
        <v>C202512191013203444</v>
      </c>
      <c r="J257" s="6" t="str">
        <f ca="1">IFERROR(__xludf.DUMMYFUNCTION("""COMPUTED_VALUE"""),"RUTH ESTEVE MARTINEZ")</f>
        <v>RUTH ESTEVE MARTINEZ</v>
      </c>
      <c r="K257" s="15">
        <f ca="1">IFERROR(__xludf.DUMMYFUNCTION("""COMPUTED_VALUE"""),1)</f>
        <v>1</v>
      </c>
      <c r="L257" s="21">
        <f ca="1">IFERROR(__xludf.DUMMYFUNCTION("""COMPUTED_VALUE"""),2071.86)</f>
        <v>2071.86</v>
      </c>
      <c r="M257" s="6" t="str">
        <f ca="1">IFERROR(__xludf.DUMMYFUNCTION("""COMPUTED_VALUE"""),"03 ORL")</f>
        <v>03 ORL</v>
      </c>
      <c r="N257" s="6" t="str">
        <f ca="1">IFERROR(__xludf.DUMMYFUNCTION("""COMPUTED_VALUE"""),"06 ORL")</f>
        <v>06 ORL</v>
      </c>
      <c r="O257" s="6" t="str">
        <f ca="1">IFERROR(__xludf.DUMMYFUNCTION("""COMPUTED_VALUE"""),"Dra, Isabel Polo Tomás")</f>
        <v>Dra, Isabel Polo Tomás</v>
      </c>
      <c r="P257" s="6" t="str">
        <f ca="1">IFERROR(__xludf.DUMMYFUNCTION("""COMPUTED_VALUE"""),"Ramon Ferrando(Valencia)")</f>
        <v>Ramon Ferrando(Valencia)</v>
      </c>
    </row>
    <row r="258" spans="2:16">
      <c r="B258" s="33">
        <f ca="1">IFERROR(__xludf.DUMMYFUNCTION("""COMPUTED_VALUE"""),2026)</f>
        <v>2026</v>
      </c>
      <c r="C258" s="15">
        <f ca="1">IFERROR(__xludf.DUMMYFUNCTION("""COMPUTED_VALUE"""),2)</f>
        <v>2</v>
      </c>
      <c r="D258" s="6" t="str">
        <f ca="1">IFERROR(__xludf.DUMMYFUNCTION("""COMPUTED_VALUE"""),"NO")</f>
        <v>NO</v>
      </c>
      <c r="E258" s="6" t="str">
        <f ca="1">IFERROR(__xludf.DUMMYFUNCTION("""COMPUTED_VALUE"""),"El Albir (Benidorm)")</f>
        <v>El Albir (Benidorm)</v>
      </c>
      <c r="F258" s="16">
        <f ca="1">IFERROR(__xludf.DUMMYFUNCTION("""COMPUTED_VALUE"""),46079)</f>
        <v>46079</v>
      </c>
      <c r="G258" s="16">
        <f ca="1">IFERROR(__xludf.DUMMYFUNCTION("""COMPUTED_VALUE"""),46027)</f>
        <v>46027</v>
      </c>
      <c r="H258" s="6" t="str">
        <f ca="1">IFERROR(__xludf.DUMMYFUNCTION("""COMPUTED_VALUE"""),"El Albir (Benidorm)")</f>
        <v>El Albir (Benidorm)</v>
      </c>
      <c r="I258" s="6" t="str">
        <f ca="1">IFERROR(__xludf.DUMMYFUNCTION("""COMPUTED_VALUE"""),"C202615125517101826")</f>
        <v>C202615125517101826</v>
      </c>
      <c r="J258" s="6" t="str">
        <f ca="1">IFERROR(__xludf.DUMMYFUNCTION("""COMPUTED_VALUE"""),"MARIA PILAR DIAZ LOPEZ")</f>
        <v>MARIA PILAR DIAZ LOPEZ</v>
      </c>
      <c r="K258" s="15">
        <f ca="1">IFERROR(__xludf.DUMMYFUNCTION("""COMPUTED_VALUE"""),1)</f>
        <v>1</v>
      </c>
      <c r="L258" s="21">
        <f ca="1">IFERROR(__xludf.DUMMYFUNCTION("""COMPUTED_VALUE"""),2180.91)</f>
        <v>2180.91</v>
      </c>
      <c r="M258" s="6" t="str">
        <f ca="1">IFERROR(__xludf.DUMMYFUNCTION("""COMPUTED_VALUE"""),"03 ORL")</f>
        <v>03 ORL</v>
      </c>
      <c r="N258" s="6" t="str">
        <f ca="1">IFERROR(__xludf.DUMMYFUNCTION("""COMPUTED_VALUE"""),"06 ORL")</f>
        <v>06 ORL</v>
      </c>
      <c r="O258" s="6" t="str">
        <f ca="1">IFERROR(__xludf.DUMMYFUNCTION("""COMPUTED_VALUE"""),"Dra, María Emilia García Ruiz")</f>
        <v>Dra, María Emilia García Ruiz</v>
      </c>
      <c r="P258" s="6" t="str">
        <f ca="1">IFERROR(__xludf.DUMMYFUNCTION("""COMPUTED_VALUE"""),"Ramon Ferrando(Valencia)")</f>
        <v>Ramon Ferrando(Valencia)</v>
      </c>
    </row>
    <row r="259" spans="2:16">
      <c r="B259" s="33">
        <f ca="1">IFERROR(__xludf.DUMMYFUNCTION("""COMPUTED_VALUE"""),2026)</f>
        <v>2026</v>
      </c>
      <c r="C259" s="15">
        <f ca="1">IFERROR(__xludf.DUMMYFUNCTION("""COMPUTED_VALUE"""),2)</f>
        <v>2</v>
      </c>
      <c r="D259" s="6" t="str">
        <f ca="1">IFERROR(__xludf.DUMMYFUNCTION("""COMPUTED_VALUE"""),"NO")</f>
        <v>NO</v>
      </c>
      <c r="E259" s="6" t="str">
        <f ca="1">IFERROR(__xludf.DUMMYFUNCTION("""COMPUTED_VALUE"""),"Albacete")</f>
        <v>Albacete</v>
      </c>
      <c r="F259" s="16">
        <f ca="1">IFERROR(__xludf.DUMMYFUNCTION("""COMPUTED_VALUE"""),46079)</f>
        <v>46079</v>
      </c>
      <c r="G259" s="16">
        <f ca="1">IFERROR(__xludf.DUMMYFUNCTION("""COMPUTED_VALUE"""),46043)</f>
        <v>46043</v>
      </c>
      <c r="H259" s="6" t="str">
        <f ca="1">IFERROR(__xludf.DUMMYFUNCTION("""COMPUTED_VALUE"""),"Albacete")</f>
        <v>Albacete</v>
      </c>
      <c r="I259" s="6" t="str">
        <f ca="1">IFERROR(__xludf.DUMMYFUNCTION("""COMPUTED_VALUE"""),"C202612111484650878")</f>
        <v>C202612111484650878</v>
      </c>
      <c r="J259" s="6" t="str">
        <f ca="1">IFERROR(__xludf.DUMMYFUNCTION("""COMPUTED_VALUE"""),"MARIA CARMEN PINA DE YLLANA")</f>
        <v>MARIA CARMEN PINA DE YLLANA</v>
      </c>
      <c r="K259" s="15">
        <f ca="1">IFERROR(__xludf.DUMMYFUNCTION("""COMPUTED_VALUE"""),2)</f>
        <v>2</v>
      </c>
      <c r="L259" s="21">
        <f ca="1">IFERROR(__xludf.DUMMYFUNCTION("""COMPUTED_VALUE"""),4136.36)</f>
        <v>4136.3599999999997</v>
      </c>
      <c r="M259" s="6" t="str">
        <f ca="1">IFERROR(__xludf.DUMMYFUNCTION("""COMPUTED_VALUE"""),"03 ORL")</f>
        <v>03 ORL</v>
      </c>
      <c r="N259" s="6" t="str">
        <f ca="1">IFERROR(__xludf.DUMMYFUNCTION("""COMPUTED_VALUE"""),"06 ORL")</f>
        <v>06 ORL</v>
      </c>
      <c r="O259" s="6" t="str">
        <f ca="1">IFERROR(__xludf.DUMMYFUNCTION("""COMPUTED_VALUE"""),"Dr, Pedro Seguí Moya")</f>
        <v>Dr, Pedro Seguí Moya</v>
      </c>
      <c r="P259" s="6" t="str">
        <f ca="1">IFERROR(__xludf.DUMMYFUNCTION("""COMPUTED_VALUE"""),"Iván Sánchez (Levante y Albacete)")</f>
        <v>Iván Sánchez (Levante y Albacete)</v>
      </c>
    </row>
    <row r="260" spans="2:16">
      <c r="B260" s="33">
        <f ca="1">IFERROR(__xludf.DUMMYFUNCTION("""COMPUTED_VALUE"""),2026)</f>
        <v>2026</v>
      </c>
      <c r="C260" s="15">
        <f ca="1">IFERROR(__xludf.DUMMYFUNCTION("""COMPUTED_VALUE"""),2)</f>
        <v>2</v>
      </c>
      <c r="D260" s="6" t="str">
        <f ca="1">IFERROR(__xludf.DUMMYFUNCTION("""COMPUTED_VALUE"""),"NO")</f>
        <v>NO</v>
      </c>
      <c r="E260" s="6" t="str">
        <f ca="1">IFERROR(__xludf.DUMMYFUNCTION("""COMPUTED_VALUE"""),"Murcia")</f>
        <v>Murcia</v>
      </c>
      <c r="F260" s="16">
        <f ca="1">IFERROR(__xludf.DUMMYFUNCTION("""COMPUTED_VALUE"""),46079)</f>
        <v>46079</v>
      </c>
      <c r="G260" s="16">
        <f ca="1">IFERROR(__xludf.DUMMYFUNCTION("""COMPUTED_VALUE"""),46051)</f>
        <v>46051</v>
      </c>
      <c r="H260" s="6" t="str">
        <f ca="1">IFERROR(__xludf.DUMMYFUNCTION("""COMPUTED_VALUE"""),"Murcia")</f>
        <v>Murcia</v>
      </c>
      <c r="I260" s="6" t="str">
        <f ca="1">IFERROR(__xludf.DUMMYFUNCTION("""COMPUTED_VALUE"""),"C202612912325824973")</f>
        <v>C202612912325824973</v>
      </c>
      <c r="J260" s="6" t="str">
        <f ca="1">IFERROR(__xludf.DUMMYFUNCTION("""COMPUTED_VALUE"""),"FRANCISCO LAZARO NICOLAS")</f>
        <v>FRANCISCO LAZARO NICOLAS</v>
      </c>
      <c r="K260" s="15">
        <f ca="1">IFERROR(__xludf.DUMMYFUNCTION("""COMPUTED_VALUE"""),2)</f>
        <v>2</v>
      </c>
      <c r="L260" s="21">
        <f ca="1">IFERROR(__xludf.DUMMYFUNCTION("""COMPUTED_VALUE"""),4134.62)</f>
        <v>4134.62</v>
      </c>
      <c r="M260" s="6" t="str">
        <f ca="1">IFERROR(__xludf.DUMMYFUNCTION("""COMPUTED_VALUE"""),"03 ORL")</f>
        <v>03 ORL</v>
      </c>
      <c r="N260" s="6" t="str">
        <f ca="1">IFERROR(__xludf.DUMMYFUNCTION("""COMPUTED_VALUE"""),"06 ORL")</f>
        <v>06 ORL</v>
      </c>
      <c r="O260" s="6" t="str">
        <f ca="1">IFERROR(__xludf.DUMMYFUNCTION("""COMPUTED_VALUE"""),"Dra, María López Robles")</f>
        <v>Dra, María López Robles</v>
      </c>
      <c r="P260" s="6" t="str">
        <f ca="1">IFERROR(__xludf.DUMMYFUNCTION("""COMPUTED_VALUE"""),"Iván Sánchez (Levante y Albacete)")</f>
        <v>Iván Sánchez (Levante y Albacete)</v>
      </c>
    </row>
    <row r="261" spans="2:16">
      <c r="B261" s="33">
        <f ca="1">IFERROR(__xludf.DUMMYFUNCTION("""COMPUTED_VALUE"""),2026)</f>
        <v>2026</v>
      </c>
      <c r="C261" s="15">
        <f ca="1">IFERROR(__xludf.DUMMYFUNCTION("""COMPUTED_VALUE"""),2)</f>
        <v>2</v>
      </c>
      <c r="D261" s="6" t="str">
        <f ca="1">IFERROR(__xludf.DUMMYFUNCTION("""COMPUTED_VALUE"""),"NO")</f>
        <v>NO</v>
      </c>
      <c r="E261" s="6" t="str">
        <f ca="1">IFERROR(__xludf.DUMMYFUNCTION("""COMPUTED_VALUE"""),"Murcia")</f>
        <v>Murcia</v>
      </c>
      <c r="F261" s="16">
        <f ca="1">IFERROR(__xludf.DUMMYFUNCTION("""COMPUTED_VALUE"""),46079)</f>
        <v>46079</v>
      </c>
      <c r="G261" s="16">
        <f ca="1">IFERROR(__xludf.DUMMYFUNCTION("""COMPUTED_VALUE"""),46056)</f>
        <v>46056</v>
      </c>
      <c r="H261" s="6" t="str">
        <f ca="1">IFERROR(__xludf.DUMMYFUNCTION("""COMPUTED_VALUE"""),"Murcia")</f>
        <v>Murcia</v>
      </c>
      <c r="I261" s="6" t="str">
        <f ca="1">IFERROR(__xludf.DUMMYFUNCTION("""COMPUTED_VALUE"""),"C20262391419663611")</f>
        <v>C20262391419663611</v>
      </c>
      <c r="J261" s="6" t="str">
        <f ca="1">IFERROR(__xludf.DUMMYFUNCTION("""COMPUTED_VALUE"""),"MARIA TERESA ORBAÑANOS LARROUY")</f>
        <v>MARIA TERESA ORBAÑANOS LARROUY</v>
      </c>
      <c r="K261" s="15">
        <f ca="1">IFERROR(__xludf.DUMMYFUNCTION("""COMPUTED_VALUE"""),2)</f>
        <v>2</v>
      </c>
      <c r="L261" s="21">
        <f ca="1">IFERROR(__xludf.DUMMYFUNCTION("""COMPUTED_VALUE"""),2718.18)</f>
        <v>2718.18</v>
      </c>
      <c r="M261" s="6" t="str">
        <f ca="1">IFERROR(__xludf.DUMMYFUNCTION("""COMPUTED_VALUE"""),"03 ORL")</f>
        <v>03 ORL</v>
      </c>
      <c r="N261" s="6" t="str">
        <f ca="1">IFERROR(__xludf.DUMMYFUNCTION("""COMPUTED_VALUE"""),"06 ORL")</f>
        <v>06 ORL</v>
      </c>
      <c r="O261" s="6" t="str">
        <f ca="1">IFERROR(__xludf.DUMMYFUNCTION("""COMPUTED_VALUE"""),"Dr, Enrique Viviente Rodríguez")</f>
        <v>Dr, Enrique Viviente Rodríguez</v>
      </c>
      <c r="P261" s="6" t="str">
        <f ca="1">IFERROR(__xludf.DUMMYFUNCTION("""COMPUTED_VALUE"""),"Iván Sánchez (Levante y Albacete)")</f>
        <v>Iván Sánchez (Levante y Albacete)</v>
      </c>
    </row>
    <row r="262" spans="2:16">
      <c r="B262" s="33">
        <f ca="1">IFERROR(__xludf.DUMMYFUNCTION("""COMPUTED_VALUE"""),2026)</f>
        <v>2026</v>
      </c>
      <c r="C262" s="15">
        <f ca="1">IFERROR(__xludf.DUMMYFUNCTION("""COMPUTED_VALUE"""),2)</f>
        <v>2</v>
      </c>
      <c r="D262" s="6" t="str">
        <f ca="1">IFERROR(__xludf.DUMMYFUNCTION("""COMPUTED_VALUE"""),"NO")</f>
        <v>NO</v>
      </c>
      <c r="E262" s="6" t="str">
        <f ca="1">IFERROR(__xludf.DUMMYFUNCTION("""COMPUTED_VALUE"""),"Getafe")</f>
        <v>Getafe</v>
      </c>
      <c r="F262" s="16">
        <f ca="1">IFERROR(__xludf.DUMMYFUNCTION("""COMPUTED_VALUE"""),46079)</f>
        <v>46079</v>
      </c>
      <c r="G262" s="16">
        <f ca="1">IFERROR(__xludf.DUMMYFUNCTION("""COMPUTED_VALUE"""),46055)</f>
        <v>46055</v>
      </c>
      <c r="H262" s="6" t="str">
        <f ca="1">IFERROR(__xludf.DUMMYFUNCTION("""COMPUTED_VALUE"""),"Getafe")</f>
        <v>Getafe</v>
      </c>
      <c r="I262" s="6" t="str">
        <f ca="1">IFERROR(__xludf.DUMMYFUNCTION("""COMPUTED_VALUE"""),"C202622143610588879")</f>
        <v>C202622143610588879</v>
      </c>
      <c r="J262" s="6" t="str">
        <f ca="1">IFERROR(__xludf.DUMMYFUNCTION("""COMPUTED_VALUE"""),"JOSE LUIS DOMINGUEZ ALONSO")</f>
        <v>JOSE LUIS DOMINGUEZ ALONSO</v>
      </c>
      <c r="K262" s="15">
        <f ca="1">IFERROR(__xludf.DUMMYFUNCTION("""COMPUTED_VALUE"""),2)</f>
        <v>2</v>
      </c>
      <c r="L262" s="21">
        <f ca="1">IFERROR(__xludf.DUMMYFUNCTION("""COMPUTED_VALUE"""),2718.18)</f>
        <v>2718.18</v>
      </c>
      <c r="M262" s="6" t="str">
        <f ca="1">IFERROR(__xludf.DUMMYFUNCTION("""COMPUTED_VALUE"""),"03 ORL")</f>
        <v>03 ORL</v>
      </c>
      <c r="N262" s="6" t="str">
        <f ca="1">IFERROR(__xludf.DUMMYFUNCTION("""COMPUTED_VALUE"""),"06 ORL")</f>
        <v>06 ORL</v>
      </c>
      <c r="O262" s="6" t="str">
        <f ca="1">IFERROR(__xludf.DUMMYFUNCTION("""COMPUTED_VALUE"""),"Dra, Paloma Pinacho Martínez")</f>
        <v>Dra, Paloma Pinacho Martínez</v>
      </c>
      <c r="P262" s="6" t="str">
        <f ca="1">IFERROR(__xludf.DUMMYFUNCTION("""COMPUTED_VALUE"""),"Maika Blázquez (Madrid)")</f>
        <v>Maika Blázquez (Madrid)</v>
      </c>
    </row>
    <row r="263" spans="2:16">
      <c r="B263" s="33">
        <f ca="1">IFERROR(__xludf.DUMMYFUNCTION("""COMPUTED_VALUE"""),2026)</f>
        <v>2026</v>
      </c>
      <c r="C263" s="15">
        <f ca="1">IFERROR(__xludf.DUMMYFUNCTION("""COMPUTED_VALUE"""),2)</f>
        <v>2</v>
      </c>
      <c r="D263" s="6" t="str">
        <f ca="1">IFERROR(__xludf.DUMMYFUNCTION("""COMPUTED_VALUE"""),"NO")</f>
        <v>NO</v>
      </c>
      <c r="E263" s="6" t="str">
        <f ca="1">IFERROR(__xludf.DUMMYFUNCTION("""COMPUTED_VALUE"""),"Orihuela")</f>
        <v>Orihuela</v>
      </c>
      <c r="F263" s="16">
        <f ca="1">IFERROR(__xludf.DUMMYFUNCTION("""COMPUTED_VALUE"""),46079)</f>
        <v>46079</v>
      </c>
      <c r="G263" s="16">
        <f ca="1">IFERROR(__xludf.DUMMYFUNCTION("""COMPUTED_VALUE"""),46056)</f>
        <v>46056</v>
      </c>
      <c r="H263" s="6" t="str">
        <f ca="1">IFERROR(__xludf.DUMMYFUNCTION("""COMPUTED_VALUE"""),"La Zenia")</f>
        <v>La Zenia</v>
      </c>
      <c r="I263" s="6" t="str">
        <f ca="1">IFERROR(__xludf.DUMMYFUNCTION("""COMPUTED_VALUE"""),"C2026239206560406")</f>
        <v>C2026239206560406</v>
      </c>
      <c r="J263" s="6" t="str">
        <f ca="1">IFERROR(__xludf.DUMMYFUNCTION("""COMPUTED_VALUE"""),"JANET RICHARDSON")</f>
        <v>JANET RICHARDSON</v>
      </c>
      <c r="K263" s="15">
        <f ca="1">IFERROR(__xludf.DUMMYFUNCTION("""COMPUTED_VALUE"""),2)</f>
        <v>2</v>
      </c>
      <c r="L263" s="21">
        <f ca="1">IFERROR(__xludf.DUMMYFUNCTION("""COMPUTED_VALUE"""),2718.18)</f>
        <v>2718.18</v>
      </c>
      <c r="M263" s="6" t="str">
        <f ca="1">IFERROR(__xludf.DUMMYFUNCTION("""COMPUTED_VALUE"""),"03 ORL")</f>
        <v>03 ORL</v>
      </c>
      <c r="N263" s="6" t="str">
        <f ca="1">IFERROR(__xludf.DUMMYFUNCTION("""COMPUTED_VALUE"""),"06 ORL")</f>
        <v>06 ORL</v>
      </c>
      <c r="O263" s="6" t="str">
        <f ca="1">IFERROR(__xludf.DUMMYFUNCTION("""COMPUTED_VALUE"""),"Dra, Paula Hernández Ruíz")</f>
        <v>Dra, Paula Hernández Ruíz</v>
      </c>
      <c r="P263" s="6" t="str">
        <f ca="1">IFERROR(__xludf.DUMMYFUNCTION("""COMPUTED_VALUE"""),"Iván Sánchez (Levante y Albacete)")</f>
        <v>Iván Sánchez (Levante y Albacete)</v>
      </c>
    </row>
    <row r="264" spans="2:16">
      <c r="B264" s="33">
        <f ca="1">IFERROR(__xludf.DUMMYFUNCTION("""COMPUTED_VALUE"""),2026)</f>
        <v>2026</v>
      </c>
      <c r="C264" s="15">
        <f ca="1">IFERROR(__xludf.DUMMYFUNCTION("""COMPUTED_VALUE"""),2)</f>
        <v>2</v>
      </c>
      <c r="D264" s="6" t="str">
        <f ca="1">IFERROR(__xludf.DUMMYFUNCTION("""COMPUTED_VALUE"""),"NO")</f>
        <v>NO</v>
      </c>
      <c r="E264" s="6" t="str">
        <f ca="1">IFERROR(__xludf.DUMMYFUNCTION("""COMPUTED_VALUE"""),"Ourense")</f>
        <v>Ourense</v>
      </c>
      <c r="F264" s="16">
        <f ca="1">IFERROR(__xludf.DUMMYFUNCTION("""COMPUTED_VALUE"""),46079)</f>
        <v>46079</v>
      </c>
      <c r="G264" s="16">
        <f ca="1">IFERROR(__xludf.DUMMYFUNCTION("""COMPUTED_VALUE"""),46038)</f>
        <v>46038</v>
      </c>
      <c r="H264" s="6" t="str">
        <f ca="1">IFERROR(__xludf.DUMMYFUNCTION("""COMPUTED_VALUE"""),"Orense")</f>
        <v>Orense</v>
      </c>
      <c r="I264" s="6" t="str">
        <f ca="1">IFERROR(__xludf.DUMMYFUNCTION("""COMPUTED_VALUE"""),"C20261169422835459")</f>
        <v>C20261169422835459</v>
      </c>
      <c r="J264" s="6" t="str">
        <f ca="1">IFERROR(__xludf.DUMMYFUNCTION("""COMPUTED_VALUE"""),"FRANCISCO JAVIER REGUEIRO CACHEIRO")</f>
        <v>FRANCISCO JAVIER REGUEIRO CACHEIRO</v>
      </c>
      <c r="K264" s="15">
        <f ca="1">IFERROR(__xludf.DUMMYFUNCTION("""COMPUTED_VALUE"""),2)</f>
        <v>2</v>
      </c>
      <c r="L264" s="21">
        <f ca="1">IFERROR(__xludf.DUMMYFUNCTION("""COMPUTED_VALUE"""),3631.82)</f>
        <v>3631.82</v>
      </c>
      <c r="M264" s="6" t="str">
        <f ca="1">IFERROR(__xludf.DUMMYFUNCTION("""COMPUTED_VALUE"""),"03 ORL")</f>
        <v>03 ORL</v>
      </c>
      <c r="N264" s="6" t="str">
        <f ca="1">IFERROR(__xludf.DUMMYFUNCTION("""COMPUTED_VALUE"""),"06 ORL")</f>
        <v>06 ORL</v>
      </c>
      <c r="O264" s="6" t="str">
        <f ca="1">IFERROR(__xludf.DUMMYFUNCTION("""COMPUTED_VALUE"""),"Dra, María Rey Marcos")</f>
        <v>Dra, María Rey Marcos</v>
      </c>
      <c r="P264" s="6" t="str">
        <f ca="1">IFERROR(__xludf.DUMMYFUNCTION("""COMPUTED_VALUE"""),"Kiko Ortega (Galicia)")</f>
        <v>Kiko Ortega (Galicia)</v>
      </c>
    </row>
    <row r="265" spans="2:16">
      <c r="B265" s="33">
        <f ca="1">IFERROR(__xludf.DUMMYFUNCTION("""COMPUTED_VALUE"""),2026)</f>
        <v>2026</v>
      </c>
      <c r="C265" s="15">
        <f ca="1">IFERROR(__xludf.DUMMYFUNCTION("""COMPUTED_VALUE"""),2)</f>
        <v>2</v>
      </c>
      <c r="D265" s="6" t="str">
        <f ca="1">IFERROR(__xludf.DUMMYFUNCTION("""COMPUTED_VALUE"""),"NO")</f>
        <v>NO</v>
      </c>
      <c r="E265" s="6" t="str">
        <f ca="1">IFERROR(__xludf.DUMMYFUNCTION("""COMPUTED_VALUE"""),"Alicante")</f>
        <v>Alicante</v>
      </c>
      <c r="F265" s="16">
        <f ca="1">IFERROR(__xludf.DUMMYFUNCTION("""COMPUTED_VALUE"""),46079)</f>
        <v>46079</v>
      </c>
      <c r="G265" s="16">
        <f ca="1">IFERROR(__xludf.DUMMYFUNCTION("""COMPUTED_VALUE"""),46057)</f>
        <v>46057</v>
      </c>
      <c r="H265" s="6" t="str">
        <f ca="1">IFERROR(__xludf.DUMMYFUNCTION("""COMPUTED_VALUE"""),"Alicante")</f>
        <v>Alicante</v>
      </c>
      <c r="I265" s="6" t="str">
        <f ca="1">IFERROR(__xludf.DUMMYFUNCTION("""COMPUTED_VALUE"""),"C20262411338089577")</f>
        <v>C20262411338089577</v>
      </c>
      <c r="J265" s="6" t="str">
        <f ca="1">IFERROR(__xludf.DUMMYFUNCTION("""COMPUTED_VALUE"""),"JUANA COSMEN ALBELDA")</f>
        <v>JUANA COSMEN ALBELDA</v>
      </c>
      <c r="K265" s="15">
        <f ca="1">IFERROR(__xludf.DUMMYFUNCTION("""COMPUTED_VALUE"""),2)</f>
        <v>2</v>
      </c>
      <c r="L265" s="21">
        <f ca="1">IFERROR(__xludf.DUMMYFUNCTION("""COMPUTED_VALUE"""),2718.18)</f>
        <v>2718.18</v>
      </c>
      <c r="M265" s="6" t="str">
        <f ca="1">IFERROR(__xludf.DUMMYFUNCTION("""COMPUTED_VALUE"""),"03 ORL")</f>
        <v>03 ORL</v>
      </c>
      <c r="N265" s="6" t="str">
        <f ca="1">IFERROR(__xludf.DUMMYFUNCTION("""COMPUTED_VALUE"""),"06 ORL")</f>
        <v>06 ORL</v>
      </c>
      <c r="O265" s="6" t="str">
        <f ca="1">IFERROR(__xludf.DUMMYFUNCTION("""COMPUTED_VALUE"""),"Dra, Cristina Muñoz Pinto")</f>
        <v>Dra, Cristina Muñoz Pinto</v>
      </c>
      <c r="P265" s="6" t="str">
        <f ca="1">IFERROR(__xludf.DUMMYFUNCTION("""COMPUTED_VALUE"""),"Iván Sánchez (Levante y Albacete)")</f>
        <v>Iván Sánchez (Levante y Albacete)</v>
      </c>
    </row>
    <row r="266" spans="2:16">
      <c r="B266" s="33">
        <f ca="1">IFERROR(__xludf.DUMMYFUNCTION("""COMPUTED_VALUE"""),2026)</f>
        <v>2026</v>
      </c>
      <c r="C266" s="15">
        <f ca="1">IFERROR(__xludf.DUMMYFUNCTION("""COMPUTED_VALUE"""),2)</f>
        <v>2</v>
      </c>
      <c r="D266" s="6" t="str">
        <f ca="1">IFERROR(__xludf.DUMMYFUNCTION("""COMPUTED_VALUE"""),"NO")</f>
        <v>NO</v>
      </c>
      <c r="E266" s="6" t="str">
        <f ca="1">IFERROR(__xludf.DUMMYFUNCTION("""COMPUTED_VALUE"""),"Albacete")</f>
        <v>Albacete</v>
      </c>
      <c r="F266" s="16">
        <f ca="1">IFERROR(__xludf.DUMMYFUNCTION("""COMPUTED_VALUE"""),46079)</f>
        <v>46079</v>
      </c>
      <c r="G266" s="16">
        <f ca="1">IFERROR(__xludf.DUMMYFUNCTION("""COMPUTED_VALUE"""),46048)</f>
        <v>46048</v>
      </c>
      <c r="H266" s="6" t="str">
        <f ca="1">IFERROR(__xludf.DUMMYFUNCTION("""COMPUTED_VALUE"""),"Albacete")</f>
        <v>Albacete</v>
      </c>
      <c r="I266" s="6" t="str">
        <f ca="1">IFERROR(__xludf.DUMMYFUNCTION("""COMPUTED_VALUE"""),"C202612610443744715")</f>
        <v>C202612610443744715</v>
      </c>
      <c r="J266" s="6" t="str">
        <f ca="1">IFERROR(__xludf.DUMMYFUNCTION("""COMPUTED_VALUE"""),"ASCENSION GALERA CAMPOS")</f>
        <v>ASCENSION GALERA CAMPOS</v>
      </c>
      <c r="K266" s="15">
        <f ca="1">IFERROR(__xludf.DUMMYFUNCTION("""COMPUTED_VALUE"""),1)</f>
        <v>1</v>
      </c>
      <c r="L266" s="21">
        <f ca="1">IFERROR(__xludf.DUMMYFUNCTION("""COMPUTED_VALUE"""),2180.91)</f>
        <v>2180.91</v>
      </c>
      <c r="M266" s="6" t="str">
        <f ca="1">IFERROR(__xludf.DUMMYFUNCTION("""COMPUTED_VALUE"""),"03 ORL")</f>
        <v>03 ORL</v>
      </c>
      <c r="N266" s="6" t="str">
        <f ca="1">IFERROR(__xludf.DUMMYFUNCTION("""COMPUTED_VALUE"""),"06 ORL")</f>
        <v>06 ORL</v>
      </c>
      <c r="O266" s="6" t="str">
        <f ca="1">IFERROR(__xludf.DUMMYFUNCTION("""COMPUTED_VALUE"""),"Dr, Javier García-Dueñas González")</f>
        <v>Dr, Javier García-Dueñas González</v>
      </c>
      <c r="P266" s="6" t="str">
        <f ca="1">IFERROR(__xludf.DUMMYFUNCTION("""COMPUTED_VALUE"""),"Iván Sánchez (Levante y Albacete)")</f>
        <v>Iván Sánchez (Levante y Albacete)</v>
      </c>
    </row>
    <row r="267" spans="2:16">
      <c r="B267" s="33">
        <f ca="1">IFERROR(__xludf.DUMMYFUNCTION("""COMPUTED_VALUE"""),2026)</f>
        <v>2026</v>
      </c>
      <c r="C267" s="15">
        <f ca="1">IFERROR(__xludf.DUMMYFUNCTION("""COMPUTED_VALUE"""),2)</f>
        <v>2</v>
      </c>
      <c r="D267" s="6" t="str">
        <f ca="1">IFERROR(__xludf.DUMMYFUNCTION("""COMPUTED_VALUE"""),"NO")</f>
        <v>NO</v>
      </c>
      <c r="E267" s="6" t="str">
        <f ca="1">IFERROR(__xludf.DUMMYFUNCTION("""COMPUTED_VALUE"""),"Toledo")</f>
        <v>Toledo</v>
      </c>
      <c r="F267" s="16">
        <f ca="1">IFERROR(__xludf.DUMMYFUNCTION("""COMPUTED_VALUE"""),46080)</f>
        <v>46080</v>
      </c>
      <c r="G267" s="16">
        <f ca="1">IFERROR(__xludf.DUMMYFUNCTION("""COMPUTED_VALUE"""),46001)</f>
        <v>46001</v>
      </c>
      <c r="H267" s="6" t="str">
        <f ca="1">IFERROR(__xludf.DUMMYFUNCTION("""COMPUTED_VALUE"""),"Toledo")</f>
        <v>Toledo</v>
      </c>
      <c r="I267" s="6" t="str">
        <f ca="1">IFERROR(__xludf.DUMMYFUNCTION("""COMPUTED_VALUE"""),"C202512101139559327")</f>
        <v>C202512101139559327</v>
      </c>
      <c r="J267" s="6" t="str">
        <f ca="1">IFERROR(__xludf.DUMMYFUNCTION("""COMPUTED_VALUE"""),"Maria Sagrario Velez Segura")</f>
        <v>Maria Sagrario Velez Segura</v>
      </c>
      <c r="K267" s="15">
        <f ca="1">IFERROR(__xludf.DUMMYFUNCTION("""COMPUTED_VALUE"""),2)</f>
        <v>2</v>
      </c>
      <c r="L267" s="21">
        <f ca="1">IFERROR(__xludf.DUMMYFUNCTION("""COMPUTED_VALUE"""),3631.82)</f>
        <v>3631.82</v>
      </c>
      <c r="M267" s="6" t="str">
        <f ca="1">IFERROR(__xludf.DUMMYFUNCTION("""COMPUTED_VALUE"""),"03 ORL")</f>
        <v>03 ORL</v>
      </c>
      <c r="N267" s="6" t="str">
        <f ca="1">IFERROR(__xludf.DUMMYFUNCTION("""COMPUTED_VALUE"""),"06 ORL")</f>
        <v>06 ORL</v>
      </c>
      <c r="O267" s="6" t="str">
        <f ca="1">IFERROR(__xludf.DUMMYFUNCTION("""COMPUTED_VALUE"""),"Dr, Luis Miguel Menéndez Colino")</f>
        <v>Dr, Luis Miguel Menéndez Colino</v>
      </c>
      <c r="P267" s="6" t="str">
        <f ca="1">IFERROR(__xludf.DUMMYFUNCTION("""COMPUTED_VALUE"""),"Lisandro Russian (Madrid, Cáceres, Toledo, Talavera y Logroño)")</f>
        <v>Lisandro Russian (Madrid, Cáceres, Toledo, Talavera y Logroño)</v>
      </c>
    </row>
    <row r="268" spans="2:16">
      <c r="B268" s="33">
        <f ca="1">IFERROR(__xludf.DUMMYFUNCTION("""COMPUTED_VALUE"""),2026)</f>
        <v>2026</v>
      </c>
      <c r="C268" s="15">
        <f ca="1">IFERROR(__xludf.DUMMYFUNCTION("""COMPUTED_VALUE"""),2)</f>
        <v>2</v>
      </c>
      <c r="D268" s="6" t="str">
        <f ca="1">IFERROR(__xludf.DUMMYFUNCTION("""COMPUTED_VALUE"""),"NO")</f>
        <v>NO</v>
      </c>
      <c r="E268" s="6" t="str">
        <f ca="1">IFERROR(__xludf.DUMMYFUNCTION("""COMPUTED_VALUE"""),"Logroño")</f>
        <v>Logroño</v>
      </c>
      <c r="F268" s="16">
        <f ca="1">IFERROR(__xludf.DUMMYFUNCTION("""COMPUTED_VALUE"""),46080)</f>
        <v>46080</v>
      </c>
      <c r="G268" s="16">
        <f ca="1">IFERROR(__xludf.DUMMYFUNCTION("""COMPUTED_VALUE"""),46048)</f>
        <v>46048</v>
      </c>
      <c r="H268" s="6" t="str">
        <f ca="1">IFERROR(__xludf.DUMMYFUNCTION("""COMPUTED_VALUE"""),"Logroño")</f>
        <v>Logroño</v>
      </c>
      <c r="I268" s="6" t="str">
        <f ca="1">IFERROR(__xludf.DUMMYFUNCTION("""COMPUTED_VALUE"""),"C202612611462701422")</f>
        <v>C202612611462701422</v>
      </c>
      <c r="J268" s="6" t="str">
        <f ca="1">IFERROR(__xludf.DUMMYFUNCTION("""COMPUTED_VALUE"""),"MARIA GLORIA LANGARICA LOZANO")</f>
        <v>MARIA GLORIA LANGARICA LOZANO</v>
      </c>
      <c r="K268" s="15">
        <f ca="1">IFERROR(__xludf.DUMMYFUNCTION("""COMPUTED_VALUE"""),2)</f>
        <v>2</v>
      </c>
      <c r="L268" s="21">
        <f ca="1">IFERROR(__xludf.DUMMYFUNCTION("""COMPUTED_VALUE"""),4136.36)</f>
        <v>4136.3599999999997</v>
      </c>
      <c r="M268" s="6" t="str">
        <f ca="1">IFERROR(__xludf.DUMMYFUNCTION("""COMPUTED_VALUE"""),"03 ORL")</f>
        <v>03 ORL</v>
      </c>
      <c r="N268" s="6" t="str">
        <f ca="1">IFERROR(__xludf.DUMMYFUNCTION("""COMPUTED_VALUE"""),"06 ORL")</f>
        <v>06 ORL</v>
      </c>
      <c r="O268" s="6" t="str">
        <f ca="1">IFERROR(__xludf.DUMMYFUNCTION("""COMPUTED_VALUE"""),"Dr, Fernando Salazar Barcelona")</f>
        <v>Dr, Fernando Salazar Barcelona</v>
      </c>
      <c r="P268" s="6" t="str">
        <f ca="1">IFERROR(__xludf.DUMMYFUNCTION("""COMPUTED_VALUE"""),"Lisandro Russian (Madrid, Cáceres, Toledo, Talavera y Logroño)")</f>
        <v>Lisandro Russian (Madrid, Cáceres, Toledo, Talavera y Logroño)</v>
      </c>
    </row>
    <row r="269" spans="2:16">
      <c r="B269" s="33">
        <f ca="1">IFERROR(__xludf.DUMMYFUNCTION("""COMPUTED_VALUE"""),2026)</f>
        <v>2026</v>
      </c>
      <c r="C269" s="15">
        <f ca="1">IFERROR(__xludf.DUMMYFUNCTION("""COMPUTED_VALUE"""),2)</f>
        <v>2</v>
      </c>
      <c r="D269" s="6" t="str">
        <f ca="1">IFERROR(__xludf.DUMMYFUNCTION("""COMPUTED_VALUE"""),"NO")</f>
        <v>NO</v>
      </c>
      <c r="E269" s="6" t="str">
        <f ca="1">IFERROR(__xludf.DUMMYFUNCTION("""COMPUTED_VALUE"""),"Albacete")</f>
        <v>Albacete</v>
      </c>
      <c r="F269" s="16">
        <f ca="1">IFERROR(__xludf.DUMMYFUNCTION("""COMPUTED_VALUE"""),46080)</f>
        <v>46080</v>
      </c>
      <c r="G269" s="16">
        <f ca="1">IFERROR(__xludf.DUMMYFUNCTION("""COMPUTED_VALUE"""),46042)</f>
        <v>46042</v>
      </c>
      <c r="H269" s="6" t="str">
        <f ca="1">IFERROR(__xludf.DUMMYFUNCTION("""COMPUTED_VALUE"""),"Albacete")</f>
        <v>Albacete</v>
      </c>
      <c r="I269" s="6" t="str">
        <f ca="1">IFERROR(__xludf.DUMMYFUNCTION("""COMPUTED_VALUE"""),"C202612010227949902")</f>
        <v>C202612010227949902</v>
      </c>
      <c r="J269" s="6" t="str">
        <f ca="1">IFERROR(__xludf.DUMMYFUNCTION("""COMPUTED_VALUE"""),"MARÍA CARMEN LUJAN MOLINA")</f>
        <v>MARÍA CARMEN LUJAN MOLINA</v>
      </c>
      <c r="K269" s="15">
        <f ca="1">IFERROR(__xludf.DUMMYFUNCTION("""COMPUTED_VALUE"""),2)</f>
        <v>2</v>
      </c>
      <c r="L269" s="21">
        <f ca="1">IFERROR(__xludf.DUMMYFUNCTION("""COMPUTED_VALUE"""),2918.18)</f>
        <v>2918.18</v>
      </c>
      <c r="M269" s="6" t="str">
        <f ca="1">IFERROR(__xludf.DUMMYFUNCTION("""COMPUTED_VALUE"""),"03 ORL")</f>
        <v>03 ORL</v>
      </c>
      <c r="N269" s="6" t="str">
        <f ca="1">IFERROR(__xludf.DUMMYFUNCTION("""COMPUTED_VALUE"""),"06 ORL")</f>
        <v>06 ORL</v>
      </c>
      <c r="O269" s="6" t="str">
        <f ca="1">IFERROR(__xludf.DUMMYFUNCTION("""COMPUTED_VALUE"""),"Dr, Máximo Rafael García Rodríguez")</f>
        <v>Dr, Máximo Rafael García Rodríguez</v>
      </c>
      <c r="P269" s="6" t="str">
        <f ca="1">IFERROR(__xludf.DUMMYFUNCTION("""COMPUTED_VALUE"""),"Iván Sánchez (Levante y Albacete)")</f>
        <v>Iván Sánchez (Levante y Albacete)</v>
      </c>
    </row>
    <row r="270" spans="2:16">
      <c r="B270" s="33">
        <f ca="1">IFERROR(__xludf.DUMMYFUNCTION("""COMPUTED_VALUE"""),2026)</f>
        <v>2026</v>
      </c>
      <c r="C270" s="15">
        <f ca="1">IFERROR(__xludf.DUMMYFUNCTION("""COMPUTED_VALUE"""),2)</f>
        <v>2</v>
      </c>
      <c r="D270" s="6" t="str">
        <f ca="1">IFERROR(__xludf.DUMMYFUNCTION("""COMPUTED_VALUE"""),"NO")</f>
        <v>NO</v>
      </c>
      <c r="E270" s="6" t="str">
        <f ca="1">IFERROR(__xludf.DUMMYFUNCTION("""COMPUTED_VALUE"""),"Orihuela")</f>
        <v>Orihuela</v>
      </c>
      <c r="F270" s="16">
        <f ca="1">IFERROR(__xludf.DUMMYFUNCTION("""COMPUTED_VALUE"""),46080)</f>
        <v>46080</v>
      </c>
      <c r="G270" s="16">
        <f ca="1">IFERROR(__xludf.DUMMYFUNCTION("""COMPUTED_VALUE"""),44957)</f>
        <v>44957</v>
      </c>
      <c r="H270" s="6" t="str">
        <f ca="1">IFERROR(__xludf.DUMMYFUNCTION("""COMPUTED_VALUE"""),"La Zenia")</f>
        <v>La Zenia</v>
      </c>
      <c r="I270" s="6" t="str">
        <f ca="1">IFERROR(__xludf.DUMMYFUNCTION("""COMPUTED_VALUE"""),"LZN-450000442")</f>
        <v>LZN-450000442</v>
      </c>
      <c r="J270" s="6" t="str">
        <f ca="1">IFERROR(__xludf.DUMMYFUNCTION("""COMPUTED_VALUE"""),"MICHAEL ALBERT CUNNINGHAM")</f>
        <v>MICHAEL ALBERT CUNNINGHAM</v>
      </c>
      <c r="K270" s="15">
        <f ca="1">IFERROR(__xludf.DUMMYFUNCTION("""COMPUTED_VALUE"""),1)</f>
        <v>1</v>
      </c>
      <c r="L270" s="21">
        <f ca="1">IFERROR(__xludf.DUMMYFUNCTION("""COMPUTED_VALUE"""),1631.82)</f>
        <v>1631.82</v>
      </c>
      <c r="M270" s="6" t="str">
        <f ca="1">IFERROR(__xludf.DUMMYFUNCTION("""COMPUTED_VALUE"""),"03 ORL")</f>
        <v>03 ORL</v>
      </c>
      <c r="N270" s="6" t="str">
        <f ca="1">IFERROR(__xludf.DUMMYFUNCTION("""COMPUTED_VALUE"""),"06 ORL")</f>
        <v>06 ORL</v>
      </c>
      <c r="O270" s="6" t="str">
        <f ca="1">IFERROR(__xludf.DUMMYFUNCTION("""COMPUTED_VALUE"""),"Dr, Carlos Velásquez Fermín")</f>
        <v>Dr, Carlos Velásquez Fermín</v>
      </c>
      <c r="P270" s="6" t="str">
        <f ca="1">IFERROR(__xludf.DUMMYFUNCTION("""COMPUTED_VALUE"""),"Iván Sánchez (Levante y Albacete)")</f>
        <v>Iván Sánchez (Levante y Albacete)</v>
      </c>
    </row>
    <row r="271" spans="2:16">
      <c r="B271" s="33">
        <f ca="1">IFERROR(__xludf.DUMMYFUNCTION("""COMPUTED_VALUE"""),2026)</f>
        <v>2026</v>
      </c>
      <c r="C271" s="15">
        <f ca="1">IFERROR(__xludf.DUMMYFUNCTION("""COMPUTED_VALUE"""),2)</f>
        <v>2</v>
      </c>
      <c r="D271" s="6" t="str">
        <f ca="1">IFERROR(__xludf.DUMMYFUNCTION("""COMPUTED_VALUE"""),"NO")</f>
        <v>NO</v>
      </c>
      <c r="E271" s="6" t="str">
        <f ca="1">IFERROR(__xludf.DUMMYFUNCTION("""COMPUTED_VALUE"""),"Murcia")</f>
        <v>Murcia</v>
      </c>
      <c r="F271" s="16">
        <f ca="1">IFERROR(__xludf.DUMMYFUNCTION("""COMPUTED_VALUE"""),46080)</f>
        <v>46080</v>
      </c>
      <c r="G271" s="16">
        <f ca="1">IFERROR(__xludf.DUMMYFUNCTION("""COMPUTED_VALUE"""),46049)</f>
        <v>46049</v>
      </c>
      <c r="H271" s="6" t="str">
        <f ca="1">IFERROR(__xludf.DUMMYFUNCTION("""COMPUTED_VALUE"""),"Murcia")</f>
        <v>Murcia</v>
      </c>
      <c r="I271" s="6" t="str">
        <f ca="1">IFERROR(__xludf.DUMMYFUNCTION("""COMPUTED_VALUE"""),"C202612716322865727")</f>
        <v>C202612716322865727</v>
      </c>
      <c r="J271" s="6" t="str">
        <f ca="1">IFERROR(__xludf.DUMMYFUNCTION("""COMPUTED_VALUE"""),"DAVID GARCIA DIAZ")</f>
        <v>DAVID GARCIA DIAZ</v>
      </c>
      <c r="K271" s="15">
        <f ca="1">IFERROR(__xludf.DUMMYFUNCTION("""COMPUTED_VALUE"""),1)</f>
        <v>1</v>
      </c>
      <c r="L271" s="21">
        <f ca="1">IFERROR(__xludf.DUMMYFUNCTION("""COMPUTED_VALUE"""),1631.82)</f>
        <v>1631.82</v>
      </c>
      <c r="M271" s="6" t="str">
        <f ca="1">IFERROR(__xludf.DUMMYFUNCTION("""COMPUTED_VALUE"""),"03 ORL")</f>
        <v>03 ORL</v>
      </c>
      <c r="N271" s="6" t="str">
        <f ca="1">IFERROR(__xludf.DUMMYFUNCTION("""COMPUTED_VALUE"""),"06 ORL")</f>
        <v>06 ORL</v>
      </c>
      <c r="O271" s="6" t="str">
        <f ca="1">IFERROR(__xludf.DUMMYFUNCTION("""COMPUTED_VALUE"""),"Dr, Alfonso Capitan Guarnizo")</f>
        <v>Dr, Alfonso Capitan Guarnizo</v>
      </c>
      <c r="P271" s="6" t="str">
        <f ca="1">IFERROR(__xludf.DUMMYFUNCTION("""COMPUTED_VALUE"""),"Iván Sánchez (Levante y Albacete)")</f>
        <v>Iván Sánchez (Levante y Albacete)</v>
      </c>
    </row>
    <row r="272" spans="2:16">
      <c r="B272" s="33">
        <f ca="1">IFERROR(__xludf.DUMMYFUNCTION("""COMPUTED_VALUE"""),2026)</f>
        <v>2026</v>
      </c>
      <c r="C272" s="15">
        <f ca="1">IFERROR(__xludf.DUMMYFUNCTION("""COMPUTED_VALUE"""),2)</f>
        <v>2</v>
      </c>
      <c r="D272" s="6" t="str">
        <f ca="1">IFERROR(__xludf.DUMMYFUNCTION("""COMPUTED_VALUE"""),"NO")</f>
        <v>NO</v>
      </c>
      <c r="E272" s="6" t="str">
        <f ca="1">IFERROR(__xludf.DUMMYFUNCTION("""COMPUTED_VALUE"""),"Alcorcón")</f>
        <v>Alcorcón</v>
      </c>
      <c r="F272" s="16">
        <f ca="1">IFERROR(__xludf.DUMMYFUNCTION("""COMPUTED_VALUE"""),46080)</f>
        <v>46080</v>
      </c>
      <c r="G272" s="16">
        <f ca="1">IFERROR(__xludf.DUMMYFUNCTION("""COMPUTED_VALUE"""),45467)</f>
        <v>45467</v>
      </c>
      <c r="H272" s="6" t="str">
        <f ca="1">IFERROR(__xludf.DUMMYFUNCTION("""COMPUTED_VALUE"""),"Alcorcón")</f>
        <v>Alcorcón</v>
      </c>
      <c r="I272" s="6" t="str">
        <f ca="1">IFERROR(__xludf.DUMMYFUNCTION("""COMPUTED_VALUE"""),"MAL-867")</f>
        <v>MAL-867</v>
      </c>
      <c r="J272" s="6" t="str">
        <f ca="1">IFERROR(__xludf.DUMMYFUNCTION("""COMPUTED_VALUE"""),"BENITA GARCIA RUIZ")</f>
        <v>BENITA GARCIA RUIZ</v>
      </c>
      <c r="K272" s="15">
        <f ca="1">IFERROR(__xludf.DUMMYFUNCTION("""COMPUTED_VALUE"""),2)</f>
        <v>2</v>
      </c>
      <c r="L272" s="21">
        <f ca="1">IFERROR(__xludf.DUMMYFUNCTION("""COMPUTED_VALUE"""),3631.82)</f>
        <v>3631.82</v>
      </c>
      <c r="M272" s="6" t="str">
        <f ca="1">IFERROR(__xludf.DUMMYFUNCTION("""COMPUTED_VALUE"""),"03 ORL")</f>
        <v>03 ORL</v>
      </c>
      <c r="N272" s="6" t="str">
        <f ca="1">IFERROR(__xludf.DUMMYFUNCTION("""COMPUTED_VALUE"""),"06 ORL")</f>
        <v>06 ORL</v>
      </c>
      <c r="O272" s="6" t="str">
        <f ca="1">IFERROR(__xludf.DUMMYFUNCTION("""COMPUTED_VALUE"""),"Dr, Adolfo Toledano Muñoz")</f>
        <v>Dr, Adolfo Toledano Muñoz</v>
      </c>
      <c r="P272" s="6" t="str">
        <f ca="1">IFERROR(__xludf.DUMMYFUNCTION("""COMPUTED_VALUE"""),"Maika Blázquez (Madrid)")</f>
        <v>Maika Blázquez (Madrid)</v>
      </c>
    </row>
    <row r="273" spans="2:16">
      <c r="B273" s="33">
        <f ca="1">IFERROR(__xludf.DUMMYFUNCTION("""COMPUTED_VALUE"""),2026)</f>
        <v>2026</v>
      </c>
      <c r="C273" s="15">
        <f ca="1">IFERROR(__xludf.DUMMYFUNCTION("""COMPUTED_VALUE"""),2)</f>
        <v>2</v>
      </c>
      <c r="D273" s="6" t="str">
        <f ca="1">IFERROR(__xludf.DUMMYFUNCTION("""COMPUTED_VALUE"""),"NO")</f>
        <v>NO</v>
      </c>
      <c r="E273" s="6" t="str">
        <f ca="1">IFERROR(__xludf.DUMMYFUNCTION("""COMPUTED_VALUE"""),"El Albir (Benidorm)")</f>
        <v>El Albir (Benidorm)</v>
      </c>
      <c r="F273" s="16">
        <f ca="1">IFERROR(__xludf.DUMMYFUNCTION("""COMPUTED_VALUE"""),46080)</f>
        <v>46080</v>
      </c>
      <c r="G273" s="16">
        <f ca="1">IFERROR(__xludf.DUMMYFUNCTION("""COMPUTED_VALUE"""),46043)</f>
        <v>46043</v>
      </c>
      <c r="H273" s="6" t="str">
        <f ca="1">IFERROR(__xludf.DUMMYFUNCTION("""COMPUTED_VALUE"""),"El Albir (Benidorm)")</f>
        <v>El Albir (Benidorm)</v>
      </c>
      <c r="I273" s="6" t="str">
        <f ca="1">IFERROR(__xludf.DUMMYFUNCTION("""COMPUTED_VALUE"""),"C202612112119316206")</f>
        <v>C202612112119316206</v>
      </c>
      <c r="J273" s="6" t="str">
        <f ca="1">IFERROR(__xludf.DUMMYFUNCTION("""COMPUTED_VALUE"""),"EVA  FONT ROMA")</f>
        <v>EVA  FONT ROMA</v>
      </c>
      <c r="K273" s="15">
        <f ca="1">IFERROR(__xludf.DUMMYFUNCTION("""COMPUTED_VALUE"""),2)</f>
        <v>2</v>
      </c>
      <c r="L273" s="21">
        <f ca="1">IFERROR(__xludf.DUMMYFUNCTION("""COMPUTED_VALUE"""),4136.36)</f>
        <v>4136.3599999999997</v>
      </c>
      <c r="M273" s="6" t="str">
        <f ca="1">IFERROR(__xludf.DUMMYFUNCTION("""COMPUTED_VALUE"""),"03 ORL")</f>
        <v>03 ORL</v>
      </c>
      <c r="N273" s="6" t="str">
        <f ca="1">IFERROR(__xludf.DUMMYFUNCTION("""COMPUTED_VALUE"""),"06 ORL")</f>
        <v>06 ORL</v>
      </c>
      <c r="O273" s="6" t="str">
        <f ca="1">IFERROR(__xludf.DUMMYFUNCTION("""COMPUTED_VALUE"""),"Dra, María Emilia García Ruiz")</f>
        <v>Dra, María Emilia García Ruiz</v>
      </c>
      <c r="P273" s="6" t="str">
        <f ca="1">IFERROR(__xludf.DUMMYFUNCTION("""COMPUTED_VALUE"""),"Ramon Ferrando(Valencia)")</f>
        <v>Ramon Ferrando(Valencia)</v>
      </c>
    </row>
    <row r="274" spans="2:16">
      <c r="B274" s="33">
        <f ca="1">IFERROR(__xludf.DUMMYFUNCTION("""COMPUTED_VALUE"""),2026)</f>
        <v>2026</v>
      </c>
      <c r="C274" s="15">
        <f ca="1">IFERROR(__xludf.DUMMYFUNCTION("""COMPUTED_VALUE"""),2)</f>
        <v>2</v>
      </c>
      <c r="D274" s="6" t="str">
        <f ca="1">IFERROR(__xludf.DUMMYFUNCTION("""COMPUTED_VALUE"""),"NO")</f>
        <v>NO</v>
      </c>
      <c r="E274" s="6" t="str">
        <f ca="1">IFERROR(__xludf.DUMMYFUNCTION("""COMPUTED_VALUE"""),"Ponferrada")</f>
        <v>Ponferrada</v>
      </c>
      <c r="F274" s="16">
        <f ca="1">IFERROR(__xludf.DUMMYFUNCTION("""COMPUTED_VALUE"""),46080)</f>
        <v>46080</v>
      </c>
      <c r="G274" s="16">
        <f ca="1">IFERROR(__xludf.DUMMYFUNCTION("""COMPUTED_VALUE"""),46042)</f>
        <v>46042</v>
      </c>
      <c r="H274" s="6" t="str">
        <f ca="1">IFERROR(__xludf.DUMMYFUNCTION("""COMPUTED_VALUE"""),"Ponferrada")</f>
        <v>Ponferrada</v>
      </c>
      <c r="I274" s="6" t="str">
        <f ca="1">IFERROR(__xludf.DUMMYFUNCTION("""COMPUTED_VALUE"""),"C202612092032571289")</f>
        <v>C202612092032571289</v>
      </c>
      <c r="J274" s="6" t="str">
        <f ca="1">IFERROR(__xludf.DUMMYFUNCTION("""COMPUTED_VALUE"""),"TOMASA LOPEZ BLANCO")</f>
        <v>TOMASA LOPEZ BLANCO</v>
      </c>
      <c r="K274" s="15">
        <f ca="1">IFERROR(__xludf.DUMMYFUNCTION("""COMPUTED_VALUE"""),2)</f>
        <v>2</v>
      </c>
      <c r="L274" s="21">
        <f ca="1">IFERROR(__xludf.DUMMYFUNCTION("""COMPUTED_VALUE"""),2709.09)</f>
        <v>2709.09</v>
      </c>
      <c r="M274" s="6" t="str">
        <f ca="1">IFERROR(__xludf.DUMMYFUNCTION("""COMPUTED_VALUE"""),"03 ORL")</f>
        <v>03 ORL</v>
      </c>
      <c r="N274" s="6" t="str">
        <f ca="1">IFERROR(__xludf.DUMMYFUNCTION("""COMPUTED_VALUE"""),"22 AUDIOMETRIA CLINICA")</f>
        <v>22 AUDIOMETRIA CLINICA</v>
      </c>
      <c r="O274" s="6" t="str">
        <f ca="1">IFERROR(__xludf.DUMMYFUNCTION("""COMPUTED_VALUE"""),"No recuerda ORL")</f>
        <v>No recuerda ORL</v>
      </c>
      <c r="P274" s="6" t="str">
        <f ca="1">IFERROR(__xludf.DUMMYFUNCTION("""COMPUTED_VALUE"""),"Alberto Moreno (Madrid)")</f>
        <v>Alberto Moreno (Madrid)</v>
      </c>
    </row>
    <row r="275" spans="2:16">
      <c r="B275" s="33">
        <f ca="1">IFERROR(__xludf.DUMMYFUNCTION("""COMPUTED_VALUE"""),2026)</f>
        <v>2026</v>
      </c>
      <c r="C275" s="15">
        <f ca="1">IFERROR(__xludf.DUMMYFUNCTION("""COMPUTED_VALUE"""),2)</f>
        <v>2</v>
      </c>
      <c r="D275" s="6" t="str">
        <f ca="1">IFERROR(__xludf.DUMMYFUNCTION("""COMPUTED_VALUE"""),"NO")</f>
        <v>NO</v>
      </c>
      <c r="E275" s="6" t="str">
        <f ca="1">IFERROR(__xludf.DUMMYFUNCTION("""COMPUTED_VALUE"""),"Madrid- Juan Bravo")</f>
        <v>Madrid- Juan Bravo</v>
      </c>
      <c r="F275" s="16">
        <f ca="1">IFERROR(__xludf.DUMMYFUNCTION("""COMPUTED_VALUE"""),46080)</f>
        <v>46080</v>
      </c>
      <c r="G275" s="16">
        <f ca="1">IFERROR(__xludf.DUMMYFUNCTION("""COMPUTED_VALUE"""),46050)</f>
        <v>46050</v>
      </c>
      <c r="H275" s="6" t="str">
        <f ca="1">IFERROR(__xludf.DUMMYFUNCTION("""COMPUTED_VALUE"""),"Juan Bravo")</f>
        <v>Juan Bravo</v>
      </c>
      <c r="I275" s="6" t="str">
        <f ca="1">IFERROR(__xludf.DUMMYFUNCTION("""COMPUTED_VALUE"""),"C202612812503320736")</f>
        <v>C202612812503320736</v>
      </c>
      <c r="J275" s="6" t="str">
        <f ca="1">IFERROR(__xludf.DUMMYFUNCTION("""COMPUTED_VALUE"""),"PILAR  GARCIA VALDE-CASAS VALVERDE")</f>
        <v>PILAR  GARCIA VALDE-CASAS VALVERDE</v>
      </c>
      <c r="K275" s="15">
        <f ca="1">IFERROR(__xludf.DUMMYFUNCTION("""COMPUTED_VALUE"""),2)</f>
        <v>2</v>
      </c>
      <c r="L275" s="21">
        <f ca="1">IFERROR(__xludf.DUMMYFUNCTION("""COMPUTED_VALUE"""),3631.82)</f>
        <v>3631.82</v>
      </c>
      <c r="M275" s="6" t="str">
        <f ca="1">IFERROR(__xludf.DUMMYFUNCTION("""COMPUTED_VALUE"""),"03 ORL")</f>
        <v>03 ORL</v>
      </c>
      <c r="N275" s="6" t="str">
        <f ca="1">IFERROR(__xludf.DUMMYFUNCTION("""COMPUTED_VALUE"""),"06 ORL")</f>
        <v>06 ORL</v>
      </c>
      <c r="O275" s="6" t="str">
        <f ca="1">IFERROR(__xludf.DUMMYFUNCTION("""COMPUTED_VALUE"""),"Dr, Javier García Domínguez")</f>
        <v>Dr, Javier García Domínguez</v>
      </c>
      <c r="P275" s="6" t="str">
        <f ca="1">IFERROR(__xludf.DUMMYFUNCTION("""COMPUTED_VALUE"""),"Maika Blázquez (Madrid)")</f>
        <v>Maika Blázquez (Madrid)</v>
      </c>
    </row>
    <row r="276" spans="2:16">
      <c r="B276" s="33">
        <f ca="1">IFERROR(__xludf.DUMMYFUNCTION("""COMPUTED_VALUE"""),2026)</f>
        <v>2026</v>
      </c>
      <c r="C276" s="15">
        <f ca="1">IFERROR(__xludf.DUMMYFUNCTION("""COMPUTED_VALUE"""),2)</f>
        <v>2</v>
      </c>
      <c r="D276" s="6" t="str">
        <f ca="1">IFERROR(__xludf.DUMMYFUNCTION("""COMPUTED_VALUE"""),"NO")</f>
        <v>NO</v>
      </c>
      <c r="E276" s="6" t="str">
        <f ca="1">IFERROR(__xludf.DUMMYFUNCTION("""COMPUTED_VALUE"""),"Fuenlabrada")</f>
        <v>Fuenlabrada</v>
      </c>
      <c r="F276" s="16">
        <f ca="1">IFERROR(__xludf.DUMMYFUNCTION("""COMPUTED_VALUE"""),46080)</f>
        <v>46080</v>
      </c>
      <c r="G276" s="16">
        <f ca="1">IFERROR(__xludf.DUMMYFUNCTION("""COMPUTED_VALUE"""),46051)</f>
        <v>46051</v>
      </c>
      <c r="H276" s="6" t="str">
        <f ca="1">IFERROR(__xludf.DUMMYFUNCTION("""COMPUTED_VALUE"""),"Fuenlabrada")</f>
        <v>Fuenlabrada</v>
      </c>
      <c r="I276" s="6" t="str">
        <f ca="1">IFERROR(__xludf.DUMMYFUNCTION("""COMPUTED_VALUE"""),"C202612912135937734")</f>
        <v>C202612912135937734</v>
      </c>
      <c r="J276" s="6" t="str">
        <f ca="1">IFERROR(__xludf.DUMMYFUNCTION("""COMPUTED_VALUE"""),"MARIA LUISA GARCIA GARCIA")</f>
        <v>MARIA LUISA GARCIA GARCIA</v>
      </c>
      <c r="K276" s="15">
        <f ca="1">IFERROR(__xludf.DUMMYFUNCTION("""COMPUTED_VALUE"""),2)</f>
        <v>2</v>
      </c>
      <c r="L276" s="21">
        <f ca="1">IFERROR(__xludf.DUMMYFUNCTION("""COMPUTED_VALUE"""),3636.36)</f>
        <v>3636.36</v>
      </c>
      <c r="M276" s="6" t="str">
        <f ca="1">IFERROR(__xludf.DUMMYFUNCTION("""COMPUTED_VALUE"""),"03 ORL")</f>
        <v>03 ORL</v>
      </c>
      <c r="N276" s="6" t="str">
        <f ca="1">IFERROR(__xludf.DUMMYFUNCTION("""COMPUTED_VALUE"""),"06 ORL")</f>
        <v>06 ORL</v>
      </c>
      <c r="O276" s="6" t="str">
        <f ca="1">IFERROR(__xludf.DUMMYFUNCTION("""COMPUTED_VALUE"""),"Dra, Estefania Miranda Sánchez")</f>
        <v>Dra, Estefania Miranda Sánchez</v>
      </c>
      <c r="P276" s="6" t="str">
        <f ca="1">IFERROR(__xludf.DUMMYFUNCTION("""COMPUTED_VALUE"""),"Maika Blázquez (Madrid)")</f>
        <v>Maika Blázquez (Madrid)</v>
      </c>
    </row>
    <row r="277" spans="2:16">
      <c r="B277" s="33">
        <f ca="1">IFERROR(__xludf.DUMMYFUNCTION("""COMPUTED_VALUE"""),2026)</f>
        <v>2026</v>
      </c>
      <c r="C277" s="15">
        <f ca="1">IFERROR(__xludf.DUMMYFUNCTION("""COMPUTED_VALUE"""),2)</f>
        <v>2</v>
      </c>
      <c r="D277" s="6" t="str">
        <f ca="1">IFERROR(__xludf.DUMMYFUNCTION("""COMPUTED_VALUE"""),"NO")</f>
        <v>NO</v>
      </c>
      <c r="E277" s="6" t="str">
        <f ca="1">IFERROR(__xludf.DUMMYFUNCTION("""COMPUTED_VALUE"""),"Madrid- Juan Bravo")</f>
        <v>Madrid- Juan Bravo</v>
      </c>
      <c r="F277" s="16">
        <f ca="1">IFERROR(__xludf.DUMMYFUNCTION("""COMPUTED_VALUE"""),46080)</f>
        <v>46080</v>
      </c>
      <c r="G277" s="16">
        <f ca="1">IFERROR(__xludf.DUMMYFUNCTION("""COMPUTED_VALUE"""),46048)</f>
        <v>46048</v>
      </c>
      <c r="H277" s="6" t="str">
        <f ca="1">IFERROR(__xludf.DUMMYFUNCTION("""COMPUTED_VALUE"""),"Juan Bravo")</f>
        <v>Juan Bravo</v>
      </c>
      <c r="I277" s="6" t="str">
        <f ca="1">IFERROR(__xludf.DUMMYFUNCTION("""COMPUTED_VALUE"""),"C202612612247030125")</f>
        <v>C202612612247030125</v>
      </c>
      <c r="J277" s="6" t="str">
        <f ca="1">IFERROR(__xludf.DUMMYFUNCTION("""COMPUTED_VALUE"""),"ANA MARIA  RAMIRO LANCHAS")</f>
        <v>ANA MARIA  RAMIRO LANCHAS</v>
      </c>
      <c r="K277" s="15">
        <f ca="1">IFERROR(__xludf.DUMMYFUNCTION("""COMPUTED_VALUE"""),1)</f>
        <v>1</v>
      </c>
      <c r="L277" s="21">
        <f ca="1">IFERROR(__xludf.DUMMYFUNCTION("""COMPUTED_VALUE"""),2180.91)</f>
        <v>2180.91</v>
      </c>
      <c r="M277" s="6" t="str">
        <f ca="1">IFERROR(__xludf.DUMMYFUNCTION("""COMPUTED_VALUE"""),"03 ORL")</f>
        <v>03 ORL</v>
      </c>
      <c r="N277" s="6" t="str">
        <f ca="1">IFERROR(__xludf.DUMMYFUNCTION("""COMPUTED_VALUE"""),"06 ORL")</f>
        <v>06 ORL</v>
      </c>
      <c r="O277" s="6" t="str">
        <f ca="1">IFERROR(__xludf.DUMMYFUNCTION("""COMPUTED_VALUE"""),"Dra, María Montserrat Asensi Díaz")</f>
        <v>Dra, María Montserrat Asensi Díaz</v>
      </c>
      <c r="P277" s="6" t="str">
        <f ca="1">IFERROR(__xludf.DUMMYFUNCTION("""COMPUTED_VALUE"""),"Maika Blázquez (Madrid)")</f>
        <v>Maika Blázquez (Madrid)</v>
      </c>
    </row>
    <row r="278" spans="2:16">
      <c r="B278" s="33">
        <f ca="1">IFERROR(__xludf.DUMMYFUNCTION("""COMPUTED_VALUE"""),2026)</f>
        <v>2026</v>
      </c>
      <c r="C278" s="15">
        <f ca="1">IFERROR(__xludf.DUMMYFUNCTION("""COMPUTED_VALUE"""),2)</f>
        <v>2</v>
      </c>
      <c r="D278" s="6" t="str">
        <f ca="1">IFERROR(__xludf.DUMMYFUNCTION("""COMPUTED_VALUE"""),"NO")</f>
        <v>NO</v>
      </c>
      <c r="E278" s="6" t="str">
        <f ca="1">IFERROR(__xludf.DUMMYFUNCTION("""COMPUTED_VALUE"""),"Murcia")</f>
        <v>Murcia</v>
      </c>
      <c r="F278" s="16">
        <f ca="1">IFERROR(__xludf.DUMMYFUNCTION("""COMPUTED_VALUE"""),46080)</f>
        <v>46080</v>
      </c>
      <c r="G278" s="16">
        <f ca="1">IFERROR(__xludf.DUMMYFUNCTION("""COMPUTED_VALUE"""),45209)</f>
        <v>45209</v>
      </c>
      <c r="H278" s="6" t="str">
        <f ca="1">IFERROR(__xludf.DUMMYFUNCTION("""COMPUTED_VALUE"""),"Murcia")</f>
        <v>Murcia</v>
      </c>
      <c r="I278" s="6" t="str">
        <f ca="1">IFERROR(__xludf.DUMMYFUNCTION("""COMPUTED_VALUE"""),"MUR-1648")</f>
        <v>MUR-1648</v>
      </c>
      <c r="J278" s="6" t="str">
        <f ca="1">IFERROR(__xludf.DUMMYFUNCTION("""COMPUTED_VALUE"""),"CLAUDIA MARIA ARAUJO DE OLIVEIRA")</f>
        <v>CLAUDIA MARIA ARAUJO DE OLIVEIRA</v>
      </c>
      <c r="K278" s="15">
        <f ca="1">IFERROR(__xludf.DUMMYFUNCTION("""COMPUTED_VALUE"""),1)</f>
        <v>1</v>
      </c>
      <c r="L278" s="21">
        <f ca="1">IFERROR(__xludf.DUMMYFUNCTION("""COMPUTED_VALUE"""),2481.82)</f>
        <v>2481.8200000000002</v>
      </c>
      <c r="M278" s="6" t="str">
        <f ca="1">IFERROR(__xludf.DUMMYFUNCTION("""COMPUTED_VALUE"""),"03 ORL")</f>
        <v>03 ORL</v>
      </c>
      <c r="N278" s="6" t="str">
        <f ca="1">IFERROR(__xludf.DUMMYFUNCTION("""COMPUTED_VALUE"""),"06 ORL")</f>
        <v>06 ORL</v>
      </c>
      <c r="O278" s="6" t="str">
        <f ca="1">IFERROR(__xludf.DUMMYFUNCTION("""COMPUTED_VALUE"""),"Dr, Enrique García Zamora")</f>
        <v>Dr, Enrique García Zamora</v>
      </c>
      <c r="P278" s="6" t="str">
        <f ca="1">IFERROR(__xludf.DUMMYFUNCTION("""COMPUTED_VALUE"""),"Iván Sánchez (Levante y Albacete)")</f>
        <v>Iván Sánchez (Levante y Albacete)</v>
      </c>
    </row>
    <row r="279" spans="2:16">
      <c r="B279" s="33">
        <f ca="1">IFERROR(__xludf.DUMMYFUNCTION("""COMPUTED_VALUE"""),2026)</f>
        <v>2026</v>
      </c>
      <c r="C279" s="15">
        <f ca="1">IFERROR(__xludf.DUMMYFUNCTION("""COMPUTED_VALUE"""),2)</f>
        <v>2</v>
      </c>
      <c r="D279" s="6" t="str">
        <f ca="1">IFERROR(__xludf.DUMMYFUNCTION("""COMPUTED_VALUE"""),"NO")</f>
        <v>NO</v>
      </c>
      <c r="E279" s="6" t="str">
        <f ca="1">IFERROR(__xludf.DUMMYFUNCTION("""COMPUTED_VALUE"""),"Jerez de la Frontera")</f>
        <v>Jerez de la Frontera</v>
      </c>
      <c r="F279" s="16">
        <f ca="1">IFERROR(__xludf.DUMMYFUNCTION("""COMPUTED_VALUE"""),46080)</f>
        <v>46080</v>
      </c>
      <c r="G279" s="16">
        <f ca="1">IFERROR(__xludf.DUMMYFUNCTION("""COMPUTED_VALUE"""),46045)</f>
        <v>46045</v>
      </c>
      <c r="H279" s="6" t="str">
        <f ca="1">IFERROR(__xludf.DUMMYFUNCTION("""COMPUTED_VALUE"""),"Jerez")</f>
        <v>Jerez</v>
      </c>
      <c r="I279" s="6" t="str">
        <f ca="1">IFERROR(__xludf.DUMMYFUNCTION("""COMPUTED_VALUE"""),"C202612312493748894")</f>
        <v>C202612312493748894</v>
      </c>
      <c r="J279" s="6" t="str">
        <f ca="1">IFERROR(__xludf.DUMMYFUNCTION("""COMPUTED_VALUE"""),"PAQUI ALPRESA GAMEZ")</f>
        <v>PAQUI ALPRESA GAMEZ</v>
      </c>
      <c r="K279" s="15">
        <f ca="1">IFERROR(__xludf.DUMMYFUNCTION("""COMPUTED_VALUE"""),1)</f>
        <v>1</v>
      </c>
      <c r="L279" s="21">
        <f ca="1">IFERROR(__xludf.DUMMYFUNCTION("""COMPUTED_VALUE"""),2481.82)</f>
        <v>2481.8200000000002</v>
      </c>
      <c r="M279" s="6" t="str">
        <f ca="1">IFERROR(__xludf.DUMMYFUNCTION("""COMPUTED_VALUE"""),"03 ORL")</f>
        <v>03 ORL</v>
      </c>
      <c r="N279" s="6" t="str">
        <f ca="1">IFERROR(__xludf.DUMMYFUNCTION("""COMPUTED_VALUE"""),"06 ORL")</f>
        <v>06 ORL</v>
      </c>
      <c r="O279" s="6" t="str">
        <f ca="1">IFERROR(__xludf.DUMMYFUNCTION("""COMPUTED_VALUE"""),"Dr, Vicente Mira Escartí")</f>
        <v>Dr, Vicente Mira Escartí</v>
      </c>
      <c r="P279" s="6" t="str">
        <f ca="1">IFERROR(__xludf.DUMMYFUNCTION("""COMPUTED_VALUE"""),"Luis Alberto Rodríguez (Andalucía y Badajoz)")</f>
        <v>Luis Alberto Rodríguez (Andalucía y Badajoz)</v>
      </c>
    </row>
    <row r="280" spans="2:16">
      <c r="B280" s="33">
        <f ca="1">IFERROR(__xludf.DUMMYFUNCTION("""COMPUTED_VALUE"""),2026)</f>
        <v>2026</v>
      </c>
      <c r="C280" s="15">
        <f ca="1">IFERROR(__xludf.DUMMYFUNCTION("""COMPUTED_VALUE"""),2)</f>
        <v>2</v>
      </c>
      <c r="D280" s="6" t="str">
        <f ca="1">IFERROR(__xludf.DUMMYFUNCTION("""COMPUTED_VALUE"""),"NO")</f>
        <v>NO</v>
      </c>
      <c r="E280" s="6" t="str">
        <f ca="1">IFERROR(__xludf.DUMMYFUNCTION("""COMPUTED_VALUE"""),"Madrid- Monforte de Lemos")</f>
        <v>Madrid- Monforte de Lemos</v>
      </c>
      <c r="F280" s="16">
        <f ca="1">IFERROR(__xludf.DUMMYFUNCTION("""COMPUTED_VALUE"""),46080)</f>
        <v>46080</v>
      </c>
      <c r="G280" s="16">
        <f ca="1">IFERROR(__xludf.DUMMYFUNCTION("""COMPUTED_VALUE"""),45988)</f>
        <v>45988</v>
      </c>
      <c r="H280" s="6" t="str">
        <f ca="1">IFERROR(__xludf.DUMMYFUNCTION("""COMPUTED_VALUE"""),"La Vaguada")</f>
        <v>La Vaguada</v>
      </c>
      <c r="I280" s="6" t="str">
        <f ca="1">IFERROR(__xludf.DUMMYFUNCTION("""COMPUTED_VALUE"""),"C202511271747274571")</f>
        <v>C202511271747274571</v>
      </c>
      <c r="J280" s="6" t="str">
        <f ca="1">IFERROR(__xludf.DUMMYFUNCTION("""COMPUTED_VALUE"""),"MARIA ANGELES HERNANDO GONZALEZ")</f>
        <v>MARIA ANGELES HERNANDO GONZALEZ</v>
      </c>
      <c r="K280" s="15">
        <f ca="1">IFERROR(__xludf.DUMMYFUNCTION("""COMPUTED_VALUE"""),2)</f>
        <v>2</v>
      </c>
      <c r="L280" s="21">
        <f ca="1">IFERROR(__xludf.DUMMYFUNCTION("""COMPUTED_VALUE"""),3631.82)</f>
        <v>3631.82</v>
      </c>
      <c r="M280" s="6" t="str">
        <f ca="1">IFERROR(__xludf.DUMMYFUNCTION("""COMPUTED_VALUE"""),"03 ORL")</f>
        <v>03 ORL</v>
      </c>
      <c r="N280" s="6" t="str">
        <f ca="1">IFERROR(__xludf.DUMMYFUNCTION("""COMPUTED_VALUE"""),"06 ORL")</f>
        <v>06 ORL</v>
      </c>
      <c r="O280" s="6" t="str">
        <f ca="1">IFERROR(__xludf.DUMMYFUNCTION("""COMPUTED_VALUE"""),"Dra, Victoria García Peces")</f>
        <v>Dra, Victoria García Peces</v>
      </c>
      <c r="P280" s="6" t="str">
        <f ca="1">IFERROR(__xludf.DUMMYFUNCTION("""COMPUTED_VALUE"""),"Maika Blázquez (Madrid)")</f>
        <v>Maika Blázquez (Madrid)</v>
      </c>
    </row>
    <row r="281" spans="2:16">
      <c r="B281" s="33">
        <f ca="1">IFERROR(__xludf.DUMMYFUNCTION("""COMPUTED_VALUE"""),2026)</f>
        <v>2026</v>
      </c>
      <c r="C281" s="15">
        <f ca="1">IFERROR(__xludf.DUMMYFUNCTION("""COMPUTED_VALUE"""),2)</f>
        <v>2</v>
      </c>
      <c r="D281" s="6" t="str">
        <f ca="1">IFERROR(__xludf.DUMMYFUNCTION("""COMPUTED_VALUE"""),"NO")</f>
        <v>NO</v>
      </c>
      <c r="E281" s="6" t="str">
        <f ca="1">IFERROR(__xludf.DUMMYFUNCTION("""COMPUTED_VALUE"""),"Madrid- Moratalaz")</f>
        <v>Madrid- Moratalaz</v>
      </c>
      <c r="F281" s="16">
        <f ca="1">IFERROR(__xludf.DUMMYFUNCTION("""COMPUTED_VALUE"""),46080)</f>
        <v>46080</v>
      </c>
      <c r="G281" s="16">
        <f ca="1">IFERROR(__xludf.DUMMYFUNCTION("""COMPUTED_VALUE"""),46071)</f>
        <v>46071</v>
      </c>
      <c r="H281" s="6" t="str">
        <f ca="1">IFERROR(__xludf.DUMMYFUNCTION("""COMPUTED_VALUE"""),"Moratalaz")</f>
        <v>Moratalaz</v>
      </c>
      <c r="I281" s="6" t="str">
        <f ca="1">IFERROR(__xludf.DUMMYFUNCTION("""COMPUTED_VALUE"""),"C202621816453016654")</f>
        <v>C202621816453016654</v>
      </c>
      <c r="J281" s="6" t="str">
        <f ca="1">IFERROR(__xludf.DUMMYFUNCTION("""COMPUTED_VALUE"""),"GERMANIA AMERICA VEGA QUINDE")</f>
        <v>GERMANIA AMERICA VEGA QUINDE</v>
      </c>
      <c r="K281" s="15">
        <f ca="1">IFERROR(__xludf.DUMMYFUNCTION("""COMPUTED_VALUE"""),2)</f>
        <v>2</v>
      </c>
      <c r="L281" s="21">
        <f ca="1">IFERROR(__xludf.DUMMYFUNCTION("""COMPUTED_VALUE"""),2263.64)</f>
        <v>2263.64</v>
      </c>
      <c r="M281" s="6" t="str">
        <f ca="1">IFERROR(__xludf.DUMMYFUNCTION("""COMPUTED_VALUE"""),"03 ORL")</f>
        <v>03 ORL</v>
      </c>
      <c r="N281" s="6" t="str">
        <f ca="1">IFERROR(__xludf.DUMMYFUNCTION("""COMPUTED_VALUE"""),"06 ORL")</f>
        <v>06 ORL</v>
      </c>
      <c r="O281" s="6" t="str">
        <f ca="1">IFERROR(__xludf.DUMMYFUNCTION("""COMPUTED_VALUE"""),"Dr, Esteban Scola Pliego")</f>
        <v>Dr, Esteban Scola Pliego</v>
      </c>
      <c r="P281" s="6" t="str">
        <f ca="1">IFERROR(__xludf.DUMMYFUNCTION("""COMPUTED_VALUE"""),"Maika Blázquez (Madrid)")</f>
        <v>Maika Blázquez (Madrid)</v>
      </c>
    </row>
    <row r="282" spans="2:16">
      <c r="B282" s="33">
        <f ca="1">IFERROR(__xludf.DUMMYFUNCTION("""COMPUTED_VALUE"""),2026)</f>
        <v>2026</v>
      </c>
      <c r="C282" s="15">
        <f ca="1">IFERROR(__xludf.DUMMYFUNCTION("""COMPUTED_VALUE"""),2)</f>
        <v>2</v>
      </c>
      <c r="D282" s="6" t="str">
        <f ca="1">IFERROR(__xludf.DUMMYFUNCTION("""COMPUTED_VALUE"""),"NO")</f>
        <v>NO</v>
      </c>
      <c r="E282" s="6" t="str">
        <f ca="1">IFERROR(__xludf.DUMMYFUNCTION("""COMPUTED_VALUE"""),"Valencia- Cádiz")</f>
        <v>Valencia- Cádiz</v>
      </c>
      <c r="F282" s="16">
        <f ca="1">IFERROR(__xludf.DUMMYFUNCTION("""COMPUTED_VALUE"""),46080)</f>
        <v>46080</v>
      </c>
      <c r="G282" s="16">
        <f ca="1">IFERROR(__xludf.DUMMYFUNCTION("""COMPUTED_VALUE"""),46042)</f>
        <v>46042</v>
      </c>
      <c r="H282" s="6" t="str">
        <f ca="1">IFERROR(__xludf.DUMMYFUNCTION("""COMPUTED_VALUE"""),"Valencia- Cádiz")</f>
        <v>Valencia- Cádiz</v>
      </c>
      <c r="I282" s="6" t="str">
        <f ca="1">IFERROR(__xludf.DUMMYFUNCTION("""COMPUTED_VALUE"""),"C202612094313079021")</f>
        <v>C202612094313079021</v>
      </c>
      <c r="J282" s="6" t="str">
        <f ca="1">IFERROR(__xludf.DUMMYFUNCTION("""COMPUTED_VALUE"""),"JUAN GOMEZ CAPUZ")</f>
        <v>JUAN GOMEZ CAPUZ</v>
      </c>
      <c r="K282" s="15">
        <f ca="1">IFERROR(__xludf.DUMMYFUNCTION("""COMPUTED_VALUE"""),2)</f>
        <v>2</v>
      </c>
      <c r="L282" s="21">
        <f ca="1">IFERROR(__xludf.DUMMYFUNCTION("""COMPUTED_VALUE"""),4136.36)</f>
        <v>4136.3599999999997</v>
      </c>
      <c r="M282" s="6" t="str">
        <f ca="1">IFERROR(__xludf.DUMMYFUNCTION("""COMPUTED_VALUE"""),"03 ORL")</f>
        <v>03 ORL</v>
      </c>
      <c r="N282" s="6" t="str">
        <f ca="1">IFERROR(__xludf.DUMMYFUNCTION("""COMPUTED_VALUE"""),"06 ORL")</f>
        <v>06 ORL</v>
      </c>
      <c r="O282" s="6" t="str">
        <f ca="1">IFERROR(__xludf.DUMMYFUNCTION("""COMPUTED_VALUE"""),"Dra, Ainhoa García-Lliberos de Miguel")</f>
        <v>Dra, Ainhoa García-Lliberos de Miguel</v>
      </c>
      <c r="P282" s="6" t="str">
        <f ca="1">IFERROR(__xludf.DUMMYFUNCTION("""COMPUTED_VALUE"""),"Ramon Ferrando(Valencia)")</f>
        <v>Ramon Ferrando(Valencia)</v>
      </c>
    </row>
    <row r="283" spans="2:16">
      <c r="B283" s="33">
        <f ca="1">IFERROR(__xludf.DUMMYFUNCTION("""COMPUTED_VALUE"""),2026)</f>
        <v>2026</v>
      </c>
      <c r="C283" s="15">
        <f ca="1">IFERROR(__xludf.DUMMYFUNCTION("""COMPUTED_VALUE"""),2)</f>
        <v>2</v>
      </c>
      <c r="D283" s="6" t="str">
        <f ca="1">IFERROR(__xludf.DUMMYFUNCTION("""COMPUTED_VALUE"""),"NO")</f>
        <v>NO</v>
      </c>
      <c r="E283" s="6" t="str">
        <f ca="1">IFERROR(__xludf.DUMMYFUNCTION("""COMPUTED_VALUE"""),"Valencia- Cádiz")</f>
        <v>Valencia- Cádiz</v>
      </c>
      <c r="F283" s="16">
        <f ca="1">IFERROR(__xludf.DUMMYFUNCTION("""COMPUTED_VALUE"""),46080)</f>
        <v>46080</v>
      </c>
      <c r="G283" s="16">
        <f ca="1">IFERROR(__xludf.DUMMYFUNCTION("""COMPUTED_VALUE"""),46030)</f>
        <v>46030</v>
      </c>
      <c r="H283" s="6" t="str">
        <f ca="1">IFERROR(__xludf.DUMMYFUNCTION("""COMPUTED_VALUE"""),"Valencia- Cádiz")</f>
        <v>Valencia- Cádiz</v>
      </c>
      <c r="I283" s="6" t="str">
        <f ca="1">IFERROR(__xludf.DUMMYFUNCTION("""COMPUTED_VALUE"""),"C202618174141196214")</f>
        <v>C202618174141196214</v>
      </c>
      <c r="J283" s="6" t="str">
        <f ca="1">IFERROR(__xludf.DUMMYFUNCTION("""COMPUTED_VALUE"""),"RAUL PASTOR MIRALLES")</f>
        <v>RAUL PASTOR MIRALLES</v>
      </c>
      <c r="K283" s="15">
        <f ca="1">IFERROR(__xludf.DUMMYFUNCTION("""COMPUTED_VALUE"""),1)</f>
        <v>1</v>
      </c>
      <c r="L283" s="21">
        <f ca="1">IFERROR(__xludf.DUMMYFUNCTION("""COMPUTED_VALUE"""),2481.82)</f>
        <v>2481.8200000000002</v>
      </c>
      <c r="M283" s="6" t="str">
        <f ca="1">IFERROR(__xludf.DUMMYFUNCTION("""COMPUTED_VALUE"""),"03 ORL")</f>
        <v>03 ORL</v>
      </c>
      <c r="N283" s="6" t="str">
        <f ca="1">IFERROR(__xludf.DUMMYFUNCTION("""COMPUTED_VALUE"""),"06 ORL")</f>
        <v>06 ORL</v>
      </c>
      <c r="O283" s="6" t="str">
        <f ca="1">IFERROR(__xludf.DUMMYFUNCTION("""COMPUTED_VALUE"""),"Dr, Abel Guzmán Calvete")</f>
        <v>Dr, Abel Guzmán Calvete</v>
      </c>
      <c r="P283" s="6" t="str">
        <f ca="1">IFERROR(__xludf.DUMMYFUNCTION("""COMPUTED_VALUE"""),"Ramon Ferrando(Valencia)")</f>
        <v>Ramon Ferrando(Valencia)</v>
      </c>
    </row>
    <row r="284" spans="2:16">
      <c r="B284" s="33">
        <f ca="1">IFERROR(__xludf.DUMMYFUNCTION("""COMPUTED_VALUE"""),2026)</f>
        <v>2026</v>
      </c>
      <c r="C284" s="15">
        <f ca="1">IFERROR(__xludf.DUMMYFUNCTION("""COMPUTED_VALUE"""),2)</f>
        <v>2</v>
      </c>
      <c r="D284" s="6" t="str">
        <f ca="1">IFERROR(__xludf.DUMMYFUNCTION("""COMPUTED_VALUE"""),"NO")</f>
        <v>NO</v>
      </c>
      <c r="E284" s="6" t="str">
        <f ca="1">IFERROR(__xludf.DUMMYFUNCTION("""COMPUTED_VALUE"""),"Valencia- Cádiz")</f>
        <v>Valencia- Cádiz</v>
      </c>
      <c r="F284" s="16">
        <f ca="1">IFERROR(__xludf.DUMMYFUNCTION("""COMPUTED_VALUE"""),46080)</f>
        <v>46080</v>
      </c>
      <c r="G284" s="16">
        <f ca="1">IFERROR(__xludf.DUMMYFUNCTION("""COMPUTED_VALUE"""),46042)</f>
        <v>46042</v>
      </c>
      <c r="H284" s="6" t="str">
        <f ca="1">IFERROR(__xludf.DUMMYFUNCTION("""COMPUTED_VALUE"""),"Valencia- Cádiz")</f>
        <v>Valencia- Cádiz</v>
      </c>
      <c r="I284" s="6" t="str">
        <f ca="1">IFERROR(__xludf.DUMMYFUNCTION("""COMPUTED_VALUE"""),"C202612010474530470")</f>
        <v>C202612010474530470</v>
      </c>
      <c r="J284" s="6" t="str">
        <f ca="1">IFERROR(__xludf.DUMMYFUNCTION("""COMPUTED_VALUE"""),"RAFAEL CORTINA UREÑA")</f>
        <v>RAFAEL CORTINA UREÑA</v>
      </c>
      <c r="K284" s="15">
        <f ca="1">IFERROR(__xludf.DUMMYFUNCTION("""COMPUTED_VALUE"""),2)</f>
        <v>2</v>
      </c>
      <c r="L284" s="21">
        <f ca="1">IFERROR(__xludf.DUMMYFUNCTION("""COMPUTED_VALUE"""),4136.36)</f>
        <v>4136.3599999999997</v>
      </c>
      <c r="M284" s="6" t="str">
        <f ca="1">IFERROR(__xludf.DUMMYFUNCTION("""COMPUTED_VALUE"""),"03 ORL")</f>
        <v>03 ORL</v>
      </c>
      <c r="N284" s="6" t="str">
        <f ca="1">IFERROR(__xludf.DUMMYFUNCTION("""COMPUTED_VALUE"""),"06 ORL")</f>
        <v>06 ORL</v>
      </c>
      <c r="O284" s="6" t="str">
        <f ca="1">IFERROR(__xludf.DUMMYFUNCTION("""COMPUTED_VALUE"""),"No recuerda ORL")</f>
        <v>No recuerda ORL</v>
      </c>
      <c r="P284" s="6" t="str">
        <f ca="1">IFERROR(__xludf.DUMMYFUNCTION("""COMPUTED_VALUE"""),"Ramon Ferrando(Valencia)")</f>
        <v>Ramon Ferrando(Valencia)</v>
      </c>
    </row>
    <row r="285" spans="2:16">
      <c r="B285" s="33">
        <f ca="1">IFERROR(__xludf.DUMMYFUNCTION("""COMPUTED_VALUE"""),68)</f>
        <v>68</v>
      </c>
      <c r="C285" s="15">
        <f ca="1">IFERROR(__xludf.DUMMYFUNCTION("""COMPUTED_VALUE"""),2)</f>
        <v>2</v>
      </c>
      <c r="D285" s="6" t="str">
        <f ca="1">IFERROR(__xludf.DUMMYFUNCTION("""COMPUTED_VALUE"""),"NO")</f>
        <v>NO</v>
      </c>
      <c r="E285" s="6" t="str">
        <f ca="1">IFERROR(__xludf.DUMMYFUNCTION("""COMPUTED_VALUE"""),"Toledo")</f>
        <v>Toledo</v>
      </c>
      <c r="F285" s="16">
        <f ca="1">IFERROR(__xludf.DUMMYFUNCTION("""COMPUTED_VALUE"""),46080)</f>
        <v>46080</v>
      </c>
      <c r="G285" s="16">
        <f ca="1">IFERROR(__xludf.DUMMYFUNCTION("""COMPUTED_VALUE"""),46041)</f>
        <v>46041</v>
      </c>
      <c r="H285" s="6" t="str">
        <f ca="1">IFERROR(__xludf.DUMMYFUNCTION("""COMPUTED_VALUE"""),"Toledo")</f>
        <v>Toledo</v>
      </c>
      <c r="I285" s="6" t="str">
        <f ca="1">IFERROR(__xludf.DUMMYFUNCTION("""COMPUTED_VALUE"""),"C202611910505946252")</f>
        <v>C202611910505946252</v>
      </c>
      <c r="J285" s="6" t="str">
        <f ca="1">IFERROR(__xludf.DUMMYFUNCTION("""COMPUTED_VALUE"""),"Maria Milagros Sanchez Maestre")</f>
        <v>Maria Milagros Sanchez Maestre</v>
      </c>
      <c r="K285" s="15">
        <f ca="1">IFERROR(__xludf.DUMMYFUNCTION("""COMPUTED_VALUE"""),2)</f>
        <v>2</v>
      </c>
      <c r="L285" s="21">
        <f ca="1">IFERROR(__xludf.DUMMYFUNCTION("""COMPUTED_VALUE"""),2718.18)</f>
        <v>2718.18</v>
      </c>
      <c r="M285" s="6" t="str">
        <f ca="1">IFERROR(__xludf.DUMMYFUNCTION("""COMPUTED_VALUE"""),"03 ORL")</f>
        <v>03 ORL</v>
      </c>
      <c r="N285" s="6" t="str">
        <f ca="1">IFERROR(__xludf.DUMMYFUNCTION("""COMPUTED_VALUE"""),"06 ORL")</f>
        <v>06 ORL</v>
      </c>
      <c r="O285" s="6" t="str">
        <f ca="1">IFERROR(__xludf.DUMMYFUNCTION("""COMPUTED_VALUE"""),"Dr, Jonathan Esteban Sánchez")</f>
        <v>Dr, Jonathan Esteban Sánchez</v>
      </c>
      <c r="P285" s="6" t="str">
        <f ca="1">IFERROR(__xludf.DUMMYFUNCTION("""COMPUTED_VALUE"""),"Maika Blázquez (Madrid)")</f>
        <v>Maika Blázquez (Madrid)</v>
      </c>
    </row>
    <row r="286" spans="2:16">
      <c r="B286" s="33"/>
      <c r="C286" s="15">
        <f ca="1">IFERROR(__xludf.DUMMYFUNCTION("""COMPUTED_VALUE"""),3)</f>
        <v>3</v>
      </c>
      <c r="D286" s="6" t="str">
        <f ca="1">IFERROR(__xludf.DUMMYFUNCTION("""COMPUTED_VALUE"""),"NO")</f>
        <v>NO</v>
      </c>
      <c r="E286" s="6" t="str">
        <f ca="1">IFERROR(__xludf.DUMMYFUNCTION("""COMPUTED_VALUE"""),"Sevilla- Ciencias")</f>
        <v>Sevilla- Ciencias</v>
      </c>
      <c r="F286" s="16"/>
      <c r="G286" s="16">
        <f ca="1">IFERROR(__xludf.DUMMYFUNCTION("""COMPUTED_VALUE"""),46112)</f>
        <v>46112</v>
      </c>
      <c r="H286" s="6" t="str">
        <f ca="1">IFERROR(__xludf.DUMMYFUNCTION("""COMPUTED_VALUE"""),"Sevilla Este")</f>
        <v>Sevilla Este</v>
      </c>
      <c r="I286" s="6" t="str">
        <f ca="1">IFERROR(__xludf.DUMMYFUNCTION("""COMPUTED_VALUE"""),"C202622115532416084")</f>
        <v>C202622115532416084</v>
      </c>
      <c r="J286" s="6" t="str">
        <f ca="1">IFERROR(__xludf.DUMMYFUNCTION("""COMPUTED_VALUE"""),"Carmen Flores Atanet")</f>
        <v>Carmen Flores Atanet</v>
      </c>
      <c r="K286" s="15">
        <f ca="1">IFERROR(__xludf.DUMMYFUNCTION("""COMPUTED_VALUE"""),2)</f>
        <v>2</v>
      </c>
      <c r="L286" s="21">
        <f ca="1">IFERROR(__xludf.DUMMYFUNCTION("""COMPUTED_VALUE"""),3632)</f>
        <v>3632</v>
      </c>
      <c r="M286" s="6" t="str">
        <f ca="1">IFERROR(__xludf.DUMMYFUNCTION("""COMPUTED_VALUE"""),"03 ORL")</f>
        <v>03 ORL</v>
      </c>
      <c r="N286" s="6" t="str">
        <f ca="1">IFERROR(__xludf.DUMMYFUNCTION("""COMPUTED_VALUE"""),"06 ORL")</f>
        <v>06 ORL</v>
      </c>
      <c r="O286" s="6" t="str">
        <f ca="1">IFERROR(__xludf.DUMMYFUNCTION("""COMPUTED_VALUE"""),"Dr, Juan Pedro Benaixa")</f>
        <v>Dr, Juan Pedro Benaixa</v>
      </c>
      <c r="P286" s="6" t="str">
        <f ca="1">IFERROR(__xludf.DUMMYFUNCTION("""COMPUTED_VALUE"""),"Luis Alberto Rodríguez (Andalucía y Badajoz)")</f>
        <v>Luis Alberto Rodríguez (Andalucía y Badajoz)</v>
      </c>
    </row>
    <row r="287" spans="2:16">
      <c r="B287" s="33"/>
      <c r="C287" s="15">
        <f ca="1">IFERROR(__xludf.DUMMYFUNCTION("""COMPUTED_VALUE"""),3)</f>
        <v>3</v>
      </c>
      <c r="D287" s="6" t="str">
        <f ca="1">IFERROR(__xludf.DUMMYFUNCTION("""COMPUTED_VALUE"""),"NO")</f>
        <v>NO</v>
      </c>
      <c r="E287" s="6" t="str">
        <f ca="1">IFERROR(__xludf.DUMMYFUNCTION("""COMPUTED_VALUE"""),"Sevilla- Ciencias")</f>
        <v>Sevilla- Ciencias</v>
      </c>
      <c r="F287" s="16"/>
      <c r="G287" s="16">
        <f ca="1">IFERROR(__xludf.DUMMYFUNCTION("""COMPUTED_VALUE"""),46112)</f>
        <v>46112</v>
      </c>
      <c r="H287" s="6" t="str">
        <f ca="1">IFERROR(__xludf.DUMMYFUNCTION("""COMPUTED_VALUE"""),"Sevilla Este")</f>
        <v>Sevilla Este</v>
      </c>
      <c r="I287" s="6" t="str">
        <f ca="1">IFERROR(__xludf.DUMMYFUNCTION("""COMPUTED_VALUE"""),"C2026221849556447")</f>
        <v>C2026221849556447</v>
      </c>
      <c r="J287" s="6" t="str">
        <f ca="1">IFERROR(__xludf.DUMMYFUNCTION("""COMPUTED_VALUE"""),"Carmen Quiros Cachero")</f>
        <v>Carmen Quiros Cachero</v>
      </c>
      <c r="K287" s="15">
        <f ca="1">IFERROR(__xludf.DUMMYFUNCTION("""COMPUTED_VALUE"""),2)</f>
        <v>2</v>
      </c>
      <c r="L287" s="21">
        <f ca="1">IFERROR(__xludf.DUMMYFUNCTION("""COMPUTED_VALUE"""),3632)</f>
        <v>3632</v>
      </c>
      <c r="M287" s="6" t="str">
        <f ca="1">IFERROR(__xludf.DUMMYFUNCTION("""COMPUTED_VALUE"""),"03 ORL")</f>
        <v>03 ORL</v>
      </c>
      <c r="N287" s="6" t="str">
        <f ca="1">IFERROR(__xludf.DUMMYFUNCTION("""COMPUTED_VALUE"""),"06 ORL")</f>
        <v>06 ORL</v>
      </c>
      <c r="O287" s="6" t="str">
        <f ca="1">IFERROR(__xludf.DUMMYFUNCTION("""COMPUTED_VALUE"""),"Dr. María Del Pilar Gómez Tapiador")</f>
        <v>Dr. María Del Pilar Gómez Tapiador</v>
      </c>
      <c r="P287" s="6" t="str">
        <f ca="1">IFERROR(__xludf.DUMMYFUNCTION("""COMPUTED_VALUE"""),"Luis Alberto Rodríguez (Andalucía y Badajoz)")</f>
        <v>Luis Alberto Rodríguez (Andalucía y Badajoz)</v>
      </c>
    </row>
    <row r="288" spans="2:16">
      <c r="B288" s="33">
        <f ca="1">IFERROR(__xludf.DUMMYFUNCTION("""COMPUTED_VALUE"""),2026)</f>
        <v>2026</v>
      </c>
      <c r="C288" s="15">
        <f ca="1">IFERROR(__xludf.DUMMYFUNCTION("""COMPUTED_VALUE"""),3)</f>
        <v>3</v>
      </c>
      <c r="D288" s="6" t="str">
        <f ca="1">IFERROR(__xludf.DUMMYFUNCTION("""COMPUTED_VALUE"""),"NO")</f>
        <v>NO</v>
      </c>
      <c r="E288" s="6" t="str">
        <f ca="1">IFERROR(__xludf.DUMMYFUNCTION("""COMPUTED_VALUE"""),"Cáceres")</f>
        <v>Cáceres</v>
      </c>
      <c r="F288" s="16">
        <f ca="1">IFERROR(__xludf.DUMMYFUNCTION("""COMPUTED_VALUE"""),46083)</f>
        <v>46083</v>
      </c>
      <c r="G288" s="16">
        <f ca="1">IFERROR(__xludf.DUMMYFUNCTION("""COMPUTED_VALUE"""),46048)</f>
        <v>46048</v>
      </c>
      <c r="H288" s="6" t="str">
        <f ca="1">IFERROR(__xludf.DUMMYFUNCTION("""COMPUTED_VALUE"""),"Cáceres")</f>
        <v>Cáceres</v>
      </c>
      <c r="I288" s="6" t="str">
        <f ca="1">IFERROR(__xludf.DUMMYFUNCTION("""COMPUTED_VALUE"""),"C202612611314553565")</f>
        <v>C202612611314553565</v>
      </c>
      <c r="J288" s="6" t="str">
        <f ca="1">IFERROR(__xludf.DUMMYFUNCTION("""COMPUTED_VALUE"""),"MARIA GUADALUPE MORA PEÑA")</f>
        <v>MARIA GUADALUPE MORA PEÑA</v>
      </c>
      <c r="K288" s="15">
        <f ca="1">IFERROR(__xludf.DUMMYFUNCTION("""COMPUTED_VALUE"""),2)</f>
        <v>2</v>
      </c>
      <c r="L288" s="21">
        <f ca="1">IFERROR(__xludf.DUMMYFUNCTION("""COMPUTED_VALUE"""),3668.18)</f>
        <v>3668.18</v>
      </c>
      <c r="M288" s="6" t="str">
        <f ca="1">IFERROR(__xludf.DUMMYFUNCTION("""COMPUTED_VALUE"""),"03 ORL")</f>
        <v>03 ORL</v>
      </c>
      <c r="N288" s="6" t="str">
        <f ca="1">IFERROR(__xludf.DUMMYFUNCTION("""COMPUTED_VALUE"""),"06 ORL")</f>
        <v>06 ORL</v>
      </c>
      <c r="O288" s="6" t="str">
        <f ca="1">IFERROR(__xludf.DUMMYFUNCTION("""COMPUTED_VALUE"""),"Dr, Manuel Martí Peña")</f>
        <v>Dr, Manuel Martí Peña</v>
      </c>
      <c r="P288" s="6" t="str">
        <f ca="1">IFERROR(__xludf.DUMMYFUNCTION("""COMPUTED_VALUE"""),"Lisandro Russian (Madrid, Cáceres, Toledo, Talavera y Logroño)")</f>
        <v>Lisandro Russian (Madrid, Cáceres, Toledo, Talavera y Logroño)</v>
      </c>
    </row>
    <row r="289" spans="2:16">
      <c r="B289" s="33">
        <f ca="1">IFERROR(__xludf.DUMMYFUNCTION("""COMPUTED_VALUE"""),2026)</f>
        <v>2026</v>
      </c>
      <c r="C289" s="15">
        <f ca="1">IFERROR(__xludf.DUMMYFUNCTION("""COMPUTED_VALUE"""),3)</f>
        <v>3</v>
      </c>
      <c r="D289" s="6" t="str">
        <f ca="1">IFERROR(__xludf.DUMMYFUNCTION("""COMPUTED_VALUE"""),"NO")</f>
        <v>NO</v>
      </c>
      <c r="E289" s="6" t="str">
        <f ca="1">IFERROR(__xludf.DUMMYFUNCTION("""COMPUTED_VALUE"""),"Cáceres")</f>
        <v>Cáceres</v>
      </c>
      <c r="F289" s="16">
        <f ca="1">IFERROR(__xludf.DUMMYFUNCTION("""COMPUTED_VALUE"""),46083)</f>
        <v>46083</v>
      </c>
      <c r="G289" s="16">
        <f ca="1">IFERROR(__xludf.DUMMYFUNCTION("""COMPUTED_VALUE"""),46055)</f>
        <v>46055</v>
      </c>
      <c r="H289" s="6" t="str">
        <f ca="1">IFERROR(__xludf.DUMMYFUNCTION("""COMPUTED_VALUE"""),"Cáceres")</f>
        <v>Cáceres</v>
      </c>
      <c r="I289" s="6" t="str">
        <f ca="1">IFERROR(__xludf.DUMMYFUNCTION("""COMPUTED_VALUE"""),"C20262293320029948")</f>
        <v>C20262293320029948</v>
      </c>
      <c r="J289" s="6" t="str">
        <f ca="1">IFERROR(__xludf.DUMMYFUNCTION("""COMPUTED_VALUE"""),"FELIPE MENDOZA PIZARRO")</f>
        <v>FELIPE MENDOZA PIZARRO</v>
      </c>
      <c r="K289" s="15">
        <f ca="1">IFERROR(__xludf.DUMMYFUNCTION("""COMPUTED_VALUE"""),2)</f>
        <v>2</v>
      </c>
      <c r="L289" s="21">
        <f ca="1">IFERROR(__xludf.DUMMYFUNCTION("""COMPUTED_VALUE"""),3940.91)</f>
        <v>3940.91</v>
      </c>
      <c r="M289" s="6" t="str">
        <f ca="1">IFERROR(__xludf.DUMMYFUNCTION("""COMPUTED_VALUE"""),"03 ORL")</f>
        <v>03 ORL</v>
      </c>
      <c r="N289" s="6" t="str">
        <f ca="1">IFERROR(__xludf.DUMMYFUNCTION("""COMPUTED_VALUE"""),"06 ORL")</f>
        <v>06 ORL</v>
      </c>
      <c r="O289" s="6" t="str">
        <f ca="1">IFERROR(__xludf.DUMMYFUNCTION("""COMPUTED_VALUE"""),"Dra, Daniela Carolina Laguado Bulgheroni")</f>
        <v>Dra, Daniela Carolina Laguado Bulgheroni</v>
      </c>
      <c r="P289" s="6" t="str">
        <f ca="1">IFERROR(__xludf.DUMMYFUNCTION("""COMPUTED_VALUE"""),"Lisandro Russian (Madrid, Cáceres, Toledo, Talavera y Logroño)")</f>
        <v>Lisandro Russian (Madrid, Cáceres, Toledo, Talavera y Logroño)</v>
      </c>
    </row>
    <row r="290" spans="2:16">
      <c r="B290" s="33">
        <f ca="1">IFERROR(__xludf.DUMMYFUNCTION("""COMPUTED_VALUE"""),2026)</f>
        <v>2026</v>
      </c>
      <c r="C290" s="15">
        <f ca="1">IFERROR(__xludf.DUMMYFUNCTION("""COMPUTED_VALUE"""),3)</f>
        <v>3</v>
      </c>
      <c r="D290" s="6" t="str">
        <f ca="1">IFERROR(__xludf.DUMMYFUNCTION("""COMPUTED_VALUE"""),"NO")</f>
        <v>NO</v>
      </c>
      <c r="E290" s="6" t="str">
        <f ca="1">IFERROR(__xludf.DUMMYFUNCTION("""COMPUTED_VALUE"""),"Madrid- Monforte de Lemos")</f>
        <v>Madrid- Monforte de Lemos</v>
      </c>
      <c r="F290" s="16">
        <f ca="1">IFERROR(__xludf.DUMMYFUNCTION("""COMPUTED_VALUE"""),46083)</f>
        <v>46083</v>
      </c>
      <c r="G290" s="16">
        <f ca="1">IFERROR(__xludf.DUMMYFUNCTION("""COMPUTED_VALUE"""),46030)</f>
        <v>46030</v>
      </c>
      <c r="H290" s="6" t="str">
        <f ca="1">IFERROR(__xludf.DUMMYFUNCTION("""COMPUTED_VALUE"""),"La Vaguada")</f>
        <v>La Vaguada</v>
      </c>
      <c r="I290" s="6" t="str">
        <f ca="1">IFERROR(__xludf.DUMMYFUNCTION("""COMPUTED_VALUE"""),"C202618105216372686")</f>
        <v>C202618105216372686</v>
      </c>
      <c r="J290" s="6" t="str">
        <f ca="1">IFERROR(__xludf.DUMMYFUNCTION("""COMPUTED_VALUE"""),"FREDY HERNANDEZ PAQUIRACHI")</f>
        <v>FREDY HERNANDEZ PAQUIRACHI</v>
      </c>
      <c r="K290" s="15">
        <f ca="1">IFERROR(__xludf.DUMMYFUNCTION("""COMPUTED_VALUE"""),1)</f>
        <v>1</v>
      </c>
      <c r="L290" s="21">
        <f ca="1">IFERROR(__xludf.DUMMYFUNCTION("""COMPUTED_VALUE"""),1631.82)</f>
        <v>1631.82</v>
      </c>
      <c r="M290" s="6" t="str">
        <f ca="1">IFERROR(__xludf.DUMMYFUNCTION("""COMPUTED_VALUE"""),"03 ORL")</f>
        <v>03 ORL</v>
      </c>
      <c r="N290" s="6" t="str">
        <f ca="1">IFERROR(__xludf.DUMMYFUNCTION("""COMPUTED_VALUE"""),"06 ORL")</f>
        <v>06 ORL</v>
      </c>
      <c r="O290" s="6" t="str">
        <f ca="1">IFERROR(__xludf.DUMMYFUNCTION("""COMPUTED_VALUE"""),"Dra, Victoria García Peces")</f>
        <v>Dra, Victoria García Peces</v>
      </c>
      <c r="P290" s="6" t="str">
        <f ca="1">IFERROR(__xludf.DUMMYFUNCTION("""COMPUTED_VALUE"""),"Maika Blázquez (Madrid)")</f>
        <v>Maika Blázquez (Madrid)</v>
      </c>
    </row>
    <row r="291" spans="2:16">
      <c r="B291" s="33">
        <f ca="1">IFERROR(__xludf.DUMMYFUNCTION("""COMPUTED_VALUE"""),2026)</f>
        <v>2026</v>
      </c>
      <c r="C291" s="15">
        <f ca="1">IFERROR(__xludf.DUMMYFUNCTION("""COMPUTED_VALUE"""),3)</f>
        <v>3</v>
      </c>
      <c r="D291" s="6" t="str">
        <f ca="1">IFERROR(__xludf.DUMMYFUNCTION("""COMPUTED_VALUE"""),"NO")</f>
        <v>NO</v>
      </c>
      <c r="E291" s="6" t="str">
        <f ca="1">IFERROR(__xludf.DUMMYFUNCTION("""COMPUTED_VALUE"""),"Madrid- La Oca")</f>
        <v>Madrid- La Oca</v>
      </c>
      <c r="F291" s="16">
        <f ca="1">IFERROR(__xludf.DUMMYFUNCTION("""COMPUTED_VALUE"""),46083)</f>
        <v>46083</v>
      </c>
      <c r="G291" s="16">
        <f ca="1">IFERROR(__xludf.DUMMYFUNCTION("""COMPUTED_VALUE"""),46041)</f>
        <v>46041</v>
      </c>
      <c r="H291" s="6" t="str">
        <f ca="1">IFERROR(__xludf.DUMMYFUNCTION("""COMPUTED_VALUE"""),"La Oca")</f>
        <v>La Oca</v>
      </c>
      <c r="I291" s="6" t="str">
        <f ca="1">IFERROR(__xludf.DUMMYFUNCTION("""COMPUTED_VALUE"""),"C202611916431516801")</f>
        <v>C202611916431516801</v>
      </c>
      <c r="J291" s="6" t="str">
        <f ca="1">IFERROR(__xludf.DUMMYFUNCTION("""COMPUTED_VALUE"""),"JOSE MARIA DIEGO CASTELAO ALBELA")</f>
        <v>JOSE MARIA DIEGO CASTELAO ALBELA</v>
      </c>
      <c r="K291" s="15">
        <f ca="1">IFERROR(__xludf.DUMMYFUNCTION("""COMPUTED_VALUE"""),2)</f>
        <v>2</v>
      </c>
      <c r="L291" s="21">
        <f ca="1">IFERROR(__xludf.DUMMYFUNCTION("""COMPUTED_VALUE"""),4136.36)</f>
        <v>4136.3599999999997</v>
      </c>
      <c r="M291" s="6" t="str">
        <f ca="1">IFERROR(__xludf.DUMMYFUNCTION("""COMPUTED_VALUE"""),"03 ORL")</f>
        <v>03 ORL</v>
      </c>
      <c r="N291" s="6" t="str">
        <f ca="1">IFERROR(__xludf.DUMMYFUNCTION("""COMPUTED_VALUE"""),"22 AUDIOMETRIA CLINICA")</f>
        <v>22 AUDIOMETRIA CLINICA</v>
      </c>
      <c r="O291" s="6" t="str">
        <f ca="1">IFERROR(__xludf.DUMMYFUNCTION("""COMPUTED_VALUE"""),"Dra, Laura Ruano De Pablo")</f>
        <v>Dra, Laura Ruano De Pablo</v>
      </c>
      <c r="P291" s="6" t="str">
        <f ca="1">IFERROR(__xludf.DUMMYFUNCTION("""COMPUTED_VALUE"""),"Maika Blázquez (Madrid)")</f>
        <v>Maika Blázquez (Madrid)</v>
      </c>
    </row>
    <row r="292" spans="2:16">
      <c r="B292" s="33">
        <f ca="1">IFERROR(__xludf.DUMMYFUNCTION("""COMPUTED_VALUE"""),2026)</f>
        <v>2026</v>
      </c>
      <c r="C292" s="15">
        <f ca="1">IFERROR(__xludf.DUMMYFUNCTION("""COMPUTED_VALUE"""),3)</f>
        <v>3</v>
      </c>
      <c r="D292" s="6" t="str">
        <f ca="1">IFERROR(__xludf.DUMMYFUNCTION("""COMPUTED_VALUE"""),"NO")</f>
        <v>NO</v>
      </c>
      <c r="E292" s="6" t="str">
        <f ca="1">IFERROR(__xludf.DUMMYFUNCTION("""COMPUTED_VALUE"""),"Ponferrada")</f>
        <v>Ponferrada</v>
      </c>
      <c r="F292" s="16">
        <f ca="1">IFERROR(__xludf.DUMMYFUNCTION("""COMPUTED_VALUE"""),46083)</f>
        <v>46083</v>
      </c>
      <c r="G292" s="16">
        <f ca="1">IFERROR(__xludf.DUMMYFUNCTION("""COMPUTED_VALUE"""),45971)</f>
        <v>45971</v>
      </c>
      <c r="H292" s="6" t="str">
        <f ca="1">IFERROR(__xludf.DUMMYFUNCTION("""COMPUTED_VALUE"""),"Ponferrada")</f>
        <v>Ponferrada</v>
      </c>
      <c r="I292" s="6" t="str">
        <f ca="1">IFERROR(__xludf.DUMMYFUNCTION("""COMPUTED_VALUE"""),"PON-1022")</f>
        <v>PON-1022</v>
      </c>
      <c r="J292" s="6" t="str">
        <f ca="1">IFERROR(__xludf.DUMMYFUNCTION("""COMPUTED_VALUE"""),"MARIA PILAR RODRIGUEZ FERNANDEZ")</f>
        <v>MARIA PILAR RODRIGUEZ FERNANDEZ</v>
      </c>
      <c r="K292" s="15">
        <f ca="1">IFERROR(__xludf.DUMMYFUNCTION("""COMPUTED_VALUE"""),2)</f>
        <v>2</v>
      </c>
      <c r="L292" s="21">
        <f ca="1">IFERROR(__xludf.DUMMYFUNCTION("""COMPUTED_VALUE"""),3909.09)</f>
        <v>3909.09</v>
      </c>
      <c r="M292" s="6" t="str">
        <f ca="1">IFERROR(__xludf.DUMMYFUNCTION("""COMPUTED_VALUE"""),"03 ORL")</f>
        <v>03 ORL</v>
      </c>
      <c r="N292" s="6" t="str">
        <f ca="1">IFERROR(__xludf.DUMMYFUNCTION("""COMPUTED_VALUE"""),"06 ORL")</f>
        <v>06 ORL</v>
      </c>
      <c r="O292" s="6" t="str">
        <f ca="1">IFERROR(__xludf.DUMMYFUNCTION("""COMPUTED_VALUE"""),"No recuerda ORL")</f>
        <v>No recuerda ORL</v>
      </c>
      <c r="P292" s="6" t="str">
        <f ca="1">IFERROR(__xludf.DUMMYFUNCTION("""COMPUTED_VALUE"""),"Alberto Moreno (Madrid)")</f>
        <v>Alberto Moreno (Madrid)</v>
      </c>
    </row>
    <row r="293" spans="2:16">
      <c r="B293" s="33">
        <f ca="1">IFERROR(__xludf.DUMMYFUNCTION("""COMPUTED_VALUE"""),2026)</f>
        <v>2026</v>
      </c>
      <c r="C293" s="15">
        <f ca="1">IFERROR(__xludf.DUMMYFUNCTION("""COMPUTED_VALUE"""),3)</f>
        <v>3</v>
      </c>
      <c r="D293" s="6" t="str">
        <f ca="1">IFERROR(__xludf.DUMMYFUNCTION("""COMPUTED_VALUE"""),"NO")</f>
        <v>NO</v>
      </c>
      <c r="E293" s="6" t="str">
        <f ca="1">IFERROR(__xludf.DUMMYFUNCTION("""COMPUTED_VALUE"""),"Madrid- Canillas")</f>
        <v>Madrid- Canillas</v>
      </c>
      <c r="F293" s="16">
        <f ca="1">IFERROR(__xludf.DUMMYFUNCTION("""COMPUTED_VALUE"""),46083)</f>
        <v>46083</v>
      </c>
      <c r="G293" s="16">
        <f ca="1">IFERROR(__xludf.DUMMYFUNCTION("""COMPUTED_VALUE"""),46056)</f>
        <v>46056</v>
      </c>
      <c r="H293" s="6" t="str">
        <f ca="1">IFERROR(__xludf.DUMMYFUNCTION("""COMPUTED_VALUE"""),"Canillas")</f>
        <v>Canillas</v>
      </c>
      <c r="I293" s="6" t="str">
        <f ca="1">IFERROR(__xludf.DUMMYFUNCTION("""COMPUTED_VALUE"""),"C20262311251509611")</f>
        <v>C20262311251509611</v>
      </c>
      <c r="J293" s="6" t="str">
        <f ca="1">IFERROR(__xludf.DUMMYFUNCTION("""COMPUTED_VALUE"""),"FELIX DE LA FUENTE SANTERO")</f>
        <v>FELIX DE LA FUENTE SANTERO</v>
      </c>
      <c r="K293" s="15">
        <f ca="1">IFERROR(__xludf.DUMMYFUNCTION("""COMPUTED_VALUE"""),2)</f>
        <v>2</v>
      </c>
      <c r="L293" s="21">
        <f ca="1">IFERROR(__xludf.DUMMYFUNCTION("""COMPUTED_VALUE"""),2718.18)</f>
        <v>2718.18</v>
      </c>
      <c r="M293" s="6" t="str">
        <f ca="1">IFERROR(__xludf.DUMMYFUNCTION("""COMPUTED_VALUE"""),"03 ORL")</f>
        <v>03 ORL</v>
      </c>
      <c r="N293" s="6" t="str">
        <f ca="1">IFERROR(__xludf.DUMMYFUNCTION("""COMPUTED_VALUE"""),"06 ORL")</f>
        <v>06 ORL</v>
      </c>
      <c r="O293" s="6" t="str">
        <f ca="1">IFERROR(__xludf.DUMMYFUNCTION("""COMPUTED_VALUE"""),"Dr, Julio López Moya")</f>
        <v>Dr, Julio López Moya</v>
      </c>
      <c r="P293" s="6" t="str">
        <f ca="1">IFERROR(__xludf.DUMMYFUNCTION("""COMPUTED_VALUE"""),"Maika Blázquez (Madrid)")</f>
        <v>Maika Blázquez (Madrid)</v>
      </c>
    </row>
    <row r="294" spans="2:16">
      <c r="B294" s="33">
        <f ca="1">IFERROR(__xludf.DUMMYFUNCTION("""COMPUTED_VALUE"""),2026)</f>
        <v>2026</v>
      </c>
      <c r="C294" s="15">
        <f ca="1">IFERROR(__xludf.DUMMYFUNCTION("""COMPUTED_VALUE"""),3)</f>
        <v>3</v>
      </c>
      <c r="D294" s="6" t="str">
        <f ca="1">IFERROR(__xludf.DUMMYFUNCTION("""COMPUTED_VALUE"""),"NO")</f>
        <v>NO</v>
      </c>
      <c r="E294" s="6" t="str">
        <f ca="1">IFERROR(__xludf.DUMMYFUNCTION("""COMPUTED_VALUE"""),"Sevilla- Montoto")</f>
        <v>Sevilla- Montoto</v>
      </c>
      <c r="F294" s="16">
        <f ca="1">IFERROR(__xludf.DUMMYFUNCTION("""COMPUTED_VALUE"""),46083)</f>
        <v>46083</v>
      </c>
      <c r="G294" s="16">
        <f ca="1">IFERROR(__xludf.DUMMYFUNCTION("""COMPUTED_VALUE"""),46021)</f>
        <v>46021</v>
      </c>
      <c r="H294" s="6" t="str">
        <f ca="1">IFERROR(__xludf.DUMMYFUNCTION("""COMPUTED_VALUE"""),"Montoto")</f>
        <v>Montoto</v>
      </c>
      <c r="I294" s="6" t="str">
        <f ca="1">IFERROR(__xludf.DUMMYFUNCTION("""COMPUTED_VALUE"""),"C202512308404010215")</f>
        <v>C202512308404010215</v>
      </c>
      <c r="J294" s="6" t="str">
        <f ca="1">IFERROR(__xludf.DUMMYFUNCTION("""COMPUTED_VALUE"""),"ROSARIO DORADO JIMENEZ")</f>
        <v>ROSARIO DORADO JIMENEZ</v>
      </c>
      <c r="K294" s="15">
        <f ca="1">IFERROR(__xludf.DUMMYFUNCTION("""COMPUTED_VALUE"""),2)</f>
        <v>2</v>
      </c>
      <c r="L294" s="21">
        <f ca="1">IFERROR(__xludf.DUMMYFUNCTION("""COMPUTED_VALUE"""),2174.55)</f>
        <v>2174.5500000000002</v>
      </c>
      <c r="M294" s="6" t="str">
        <f ca="1">IFERROR(__xludf.DUMMYFUNCTION("""COMPUTED_VALUE"""),"03 ORL")</f>
        <v>03 ORL</v>
      </c>
      <c r="N294" s="6" t="str">
        <f ca="1">IFERROR(__xludf.DUMMYFUNCTION("""COMPUTED_VALUE"""),"06 ORL")</f>
        <v>06 ORL</v>
      </c>
      <c r="O294" s="6" t="str">
        <f ca="1">IFERROR(__xludf.DUMMYFUNCTION("""COMPUTED_VALUE"""),"Dr, Javier García Domínguez")</f>
        <v>Dr, Javier García Domínguez</v>
      </c>
      <c r="P294" s="6" t="str">
        <f ca="1">IFERROR(__xludf.DUMMYFUNCTION("""COMPUTED_VALUE"""),"Maika Blázquez (Madrid)")</f>
        <v>Maika Blázquez (Madrid)</v>
      </c>
    </row>
    <row r="295" spans="2:16">
      <c r="B295" s="33">
        <f ca="1">IFERROR(__xludf.DUMMYFUNCTION("""COMPUTED_VALUE"""),2026)</f>
        <v>2026</v>
      </c>
      <c r="C295" s="15">
        <f ca="1">IFERROR(__xludf.DUMMYFUNCTION("""COMPUTED_VALUE"""),3)</f>
        <v>3</v>
      </c>
      <c r="D295" s="6" t="str">
        <f ca="1">IFERROR(__xludf.DUMMYFUNCTION("""COMPUTED_VALUE"""),"NO")</f>
        <v>NO</v>
      </c>
      <c r="E295" s="6" t="str">
        <f ca="1">IFERROR(__xludf.DUMMYFUNCTION("""COMPUTED_VALUE"""),"Ponferrada")</f>
        <v>Ponferrada</v>
      </c>
      <c r="F295" s="16">
        <f ca="1">IFERROR(__xludf.DUMMYFUNCTION("""COMPUTED_VALUE"""),46084)</f>
        <v>46084</v>
      </c>
      <c r="G295" s="16">
        <f ca="1">IFERROR(__xludf.DUMMYFUNCTION("""COMPUTED_VALUE"""),45967)</f>
        <v>45967</v>
      </c>
      <c r="H295" s="6" t="str">
        <f ca="1">IFERROR(__xludf.DUMMYFUNCTION("""COMPUTED_VALUE"""),"Ponferrada")</f>
        <v>Ponferrada</v>
      </c>
      <c r="I295" s="6" t="str">
        <f ca="1">IFERROR(__xludf.DUMMYFUNCTION("""COMPUTED_VALUE"""),"PON-1019")</f>
        <v>PON-1019</v>
      </c>
      <c r="J295" s="6" t="str">
        <f ca="1">IFERROR(__xludf.DUMMYFUNCTION("""COMPUTED_VALUE"""),"RICARDO PARRADO SANTOS")</f>
        <v>RICARDO PARRADO SANTOS</v>
      </c>
      <c r="K295" s="15">
        <f ca="1">IFERROR(__xludf.DUMMYFUNCTION("""COMPUTED_VALUE"""),2)</f>
        <v>2</v>
      </c>
      <c r="L295" s="21">
        <f ca="1">IFERROR(__xludf.DUMMYFUNCTION("""COMPUTED_VALUE"""),3909.09)</f>
        <v>3909.09</v>
      </c>
      <c r="M295" s="6" t="str">
        <f ca="1">IFERROR(__xludf.DUMMYFUNCTION("""COMPUTED_VALUE"""),"03 ORL")</f>
        <v>03 ORL</v>
      </c>
      <c r="N295" s="6" t="str">
        <f ca="1">IFERROR(__xludf.DUMMYFUNCTION("""COMPUTED_VALUE"""),"06 ORL")</f>
        <v>06 ORL</v>
      </c>
      <c r="O295" s="6" t="str">
        <f ca="1">IFERROR(__xludf.DUMMYFUNCTION("""COMPUTED_VALUE"""),"Dra, Mónica Granda Rosales")</f>
        <v>Dra, Mónica Granda Rosales</v>
      </c>
      <c r="P295" s="6" t="str">
        <f ca="1">IFERROR(__xludf.DUMMYFUNCTION("""COMPUTED_VALUE"""),"Alberto Moreno (Madrid)")</f>
        <v>Alberto Moreno (Madrid)</v>
      </c>
    </row>
    <row r="296" spans="2:16">
      <c r="B296" s="33">
        <f ca="1">IFERROR(__xludf.DUMMYFUNCTION("""COMPUTED_VALUE"""),2026)</f>
        <v>2026</v>
      </c>
      <c r="C296" s="15">
        <f ca="1">IFERROR(__xludf.DUMMYFUNCTION("""COMPUTED_VALUE"""),3)</f>
        <v>3</v>
      </c>
      <c r="D296" s="6" t="str">
        <f ca="1">IFERROR(__xludf.DUMMYFUNCTION("""COMPUTED_VALUE"""),"NO")</f>
        <v>NO</v>
      </c>
      <c r="E296" s="6" t="str">
        <f ca="1">IFERROR(__xludf.DUMMYFUNCTION("""COMPUTED_VALUE"""),"Cáceres")</f>
        <v>Cáceres</v>
      </c>
      <c r="F296" s="16">
        <f ca="1">IFERROR(__xludf.DUMMYFUNCTION("""COMPUTED_VALUE"""),46084)</f>
        <v>46084</v>
      </c>
      <c r="G296" s="16">
        <f ca="1">IFERROR(__xludf.DUMMYFUNCTION("""COMPUTED_VALUE"""),46051)</f>
        <v>46051</v>
      </c>
      <c r="H296" s="6" t="str">
        <f ca="1">IFERROR(__xludf.DUMMYFUNCTION("""COMPUTED_VALUE"""),"Cáceres")</f>
        <v>Cáceres</v>
      </c>
      <c r="I296" s="6" t="str">
        <f ca="1">IFERROR(__xludf.DUMMYFUNCTION("""COMPUTED_VALUE"""),"C202612912533959944")</f>
        <v>C202612912533959944</v>
      </c>
      <c r="J296" s="6" t="str">
        <f ca="1">IFERROR(__xludf.DUMMYFUNCTION("""COMPUTED_VALUE"""),"CARMEN ROLO PEREZ")</f>
        <v>CARMEN ROLO PEREZ</v>
      </c>
      <c r="K296" s="15">
        <f ca="1">IFERROR(__xludf.DUMMYFUNCTION("""COMPUTED_VALUE"""),2)</f>
        <v>2</v>
      </c>
      <c r="L296" s="21">
        <f ca="1">IFERROR(__xludf.DUMMYFUNCTION("""COMPUTED_VALUE"""),4818.18)</f>
        <v>4818.18</v>
      </c>
      <c r="M296" s="6" t="str">
        <f ca="1">IFERROR(__xludf.DUMMYFUNCTION("""COMPUTED_VALUE"""),"03 ORL")</f>
        <v>03 ORL</v>
      </c>
      <c r="N296" s="6" t="str">
        <f ca="1">IFERROR(__xludf.DUMMYFUNCTION("""COMPUTED_VALUE"""),"06 ORL")</f>
        <v>06 ORL</v>
      </c>
      <c r="O296" s="6" t="str">
        <f ca="1">IFERROR(__xludf.DUMMYFUNCTION("""COMPUTED_VALUE"""),"Dra, Marta García Jiménez")</f>
        <v>Dra, Marta García Jiménez</v>
      </c>
      <c r="P296" s="6" t="str">
        <f ca="1">IFERROR(__xludf.DUMMYFUNCTION("""COMPUTED_VALUE"""),"Lisandro Russian (Madrid, Cáceres, Toledo, Talavera y Logroño)")</f>
        <v>Lisandro Russian (Madrid, Cáceres, Toledo, Talavera y Logroño)</v>
      </c>
    </row>
    <row r="297" spans="2:16">
      <c r="B297" s="33">
        <f ca="1">IFERROR(__xludf.DUMMYFUNCTION("""COMPUTED_VALUE"""),2026)</f>
        <v>2026</v>
      </c>
      <c r="C297" s="15">
        <f ca="1">IFERROR(__xludf.DUMMYFUNCTION("""COMPUTED_VALUE"""),3)</f>
        <v>3</v>
      </c>
      <c r="D297" s="6" t="str">
        <f ca="1">IFERROR(__xludf.DUMMYFUNCTION("""COMPUTED_VALUE"""),"NO")</f>
        <v>NO</v>
      </c>
      <c r="E297" s="6" t="str">
        <f ca="1">IFERROR(__xludf.DUMMYFUNCTION("""COMPUTED_VALUE"""),"Cáceres")</f>
        <v>Cáceres</v>
      </c>
      <c r="F297" s="16">
        <f ca="1">IFERROR(__xludf.DUMMYFUNCTION("""COMPUTED_VALUE"""),46084)</f>
        <v>46084</v>
      </c>
      <c r="G297" s="16">
        <f ca="1">IFERROR(__xludf.DUMMYFUNCTION("""COMPUTED_VALUE"""),46049)</f>
        <v>46049</v>
      </c>
      <c r="H297" s="6" t="str">
        <f ca="1">IFERROR(__xludf.DUMMYFUNCTION("""COMPUTED_VALUE"""),"Cáceres")</f>
        <v>Cáceres</v>
      </c>
      <c r="I297" s="6" t="str">
        <f ca="1">IFERROR(__xludf.DUMMYFUNCTION("""COMPUTED_VALUE"""),"C202612713251872039")</f>
        <v>C202612713251872039</v>
      </c>
      <c r="J297" s="6" t="str">
        <f ca="1">IFERROR(__xludf.DUMMYFUNCTION("""COMPUTED_VALUE"""),"LUIS CARABOT ALVAREZ")</f>
        <v>LUIS CARABOT ALVAREZ</v>
      </c>
      <c r="K297" s="15">
        <f ca="1">IFERROR(__xludf.DUMMYFUNCTION("""COMPUTED_VALUE"""),2)</f>
        <v>2</v>
      </c>
      <c r="L297" s="21">
        <f ca="1">IFERROR(__xludf.DUMMYFUNCTION("""COMPUTED_VALUE"""),4990.91)</f>
        <v>4990.91</v>
      </c>
      <c r="M297" s="6" t="str">
        <f ca="1">IFERROR(__xludf.DUMMYFUNCTION("""COMPUTED_VALUE"""),"03 ORL")</f>
        <v>03 ORL</v>
      </c>
      <c r="N297" s="6" t="str">
        <f ca="1">IFERROR(__xludf.DUMMYFUNCTION("""COMPUTED_VALUE"""),"06 ORL")</f>
        <v>06 ORL</v>
      </c>
      <c r="O297" s="6" t="str">
        <f ca="1">IFERROR(__xludf.DUMMYFUNCTION("""COMPUTED_VALUE"""),"Dra, Daniela Carolina Laguado Bulgheroni")</f>
        <v>Dra, Daniela Carolina Laguado Bulgheroni</v>
      </c>
      <c r="P297" s="6" t="str">
        <f ca="1">IFERROR(__xludf.DUMMYFUNCTION("""COMPUTED_VALUE"""),"Lisandro Russian (Madrid, Cáceres, Toledo, Talavera y Logroño)")</f>
        <v>Lisandro Russian (Madrid, Cáceres, Toledo, Talavera y Logroño)</v>
      </c>
    </row>
    <row r="298" spans="2:16">
      <c r="B298" s="33">
        <f ca="1">IFERROR(__xludf.DUMMYFUNCTION("""COMPUTED_VALUE"""),2026)</f>
        <v>2026</v>
      </c>
      <c r="C298" s="15">
        <f ca="1">IFERROR(__xludf.DUMMYFUNCTION("""COMPUTED_VALUE"""),3)</f>
        <v>3</v>
      </c>
      <c r="D298" s="6" t="str">
        <f ca="1">IFERROR(__xludf.DUMMYFUNCTION("""COMPUTED_VALUE"""),"NO")</f>
        <v>NO</v>
      </c>
      <c r="E298" s="6" t="str">
        <f ca="1">IFERROR(__xludf.DUMMYFUNCTION("""COMPUTED_VALUE"""),"Madrid- Canillas")</f>
        <v>Madrid- Canillas</v>
      </c>
      <c r="F298" s="16">
        <f ca="1">IFERROR(__xludf.DUMMYFUNCTION("""COMPUTED_VALUE"""),46084)</f>
        <v>46084</v>
      </c>
      <c r="G298" s="16">
        <f ca="1">IFERROR(__xludf.DUMMYFUNCTION("""COMPUTED_VALUE"""),46063)</f>
        <v>46063</v>
      </c>
      <c r="H298" s="6" t="str">
        <f ca="1">IFERROR(__xludf.DUMMYFUNCTION("""COMPUTED_VALUE"""),"Canillas")</f>
        <v>Canillas</v>
      </c>
      <c r="I298" s="6" t="str">
        <f ca="1">IFERROR(__xludf.DUMMYFUNCTION("""COMPUTED_VALUE"""),"C202621016226994416")</f>
        <v>C202621016226994416</v>
      </c>
      <c r="J298" s="6" t="str">
        <f ca="1">IFERROR(__xludf.DUMMYFUNCTION("""COMPUTED_VALUE"""),"CARLOS DURO MELERO")</f>
        <v>CARLOS DURO MELERO</v>
      </c>
      <c r="K298" s="15">
        <f ca="1">IFERROR(__xludf.DUMMYFUNCTION("""COMPUTED_VALUE"""),2)</f>
        <v>2</v>
      </c>
      <c r="L298" s="21">
        <f ca="1">IFERROR(__xludf.DUMMYFUNCTION("""COMPUTED_VALUE"""),4536.36)</f>
        <v>4536.3599999999997</v>
      </c>
      <c r="M298" s="6" t="str">
        <f ca="1">IFERROR(__xludf.DUMMYFUNCTION("""COMPUTED_VALUE"""),"03 ORL")</f>
        <v>03 ORL</v>
      </c>
      <c r="N298" s="6" t="str">
        <f ca="1">IFERROR(__xludf.DUMMYFUNCTION("""COMPUTED_VALUE"""),"06 ORL")</f>
        <v>06 ORL</v>
      </c>
      <c r="O298" s="6" t="str">
        <f ca="1">IFERROR(__xludf.DUMMYFUNCTION("""COMPUTED_VALUE"""),"No recuerda ORL")</f>
        <v>No recuerda ORL</v>
      </c>
      <c r="P298" s="6" t="str">
        <f ca="1">IFERROR(__xludf.DUMMYFUNCTION("""COMPUTED_VALUE"""),"Maika Blázquez (Madrid)")</f>
        <v>Maika Blázquez (Madrid)</v>
      </c>
    </row>
    <row r="299" spans="2:16">
      <c r="B299" s="33">
        <f ca="1">IFERROR(__xludf.DUMMYFUNCTION("""COMPUTED_VALUE"""),2026)</f>
        <v>2026</v>
      </c>
      <c r="C299" s="15">
        <f ca="1">IFERROR(__xludf.DUMMYFUNCTION("""COMPUTED_VALUE"""),3)</f>
        <v>3</v>
      </c>
      <c r="D299" s="6" t="str">
        <f ca="1">IFERROR(__xludf.DUMMYFUNCTION("""COMPUTED_VALUE"""),"NO")</f>
        <v>NO</v>
      </c>
      <c r="E299" s="6" t="str">
        <f ca="1">IFERROR(__xludf.DUMMYFUNCTION("""COMPUTED_VALUE"""),"Alicante")</f>
        <v>Alicante</v>
      </c>
      <c r="F299" s="16">
        <f ca="1">IFERROR(__xludf.DUMMYFUNCTION("""COMPUTED_VALUE"""),46085)</f>
        <v>46085</v>
      </c>
      <c r="G299" s="16">
        <f ca="1">IFERROR(__xludf.DUMMYFUNCTION("""COMPUTED_VALUE"""),46048)</f>
        <v>46048</v>
      </c>
      <c r="H299" s="6" t="str">
        <f ca="1">IFERROR(__xludf.DUMMYFUNCTION("""COMPUTED_VALUE"""),"Alicante")</f>
        <v>Alicante</v>
      </c>
      <c r="I299" s="6" t="str">
        <f ca="1">IFERROR(__xludf.DUMMYFUNCTION("""COMPUTED_VALUE"""),"C202612682640857253")</f>
        <v>C202612682640857253</v>
      </c>
      <c r="J299" s="6" t="str">
        <f ca="1">IFERROR(__xludf.DUMMYFUNCTION("""COMPUTED_VALUE"""),"JOSE GALLEGO ALBURQUERQUE")</f>
        <v>JOSE GALLEGO ALBURQUERQUE</v>
      </c>
      <c r="K299" s="15">
        <f ca="1">IFERROR(__xludf.DUMMYFUNCTION("""COMPUTED_VALUE"""),1)</f>
        <v>1</v>
      </c>
      <c r="L299" s="21">
        <f ca="1">IFERROR(__xludf.DUMMYFUNCTION("""COMPUTED_VALUE"""),2180.91)</f>
        <v>2180.91</v>
      </c>
      <c r="M299" s="6" t="str">
        <f ca="1">IFERROR(__xludf.DUMMYFUNCTION("""COMPUTED_VALUE"""),"03 ORL")</f>
        <v>03 ORL</v>
      </c>
      <c r="N299" s="6" t="str">
        <f ca="1">IFERROR(__xludf.DUMMYFUNCTION("""COMPUTED_VALUE"""),"06 ORL")</f>
        <v>06 ORL</v>
      </c>
      <c r="O299" s="6" t="str">
        <f ca="1">IFERROR(__xludf.DUMMYFUNCTION("""COMPUTED_VALUE"""),"Dr, Francisco Pastor Beviá")</f>
        <v>Dr, Francisco Pastor Beviá</v>
      </c>
      <c r="P299" s="6" t="str">
        <f ca="1">IFERROR(__xludf.DUMMYFUNCTION("""COMPUTED_VALUE"""),"Iván Sánchez (Levante y Albacete)")</f>
        <v>Iván Sánchez (Levante y Albacete)</v>
      </c>
    </row>
    <row r="300" spans="2:16">
      <c r="B300" s="33">
        <f ca="1">IFERROR(__xludf.DUMMYFUNCTION("""COMPUTED_VALUE"""),2026)</f>
        <v>2026</v>
      </c>
      <c r="C300" s="15">
        <f ca="1">IFERROR(__xludf.DUMMYFUNCTION("""COMPUTED_VALUE"""),3)</f>
        <v>3</v>
      </c>
      <c r="D300" s="6" t="str">
        <f ca="1">IFERROR(__xludf.DUMMYFUNCTION("""COMPUTED_VALUE"""),"NO")</f>
        <v>NO</v>
      </c>
      <c r="E300" s="6" t="str">
        <f ca="1">IFERROR(__xludf.DUMMYFUNCTION("""COMPUTED_VALUE"""),"Sevilla- Montoto")</f>
        <v>Sevilla- Montoto</v>
      </c>
      <c r="F300" s="16">
        <f ca="1">IFERROR(__xludf.DUMMYFUNCTION("""COMPUTED_VALUE"""),46085)</f>
        <v>46085</v>
      </c>
      <c r="G300" s="16">
        <f ca="1">IFERROR(__xludf.DUMMYFUNCTION("""COMPUTED_VALUE"""),46055)</f>
        <v>46055</v>
      </c>
      <c r="H300" s="6" t="str">
        <f ca="1">IFERROR(__xludf.DUMMYFUNCTION("""COMPUTED_VALUE"""),"Montoto")</f>
        <v>Montoto</v>
      </c>
      <c r="I300" s="6" t="str">
        <f ca="1">IFERROR(__xludf.DUMMYFUNCTION("""COMPUTED_VALUE"""),"C202622164933142863")</f>
        <v>C202622164933142863</v>
      </c>
      <c r="J300" s="6" t="str">
        <f ca="1">IFERROR(__xludf.DUMMYFUNCTION("""COMPUTED_VALUE"""),"CARMEN PEREZ ORTEGA")</f>
        <v>CARMEN PEREZ ORTEGA</v>
      </c>
      <c r="K300" s="15">
        <f ca="1">IFERROR(__xludf.DUMMYFUNCTION("""COMPUTED_VALUE"""),2)</f>
        <v>2</v>
      </c>
      <c r="L300" s="21">
        <f ca="1">IFERROR(__xludf.DUMMYFUNCTION("""COMPUTED_VALUE"""),2582.27)</f>
        <v>2582.27</v>
      </c>
      <c r="M300" s="6" t="str">
        <f ca="1">IFERROR(__xludf.DUMMYFUNCTION("""COMPUTED_VALUE"""),"03 ORL")</f>
        <v>03 ORL</v>
      </c>
      <c r="N300" s="6" t="str">
        <f ca="1">IFERROR(__xludf.DUMMYFUNCTION("""COMPUTED_VALUE"""),"06 ORL")</f>
        <v>06 ORL</v>
      </c>
      <c r="O300" s="6" t="str">
        <f ca="1">IFERROR(__xludf.DUMMYFUNCTION("""COMPUTED_VALUE"""),"Dr, Francisco Ropero Romero")</f>
        <v>Dr, Francisco Ropero Romero</v>
      </c>
      <c r="P300" s="6" t="str">
        <f ca="1">IFERROR(__xludf.DUMMYFUNCTION("""COMPUTED_VALUE"""),"Luis Alberto Rodríguez (Andalucía y Badajoz)")</f>
        <v>Luis Alberto Rodríguez (Andalucía y Badajoz)</v>
      </c>
    </row>
    <row r="301" spans="2:16">
      <c r="B301" s="33">
        <f ca="1">IFERROR(__xludf.DUMMYFUNCTION("""COMPUTED_VALUE"""),2026)</f>
        <v>2026</v>
      </c>
      <c r="C301" s="15">
        <f ca="1">IFERROR(__xludf.DUMMYFUNCTION("""COMPUTED_VALUE"""),3)</f>
        <v>3</v>
      </c>
      <c r="D301" s="6" t="str">
        <f ca="1">IFERROR(__xludf.DUMMYFUNCTION("""COMPUTED_VALUE"""),"NO")</f>
        <v>NO</v>
      </c>
      <c r="E301" s="6" t="str">
        <f ca="1">IFERROR(__xludf.DUMMYFUNCTION("""COMPUTED_VALUE"""),"Leganés")</f>
        <v>Leganés</v>
      </c>
      <c r="F301" s="16">
        <f ca="1">IFERROR(__xludf.DUMMYFUNCTION("""COMPUTED_VALUE"""),46085)</f>
        <v>46085</v>
      </c>
      <c r="G301" s="16">
        <f ca="1">IFERROR(__xludf.DUMMYFUNCTION("""COMPUTED_VALUE"""),46062)</f>
        <v>46062</v>
      </c>
      <c r="H301" s="6" t="str">
        <f ca="1">IFERROR(__xludf.DUMMYFUNCTION("""COMPUTED_VALUE"""),"Leganés")</f>
        <v>Leganés</v>
      </c>
      <c r="I301" s="6" t="str">
        <f ca="1">IFERROR(__xludf.DUMMYFUNCTION("""COMPUTED_VALUE"""),"C20262910536173084")</f>
        <v>C20262910536173084</v>
      </c>
      <c r="J301" s="6" t="str">
        <f ca="1">IFERROR(__xludf.DUMMYFUNCTION("""COMPUTED_VALUE"""),"MANUEL MEILAN TEIJEIRO")</f>
        <v>MANUEL MEILAN TEIJEIRO</v>
      </c>
      <c r="K301" s="15">
        <f ca="1">IFERROR(__xludf.DUMMYFUNCTION("""COMPUTED_VALUE"""),2)</f>
        <v>2</v>
      </c>
      <c r="L301" s="21">
        <f ca="1">IFERROR(__xludf.DUMMYFUNCTION("""COMPUTED_VALUE"""),3929.09)</f>
        <v>3929.09</v>
      </c>
      <c r="M301" s="6" t="str">
        <f ca="1">IFERROR(__xludf.DUMMYFUNCTION("""COMPUTED_VALUE"""),"01 MARKETING ON LINE")</f>
        <v>01 MARKETING ON LINE</v>
      </c>
      <c r="N301" s="6" t="str">
        <f ca="1">IFERROR(__xludf.DUMMYFUNCTION("""COMPUTED_VALUE"""),"04 AUDIFONO,ES")</f>
        <v>04 AUDIFONO,ES</v>
      </c>
      <c r="O301" s="6" t="str">
        <f ca="1">IFERROR(__xludf.DUMMYFUNCTION("""COMPUTED_VALUE"""),"Dra, Laura del Toro Gil")</f>
        <v>Dra, Laura del Toro Gil</v>
      </c>
      <c r="P301" s="6" t="str">
        <f ca="1">IFERROR(__xludf.DUMMYFUNCTION("""COMPUTED_VALUE"""),"Maika Blázquez (Madrid)")</f>
        <v>Maika Blázquez (Madrid)</v>
      </c>
    </row>
    <row r="302" spans="2:16">
      <c r="B302" s="33">
        <f ca="1">IFERROR(__xludf.DUMMYFUNCTION("""COMPUTED_VALUE"""),2026)</f>
        <v>2026</v>
      </c>
      <c r="C302" s="15">
        <f ca="1">IFERROR(__xludf.DUMMYFUNCTION("""COMPUTED_VALUE"""),3)</f>
        <v>3</v>
      </c>
      <c r="D302" s="6" t="str">
        <f ca="1">IFERROR(__xludf.DUMMYFUNCTION("""COMPUTED_VALUE"""),"NO")</f>
        <v>NO</v>
      </c>
      <c r="E302" s="6" t="str">
        <f ca="1">IFERROR(__xludf.DUMMYFUNCTION("""COMPUTED_VALUE"""),"Sevilla- Ciencias")</f>
        <v>Sevilla- Ciencias</v>
      </c>
      <c r="F302" s="16">
        <f ca="1">IFERROR(__xludf.DUMMYFUNCTION("""COMPUTED_VALUE"""),46085)</f>
        <v>46085</v>
      </c>
      <c r="G302" s="16">
        <f ca="1">IFERROR(__xludf.DUMMYFUNCTION("""COMPUTED_VALUE"""),46049)</f>
        <v>46049</v>
      </c>
      <c r="H302" s="6" t="str">
        <f ca="1">IFERROR(__xludf.DUMMYFUNCTION("""COMPUTED_VALUE"""),"Sevilla Este")</f>
        <v>Sevilla Este</v>
      </c>
      <c r="I302" s="6" t="str">
        <f ca="1">IFERROR(__xludf.DUMMYFUNCTION("""COMPUTED_VALUE"""),"C202612710482835479")</f>
        <v>C202612710482835479</v>
      </c>
      <c r="J302" s="6" t="str">
        <f ca="1">IFERROR(__xludf.DUMMYFUNCTION("""COMPUTED_VALUE"""),"MARIA JOSE  GALVIN CAÑERO")</f>
        <v>MARIA JOSE  GALVIN CAÑERO</v>
      </c>
      <c r="K302" s="15">
        <f ca="1">IFERROR(__xludf.DUMMYFUNCTION("""COMPUTED_VALUE"""),2)</f>
        <v>2</v>
      </c>
      <c r="L302" s="21">
        <f ca="1">IFERROR(__xludf.DUMMYFUNCTION("""COMPUTED_VALUE"""),2718.19)</f>
        <v>2718.19</v>
      </c>
      <c r="M302" s="6" t="str">
        <f ca="1">IFERROR(__xludf.DUMMYFUNCTION("""COMPUTED_VALUE"""),"01 MARKETING ON LINE")</f>
        <v>01 MARKETING ON LINE</v>
      </c>
      <c r="N302" s="6" t="str">
        <f ca="1">IFERROR(__xludf.DUMMYFUNCTION("""COMPUTED_VALUE"""),"36 CENTRO AUDÍFONOS")</f>
        <v>36 CENTRO AUDÍFONOS</v>
      </c>
      <c r="O302" s="6" t="str">
        <f ca="1">IFERROR(__xludf.DUMMYFUNCTION("""COMPUTED_VALUE"""),"Dr, Julio César Ariza Lizcano")</f>
        <v>Dr, Julio César Ariza Lizcano</v>
      </c>
      <c r="P302" s="6" t="str">
        <f ca="1">IFERROR(__xludf.DUMMYFUNCTION("""COMPUTED_VALUE"""),"Luis Alberto Rodríguez (Andalucía y Badajoz)")</f>
        <v>Luis Alberto Rodríguez (Andalucía y Badajoz)</v>
      </c>
    </row>
    <row r="303" spans="2:16">
      <c r="B303" s="33">
        <f ca="1">IFERROR(__xludf.DUMMYFUNCTION("""COMPUTED_VALUE"""),2026)</f>
        <v>2026</v>
      </c>
      <c r="C303" s="15">
        <f ca="1">IFERROR(__xludf.DUMMYFUNCTION("""COMPUTED_VALUE"""),3)</f>
        <v>3</v>
      </c>
      <c r="D303" s="6" t="str">
        <f ca="1">IFERROR(__xludf.DUMMYFUNCTION("""COMPUTED_VALUE"""),"NO")</f>
        <v>NO</v>
      </c>
      <c r="E303" s="6" t="str">
        <f ca="1">IFERROR(__xludf.DUMMYFUNCTION("""COMPUTED_VALUE"""),"Salamanca")</f>
        <v>Salamanca</v>
      </c>
      <c r="F303" s="16">
        <f ca="1">IFERROR(__xludf.DUMMYFUNCTION("""COMPUTED_VALUE"""),46085)</f>
        <v>46085</v>
      </c>
      <c r="G303" s="16">
        <f ca="1">IFERROR(__xludf.DUMMYFUNCTION("""COMPUTED_VALUE"""),46063)</f>
        <v>46063</v>
      </c>
      <c r="H303" s="6" t="str">
        <f ca="1">IFERROR(__xludf.DUMMYFUNCTION("""COMPUTED_VALUE"""),"Salamanca")</f>
        <v>Salamanca</v>
      </c>
      <c r="I303" s="6" t="str">
        <f ca="1">IFERROR(__xludf.DUMMYFUNCTION("""COMPUTED_VALUE"""),"C202621017151617842")</f>
        <v>C202621017151617842</v>
      </c>
      <c r="J303" s="6" t="str">
        <f ca="1">IFERROR(__xludf.DUMMYFUNCTION("""COMPUTED_VALUE"""),"HILARIO VICENTE DAZA")</f>
        <v>HILARIO VICENTE DAZA</v>
      </c>
      <c r="K303" s="15">
        <f ca="1">IFERROR(__xludf.DUMMYFUNCTION("""COMPUTED_VALUE"""),2)</f>
        <v>2</v>
      </c>
      <c r="L303" s="21">
        <f ca="1">IFERROR(__xludf.DUMMYFUNCTION("""COMPUTED_VALUE"""),2974.55)</f>
        <v>2974.55</v>
      </c>
      <c r="M303" s="6" t="str">
        <f ca="1">IFERROR(__xludf.DUMMYFUNCTION("""COMPUTED_VALUE"""),"03 ORL")</f>
        <v>03 ORL</v>
      </c>
      <c r="N303" s="6" t="str">
        <f ca="1">IFERROR(__xludf.DUMMYFUNCTION("""COMPUTED_VALUE"""),"06 ORL")</f>
        <v>06 ORL</v>
      </c>
      <c r="O303" s="6" t="str">
        <f ca="1">IFERROR(__xludf.DUMMYFUNCTION("""COMPUTED_VALUE"""),"Dr, Luis Miguel Rincón Esteban")</f>
        <v>Dr, Luis Miguel Rincón Esteban</v>
      </c>
      <c r="P303" s="6" t="str">
        <f ca="1">IFERROR(__xludf.DUMMYFUNCTION("""COMPUTED_VALUE"""),"Alberto Moreno (Madrid)")</f>
        <v>Alberto Moreno (Madrid)</v>
      </c>
    </row>
    <row r="304" spans="2:16">
      <c r="B304" s="33">
        <f ca="1">IFERROR(__xludf.DUMMYFUNCTION("""COMPUTED_VALUE"""),2026)</f>
        <v>2026</v>
      </c>
      <c r="C304" s="15">
        <f ca="1">IFERROR(__xludf.DUMMYFUNCTION("""COMPUTED_VALUE"""),3)</f>
        <v>3</v>
      </c>
      <c r="D304" s="6" t="str">
        <f ca="1">IFERROR(__xludf.DUMMYFUNCTION("""COMPUTED_VALUE"""),"NO")</f>
        <v>NO</v>
      </c>
      <c r="E304" s="6" t="str">
        <f ca="1">IFERROR(__xludf.DUMMYFUNCTION("""COMPUTED_VALUE"""),"Madrid- Canillas")</f>
        <v>Madrid- Canillas</v>
      </c>
      <c r="F304" s="16">
        <f ca="1">IFERROR(__xludf.DUMMYFUNCTION("""COMPUTED_VALUE"""),46085)</f>
        <v>46085</v>
      </c>
      <c r="G304" s="16">
        <f ca="1">IFERROR(__xludf.DUMMYFUNCTION("""COMPUTED_VALUE"""),46056)</f>
        <v>46056</v>
      </c>
      <c r="H304" s="6" t="str">
        <f ca="1">IFERROR(__xludf.DUMMYFUNCTION("""COMPUTED_VALUE"""),"Canillas")</f>
        <v>Canillas</v>
      </c>
      <c r="I304" s="6" t="str">
        <f ca="1">IFERROR(__xludf.DUMMYFUNCTION("""COMPUTED_VALUE"""),"C20262316552057584")</f>
        <v>C20262316552057584</v>
      </c>
      <c r="J304" s="6" t="str">
        <f ca="1">IFERROR(__xludf.DUMMYFUNCTION("""COMPUTED_VALUE"""),"BRAULIA GOMEZ BERMEJO")</f>
        <v>BRAULIA GOMEZ BERMEJO</v>
      </c>
      <c r="K304" s="15">
        <f ca="1">IFERROR(__xludf.DUMMYFUNCTION("""COMPUTED_VALUE"""),2)</f>
        <v>2</v>
      </c>
      <c r="L304" s="21">
        <f ca="1">IFERROR(__xludf.DUMMYFUNCTION("""COMPUTED_VALUE"""),3631.82)</f>
        <v>3631.82</v>
      </c>
      <c r="M304" s="6" t="str">
        <f ca="1">IFERROR(__xludf.DUMMYFUNCTION("""COMPUTED_VALUE"""),"02 MARKETING OFF LINE")</f>
        <v>02 MARKETING OFF LINE</v>
      </c>
      <c r="N304" s="6" t="str">
        <f ca="1">IFERROR(__xludf.DUMMYFUNCTION("""COMPUTED_VALUE"""),"18 ESCAPARATE")</f>
        <v>18 ESCAPARATE</v>
      </c>
      <c r="O304" s="6" t="str">
        <f ca="1">IFERROR(__xludf.DUMMYFUNCTION("""COMPUTED_VALUE"""),"Dr, José Gustavo Barroso Braojos")</f>
        <v>Dr, José Gustavo Barroso Braojos</v>
      </c>
      <c r="P304" s="6" t="str">
        <f ca="1">IFERROR(__xludf.DUMMYFUNCTION("""COMPUTED_VALUE"""),"Maika Blázquez (Madrid)")</f>
        <v>Maika Blázquez (Madrid)</v>
      </c>
    </row>
    <row r="305" spans="2:16">
      <c r="B305" s="33">
        <f ca="1">IFERROR(__xludf.DUMMYFUNCTION("""COMPUTED_VALUE"""),2026)</f>
        <v>2026</v>
      </c>
      <c r="C305" s="15">
        <f ca="1">IFERROR(__xludf.DUMMYFUNCTION("""COMPUTED_VALUE"""),3)</f>
        <v>3</v>
      </c>
      <c r="D305" s="6" t="str">
        <f ca="1">IFERROR(__xludf.DUMMYFUNCTION("""COMPUTED_VALUE"""),"NO")</f>
        <v>NO</v>
      </c>
      <c r="E305" s="6" t="str">
        <f ca="1">IFERROR(__xludf.DUMMYFUNCTION("""COMPUTED_VALUE"""),"Madrid- Moratalaz")</f>
        <v>Madrid- Moratalaz</v>
      </c>
      <c r="F305" s="16">
        <f ca="1">IFERROR(__xludf.DUMMYFUNCTION("""COMPUTED_VALUE"""),46085)</f>
        <v>46085</v>
      </c>
      <c r="G305" s="16">
        <f ca="1">IFERROR(__xludf.DUMMYFUNCTION("""COMPUTED_VALUE"""),46064)</f>
        <v>46064</v>
      </c>
      <c r="H305" s="6" t="str">
        <f ca="1">IFERROR(__xludf.DUMMYFUNCTION("""COMPUTED_VALUE"""),"Moratalaz")</f>
        <v>Moratalaz</v>
      </c>
      <c r="I305" s="6" t="str">
        <f ca="1">IFERROR(__xludf.DUMMYFUNCTION("""COMPUTED_VALUE"""),"C202621110313220358")</f>
        <v>C202621110313220358</v>
      </c>
      <c r="J305" s="6" t="str">
        <f ca="1">IFERROR(__xludf.DUMMYFUNCTION("""COMPUTED_VALUE"""),"BERNARDINA  FERNANDEZ POSADA")</f>
        <v>BERNARDINA  FERNANDEZ POSADA</v>
      </c>
      <c r="K305" s="15">
        <f ca="1">IFERROR(__xludf.DUMMYFUNCTION("""COMPUTED_VALUE"""),2)</f>
        <v>2</v>
      </c>
      <c r="L305" s="21">
        <f ca="1">IFERROR(__xludf.DUMMYFUNCTION("""COMPUTED_VALUE"""),3631.82)</f>
        <v>3631.82</v>
      </c>
      <c r="M305" s="6" t="str">
        <f ca="1">IFERROR(__xludf.DUMMYFUNCTION("""COMPUTED_VALUE"""),"03 ORL")</f>
        <v>03 ORL</v>
      </c>
      <c r="N305" s="6" t="str">
        <f ca="1">IFERROR(__xludf.DUMMYFUNCTION("""COMPUTED_VALUE"""),"06 ORL")</f>
        <v>06 ORL</v>
      </c>
      <c r="O305" s="6" t="str">
        <f ca="1">IFERROR(__xludf.DUMMYFUNCTION("""COMPUTED_VALUE"""),"Dra, María Cecilia Scola Torres")</f>
        <v>Dra, María Cecilia Scola Torres</v>
      </c>
      <c r="P305" s="6" t="str">
        <f ca="1">IFERROR(__xludf.DUMMYFUNCTION("""COMPUTED_VALUE"""),"Maika Blázquez (Madrid)")</f>
        <v>Maika Blázquez (Madrid)</v>
      </c>
    </row>
    <row r="306" spans="2:16">
      <c r="B306" s="33">
        <f ca="1">IFERROR(__xludf.DUMMYFUNCTION("""COMPUTED_VALUE"""),2026)</f>
        <v>2026</v>
      </c>
      <c r="C306" s="15">
        <f ca="1">IFERROR(__xludf.DUMMYFUNCTION("""COMPUTED_VALUE"""),3)</f>
        <v>3</v>
      </c>
      <c r="D306" s="6" t="str">
        <f ca="1">IFERROR(__xludf.DUMMYFUNCTION("""COMPUTED_VALUE"""),"NO")</f>
        <v>NO</v>
      </c>
      <c r="E306" s="6" t="str">
        <f ca="1">IFERROR(__xludf.DUMMYFUNCTION("""COMPUTED_VALUE"""),"Valencia- Cádiz")</f>
        <v>Valencia- Cádiz</v>
      </c>
      <c r="F306" s="16">
        <f ca="1">IFERROR(__xludf.DUMMYFUNCTION("""COMPUTED_VALUE"""),46085)</f>
        <v>46085</v>
      </c>
      <c r="G306" s="16">
        <f ca="1">IFERROR(__xludf.DUMMYFUNCTION("""COMPUTED_VALUE"""),45826)</f>
        <v>45826</v>
      </c>
      <c r="H306" s="6" t="str">
        <f ca="1">IFERROR(__xludf.DUMMYFUNCTION("""COMPUTED_VALUE"""),"Valencia- Cádiz")</f>
        <v>Valencia- Cádiz</v>
      </c>
      <c r="I306" s="6" t="str">
        <f ca="1">IFERROR(__xludf.DUMMYFUNCTION("""COMPUTED_VALUE"""),"C202571175228315")</f>
        <v>C202571175228315</v>
      </c>
      <c r="J306" s="6" t="str">
        <f ca="1">IFERROR(__xludf.DUMMYFUNCTION("""COMPUTED_VALUE"""),"CARMEN LORENTE MUÑOZ")</f>
        <v>CARMEN LORENTE MUÑOZ</v>
      </c>
      <c r="K306" s="15">
        <f ca="1">IFERROR(__xludf.DUMMYFUNCTION("""COMPUTED_VALUE"""),2)</f>
        <v>2</v>
      </c>
      <c r="L306" s="21">
        <f ca="1">IFERROR(__xludf.DUMMYFUNCTION("""COMPUTED_VALUE"""),4000)</f>
        <v>4000</v>
      </c>
      <c r="M306" s="6" t="str">
        <f ca="1">IFERROR(__xludf.DUMMYFUNCTION("""COMPUTED_VALUE"""),"03 ORL")</f>
        <v>03 ORL</v>
      </c>
      <c r="N306" s="6" t="str">
        <f ca="1">IFERROR(__xludf.DUMMYFUNCTION("""COMPUTED_VALUE"""),"06 ORL")</f>
        <v>06 ORL</v>
      </c>
      <c r="O306" s="6" t="str">
        <f ca="1">IFERROR(__xludf.DUMMYFUNCTION("""COMPUTED_VALUE"""),"Dr, Martín Eduardo Marcano Acuña")</f>
        <v>Dr, Martín Eduardo Marcano Acuña</v>
      </c>
      <c r="P306" s="6" t="str">
        <f ca="1">IFERROR(__xludf.DUMMYFUNCTION("""COMPUTED_VALUE"""),"Ramon Ferrando(Valencia)")</f>
        <v>Ramon Ferrando(Valencia)</v>
      </c>
    </row>
    <row r="307" spans="2:16">
      <c r="B307" s="33">
        <f ca="1">IFERROR(__xludf.DUMMYFUNCTION("""COMPUTED_VALUE"""),2026)</f>
        <v>2026</v>
      </c>
      <c r="C307" s="15">
        <f ca="1">IFERROR(__xludf.DUMMYFUNCTION("""COMPUTED_VALUE"""),3)</f>
        <v>3</v>
      </c>
      <c r="D307" s="6" t="str">
        <f ca="1">IFERROR(__xludf.DUMMYFUNCTION("""COMPUTED_VALUE"""),"NO")</f>
        <v>NO</v>
      </c>
      <c r="E307" s="6" t="str">
        <f ca="1">IFERROR(__xludf.DUMMYFUNCTION("""COMPUTED_VALUE"""),"Madrid- La Oca")</f>
        <v>Madrid- La Oca</v>
      </c>
      <c r="F307" s="16">
        <f ca="1">IFERROR(__xludf.DUMMYFUNCTION("""COMPUTED_VALUE"""),46086)</f>
        <v>46086</v>
      </c>
      <c r="G307" s="16">
        <f ca="1">IFERROR(__xludf.DUMMYFUNCTION("""COMPUTED_VALUE"""),46059)</f>
        <v>46059</v>
      </c>
      <c r="H307" s="6" t="str">
        <f ca="1">IFERROR(__xludf.DUMMYFUNCTION("""COMPUTED_VALUE"""),"La Oca")</f>
        <v>La Oca</v>
      </c>
      <c r="I307" s="6" t="str">
        <f ca="1">IFERROR(__xludf.DUMMYFUNCTION("""COMPUTED_VALUE"""),"C20262694053947352")</f>
        <v>C20262694053947352</v>
      </c>
      <c r="J307" s="6" t="str">
        <f ca="1">IFERROR(__xludf.DUMMYFUNCTION("""COMPUTED_VALUE"""),"JULIO HARO SANCHEZ")</f>
        <v>JULIO HARO SANCHEZ</v>
      </c>
      <c r="K307" s="15">
        <f ca="1">IFERROR(__xludf.DUMMYFUNCTION("""COMPUTED_VALUE"""),2)</f>
        <v>2</v>
      </c>
      <c r="L307" s="21">
        <f ca="1">IFERROR(__xludf.DUMMYFUNCTION("""COMPUTED_VALUE"""),3631.82)</f>
        <v>3631.82</v>
      </c>
      <c r="M307" s="6" t="str">
        <f ca="1">IFERROR(__xludf.DUMMYFUNCTION("""COMPUTED_VALUE"""),"03 ORL")</f>
        <v>03 ORL</v>
      </c>
      <c r="N307" s="6" t="str">
        <f ca="1">IFERROR(__xludf.DUMMYFUNCTION("""COMPUTED_VALUE"""),"06 ORL")</f>
        <v>06 ORL</v>
      </c>
      <c r="O307" s="6" t="str">
        <f ca="1">IFERROR(__xludf.DUMMYFUNCTION("""COMPUTED_VALUE"""),"Dr, César Charles Martínez")</f>
        <v>Dr, César Charles Martínez</v>
      </c>
      <c r="P307" s="6" t="str">
        <f ca="1">IFERROR(__xludf.DUMMYFUNCTION("""COMPUTED_VALUE"""),"Maika Blázquez (Madrid)")</f>
        <v>Maika Blázquez (Madrid)</v>
      </c>
    </row>
    <row r="308" spans="2:16">
      <c r="B308" s="33">
        <f ca="1">IFERROR(__xludf.DUMMYFUNCTION("""COMPUTED_VALUE"""),2026)</f>
        <v>2026</v>
      </c>
      <c r="C308" s="15">
        <f ca="1">IFERROR(__xludf.DUMMYFUNCTION("""COMPUTED_VALUE"""),3)</f>
        <v>3</v>
      </c>
      <c r="D308" s="6" t="str">
        <f ca="1">IFERROR(__xludf.DUMMYFUNCTION("""COMPUTED_VALUE"""),"NO")</f>
        <v>NO</v>
      </c>
      <c r="E308" s="6" t="str">
        <f ca="1">IFERROR(__xludf.DUMMYFUNCTION("""COMPUTED_VALUE"""),"Leganés")</f>
        <v>Leganés</v>
      </c>
      <c r="F308" s="16">
        <f ca="1">IFERROR(__xludf.DUMMYFUNCTION("""COMPUTED_VALUE"""),46086)</f>
        <v>46086</v>
      </c>
      <c r="G308" s="16">
        <f ca="1">IFERROR(__xludf.DUMMYFUNCTION("""COMPUTED_VALUE"""),46031)</f>
        <v>46031</v>
      </c>
      <c r="H308" s="6" t="str">
        <f ca="1">IFERROR(__xludf.DUMMYFUNCTION("""COMPUTED_VALUE"""),"Leganés")</f>
        <v>Leganés</v>
      </c>
      <c r="I308" s="6" t="str">
        <f ca="1">IFERROR(__xludf.DUMMYFUNCTION("""COMPUTED_VALUE"""),"C20261991035083818")</f>
        <v>C20261991035083818</v>
      </c>
      <c r="J308" s="6" t="str">
        <f ca="1">IFERROR(__xludf.DUMMYFUNCTION("""COMPUTED_VALUE"""),"ROSA MARIA CABALLERO GARCIA")</f>
        <v>ROSA MARIA CABALLERO GARCIA</v>
      </c>
      <c r="K308" s="15">
        <f ca="1">IFERROR(__xludf.DUMMYFUNCTION("""COMPUTED_VALUE"""),1)</f>
        <v>1</v>
      </c>
      <c r="L308" s="21">
        <f ca="1">IFERROR(__xludf.DUMMYFUNCTION("""COMPUTED_VALUE"""),2481.82)</f>
        <v>2481.8200000000002</v>
      </c>
      <c r="M308" s="6" t="str">
        <f ca="1">IFERROR(__xludf.DUMMYFUNCTION("""COMPUTED_VALUE"""),"03 ORL")</f>
        <v>03 ORL</v>
      </c>
      <c r="N308" s="6" t="str">
        <f ca="1">IFERROR(__xludf.DUMMYFUNCTION("""COMPUTED_VALUE"""),"06 ORL")</f>
        <v>06 ORL</v>
      </c>
      <c r="O308" s="6" t="str">
        <f ca="1">IFERROR(__xludf.DUMMYFUNCTION("""COMPUTED_VALUE"""),"Dra, Mar Lasso de la Vega Zamora")</f>
        <v>Dra, Mar Lasso de la Vega Zamora</v>
      </c>
      <c r="P308" s="6" t="str">
        <f ca="1">IFERROR(__xludf.DUMMYFUNCTION("""COMPUTED_VALUE"""),"Maika Blázquez (Madrid)")</f>
        <v>Maika Blázquez (Madrid)</v>
      </c>
    </row>
    <row r="309" spans="2:16">
      <c r="B309" s="33">
        <f ca="1">IFERROR(__xludf.DUMMYFUNCTION("""COMPUTED_VALUE"""),2026)</f>
        <v>2026</v>
      </c>
      <c r="C309" s="15">
        <f ca="1">IFERROR(__xludf.DUMMYFUNCTION("""COMPUTED_VALUE"""),3)</f>
        <v>3</v>
      </c>
      <c r="D309" s="6" t="str">
        <f ca="1">IFERROR(__xludf.DUMMYFUNCTION("""COMPUTED_VALUE"""),"NO")</f>
        <v>NO</v>
      </c>
      <c r="E309" s="6" t="str">
        <f ca="1">IFERROR(__xludf.DUMMYFUNCTION("""COMPUTED_VALUE"""),"Sevilla- Montoto")</f>
        <v>Sevilla- Montoto</v>
      </c>
      <c r="F309" s="16">
        <f ca="1">IFERROR(__xludf.DUMMYFUNCTION("""COMPUTED_VALUE"""),46086)</f>
        <v>46086</v>
      </c>
      <c r="G309" s="16">
        <f ca="1">IFERROR(__xludf.DUMMYFUNCTION("""COMPUTED_VALUE"""),46070)</f>
        <v>46070</v>
      </c>
      <c r="H309" s="6" t="str">
        <f ca="1">IFERROR(__xludf.DUMMYFUNCTION("""COMPUTED_VALUE"""),"Montoto")</f>
        <v>Montoto</v>
      </c>
      <c r="I309" s="6" t="str">
        <f ca="1">IFERROR(__xludf.DUMMYFUNCTION("""COMPUTED_VALUE"""),"C202621718165514877")</f>
        <v>C202621718165514877</v>
      </c>
      <c r="J309" s="6" t="str">
        <f ca="1">IFERROR(__xludf.DUMMYFUNCTION("""COMPUTED_VALUE"""),"MARIA PAULA ROSALES SALAMANCA")</f>
        <v>MARIA PAULA ROSALES SALAMANCA</v>
      </c>
      <c r="K309" s="15">
        <f ca="1">IFERROR(__xludf.DUMMYFUNCTION("""COMPUTED_VALUE"""),2)</f>
        <v>2</v>
      </c>
      <c r="L309" s="21">
        <f ca="1">IFERROR(__xludf.DUMMYFUNCTION("""COMPUTED_VALUE"""),3631.82)</f>
        <v>3631.82</v>
      </c>
      <c r="M309" s="6" t="str">
        <f ca="1">IFERROR(__xludf.DUMMYFUNCTION("""COMPUTED_VALUE"""),"03 ORL")</f>
        <v>03 ORL</v>
      </c>
      <c r="N309" s="6" t="str">
        <f ca="1">IFERROR(__xludf.DUMMYFUNCTION("""COMPUTED_VALUE"""),"06 ORL")</f>
        <v>06 ORL</v>
      </c>
      <c r="O309" s="6" t="str">
        <f ca="1">IFERROR(__xludf.DUMMYFUNCTION("""COMPUTED_VALUE"""),"Dr, Mercedes Ceballos Cauto")</f>
        <v>Dr, Mercedes Ceballos Cauto</v>
      </c>
      <c r="P309" s="6" t="str">
        <f ca="1">IFERROR(__xludf.DUMMYFUNCTION("""COMPUTED_VALUE"""),"Luis Alberto Rodríguez (Andalucía y Badajoz)")</f>
        <v>Luis Alberto Rodríguez (Andalucía y Badajoz)</v>
      </c>
    </row>
    <row r="310" spans="2:16">
      <c r="B310" s="33">
        <f ca="1">IFERROR(__xludf.DUMMYFUNCTION("""COMPUTED_VALUE"""),2026)</f>
        <v>2026</v>
      </c>
      <c r="C310" s="15">
        <f ca="1">IFERROR(__xludf.DUMMYFUNCTION("""COMPUTED_VALUE"""),3)</f>
        <v>3</v>
      </c>
      <c r="D310" s="6" t="str">
        <f ca="1">IFERROR(__xludf.DUMMYFUNCTION("""COMPUTED_VALUE"""),"NO")</f>
        <v>NO</v>
      </c>
      <c r="E310" s="6" t="str">
        <f ca="1">IFERROR(__xludf.DUMMYFUNCTION("""COMPUTED_VALUE"""),"Badajoz")</f>
        <v>Badajoz</v>
      </c>
      <c r="F310" s="16">
        <f ca="1">IFERROR(__xludf.DUMMYFUNCTION("""COMPUTED_VALUE"""),46086)</f>
        <v>46086</v>
      </c>
      <c r="G310" s="16">
        <f ca="1">IFERROR(__xludf.DUMMYFUNCTION("""COMPUTED_VALUE"""),46048)</f>
        <v>46048</v>
      </c>
      <c r="H310" s="6" t="str">
        <f ca="1">IFERROR(__xludf.DUMMYFUNCTION("""COMPUTED_VALUE"""),"Badajoz")</f>
        <v>Badajoz</v>
      </c>
      <c r="I310" s="6" t="str">
        <f ca="1">IFERROR(__xludf.DUMMYFUNCTION("""COMPUTED_VALUE"""),"C20261261114890876")</f>
        <v>C20261261114890876</v>
      </c>
      <c r="J310" s="6" t="str">
        <f ca="1">IFERROR(__xludf.DUMMYFUNCTION("""COMPUTED_VALUE"""),"JOSE ROYANO MORUJO")</f>
        <v>JOSE ROYANO MORUJO</v>
      </c>
      <c r="K310" s="15">
        <f ca="1">IFERROR(__xludf.DUMMYFUNCTION("""COMPUTED_VALUE"""),1)</f>
        <v>1</v>
      </c>
      <c r="L310" s="21">
        <f ca="1">IFERROR(__xludf.DUMMYFUNCTION("""COMPUTED_VALUE"""),1631.82)</f>
        <v>1631.82</v>
      </c>
      <c r="M310" s="6" t="str">
        <f ca="1">IFERROR(__xludf.DUMMYFUNCTION("""COMPUTED_VALUE"""),"03 ORL")</f>
        <v>03 ORL</v>
      </c>
      <c r="N310" s="6" t="str">
        <f ca="1">IFERROR(__xludf.DUMMYFUNCTION("""COMPUTED_VALUE"""),"06 ORL")</f>
        <v>06 ORL</v>
      </c>
      <c r="O310" s="6" t="str">
        <f ca="1">IFERROR(__xludf.DUMMYFUNCTION("""COMPUTED_VALUE"""),"Dra, Raquel Solís Vázquez")</f>
        <v>Dra, Raquel Solís Vázquez</v>
      </c>
      <c r="P310" s="6" t="str">
        <f ca="1">IFERROR(__xludf.DUMMYFUNCTION("""COMPUTED_VALUE"""),"Luis Alberto Rodríguez (Andalucía y Badajoz)")</f>
        <v>Luis Alberto Rodríguez (Andalucía y Badajoz)</v>
      </c>
    </row>
    <row r="311" spans="2:16">
      <c r="B311" s="33">
        <f ca="1">IFERROR(__xludf.DUMMYFUNCTION("""COMPUTED_VALUE"""),2026)</f>
        <v>2026</v>
      </c>
      <c r="C311" s="15">
        <f ca="1">IFERROR(__xludf.DUMMYFUNCTION("""COMPUTED_VALUE"""),3)</f>
        <v>3</v>
      </c>
      <c r="D311" s="6" t="str">
        <f ca="1">IFERROR(__xludf.DUMMYFUNCTION("""COMPUTED_VALUE"""),"NO")</f>
        <v>NO</v>
      </c>
      <c r="E311" s="6" t="str">
        <f ca="1">IFERROR(__xludf.DUMMYFUNCTION("""COMPUTED_VALUE"""),"Badajoz")</f>
        <v>Badajoz</v>
      </c>
      <c r="F311" s="16">
        <f ca="1">IFERROR(__xludf.DUMMYFUNCTION("""COMPUTED_VALUE"""),46086)</f>
        <v>46086</v>
      </c>
      <c r="G311" s="16">
        <f ca="1">IFERROR(__xludf.DUMMYFUNCTION("""COMPUTED_VALUE"""),46048)</f>
        <v>46048</v>
      </c>
      <c r="H311" s="6" t="str">
        <f ca="1">IFERROR(__xludf.DUMMYFUNCTION("""COMPUTED_VALUE"""),"Badajoz")</f>
        <v>Badajoz</v>
      </c>
      <c r="I311" s="6" t="str">
        <f ca="1">IFERROR(__xludf.DUMMYFUNCTION("""COMPUTED_VALUE"""),"C202612611454602570")</f>
        <v>C202612611454602570</v>
      </c>
      <c r="J311" s="6" t="str">
        <f ca="1">IFERROR(__xludf.DUMMYFUNCTION("""COMPUTED_VALUE"""),"GLORIA PILAR GOMEZ MARIN")</f>
        <v>GLORIA PILAR GOMEZ MARIN</v>
      </c>
      <c r="K311" s="15">
        <f ca="1">IFERROR(__xludf.DUMMYFUNCTION("""COMPUTED_VALUE"""),1)</f>
        <v>1</v>
      </c>
      <c r="L311" s="21">
        <f ca="1">IFERROR(__xludf.DUMMYFUNCTION("""COMPUTED_VALUE"""),1631.82)</f>
        <v>1631.82</v>
      </c>
      <c r="M311" s="6" t="str">
        <f ca="1">IFERROR(__xludf.DUMMYFUNCTION("""COMPUTED_VALUE"""),"03 ORL")</f>
        <v>03 ORL</v>
      </c>
      <c r="N311" s="6" t="str">
        <f ca="1">IFERROR(__xludf.DUMMYFUNCTION("""COMPUTED_VALUE"""),"06 ORL")</f>
        <v>06 ORL</v>
      </c>
      <c r="O311" s="6" t="str">
        <f ca="1">IFERROR(__xludf.DUMMYFUNCTION("""COMPUTED_VALUE"""),"Dra, Raquel Solís Vázquez")</f>
        <v>Dra, Raquel Solís Vázquez</v>
      </c>
      <c r="P311" s="6" t="str">
        <f ca="1">IFERROR(__xludf.DUMMYFUNCTION("""COMPUTED_VALUE"""),"Luis Alberto Rodríguez (Andalucía y Badajoz)")</f>
        <v>Luis Alberto Rodríguez (Andalucía y Badajoz)</v>
      </c>
    </row>
    <row r="312" spans="2:16">
      <c r="B312" s="33">
        <f ca="1">IFERROR(__xludf.DUMMYFUNCTION("""COMPUTED_VALUE"""),2026)</f>
        <v>2026</v>
      </c>
      <c r="C312" s="15">
        <f ca="1">IFERROR(__xludf.DUMMYFUNCTION("""COMPUTED_VALUE"""),3)</f>
        <v>3</v>
      </c>
      <c r="D312" s="6" t="str">
        <f ca="1">IFERROR(__xludf.DUMMYFUNCTION("""COMPUTED_VALUE"""),"NO")</f>
        <v>NO</v>
      </c>
      <c r="E312" s="6" t="str">
        <f ca="1">IFERROR(__xludf.DUMMYFUNCTION("""COMPUTED_VALUE"""),"Madrid- Juan Bravo")</f>
        <v>Madrid- Juan Bravo</v>
      </c>
      <c r="F312" s="16">
        <f ca="1">IFERROR(__xludf.DUMMYFUNCTION("""COMPUTED_VALUE"""),46086)</f>
        <v>46086</v>
      </c>
      <c r="G312" s="16">
        <f ca="1">IFERROR(__xludf.DUMMYFUNCTION("""COMPUTED_VALUE"""),46043)</f>
        <v>46043</v>
      </c>
      <c r="H312" s="6" t="str">
        <f ca="1">IFERROR(__xludf.DUMMYFUNCTION("""COMPUTED_VALUE"""),"Juan Bravo")</f>
        <v>Juan Bravo</v>
      </c>
      <c r="I312" s="6" t="str">
        <f ca="1">IFERROR(__xludf.DUMMYFUNCTION("""COMPUTED_VALUE"""),"C202612194212888765")</f>
        <v>C202612194212888765</v>
      </c>
      <c r="J312" s="6" t="str">
        <f ca="1">IFERROR(__xludf.DUMMYFUNCTION("""COMPUTED_VALUE"""),"JESUS CARLOS BRIZ PINDAO")</f>
        <v>JESUS CARLOS BRIZ PINDAO</v>
      </c>
      <c r="K312" s="15">
        <f ca="1">IFERROR(__xludf.DUMMYFUNCTION("""COMPUTED_VALUE"""),2)</f>
        <v>2</v>
      </c>
      <c r="L312" s="21">
        <f ca="1">IFERROR(__xludf.DUMMYFUNCTION("""COMPUTED_VALUE"""),2718.18)</f>
        <v>2718.18</v>
      </c>
      <c r="M312" s="6" t="str">
        <f ca="1">IFERROR(__xludf.DUMMYFUNCTION("""COMPUTED_VALUE"""),"03 ORL")</f>
        <v>03 ORL</v>
      </c>
      <c r="N312" s="6" t="str">
        <f ca="1">IFERROR(__xludf.DUMMYFUNCTION("""COMPUTED_VALUE"""),"22 AUDIOMETRIA CLINICA")</f>
        <v>22 AUDIOMETRIA CLINICA</v>
      </c>
      <c r="O312" s="6" t="str">
        <f ca="1">IFERROR(__xludf.DUMMYFUNCTION("""COMPUTED_VALUE"""),"Dr, Antonio Rodríguez Rivero")</f>
        <v>Dr, Antonio Rodríguez Rivero</v>
      </c>
      <c r="P312" s="6" t="str">
        <f ca="1">IFERROR(__xludf.DUMMYFUNCTION("""COMPUTED_VALUE"""),"Maika Blázquez (Madrid)")</f>
        <v>Maika Blázquez (Madrid)</v>
      </c>
    </row>
    <row r="313" spans="2:16">
      <c r="B313" s="33">
        <f ca="1">IFERROR(__xludf.DUMMYFUNCTION("""COMPUTED_VALUE"""),2026)</f>
        <v>2026</v>
      </c>
      <c r="C313" s="15">
        <f ca="1">IFERROR(__xludf.DUMMYFUNCTION("""COMPUTED_VALUE"""),3)</f>
        <v>3</v>
      </c>
      <c r="D313" s="6" t="str">
        <f ca="1">IFERROR(__xludf.DUMMYFUNCTION("""COMPUTED_VALUE"""),"NO")</f>
        <v>NO</v>
      </c>
      <c r="E313" s="6" t="str">
        <f ca="1">IFERROR(__xludf.DUMMYFUNCTION("""COMPUTED_VALUE"""),"Lugo")</f>
        <v>Lugo</v>
      </c>
      <c r="F313" s="16">
        <f ca="1">IFERROR(__xludf.DUMMYFUNCTION("""COMPUTED_VALUE"""),46087)</f>
        <v>46087</v>
      </c>
      <c r="G313" s="16">
        <f ca="1">IFERROR(__xludf.DUMMYFUNCTION("""COMPUTED_VALUE"""),46063)</f>
        <v>46063</v>
      </c>
      <c r="H313" s="6" t="str">
        <f ca="1">IFERROR(__xludf.DUMMYFUNCTION("""COMPUTED_VALUE"""),"Lugo")</f>
        <v>Lugo</v>
      </c>
      <c r="I313" s="6" t="str">
        <f ca="1">IFERROR(__xludf.DUMMYFUNCTION("""COMPUTED_VALUE"""),"C202621010559256864")</f>
        <v>C202621010559256864</v>
      </c>
      <c r="J313" s="6" t="str">
        <f ca="1">IFERROR(__xludf.DUMMYFUNCTION("""COMPUTED_VALUE"""),"ARMANDO VIDAL VILLMARÍN")</f>
        <v>ARMANDO VIDAL VILLMARÍN</v>
      </c>
      <c r="K313" s="15">
        <f ca="1">IFERROR(__xludf.DUMMYFUNCTION("""COMPUTED_VALUE"""),2)</f>
        <v>2</v>
      </c>
      <c r="L313" s="21">
        <f ca="1">IFERROR(__xludf.DUMMYFUNCTION("""COMPUTED_VALUE"""),2918.18)</f>
        <v>2918.18</v>
      </c>
      <c r="M313" s="6" t="str">
        <f ca="1">IFERROR(__xludf.DUMMYFUNCTION("""COMPUTED_VALUE"""),"03 ORL")</f>
        <v>03 ORL</v>
      </c>
      <c r="N313" s="6" t="str">
        <f ca="1">IFERROR(__xludf.DUMMYFUNCTION("""COMPUTED_VALUE"""),"06 ORL")</f>
        <v>06 ORL</v>
      </c>
      <c r="O313" s="6" t="str">
        <f ca="1">IFERROR(__xludf.DUMMYFUNCTION("""COMPUTED_VALUE"""),"Dr, Pedro Juiz López")</f>
        <v>Dr, Pedro Juiz López</v>
      </c>
      <c r="P313" s="6" t="str">
        <f ca="1">IFERROR(__xludf.DUMMYFUNCTION("""COMPUTED_VALUE"""),"KiKo Ortega (Galicia)")</f>
        <v>KiKo Ortega (Galicia)</v>
      </c>
    </row>
    <row r="314" spans="2:16">
      <c r="B314" s="33">
        <f ca="1">IFERROR(__xludf.DUMMYFUNCTION("""COMPUTED_VALUE"""),2026)</f>
        <v>2026</v>
      </c>
      <c r="C314" s="15">
        <f ca="1">IFERROR(__xludf.DUMMYFUNCTION("""COMPUTED_VALUE"""),3)</f>
        <v>3</v>
      </c>
      <c r="D314" s="6" t="str">
        <f ca="1">IFERROR(__xludf.DUMMYFUNCTION("""COMPUTED_VALUE"""),"NO")</f>
        <v>NO</v>
      </c>
      <c r="E314" s="6" t="str">
        <f ca="1">IFERROR(__xludf.DUMMYFUNCTION("""COMPUTED_VALUE"""),"Leganés")</f>
        <v>Leganés</v>
      </c>
      <c r="F314" s="16">
        <f ca="1">IFERROR(__xludf.DUMMYFUNCTION("""COMPUTED_VALUE"""),46087)</f>
        <v>46087</v>
      </c>
      <c r="G314" s="16">
        <f ca="1">IFERROR(__xludf.DUMMYFUNCTION("""COMPUTED_VALUE"""),46044)</f>
        <v>46044</v>
      </c>
      <c r="H314" s="6" t="str">
        <f ca="1">IFERROR(__xludf.DUMMYFUNCTION("""COMPUTED_VALUE"""),"Leganés")</f>
        <v>Leganés</v>
      </c>
      <c r="I314" s="6" t="str">
        <f ca="1">IFERROR(__xludf.DUMMYFUNCTION("""COMPUTED_VALUE"""),"C202612217611917668")</f>
        <v>C202612217611917668</v>
      </c>
      <c r="J314" s="6" t="str">
        <f ca="1">IFERROR(__xludf.DUMMYFUNCTION("""COMPUTED_VALUE"""),"MARIA JESÚS MANJÓN CABIDA")</f>
        <v>MARIA JESÚS MANJÓN CABIDA</v>
      </c>
      <c r="K314" s="15">
        <f ca="1">IFERROR(__xludf.DUMMYFUNCTION("""COMPUTED_VALUE"""),1)</f>
        <v>1</v>
      </c>
      <c r="L314" s="21">
        <f ca="1">IFERROR(__xludf.DUMMYFUNCTION("""COMPUTED_VALUE"""),2180.91)</f>
        <v>2180.91</v>
      </c>
      <c r="M314" s="6" t="str">
        <f ca="1">IFERROR(__xludf.DUMMYFUNCTION("""COMPUTED_VALUE"""),"03 ORL")</f>
        <v>03 ORL</v>
      </c>
      <c r="N314" s="6" t="str">
        <f ca="1">IFERROR(__xludf.DUMMYFUNCTION("""COMPUTED_VALUE"""),"06 ORL")</f>
        <v>06 ORL</v>
      </c>
      <c r="O314" s="6" t="str">
        <f ca="1">IFERROR(__xludf.DUMMYFUNCTION("""COMPUTED_VALUE"""),"Dr, Guillermo Plaza Mayor")</f>
        <v>Dr, Guillermo Plaza Mayor</v>
      </c>
      <c r="P314" s="6" t="str">
        <f ca="1">IFERROR(__xludf.DUMMYFUNCTION("""COMPUTED_VALUE"""),"Maika Blázquez (Madrid)")</f>
        <v>Maika Blázquez (Madrid)</v>
      </c>
    </row>
    <row r="315" spans="2:16">
      <c r="B315" s="33">
        <f ca="1">IFERROR(__xludf.DUMMYFUNCTION("""COMPUTED_VALUE"""),2026)</f>
        <v>2026</v>
      </c>
      <c r="C315" s="15">
        <f ca="1">IFERROR(__xludf.DUMMYFUNCTION("""COMPUTED_VALUE"""),3)</f>
        <v>3</v>
      </c>
      <c r="D315" s="6" t="str">
        <f ca="1">IFERROR(__xludf.DUMMYFUNCTION("""COMPUTED_VALUE"""),"NO")</f>
        <v>NO</v>
      </c>
      <c r="E315" s="6" t="str">
        <f ca="1">IFERROR(__xludf.DUMMYFUNCTION("""COMPUTED_VALUE"""),"Jerez de la Frontera")</f>
        <v>Jerez de la Frontera</v>
      </c>
      <c r="F315" s="16">
        <f ca="1">IFERROR(__xludf.DUMMYFUNCTION("""COMPUTED_VALUE"""),46087)</f>
        <v>46087</v>
      </c>
      <c r="G315" s="16">
        <f ca="1">IFERROR(__xludf.DUMMYFUNCTION("""COMPUTED_VALUE"""),46055)</f>
        <v>46055</v>
      </c>
      <c r="H315" s="6" t="str">
        <f ca="1">IFERROR(__xludf.DUMMYFUNCTION("""COMPUTED_VALUE"""),"Jerez")</f>
        <v>Jerez</v>
      </c>
      <c r="I315" s="6" t="str">
        <f ca="1">IFERROR(__xludf.DUMMYFUNCTION("""COMPUTED_VALUE"""),"C202622121114157053")</f>
        <v>C202622121114157053</v>
      </c>
      <c r="J315" s="6" t="str">
        <f ca="1">IFERROR(__xludf.DUMMYFUNCTION("""COMPUTED_VALUE"""),"JOSE MARIA RUIZ VEGA")</f>
        <v>JOSE MARIA RUIZ VEGA</v>
      </c>
      <c r="K315" s="15">
        <f ca="1">IFERROR(__xludf.DUMMYFUNCTION("""COMPUTED_VALUE"""),2)</f>
        <v>2</v>
      </c>
      <c r="L315" s="21">
        <f ca="1">IFERROR(__xludf.DUMMYFUNCTION("""COMPUTED_VALUE"""),3631.82)</f>
        <v>3631.82</v>
      </c>
      <c r="M315" s="6" t="str">
        <f ca="1">IFERROR(__xludf.DUMMYFUNCTION("""COMPUTED_VALUE"""),"03 ORL")</f>
        <v>03 ORL</v>
      </c>
      <c r="N315" s="6" t="str">
        <f ca="1">IFERROR(__xludf.DUMMYFUNCTION("""COMPUTED_VALUE"""),"06 ORL")</f>
        <v>06 ORL</v>
      </c>
      <c r="O315" s="6" t="str">
        <f ca="1">IFERROR(__xludf.DUMMYFUNCTION("""COMPUTED_VALUE"""),"Dra, Maria Del Carmen Salom Coveñas")</f>
        <v>Dra, Maria Del Carmen Salom Coveñas</v>
      </c>
      <c r="P315" s="6" t="str">
        <f ca="1">IFERROR(__xludf.DUMMYFUNCTION("""COMPUTED_VALUE"""),"Luis Alberto Rodríguez (Andalucía y Badajoz)")</f>
        <v>Luis Alberto Rodríguez (Andalucía y Badajoz)</v>
      </c>
    </row>
    <row r="316" spans="2:16">
      <c r="B316" s="33">
        <f ca="1">IFERROR(__xludf.DUMMYFUNCTION("""COMPUTED_VALUE"""),2026)</f>
        <v>2026</v>
      </c>
      <c r="C316" s="15">
        <f ca="1">IFERROR(__xludf.DUMMYFUNCTION("""COMPUTED_VALUE"""),3)</f>
        <v>3</v>
      </c>
      <c r="D316" s="6" t="str">
        <f ca="1">IFERROR(__xludf.DUMMYFUNCTION("""COMPUTED_VALUE"""),"NO")</f>
        <v>NO</v>
      </c>
      <c r="E316" s="6" t="str">
        <f ca="1">IFERROR(__xludf.DUMMYFUNCTION("""COMPUTED_VALUE"""),"Valencia- Cádiz")</f>
        <v>Valencia- Cádiz</v>
      </c>
      <c r="F316" s="16">
        <f ca="1">IFERROR(__xludf.DUMMYFUNCTION("""COMPUTED_VALUE"""),46087)</f>
        <v>46087</v>
      </c>
      <c r="G316" s="16">
        <f ca="1">IFERROR(__xludf.DUMMYFUNCTION("""COMPUTED_VALUE"""),46037)</f>
        <v>46037</v>
      </c>
      <c r="H316" s="6" t="str">
        <f ca="1">IFERROR(__xludf.DUMMYFUNCTION("""COMPUTED_VALUE"""),"Valencia- Cádiz")</f>
        <v>Valencia- Cádiz</v>
      </c>
      <c r="I316" s="6" t="str">
        <f ca="1">IFERROR(__xludf.DUMMYFUNCTION("""COMPUTED_VALUE"""),"C202611593737313090")</f>
        <v>C202611593737313090</v>
      </c>
      <c r="J316" s="6" t="str">
        <f ca="1">IFERROR(__xludf.DUMMYFUNCTION("""COMPUTED_VALUE"""),"JOSEFA PUERTAS FENOLLAR")</f>
        <v>JOSEFA PUERTAS FENOLLAR</v>
      </c>
      <c r="K316" s="15">
        <f ca="1">IFERROR(__xludf.DUMMYFUNCTION("""COMPUTED_VALUE"""),2)</f>
        <v>2</v>
      </c>
      <c r="L316" s="21">
        <f ca="1">IFERROR(__xludf.DUMMYFUNCTION("""COMPUTED_VALUE"""),2718.18)</f>
        <v>2718.18</v>
      </c>
      <c r="M316" s="6" t="str">
        <f ca="1">IFERROR(__xludf.DUMMYFUNCTION("""COMPUTED_VALUE"""),"03 ORL")</f>
        <v>03 ORL</v>
      </c>
      <c r="N316" s="6" t="str">
        <f ca="1">IFERROR(__xludf.DUMMYFUNCTION("""COMPUTED_VALUE"""),"06 ORL")</f>
        <v>06 ORL</v>
      </c>
      <c r="O316" s="6" t="str">
        <f ca="1">IFERROR(__xludf.DUMMYFUNCTION("""COMPUTED_VALUE"""),"Dr, Abel Guzmán Calvete")</f>
        <v>Dr, Abel Guzmán Calvete</v>
      </c>
      <c r="P316" s="6" t="str">
        <f ca="1">IFERROR(__xludf.DUMMYFUNCTION("""COMPUTED_VALUE"""),"Ramon Ferrando(Valencia)")</f>
        <v>Ramon Ferrando(Valencia)</v>
      </c>
    </row>
    <row r="317" spans="2:16">
      <c r="B317" s="33">
        <f ca="1">IFERROR(__xludf.DUMMYFUNCTION("""COMPUTED_VALUE"""),2026)</f>
        <v>2026</v>
      </c>
      <c r="C317" s="15">
        <f ca="1">IFERROR(__xludf.DUMMYFUNCTION("""COMPUTED_VALUE"""),3)</f>
        <v>3</v>
      </c>
      <c r="D317" s="6" t="str">
        <f ca="1">IFERROR(__xludf.DUMMYFUNCTION("""COMPUTED_VALUE"""),"NO")</f>
        <v>NO</v>
      </c>
      <c r="E317" s="6" t="str">
        <f ca="1">IFERROR(__xludf.DUMMYFUNCTION("""COMPUTED_VALUE"""),"Alcorcón")</f>
        <v>Alcorcón</v>
      </c>
      <c r="F317" s="16">
        <f ca="1">IFERROR(__xludf.DUMMYFUNCTION("""COMPUTED_VALUE"""),46087)</f>
        <v>46087</v>
      </c>
      <c r="G317" s="16">
        <f ca="1">IFERROR(__xludf.DUMMYFUNCTION("""COMPUTED_VALUE"""),45910)</f>
        <v>45910</v>
      </c>
      <c r="H317" s="6" t="str">
        <f ca="1">IFERROR(__xludf.DUMMYFUNCTION("""COMPUTED_VALUE"""),"Alcorcón")</f>
        <v>Alcorcón</v>
      </c>
      <c r="I317" s="6" t="str">
        <f ca="1">IFERROR(__xludf.DUMMYFUNCTION("""COMPUTED_VALUE"""),"C2025912124743909")</f>
        <v>C2025912124743909</v>
      </c>
      <c r="J317" s="6" t="str">
        <f ca="1">IFERROR(__xludf.DUMMYFUNCTION("""COMPUTED_VALUE"""),"MARIA CONCEPCION GARROTE HERNANDEZ")</f>
        <v>MARIA CONCEPCION GARROTE HERNANDEZ</v>
      </c>
      <c r="K317" s="15">
        <f ca="1">IFERROR(__xludf.DUMMYFUNCTION("""COMPUTED_VALUE"""),1)</f>
        <v>1</v>
      </c>
      <c r="L317" s="21">
        <f ca="1">IFERROR(__xludf.DUMMYFUNCTION("""COMPUTED_VALUE"""),1240.91)</f>
        <v>1240.9100000000001</v>
      </c>
      <c r="M317" s="6" t="str">
        <f ca="1">IFERROR(__xludf.DUMMYFUNCTION("""COMPUTED_VALUE"""),"03 ORL")</f>
        <v>03 ORL</v>
      </c>
      <c r="N317" s="6" t="str">
        <f ca="1">IFERROR(__xludf.DUMMYFUNCTION("""COMPUTED_VALUE"""),"06 ORL")</f>
        <v>06 ORL</v>
      </c>
      <c r="O317" s="6" t="str">
        <f ca="1">IFERROR(__xludf.DUMMYFUNCTION("""COMPUTED_VALUE"""),"Dr, Adolfo Toledano Muñoz")</f>
        <v>Dr, Adolfo Toledano Muñoz</v>
      </c>
      <c r="P317" s="6" t="str">
        <f ca="1">IFERROR(__xludf.DUMMYFUNCTION("""COMPUTED_VALUE"""),"Maika Blázquez (Madrid)")</f>
        <v>Maika Blázquez (Madrid)</v>
      </c>
    </row>
    <row r="318" spans="2:16">
      <c r="B318" s="33">
        <f ca="1">IFERROR(__xludf.DUMMYFUNCTION("""COMPUTED_VALUE"""),2026)</f>
        <v>2026</v>
      </c>
      <c r="C318" s="15">
        <f ca="1">IFERROR(__xludf.DUMMYFUNCTION("""COMPUTED_VALUE"""),3)</f>
        <v>3</v>
      </c>
      <c r="D318" s="6" t="str">
        <f ca="1">IFERROR(__xludf.DUMMYFUNCTION("""COMPUTED_VALUE"""),"NO")</f>
        <v>NO</v>
      </c>
      <c r="E318" s="6" t="str">
        <f ca="1">IFERROR(__xludf.DUMMYFUNCTION("""COMPUTED_VALUE"""),"Madrid- Costa Rica")</f>
        <v>Madrid- Costa Rica</v>
      </c>
      <c r="F318" s="16">
        <f ca="1">IFERROR(__xludf.DUMMYFUNCTION("""COMPUTED_VALUE"""),46087)</f>
        <v>46087</v>
      </c>
      <c r="G318" s="16">
        <f ca="1">IFERROR(__xludf.DUMMYFUNCTION("""COMPUTED_VALUE"""),46035)</f>
        <v>46035</v>
      </c>
      <c r="H318" s="6" t="str">
        <f ca="1">IFERROR(__xludf.DUMMYFUNCTION("""COMPUTED_VALUE"""),"Costa Rica")</f>
        <v>Costa Rica</v>
      </c>
      <c r="I318" s="6" t="str">
        <f ca="1">IFERROR(__xludf.DUMMYFUNCTION("""COMPUTED_VALUE"""),"C202611317543889810")</f>
        <v>C202611317543889810</v>
      </c>
      <c r="J318" s="6" t="str">
        <f ca="1">IFERROR(__xludf.DUMMYFUNCTION("""COMPUTED_VALUE"""),"MARIA DEL CARMEN DE CASTRO MOLINERO")</f>
        <v>MARIA DEL CARMEN DE CASTRO MOLINERO</v>
      </c>
      <c r="K318" s="15">
        <f ca="1">IFERROR(__xludf.DUMMYFUNCTION("""COMPUTED_VALUE"""),2)</f>
        <v>2</v>
      </c>
      <c r="L318" s="21">
        <f ca="1">IFERROR(__xludf.DUMMYFUNCTION("""COMPUTED_VALUE"""),2718.18)</f>
        <v>2718.18</v>
      </c>
      <c r="M318" s="6" t="str">
        <f ca="1">IFERROR(__xludf.DUMMYFUNCTION("""COMPUTED_VALUE"""),"03 ORL")</f>
        <v>03 ORL</v>
      </c>
      <c r="N318" s="6" t="str">
        <f ca="1">IFERROR(__xludf.DUMMYFUNCTION("""COMPUTED_VALUE"""),"06 ORL")</f>
        <v>06 ORL</v>
      </c>
      <c r="O318" s="6" t="str">
        <f ca="1">IFERROR(__xludf.DUMMYFUNCTION("""COMPUTED_VALUE"""),"Dr, Guillermo San Juan de la Moreta")</f>
        <v>Dr, Guillermo San Juan de la Moreta</v>
      </c>
      <c r="P318" s="6" t="str">
        <f ca="1">IFERROR(__xludf.DUMMYFUNCTION("""COMPUTED_VALUE"""),"Maika Blázquez (Madrid)")</f>
        <v>Maika Blázquez (Madrid)</v>
      </c>
    </row>
    <row r="319" spans="2:16">
      <c r="B319" s="33">
        <f ca="1">IFERROR(__xludf.DUMMYFUNCTION("""COMPUTED_VALUE"""),2026)</f>
        <v>2026</v>
      </c>
      <c r="C319" s="15">
        <f ca="1">IFERROR(__xludf.DUMMYFUNCTION("""COMPUTED_VALUE"""),3)</f>
        <v>3</v>
      </c>
      <c r="D319" s="6" t="str">
        <f ca="1">IFERROR(__xludf.DUMMYFUNCTION("""COMPUTED_VALUE"""),"NO")</f>
        <v>NO</v>
      </c>
      <c r="E319" s="6" t="str">
        <f ca="1">IFERROR(__xludf.DUMMYFUNCTION("""COMPUTED_VALUE"""),"Ponferrada")</f>
        <v>Ponferrada</v>
      </c>
      <c r="F319" s="16">
        <f ca="1">IFERROR(__xludf.DUMMYFUNCTION("""COMPUTED_VALUE"""),46090)</f>
        <v>46090</v>
      </c>
      <c r="G319" s="16">
        <f ca="1">IFERROR(__xludf.DUMMYFUNCTION("""COMPUTED_VALUE"""),46024)</f>
        <v>46024</v>
      </c>
      <c r="H319" s="6" t="str">
        <f ca="1">IFERROR(__xludf.DUMMYFUNCTION("""COMPUTED_VALUE"""),"Ponferrada")</f>
        <v>Ponferrada</v>
      </c>
      <c r="I319" s="6" t="str">
        <f ca="1">IFERROR(__xludf.DUMMYFUNCTION("""COMPUTED_VALUE"""),"C202612102311216182")</f>
        <v>C202612102311216182</v>
      </c>
      <c r="J319" s="6" t="str">
        <f ca="1">IFERROR(__xludf.DUMMYFUNCTION("""COMPUTED_VALUE"""),"MARCELINA RODRIGUEZ CASARES")</f>
        <v>MARCELINA RODRIGUEZ CASARES</v>
      </c>
      <c r="K319" s="15">
        <f ca="1">IFERROR(__xludf.DUMMYFUNCTION("""COMPUTED_VALUE"""),1)</f>
        <v>1</v>
      </c>
      <c r="L319" s="21">
        <f ca="1">IFERROR(__xludf.DUMMYFUNCTION("""COMPUTED_VALUE"""),1909.09)</f>
        <v>1909.09</v>
      </c>
      <c r="M319" s="6" t="str">
        <f ca="1">IFERROR(__xludf.DUMMYFUNCTION("""COMPUTED_VALUE"""),"03 ORL")</f>
        <v>03 ORL</v>
      </c>
      <c r="N319" s="6" t="str">
        <f ca="1">IFERROR(__xludf.DUMMYFUNCTION("""COMPUTED_VALUE"""),"06 ORL")</f>
        <v>06 ORL</v>
      </c>
      <c r="O319" s="6" t="str">
        <f ca="1">IFERROR(__xludf.DUMMYFUNCTION("""COMPUTED_VALUE"""),"Dra, Diana Lysbeth Lourido Piedrahita")</f>
        <v>Dra, Diana Lysbeth Lourido Piedrahita</v>
      </c>
      <c r="P319" s="6" t="str">
        <f ca="1">IFERROR(__xludf.DUMMYFUNCTION("""COMPUTED_VALUE"""),"Alberto Moreno (Madrid)")</f>
        <v>Alberto Moreno (Madrid)</v>
      </c>
    </row>
    <row r="320" spans="2:16">
      <c r="B320" s="33">
        <f ca="1">IFERROR(__xludf.DUMMYFUNCTION("""COMPUTED_VALUE"""),2026)</f>
        <v>2026</v>
      </c>
      <c r="C320" s="15">
        <f ca="1">IFERROR(__xludf.DUMMYFUNCTION("""COMPUTED_VALUE"""),3)</f>
        <v>3</v>
      </c>
      <c r="D320" s="6" t="str">
        <f ca="1">IFERROR(__xludf.DUMMYFUNCTION("""COMPUTED_VALUE"""),"NO")</f>
        <v>NO</v>
      </c>
      <c r="E320" s="6" t="str">
        <f ca="1">IFERROR(__xludf.DUMMYFUNCTION("""COMPUTED_VALUE"""),"Logroño")</f>
        <v>Logroño</v>
      </c>
      <c r="F320" s="16">
        <f ca="1">IFERROR(__xludf.DUMMYFUNCTION("""COMPUTED_VALUE"""),46090)</f>
        <v>46090</v>
      </c>
      <c r="G320" s="16">
        <f ca="1">IFERROR(__xludf.DUMMYFUNCTION("""COMPUTED_VALUE"""),46083)</f>
        <v>46083</v>
      </c>
      <c r="H320" s="6" t="str">
        <f ca="1">IFERROR(__xludf.DUMMYFUNCTION("""COMPUTED_VALUE"""),"Logroño")</f>
        <v>Logroño</v>
      </c>
      <c r="I320" s="6" t="str">
        <f ca="1">IFERROR(__xludf.DUMMYFUNCTION("""COMPUTED_VALUE"""),"C202632125733295959")</f>
        <v>C202632125733295959</v>
      </c>
      <c r="J320" s="6" t="str">
        <f ca="1">IFERROR(__xludf.DUMMYFUNCTION("""COMPUTED_VALUE"""),"RUFINO JOSE EZQUERRO JULVE")</f>
        <v>RUFINO JOSE EZQUERRO JULVE</v>
      </c>
      <c r="K320" s="15">
        <f ca="1">IFERROR(__xludf.DUMMYFUNCTION("""COMPUTED_VALUE"""),1)</f>
        <v>1</v>
      </c>
      <c r="L320" s="21">
        <f ca="1">IFERROR(__xludf.DUMMYFUNCTION("""COMPUTED_VALUE"""),2481.82)</f>
        <v>2481.8200000000002</v>
      </c>
      <c r="M320" s="6" t="str">
        <f ca="1">IFERROR(__xludf.DUMMYFUNCTION("""COMPUTED_VALUE"""),"03 ORL")</f>
        <v>03 ORL</v>
      </c>
      <c r="N320" s="6" t="str">
        <f ca="1">IFERROR(__xludf.DUMMYFUNCTION("""COMPUTED_VALUE"""),"06 ORL")</f>
        <v>06 ORL</v>
      </c>
      <c r="O320" s="6" t="str">
        <f ca="1">IFERROR(__xludf.DUMMYFUNCTION("""COMPUTED_VALUE"""),"No recuerda ORL")</f>
        <v>No recuerda ORL</v>
      </c>
      <c r="P320" s="6" t="str">
        <f ca="1">IFERROR(__xludf.DUMMYFUNCTION("""COMPUTED_VALUE"""),"Lisandro Russian (Madrid, Cáceres, Toledo, Talavera y Logroño)")</f>
        <v>Lisandro Russian (Madrid, Cáceres, Toledo, Talavera y Logroño)</v>
      </c>
    </row>
    <row r="321" spans="2:16">
      <c r="B321" s="33">
        <f ca="1">IFERROR(__xludf.DUMMYFUNCTION("""COMPUTED_VALUE"""),2026)</f>
        <v>2026</v>
      </c>
      <c r="C321" s="15">
        <f ca="1">IFERROR(__xludf.DUMMYFUNCTION("""COMPUTED_VALUE"""),3)</f>
        <v>3</v>
      </c>
      <c r="D321" s="6" t="str">
        <f ca="1">IFERROR(__xludf.DUMMYFUNCTION("""COMPUTED_VALUE"""),"NO")</f>
        <v>NO</v>
      </c>
      <c r="E321" s="6" t="str">
        <f ca="1">IFERROR(__xludf.DUMMYFUNCTION("""COMPUTED_VALUE"""),"Ponferrada")</f>
        <v>Ponferrada</v>
      </c>
      <c r="F321" s="16">
        <f ca="1">IFERROR(__xludf.DUMMYFUNCTION("""COMPUTED_VALUE"""),46090)</f>
        <v>46090</v>
      </c>
      <c r="G321" s="16">
        <f ca="1">IFERROR(__xludf.DUMMYFUNCTION("""COMPUTED_VALUE"""),46090)</f>
        <v>46090</v>
      </c>
      <c r="H321" s="6" t="str">
        <f ca="1">IFERROR(__xludf.DUMMYFUNCTION("""COMPUTED_VALUE"""),"Ponferrada")</f>
        <v>Ponferrada</v>
      </c>
      <c r="I321" s="6" t="str">
        <f ca="1">IFERROR(__xludf.DUMMYFUNCTION("""COMPUTED_VALUE"""),"C202639113431676201")</f>
        <v>C202639113431676201</v>
      </c>
      <c r="J321" s="6" t="str">
        <f ca="1">IFERROR(__xludf.DUMMYFUNCTION("""COMPUTED_VALUE"""),"JOSE MANUEL RODERA PEREZ [CARLA RODERA MARTINEZ]")</f>
        <v>JOSE MANUEL RODERA PEREZ [CARLA RODERA MARTINEZ]</v>
      </c>
      <c r="K321" s="15">
        <f ca="1">IFERROR(__xludf.DUMMYFUNCTION("""COMPUTED_VALUE"""),2)</f>
        <v>2</v>
      </c>
      <c r="L321" s="21">
        <f ca="1">IFERROR(__xludf.DUMMYFUNCTION("""COMPUTED_VALUE"""),3909.09)</f>
        <v>3909.09</v>
      </c>
      <c r="M321" s="6" t="str">
        <f ca="1">IFERROR(__xludf.DUMMYFUNCTION("""COMPUTED_VALUE"""),"03 ORL")</f>
        <v>03 ORL</v>
      </c>
      <c r="N321" s="6" t="str">
        <f ca="1">IFERROR(__xludf.DUMMYFUNCTION("""COMPUTED_VALUE"""),"06 ORL")</f>
        <v>06 ORL</v>
      </c>
      <c r="O321" s="6" t="str">
        <f ca="1">IFERROR(__xludf.DUMMYFUNCTION("""COMPUTED_VALUE"""),"Dra, Diana Lysbeth Lourido Piedrahita")</f>
        <v>Dra, Diana Lysbeth Lourido Piedrahita</v>
      </c>
      <c r="P321" s="6" t="str">
        <f ca="1">IFERROR(__xludf.DUMMYFUNCTION("""COMPUTED_VALUE"""),"Alberto Moreno (Madrid)")</f>
        <v>Alberto Moreno (Madrid)</v>
      </c>
    </row>
    <row r="322" spans="2:16">
      <c r="B322" s="33">
        <f ca="1">IFERROR(__xludf.DUMMYFUNCTION("""COMPUTED_VALUE"""),2026)</f>
        <v>2026</v>
      </c>
      <c r="C322" s="15">
        <f ca="1">IFERROR(__xludf.DUMMYFUNCTION("""COMPUTED_VALUE"""),3)</f>
        <v>3</v>
      </c>
      <c r="D322" s="6" t="str">
        <f ca="1">IFERROR(__xludf.DUMMYFUNCTION("""COMPUTED_VALUE"""),"NO")</f>
        <v>NO</v>
      </c>
      <c r="E322" s="6" t="str">
        <f ca="1">IFERROR(__xludf.DUMMYFUNCTION("""COMPUTED_VALUE"""),"Murcia")</f>
        <v>Murcia</v>
      </c>
      <c r="F322" s="16">
        <f ca="1">IFERROR(__xludf.DUMMYFUNCTION("""COMPUTED_VALUE"""),46090)</f>
        <v>46090</v>
      </c>
      <c r="G322" s="16">
        <f ca="1">IFERROR(__xludf.DUMMYFUNCTION("""COMPUTED_VALUE"""),46037)</f>
        <v>46037</v>
      </c>
      <c r="H322" s="6" t="str">
        <f ca="1">IFERROR(__xludf.DUMMYFUNCTION("""COMPUTED_VALUE"""),"Murcia")</f>
        <v>Murcia</v>
      </c>
      <c r="I322" s="6" t="str">
        <f ca="1">IFERROR(__xludf.DUMMYFUNCTION("""COMPUTED_VALUE"""),"C202611517324913825")</f>
        <v>C202611517324913825</v>
      </c>
      <c r="J322" s="6" t="str">
        <f ca="1">IFERROR(__xludf.DUMMYFUNCTION("""COMPUTED_VALUE"""),"MARIA  RUIZ JIMENEZ")</f>
        <v>MARIA  RUIZ JIMENEZ</v>
      </c>
      <c r="K322" s="15">
        <f ca="1">IFERROR(__xludf.DUMMYFUNCTION("""COMPUTED_VALUE"""),1)</f>
        <v>1</v>
      </c>
      <c r="L322" s="21">
        <f ca="1">IFERROR(__xludf.DUMMYFUNCTION("""COMPUTED_VALUE"""),2481.82)</f>
        <v>2481.8200000000002</v>
      </c>
      <c r="M322" s="6" t="str">
        <f ca="1">IFERROR(__xludf.DUMMYFUNCTION("""COMPUTED_VALUE"""),"03 ORL")</f>
        <v>03 ORL</v>
      </c>
      <c r="N322" s="6" t="str">
        <f ca="1">IFERROR(__xludf.DUMMYFUNCTION("""COMPUTED_VALUE"""),"06 ORL")</f>
        <v>06 ORL</v>
      </c>
      <c r="O322" s="6" t="str">
        <f ca="1">IFERROR(__xludf.DUMMYFUNCTION("""COMPUTED_VALUE"""),"Dra, María Agustina Sevilla García")</f>
        <v>Dra, María Agustina Sevilla García</v>
      </c>
      <c r="P322" s="6" t="str">
        <f ca="1">IFERROR(__xludf.DUMMYFUNCTION("""COMPUTED_VALUE"""),"Iván Sánchez (Levante y Albacete)")</f>
        <v>Iván Sánchez (Levante y Albacete)</v>
      </c>
    </row>
    <row r="323" spans="2:16">
      <c r="B323" s="33">
        <f ca="1">IFERROR(__xludf.DUMMYFUNCTION("""COMPUTED_VALUE"""),2026)</f>
        <v>2026</v>
      </c>
      <c r="C323" s="15">
        <f ca="1">IFERROR(__xludf.DUMMYFUNCTION("""COMPUTED_VALUE"""),3)</f>
        <v>3</v>
      </c>
      <c r="D323" s="6" t="str">
        <f ca="1">IFERROR(__xludf.DUMMYFUNCTION("""COMPUTED_VALUE"""),"NO")</f>
        <v>NO</v>
      </c>
      <c r="E323" s="6" t="str">
        <f ca="1">IFERROR(__xludf.DUMMYFUNCTION("""COMPUTED_VALUE"""),"Móstoles")</f>
        <v>Móstoles</v>
      </c>
      <c r="F323" s="16">
        <f ca="1">IFERROR(__xludf.DUMMYFUNCTION("""COMPUTED_VALUE"""),46090)</f>
        <v>46090</v>
      </c>
      <c r="G323" s="16">
        <f ca="1">IFERROR(__xludf.DUMMYFUNCTION("""COMPUTED_VALUE"""),46077)</f>
        <v>46077</v>
      </c>
      <c r="H323" s="6" t="str">
        <f ca="1">IFERROR(__xludf.DUMMYFUNCTION("""COMPUTED_VALUE"""),"Móstoles")</f>
        <v>Móstoles</v>
      </c>
      <c r="I323" s="6" t="str">
        <f ca="1">IFERROR(__xludf.DUMMYFUNCTION("""COMPUTED_VALUE"""),"C202622410524405030")</f>
        <v>C202622410524405030</v>
      </c>
      <c r="J323" s="6" t="str">
        <f ca="1">IFERROR(__xludf.DUMMYFUNCTION("""COMPUTED_VALUE"""),"JOAQUIN CARRASCO TAGLE")</f>
        <v>JOAQUIN CARRASCO TAGLE</v>
      </c>
      <c r="K323" s="15">
        <f ca="1">IFERROR(__xludf.DUMMYFUNCTION("""COMPUTED_VALUE"""),2)</f>
        <v>2</v>
      </c>
      <c r="L323" s="21">
        <f ca="1">IFERROR(__xludf.DUMMYFUNCTION("""COMPUTED_VALUE"""),3631.82)</f>
        <v>3631.82</v>
      </c>
      <c r="M323" s="6" t="str">
        <f ca="1">IFERROR(__xludf.DUMMYFUNCTION("""COMPUTED_VALUE"""),"03 ORL")</f>
        <v>03 ORL</v>
      </c>
      <c r="N323" s="6" t="str">
        <f ca="1">IFERROR(__xludf.DUMMYFUNCTION("""COMPUTED_VALUE"""),"06 ORL")</f>
        <v>06 ORL</v>
      </c>
      <c r="O323" s="6" t="str">
        <f ca="1">IFERROR(__xludf.DUMMYFUNCTION("""COMPUTED_VALUE"""),"Dr, Doctor Tomas Jesús Hunrubia Parra")</f>
        <v>Dr, Doctor Tomas Jesús Hunrubia Parra</v>
      </c>
      <c r="P323" s="6" t="str">
        <f ca="1">IFERROR(__xludf.DUMMYFUNCTION("""COMPUTED_VALUE"""),"Maika Blázquez (Madrid)")</f>
        <v>Maika Blázquez (Madrid)</v>
      </c>
    </row>
    <row r="324" spans="2:16">
      <c r="B324" s="33">
        <f ca="1">IFERROR(__xludf.DUMMYFUNCTION("""COMPUTED_VALUE"""),2026)</f>
        <v>2026</v>
      </c>
      <c r="C324" s="15">
        <f ca="1">IFERROR(__xludf.DUMMYFUNCTION("""COMPUTED_VALUE"""),3)</f>
        <v>3</v>
      </c>
      <c r="D324" s="6" t="str">
        <f ca="1">IFERROR(__xludf.DUMMYFUNCTION("""COMPUTED_VALUE"""),"NO")</f>
        <v>NO</v>
      </c>
      <c r="E324" s="6" t="str">
        <f ca="1">IFERROR(__xludf.DUMMYFUNCTION("""COMPUTED_VALUE"""),"Jerez de la Frontera")</f>
        <v>Jerez de la Frontera</v>
      </c>
      <c r="F324" s="16">
        <f ca="1">IFERROR(__xludf.DUMMYFUNCTION("""COMPUTED_VALUE"""),46091)</f>
        <v>46091</v>
      </c>
      <c r="G324" s="16">
        <f ca="1">IFERROR(__xludf.DUMMYFUNCTION("""COMPUTED_VALUE"""),46066)</f>
        <v>46066</v>
      </c>
      <c r="H324" s="6" t="str">
        <f ca="1">IFERROR(__xludf.DUMMYFUNCTION("""COMPUTED_VALUE"""),"Jerez")</f>
        <v>Jerez</v>
      </c>
      <c r="I324" s="6" t="str">
        <f ca="1">IFERROR(__xludf.DUMMYFUNCTION("""COMPUTED_VALUE"""),"C202621313435342663")</f>
        <v>C202621313435342663</v>
      </c>
      <c r="J324" s="6" t="str">
        <f ca="1">IFERROR(__xludf.DUMMYFUNCTION("""COMPUTED_VALUE"""),"FRANCISCO JAVIER FERNANDEZ ORTEGA")</f>
        <v>FRANCISCO JAVIER FERNANDEZ ORTEGA</v>
      </c>
      <c r="K324" s="15">
        <f ca="1">IFERROR(__xludf.DUMMYFUNCTION("""COMPUTED_VALUE"""),1)</f>
        <v>1</v>
      </c>
      <c r="L324" s="21">
        <f ca="1">IFERROR(__xludf.DUMMYFUNCTION("""COMPUTED_VALUE"""),1634.62)</f>
        <v>1634.62</v>
      </c>
      <c r="M324" s="6" t="str">
        <f ca="1">IFERROR(__xludf.DUMMYFUNCTION("""COMPUTED_VALUE"""),"03 ORL")</f>
        <v>03 ORL</v>
      </c>
      <c r="N324" s="6" t="str">
        <f ca="1">IFERROR(__xludf.DUMMYFUNCTION("""COMPUTED_VALUE"""),"06 ORL")</f>
        <v>06 ORL</v>
      </c>
      <c r="O324" s="6" t="str">
        <f ca="1">IFERROR(__xludf.DUMMYFUNCTION("""COMPUTED_VALUE"""),"Dr, Vicente Mira Escartí")</f>
        <v>Dr, Vicente Mira Escartí</v>
      </c>
      <c r="P324" s="6" t="str">
        <f ca="1">IFERROR(__xludf.DUMMYFUNCTION("""COMPUTED_VALUE"""),"Luis Alberto Rodríguez (Andalucía y Badajoz)")</f>
        <v>Luis Alberto Rodríguez (Andalucía y Badajoz)</v>
      </c>
    </row>
    <row r="325" spans="2:16">
      <c r="B325" s="33">
        <f ca="1">IFERROR(__xludf.DUMMYFUNCTION("""COMPUTED_VALUE"""),2026)</f>
        <v>2026</v>
      </c>
      <c r="C325" s="15">
        <f ca="1">IFERROR(__xludf.DUMMYFUNCTION("""COMPUTED_VALUE"""),3)</f>
        <v>3</v>
      </c>
      <c r="D325" s="6" t="str">
        <f ca="1">IFERROR(__xludf.DUMMYFUNCTION("""COMPUTED_VALUE"""),"NO")</f>
        <v>NO</v>
      </c>
      <c r="E325" s="6" t="str">
        <f ca="1">IFERROR(__xludf.DUMMYFUNCTION("""COMPUTED_VALUE"""),"Valencia- Parra")</f>
        <v>Valencia- Parra</v>
      </c>
      <c r="F325" s="16">
        <f ca="1">IFERROR(__xludf.DUMMYFUNCTION("""COMPUTED_VALUE"""),46091)</f>
        <v>46091</v>
      </c>
      <c r="G325" s="16">
        <f ca="1">IFERROR(__xludf.DUMMYFUNCTION("""COMPUTED_VALUE"""),46049)</f>
        <v>46049</v>
      </c>
      <c r="H325" s="6" t="str">
        <f ca="1">IFERROR(__xludf.DUMMYFUNCTION("""COMPUTED_VALUE"""),"Valencia- Parra")</f>
        <v>Valencia- Parra</v>
      </c>
      <c r="I325" s="6" t="str">
        <f ca="1">IFERROR(__xludf.DUMMYFUNCTION("""COMPUTED_VALUE"""),"C202612710171441691")</f>
        <v>C202612710171441691</v>
      </c>
      <c r="J325" s="6" t="str">
        <f ca="1">IFERROR(__xludf.DUMMYFUNCTION("""COMPUTED_VALUE"""),"MONTSERRAT  ORIOL GIMENEZ")</f>
        <v>MONTSERRAT  ORIOL GIMENEZ</v>
      </c>
      <c r="K325" s="15">
        <f ca="1">IFERROR(__xludf.DUMMYFUNCTION("""COMPUTED_VALUE"""),2)</f>
        <v>2</v>
      </c>
      <c r="L325" s="21">
        <f ca="1">IFERROR(__xludf.DUMMYFUNCTION("""COMPUTED_VALUE"""),3631.82)</f>
        <v>3631.82</v>
      </c>
      <c r="M325" s="6" t="str">
        <f ca="1">IFERROR(__xludf.DUMMYFUNCTION("""COMPUTED_VALUE"""),"03 ORL")</f>
        <v>03 ORL</v>
      </c>
      <c r="N325" s="6" t="str">
        <f ca="1">IFERROR(__xludf.DUMMYFUNCTION("""COMPUTED_VALUE"""),"06 ORL")</f>
        <v>06 ORL</v>
      </c>
      <c r="O325" s="6" t="str">
        <f ca="1">IFERROR(__xludf.DUMMYFUNCTION("""COMPUTED_VALUE"""),"Dra, María José Lesmas Navarro")</f>
        <v>Dra, María José Lesmas Navarro</v>
      </c>
      <c r="P325" s="6" t="str">
        <f ca="1">IFERROR(__xludf.DUMMYFUNCTION("""COMPUTED_VALUE"""),"Ramon Ferrando(Valencia)")</f>
        <v>Ramon Ferrando(Valencia)</v>
      </c>
    </row>
    <row r="326" spans="2:16">
      <c r="B326" s="33">
        <f ca="1">IFERROR(__xludf.DUMMYFUNCTION("""COMPUTED_VALUE"""),2026)</f>
        <v>2026</v>
      </c>
      <c r="C326" s="15">
        <f ca="1">IFERROR(__xludf.DUMMYFUNCTION("""COMPUTED_VALUE"""),3)</f>
        <v>3</v>
      </c>
      <c r="D326" s="6" t="str">
        <f ca="1">IFERROR(__xludf.DUMMYFUNCTION("""COMPUTED_VALUE"""),"NO")</f>
        <v>NO</v>
      </c>
      <c r="E326" s="6" t="str">
        <f ca="1">IFERROR(__xludf.DUMMYFUNCTION("""COMPUTED_VALUE"""),"Cáceres")</f>
        <v>Cáceres</v>
      </c>
      <c r="F326" s="16">
        <f ca="1">IFERROR(__xludf.DUMMYFUNCTION("""COMPUTED_VALUE"""),46092)</f>
        <v>46092</v>
      </c>
      <c r="G326" s="16">
        <f ca="1">IFERROR(__xludf.DUMMYFUNCTION("""COMPUTED_VALUE"""),46058)</f>
        <v>46058</v>
      </c>
      <c r="H326" s="6" t="str">
        <f ca="1">IFERROR(__xludf.DUMMYFUNCTION("""COMPUTED_VALUE"""),"Cáceres")</f>
        <v>Cáceres</v>
      </c>
      <c r="I326" s="6" t="str">
        <f ca="1">IFERROR(__xludf.DUMMYFUNCTION("""COMPUTED_VALUE"""),"C202625111314903698")</f>
        <v>C202625111314903698</v>
      </c>
      <c r="J326" s="6" t="str">
        <f ca="1">IFERROR(__xludf.DUMMYFUNCTION("""COMPUTED_VALUE"""),"JESUS CAÑAS MURILLO")</f>
        <v>JESUS CAÑAS MURILLO</v>
      </c>
      <c r="K326" s="15">
        <f ca="1">IFERROR(__xludf.DUMMYFUNCTION("""COMPUTED_VALUE"""),2)</f>
        <v>2</v>
      </c>
      <c r="L326" s="21">
        <f ca="1">IFERROR(__xludf.DUMMYFUNCTION("""COMPUTED_VALUE"""),4500)</f>
        <v>4500</v>
      </c>
      <c r="M326" s="6" t="str">
        <f ca="1">IFERROR(__xludf.DUMMYFUNCTION("""COMPUTED_VALUE"""),"03 ORL")</f>
        <v>03 ORL</v>
      </c>
      <c r="N326" s="6" t="str">
        <f ca="1">IFERROR(__xludf.DUMMYFUNCTION("""COMPUTED_VALUE"""),"06 ORL")</f>
        <v>06 ORL</v>
      </c>
      <c r="O326" s="6" t="str">
        <f ca="1">IFERROR(__xludf.DUMMYFUNCTION("""COMPUTED_VALUE"""),"Dr, Manuel Martí Peña")</f>
        <v>Dr, Manuel Martí Peña</v>
      </c>
      <c r="P326" s="6" t="str">
        <f ca="1">IFERROR(__xludf.DUMMYFUNCTION("""COMPUTED_VALUE"""),"Lisandro Russian (Madrid, Cáceres, Toledo, Talavera y Logroño)")</f>
        <v>Lisandro Russian (Madrid, Cáceres, Toledo, Talavera y Logroño)</v>
      </c>
    </row>
    <row r="327" spans="2:16">
      <c r="B327" s="33">
        <f ca="1">IFERROR(__xludf.DUMMYFUNCTION("""COMPUTED_VALUE"""),2026)</f>
        <v>2026</v>
      </c>
      <c r="C327" s="15">
        <f ca="1">IFERROR(__xludf.DUMMYFUNCTION("""COMPUTED_VALUE"""),3)</f>
        <v>3</v>
      </c>
      <c r="D327" s="6" t="str">
        <f ca="1">IFERROR(__xludf.DUMMYFUNCTION("""COMPUTED_VALUE"""),"NO")</f>
        <v>NO</v>
      </c>
      <c r="E327" s="6" t="str">
        <f ca="1">IFERROR(__xludf.DUMMYFUNCTION("""COMPUTED_VALUE"""),"Sevilla- Montoto")</f>
        <v>Sevilla- Montoto</v>
      </c>
      <c r="F327" s="16">
        <f ca="1">IFERROR(__xludf.DUMMYFUNCTION("""COMPUTED_VALUE"""),46092)</f>
        <v>46092</v>
      </c>
      <c r="G327" s="16">
        <f ca="1">IFERROR(__xludf.DUMMYFUNCTION("""COMPUTED_VALUE"""),46059)</f>
        <v>46059</v>
      </c>
      <c r="H327" s="6" t="str">
        <f ca="1">IFERROR(__xludf.DUMMYFUNCTION("""COMPUTED_VALUE"""),"Montoto")</f>
        <v>Montoto</v>
      </c>
      <c r="I327" s="6" t="str">
        <f ca="1">IFERROR(__xludf.DUMMYFUNCTION("""COMPUTED_VALUE"""),"C202626161811777206")</f>
        <v>C202626161811777206</v>
      </c>
      <c r="J327" s="6" t="str">
        <f ca="1">IFERROR(__xludf.DUMMYFUNCTION("""COMPUTED_VALUE"""),"NOEMI LEON BOLIVAR")</f>
        <v>NOEMI LEON BOLIVAR</v>
      </c>
      <c r="K327" s="15">
        <f ca="1">IFERROR(__xludf.DUMMYFUNCTION("""COMPUTED_VALUE"""),2)</f>
        <v>2</v>
      </c>
      <c r="L327" s="21">
        <f ca="1">IFERROR(__xludf.DUMMYFUNCTION("""COMPUTED_VALUE"""),3409.09)</f>
        <v>3409.09</v>
      </c>
      <c r="M327" s="6" t="str">
        <f ca="1">IFERROR(__xludf.DUMMYFUNCTION("""COMPUTED_VALUE"""),"03 ORL")</f>
        <v>03 ORL</v>
      </c>
      <c r="N327" s="6" t="str">
        <f ca="1">IFERROR(__xludf.DUMMYFUNCTION("""COMPUTED_VALUE"""),"06 ORL")</f>
        <v>06 ORL</v>
      </c>
      <c r="O327" s="6" t="str">
        <f ca="1">IFERROR(__xludf.DUMMYFUNCTION("""COMPUTED_VALUE"""),"Dr, Richard Chávez León")</f>
        <v>Dr, Richard Chávez León</v>
      </c>
      <c r="P327" s="6" t="str">
        <f ca="1">IFERROR(__xludf.DUMMYFUNCTION("""COMPUTED_VALUE"""),"Luis Alberto Rodríguez (Andalucía y Badajoz)")</f>
        <v>Luis Alberto Rodríguez (Andalucía y Badajoz)</v>
      </c>
    </row>
    <row r="328" spans="2:16">
      <c r="B328" s="33">
        <f ca="1">IFERROR(__xludf.DUMMYFUNCTION("""COMPUTED_VALUE"""),2026)</f>
        <v>2026</v>
      </c>
      <c r="C328" s="15">
        <f ca="1">IFERROR(__xludf.DUMMYFUNCTION("""COMPUTED_VALUE"""),3)</f>
        <v>3</v>
      </c>
      <c r="D328" s="6" t="str">
        <f ca="1">IFERROR(__xludf.DUMMYFUNCTION("""COMPUTED_VALUE"""),"NO")</f>
        <v>NO</v>
      </c>
      <c r="E328" s="6" t="str">
        <f ca="1">IFERROR(__xludf.DUMMYFUNCTION("""COMPUTED_VALUE"""),"León")</f>
        <v>León</v>
      </c>
      <c r="F328" s="16">
        <f ca="1">IFERROR(__xludf.DUMMYFUNCTION("""COMPUTED_VALUE"""),46092)</f>
        <v>46092</v>
      </c>
      <c r="G328" s="16">
        <f ca="1">IFERROR(__xludf.DUMMYFUNCTION("""COMPUTED_VALUE"""),46083)</f>
        <v>46083</v>
      </c>
      <c r="H328" s="6" t="str">
        <f ca="1">IFERROR(__xludf.DUMMYFUNCTION("""COMPUTED_VALUE"""),"León")</f>
        <v>León</v>
      </c>
      <c r="I328" s="6" t="str">
        <f ca="1">IFERROR(__xludf.DUMMYFUNCTION("""COMPUTED_VALUE"""),"C202632184716530211")</f>
        <v>C202632184716530211</v>
      </c>
      <c r="J328" s="6" t="str">
        <f ca="1">IFERROR(__xludf.DUMMYFUNCTION("""COMPUTED_VALUE"""),"Juan Simon Alija")</f>
        <v>Juan Simon Alija</v>
      </c>
      <c r="K328" s="15">
        <f ca="1">IFERROR(__xludf.DUMMYFUNCTION("""COMPUTED_VALUE"""),2)</f>
        <v>2</v>
      </c>
      <c r="L328" s="21">
        <f ca="1">IFERROR(__xludf.DUMMYFUNCTION("""COMPUTED_VALUE"""),2045.45)</f>
        <v>2045.45</v>
      </c>
      <c r="M328" s="6" t="str">
        <f ca="1">IFERROR(__xludf.DUMMYFUNCTION("""COMPUTED_VALUE"""),"03 ORL")</f>
        <v>03 ORL</v>
      </c>
      <c r="N328" s="6" t="str">
        <f ca="1">IFERROR(__xludf.DUMMYFUNCTION("""COMPUTED_VALUE"""),"06 ORL")</f>
        <v>06 ORL</v>
      </c>
      <c r="O328" s="6" t="str">
        <f ca="1">IFERROR(__xludf.DUMMYFUNCTION("""COMPUTED_VALUE"""),"Dra, Mónica Granda Rosales")</f>
        <v>Dra, Mónica Granda Rosales</v>
      </c>
      <c r="P328" s="6" t="str">
        <f ca="1">IFERROR(__xludf.DUMMYFUNCTION("""COMPUTED_VALUE"""),"Alberto Moreno (Madrid)")</f>
        <v>Alberto Moreno (Madrid)</v>
      </c>
    </row>
    <row r="329" spans="2:16">
      <c r="B329" s="33">
        <f ca="1">IFERROR(__xludf.DUMMYFUNCTION("""COMPUTED_VALUE"""),2026)</f>
        <v>2026</v>
      </c>
      <c r="C329" s="15">
        <f ca="1">IFERROR(__xludf.DUMMYFUNCTION("""COMPUTED_VALUE"""),3)</f>
        <v>3</v>
      </c>
      <c r="D329" s="6" t="str">
        <f ca="1">IFERROR(__xludf.DUMMYFUNCTION("""COMPUTED_VALUE"""),"NO")</f>
        <v>NO</v>
      </c>
      <c r="E329" s="6" t="str">
        <f ca="1">IFERROR(__xludf.DUMMYFUNCTION("""COMPUTED_VALUE"""),"Logroño")</f>
        <v>Logroño</v>
      </c>
      <c r="F329" s="16">
        <f ca="1">IFERROR(__xludf.DUMMYFUNCTION("""COMPUTED_VALUE"""),46092)</f>
        <v>46092</v>
      </c>
      <c r="G329" s="16">
        <f ca="1">IFERROR(__xludf.DUMMYFUNCTION("""COMPUTED_VALUE"""),46070)</f>
        <v>46070</v>
      </c>
      <c r="H329" s="6" t="str">
        <f ca="1">IFERROR(__xludf.DUMMYFUNCTION("""COMPUTED_VALUE"""),"Logroño")</f>
        <v>Logroño</v>
      </c>
      <c r="I329" s="6" t="str">
        <f ca="1">IFERROR(__xludf.DUMMYFUNCTION("""COMPUTED_VALUE"""),"C202621716540384597")</f>
        <v>C202621716540384597</v>
      </c>
      <c r="J329" s="6" t="str">
        <f ca="1">IFERROR(__xludf.DUMMYFUNCTION("""COMPUTED_VALUE"""),"Adrián Quesada Sáenz de Jubera")</f>
        <v>Adrián Quesada Sáenz de Jubera</v>
      </c>
      <c r="K329" s="15">
        <f ca="1">IFERROR(__xludf.DUMMYFUNCTION("""COMPUTED_VALUE"""),2)</f>
        <v>2</v>
      </c>
      <c r="L329" s="21">
        <f ca="1">IFERROR(__xludf.DUMMYFUNCTION("""COMPUTED_VALUE"""),4536.36)</f>
        <v>4536.3599999999997</v>
      </c>
      <c r="M329" s="6" t="str">
        <f ca="1">IFERROR(__xludf.DUMMYFUNCTION("""COMPUTED_VALUE"""),"03 ORL")</f>
        <v>03 ORL</v>
      </c>
      <c r="N329" s="6" t="str">
        <f ca="1">IFERROR(__xludf.DUMMYFUNCTION("""COMPUTED_VALUE"""),"06 ORL")</f>
        <v>06 ORL</v>
      </c>
      <c r="O329" s="6" t="str">
        <f ca="1">IFERROR(__xludf.DUMMYFUNCTION("""COMPUTED_VALUE"""),"No recuerda ORL")</f>
        <v>No recuerda ORL</v>
      </c>
      <c r="P329" s="6" t="str">
        <f ca="1">IFERROR(__xludf.DUMMYFUNCTION("""COMPUTED_VALUE"""),"Lisandro Russian (Madrid, Cáceres, Toledo, Talavera y Logroño)")</f>
        <v>Lisandro Russian (Madrid, Cáceres, Toledo, Talavera y Logroño)</v>
      </c>
    </row>
    <row r="330" spans="2:16">
      <c r="B330" s="33">
        <f ca="1">IFERROR(__xludf.DUMMYFUNCTION("""COMPUTED_VALUE"""),2026)</f>
        <v>2026</v>
      </c>
      <c r="C330" s="15">
        <f ca="1">IFERROR(__xludf.DUMMYFUNCTION("""COMPUTED_VALUE"""),3)</f>
        <v>3</v>
      </c>
      <c r="D330" s="6" t="str">
        <f ca="1">IFERROR(__xludf.DUMMYFUNCTION("""COMPUTED_VALUE"""),"NO")</f>
        <v>NO</v>
      </c>
      <c r="E330" s="6" t="str">
        <f ca="1">IFERROR(__xludf.DUMMYFUNCTION("""COMPUTED_VALUE"""),"Madrid- La Oca")</f>
        <v>Madrid- La Oca</v>
      </c>
      <c r="F330" s="16">
        <f ca="1">IFERROR(__xludf.DUMMYFUNCTION("""COMPUTED_VALUE"""),46092)</f>
        <v>46092</v>
      </c>
      <c r="G330" s="16">
        <f ca="1">IFERROR(__xludf.DUMMYFUNCTION("""COMPUTED_VALUE"""),46057)</f>
        <v>46057</v>
      </c>
      <c r="H330" s="6" t="str">
        <f ca="1">IFERROR(__xludf.DUMMYFUNCTION("""COMPUTED_VALUE"""),"La Oca")</f>
        <v>La Oca</v>
      </c>
      <c r="I330" s="6" t="str">
        <f ca="1">IFERROR(__xludf.DUMMYFUNCTION("""COMPUTED_VALUE"""),"C202624152054679765")</f>
        <v>C202624152054679765</v>
      </c>
      <c r="J330" s="6" t="str">
        <f ca="1">IFERROR(__xludf.DUMMYFUNCTION("""COMPUTED_VALUE"""),"MARIA LUZ FERNANDEZ DE ORO")</f>
        <v>MARIA LUZ FERNANDEZ DE ORO</v>
      </c>
      <c r="K330" s="15">
        <f ca="1">IFERROR(__xludf.DUMMYFUNCTION("""COMPUTED_VALUE"""),2)</f>
        <v>2</v>
      </c>
      <c r="L330" s="21">
        <f ca="1">IFERROR(__xludf.DUMMYFUNCTION("""COMPUTED_VALUE"""),2718.18)</f>
        <v>2718.18</v>
      </c>
      <c r="M330" s="6" t="str">
        <f ca="1">IFERROR(__xludf.DUMMYFUNCTION("""COMPUTED_VALUE"""),"03 ORL")</f>
        <v>03 ORL</v>
      </c>
      <c r="N330" s="6" t="str">
        <f ca="1">IFERROR(__xludf.DUMMYFUNCTION("""COMPUTED_VALUE"""),"06 ORL")</f>
        <v>06 ORL</v>
      </c>
      <c r="O330" s="6" t="str">
        <f ca="1">IFERROR(__xludf.DUMMYFUNCTION("""COMPUTED_VALUE"""),"No recuerda ORL")</f>
        <v>No recuerda ORL</v>
      </c>
      <c r="P330" s="6" t="str">
        <f ca="1">IFERROR(__xludf.DUMMYFUNCTION("""COMPUTED_VALUE"""),"Maika Blázquez (Madrid)")</f>
        <v>Maika Blázquez (Madrid)</v>
      </c>
    </row>
    <row r="331" spans="2:16">
      <c r="B331" s="33">
        <f ca="1">IFERROR(__xludf.DUMMYFUNCTION("""COMPUTED_VALUE"""),2026)</f>
        <v>2026</v>
      </c>
      <c r="C331" s="15">
        <f ca="1">IFERROR(__xludf.DUMMYFUNCTION("""COMPUTED_VALUE"""),3)</f>
        <v>3</v>
      </c>
      <c r="D331" s="6" t="str">
        <f ca="1">IFERROR(__xludf.DUMMYFUNCTION("""COMPUTED_VALUE"""),"NO")</f>
        <v>NO</v>
      </c>
      <c r="E331" s="6" t="str">
        <f ca="1">IFERROR(__xludf.DUMMYFUNCTION("""COMPUTED_VALUE"""),"Talavera")</f>
        <v>Talavera</v>
      </c>
      <c r="F331" s="16">
        <f ca="1">IFERROR(__xludf.DUMMYFUNCTION("""COMPUTED_VALUE"""),46092)</f>
        <v>46092</v>
      </c>
      <c r="G331" s="16">
        <f ca="1">IFERROR(__xludf.DUMMYFUNCTION("""COMPUTED_VALUE"""),46045)</f>
        <v>46045</v>
      </c>
      <c r="H331" s="6" t="str">
        <f ca="1">IFERROR(__xludf.DUMMYFUNCTION("""COMPUTED_VALUE"""),"Talavera")</f>
        <v>Talavera</v>
      </c>
      <c r="I331" s="6" t="str">
        <f ca="1">IFERROR(__xludf.DUMMYFUNCTION("""COMPUTED_VALUE"""),"C202612315311030212")</f>
        <v>C202612315311030212</v>
      </c>
      <c r="J331" s="6" t="str">
        <f ca="1">IFERROR(__xludf.DUMMYFUNCTION("""COMPUTED_VALUE"""),"MARIA LUISA GARVÍN MARTÍN")</f>
        <v>MARIA LUISA GARVÍN MARTÍN</v>
      </c>
      <c r="K331" s="15">
        <f ca="1">IFERROR(__xludf.DUMMYFUNCTION("""COMPUTED_VALUE"""),2)</f>
        <v>2</v>
      </c>
      <c r="L331" s="21">
        <f ca="1">IFERROR(__xludf.DUMMYFUNCTION("""COMPUTED_VALUE"""),3450.23)</f>
        <v>3450.23</v>
      </c>
      <c r="M331" s="6" t="str">
        <f ca="1">IFERROR(__xludf.DUMMYFUNCTION("""COMPUTED_VALUE"""),"03 ORL")</f>
        <v>03 ORL</v>
      </c>
      <c r="N331" s="6" t="str">
        <f ca="1">IFERROR(__xludf.DUMMYFUNCTION("""COMPUTED_VALUE"""),"06 ORL")</f>
        <v>06 ORL</v>
      </c>
      <c r="O331" s="6" t="str">
        <f ca="1">IFERROR(__xludf.DUMMYFUNCTION("""COMPUTED_VALUE"""),"Dr, Jonathan Esteban Sánchez")</f>
        <v>Dr, Jonathan Esteban Sánchez</v>
      </c>
      <c r="P331" s="6" t="str">
        <f ca="1">IFERROR(__xludf.DUMMYFUNCTION("""COMPUTED_VALUE"""),"Maika Blázquez (Madrid)")</f>
        <v>Maika Blázquez (Madrid)</v>
      </c>
    </row>
    <row r="332" spans="2:16">
      <c r="B332" s="33">
        <f ca="1">IFERROR(__xludf.DUMMYFUNCTION("""COMPUTED_VALUE"""),2026)</f>
        <v>2026</v>
      </c>
      <c r="C332" s="15">
        <f ca="1">IFERROR(__xludf.DUMMYFUNCTION("""COMPUTED_VALUE"""),3)</f>
        <v>3</v>
      </c>
      <c r="D332" s="6" t="str">
        <f ca="1">IFERROR(__xludf.DUMMYFUNCTION("""COMPUTED_VALUE"""),"NO")</f>
        <v>NO</v>
      </c>
      <c r="E332" s="6" t="str">
        <f ca="1">IFERROR(__xludf.DUMMYFUNCTION("""COMPUTED_VALUE"""),"Getafe")</f>
        <v>Getafe</v>
      </c>
      <c r="F332" s="16">
        <f ca="1">IFERROR(__xludf.DUMMYFUNCTION("""COMPUTED_VALUE"""),46092)</f>
        <v>46092</v>
      </c>
      <c r="G332" s="16">
        <f ca="1">IFERROR(__xludf.DUMMYFUNCTION("""COMPUTED_VALUE"""),46062)</f>
        <v>46062</v>
      </c>
      <c r="H332" s="6" t="str">
        <f ca="1">IFERROR(__xludf.DUMMYFUNCTION("""COMPUTED_VALUE"""),"Getafe")</f>
        <v>Getafe</v>
      </c>
      <c r="I332" s="6" t="str">
        <f ca="1">IFERROR(__xludf.DUMMYFUNCTION("""COMPUTED_VALUE"""),"C202629115751490744")</f>
        <v>C202629115751490744</v>
      </c>
      <c r="J332" s="6" t="str">
        <f ca="1">IFERROR(__xludf.DUMMYFUNCTION("""COMPUTED_VALUE"""),"MARIA ISABEL GARCIA TRABAS")</f>
        <v>MARIA ISABEL GARCIA TRABAS</v>
      </c>
      <c r="K332" s="15">
        <f ca="1">IFERROR(__xludf.DUMMYFUNCTION("""COMPUTED_VALUE"""),1)</f>
        <v>1</v>
      </c>
      <c r="L332" s="21">
        <f ca="1">IFERROR(__xludf.DUMMYFUNCTION("""COMPUTED_VALUE"""),2180.91)</f>
        <v>2180.91</v>
      </c>
      <c r="M332" s="6" t="str">
        <f ca="1">IFERROR(__xludf.DUMMYFUNCTION("""COMPUTED_VALUE"""),"03 ORL")</f>
        <v>03 ORL</v>
      </c>
      <c r="N332" s="6" t="str">
        <f ca="1">IFERROR(__xludf.DUMMYFUNCTION("""COMPUTED_VALUE"""),"06 ORL")</f>
        <v>06 ORL</v>
      </c>
      <c r="O332" s="6" t="str">
        <f ca="1">IFERROR(__xludf.DUMMYFUNCTION("""COMPUTED_VALUE"""),"No recuerda ORL")</f>
        <v>No recuerda ORL</v>
      </c>
      <c r="P332" s="6" t="str">
        <f ca="1">IFERROR(__xludf.DUMMYFUNCTION("""COMPUTED_VALUE"""),"Maika Blázquez (Madrid)")</f>
        <v>Maika Blázquez (Madrid)</v>
      </c>
    </row>
    <row r="333" spans="2:16">
      <c r="B333" s="33">
        <f ca="1">IFERROR(__xludf.DUMMYFUNCTION("""COMPUTED_VALUE"""),2026)</f>
        <v>2026</v>
      </c>
      <c r="C333" s="15">
        <f ca="1">IFERROR(__xludf.DUMMYFUNCTION("""COMPUTED_VALUE"""),3)</f>
        <v>3</v>
      </c>
      <c r="D333" s="6" t="str">
        <f ca="1">IFERROR(__xludf.DUMMYFUNCTION("""COMPUTED_VALUE"""),"NO")</f>
        <v>NO</v>
      </c>
      <c r="E333" s="6" t="str">
        <f ca="1">IFERROR(__xludf.DUMMYFUNCTION("""COMPUTED_VALUE"""),"Getafe")</f>
        <v>Getafe</v>
      </c>
      <c r="F333" s="16">
        <f ca="1">IFERROR(__xludf.DUMMYFUNCTION("""COMPUTED_VALUE"""),46092)</f>
        <v>46092</v>
      </c>
      <c r="G333" s="16">
        <f ca="1">IFERROR(__xludf.DUMMYFUNCTION("""COMPUTED_VALUE"""),46050)</f>
        <v>46050</v>
      </c>
      <c r="H333" s="6" t="str">
        <f ca="1">IFERROR(__xludf.DUMMYFUNCTION("""COMPUTED_VALUE"""),"Getafe")</f>
        <v>Getafe</v>
      </c>
      <c r="I333" s="6" t="str">
        <f ca="1">IFERROR(__xludf.DUMMYFUNCTION("""COMPUTED_VALUE"""),"C202612817105071565")</f>
        <v>C202612817105071565</v>
      </c>
      <c r="J333" s="6" t="str">
        <f ca="1">IFERROR(__xludf.DUMMYFUNCTION("""COMPUTED_VALUE"""),"MARIA LUISA ARROYO HERNÁNDEZ")</f>
        <v>MARIA LUISA ARROYO HERNÁNDEZ</v>
      </c>
      <c r="K333" s="15">
        <f ca="1">IFERROR(__xludf.DUMMYFUNCTION("""COMPUTED_VALUE"""),2)</f>
        <v>2</v>
      </c>
      <c r="L333" s="21">
        <f ca="1">IFERROR(__xludf.DUMMYFUNCTION("""COMPUTED_VALUE"""),4136.36)</f>
        <v>4136.3599999999997</v>
      </c>
      <c r="M333" s="6" t="str">
        <f ca="1">IFERROR(__xludf.DUMMYFUNCTION("""COMPUTED_VALUE"""),"03 ORL")</f>
        <v>03 ORL</v>
      </c>
      <c r="N333" s="6" t="str">
        <f ca="1">IFERROR(__xludf.DUMMYFUNCTION("""COMPUTED_VALUE"""),"06 ORL")</f>
        <v>06 ORL</v>
      </c>
      <c r="O333" s="6" t="str">
        <f ca="1">IFERROR(__xludf.DUMMYFUNCTION("""COMPUTED_VALUE"""),"No recuerda ORL")</f>
        <v>No recuerda ORL</v>
      </c>
      <c r="P333" s="6" t="str">
        <f ca="1">IFERROR(__xludf.DUMMYFUNCTION("""COMPUTED_VALUE"""),"Maika Blázquez (Madrid)")</f>
        <v>Maika Blázquez (Madrid)</v>
      </c>
    </row>
    <row r="334" spans="2:16">
      <c r="B334" s="33">
        <f ca="1">IFERROR(__xludf.DUMMYFUNCTION("""COMPUTED_VALUE"""),2026)</f>
        <v>2026</v>
      </c>
      <c r="C334" s="15">
        <f ca="1">IFERROR(__xludf.DUMMYFUNCTION("""COMPUTED_VALUE"""),3)</f>
        <v>3</v>
      </c>
      <c r="D334" s="6" t="str">
        <f ca="1">IFERROR(__xludf.DUMMYFUNCTION("""COMPUTED_VALUE"""),"NO")</f>
        <v>NO</v>
      </c>
      <c r="E334" s="6" t="str">
        <f ca="1">IFERROR(__xludf.DUMMYFUNCTION("""COMPUTED_VALUE"""),"Cáceres")</f>
        <v>Cáceres</v>
      </c>
      <c r="F334" s="16">
        <f ca="1">IFERROR(__xludf.DUMMYFUNCTION("""COMPUTED_VALUE"""),46093)</f>
        <v>46093</v>
      </c>
      <c r="G334" s="16">
        <f ca="1">IFERROR(__xludf.DUMMYFUNCTION("""COMPUTED_VALUE"""),46063)</f>
        <v>46063</v>
      </c>
      <c r="H334" s="6" t="str">
        <f ca="1">IFERROR(__xludf.DUMMYFUNCTION("""COMPUTED_VALUE"""),"Cáceres")</f>
        <v>Cáceres</v>
      </c>
      <c r="I334" s="6" t="str">
        <f ca="1">IFERROR(__xludf.DUMMYFUNCTION("""COMPUTED_VALUE"""),"C202621010453855460")</f>
        <v>C202621010453855460</v>
      </c>
      <c r="J334" s="6" t="str">
        <f ca="1">IFERROR(__xludf.DUMMYFUNCTION("""COMPUTED_VALUE"""),"ISABEL PULIDO COLLADO")</f>
        <v>ISABEL PULIDO COLLADO</v>
      </c>
      <c r="K334" s="15">
        <f ca="1">IFERROR(__xludf.DUMMYFUNCTION("""COMPUTED_VALUE"""),2)</f>
        <v>2</v>
      </c>
      <c r="L334" s="21">
        <f ca="1">IFERROR(__xludf.DUMMYFUNCTION("""COMPUTED_VALUE"""),4500)</f>
        <v>4500</v>
      </c>
      <c r="M334" s="6" t="str">
        <f ca="1">IFERROR(__xludf.DUMMYFUNCTION("""COMPUTED_VALUE"""),"03 ORL")</f>
        <v>03 ORL</v>
      </c>
      <c r="N334" s="6" t="str">
        <f ca="1">IFERROR(__xludf.DUMMYFUNCTION("""COMPUTED_VALUE"""),"06 ORL")</f>
        <v>06 ORL</v>
      </c>
      <c r="O334" s="6" t="str">
        <f ca="1">IFERROR(__xludf.DUMMYFUNCTION("""COMPUTED_VALUE"""),"Dra. Isabel Bustillo García")</f>
        <v>Dra. Isabel Bustillo García</v>
      </c>
      <c r="P334" s="6" t="str">
        <f ca="1">IFERROR(__xludf.DUMMYFUNCTION("""COMPUTED_VALUE"""),"Lisandro Russian (Madrid, Cáceres, Toledo, Talavera y Logroño)")</f>
        <v>Lisandro Russian (Madrid, Cáceres, Toledo, Talavera y Logroño)</v>
      </c>
    </row>
    <row r="335" spans="2:16">
      <c r="B335" s="33">
        <f ca="1">IFERROR(__xludf.DUMMYFUNCTION("""COMPUTED_VALUE"""),2026)</f>
        <v>2026</v>
      </c>
      <c r="C335" s="15">
        <f ca="1">IFERROR(__xludf.DUMMYFUNCTION("""COMPUTED_VALUE"""),3)</f>
        <v>3</v>
      </c>
      <c r="D335" s="6" t="str">
        <f ca="1">IFERROR(__xludf.DUMMYFUNCTION("""COMPUTED_VALUE"""),"NO")</f>
        <v>NO</v>
      </c>
      <c r="E335" s="6" t="str">
        <f ca="1">IFERROR(__xludf.DUMMYFUNCTION("""COMPUTED_VALUE"""),"Alcorcón")</f>
        <v>Alcorcón</v>
      </c>
      <c r="F335" s="16">
        <f ca="1">IFERROR(__xludf.DUMMYFUNCTION("""COMPUTED_VALUE"""),46093)</f>
        <v>46093</v>
      </c>
      <c r="G335" s="16">
        <f ca="1">IFERROR(__xludf.DUMMYFUNCTION("""COMPUTED_VALUE"""),46013)</f>
        <v>46013</v>
      </c>
      <c r="H335" s="6" t="str">
        <f ca="1">IFERROR(__xludf.DUMMYFUNCTION("""COMPUTED_VALUE"""),"Alcorcón")</f>
        <v>Alcorcón</v>
      </c>
      <c r="I335" s="6" t="str">
        <f ca="1">IFERROR(__xludf.DUMMYFUNCTION("""COMPUTED_VALUE"""),"C202512221454137699")</f>
        <v>C202512221454137699</v>
      </c>
      <c r="J335" s="6" t="str">
        <f ca="1">IFERROR(__xludf.DUMMYFUNCTION("""COMPUTED_VALUE"""),"JESUS SANCHEZ SANCHEZ")</f>
        <v>JESUS SANCHEZ SANCHEZ</v>
      </c>
      <c r="K335" s="15">
        <f ca="1">IFERROR(__xludf.DUMMYFUNCTION("""COMPUTED_VALUE"""),2)</f>
        <v>2</v>
      </c>
      <c r="L335" s="21">
        <f ca="1">IFERROR(__xludf.DUMMYFUNCTION("""COMPUTED_VALUE"""),3604.55)</f>
        <v>3604.55</v>
      </c>
      <c r="M335" s="6" t="str">
        <f ca="1">IFERROR(__xludf.DUMMYFUNCTION("""COMPUTED_VALUE"""),"03 ORL")</f>
        <v>03 ORL</v>
      </c>
      <c r="N335" s="6" t="str">
        <f ca="1">IFERROR(__xludf.DUMMYFUNCTION("""COMPUTED_VALUE"""),"06 ORL")</f>
        <v>06 ORL</v>
      </c>
      <c r="O335" s="6" t="str">
        <f ca="1">IFERROR(__xludf.DUMMYFUNCTION("""COMPUTED_VALUE"""),"Dra. Falening Melissa de la Rosa Astacio")</f>
        <v>Dra. Falening Melissa de la Rosa Astacio</v>
      </c>
      <c r="P335" s="6" t="str">
        <f ca="1">IFERROR(__xludf.DUMMYFUNCTION("""COMPUTED_VALUE"""),"Maika Blázquez (Madrid)")</f>
        <v>Maika Blázquez (Madrid)</v>
      </c>
    </row>
    <row r="336" spans="2:16">
      <c r="B336" s="33">
        <f ca="1">IFERROR(__xludf.DUMMYFUNCTION("""COMPUTED_VALUE"""),2026)</f>
        <v>2026</v>
      </c>
      <c r="C336" s="15">
        <f ca="1">IFERROR(__xludf.DUMMYFUNCTION("""COMPUTED_VALUE"""),3)</f>
        <v>3</v>
      </c>
      <c r="D336" s="6" t="str">
        <f ca="1">IFERROR(__xludf.DUMMYFUNCTION("""COMPUTED_VALUE"""),"NO")</f>
        <v>NO</v>
      </c>
      <c r="E336" s="6" t="str">
        <f ca="1">IFERROR(__xludf.DUMMYFUNCTION("""COMPUTED_VALUE"""),"Alicante")</f>
        <v>Alicante</v>
      </c>
      <c r="F336" s="16">
        <f ca="1">IFERROR(__xludf.DUMMYFUNCTION("""COMPUTED_VALUE"""),46093)</f>
        <v>46093</v>
      </c>
      <c r="G336" s="16">
        <f ca="1">IFERROR(__xludf.DUMMYFUNCTION("""COMPUTED_VALUE"""),43605)</f>
        <v>43605</v>
      </c>
      <c r="H336" s="6" t="str">
        <f ca="1">IFERROR(__xludf.DUMMYFUNCTION("""COMPUTED_VALUE"""),"Alicante")</f>
        <v>Alicante</v>
      </c>
      <c r="I336" s="6" t="str">
        <f ca="1">IFERROR(__xludf.DUMMYFUNCTION("""COMPUTED_VALUE"""),"ALC-1920")</f>
        <v>ALC-1920</v>
      </c>
      <c r="J336" s="6" t="str">
        <f ca="1">IFERROR(__xludf.DUMMYFUNCTION("""COMPUTED_VALUE"""),"JOAN PEREZ LLEDO")</f>
        <v>JOAN PEREZ LLEDO</v>
      </c>
      <c r="K336" s="15">
        <f ca="1">IFERROR(__xludf.DUMMYFUNCTION("""COMPUTED_VALUE"""),2)</f>
        <v>2</v>
      </c>
      <c r="L336" s="21">
        <f ca="1">IFERROR(__xludf.DUMMYFUNCTION("""COMPUTED_VALUE"""),3631.82)</f>
        <v>3631.82</v>
      </c>
      <c r="M336" s="6" t="str">
        <f ca="1">IFERROR(__xludf.DUMMYFUNCTION("""COMPUTED_VALUE"""),"03 ORL")</f>
        <v>03 ORL</v>
      </c>
      <c r="N336" s="6" t="str">
        <f ca="1">IFERROR(__xludf.DUMMYFUNCTION("""COMPUTED_VALUE"""),"06 ORL")</f>
        <v>06 ORL</v>
      </c>
      <c r="O336" s="6" t="str">
        <f ca="1">IFERROR(__xludf.DUMMYFUNCTION("""COMPUTED_VALUE"""),"Dra, Pilar Beladiez Romero")</f>
        <v>Dra, Pilar Beladiez Romero</v>
      </c>
      <c r="P336" s="6" t="str">
        <f ca="1">IFERROR(__xludf.DUMMYFUNCTION("""COMPUTED_VALUE"""),"Iván Sánchez (Levante y Albacete)")</f>
        <v>Iván Sánchez (Levante y Albacete)</v>
      </c>
    </row>
    <row r="337" spans="2:16">
      <c r="B337" s="33">
        <f ca="1">IFERROR(__xludf.DUMMYFUNCTION("""COMPUTED_VALUE"""),2026)</f>
        <v>2026</v>
      </c>
      <c r="C337" s="15">
        <f ca="1">IFERROR(__xludf.DUMMYFUNCTION("""COMPUTED_VALUE"""),3)</f>
        <v>3</v>
      </c>
      <c r="D337" s="6" t="str">
        <f ca="1">IFERROR(__xludf.DUMMYFUNCTION("""COMPUTED_VALUE"""),"NO")</f>
        <v>NO</v>
      </c>
      <c r="E337" s="6" t="str">
        <f ca="1">IFERROR(__xludf.DUMMYFUNCTION("""COMPUTED_VALUE"""),"Almería")</f>
        <v>Almería</v>
      </c>
      <c r="F337" s="16">
        <f ca="1">IFERROR(__xludf.DUMMYFUNCTION("""COMPUTED_VALUE"""),46093)</f>
        <v>46093</v>
      </c>
      <c r="G337" s="16">
        <f ca="1">IFERROR(__xludf.DUMMYFUNCTION("""COMPUTED_VALUE"""),46079)</f>
        <v>46079</v>
      </c>
      <c r="H337" s="6" t="str">
        <f ca="1">IFERROR(__xludf.DUMMYFUNCTION("""COMPUTED_VALUE"""),"Almería")</f>
        <v>Almería</v>
      </c>
      <c r="I337" s="6" t="str">
        <f ca="1">IFERROR(__xludf.DUMMYFUNCTION("""COMPUTED_VALUE"""),"C202622611224941360")</f>
        <v>C202622611224941360</v>
      </c>
      <c r="J337" s="6" t="str">
        <f ca="1">IFERROR(__xludf.DUMMYFUNCTION("""COMPUTED_VALUE"""),"ANTONIA GONZALEZ HERNANDEZ")</f>
        <v>ANTONIA GONZALEZ HERNANDEZ</v>
      </c>
      <c r="K337" s="15">
        <f ca="1">IFERROR(__xludf.DUMMYFUNCTION("""COMPUTED_VALUE"""),2)</f>
        <v>2</v>
      </c>
      <c r="L337" s="21">
        <f ca="1">IFERROR(__xludf.DUMMYFUNCTION("""COMPUTED_VALUE"""),2718.18)</f>
        <v>2718.18</v>
      </c>
      <c r="M337" s="6" t="str">
        <f ca="1">IFERROR(__xludf.DUMMYFUNCTION("""COMPUTED_VALUE"""),"03 ORL")</f>
        <v>03 ORL</v>
      </c>
      <c r="N337" s="6" t="str">
        <f ca="1">IFERROR(__xludf.DUMMYFUNCTION("""COMPUTED_VALUE"""),"06 ORL")</f>
        <v>06 ORL</v>
      </c>
      <c r="O337" s="6" t="str">
        <f ca="1">IFERROR(__xludf.DUMMYFUNCTION("""COMPUTED_VALUE"""),"Dra, Elisheba Haro Hernández")</f>
        <v>Dra, Elisheba Haro Hernández</v>
      </c>
      <c r="P337" s="6" t="str">
        <f ca="1">IFERROR(__xludf.DUMMYFUNCTION("""COMPUTED_VALUE"""),"Ramon Ferrando(Valencia)")</f>
        <v>Ramon Ferrando(Valencia)</v>
      </c>
    </row>
    <row r="338" spans="2:16">
      <c r="B338" s="33">
        <f ca="1">IFERROR(__xludf.DUMMYFUNCTION("""COMPUTED_VALUE"""),2026)</f>
        <v>2026</v>
      </c>
      <c r="C338" s="15">
        <f ca="1">IFERROR(__xludf.DUMMYFUNCTION("""COMPUTED_VALUE"""),3)</f>
        <v>3</v>
      </c>
      <c r="D338" s="6" t="str">
        <f ca="1">IFERROR(__xludf.DUMMYFUNCTION("""COMPUTED_VALUE"""),"NO")</f>
        <v>NO</v>
      </c>
      <c r="E338" s="6" t="str">
        <f ca="1">IFERROR(__xludf.DUMMYFUNCTION("""COMPUTED_VALUE"""),"Badajoz")</f>
        <v>Badajoz</v>
      </c>
      <c r="F338" s="16">
        <f ca="1">IFERROR(__xludf.DUMMYFUNCTION("""COMPUTED_VALUE"""),46093)</f>
        <v>46093</v>
      </c>
      <c r="G338" s="16">
        <f ca="1">IFERROR(__xludf.DUMMYFUNCTION("""COMPUTED_VALUE"""),46050)</f>
        <v>46050</v>
      </c>
      <c r="H338" s="6" t="str">
        <f ca="1">IFERROR(__xludf.DUMMYFUNCTION("""COMPUTED_VALUE"""),"Badajoz")</f>
        <v>Badajoz</v>
      </c>
      <c r="I338" s="6" t="str">
        <f ca="1">IFERROR(__xludf.DUMMYFUNCTION("""COMPUTED_VALUE"""),"C202612812525992196")</f>
        <v>C202612812525992196</v>
      </c>
      <c r="J338" s="6" t="str">
        <f ca="1">IFERROR(__xludf.DUMMYFUNCTION("""COMPUTED_VALUE"""),"BELEN VAZQUEZ FALCON")</f>
        <v>BELEN VAZQUEZ FALCON</v>
      </c>
      <c r="K338" s="15">
        <f ca="1">IFERROR(__xludf.DUMMYFUNCTION("""COMPUTED_VALUE"""),2)</f>
        <v>2</v>
      </c>
      <c r="L338" s="21">
        <f ca="1">IFERROR(__xludf.DUMMYFUNCTION("""COMPUTED_VALUE"""),3181.82)</f>
        <v>3181.82</v>
      </c>
      <c r="M338" s="6" t="str">
        <f ca="1">IFERROR(__xludf.DUMMYFUNCTION("""COMPUTED_VALUE"""),"03 ORL")</f>
        <v>03 ORL</v>
      </c>
      <c r="N338" s="6" t="str">
        <f ca="1">IFERROR(__xludf.DUMMYFUNCTION("""COMPUTED_VALUE"""),"06 ORL")</f>
        <v>06 ORL</v>
      </c>
      <c r="O338" s="6" t="str">
        <f ca="1">IFERROR(__xludf.DUMMYFUNCTION("""COMPUTED_VALUE"""),"No recuerda ORL")</f>
        <v>No recuerda ORL</v>
      </c>
      <c r="P338" s="6" t="str">
        <f ca="1">IFERROR(__xludf.DUMMYFUNCTION("""COMPUTED_VALUE"""),"Luis Alberto Rodríguez (Andalucía y Badajoz)")</f>
        <v>Luis Alberto Rodríguez (Andalucía y Badajoz)</v>
      </c>
    </row>
    <row r="339" spans="2:16">
      <c r="B339" s="33">
        <f ca="1">IFERROR(__xludf.DUMMYFUNCTION("""COMPUTED_VALUE"""),2026)</f>
        <v>2026</v>
      </c>
      <c r="C339" s="15">
        <f ca="1">IFERROR(__xludf.DUMMYFUNCTION("""COMPUTED_VALUE"""),3)</f>
        <v>3</v>
      </c>
      <c r="D339" s="6" t="str">
        <f ca="1">IFERROR(__xludf.DUMMYFUNCTION("""COMPUTED_VALUE"""),"NO")</f>
        <v>NO</v>
      </c>
      <c r="E339" s="6" t="str">
        <f ca="1">IFERROR(__xludf.DUMMYFUNCTION("""COMPUTED_VALUE"""),"El Albir (Benidorm)")</f>
        <v>El Albir (Benidorm)</v>
      </c>
      <c r="F339" s="16">
        <f ca="1">IFERROR(__xludf.DUMMYFUNCTION("""COMPUTED_VALUE"""),46093)</f>
        <v>46093</v>
      </c>
      <c r="G339" s="16">
        <f ca="1">IFERROR(__xludf.DUMMYFUNCTION("""COMPUTED_VALUE"""),46037)</f>
        <v>46037</v>
      </c>
      <c r="H339" s="6" t="str">
        <f ca="1">IFERROR(__xludf.DUMMYFUNCTION("""COMPUTED_VALUE"""),"El Albir (Benidorm)")</f>
        <v>El Albir (Benidorm)</v>
      </c>
      <c r="I339" s="6" t="str">
        <f ca="1">IFERROR(__xludf.DUMMYFUNCTION("""COMPUTED_VALUE"""),"C202611512533720770")</f>
        <v>C202611512533720770</v>
      </c>
      <c r="J339" s="6" t="str">
        <f ca="1">IFERROR(__xludf.DUMMYFUNCTION("""COMPUTED_VALUE"""),"IVAN CVETANOV CVETANOV")</f>
        <v>IVAN CVETANOV CVETANOV</v>
      </c>
      <c r="K339" s="15">
        <f ca="1">IFERROR(__xludf.DUMMYFUNCTION("""COMPUTED_VALUE"""),2)</f>
        <v>2</v>
      </c>
      <c r="L339" s="21">
        <f ca="1">IFERROR(__xludf.DUMMYFUNCTION("""COMPUTED_VALUE"""),4136.36)</f>
        <v>4136.3599999999997</v>
      </c>
      <c r="M339" s="6" t="str">
        <f ca="1">IFERROR(__xludf.DUMMYFUNCTION("""COMPUTED_VALUE"""),"03 ORL")</f>
        <v>03 ORL</v>
      </c>
      <c r="N339" s="6" t="str">
        <f ca="1">IFERROR(__xludf.DUMMYFUNCTION("""COMPUTED_VALUE"""),"06 ORL")</f>
        <v>06 ORL</v>
      </c>
      <c r="O339" s="6" t="str">
        <f ca="1">IFERROR(__xludf.DUMMYFUNCTION("""COMPUTED_VALUE"""),"Dra, Isabel Polo Tomás")</f>
        <v>Dra, Isabel Polo Tomás</v>
      </c>
      <c r="P339" s="6" t="str">
        <f ca="1">IFERROR(__xludf.DUMMYFUNCTION("""COMPUTED_VALUE"""),"Ramon Ferrando(Valencia)")</f>
        <v>Ramon Ferrando(Valencia)</v>
      </c>
    </row>
    <row r="340" spans="2:16">
      <c r="B340" s="33">
        <f ca="1">IFERROR(__xludf.DUMMYFUNCTION("""COMPUTED_VALUE"""),2026)</f>
        <v>2026</v>
      </c>
      <c r="C340" s="15">
        <f ca="1">IFERROR(__xludf.DUMMYFUNCTION("""COMPUTED_VALUE"""),3)</f>
        <v>3</v>
      </c>
      <c r="D340" s="6" t="str">
        <f ca="1">IFERROR(__xludf.DUMMYFUNCTION("""COMPUTED_VALUE"""),"NO")</f>
        <v>NO</v>
      </c>
      <c r="E340" s="6" t="str">
        <f ca="1">IFERROR(__xludf.DUMMYFUNCTION("""COMPUTED_VALUE"""),"Fuenlabrada")</f>
        <v>Fuenlabrada</v>
      </c>
      <c r="F340" s="16">
        <f ca="1">IFERROR(__xludf.DUMMYFUNCTION("""COMPUTED_VALUE"""),46093)</f>
        <v>46093</v>
      </c>
      <c r="G340" s="16">
        <f ca="1">IFERROR(__xludf.DUMMYFUNCTION("""COMPUTED_VALUE"""),46056)</f>
        <v>46056</v>
      </c>
      <c r="H340" s="6" t="str">
        <f ca="1">IFERROR(__xludf.DUMMYFUNCTION("""COMPUTED_VALUE"""),"Fuenlabrada")</f>
        <v>Fuenlabrada</v>
      </c>
      <c r="I340" s="6" t="str">
        <f ca="1">IFERROR(__xludf.DUMMYFUNCTION("""COMPUTED_VALUE"""),"C20262316461416241")</f>
        <v>C20262316461416241</v>
      </c>
      <c r="J340" s="6" t="str">
        <f ca="1">IFERROR(__xludf.DUMMYFUNCTION("""COMPUTED_VALUE"""),"JESUS  LOPEZ ROMOJARO")</f>
        <v>JESUS  LOPEZ ROMOJARO</v>
      </c>
      <c r="K340" s="15">
        <f ca="1">IFERROR(__xludf.DUMMYFUNCTION("""COMPUTED_VALUE"""),2)</f>
        <v>2</v>
      </c>
      <c r="L340" s="21">
        <f ca="1">IFERROR(__xludf.DUMMYFUNCTION("""COMPUTED_VALUE"""),3450)</f>
        <v>3450</v>
      </c>
      <c r="M340" s="6" t="str">
        <f ca="1">IFERROR(__xludf.DUMMYFUNCTION("""COMPUTED_VALUE"""),"03 ORL")</f>
        <v>03 ORL</v>
      </c>
      <c r="N340" s="6" t="str">
        <f ca="1">IFERROR(__xludf.DUMMYFUNCTION("""COMPUTED_VALUE"""),"06 ORL")</f>
        <v>06 ORL</v>
      </c>
      <c r="O340" s="6" t="str">
        <f ca="1">IFERROR(__xludf.DUMMYFUNCTION("""COMPUTED_VALUE"""),"Dra, María Garrote Garrote")</f>
        <v>Dra, María Garrote Garrote</v>
      </c>
      <c r="P340" s="6" t="str">
        <f ca="1">IFERROR(__xludf.DUMMYFUNCTION("""COMPUTED_VALUE"""),"Maika Blázquez (Madrid)")</f>
        <v>Maika Blázquez (Madrid)</v>
      </c>
    </row>
    <row r="341" spans="2:16">
      <c r="B341" s="33">
        <f ca="1">IFERROR(__xludf.DUMMYFUNCTION("""COMPUTED_VALUE"""),2026)</f>
        <v>2026</v>
      </c>
      <c r="C341" s="15">
        <f ca="1">IFERROR(__xludf.DUMMYFUNCTION("""COMPUTED_VALUE"""),3)</f>
        <v>3</v>
      </c>
      <c r="D341" s="6" t="str">
        <f ca="1">IFERROR(__xludf.DUMMYFUNCTION("""COMPUTED_VALUE"""),"NO")</f>
        <v>NO</v>
      </c>
      <c r="E341" s="6" t="str">
        <f ca="1">IFERROR(__xludf.DUMMYFUNCTION("""COMPUTED_VALUE"""),"Leganés")</f>
        <v>Leganés</v>
      </c>
      <c r="F341" s="16">
        <f ca="1">IFERROR(__xludf.DUMMYFUNCTION("""COMPUTED_VALUE"""),46093)</f>
        <v>46093</v>
      </c>
      <c r="G341" s="16">
        <f ca="1">IFERROR(__xludf.DUMMYFUNCTION("""COMPUTED_VALUE"""),46055)</f>
        <v>46055</v>
      </c>
      <c r="H341" s="6" t="str">
        <f ca="1">IFERROR(__xludf.DUMMYFUNCTION("""COMPUTED_VALUE"""),"Leganés")</f>
        <v>Leganés</v>
      </c>
      <c r="I341" s="6" t="str">
        <f ca="1">IFERROR(__xludf.DUMMYFUNCTION("""COMPUTED_VALUE"""),"C202622164039316792")</f>
        <v>C202622164039316792</v>
      </c>
      <c r="J341" s="6" t="str">
        <f ca="1">IFERROR(__xludf.DUMMYFUNCTION("""COMPUTED_VALUE"""),"ROSARIO SUAREZ LLAMAS")</f>
        <v>ROSARIO SUAREZ LLAMAS</v>
      </c>
      <c r="K341" s="15">
        <f ca="1">IFERROR(__xludf.DUMMYFUNCTION("""COMPUTED_VALUE"""),2)</f>
        <v>2</v>
      </c>
      <c r="L341" s="21">
        <f ca="1">IFERROR(__xludf.DUMMYFUNCTION("""COMPUTED_VALUE"""),2718.18)</f>
        <v>2718.18</v>
      </c>
      <c r="M341" s="6" t="str">
        <f ca="1">IFERROR(__xludf.DUMMYFUNCTION("""COMPUTED_VALUE"""),"03 ORL")</f>
        <v>03 ORL</v>
      </c>
      <c r="N341" s="6" t="str">
        <f ca="1">IFERROR(__xludf.DUMMYFUNCTION("""COMPUTED_VALUE"""),"06 ORL")</f>
        <v>06 ORL</v>
      </c>
      <c r="O341" s="6" t="str">
        <f ca="1">IFERROR(__xludf.DUMMYFUNCTION("""COMPUTED_VALUE"""),"Dr, Jesús Ramos Fernández")</f>
        <v>Dr, Jesús Ramos Fernández</v>
      </c>
      <c r="P341" s="6" t="str">
        <f ca="1">IFERROR(__xludf.DUMMYFUNCTION("""COMPUTED_VALUE"""),"Maika Blázquez (Madrid)")</f>
        <v>Maika Blázquez (Madrid)</v>
      </c>
    </row>
    <row r="342" spans="2:16">
      <c r="B342" s="33">
        <f ca="1">IFERROR(__xludf.DUMMYFUNCTION("""COMPUTED_VALUE"""),2026)</f>
        <v>2026</v>
      </c>
      <c r="C342" s="15">
        <f ca="1">IFERROR(__xludf.DUMMYFUNCTION("""COMPUTED_VALUE"""),3)</f>
        <v>3</v>
      </c>
      <c r="D342" s="6" t="str">
        <f ca="1">IFERROR(__xludf.DUMMYFUNCTION("""COMPUTED_VALUE"""),"NO")</f>
        <v>NO</v>
      </c>
      <c r="E342" s="6" t="str">
        <f ca="1">IFERROR(__xludf.DUMMYFUNCTION("""COMPUTED_VALUE"""),"Leganés")</f>
        <v>Leganés</v>
      </c>
      <c r="F342" s="16">
        <f ca="1">IFERROR(__xludf.DUMMYFUNCTION("""COMPUTED_VALUE"""),46093)</f>
        <v>46093</v>
      </c>
      <c r="G342" s="16">
        <f ca="1">IFERROR(__xludf.DUMMYFUNCTION("""COMPUTED_VALUE"""),46063)</f>
        <v>46063</v>
      </c>
      <c r="H342" s="6" t="str">
        <f ca="1">IFERROR(__xludf.DUMMYFUNCTION("""COMPUTED_VALUE"""),"Leganés")</f>
        <v>Leganés</v>
      </c>
      <c r="I342" s="6" t="str">
        <f ca="1">IFERROR(__xludf.DUMMYFUNCTION("""COMPUTED_VALUE"""),"C202621016352397078")</f>
        <v>C202621016352397078</v>
      </c>
      <c r="J342" s="6" t="str">
        <f ca="1">IFERROR(__xludf.DUMMYFUNCTION("""COMPUTED_VALUE"""),"EUSTAQUIO MARTIN RODRIGUEZ")</f>
        <v>EUSTAQUIO MARTIN RODRIGUEZ</v>
      </c>
      <c r="K342" s="15">
        <f ca="1">IFERROR(__xludf.DUMMYFUNCTION("""COMPUTED_VALUE"""),1)</f>
        <v>1</v>
      </c>
      <c r="L342" s="21">
        <f ca="1">IFERROR(__xludf.DUMMYFUNCTION("""COMPUTED_VALUE"""),2071.82)</f>
        <v>2071.8200000000002</v>
      </c>
      <c r="M342" s="6" t="str">
        <f ca="1">IFERROR(__xludf.DUMMYFUNCTION("""COMPUTED_VALUE"""),"03 ORL")</f>
        <v>03 ORL</v>
      </c>
      <c r="N342" s="6" t="str">
        <f ca="1">IFERROR(__xludf.DUMMYFUNCTION("""COMPUTED_VALUE"""),"06 ORL")</f>
        <v>06 ORL</v>
      </c>
      <c r="O342" s="6" t="str">
        <f ca="1">IFERROR(__xludf.DUMMYFUNCTION("""COMPUTED_VALUE"""),"No recuerda ORL")</f>
        <v>No recuerda ORL</v>
      </c>
      <c r="P342" s="6" t="str">
        <f ca="1">IFERROR(__xludf.DUMMYFUNCTION("""COMPUTED_VALUE"""),"Maika Blázquez (Madrid)")</f>
        <v>Maika Blázquez (Madrid)</v>
      </c>
    </row>
    <row r="343" spans="2:16">
      <c r="B343" s="33">
        <f ca="1">IFERROR(__xludf.DUMMYFUNCTION("""COMPUTED_VALUE"""),2026)</f>
        <v>2026</v>
      </c>
      <c r="C343" s="15">
        <f ca="1">IFERROR(__xludf.DUMMYFUNCTION("""COMPUTED_VALUE"""),3)</f>
        <v>3</v>
      </c>
      <c r="D343" s="6" t="str">
        <f ca="1">IFERROR(__xludf.DUMMYFUNCTION("""COMPUTED_VALUE"""),"NO")</f>
        <v>NO</v>
      </c>
      <c r="E343" s="6" t="str">
        <f ca="1">IFERROR(__xludf.DUMMYFUNCTION("""COMPUTED_VALUE"""),"Madrid- La Oca")</f>
        <v>Madrid- La Oca</v>
      </c>
      <c r="F343" s="16">
        <f ca="1">IFERROR(__xludf.DUMMYFUNCTION("""COMPUTED_VALUE"""),46093)</f>
        <v>46093</v>
      </c>
      <c r="G343" s="16">
        <f ca="1">IFERROR(__xludf.DUMMYFUNCTION("""COMPUTED_VALUE"""),46069)</f>
        <v>46069</v>
      </c>
      <c r="H343" s="6" t="str">
        <f ca="1">IFERROR(__xludf.DUMMYFUNCTION("""COMPUTED_VALUE"""),"La Oca")</f>
        <v>La Oca</v>
      </c>
      <c r="I343" s="6" t="str">
        <f ca="1">IFERROR(__xludf.DUMMYFUNCTION("""COMPUTED_VALUE"""),"C20262161005416181")</f>
        <v>C20262161005416181</v>
      </c>
      <c r="J343" s="6" t="str">
        <f ca="1">IFERROR(__xludf.DUMMYFUNCTION("""COMPUTED_VALUE"""),"JOSEFA SANCHEZ LILLO")</f>
        <v>JOSEFA SANCHEZ LILLO</v>
      </c>
      <c r="K343" s="15">
        <f ca="1">IFERROR(__xludf.DUMMYFUNCTION("""COMPUTED_VALUE"""),2)</f>
        <v>2</v>
      </c>
      <c r="L343" s="21">
        <f ca="1">IFERROR(__xludf.DUMMYFUNCTION("""COMPUTED_VALUE"""),2718.18)</f>
        <v>2718.18</v>
      </c>
      <c r="M343" s="6" t="str">
        <f ca="1">IFERROR(__xludf.DUMMYFUNCTION("""COMPUTED_VALUE"""),"03 ORL")</f>
        <v>03 ORL</v>
      </c>
      <c r="N343" s="6" t="str">
        <f ca="1">IFERROR(__xludf.DUMMYFUNCTION("""COMPUTED_VALUE"""),"06 ORL")</f>
        <v>06 ORL</v>
      </c>
      <c r="O343" s="6" t="str">
        <f ca="1">IFERROR(__xludf.DUMMYFUNCTION("""COMPUTED_VALUE"""),"Dra, Inmaculada Sancho Martín")</f>
        <v>Dra, Inmaculada Sancho Martín</v>
      </c>
      <c r="P343" s="6" t="str">
        <f ca="1">IFERROR(__xludf.DUMMYFUNCTION("""COMPUTED_VALUE"""),"Maika Blázquez (Madrid)")</f>
        <v>Maika Blázquez (Madrid)</v>
      </c>
    </row>
    <row r="344" spans="2:16">
      <c r="B344" s="33">
        <f ca="1">IFERROR(__xludf.DUMMYFUNCTION("""COMPUTED_VALUE"""),2026)</f>
        <v>2026</v>
      </c>
      <c r="C344" s="15">
        <f ca="1">IFERROR(__xludf.DUMMYFUNCTION("""COMPUTED_VALUE"""),3)</f>
        <v>3</v>
      </c>
      <c r="D344" s="6" t="str">
        <f ca="1">IFERROR(__xludf.DUMMYFUNCTION("""COMPUTED_VALUE"""),"NO")</f>
        <v>NO</v>
      </c>
      <c r="E344" s="6" t="str">
        <f ca="1">IFERROR(__xludf.DUMMYFUNCTION("""COMPUTED_VALUE"""),"Ourense")</f>
        <v>Ourense</v>
      </c>
      <c r="F344" s="16">
        <f ca="1">IFERROR(__xludf.DUMMYFUNCTION("""COMPUTED_VALUE"""),46093)</f>
        <v>46093</v>
      </c>
      <c r="G344" s="16">
        <f ca="1">IFERROR(__xludf.DUMMYFUNCTION("""COMPUTED_VALUE"""),46045)</f>
        <v>46045</v>
      </c>
      <c r="H344" s="6" t="str">
        <f ca="1">IFERROR(__xludf.DUMMYFUNCTION("""COMPUTED_VALUE"""),"Orense")</f>
        <v>Orense</v>
      </c>
      <c r="I344" s="6" t="str">
        <f ca="1">IFERROR(__xludf.DUMMYFUNCTION("""COMPUTED_VALUE"""),"C202612394246602895")</f>
        <v>C202612394246602895</v>
      </c>
      <c r="J344" s="6" t="str">
        <f ca="1">IFERROR(__xludf.DUMMYFUNCTION("""COMPUTED_VALUE"""),"MANUEL ARIAS FERNANDEZ")</f>
        <v>MANUEL ARIAS FERNANDEZ</v>
      </c>
      <c r="K344" s="15">
        <f ca="1">IFERROR(__xludf.DUMMYFUNCTION("""COMPUTED_VALUE"""),2)</f>
        <v>2</v>
      </c>
      <c r="L344" s="21">
        <f ca="1">IFERROR(__xludf.DUMMYFUNCTION("""COMPUTED_VALUE"""),4112.5)</f>
        <v>4112.5</v>
      </c>
      <c r="M344" s="6" t="str">
        <f ca="1">IFERROR(__xludf.DUMMYFUNCTION("""COMPUTED_VALUE"""),"03 ORL")</f>
        <v>03 ORL</v>
      </c>
      <c r="N344" s="6" t="str">
        <f ca="1">IFERROR(__xludf.DUMMYFUNCTION("""COMPUTED_VALUE"""),"06 ORL")</f>
        <v>06 ORL</v>
      </c>
      <c r="O344" s="6" t="str">
        <f ca="1">IFERROR(__xludf.DUMMYFUNCTION("""COMPUTED_VALUE"""),"No recuerda ORL")</f>
        <v>No recuerda ORL</v>
      </c>
      <c r="P344" s="6" t="str">
        <f ca="1">IFERROR(__xludf.DUMMYFUNCTION("""COMPUTED_VALUE"""),"KiKo Ortega (Galicia)")</f>
        <v>KiKo Ortega (Galicia)</v>
      </c>
    </row>
    <row r="345" spans="2:16">
      <c r="B345" s="33">
        <f ca="1">IFERROR(__xludf.DUMMYFUNCTION("""COMPUTED_VALUE"""),2026)</f>
        <v>2026</v>
      </c>
      <c r="C345" s="15">
        <f ca="1">IFERROR(__xludf.DUMMYFUNCTION("""COMPUTED_VALUE"""),3)</f>
        <v>3</v>
      </c>
      <c r="D345" s="6" t="str">
        <f ca="1">IFERROR(__xludf.DUMMYFUNCTION("""COMPUTED_VALUE"""),"NO")</f>
        <v>NO</v>
      </c>
      <c r="E345" s="6" t="str">
        <f ca="1">IFERROR(__xludf.DUMMYFUNCTION("""COMPUTED_VALUE"""),"Torrejón de Ardoz")</f>
        <v>Torrejón de Ardoz</v>
      </c>
      <c r="F345" s="16">
        <f ca="1">IFERROR(__xludf.DUMMYFUNCTION("""COMPUTED_VALUE"""),46093)</f>
        <v>46093</v>
      </c>
      <c r="G345" s="16">
        <f ca="1">IFERROR(__xludf.DUMMYFUNCTION("""COMPUTED_VALUE"""),45993)</f>
        <v>45993</v>
      </c>
      <c r="H345" s="6" t="str">
        <f ca="1">IFERROR(__xludf.DUMMYFUNCTION("""COMPUTED_VALUE"""),"Torrejón")</f>
        <v>Torrejón</v>
      </c>
      <c r="I345" s="6" t="str">
        <f ca="1">IFERROR(__xludf.DUMMYFUNCTION("""COMPUTED_VALUE"""),"C202512292241175146")</f>
        <v>C202512292241175146</v>
      </c>
      <c r="J345" s="6" t="str">
        <f ca="1">IFERROR(__xludf.DUMMYFUNCTION("""COMPUTED_VALUE"""),"MARIA ISABEL BURGOS GUERRERO")</f>
        <v>MARIA ISABEL BURGOS GUERRERO</v>
      </c>
      <c r="K345" s="15">
        <f ca="1">IFERROR(__xludf.DUMMYFUNCTION("""COMPUTED_VALUE"""),1)</f>
        <v>1</v>
      </c>
      <c r="L345" s="21">
        <f ca="1">IFERROR(__xludf.DUMMYFUNCTION("""COMPUTED_VALUE"""),2481.82)</f>
        <v>2481.8200000000002</v>
      </c>
      <c r="M345" s="6" t="str">
        <f ca="1">IFERROR(__xludf.DUMMYFUNCTION("""COMPUTED_VALUE"""),"03 ORL")</f>
        <v>03 ORL</v>
      </c>
      <c r="N345" s="6" t="str">
        <f ca="1">IFERROR(__xludf.DUMMYFUNCTION("""COMPUTED_VALUE"""),"06 ORL")</f>
        <v>06 ORL</v>
      </c>
      <c r="O345" s="6" t="str">
        <f ca="1">IFERROR(__xludf.DUMMYFUNCTION("""COMPUTED_VALUE"""),"Dra, Marta Abad Pascual")</f>
        <v>Dra, Marta Abad Pascual</v>
      </c>
      <c r="P345" s="6" t="str">
        <f ca="1">IFERROR(__xludf.DUMMYFUNCTION("""COMPUTED_VALUE"""),"Maika Blázquez (Madrid)")</f>
        <v>Maika Blázquez (Madrid)</v>
      </c>
    </row>
    <row r="346" spans="2:16">
      <c r="B346" s="33">
        <f ca="1">IFERROR(__xludf.DUMMYFUNCTION("""COMPUTED_VALUE"""),2026)</f>
        <v>2026</v>
      </c>
      <c r="C346" s="15">
        <f ca="1">IFERROR(__xludf.DUMMYFUNCTION("""COMPUTED_VALUE"""),3)</f>
        <v>3</v>
      </c>
      <c r="D346" s="6" t="str">
        <f ca="1">IFERROR(__xludf.DUMMYFUNCTION("""COMPUTED_VALUE"""),"NO")</f>
        <v>NO</v>
      </c>
      <c r="E346" s="6" t="str">
        <f ca="1">IFERROR(__xludf.DUMMYFUNCTION("""COMPUTED_VALUE"""),"Valladolid")</f>
        <v>Valladolid</v>
      </c>
      <c r="F346" s="16">
        <f ca="1">IFERROR(__xludf.DUMMYFUNCTION("""COMPUTED_VALUE"""),46093)</f>
        <v>46093</v>
      </c>
      <c r="G346" s="16">
        <f ca="1">IFERROR(__xludf.DUMMYFUNCTION("""COMPUTED_VALUE"""),46049)</f>
        <v>46049</v>
      </c>
      <c r="H346" s="6" t="str">
        <f ca="1">IFERROR(__xludf.DUMMYFUNCTION("""COMPUTED_VALUE"""),"Valladolid")</f>
        <v>Valladolid</v>
      </c>
      <c r="I346" s="6" t="str">
        <f ca="1">IFERROR(__xludf.DUMMYFUNCTION("""COMPUTED_VALUE"""),"C202612711165063565")</f>
        <v>C202612711165063565</v>
      </c>
      <c r="J346" s="6" t="str">
        <f ca="1">IFERROR(__xludf.DUMMYFUNCTION("""COMPUTED_VALUE"""),"RAMIRO SANDONIS ZORITA")</f>
        <v>RAMIRO SANDONIS ZORITA</v>
      </c>
      <c r="K346" s="15">
        <f ca="1">IFERROR(__xludf.DUMMYFUNCTION("""COMPUTED_VALUE"""),2)</f>
        <v>2</v>
      </c>
      <c r="L346" s="21">
        <f ca="1">IFERROR(__xludf.DUMMYFUNCTION("""COMPUTED_VALUE"""),3977.27)</f>
        <v>3977.27</v>
      </c>
      <c r="M346" s="6" t="str">
        <f ca="1">IFERROR(__xludf.DUMMYFUNCTION("""COMPUTED_VALUE"""),"03 ORL")</f>
        <v>03 ORL</v>
      </c>
      <c r="N346" s="6" t="str">
        <f ca="1">IFERROR(__xludf.DUMMYFUNCTION("""COMPUTED_VALUE"""),"06 ORL")</f>
        <v>06 ORL</v>
      </c>
      <c r="O346" s="6" t="str">
        <f ca="1">IFERROR(__xludf.DUMMYFUNCTION("""COMPUTED_VALUE"""),"Dr, Carlos Miguel Salvador Martínez")</f>
        <v>Dr, Carlos Miguel Salvador Martínez</v>
      </c>
      <c r="P346" s="6" t="str">
        <f ca="1">IFERROR(__xludf.DUMMYFUNCTION("""COMPUTED_VALUE"""),"Alberto Moreno (Madrid)")</f>
        <v>Alberto Moreno (Madrid)</v>
      </c>
    </row>
    <row r="347" spans="2:16">
      <c r="B347" s="33">
        <f ca="1">IFERROR(__xludf.DUMMYFUNCTION("""COMPUTED_VALUE"""),2026)</f>
        <v>2026</v>
      </c>
      <c r="C347" s="15">
        <f ca="1">IFERROR(__xludf.DUMMYFUNCTION("""COMPUTED_VALUE"""),3)</f>
        <v>3</v>
      </c>
      <c r="D347" s="6" t="str">
        <f ca="1">IFERROR(__xludf.DUMMYFUNCTION("""COMPUTED_VALUE"""),"NO")</f>
        <v>NO</v>
      </c>
      <c r="E347" s="6" t="str">
        <f ca="1">IFERROR(__xludf.DUMMYFUNCTION("""COMPUTED_VALUE"""),"Zaragoza- León XIII")</f>
        <v>Zaragoza- León XIII</v>
      </c>
      <c r="F347" s="16">
        <f ca="1">IFERROR(__xludf.DUMMYFUNCTION("""COMPUTED_VALUE"""),46093)</f>
        <v>46093</v>
      </c>
      <c r="G347" s="16">
        <f ca="1">IFERROR(__xludf.DUMMYFUNCTION("""COMPUTED_VALUE"""),46063)</f>
        <v>46063</v>
      </c>
      <c r="H347" s="6" t="str">
        <f ca="1">IFERROR(__xludf.DUMMYFUNCTION("""COMPUTED_VALUE"""),"Zaragoza")</f>
        <v>Zaragoza</v>
      </c>
      <c r="I347" s="6" t="str">
        <f ca="1">IFERROR(__xludf.DUMMYFUNCTION("""COMPUTED_VALUE"""),"C202621015561480898")</f>
        <v>C202621015561480898</v>
      </c>
      <c r="J347" s="6" t="str">
        <f ca="1">IFERROR(__xludf.DUMMYFUNCTION("""COMPUTED_VALUE"""),"JOSÉ GARCÍA AMORÓS")</f>
        <v>JOSÉ GARCÍA AMORÓS</v>
      </c>
      <c r="K347" s="15">
        <f ca="1">IFERROR(__xludf.DUMMYFUNCTION("""COMPUTED_VALUE"""),2)</f>
        <v>2</v>
      </c>
      <c r="L347" s="21">
        <f ca="1">IFERROR(__xludf.DUMMYFUNCTION("""COMPUTED_VALUE"""),3627.27)</f>
        <v>3627.27</v>
      </c>
      <c r="M347" s="6" t="str">
        <f ca="1">IFERROR(__xludf.DUMMYFUNCTION("""COMPUTED_VALUE"""),"03 ORL")</f>
        <v>03 ORL</v>
      </c>
      <c r="N347" s="6" t="str">
        <f ca="1">IFERROR(__xludf.DUMMYFUNCTION("""COMPUTED_VALUE"""),"06 ORL")</f>
        <v>06 ORL</v>
      </c>
      <c r="O347" s="6" t="str">
        <f ca="1">IFERROR(__xludf.DUMMYFUNCTION("""COMPUTED_VALUE"""),"Dr, Jaime Leache Pueyo")</f>
        <v>Dr, Jaime Leache Pueyo</v>
      </c>
      <c r="P347" s="6" t="str">
        <f ca="1">IFERROR(__xludf.DUMMYFUNCTION("""COMPUTED_VALUE"""),"Ignacio Berdejo (Zaragoza)")</f>
        <v>Ignacio Berdejo (Zaragoza)</v>
      </c>
    </row>
    <row r="348" spans="2:16">
      <c r="B348" s="33">
        <f ca="1">IFERROR(__xludf.DUMMYFUNCTION("""COMPUTED_VALUE"""),2026)</f>
        <v>2026</v>
      </c>
      <c r="C348" s="15">
        <f ca="1">IFERROR(__xludf.DUMMYFUNCTION("""COMPUTED_VALUE"""),3)</f>
        <v>3</v>
      </c>
      <c r="D348" s="6" t="str">
        <f ca="1">IFERROR(__xludf.DUMMYFUNCTION("""COMPUTED_VALUE"""),"NO")</f>
        <v>NO</v>
      </c>
      <c r="E348" s="6" t="str">
        <f ca="1">IFERROR(__xludf.DUMMYFUNCTION("""COMPUTED_VALUE"""),"Fuenlabrada")</f>
        <v>Fuenlabrada</v>
      </c>
      <c r="F348" s="16">
        <f ca="1">IFERROR(__xludf.DUMMYFUNCTION("""COMPUTED_VALUE"""),46094)</f>
        <v>46094</v>
      </c>
      <c r="G348" s="16">
        <f ca="1">IFERROR(__xludf.DUMMYFUNCTION("""COMPUTED_VALUE"""),46063)</f>
        <v>46063</v>
      </c>
      <c r="H348" s="6" t="str">
        <f ca="1">IFERROR(__xludf.DUMMYFUNCTION("""COMPUTED_VALUE"""),"Fuenlabrada")</f>
        <v>Fuenlabrada</v>
      </c>
      <c r="I348" s="6" t="str">
        <f ca="1">IFERROR(__xludf.DUMMYFUNCTION("""COMPUTED_VALUE"""),"C202621011101747504")</f>
        <v>C202621011101747504</v>
      </c>
      <c r="J348" s="6" t="str">
        <f ca="1">IFERROR(__xludf.DUMMYFUNCTION("""COMPUTED_VALUE"""),"VICTORIANA GOMEZ DIAZ")</f>
        <v>VICTORIANA GOMEZ DIAZ</v>
      </c>
      <c r="K348" s="15">
        <f ca="1">IFERROR(__xludf.DUMMYFUNCTION("""COMPUTED_VALUE"""),2)</f>
        <v>2</v>
      </c>
      <c r="L348" s="21">
        <f ca="1">IFERROR(__xludf.DUMMYFUNCTION("""COMPUTED_VALUE"""),2718.19)</f>
        <v>2718.19</v>
      </c>
      <c r="M348" s="6" t="str">
        <f ca="1">IFERROR(__xludf.DUMMYFUNCTION("""COMPUTED_VALUE"""),"03 ORL")</f>
        <v>03 ORL</v>
      </c>
      <c r="N348" s="6" t="str">
        <f ca="1">IFERROR(__xludf.DUMMYFUNCTION("""COMPUTED_VALUE"""),"06 ORL")</f>
        <v>06 ORL</v>
      </c>
      <c r="O348" s="6" t="str">
        <f ca="1">IFERROR(__xludf.DUMMYFUNCTION("""COMPUTED_VALUE"""),"Dra, Elisabeth Amarillo Espitia")</f>
        <v>Dra, Elisabeth Amarillo Espitia</v>
      </c>
      <c r="P348" s="6" t="str">
        <f ca="1">IFERROR(__xludf.DUMMYFUNCTION("""COMPUTED_VALUE"""),"Maika Blázquez (Madrid)")</f>
        <v>Maika Blázquez (Madrid)</v>
      </c>
    </row>
    <row r="349" spans="2:16">
      <c r="B349" s="33">
        <f ca="1">IFERROR(__xludf.DUMMYFUNCTION("""COMPUTED_VALUE"""),2026)</f>
        <v>2026</v>
      </c>
      <c r="C349" s="15">
        <f ca="1">IFERROR(__xludf.DUMMYFUNCTION("""COMPUTED_VALUE"""),3)</f>
        <v>3</v>
      </c>
      <c r="D349" s="6" t="str">
        <f ca="1">IFERROR(__xludf.DUMMYFUNCTION("""COMPUTED_VALUE"""),"NO")</f>
        <v>NO</v>
      </c>
      <c r="E349" s="6" t="str">
        <f ca="1">IFERROR(__xludf.DUMMYFUNCTION("""COMPUTED_VALUE"""),"Cáceres")</f>
        <v>Cáceres</v>
      </c>
      <c r="F349" s="16">
        <f ca="1">IFERROR(__xludf.DUMMYFUNCTION("""COMPUTED_VALUE"""),46094)</f>
        <v>46094</v>
      </c>
      <c r="G349" s="16">
        <f ca="1">IFERROR(__xludf.DUMMYFUNCTION("""COMPUTED_VALUE"""),46073)</f>
        <v>46073</v>
      </c>
      <c r="H349" s="6" t="str">
        <f ca="1">IFERROR(__xludf.DUMMYFUNCTION("""COMPUTED_VALUE"""),"Cáceres")</f>
        <v>Cáceres</v>
      </c>
      <c r="I349" s="6" t="str">
        <f ca="1">IFERROR(__xludf.DUMMYFUNCTION("""COMPUTED_VALUE"""),"C202622011432399380")</f>
        <v>C202622011432399380</v>
      </c>
      <c r="J349" s="6" t="str">
        <f ca="1">IFERROR(__xludf.DUMMYFUNCTION("""COMPUTED_VALUE"""),"FRANCISCA MENA BERMEJO")</f>
        <v>FRANCISCA MENA BERMEJO</v>
      </c>
      <c r="K349" s="15">
        <f ca="1">IFERROR(__xludf.DUMMYFUNCTION("""COMPUTED_VALUE"""),2)</f>
        <v>2</v>
      </c>
      <c r="L349" s="21">
        <f ca="1">IFERROR(__xludf.DUMMYFUNCTION("""COMPUTED_VALUE"""),3345.45)</f>
        <v>3345.45</v>
      </c>
      <c r="M349" s="6" t="str">
        <f ca="1">IFERROR(__xludf.DUMMYFUNCTION("""COMPUTED_VALUE"""),"03 ORL")</f>
        <v>03 ORL</v>
      </c>
      <c r="N349" s="6" t="str">
        <f ca="1">IFERROR(__xludf.DUMMYFUNCTION("""COMPUTED_VALUE"""),"06 ORL")</f>
        <v>06 ORL</v>
      </c>
      <c r="O349" s="6" t="str">
        <f ca="1">IFERROR(__xludf.DUMMYFUNCTION("""COMPUTED_VALUE"""),"Dra, Marta García Jiménez")</f>
        <v>Dra, Marta García Jiménez</v>
      </c>
      <c r="P349" s="6" t="str">
        <f ca="1">IFERROR(__xludf.DUMMYFUNCTION("""COMPUTED_VALUE"""),"Lisandro Russian (Madrid, Cáceres, Toledo, Talavera y Logroño)")</f>
        <v>Lisandro Russian (Madrid, Cáceres, Toledo, Talavera y Logroño)</v>
      </c>
    </row>
    <row r="350" spans="2:16">
      <c r="B350" s="33">
        <f ca="1">IFERROR(__xludf.DUMMYFUNCTION("""COMPUTED_VALUE"""),2026)</f>
        <v>2026</v>
      </c>
      <c r="C350" s="15">
        <f ca="1">IFERROR(__xludf.DUMMYFUNCTION("""COMPUTED_VALUE"""),3)</f>
        <v>3</v>
      </c>
      <c r="D350" s="6" t="str">
        <f ca="1">IFERROR(__xludf.DUMMYFUNCTION("""COMPUTED_VALUE"""),"NO")</f>
        <v>NO</v>
      </c>
      <c r="E350" s="6" t="str">
        <f ca="1">IFERROR(__xludf.DUMMYFUNCTION("""COMPUTED_VALUE"""),"Fuenlabrada")</f>
        <v>Fuenlabrada</v>
      </c>
      <c r="F350" s="16">
        <f ca="1">IFERROR(__xludf.DUMMYFUNCTION("""COMPUTED_VALUE"""),46094)</f>
        <v>46094</v>
      </c>
      <c r="G350" s="16">
        <f ca="1">IFERROR(__xludf.DUMMYFUNCTION("""COMPUTED_VALUE"""),46031)</f>
        <v>46031</v>
      </c>
      <c r="H350" s="6" t="str">
        <f ca="1">IFERROR(__xludf.DUMMYFUNCTION("""COMPUTED_VALUE"""),"Fuenlabrada")</f>
        <v>Fuenlabrada</v>
      </c>
      <c r="I350" s="6" t="str">
        <f ca="1">IFERROR(__xludf.DUMMYFUNCTION("""COMPUTED_VALUE"""),"C20261995748626997")</f>
        <v>C20261995748626997</v>
      </c>
      <c r="J350" s="6" t="str">
        <f ca="1">IFERROR(__xludf.DUMMYFUNCTION("""COMPUTED_VALUE"""),"ALFREDO  ANGUERA TEJEDOR")</f>
        <v>ALFREDO  ANGUERA TEJEDOR</v>
      </c>
      <c r="K350" s="15">
        <f ca="1">IFERROR(__xludf.DUMMYFUNCTION("""COMPUTED_VALUE"""),2)</f>
        <v>2</v>
      </c>
      <c r="L350" s="21">
        <f ca="1">IFERROR(__xludf.DUMMYFUNCTION("""COMPUTED_VALUE"""),2718.18)</f>
        <v>2718.18</v>
      </c>
      <c r="M350" s="6" t="str">
        <f ca="1">IFERROR(__xludf.DUMMYFUNCTION("""COMPUTED_VALUE"""),"03 ORL")</f>
        <v>03 ORL</v>
      </c>
      <c r="N350" s="6" t="str">
        <f ca="1">IFERROR(__xludf.DUMMYFUNCTION("""COMPUTED_VALUE"""),"06 ORL")</f>
        <v>06 ORL</v>
      </c>
      <c r="O350" s="6" t="str">
        <f ca="1">IFERROR(__xludf.DUMMYFUNCTION("""COMPUTED_VALUE"""),"Dra, Paloma Martín-Aragón Martín")</f>
        <v>Dra, Paloma Martín-Aragón Martín</v>
      </c>
      <c r="P350" s="6" t="str">
        <f ca="1">IFERROR(__xludf.DUMMYFUNCTION("""COMPUTED_VALUE"""),"Maika Blázquez (Madrid)")</f>
        <v>Maika Blázquez (Madrid)</v>
      </c>
    </row>
    <row r="351" spans="2:16">
      <c r="B351" s="33">
        <f ca="1">IFERROR(__xludf.DUMMYFUNCTION("""COMPUTED_VALUE"""),2026)</f>
        <v>2026</v>
      </c>
      <c r="C351" s="15">
        <f ca="1">IFERROR(__xludf.DUMMYFUNCTION("""COMPUTED_VALUE"""),3)</f>
        <v>3</v>
      </c>
      <c r="D351" s="6" t="str">
        <f ca="1">IFERROR(__xludf.DUMMYFUNCTION("""COMPUTED_VALUE"""),"NO")</f>
        <v>NO</v>
      </c>
      <c r="E351" s="6" t="str">
        <f ca="1">IFERROR(__xludf.DUMMYFUNCTION("""COMPUTED_VALUE"""),"Badajoz")</f>
        <v>Badajoz</v>
      </c>
      <c r="F351" s="16">
        <f ca="1">IFERROR(__xludf.DUMMYFUNCTION("""COMPUTED_VALUE"""),46094)</f>
        <v>46094</v>
      </c>
      <c r="G351" s="16">
        <f ca="1">IFERROR(__xludf.DUMMYFUNCTION("""COMPUTED_VALUE"""),46063)</f>
        <v>46063</v>
      </c>
      <c r="H351" s="6" t="str">
        <f ca="1">IFERROR(__xludf.DUMMYFUNCTION("""COMPUTED_VALUE"""),"Badajoz")</f>
        <v>Badajoz</v>
      </c>
      <c r="I351" s="6" t="str">
        <f ca="1">IFERROR(__xludf.DUMMYFUNCTION("""COMPUTED_VALUE"""),"C202621017524846584")</f>
        <v>C202621017524846584</v>
      </c>
      <c r="J351" s="6" t="str">
        <f ca="1">IFERROR(__xludf.DUMMYFUNCTION("""COMPUTED_VALUE"""),"AGUSTINA  ROAS PLATA")</f>
        <v>AGUSTINA  ROAS PLATA</v>
      </c>
      <c r="K351" s="15">
        <f ca="1">IFERROR(__xludf.DUMMYFUNCTION("""COMPUTED_VALUE"""),2)</f>
        <v>2</v>
      </c>
      <c r="L351" s="21">
        <f ca="1">IFERROR(__xludf.DUMMYFUNCTION("""COMPUTED_VALUE"""),2909.09)</f>
        <v>2909.09</v>
      </c>
      <c r="M351" s="6" t="str">
        <f ca="1">IFERROR(__xludf.DUMMYFUNCTION("""COMPUTED_VALUE"""),"03 ORL")</f>
        <v>03 ORL</v>
      </c>
      <c r="N351" s="6" t="str">
        <f ca="1">IFERROR(__xludf.DUMMYFUNCTION("""COMPUTED_VALUE"""),"06 ORL")</f>
        <v>06 ORL</v>
      </c>
      <c r="O351" s="6" t="str">
        <f ca="1">IFERROR(__xludf.DUMMYFUNCTION("""COMPUTED_VALUE"""),"Dr. Isidoro Rubio Correa")</f>
        <v>Dr. Isidoro Rubio Correa</v>
      </c>
      <c r="P351" s="6" t="str">
        <f ca="1">IFERROR(__xludf.DUMMYFUNCTION("""COMPUTED_VALUE"""),"Luis Alberto Rodríguez (Andalucía y Badajoz)")</f>
        <v>Luis Alberto Rodríguez (Andalucía y Badajoz)</v>
      </c>
    </row>
    <row r="352" spans="2:16">
      <c r="B352" s="33">
        <f ca="1">IFERROR(__xludf.DUMMYFUNCTION("""COMPUTED_VALUE"""),2026)</f>
        <v>2026</v>
      </c>
      <c r="C352" s="15">
        <f ca="1">IFERROR(__xludf.DUMMYFUNCTION("""COMPUTED_VALUE"""),3)</f>
        <v>3</v>
      </c>
      <c r="D352" s="6" t="str">
        <f ca="1">IFERROR(__xludf.DUMMYFUNCTION("""COMPUTED_VALUE"""),"NO")</f>
        <v>NO</v>
      </c>
      <c r="E352" s="6" t="str">
        <f ca="1">IFERROR(__xludf.DUMMYFUNCTION("""COMPUTED_VALUE"""),"Orihuela")</f>
        <v>Orihuela</v>
      </c>
      <c r="F352" s="16">
        <f ca="1">IFERROR(__xludf.DUMMYFUNCTION("""COMPUTED_VALUE"""),46094)</f>
        <v>46094</v>
      </c>
      <c r="G352" s="16">
        <f ca="1">IFERROR(__xludf.DUMMYFUNCTION("""COMPUTED_VALUE"""),46064)</f>
        <v>46064</v>
      </c>
      <c r="H352" s="6" t="str">
        <f ca="1">IFERROR(__xludf.DUMMYFUNCTION("""COMPUTED_VALUE"""),"La Zenia")</f>
        <v>La Zenia</v>
      </c>
      <c r="I352" s="6" t="str">
        <f ca="1">IFERROR(__xludf.DUMMYFUNCTION("""COMPUTED_VALUE"""),"C202621111234619933")</f>
        <v>C202621111234619933</v>
      </c>
      <c r="J352" s="6" t="str">
        <f ca="1">IFERROR(__xludf.DUMMYFUNCTION("""COMPUTED_VALUE"""),"TREVOR HOWARD BYLES")</f>
        <v>TREVOR HOWARD BYLES</v>
      </c>
      <c r="K352" s="15">
        <f ca="1">IFERROR(__xludf.DUMMYFUNCTION("""COMPUTED_VALUE"""),2)</f>
        <v>2</v>
      </c>
      <c r="L352" s="21">
        <f ca="1">IFERROR(__xludf.DUMMYFUNCTION("""COMPUTED_VALUE"""),2718.18)</f>
        <v>2718.18</v>
      </c>
      <c r="M352" s="6" t="str">
        <f ca="1">IFERROR(__xludf.DUMMYFUNCTION("""COMPUTED_VALUE"""),"03 ORL")</f>
        <v>03 ORL</v>
      </c>
      <c r="N352" s="6" t="str">
        <f ca="1">IFERROR(__xludf.DUMMYFUNCTION("""COMPUTED_VALUE"""),"06 ORL")</f>
        <v>06 ORL</v>
      </c>
      <c r="O352" s="6" t="str">
        <f ca="1">IFERROR(__xludf.DUMMYFUNCTION("""COMPUTED_VALUE"""),"Dr, José García Morillas")</f>
        <v>Dr, José García Morillas</v>
      </c>
      <c r="P352" s="6" t="str">
        <f ca="1">IFERROR(__xludf.DUMMYFUNCTION("""COMPUTED_VALUE"""),"Iván Sánchez (Levante y Albacete)")</f>
        <v>Iván Sánchez (Levante y Albacete)</v>
      </c>
    </row>
    <row r="353" spans="2:16">
      <c r="B353" s="33">
        <f ca="1">IFERROR(__xludf.DUMMYFUNCTION("""COMPUTED_VALUE"""),2026)</f>
        <v>2026</v>
      </c>
      <c r="C353" s="15">
        <f ca="1">IFERROR(__xludf.DUMMYFUNCTION("""COMPUTED_VALUE"""),3)</f>
        <v>3</v>
      </c>
      <c r="D353" s="6" t="str">
        <f ca="1">IFERROR(__xludf.DUMMYFUNCTION("""COMPUTED_VALUE"""),"NO")</f>
        <v>NO</v>
      </c>
      <c r="E353" s="6" t="str">
        <f ca="1">IFERROR(__xludf.DUMMYFUNCTION("""COMPUTED_VALUE"""),"Leganés")</f>
        <v>Leganés</v>
      </c>
      <c r="F353" s="16">
        <f ca="1">IFERROR(__xludf.DUMMYFUNCTION("""COMPUTED_VALUE"""),46094)</f>
        <v>46094</v>
      </c>
      <c r="G353" s="16">
        <f ca="1">IFERROR(__xludf.DUMMYFUNCTION("""COMPUTED_VALUE"""),46057)</f>
        <v>46057</v>
      </c>
      <c r="H353" s="6" t="str">
        <f ca="1">IFERROR(__xludf.DUMMYFUNCTION("""COMPUTED_VALUE"""),"Leganés")</f>
        <v>Leganés</v>
      </c>
      <c r="I353" s="6" t="str">
        <f ca="1">IFERROR(__xludf.DUMMYFUNCTION("""COMPUTED_VALUE"""),"C202624102735834323")</f>
        <v>C202624102735834323</v>
      </c>
      <c r="J353" s="6" t="str">
        <f ca="1">IFERROR(__xludf.DUMMYFUNCTION("""COMPUTED_VALUE"""),"JACINTO AJENJO BARBADO")</f>
        <v>JACINTO AJENJO BARBADO</v>
      </c>
      <c r="K353" s="15">
        <f ca="1">IFERROR(__xludf.DUMMYFUNCTION("""COMPUTED_VALUE"""),2)</f>
        <v>2</v>
      </c>
      <c r="L353" s="21">
        <f ca="1">IFERROR(__xludf.DUMMYFUNCTION("""COMPUTED_VALUE"""),2718.18)</f>
        <v>2718.18</v>
      </c>
      <c r="M353" s="6" t="str">
        <f ca="1">IFERROR(__xludf.DUMMYFUNCTION("""COMPUTED_VALUE"""),"03 ORL")</f>
        <v>03 ORL</v>
      </c>
      <c r="N353" s="6" t="str">
        <f ca="1">IFERROR(__xludf.DUMMYFUNCTION("""COMPUTED_VALUE"""),"06 ORL")</f>
        <v>06 ORL</v>
      </c>
      <c r="O353" s="6" t="str">
        <f ca="1">IFERROR(__xludf.DUMMYFUNCTION("""COMPUTED_VALUE"""),"No recuerda ORL")</f>
        <v>No recuerda ORL</v>
      </c>
      <c r="P353" s="6" t="str">
        <f ca="1">IFERROR(__xludf.DUMMYFUNCTION("""COMPUTED_VALUE"""),"Maika Blázquez (Madrid)")</f>
        <v>Maika Blázquez (Madrid)</v>
      </c>
    </row>
    <row r="354" spans="2:16">
      <c r="B354" s="33">
        <f ca="1">IFERROR(__xludf.DUMMYFUNCTION("""COMPUTED_VALUE"""),2026)</f>
        <v>2026</v>
      </c>
      <c r="C354" s="15">
        <f ca="1">IFERROR(__xludf.DUMMYFUNCTION("""COMPUTED_VALUE"""),3)</f>
        <v>3</v>
      </c>
      <c r="D354" s="6" t="str">
        <f ca="1">IFERROR(__xludf.DUMMYFUNCTION("""COMPUTED_VALUE"""),"NO")</f>
        <v>NO</v>
      </c>
      <c r="E354" s="6" t="str">
        <f ca="1">IFERROR(__xludf.DUMMYFUNCTION("""COMPUTED_VALUE"""),"Alicante")</f>
        <v>Alicante</v>
      </c>
      <c r="F354" s="16">
        <f ca="1">IFERROR(__xludf.DUMMYFUNCTION("""COMPUTED_VALUE"""),46094)</f>
        <v>46094</v>
      </c>
      <c r="G354" s="16">
        <f ca="1">IFERROR(__xludf.DUMMYFUNCTION("""COMPUTED_VALUE"""),45667)</f>
        <v>45667</v>
      </c>
      <c r="H354" s="6" t="str">
        <f ca="1">IFERROR(__xludf.DUMMYFUNCTION("""COMPUTED_VALUE"""),"Alicante")</f>
        <v>Alicante</v>
      </c>
      <c r="I354" s="6" t="str">
        <f ca="1">IFERROR(__xludf.DUMMYFUNCTION("""COMPUTED_VALUE"""),"C2025128164031616")</f>
        <v>C2025128164031616</v>
      </c>
      <c r="J354" s="6" t="str">
        <f ca="1">IFERROR(__xludf.DUMMYFUNCTION("""COMPUTED_VALUE"""),"YANA BRUNEEL")</f>
        <v>YANA BRUNEEL</v>
      </c>
      <c r="K354" s="15">
        <f ca="1">IFERROR(__xludf.DUMMYFUNCTION("""COMPUTED_VALUE"""),2)</f>
        <v>2</v>
      </c>
      <c r="L354" s="21">
        <f ca="1">IFERROR(__xludf.DUMMYFUNCTION("""COMPUTED_VALUE"""),2718.18)</f>
        <v>2718.18</v>
      </c>
      <c r="M354" s="6" t="str">
        <f ca="1">IFERROR(__xludf.DUMMYFUNCTION("""COMPUTED_VALUE"""),"03 ORL")</f>
        <v>03 ORL</v>
      </c>
      <c r="N354" s="6" t="str">
        <f ca="1">IFERROR(__xludf.DUMMYFUNCTION("""COMPUTED_VALUE"""),"06 ORL")</f>
        <v>06 ORL</v>
      </c>
      <c r="O354" s="6" t="str">
        <f ca="1">IFERROR(__xludf.DUMMYFUNCTION("""COMPUTED_VALUE"""),"Dra, Isabel Menaches Guardiola")</f>
        <v>Dra, Isabel Menaches Guardiola</v>
      </c>
      <c r="P354" s="6" t="str">
        <f ca="1">IFERROR(__xludf.DUMMYFUNCTION("""COMPUTED_VALUE"""),"Iván Sánchez (Levante y Albacete)")</f>
        <v>Iván Sánchez (Levante y Albacete)</v>
      </c>
    </row>
    <row r="355" spans="2:16">
      <c r="B355" s="33">
        <f ca="1">IFERROR(__xludf.DUMMYFUNCTION("""COMPUTED_VALUE"""),2026)</f>
        <v>2026</v>
      </c>
      <c r="C355" s="15">
        <f ca="1">IFERROR(__xludf.DUMMYFUNCTION("""COMPUTED_VALUE"""),3)</f>
        <v>3</v>
      </c>
      <c r="D355" s="6" t="str">
        <f ca="1">IFERROR(__xludf.DUMMYFUNCTION("""COMPUTED_VALUE"""),"NO")</f>
        <v>NO</v>
      </c>
      <c r="E355" s="6" t="str">
        <f ca="1">IFERROR(__xludf.DUMMYFUNCTION("""COMPUTED_VALUE"""),"Sevilla- Montoto")</f>
        <v>Sevilla- Montoto</v>
      </c>
      <c r="F355" s="16">
        <f ca="1">IFERROR(__xludf.DUMMYFUNCTION("""COMPUTED_VALUE"""),46094)</f>
        <v>46094</v>
      </c>
      <c r="G355" s="16">
        <f ca="1">IFERROR(__xludf.DUMMYFUNCTION("""COMPUTED_VALUE"""),46063)</f>
        <v>46063</v>
      </c>
      <c r="H355" s="6" t="str">
        <f ca="1">IFERROR(__xludf.DUMMYFUNCTION("""COMPUTED_VALUE"""),"Montoto")</f>
        <v>Montoto</v>
      </c>
      <c r="I355" s="6" t="str">
        <f ca="1">IFERROR(__xludf.DUMMYFUNCTION("""COMPUTED_VALUE"""),"C202621011441871135")</f>
        <v>C202621011441871135</v>
      </c>
      <c r="J355" s="6" t="str">
        <f ca="1">IFERROR(__xludf.DUMMYFUNCTION("""COMPUTED_VALUE"""),"NIDIA ROSA MUÑOZ BEDOLLA")</f>
        <v>NIDIA ROSA MUÑOZ BEDOLLA</v>
      </c>
      <c r="K355" s="15">
        <f ca="1">IFERROR(__xludf.DUMMYFUNCTION("""COMPUTED_VALUE"""),2)</f>
        <v>2</v>
      </c>
      <c r="L355" s="21">
        <f ca="1">IFERROR(__xludf.DUMMYFUNCTION("""COMPUTED_VALUE"""),2581.82)</f>
        <v>2581.8200000000002</v>
      </c>
      <c r="M355" s="6" t="str">
        <f ca="1">IFERROR(__xludf.DUMMYFUNCTION("""COMPUTED_VALUE"""),"03 ORL")</f>
        <v>03 ORL</v>
      </c>
      <c r="N355" s="6" t="str">
        <f ca="1">IFERROR(__xludf.DUMMYFUNCTION("""COMPUTED_VALUE"""),"06 ORL")</f>
        <v>06 ORL</v>
      </c>
      <c r="O355" s="6" t="str">
        <f ca="1">IFERROR(__xludf.DUMMYFUNCTION("""COMPUTED_VALUE"""),"Dr, Juan Pedro Benaixa")</f>
        <v>Dr, Juan Pedro Benaixa</v>
      </c>
      <c r="P355" s="6" t="str">
        <f ca="1">IFERROR(__xludf.DUMMYFUNCTION("""COMPUTED_VALUE"""),"Luis Alberto Rodríguez (Andalucía y Badajoz)")</f>
        <v>Luis Alberto Rodríguez (Andalucía y Badajoz)</v>
      </c>
    </row>
    <row r="356" spans="2:16">
      <c r="B356" s="33">
        <f ca="1">IFERROR(__xludf.DUMMYFUNCTION("""COMPUTED_VALUE"""),2026)</f>
        <v>2026</v>
      </c>
      <c r="C356" s="15">
        <f ca="1">IFERROR(__xludf.DUMMYFUNCTION("""COMPUTED_VALUE"""),3)</f>
        <v>3</v>
      </c>
      <c r="D356" s="6" t="str">
        <f ca="1">IFERROR(__xludf.DUMMYFUNCTION("""COMPUTED_VALUE"""),"NO")</f>
        <v>NO</v>
      </c>
      <c r="E356" s="6" t="str">
        <f ca="1">IFERROR(__xludf.DUMMYFUNCTION("""COMPUTED_VALUE"""),"Valencia- Parra")</f>
        <v>Valencia- Parra</v>
      </c>
      <c r="F356" s="16">
        <f ca="1">IFERROR(__xludf.DUMMYFUNCTION("""COMPUTED_VALUE"""),46094)</f>
        <v>46094</v>
      </c>
      <c r="G356" s="16">
        <f ca="1">IFERROR(__xludf.DUMMYFUNCTION("""COMPUTED_VALUE"""),46052)</f>
        <v>46052</v>
      </c>
      <c r="H356" s="6" t="str">
        <f ca="1">IFERROR(__xludf.DUMMYFUNCTION("""COMPUTED_VALUE"""),"Valencia- Parra")</f>
        <v>Valencia- Parra</v>
      </c>
      <c r="I356" s="6" t="str">
        <f ca="1">IFERROR(__xludf.DUMMYFUNCTION("""COMPUTED_VALUE"""),"C20261308590460009")</f>
        <v>C20261308590460009</v>
      </c>
      <c r="J356" s="6" t="str">
        <f ca="1">IFERROR(__xludf.DUMMYFUNCTION("""COMPUTED_VALUE"""),"VICENTE REAL BENLLOCH")</f>
        <v>VICENTE REAL BENLLOCH</v>
      </c>
      <c r="K356" s="15">
        <f ca="1">IFERROR(__xludf.DUMMYFUNCTION("""COMPUTED_VALUE"""),2)</f>
        <v>2</v>
      </c>
      <c r="L356" s="21">
        <f ca="1">IFERROR(__xludf.DUMMYFUNCTION("""COMPUTED_VALUE"""),4136.36)</f>
        <v>4136.3599999999997</v>
      </c>
      <c r="M356" s="6" t="str">
        <f ca="1">IFERROR(__xludf.DUMMYFUNCTION("""COMPUTED_VALUE"""),"03 ORL")</f>
        <v>03 ORL</v>
      </c>
      <c r="N356" s="6" t="str">
        <f ca="1">IFERROR(__xludf.DUMMYFUNCTION("""COMPUTED_VALUE"""),"06 ORL")</f>
        <v>06 ORL</v>
      </c>
      <c r="O356" s="6" t="str">
        <f ca="1">IFERROR(__xludf.DUMMYFUNCTION("""COMPUTED_VALUE"""),"Dra, Fe Rubio Escolano")</f>
        <v>Dra, Fe Rubio Escolano</v>
      </c>
      <c r="P356" s="6" t="str">
        <f ca="1">IFERROR(__xludf.DUMMYFUNCTION("""COMPUTED_VALUE"""),"Ramon Ferrando(Valencia)")</f>
        <v>Ramon Ferrando(Valencia)</v>
      </c>
    </row>
    <row r="357" spans="2:16">
      <c r="B357" s="33">
        <f ca="1">IFERROR(__xludf.DUMMYFUNCTION("""COMPUTED_VALUE"""),2026)</f>
        <v>2026</v>
      </c>
      <c r="C357" s="15">
        <f ca="1">IFERROR(__xludf.DUMMYFUNCTION("""COMPUTED_VALUE"""),3)</f>
        <v>3</v>
      </c>
      <c r="D357" s="6" t="str">
        <f ca="1">IFERROR(__xludf.DUMMYFUNCTION("""COMPUTED_VALUE"""),"NO")</f>
        <v>NO</v>
      </c>
      <c r="E357" s="6" t="str">
        <f ca="1">IFERROR(__xludf.DUMMYFUNCTION("""COMPUTED_VALUE"""),"Móstoles")</f>
        <v>Móstoles</v>
      </c>
      <c r="F357" s="16">
        <f ca="1">IFERROR(__xludf.DUMMYFUNCTION("""COMPUTED_VALUE"""),46097)</f>
        <v>46097</v>
      </c>
      <c r="G357" s="16">
        <f ca="1">IFERROR(__xludf.DUMMYFUNCTION("""COMPUTED_VALUE"""),46063)</f>
        <v>46063</v>
      </c>
      <c r="H357" s="6" t="str">
        <f ca="1">IFERROR(__xludf.DUMMYFUNCTION("""COMPUTED_VALUE"""),"Móstoles")</f>
        <v>Móstoles</v>
      </c>
      <c r="I357" s="6" t="str">
        <f ca="1">IFERROR(__xludf.DUMMYFUNCTION("""COMPUTED_VALUE"""),"C202621016145893070")</f>
        <v>C202621016145893070</v>
      </c>
      <c r="J357" s="6" t="str">
        <f ca="1">IFERROR(__xludf.DUMMYFUNCTION("""COMPUTED_VALUE"""),"ALEXANDER RINCON OCAMPO")</f>
        <v>ALEXANDER RINCON OCAMPO</v>
      </c>
      <c r="K357" s="15">
        <f ca="1">IFERROR(__xludf.DUMMYFUNCTION("""COMPUTED_VALUE"""),2)</f>
        <v>2</v>
      </c>
      <c r="L357" s="21">
        <f ca="1">IFERROR(__xludf.DUMMYFUNCTION("""COMPUTED_VALUE"""),2718.18)</f>
        <v>2718.18</v>
      </c>
      <c r="M357" s="6" t="str">
        <f ca="1">IFERROR(__xludf.DUMMYFUNCTION("""COMPUTED_VALUE"""),"01 MARKETING ON LINE")</f>
        <v>01 MARKETING ON LINE</v>
      </c>
      <c r="N357" s="6" t="str">
        <f ca="1">IFERROR(__xludf.DUMMYFUNCTION("""COMPUTED_VALUE"""),"01 WEB AUDICOST")</f>
        <v>01 WEB AUDICOST</v>
      </c>
      <c r="O357" s="6" t="str">
        <f ca="1">IFERROR(__xludf.DUMMYFUNCTION("""COMPUTED_VALUE"""),"Dr, Víctor José González Arias")</f>
        <v>Dr, Víctor José González Arias</v>
      </c>
      <c r="P357" s="6" t="str">
        <f ca="1">IFERROR(__xludf.DUMMYFUNCTION("""COMPUTED_VALUE"""),"Maika Blázquez (Madrid)")</f>
        <v>Maika Blázquez (Madrid)</v>
      </c>
    </row>
    <row r="358" spans="2:16">
      <c r="B358" s="33">
        <f ca="1">IFERROR(__xludf.DUMMYFUNCTION("""COMPUTED_VALUE"""),2026)</f>
        <v>2026</v>
      </c>
      <c r="C358" s="15">
        <f ca="1">IFERROR(__xludf.DUMMYFUNCTION("""COMPUTED_VALUE"""),3)</f>
        <v>3</v>
      </c>
      <c r="D358" s="6" t="str">
        <f ca="1">IFERROR(__xludf.DUMMYFUNCTION("""COMPUTED_VALUE"""),"NO")</f>
        <v>NO</v>
      </c>
      <c r="E358" s="6" t="str">
        <f ca="1">IFERROR(__xludf.DUMMYFUNCTION("""COMPUTED_VALUE"""),"San Javier")</f>
        <v>San Javier</v>
      </c>
      <c r="F358" s="16">
        <f ca="1">IFERROR(__xludf.DUMMYFUNCTION("""COMPUTED_VALUE"""),46097)</f>
        <v>46097</v>
      </c>
      <c r="G358" s="16">
        <f ca="1">IFERROR(__xludf.DUMMYFUNCTION("""COMPUTED_VALUE"""),46051)</f>
        <v>46051</v>
      </c>
      <c r="H358" s="6" t="str">
        <f ca="1">IFERROR(__xludf.DUMMYFUNCTION("""COMPUTED_VALUE"""),"San Javier")</f>
        <v>San Javier</v>
      </c>
      <c r="I358" s="6" t="str">
        <f ca="1">IFERROR(__xludf.DUMMYFUNCTION("""COMPUTED_VALUE"""),"C202612993357512770")</f>
        <v>C202612993357512770</v>
      </c>
      <c r="J358" s="6" t="str">
        <f ca="1">IFERROR(__xludf.DUMMYFUNCTION("""COMPUTED_VALUE"""),"CARMEN FERNANDEZ GURRICHARRI")</f>
        <v>CARMEN FERNANDEZ GURRICHARRI</v>
      </c>
      <c r="K358" s="15">
        <f ca="1">IFERROR(__xludf.DUMMYFUNCTION("""COMPUTED_VALUE"""),2)</f>
        <v>2</v>
      </c>
      <c r="L358" s="21">
        <f ca="1">IFERROR(__xludf.DUMMYFUNCTION("""COMPUTED_VALUE"""),4136.36)</f>
        <v>4136.3599999999997</v>
      </c>
      <c r="M358" s="6" t="str">
        <f ca="1">IFERROR(__xludf.DUMMYFUNCTION("""COMPUTED_VALUE"""),"03 ORL")</f>
        <v>03 ORL</v>
      </c>
      <c r="N358" s="6" t="str">
        <f ca="1">IFERROR(__xludf.DUMMYFUNCTION("""COMPUTED_VALUE"""),"06 ORL")</f>
        <v>06 ORL</v>
      </c>
      <c r="O358" s="6" t="str">
        <f ca="1">IFERROR(__xludf.DUMMYFUNCTION("""COMPUTED_VALUE"""),"Dr, Antonio Galindo Fernández")</f>
        <v>Dr, Antonio Galindo Fernández</v>
      </c>
      <c r="P358" s="6" t="str">
        <f ca="1">IFERROR(__xludf.DUMMYFUNCTION("""COMPUTED_VALUE"""),"Iván Sánchez (Levante y Albacete)")</f>
        <v>Iván Sánchez (Levante y Albacete)</v>
      </c>
    </row>
    <row r="359" spans="2:16">
      <c r="B359" s="33">
        <f ca="1">IFERROR(__xludf.DUMMYFUNCTION("""COMPUTED_VALUE"""),2026)</f>
        <v>2026</v>
      </c>
      <c r="C359" s="15">
        <f ca="1">IFERROR(__xludf.DUMMYFUNCTION("""COMPUTED_VALUE"""),3)</f>
        <v>3</v>
      </c>
      <c r="D359" s="6" t="str">
        <f ca="1">IFERROR(__xludf.DUMMYFUNCTION("""COMPUTED_VALUE"""),"NO")</f>
        <v>NO</v>
      </c>
      <c r="E359" s="6" t="str">
        <f ca="1">IFERROR(__xludf.DUMMYFUNCTION("""COMPUTED_VALUE"""),"León")</f>
        <v>León</v>
      </c>
      <c r="F359" s="16">
        <f ca="1">IFERROR(__xludf.DUMMYFUNCTION("""COMPUTED_VALUE"""),46097)</f>
        <v>46097</v>
      </c>
      <c r="G359" s="16">
        <f ca="1">IFERROR(__xludf.DUMMYFUNCTION("""COMPUTED_VALUE"""),46078)</f>
        <v>46078</v>
      </c>
      <c r="H359" s="6" t="str">
        <f ca="1">IFERROR(__xludf.DUMMYFUNCTION("""COMPUTED_VALUE"""),"León")</f>
        <v>León</v>
      </c>
      <c r="I359" s="6" t="str">
        <f ca="1">IFERROR(__xludf.DUMMYFUNCTION("""COMPUTED_VALUE"""),"C202622510583014355")</f>
        <v>C202622510583014355</v>
      </c>
      <c r="J359" s="6" t="str">
        <f ca="1">IFERROR(__xludf.DUMMYFUNCTION("""COMPUTED_VALUE"""),"Elina Encarnación Carro Alvarez")</f>
        <v>Elina Encarnación Carro Alvarez</v>
      </c>
      <c r="K359" s="15">
        <f ca="1">IFERROR(__xludf.DUMMYFUNCTION("""COMPUTED_VALUE"""),2)</f>
        <v>2</v>
      </c>
      <c r="L359" s="21">
        <f ca="1">IFERROR(__xludf.DUMMYFUNCTION("""COMPUTED_VALUE"""),5363.64)</f>
        <v>5363.64</v>
      </c>
      <c r="M359" s="6" t="str">
        <f ca="1">IFERROR(__xludf.DUMMYFUNCTION("""COMPUTED_VALUE"""),"03 ORL")</f>
        <v>03 ORL</v>
      </c>
      <c r="N359" s="6" t="str">
        <f ca="1">IFERROR(__xludf.DUMMYFUNCTION("""COMPUTED_VALUE"""),"06 ORL")</f>
        <v>06 ORL</v>
      </c>
      <c r="O359" s="6" t="str">
        <f ca="1">IFERROR(__xludf.DUMMYFUNCTION("""COMPUTED_VALUE"""),"Dr, Rafael Pérez González")</f>
        <v>Dr, Rafael Pérez González</v>
      </c>
      <c r="P359" s="6" t="str">
        <f ca="1">IFERROR(__xludf.DUMMYFUNCTION("""COMPUTED_VALUE"""),"Alberto Moreno (Madrid)")</f>
        <v>Alberto Moreno (Madrid)</v>
      </c>
    </row>
    <row r="360" spans="2:16">
      <c r="B360" s="33">
        <f ca="1">IFERROR(__xludf.DUMMYFUNCTION("""COMPUTED_VALUE"""),2026)</f>
        <v>2026</v>
      </c>
      <c r="C360" s="15">
        <f ca="1">IFERROR(__xludf.DUMMYFUNCTION("""COMPUTED_VALUE"""),3)</f>
        <v>3</v>
      </c>
      <c r="D360" s="6" t="str">
        <f ca="1">IFERROR(__xludf.DUMMYFUNCTION("""COMPUTED_VALUE"""),"NO")</f>
        <v>NO</v>
      </c>
      <c r="E360" s="6" t="str">
        <f ca="1">IFERROR(__xludf.DUMMYFUNCTION("""COMPUTED_VALUE"""),"Murcia")</f>
        <v>Murcia</v>
      </c>
      <c r="F360" s="16">
        <f ca="1">IFERROR(__xludf.DUMMYFUNCTION("""COMPUTED_VALUE"""),46097)</f>
        <v>46097</v>
      </c>
      <c r="G360" s="16">
        <f ca="1">IFERROR(__xludf.DUMMYFUNCTION("""COMPUTED_VALUE"""),46062)</f>
        <v>46062</v>
      </c>
      <c r="H360" s="6" t="str">
        <f ca="1">IFERROR(__xludf.DUMMYFUNCTION("""COMPUTED_VALUE"""),"Murcia")</f>
        <v>Murcia</v>
      </c>
      <c r="I360" s="6" t="str">
        <f ca="1">IFERROR(__xludf.DUMMYFUNCTION("""COMPUTED_VALUE"""),"C20262916846685199")</f>
        <v>C20262916846685199</v>
      </c>
      <c r="J360" s="6" t="str">
        <f ca="1">IFERROR(__xludf.DUMMYFUNCTION("""COMPUTED_VALUE"""),"MERCEDES ROS LOPEZ")</f>
        <v>MERCEDES ROS LOPEZ</v>
      </c>
      <c r="K360" s="15">
        <f ca="1">IFERROR(__xludf.DUMMYFUNCTION("""COMPUTED_VALUE"""),2)</f>
        <v>2</v>
      </c>
      <c r="L360" s="21">
        <f ca="1">IFERROR(__xludf.DUMMYFUNCTION("""COMPUTED_VALUE"""),2718.18)</f>
        <v>2718.18</v>
      </c>
      <c r="M360" s="6" t="str">
        <f ca="1">IFERROR(__xludf.DUMMYFUNCTION("""COMPUTED_VALUE"""),"03 ORL")</f>
        <v>03 ORL</v>
      </c>
      <c r="N360" s="6" t="str">
        <f ca="1">IFERROR(__xludf.DUMMYFUNCTION("""COMPUTED_VALUE"""),"06 ORL")</f>
        <v>06 ORL</v>
      </c>
      <c r="O360" s="6" t="str">
        <f ca="1">IFERROR(__xludf.DUMMYFUNCTION("""COMPUTED_VALUE"""),"Dra, Aida Aviñoa Arias")</f>
        <v>Dra, Aida Aviñoa Arias</v>
      </c>
      <c r="P360" s="6" t="str">
        <f ca="1">IFERROR(__xludf.DUMMYFUNCTION("""COMPUTED_VALUE"""),"Iván Sánchez (Levante y Albacete)")</f>
        <v>Iván Sánchez (Levante y Albacete)</v>
      </c>
    </row>
    <row r="361" spans="2:16">
      <c r="B361" s="33">
        <f ca="1">IFERROR(__xludf.DUMMYFUNCTION("""COMPUTED_VALUE"""),2026)</f>
        <v>2026</v>
      </c>
      <c r="C361" s="15">
        <f ca="1">IFERROR(__xludf.DUMMYFUNCTION("""COMPUTED_VALUE"""),3)</f>
        <v>3</v>
      </c>
      <c r="D361" s="6" t="str">
        <f ca="1">IFERROR(__xludf.DUMMYFUNCTION("""COMPUTED_VALUE"""),"NO")</f>
        <v>NO</v>
      </c>
      <c r="E361" s="6" t="str">
        <f ca="1">IFERROR(__xludf.DUMMYFUNCTION("""COMPUTED_VALUE"""),"León")</f>
        <v>León</v>
      </c>
      <c r="F361" s="16">
        <f ca="1">IFERROR(__xludf.DUMMYFUNCTION("""COMPUTED_VALUE"""),46097)</f>
        <v>46097</v>
      </c>
      <c r="G361" s="16">
        <f ca="1">IFERROR(__xludf.DUMMYFUNCTION("""COMPUTED_VALUE"""),46058)</f>
        <v>46058</v>
      </c>
      <c r="H361" s="6" t="str">
        <f ca="1">IFERROR(__xludf.DUMMYFUNCTION("""COMPUTED_VALUE"""),"León")</f>
        <v>León</v>
      </c>
      <c r="I361" s="6" t="str">
        <f ca="1">IFERROR(__xludf.DUMMYFUNCTION("""COMPUTED_VALUE"""),"C202625115344189237")</f>
        <v>C202625115344189237</v>
      </c>
      <c r="J361" s="6" t="str">
        <f ca="1">IFERROR(__xludf.DUMMYFUNCTION("""COMPUTED_VALUE"""),"Roberto Alonso Fernandez")</f>
        <v>Roberto Alonso Fernandez</v>
      </c>
      <c r="K361" s="15">
        <f ca="1">IFERROR(__xludf.DUMMYFUNCTION("""COMPUTED_VALUE"""),2)</f>
        <v>2</v>
      </c>
      <c r="L361" s="21">
        <f ca="1">IFERROR(__xludf.DUMMYFUNCTION("""COMPUTED_VALUE"""),3846.15)</f>
        <v>3846.15</v>
      </c>
      <c r="M361" s="6" t="str">
        <f ca="1">IFERROR(__xludf.DUMMYFUNCTION("""COMPUTED_VALUE"""),"03 ORL")</f>
        <v>03 ORL</v>
      </c>
      <c r="N361" s="6" t="str">
        <f ca="1">IFERROR(__xludf.DUMMYFUNCTION("""COMPUTED_VALUE"""),"06 ORL")</f>
        <v>06 ORL</v>
      </c>
      <c r="O361" s="6" t="str">
        <f ca="1">IFERROR(__xludf.DUMMYFUNCTION("""COMPUTED_VALUE"""),"Dr, Rafael Pérez González")</f>
        <v>Dr, Rafael Pérez González</v>
      </c>
      <c r="P361" s="6" t="str">
        <f ca="1">IFERROR(__xludf.DUMMYFUNCTION("""COMPUTED_VALUE"""),"Alberto Moreno (Madrid)")</f>
        <v>Alberto Moreno (Madrid)</v>
      </c>
    </row>
    <row r="362" spans="2:16">
      <c r="B362" s="33">
        <f ca="1">IFERROR(__xludf.DUMMYFUNCTION("""COMPUTED_VALUE"""),2026)</f>
        <v>2026</v>
      </c>
      <c r="C362" s="15">
        <f ca="1">IFERROR(__xludf.DUMMYFUNCTION("""COMPUTED_VALUE"""),3)</f>
        <v>3</v>
      </c>
      <c r="D362" s="6" t="str">
        <f ca="1">IFERROR(__xludf.DUMMYFUNCTION("""COMPUTED_VALUE"""),"NO")</f>
        <v>NO</v>
      </c>
      <c r="E362" s="6" t="str">
        <f ca="1">IFERROR(__xludf.DUMMYFUNCTION("""COMPUTED_VALUE"""),"El Albir (Benidorm)")</f>
        <v>El Albir (Benidorm)</v>
      </c>
      <c r="F362" s="16">
        <f ca="1">IFERROR(__xludf.DUMMYFUNCTION("""COMPUTED_VALUE"""),46097)</f>
        <v>46097</v>
      </c>
      <c r="G362" s="16">
        <f ca="1">IFERROR(__xludf.DUMMYFUNCTION("""COMPUTED_VALUE"""),46055)</f>
        <v>46055</v>
      </c>
      <c r="H362" s="6" t="str">
        <f ca="1">IFERROR(__xludf.DUMMYFUNCTION("""COMPUTED_VALUE"""),"El Albir (Benidorm)")</f>
        <v>El Albir (Benidorm)</v>
      </c>
      <c r="I362" s="6" t="str">
        <f ca="1">IFERROR(__xludf.DUMMYFUNCTION("""COMPUTED_VALUE"""),"C20262281716801642")</f>
        <v>C20262281716801642</v>
      </c>
      <c r="J362" s="6" t="str">
        <f ca="1">IFERROR(__xludf.DUMMYFUNCTION("""COMPUTED_VALUE"""),"BENITA CONDE SUAREZ")</f>
        <v>BENITA CONDE SUAREZ</v>
      </c>
      <c r="K362" s="15">
        <f ca="1">IFERROR(__xludf.DUMMYFUNCTION("""COMPUTED_VALUE"""),2)</f>
        <v>2</v>
      </c>
      <c r="L362" s="21">
        <f ca="1">IFERROR(__xludf.DUMMYFUNCTION("""COMPUTED_VALUE"""),4136.36)</f>
        <v>4136.3599999999997</v>
      </c>
      <c r="M362" s="6" t="str">
        <f ca="1">IFERROR(__xludf.DUMMYFUNCTION("""COMPUTED_VALUE"""),"03 ORL")</f>
        <v>03 ORL</v>
      </c>
      <c r="N362" s="6" t="str">
        <f ca="1">IFERROR(__xludf.DUMMYFUNCTION("""COMPUTED_VALUE"""),"06 ORL")</f>
        <v>06 ORL</v>
      </c>
      <c r="O362" s="6" t="str">
        <f ca="1">IFERROR(__xludf.DUMMYFUNCTION("""COMPUTED_VALUE"""),"Dra, María Emilia García Ruiz")</f>
        <v>Dra, María Emilia García Ruiz</v>
      </c>
      <c r="P362" s="6" t="str">
        <f ca="1">IFERROR(__xludf.DUMMYFUNCTION("""COMPUTED_VALUE"""),"Ramon Ferrando(Valencia)")</f>
        <v>Ramon Ferrando(Valencia)</v>
      </c>
    </row>
    <row r="363" spans="2:16">
      <c r="B363" s="33">
        <f ca="1">IFERROR(__xludf.DUMMYFUNCTION("""COMPUTED_VALUE"""),2026)</f>
        <v>2026</v>
      </c>
      <c r="C363" s="15">
        <f ca="1">IFERROR(__xludf.DUMMYFUNCTION("""COMPUTED_VALUE"""),3)</f>
        <v>3</v>
      </c>
      <c r="D363" s="6" t="str">
        <f ca="1">IFERROR(__xludf.DUMMYFUNCTION("""COMPUTED_VALUE"""),"NO")</f>
        <v>NO</v>
      </c>
      <c r="E363" s="6" t="str">
        <f ca="1">IFERROR(__xludf.DUMMYFUNCTION("""COMPUTED_VALUE"""),"Cáceres")</f>
        <v>Cáceres</v>
      </c>
      <c r="F363" s="16">
        <f ca="1">IFERROR(__xludf.DUMMYFUNCTION("""COMPUTED_VALUE"""),46098)</f>
        <v>46098</v>
      </c>
      <c r="G363" s="16">
        <f ca="1">IFERROR(__xludf.DUMMYFUNCTION("""COMPUTED_VALUE"""),46071)</f>
        <v>46071</v>
      </c>
      <c r="H363" s="6" t="str">
        <f ca="1">IFERROR(__xludf.DUMMYFUNCTION("""COMPUTED_VALUE"""),"Cáceres")</f>
        <v>Cáceres</v>
      </c>
      <c r="I363" s="6" t="str">
        <f ca="1">IFERROR(__xludf.DUMMYFUNCTION("""COMPUTED_VALUE"""),"C202621812563506")</f>
        <v>C202621812563506</v>
      </c>
      <c r="J363" s="6" t="str">
        <f ca="1">IFERROR(__xludf.DUMMYFUNCTION("""COMPUTED_VALUE"""),"EVELIA ARIAS MORENO")</f>
        <v>EVELIA ARIAS MORENO</v>
      </c>
      <c r="K363" s="15">
        <f ca="1">IFERROR(__xludf.DUMMYFUNCTION("""COMPUTED_VALUE"""),2)</f>
        <v>2</v>
      </c>
      <c r="L363" s="21">
        <f ca="1">IFERROR(__xludf.DUMMYFUNCTION("""COMPUTED_VALUE"""),3909.09)</f>
        <v>3909.09</v>
      </c>
      <c r="M363" s="6" t="str">
        <f ca="1">IFERROR(__xludf.DUMMYFUNCTION("""COMPUTED_VALUE"""),"03 ORL")</f>
        <v>03 ORL</v>
      </c>
      <c r="N363" s="6" t="str">
        <f ca="1">IFERROR(__xludf.DUMMYFUNCTION("""COMPUTED_VALUE"""),"06 ORL")</f>
        <v>06 ORL</v>
      </c>
      <c r="O363" s="6" t="str">
        <f ca="1">IFERROR(__xludf.DUMMYFUNCTION("""COMPUTED_VALUE"""),"Dr, Manuel Martí Peña")</f>
        <v>Dr, Manuel Martí Peña</v>
      </c>
      <c r="P363" s="6" t="str">
        <f ca="1">IFERROR(__xludf.DUMMYFUNCTION("""COMPUTED_VALUE"""),"Lisandro Russian (Madrid, Cáceres, Toledo, Talavera y Logroño)")</f>
        <v>Lisandro Russian (Madrid, Cáceres, Toledo, Talavera y Logroño)</v>
      </c>
    </row>
    <row r="364" spans="2:16">
      <c r="B364" s="33">
        <f ca="1">IFERROR(__xludf.DUMMYFUNCTION("""COMPUTED_VALUE"""),2026)</f>
        <v>2026</v>
      </c>
      <c r="C364" s="15">
        <f ca="1">IFERROR(__xludf.DUMMYFUNCTION("""COMPUTED_VALUE"""),3)</f>
        <v>3</v>
      </c>
      <c r="D364" s="6" t="str">
        <f ca="1">IFERROR(__xludf.DUMMYFUNCTION("""COMPUTED_VALUE"""),"NO")</f>
        <v>NO</v>
      </c>
      <c r="E364" s="6" t="str">
        <f ca="1">IFERROR(__xludf.DUMMYFUNCTION("""COMPUTED_VALUE"""),"Murcia")</f>
        <v>Murcia</v>
      </c>
      <c r="F364" s="16">
        <f ca="1">IFERROR(__xludf.DUMMYFUNCTION("""COMPUTED_VALUE"""),46098)</f>
        <v>46098</v>
      </c>
      <c r="G364" s="16">
        <f ca="1">IFERROR(__xludf.DUMMYFUNCTION("""COMPUTED_VALUE"""),46069)</f>
        <v>46069</v>
      </c>
      <c r="H364" s="6" t="str">
        <f ca="1">IFERROR(__xludf.DUMMYFUNCTION("""COMPUTED_VALUE"""),"Murcia")</f>
        <v>Murcia</v>
      </c>
      <c r="I364" s="6" t="str">
        <f ca="1">IFERROR(__xludf.DUMMYFUNCTION("""COMPUTED_VALUE"""),"C202621616274682965")</f>
        <v>C202621616274682965</v>
      </c>
      <c r="J364" s="6" t="str">
        <f ca="1">IFERROR(__xludf.DUMMYFUNCTION("""COMPUTED_VALUE"""),"SUSANA ROPERO SANCHEZ")</f>
        <v>SUSANA ROPERO SANCHEZ</v>
      </c>
      <c r="K364" s="15">
        <f ca="1">IFERROR(__xludf.DUMMYFUNCTION("""COMPUTED_VALUE"""),2)</f>
        <v>2</v>
      </c>
      <c r="L364" s="21">
        <f ca="1">IFERROR(__xludf.DUMMYFUNCTION("""COMPUTED_VALUE"""),2718.18)</f>
        <v>2718.18</v>
      </c>
      <c r="M364" s="6" t="str">
        <f ca="1">IFERROR(__xludf.DUMMYFUNCTION("""COMPUTED_VALUE"""),"03 ORL")</f>
        <v>03 ORL</v>
      </c>
      <c r="N364" s="6" t="str">
        <f ca="1">IFERROR(__xludf.DUMMYFUNCTION("""COMPUTED_VALUE"""),"06 ORL")</f>
        <v>06 ORL</v>
      </c>
      <c r="O364" s="6" t="str">
        <f ca="1">IFERROR(__xludf.DUMMYFUNCTION("""COMPUTED_VALUE"""),"Dr, Jesús Miguel Iniesta Turpín")</f>
        <v>Dr, Jesús Miguel Iniesta Turpín</v>
      </c>
      <c r="P364" s="6" t="str">
        <f ca="1">IFERROR(__xludf.DUMMYFUNCTION("""COMPUTED_VALUE"""),"Iván Sánchez (Levante y Albacete)")</f>
        <v>Iván Sánchez (Levante y Albacete)</v>
      </c>
    </row>
    <row r="365" spans="2:16">
      <c r="B365" s="33">
        <f ca="1">IFERROR(__xludf.DUMMYFUNCTION("""COMPUTED_VALUE"""),2026)</f>
        <v>2026</v>
      </c>
      <c r="C365" s="15">
        <f ca="1">IFERROR(__xludf.DUMMYFUNCTION("""COMPUTED_VALUE"""),3)</f>
        <v>3</v>
      </c>
      <c r="D365" s="6" t="str">
        <f ca="1">IFERROR(__xludf.DUMMYFUNCTION("""COMPUTED_VALUE"""),"NO")</f>
        <v>NO</v>
      </c>
      <c r="E365" s="6" t="str">
        <f ca="1">IFERROR(__xludf.DUMMYFUNCTION("""COMPUTED_VALUE"""),"Getafe")</f>
        <v>Getafe</v>
      </c>
      <c r="F365" s="16">
        <f ca="1">IFERROR(__xludf.DUMMYFUNCTION("""COMPUTED_VALUE"""),46098)</f>
        <v>46098</v>
      </c>
      <c r="G365" s="16">
        <f ca="1">IFERROR(__xludf.DUMMYFUNCTION("""COMPUTED_VALUE"""),46043)</f>
        <v>46043</v>
      </c>
      <c r="H365" s="6" t="str">
        <f ca="1">IFERROR(__xludf.DUMMYFUNCTION("""COMPUTED_VALUE"""),"Getafe")</f>
        <v>Getafe</v>
      </c>
      <c r="I365" s="6" t="str">
        <f ca="1">IFERROR(__xludf.DUMMYFUNCTION("""COMPUTED_VALUE"""),"C202612114575178474")</f>
        <v>C202612114575178474</v>
      </c>
      <c r="J365" s="6" t="str">
        <f ca="1">IFERROR(__xludf.DUMMYFUNCTION("""COMPUTED_VALUE"""),"MABEL HERRERA DONOSO")</f>
        <v>MABEL HERRERA DONOSO</v>
      </c>
      <c r="K365" s="15">
        <f ca="1">IFERROR(__xludf.DUMMYFUNCTION("""COMPUTED_VALUE"""),2)</f>
        <v>2</v>
      </c>
      <c r="L365" s="21">
        <f ca="1">IFERROR(__xludf.DUMMYFUNCTION("""COMPUTED_VALUE"""),4136.36)</f>
        <v>4136.3599999999997</v>
      </c>
      <c r="M365" s="6" t="str">
        <f ca="1">IFERROR(__xludf.DUMMYFUNCTION("""COMPUTED_VALUE"""),"03 ORL")</f>
        <v>03 ORL</v>
      </c>
      <c r="N365" s="6" t="str">
        <f ca="1">IFERROR(__xludf.DUMMYFUNCTION("""COMPUTED_VALUE"""),"06 ORL")</f>
        <v>06 ORL</v>
      </c>
      <c r="O365" s="6" t="str">
        <f ca="1">IFERROR(__xludf.DUMMYFUNCTION("""COMPUTED_VALUE"""),"Dra, Paloma Pinacho Martínez")</f>
        <v>Dra, Paloma Pinacho Martínez</v>
      </c>
      <c r="P365" s="6" t="str">
        <f ca="1">IFERROR(__xludf.DUMMYFUNCTION("""COMPUTED_VALUE"""),"Maika Blázquez (Madrid)")</f>
        <v>Maika Blázquez (Madrid)</v>
      </c>
    </row>
    <row r="366" spans="2:16">
      <c r="B366" s="33">
        <f ca="1">IFERROR(__xludf.DUMMYFUNCTION("""COMPUTED_VALUE"""),2026)</f>
        <v>2026</v>
      </c>
      <c r="C366" s="15">
        <f ca="1">IFERROR(__xludf.DUMMYFUNCTION("""COMPUTED_VALUE"""),3)</f>
        <v>3</v>
      </c>
      <c r="D366" s="6" t="str">
        <f ca="1">IFERROR(__xludf.DUMMYFUNCTION("""COMPUTED_VALUE"""),"NO")</f>
        <v>NO</v>
      </c>
      <c r="E366" s="6" t="str">
        <f ca="1">IFERROR(__xludf.DUMMYFUNCTION("""COMPUTED_VALUE"""),"Madrid- Canillas")</f>
        <v>Madrid- Canillas</v>
      </c>
      <c r="F366" s="16">
        <f ca="1">IFERROR(__xludf.DUMMYFUNCTION("""COMPUTED_VALUE"""),46098)</f>
        <v>46098</v>
      </c>
      <c r="G366" s="16">
        <f ca="1">IFERROR(__xludf.DUMMYFUNCTION("""COMPUTED_VALUE"""),46070)</f>
        <v>46070</v>
      </c>
      <c r="H366" s="6" t="str">
        <f ca="1">IFERROR(__xludf.DUMMYFUNCTION("""COMPUTED_VALUE"""),"Canillas")</f>
        <v>Canillas</v>
      </c>
      <c r="I366" s="6" t="str">
        <f ca="1">IFERROR(__xludf.DUMMYFUNCTION("""COMPUTED_VALUE"""),"C202621718623559730")</f>
        <v>C202621718623559730</v>
      </c>
      <c r="J366" s="6" t="str">
        <f ca="1">IFERROR(__xludf.DUMMYFUNCTION("""COMPUTED_VALUE"""),"RAFAEL RODRIGO CÁMARA")</f>
        <v>RAFAEL RODRIGO CÁMARA</v>
      </c>
      <c r="K366" s="15">
        <f ca="1">IFERROR(__xludf.DUMMYFUNCTION("""COMPUTED_VALUE"""),2)</f>
        <v>2</v>
      </c>
      <c r="L366" s="21">
        <f ca="1">IFERROR(__xludf.DUMMYFUNCTION("""COMPUTED_VALUE"""),3929.55)</f>
        <v>3929.55</v>
      </c>
      <c r="M366" s="6" t="str">
        <f ca="1">IFERROR(__xludf.DUMMYFUNCTION("""COMPUTED_VALUE"""),"03 ORL")</f>
        <v>03 ORL</v>
      </c>
      <c r="N366" s="6" t="str">
        <f ca="1">IFERROR(__xludf.DUMMYFUNCTION("""COMPUTED_VALUE"""),"06 ORL")</f>
        <v>06 ORL</v>
      </c>
      <c r="O366" s="6" t="str">
        <f ca="1">IFERROR(__xludf.DUMMYFUNCTION("""COMPUTED_VALUE"""),"Dr, Joaquín Alacio Casero")</f>
        <v>Dr, Joaquín Alacio Casero</v>
      </c>
      <c r="P366" s="6" t="str">
        <f ca="1">IFERROR(__xludf.DUMMYFUNCTION("""COMPUTED_VALUE"""),"Maika Blázquez (Madrid)")</f>
        <v>Maika Blázquez (Madrid)</v>
      </c>
    </row>
    <row r="367" spans="2:16">
      <c r="B367" s="33">
        <f ca="1">IFERROR(__xludf.DUMMYFUNCTION("""COMPUTED_VALUE"""),2026)</f>
        <v>2026</v>
      </c>
      <c r="C367" s="15">
        <f ca="1">IFERROR(__xludf.DUMMYFUNCTION("""COMPUTED_VALUE"""),3)</f>
        <v>3</v>
      </c>
      <c r="D367" s="6" t="str">
        <f ca="1">IFERROR(__xludf.DUMMYFUNCTION("""COMPUTED_VALUE"""),"NO")</f>
        <v>NO</v>
      </c>
      <c r="E367" s="6" t="str">
        <f ca="1">IFERROR(__xludf.DUMMYFUNCTION("""COMPUTED_VALUE"""),"Madrid- La Oca")</f>
        <v>Madrid- La Oca</v>
      </c>
      <c r="F367" s="16">
        <f ca="1">IFERROR(__xludf.DUMMYFUNCTION("""COMPUTED_VALUE"""),46098)</f>
        <v>46098</v>
      </c>
      <c r="G367" s="16">
        <f ca="1">IFERROR(__xludf.DUMMYFUNCTION("""COMPUTED_VALUE"""),46071)</f>
        <v>46071</v>
      </c>
      <c r="H367" s="6" t="str">
        <f ca="1">IFERROR(__xludf.DUMMYFUNCTION("""COMPUTED_VALUE"""),"La Oca")</f>
        <v>La Oca</v>
      </c>
      <c r="I367" s="6" t="str">
        <f ca="1">IFERROR(__xludf.DUMMYFUNCTION("""COMPUTED_VALUE"""),"C202621893610185506")</f>
        <v>C202621893610185506</v>
      </c>
      <c r="J367" s="6" t="str">
        <f ca="1">IFERROR(__xludf.DUMMYFUNCTION("""COMPUTED_VALUE"""),"CARMEN DIEZ MIGUEL")</f>
        <v>CARMEN DIEZ MIGUEL</v>
      </c>
      <c r="K367" s="15">
        <f ca="1">IFERROR(__xludf.DUMMYFUNCTION("""COMPUTED_VALUE"""),2)</f>
        <v>2</v>
      </c>
      <c r="L367" s="21">
        <f ca="1">IFERROR(__xludf.DUMMYFUNCTION("""COMPUTED_VALUE"""),2718.18)</f>
        <v>2718.18</v>
      </c>
      <c r="M367" s="6" t="str">
        <f ca="1">IFERROR(__xludf.DUMMYFUNCTION("""COMPUTED_VALUE"""),"03 ORL")</f>
        <v>03 ORL</v>
      </c>
      <c r="N367" s="6" t="str">
        <f ca="1">IFERROR(__xludf.DUMMYFUNCTION("""COMPUTED_VALUE"""),"06 ORL")</f>
        <v>06 ORL</v>
      </c>
      <c r="O367" s="6" t="str">
        <f ca="1">IFERROR(__xludf.DUMMYFUNCTION("""COMPUTED_VALUE"""),"Dr, Andreas Schilling Borghesi")</f>
        <v>Dr, Andreas Schilling Borghesi</v>
      </c>
      <c r="P367" s="6" t="str">
        <f ca="1">IFERROR(__xludf.DUMMYFUNCTION("""COMPUTED_VALUE"""),"Maika Blázquez (Madrid)")</f>
        <v>Maika Blázquez (Madrid)</v>
      </c>
    </row>
    <row r="368" spans="2:16">
      <c r="B368" s="33">
        <f ca="1">IFERROR(__xludf.DUMMYFUNCTION("""COMPUTED_VALUE"""),2026)</f>
        <v>2026</v>
      </c>
      <c r="C368" s="15">
        <f ca="1">IFERROR(__xludf.DUMMYFUNCTION("""COMPUTED_VALUE"""),3)</f>
        <v>3</v>
      </c>
      <c r="D368" s="6" t="str">
        <f ca="1">IFERROR(__xludf.DUMMYFUNCTION("""COMPUTED_VALUE"""),"NO")</f>
        <v>NO</v>
      </c>
      <c r="E368" s="6" t="str">
        <f ca="1">IFERROR(__xludf.DUMMYFUNCTION("""COMPUTED_VALUE"""),"Fuenlabrada")</f>
        <v>Fuenlabrada</v>
      </c>
      <c r="F368" s="16">
        <f ca="1">IFERROR(__xludf.DUMMYFUNCTION("""COMPUTED_VALUE"""),46098)</f>
        <v>46098</v>
      </c>
      <c r="G368" s="16">
        <f ca="1">IFERROR(__xludf.DUMMYFUNCTION("""COMPUTED_VALUE"""),46070)</f>
        <v>46070</v>
      </c>
      <c r="H368" s="6" t="str">
        <f ca="1">IFERROR(__xludf.DUMMYFUNCTION("""COMPUTED_VALUE"""),"Fuenlabrada")</f>
        <v>Fuenlabrada</v>
      </c>
      <c r="I368" s="6" t="str">
        <f ca="1">IFERROR(__xludf.DUMMYFUNCTION("""COMPUTED_VALUE"""),"C202621710526973724")</f>
        <v>C202621710526973724</v>
      </c>
      <c r="J368" s="6" t="str">
        <f ca="1">IFERROR(__xludf.DUMMYFUNCTION("""COMPUTED_VALUE"""),"GERMAN  ENCINAS SANCHEZ")</f>
        <v>GERMAN  ENCINAS SANCHEZ</v>
      </c>
      <c r="K368" s="15">
        <f ca="1">IFERROR(__xludf.DUMMYFUNCTION("""COMPUTED_VALUE"""),2)</f>
        <v>2</v>
      </c>
      <c r="L368" s="21">
        <f ca="1">IFERROR(__xludf.DUMMYFUNCTION("""COMPUTED_VALUE"""),2718.18)</f>
        <v>2718.18</v>
      </c>
      <c r="M368" s="6" t="str">
        <f ca="1">IFERROR(__xludf.DUMMYFUNCTION("""COMPUTED_VALUE"""),"03 ORL")</f>
        <v>03 ORL</v>
      </c>
      <c r="N368" s="6" t="str">
        <f ca="1">IFERROR(__xludf.DUMMYFUNCTION("""COMPUTED_VALUE"""),"06 ORL")</f>
        <v>06 ORL</v>
      </c>
      <c r="O368" s="6" t="str">
        <f ca="1">IFERROR(__xludf.DUMMYFUNCTION("""COMPUTED_VALUE"""),"Dra, Angela Gastañaga Echevarría")</f>
        <v>Dra, Angela Gastañaga Echevarría</v>
      </c>
      <c r="P368" s="6" t="str">
        <f ca="1">IFERROR(__xludf.DUMMYFUNCTION("""COMPUTED_VALUE"""),"Maika Blázquez (Madrid)")</f>
        <v>Maika Blázquez (Madrid)</v>
      </c>
    </row>
    <row r="369" spans="2:16">
      <c r="B369" s="33">
        <f ca="1">IFERROR(__xludf.DUMMYFUNCTION("""COMPUTED_VALUE"""),2026)</f>
        <v>2026</v>
      </c>
      <c r="C369" s="15">
        <f ca="1">IFERROR(__xludf.DUMMYFUNCTION("""COMPUTED_VALUE"""),3)</f>
        <v>3</v>
      </c>
      <c r="D369" s="6" t="str">
        <f ca="1">IFERROR(__xludf.DUMMYFUNCTION("""COMPUTED_VALUE"""),"NO")</f>
        <v>NO</v>
      </c>
      <c r="E369" s="6" t="str">
        <f ca="1">IFERROR(__xludf.DUMMYFUNCTION("""COMPUTED_VALUE"""),"Madrid- La Oca")</f>
        <v>Madrid- La Oca</v>
      </c>
      <c r="F369" s="16">
        <f ca="1">IFERROR(__xludf.DUMMYFUNCTION("""COMPUTED_VALUE"""),46098)</f>
        <v>46098</v>
      </c>
      <c r="G369" s="16">
        <f ca="1">IFERROR(__xludf.DUMMYFUNCTION("""COMPUTED_VALUE"""),46071)</f>
        <v>46071</v>
      </c>
      <c r="H369" s="6" t="str">
        <f ca="1">IFERROR(__xludf.DUMMYFUNCTION("""COMPUTED_VALUE"""),"La Oca")</f>
        <v>La Oca</v>
      </c>
      <c r="I369" s="6" t="str">
        <f ca="1">IFERROR(__xludf.DUMMYFUNCTION("""COMPUTED_VALUE"""),"C202621893749939587")</f>
        <v>C202621893749939587</v>
      </c>
      <c r="J369" s="6" t="str">
        <f ca="1">IFERROR(__xludf.DUMMYFUNCTION("""COMPUTED_VALUE"""),"JOSE FARO BARREIROS")</f>
        <v>JOSE FARO BARREIROS</v>
      </c>
      <c r="K369" s="15">
        <f ca="1">IFERROR(__xludf.DUMMYFUNCTION("""COMPUTED_VALUE"""),2)</f>
        <v>2</v>
      </c>
      <c r="L369" s="21">
        <f ca="1">IFERROR(__xludf.DUMMYFUNCTION("""COMPUTED_VALUE"""),2718.18)</f>
        <v>2718.18</v>
      </c>
      <c r="M369" s="6" t="str">
        <f ca="1">IFERROR(__xludf.DUMMYFUNCTION("""COMPUTED_VALUE"""),"03 ORL")</f>
        <v>03 ORL</v>
      </c>
      <c r="N369" s="6" t="str">
        <f ca="1">IFERROR(__xludf.DUMMYFUNCTION("""COMPUTED_VALUE"""),"06 ORL")</f>
        <v>06 ORL</v>
      </c>
      <c r="O369" s="6" t="str">
        <f ca="1">IFERROR(__xludf.DUMMYFUNCTION("""COMPUTED_VALUE"""),"Dr, Iván Muerte Moreno")</f>
        <v>Dr, Iván Muerte Moreno</v>
      </c>
      <c r="P369" s="6" t="str">
        <f ca="1">IFERROR(__xludf.DUMMYFUNCTION("""COMPUTED_VALUE"""),"Maika Blázquez (Madrid)")</f>
        <v>Maika Blázquez (Madrid)</v>
      </c>
    </row>
    <row r="370" spans="2:16">
      <c r="B370" s="33">
        <f ca="1">IFERROR(__xludf.DUMMYFUNCTION("""COMPUTED_VALUE"""),2026)</f>
        <v>2026</v>
      </c>
      <c r="C370" s="15">
        <f ca="1">IFERROR(__xludf.DUMMYFUNCTION("""COMPUTED_VALUE"""),3)</f>
        <v>3</v>
      </c>
      <c r="D370" s="6" t="str">
        <f ca="1">IFERROR(__xludf.DUMMYFUNCTION("""COMPUTED_VALUE"""),"NO")</f>
        <v>NO</v>
      </c>
      <c r="E370" s="6" t="str">
        <f ca="1">IFERROR(__xludf.DUMMYFUNCTION("""COMPUTED_VALUE"""),"Alicante")</f>
        <v>Alicante</v>
      </c>
      <c r="F370" s="16">
        <f ca="1">IFERROR(__xludf.DUMMYFUNCTION("""COMPUTED_VALUE"""),46098)</f>
        <v>46098</v>
      </c>
      <c r="G370" s="16">
        <f ca="1">IFERROR(__xludf.DUMMYFUNCTION("""COMPUTED_VALUE"""),46098)</f>
        <v>46098</v>
      </c>
      <c r="H370" s="6" t="str">
        <f ca="1">IFERROR(__xludf.DUMMYFUNCTION("""COMPUTED_VALUE"""),"Alicante")</f>
        <v>Alicante</v>
      </c>
      <c r="I370" s="6" t="str">
        <f ca="1">IFERROR(__xludf.DUMMYFUNCTION("""COMPUTED_VALUE"""),"C2026317132549990")</f>
        <v>C2026317132549990</v>
      </c>
      <c r="J370" s="6" t="str">
        <f ca="1">IFERROR(__xludf.DUMMYFUNCTION("""COMPUTED_VALUE"""),"AGUSTINA BECERRO MARTIN [JORGE ENRIQUE ESPINOSA DIAZ]")</f>
        <v>AGUSTINA BECERRO MARTIN [JORGE ENRIQUE ESPINOSA DIAZ]</v>
      </c>
      <c r="K370" s="15">
        <f ca="1">IFERROR(__xludf.DUMMYFUNCTION("""COMPUTED_VALUE"""),2)</f>
        <v>2</v>
      </c>
      <c r="L370" s="21">
        <f ca="1">IFERROR(__xludf.DUMMYFUNCTION("""COMPUTED_VALUE"""),2718.18)</f>
        <v>2718.18</v>
      </c>
      <c r="M370" s="6" t="str">
        <f ca="1">IFERROR(__xludf.DUMMYFUNCTION("""COMPUTED_VALUE"""),"03 ORL")</f>
        <v>03 ORL</v>
      </c>
      <c r="N370" s="6" t="str">
        <f ca="1">IFERROR(__xludf.DUMMYFUNCTION("""COMPUTED_VALUE"""),"06 ORL")</f>
        <v>06 ORL</v>
      </c>
      <c r="O370" s="6" t="str">
        <f ca="1">IFERROR(__xludf.DUMMYFUNCTION("""COMPUTED_VALUE"""),"Dr, Carlos Velásquez Fermín")</f>
        <v>Dr, Carlos Velásquez Fermín</v>
      </c>
      <c r="P370" s="6" t="str">
        <f ca="1">IFERROR(__xludf.DUMMYFUNCTION("""COMPUTED_VALUE"""),"Iván Sánchez (Levante y Albacete)")</f>
        <v>Iván Sánchez (Levante y Albacete)</v>
      </c>
    </row>
    <row r="371" spans="2:16">
      <c r="B371" s="33">
        <f ca="1">IFERROR(__xludf.DUMMYFUNCTION("""COMPUTED_VALUE"""),2026)</f>
        <v>2026</v>
      </c>
      <c r="C371" s="15">
        <f ca="1">IFERROR(__xludf.DUMMYFUNCTION("""COMPUTED_VALUE"""),3)</f>
        <v>3</v>
      </c>
      <c r="D371" s="6" t="str">
        <f ca="1">IFERROR(__xludf.DUMMYFUNCTION("""COMPUTED_VALUE"""),"NO")</f>
        <v>NO</v>
      </c>
      <c r="E371" s="6" t="str">
        <f ca="1">IFERROR(__xludf.DUMMYFUNCTION("""COMPUTED_VALUE"""),"Getafe")</f>
        <v>Getafe</v>
      </c>
      <c r="F371" s="16">
        <f ca="1">IFERROR(__xludf.DUMMYFUNCTION("""COMPUTED_VALUE"""),46098)</f>
        <v>46098</v>
      </c>
      <c r="G371" s="16">
        <f ca="1">IFERROR(__xludf.DUMMYFUNCTION("""COMPUTED_VALUE"""),46055)</f>
        <v>46055</v>
      </c>
      <c r="H371" s="6" t="str">
        <f ca="1">IFERROR(__xludf.DUMMYFUNCTION("""COMPUTED_VALUE"""),"Getafe")</f>
        <v>Getafe</v>
      </c>
      <c r="I371" s="6" t="str">
        <f ca="1">IFERROR(__xludf.DUMMYFUNCTION("""COMPUTED_VALUE"""),"C20262213438613479")</f>
        <v>C20262213438613479</v>
      </c>
      <c r="J371" s="6" t="str">
        <f ca="1">IFERROR(__xludf.DUMMYFUNCTION("""COMPUTED_VALUE"""),"JUAN GARCIA SANTAMARIA")</f>
        <v>JUAN GARCIA SANTAMARIA</v>
      </c>
      <c r="K371" s="15">
        <f ca="1">IFERROR(__xludf.DUMMYFUNCTION("""COMPUTED_VALUE"""),2)</f>
        <v>2</v>
      </c>
      <c r="L371" s="21">
        <f ca="1">IFERROR(__xludf.DUMMYFUNCTION("""COMPUTED_VALUE"""),2581.82)</f>
        <v>2581.8200000000002</v>
      </c>
      <c r="M371" s="6" t="str">
        <f ca="1">IFERROR(__xludf.DUMMYFUNCTION("""COMPUTED_VALUE"""),"03 ORL")</f>
        <v>03 ORL</v>
      </c>
      <c r="N371" s="6" t="str">
        <f ca="1">IFERROR(__xludf.DUMMYFUNCTION("""COMPUTED_VALUE"""),"06 ORL")</f>
        <v>06 ORL</v>
      </c>
      <c r="O371" s="6" t="str">
        <f ca="1">IFERROR(__xludf.DUMMYFUNCTION("""COMPUTED_VALUE"""),"Dr, Julio López Moya")</f>
        <v>Dr, Julio López Moya</v>
      </c>
      <c r="P371" s="6" t="str">
        <f ca="1">IFERROR(__xludf.DUMMYFUNCTION("""COMPUTED_VALUE"""),"Maika Blázquez (Madrid)")</f>
        <v>Maika Blázquez (Madrid)</v>
      </c>
    </row>
    <row r="372" spans="2:16">
      <c r="B372" s="33">
        <f ca="1">IFERROR(__xludf.DUMMYFUNCTION("""COMPUTED_VALUE"""),2026)</f>
        <v>2026</v>
      </c>
      <c r="C372" s="15">
        <f ca="1">IFERROR(__xludf.DUMMYFUNCTION("""COMPUTED_VALUE"""),3)</f>
        <v>3</v>
      </c>
      <c r="D372" s="6" t="str">
        <f ca="1">IFERROR(__xludf.DUMMYFUNCTION("""COMPUTED_VALUE"""),"NO")</f>
        <v>NO</v>
      </c>
      <c r="E372" s="6" t="str">
        <f ca="1">IFERROR(__xludf.DUMMYFUNCTION("""COMPUTED_VALUE"""),"Jerez de la Frontera")</f>
        <v>Jerez de la Frontera</v>
      </c>
      <c r="F372" s="16">
        <f ca="1">IFERROR(__xludf.DUMMYFUNCTION("""COMPUTED_VALUE"""),46099)</f>
        <v>46099</v>
      </c>
      <c r="G372" s="16">
        <f ca="1">IFERROR(__xludf.DUMMYFUNCTION("""COMPUTED_VALUE"""),46078)</f>
        <v>46078</v>
      </c>
      <c r="H372" s="6" t="str">
        <f ca="1">IFERROR(__xludf.DUMMYFUNCTION("""COMPUTED_VALUE"""),"Jerez")</f>
        <v>Jerez</v>
      </c>
      <c r="I372" s="6" t="str">
        <f ca="1">IFERROR(__xludf.DUMMYFUNCTION("""COMPUTED_VALUE"""),"C202622594953676825")</f>
        <v>C202622594953676825</v>
      </c>
      <c r="J372" s="6" t="str">
        <f ca="1">IFERROR(__xludf.DUMMYFUNCTION("""COMPUTED_VALUE"""),"SOLEDAD ESPINOSA CASTELLANO")</f>
        <v>SOLEDAD ESPINOSA CASTELLANO</v>
      </c>
      <c r="K372" s="15">
        <f ca="1">IFERROR(__xludf.DUMMYFUNCTION("""COMPUTED_VALUE"""),1)</f>
        <v>1</v>
      </c>
      <c r="L372" s="21">
        <f ca="1">IFERROR(__xludf.DUMMYFUNCTION("""COMPUTED_VALUE"""),2481.82)</f>
        <v>2481.8200000000002</v>
      </c>
      <c r="M372" s="6" t="str">
        <f ca="1">IFERROR(__xludf.DUMMYFUNCTION("""COMPUTED_VALUE"""),"03 ORL")</f>
        <v>03 ORL</v>
      </c>
      <c r="N372" s="6" t="str">
        <f ca="1">IFERROR(__xludf.DUMMYFUNCTION("""COMPUTED_VALUE"""),"06 ORL")</f>
        <v>06 ORL</v>
      </c>
      <c r="O372" s="6" t="str">
        <f ca="1">IFERROR(__xludf.DUMMYFUNCTION("""COMPUTED_VALUE"""),"Dr, Guillermo Sierra Galera")</f>
        <v>Dr, Guillermo Sierra Galera</v>
      </c>
      <c r="P372" s="6" t="str">
        <f ca="1">IFERROR(__xludf.DUMMYFUNCTION("""COMPUTED_VALUE"""),"Luis Alberto Rodríguez (Andalucía y Badajoz)")</f>
        <v>Luis Alberto Rodríguez (Andalucía y Badajoz)</v>
      </c>
    </row>
    <row r="373" spans="2:16">
      <c r="B373" s="33">
        <f ca="1">IFERROR(__xludf.DUMMYFUNCTION("""COMPUTED_VALUE"""),2026)</f>
        <v>2026</v>
      </c>
      <c r="C373" s="15">
        <f ca="1">IFERROR(__xludf.DUMMYFUNCTION("""COMPUTED_VALUE"""),3)</f>
        <v>3</v>
      </c>
      <c r="D373" s="6" t="str">
        <f ca="1">IFERROR(__xludf.DUMMYFUNCTION("""COMPUTED_VALUE"""),"NO")</f>
        <v>NO</v>
      </c>
      <c r="E373" s="6" t="str">
        <f ca="1">IFERROR(__xludf.DUMMYFUNCTION("""COMPUTED_VALUE"""),"Fuenlabrada")</f>
        <v>Fuenlabrada</v>
      </c>
      <c r="F373" s="16">
        <f ca="1">IFERROR(__xludf.DUMMYFUNCTION("""COMPUTED_VALUE"""),46099)</f>
        <v>46099</v>
      </c>
      <c r="G373" s="16">
        <f ca="1">IFERROR(__xludf.DUMMYFUNCTION("""COMPUTED_VALUE"""),46073)</f>
        <v>46073</v>
      </c>
      <c r="H373" s="6" t="str">
        <f ca="1">IFERROR(__xludf.DUMMYFUNCTION("""COMPUTED_VALUE"""),"Fuenlabrada")</f>
        <v>Fuenlabrada</v>
      </c>
      <c r="I373" s="6" t="str">
        <f ca="1">IFERROR(__xludf.DUMMYFUNCTION("""COMPUTED_VALUE"""),"C202622092248328206")</f>
        <v>C202622092248328206</v>
      </c>
      <c r="J373" s="6" t="str">
        <f ca="1">IFERROR(__xludf.DUMMYFUNCTION("""COMPUTED_VALUE"""),"FRANCISCO POLICARPO VERAS")</f>
        <v>FRANCISCO POLICARPO VERAS</v>
      </c>
      <c r="K373" s="15">
        <f ca="1">IFERROR(__xludf.DUMMYFUNCTION("""COMPUTED_VALUE"""),2)</f>
        <v>2</v>
      </c>
      <c r="L373" s="21">
        <f ca="1">IFERROR(__xludf.DUMMYFUNCTION("""COMPUTED_VALUE"""),2718.18)</f>
        <v>2718.18</v>
      </c>
      <c r="M373" s="6" t="str">
        <f ca="1">IFERROR(__xludf.DUMMYFUNCTION("""COMPUTED_VALUE"""),"03 ORL")</f>
        <v>03 ORL</v>
      </c>
      <c r="N373" s="6" t="str">
        <f ca="1">IFERROR(__xludf.DUMMYFUNCTION("""COMPUTED_VALUE"""),"06 ORL")</f>
        <v>06 ORL</v>
      </c>
      <c r="O373" s="6" t="str">
        <f ca="1">IFERROR(__xludf.DUMMYFUNCTION("""COMPUTED_VALUE"""),"Dra, Cristina García García")</f>
        <v>Dra, Cristina García García</v>
      </c>
      <c r="P373" s="6" t="str">
        <f ca="1">IFERROR(__xludf.DUMMYFUNCTION("""COMPUTED_VALUE"""),"Maika Blázquez (Madrid)")</f>
        <v>Maika Blázquez (Madrid)</v>
      </c>
    </row>
    <row r="374" spans="2:16">
      <c r="B374" s="33">
        <f ca="1">IFERROR(__xludf.DUMMYFUNCTION("""COMPUTED_VALUE"""),2026)</f>
        <v>2026</v>
      </c>
      <c r="C374" s="15">
        <f ca="1">IFERROR(__xludf.DUMMYFUNCTION("""COMPUTED_VALUE"""),3)</f>
        <v>3</v>
      </c>
      <c r="D374" s="6" t="str">
        <f ca="1">IFERROR(__xludf.DUMMYFUNCTION("""COMPUTED_VALUE"""),"NO")</f>
        <v>NO</v>
      </c>
      <c r="E374" s="6" t="str">
        <f ca="1">IFERROR(__xludf.DUMMYFUNCTION("""COMPUTED_VALUE"""),"Leganés")</f>
        <v>Leganés</v>
      </c>
      <c r="F374" s="16">
        <f ca="1">IFERROR(__xludf.DUMMYFUNCTION("""COMPUTED_VALUE"""),46099)</f>
        <v>46099</v>
      </c>
      <c r="G374" s="16">
        <f ca="1">IFERROR(__xludf.DUMMYFUNCTION("""COMPUTED_VALUE"""),46042)</f>
        <v>46042</v>
      </c>
      <c r="H374" s="6" t="str">
        <f ca="1">IFERROR(__xludf.DUMMYFUNCTION("""COMPUTED_VALUE"""),"Leganés")</f>
        <v>Leganés</v>
      </c>
      <c r="I374" s="6" t="str">
        <f ca="1">IFERROR(__xludf.DUMMYFUNCTION("""COMPUTED_VALUE"""),"C202612092442830153")</f>
        <v>C202612092442830153</v>
      </c>
      <c r="J374" s="6" t="str">
        <f ca="1">IFERROR(__xludf.DUMMYFUNCTION("""COMPUTED_VALUE"""),"ALVARO LADRON DE GUEVARA CUESTA")</f>
        <v>ALVARO LADRON DE GUEVARA CUESTA</v>
      </c>
      <c r="K374" s="15">
        <f ca="1">IFERROR(__xludf.DUMMYFUNCTION("""COMPUTED_VALUE"""),1)</f>
        <v>1</v>
      </c>
      <c r="L374" s="21">
        <f ca="1">IFERROR(__xludf.DUMMYFUNCTION("""COMPUTED_VALUE"""),2481.82)</f>
        <v>2481.8200000000002</v>
      </c>
      <c r="M374" s="6" t="str">
        <f ca="1">IFERROR(__xludf.DUMMYFUNCTION("""COMPUTED_VALUE"""),"03 ORL")</f>
        <v>03 ORL</v>
      </c>
      <c r="N374" s="6" t="str">
        <f ca="1">IFERROR(__xludf.DUMMYFUNCTION("""COMPUTED_VALUE"""),"06 ORL")</f>
        <v>06 ORL</v>
      </c>
      <c r="O374" s="6" t="str">
        <f ca="1">IFERROR(__xludf.DUMMYFUNCTION("""COMPUTED_VALUE"""),"Dra, Mar Lasso de la Vega Zamora")</f>
        <v>Dra, Mar Lasso de la Vega Zamora</v>
      </c>
      <c r="P374" s="6" t="str">
        <f ca="1">IFERROR(__xludf.DUMMYFUNCTION("""COMPUTED_VALUE"""),"Maika Blázquez (Madrid)")</f>
        <v>Maika Blázquez (Madrid)</v>
      </c>
    </row>
    <row r="375" spans="2:16">
      <c r="B375" s="33">
        <f ca="1">IFERROR(__xludf.DUMMYFUNCTION("""COMPUTED_VALUE"""),2026)</f>
        <v>2026</v>
      </c>
      <c r="C375" s="15">
        <f ca="1">IFERROR(__xludf.DUMMYFUNCTION("""COMPUTED_VALUE"""),3)</f>
        <v>3</v>
      </c>
      <c r="D375" s="6" t="str">
        <f ca="1">IFERROR(__xludf.DUMMYFUNCTION("""COMPUTED_VALUE"""),"NO")</f>
        <v>NO</v>
      </c>
      <c r="E375" s="6" t="str">
        <f ca="1">IFERROR(__xludf.DUMMYFUNCTION("""COMPUTED_VALUE"""),"Valladolid")</f>
        <v>Valladolid</v>
      </c>
      <c r="F375" s="16">
        <f ca="1">IFERROR(__xludf.DUMMYFUNCTION("""COMPUTED_VALUE"""),46099)</f>
        <v>46099</v>
      </c>
      <c r="G375" s="16">
        <f ca="1">IFERROR(__xludf.DUMMYFUNCTION("""COMPUTED_VALUE"""),45180)</f>
        <v>45180</v>
      </c>
      <c r="H375" s="6" t="str">
        <f ca="1">IFERROR(__xludf.DUMMYFUNCTION("""COMPUTED_VALUE"""),"Valladolid")</f>
        <v>Valladolid</v>
      </c>
      <c r="I375" s="6" t="str">
        <f ca="1">IFERROR(__xludf.DUMMYFUNCTION("""COMPUTED_VALUE"""),"VLL-61")</f>
        <v>VLL-61</v>
      </c>
      <c r="J375" s="6" t="str">
        <f ca="1">IFERROR(__xludf.DUMMYFUNCTION("""COMPUTED_VALUE"""),"TOMAS DEL CAMPO LOPEZ")</f>
        <v>TOMAS DEL CAMPO LOPEZ</v>
      </c>
      <c r="K375" s="15">
        <f ca="1">IFERROR(__xludf.DUMMYFUNCTION("""COMPUTED_VALUE"""),1)</f>
        <v>1</v>
      </c>
      <c r="L375" s="21">
        <f ca="1">IFERROR(__xludf.DUMMYFUNCTION("""COMPUTED_VALUE"""),1636.36)</f>
        <v>1636.36</v>
      </c>
      <c r="M375" s="6" t="str">
        <f ca="1">IFERROR(__xludf.DUMMYFUNCTION("""COMPUTED_VALUE"""),"03 ORL")</f>
        <v>03 ORL</v>
      </c>
      <c r="N375" s="6" t="str">
        <f ca="1">IFERROR(__xludf.DUMMYFUNCTION("""COMPUTED_VALUE"""),"06 ORL")</f>
        <v>06 ORL</v>
      </c>
      <c r="O375" s="6" t="str">
        <f ca="1">IFERROR(__xludf.DUMMYFUNCTION("""COMPUTED_VALUE"""),"Dra, Patricia Viveros Diez")</f>
        <v>Dra, Patricia Viveros Diez</v>
      </c>
      <c r="P375" s="6" t="str">
        <f ca="1">IFERROR(__xludf.DUMMYFUNCTION("""COMPUTED_VALUE"""),"Alberto Moreno (Madrid)")</f>
        <v>Alberto Moreno (Madrid)</v>
      </c>
    </row>
    <row r="376" spans="2:16">
      <c r="B376" s="33">
        <f ca="1">IFERROR(__xludf.DUMMYFUNCTION("""COMPUTED_VALUE"""),2026)</f>
        <v>2026</v>
      </c>
      <c r="C376" s="15">
        <f ca="1">IFERROR(__xludf.DUMMYFUNCTION("""COMPUTED_VALUE"""),3)</f>
        <v>3</v>
      </c>
      <c r="D376" s="6" t="str">
        <f ca="1">IFERROR(__xludf.DUMMYFUNCTION("""COMPUTED_VALUE"""),"NO")</f>
        <v>NO</v>
      </c>
      <c r="E376" s="6" t="str">
        <f ca="1">IFERROR(__xludf.DUMMYFUNCTION("""COMPUTED_VALUE"""),"Madrid- Canillas")</f>
        <v>Madrid- Canillas</v>
      </c>
      <c r="F376" s="16">
        <f ca="1">IFERROR(__xludf.DUMMYFUNCTION("""COMPUTED_VALUE"""),46099)</f>
        <v>46099</v>
      </c>
      <c r="G376" s="16">
        <f ca="1">IFERROR(__xludf.DUMMYFUNCTION("""COMPUTED_VALUE"""),46079)</f>
        <v>46079</v>
      </c>
      <c r="H376" s="6" t="str">
        <f ca="1">IFERROR(__xludf.DUMMYFUNCTION("""COMPUTED_VALUE"""),"Canillas")</f>
        <v>Canillas</v>
      </c>
      <c r="I376" s="6" t="str">
        <f ca="1">IFERROR(__xludf.DUMMYFUNCTION("""COMPUTED_VALUE"""),"C20262261201663579")</f>
        <v>C20262261201663579</v>
      </c>
      <c r="J376" s="6" t="str">
        <f ca="1">IFERROR(__xludf.DUMMYFUNCTION("""COMPUTED_VALUE"""),"CARMEN ESTEBAN MARTÍNEZ")</f>
        <v>CARMEN ESTEBAN MARTÍNEZ</v>
      </c>
      <c r="K376" s="15">
        <f ca="1">IFERROR(__xludf.DUMMYFUNCTION("""COMPUTED_VALUE"""),2)</f>
        <v>2</v>
      </c>
      <c r="L376" s="21">
        <f ca="1">IFERROR(__xludf.DUMMYFUNCTION("""COMPUTED_VALUE"""),2718.18)</f>
        <v>2718.18</v>
      </c>
      <c r="M376" s="6" t="str">
        <f ca="1">IFERROR(__xludf.DUMMYFUNCTION("""COMPUTED_VALUE"""),"03 ORL")</f>
        <v>03 ORL</v>
      </c>
      <c r="N376" s="6" t="str">
        <f ca="1">IFERROR(__xludf.DUMMYFUNCTION("""COMPUTED_VALUE"""),"06 ORL")</f>
        <v>06 ORL</v>
      </c>
      <c r="O376" s="6" t="str">
        <f ca="1">IFERROR(__xludf.DUMMYFUNCTION("""COMPUTED_VALUE"""),"Dr, José Gustavo Barroso Braojos")</f>
        <v>Dr, José Gustavo Barroso Braojos</v>
      </c>
      <c r="P376" s="6" t="str">
        <f ca="1">IFERROR(__xludf.DUMMYFUNCTION("""COMPUTED_VALUE"""),"Maika Blázquez (Madrid)")</f>
        <v>Maika Blázquez (Madrid)</v>
      </c>
    </row>
    <row r="377" spans="2:16">
      <c r="B377" s="33">
        <f ca="1">IFERROR(__xludf.DUMMYFUNCTION("""COMPUTED_VALUE"""),2026)</f>
        <v>2026</v>
      </c>
      <c r="C377" s="15">
        <f ca="1">IFERROR(__xludf.DUMMYFUNCTION("""COMPUTED_VALUE"""),3)</f>
        <v>3</v>
      </c>
      <c r="D377" s="6" t="str">
        <f ca="1">IFERROR(__xludf.DUMMYFUNCTION("""COMPUTED_VALUE"""),"NO")</f>
        <v>NO</v>
      </c>
      <c r="E377" s="6" t="str">
        <f ca="1">IFERROR(__xludf.DUMMYFUNCTION("""COMPUTED_VALUE"""),"Ponferrada")</f>
        <v>Ponferrada</v>
      </c>
      <c r="F377" s="16">
        <f ca="1">IFERROR(__xludf.DUMMYFUNCTION("""COMPUTED_VALUE"""),46099)</f>
        <v>46099</v>
      </c>
      <c r="G377" s="16">
        <f ca="1">IFERROR(__xludf.DUMMYFUNCTION("""COMPUTED_VALUE"""),46052)</f>
        <v>46052</v>
      </c>
      <c r="H377" s="6" t="str">
        <f ca="1">IFERROR(__xludf.DUMMYFUNCTION("""COMPUTED_VALUE"""),"Ponferrada")</f>
        <v>Ponferrada</v>
      </c>
      <c r="I377" s="6" t="str">
        <f ca="1">IFERROR(__xludf.DUMMYFUNCTION("""COMPUTED_VALUE"""),"C202613011434597541")</f>
        <v>C202613011434597541</v>
      </c>
      <c r="J377" s="6" t="str">
        <f ca="1">IFERROR(__xludf.DUMMYFUNCTION("""COMPUTED_VALUE"""),"PORFILIO ALBA PONCELAS")</f>
        <v>PORFILIO ALBA PONCELAS</v>
      </c>
      <c r="K377" s="15">
        <f ca="1">IFERROR(__xludf.DUMMYFUNCTION("""COMPUTED_VALUE"""),2)</f>
        <v>2</v>
      </c>
      <c r="L377" s="21">
        <f ca="1">IFERROR(__xludf.DUMMYFUNCTION("""COMPUTED_VALUE"""),3909.09)</f>
        <v>3909.09</v>
      </c>
      <c r="M377" s="6" t="str">
        <f ca="1">IFERROR(__xludf.DUMMYFUNCTION("""COMPUTED_VALUE"""),"03 ORL")</f>
        <v>03 ORL</v>
      </c>
      <c r="N377" s="6" t="str">
        <f ca="1">IFERROR(__xludf.DUMMYFUNCTION("""COMPUTED_VALUE"""),"22 AUDIOMETRIA CLINICA")</f>
        <v>22 AUDIOMETRIA CLINICA</v>
      </c>
      <c r="O377" s="6" t="str">
        <f ca="1">IFERROR(__xludf.DUMMYFUNCTION("""COMPUTED_VALUE"""),"No recuerda ORL")</f>
        <v>No recuerda ORL</v>
      </c>
      <c r="P377" s="6" t="str">
        <f ca="1">IFERROR(__xludf.DUMMYFUNCTION("""COMPUTED_VALUE"""),"Alberto Moreno (Madrid)")</f>
        <v>Alberto Moreno (Madrid)</v>
      </c>
    </row>
    <row r="378" spans="2:16">
      <c r="B378" s="33">
        <f ca="1">IFERROR(__xludf.DUMMYFUNCTION("""COMPUTED_VALUE"""),2026)</f>
        <v>2026</v>
      </c>
      <c r="C378" s="15">
        <f ca="1">IFERROR(__xludf.DUMMYFUNCTION("""COMPUTED_VALUE"""),3)</f>
        <v>3</v>
      </c>
      <c r="D378" s="6" t="str">
        <f ca="1">IFERROR(__xludf.DUMMYFUNCTION("""COMPUTED_VALUE"""),"NO")</f>
        <v>NO</v>
      </c>
      <c r="E378" s="6" t="str">
        <f ca="1">IFERROR(__xludf.DUMMYFUNCTION("""COMPUTED_VALUE"""),"Madrid- Juan Bravo")</f>
        <v>Madrid- Juan Bravo</v>
      </c>
      <c r="F378" s="16">
        <f ca="1">IFERROR(__xludf.DUMMYFUNCTION("""COMPUTED_VALUE"""),46099)</f>
        <v>46099</v>
      </c>
      <c r="G378" s="16">
        <f ca="1">IFERROR(__xludf.DUMMYFUNCTION("""COMPUTED_VALUE"""),46078)</f>
        <v>46078</v>
      </c>
      <c r="H378" s="6" t="str">
        <f ca="1">IFERROR(__xludf.DUMMYFUNCTION("""COMPUTED_VALUE"""),"Juan Bravo")</f>
        <v>Juan Bravo</v>
      </c>
      <c r="I378" s="6" t="str">
        <f ca="1">IFERROR(__xludf.DUMMYFUNCTION("""COMPUTED_VALUE"""),"C202622595331963569")</f>
        <v>C202622595331963569</v>
      </c>
      <c r="J378" s="6" t="str">
        <f ca="1">IFERROR(__xludf.DUMMYFUNCTION("""COMPUTED_VALUE"""),"ALMUDENA HAURIE MENA")</f>
        <v>ALMUDENA HAURIE MENA</v>
      </c>
      <c r="K378" s="15">
        <f ca="1">IFERROR(__xludf.DUMMYFUNCTION("""COMPUTED_VALUE"""),2)</f>
        <v>2</v>
      </c>
      <c r="L378" s="21">
        <f ca="1">IFERROR(__xludf.DUMMYFUNCTION("""COMPUTED_VALUE"""),2718.18)</f>
        <v>2718.18</v>
      </c>
      <c r="M378" s="6" t="str">
        <f ca="1">IFERROR(__xludf.DUMMYFUNCTION("""COMPUTED_VALUE"""),"03 ORL")</f>
        <v>03 ORL</v>
      </c>
      <c r="N378" s="6" t="str">
        <f ca="1">IFERROR(__xludf.DUMMYFUNCTION("""COMPUTED_VALUE"""),"06 ORL")</f>
        <v>06 ORL</v>
      </c>
      <c r="O378" s="6" t="str">
        <f ca="1">IFERROR(__xludf.DUMMYFUNCTION("""COMPUTED_VALUE"""),"Dra, María Cecilia Scola Torres")</f>
        <v>Dra, María Cecilia Scola Torres</v>
      </c>
      <c r="P378" s="6" t="str">
        <f ca="1">IFERROR(__xludf.DUMMYFUNCTION("""COMPUTED_VALUE"""),"Maika Blázquez (Madrid)")</f>
        <v>Maika Blázquez (Madrid)</v>
      </c>
    </row>
    <row r="379" spans="2:16">
      <c r="B379" s="33">
        <f ca="1">IFERROR(__xludf.DUMMYFUNCTION("""COMPUTED_VALUE"""),2026)</f>
        <v>2026</v>
      </c>
      <c r="C379" s="15">
        <f ca="1">IFERROR(__xludf.DUMMYFUNCTION("""COMPUTED_VALUE"""),3)</f>
        <v>3</v>
      </c>
      <c r="D379" s="6" t="str">
        <f ca="1">IFERROR(__xludf.DUMMYFUNCTION("""COMPUTED_VALUE"""),"NO")</f>
        <v>NO</v>
      </c>
      <c r="E379" s="6" t="str">
        <f ca="1">IFERROR(__xludf.DUMMYFUNCTION("""COMPUTED_VALUE"""),"Getafe")</f>
        <v>Getafe</v>
      </c>
      <c r="F379" s="16">
        <f ca="1">IFERROR(__xludf.DUMMYFUNCTION("""COMPUTED_VALUE"""),46099)</f>
        <v>46099</v>
      </c>
      <c r="G379" s="16">
        <f ca="1">IFERROR(__xludf.DUMMYFUNCTION("""COMPUTED_VALUE"""),46036)</f>
        <v>46036</v>
      </c>
      <c r="H379" s="6" t="str">
        <f ca="1">IFERROR(__xludf.DUMMYFUNCTION("""COMPUTED_VALUE"""),"Getafe")</f>
        <v>Getafe</v>
      </c>
      <c r="I379" s="6" t="str">
        <f ca="1">IFERROR(__xludf.DUMMYFUNCTION("""COMPUTED_VALUE"""),"C202611410423796600")</f>
        <v>C202611410423796600</v>
      </c>
      <c r="J379" s="6" t="str">
        <f ca="1">IFERROR(__xludf.DUMMYFUNCTION("""COMPUTED_VALUE"""),"PILAR SANCHO HERNANDEZ")</f>
        <v>PILAR SANCHO HERNANDEZ</v>
      </c>
      <c r="K379" s="15">
        <f ca="1">IFERROR(__xludf.DUMMYFUNCTION("""COMPUTED_VALUE"""),1)</f>
        <v>1</v>
      </c>
      <c r="L379" s="21">
        <f ca="1">IFERROR(__xludf.DUMMYFUNCTION("""COMPUTED_VALUE"""),2180.91)</f>
        <v>2180.91</v>
      </c>
      <c r="M379" s="6" t="str">
        <f ca="1">IFERROR(__xludf.DUMMYFUNCTION("""COMPUTED_VALUE"""),"03 ORL")</f>
        <v>03 ORL</v>
      </c>
      <c r="N379" s="6" t="str">
        <f ca="1">IFERROR(__xludf.DUMMYFUNCTION("""COMPUTED_VALUE"""),"06 ORL")</f>
        <v>06 ORL</v>
      </c>
      <c r="O379" s="6" t="str">
        <f ca="1">IFERROR(__xludf.DUMMYFUNCTION("""COMPUTED_VALUE"""),"Dr, Alejandro Harguindey Antoli-Candela")</f>
        <v>Dr, Alejandro Harguindey Antoli-Candela</v>
      </c>
      <c r="P379" s="6" t="str">
        <f ca="1">IFERROR(__xludf.DUMMYFUNCTION("""COMPUTED_VALUE"""),"Maika Blázquez (Madrid)")</f>
        <v>Maika Blázquez (Madrid)</v>
      </c>
    </row>
    <row r="380" spans="2:16">
      <c r="B380" s="33">
        <f ca="1">IFERROR(__xludf.DUMMYFUNCTION("""COMPUTED_VALUE"""),2026)</f>
        <v>2026</v>
      </c>
      <c r="C380" s="15">
        <f ca="1">IFERROR(__xludf.DUMMYFUNCTION("""COMPUTED_VALUE"""),3)</f>
        <v>3</v>
      </c>
      <c r="D380" s="6" t="str">
        <f ca="1">IFERROR(__xludf.DUMMYFUNCTION("""COMPUTED_VALUE"""),"NO")</f>
        <v>NO</v>
      </c>
      <c r="E380" s="6" t="str">
        <f ca="1">IFERROR(__xludf.DUMMYFUNCTION("""COMPUTED_VALUE"""),"Murcia")</f>
        <v>Murcia</v>
      </c>
      <c r="F380" s="16">
        <f ca="1">IFERROR(__xludf.DUMMYFUNCTION("""COMPUTED_VALUE"""),46099)</f>
        <v>46099</v>
      </c>
      <c r="G380" s="16">
        <f ca="1">IFERROR(__xludf.DUMMYFUNCTION("""COMPUTED_VALUE"""),46069)</f>
        <v>46069</v>
      </c>
      <c r="H380" s="6" t="str">
        <f ca="1">IFERROR(__xludf.DUMMYFUNCTION("""COMPUTED_VALUE"""),"Murcia")</f>
        <v>Murcia</v>
      </c>
      <c r="I380" s="6" t="str">
        <f ca="1">IFERROR(__xludf.DUMMYFUNCTION("""COMPUTED_VALUE"""),"C202621610292016314")</f>
        <v>C202621610292016314</v>
      </c>
      <c r="J380" s="6" t="str">
        <f ca="1">IFERROR(__xludf.DUMMYFUNCTION("""COMPUTED_VALUE"""),"FRANCISCO MOTOS VELEZ")</f>
        <v>FRANCISCO MOTOS VELEZ</v>
      </c>
      <c r="K380" s="15">
        <f ca="1">IFERROR(__xludf.DUMMYFUNCTION("""COMPUTED_VALUE"""),2)</f>
        <v>2</v>
      </c>
      <c r="L380" s="21">
        <f ca="1">IFERROR(__xludf.DUMMYFUNCTION("""COMPUTED_VALUE"""),2717.31)</f>
        <v>2717.31</v>
      </c>
      <c r="M380" s="6" t="str">
        <f ca="1">IFERROR(__xludf.DUMMYFUNCTION("""COMPUTED_VALUE"""),"03 ORL")</f>
        <v>03 ORL</v>
      </c>
      <c r="N380" s="6" t="str">
        <f ca="1">IFERROR(__xludf.DUMMYFUNCTION("""COMPUTED_VALUE"""),"06 ORL")</f>
        <v>06 ORL</v>
      </c>
      <c r="O380" s="6" t="str">
        <f ca="1">IFERROR(__xludf.DUMMYFUNCTION("""COMPUTED_VALUE"""),"Dra, Nuria Salas Barrio")</f>
        <v>Dra, Nuria Salas Barrio</v>
      </c>
      <c r="P380" s="6" t="str">
        <f ca="1">IFERROR(__xludf.DUMMYFUNCTION("""COMPUTED_VALUE"""),"Iván Sánchez (Levante y Albacete)")</f>
        <v>Iván Sánchez (Levante y Albacete)</v>
      </c>
    </row>
    <row r="381" spans="2:16">
      <c r="B381" s="33">
        <f ca="1">IFERROR(__xludf.DUMMYFUNCTION("""COMPUTED_VALUE"""),2026)</f>
        <v>2026</v>
      </c>
      <c r="C381" s="15">
        <f ca="1">IFERROR(__xludf.DUMMYFUNCTION("""COMPUTED_VALUE"""),3)</f>
        <v>3</v>
      </c>
      <c r="D381" s="6" t="str">
        <f ca="1">IFERROR(__xludf.DUMMYFUNCTION("""COMPUTED_VALUE"""),"NO")</f>
        <v>NO</v>
      </c>
      <c r="E381" s="6" t="str">
        <f ca="1">IFERROR(__xludf.DUMMYFUNCTION("""COMPUTED_VALUE"""),"Alicante")</f>
        <v>Alicante</v>
      </c>
      <c r="F381" s="16">
        <f ca="1">IFERROR(__xludf.DUMMYFUNCTION("""COMPUTED_VALUE"""),46099)</f>
        <v>46099</v>
      </c>
      <c r="G381" s="16">
        <f ca="1">IFERROR(__xludf.DUMMYFUNCTION("""COMPUTED_VALUE"""),46069)</f>
        <v>46069</v>
      </c>
      <c r="H381" s="6" t="str">
        <f ca="1">IFERROR(__xludf.DUMMYFUNCTION("""COMPUTED_VALUE"""),"Alicante")</f>
        <v>Alicante</v>
      </c>
      <c r="I381" s="6" t="str">
        <f ca="1">IFERROR(__xludf.DUMMYFUNCTION("""COMPUTED_VALUE"""),"C202621615224716087")</f>
        <v>C202621615224716087</v>
      </c>
      <c r="J381" s="6" t="str">
        <f ca="1">IFERROR(__xludf.DUMMYFUNCTION("""COMPUTED_VALUE"""),"LUIS RAMON MATAIX")</f>
        <v>LUIS RAMON MATAIX</v>
      </c>
      <c r="K381" s="15">
        <f ca="1">IFERROR(__xludf.DUMMYFUNCTION("""COMPUTED_VALUE"""),1)</f>
        <v>1</v>
      </c>
      <c r="L381" s="21">
        <f ca="1">IFERROR(__xludf.DUMMYFUNCTION("""COMPUTED_VALUE"""),2481.82)</f>
        <v>2481.8200000000002</v>
      </c>
      <c r="M381" s="6" t="str">
        <f ca="1">IFERROR(__xludf.DUMMYFUNCTION("""COMPUTED_VALUE"""),"03 ORL")</f>
        <v>03 ORL</v>
      </c>
      <c r="N381" s="6" t="str">
        <f ca="1">IFERROR(__xludf.DUMMYFUNCTION("""COMPUTED_VALUE"""),"06 ORL")</f>
        <v>06 ORL</v>
      </c>
      <c r="O381" s="6" t="str">
        <f ca="1">IFERROR(__xludf.DUMMYFUNCTION("""COMPUTED_VALUE"""),"Dr, Oscar Alemán López")</f>
        <v>Dr, Oscar Alemán López</v>
      </c>
      <c r="P381" s="6" t="str">
        <f ca="1">IFERROR(__xludf.DUMMYFUNCTION("""COMPUTED_VALUE"""),"Iván Sánchez (Levante y Albacete)")</f>
        <v>Iván Sánchez (Levante y Albacete)</v>
      </c>
    </row>
    <row r="382" spans="2:16">
      <c r="B382" s="33">
        <f ca="1">IFERROR(__xludf.DUMMYFUNCTION("""COMPUTED_VALUE"""),2026)</f>
        <v>2026</v>
      </c>
      <c r="C382" s="15">
        <f ca="1">IFERROR(__xludf.DUMMYFUNCTION("""COMPUTED_VALUE"""),3)</f>
        <v>3</v>
      </c>
      <c r="D382" s="6" t="str">
        <f ca="1">IFERROR(__xludf.DUMMYFUNCTION("""COMPUTED_VALUE"""),"NO")</f>
        <v>NO</v>
      </c>
      <c r="E382" s="6" t="str">
        <f ca="1">IFERROR(__xludf.DUMMYFUNCTION("""COMPUTED_VALUE"""),"Fuenlabrada")</f>
        <v>Fuenlabrada</v>
      </c>
      <c r="F382" s="16">
        <f ca="1">IFERROR(__xludf.DUMMYFUNCTION("""COMPUTED_VALUE"""),46100)</f>
        <v>46100</v>
      </c>
      <c r="G382" s="16">
        <f ca="1">IFERROR(__xludf.DUMMYFUNCTION("""COMPUTED_VALUE"""),46063)</f>
        <v>46063</v>
      </c>
      <c r="H382" s="6" t="str">
        <f ca="1">IFERROR(__xludf.DUMMYFUNCTION("""COMPUTED_VALUE"""),"Fuenlabrada")</f>
        <v>Fuenlabrada</v>
      </c>
      <c r="I382" s="6" t="str">
        <f ca="1">IFERROR(__xludf.DUMMYFUNCTION("""COMPUTED_VALUE"""),"C20262101044647935")</f>
        <v>C20262101044647935</v>
      </c>
      <c r="J382" s="6" t="str">
        <f ca="1">IFERROR(__xludf.DUMMYFUNCTION("""COMPUTED_VALUE"""),"MANUEL COBOS SANCHEZ")</f>
        <v>MANUEL COBOS SANCHEZ</v>
      </c>
      <c r="K382" s="15">
        <f ca="1">IFERROR(__xludf.DUMMYFUNCTION("""COMPUTED_VALUE"""),2)</f>
        <v>2</v>
      </c>
      <c r="L382" s="21">
        <f ca="1">IFERROR(__xludf.DUMMYFUNCTION("""COMPUTED_VALUE"""),2528.18)</f>
        <v>2528.1799999999998</v>
      </c>
      <c r="M382" s="6" t="str">
        <f ca="1">IFERROR(__xludf.DUMMYFUNCTION("""COMPUTED_VALUE"""),"03 ORL")</f>
        <v>03 ORL</v>
      </c>
      <c r="N382" s="6" t="str">
        <f ca="1">IFERROR(__xludf.DUMMYFUNCTION("""COMPUTED_VALUE"""),"06 ORL")</f>
        <v>06 ORL</v>
      </c>
      <c r="O382" s="6" t="str">
        <f ca="1">IFERROR(__xludf.DUMMYFUNCTION("""COMPUTED_VALUE"""),"Dr, Ramón Martínez Carranza")</f>
        <v>Dr, Ramón Martínez Carranza</v>
      </c>
      <c r="P382" s="6" t="str">
        <f ca="1">IFERROR(__xludf.DUMMYFUNCTION("""COMPUTED_VALUE"""),"Lisandro Russian (Madrid, Cáceres, Toledo, Talavera y Logroño)")</f>
        <v>Lisandro Russian (Madrid, Cáceres, Toledo, Talavera y Logroño)</v>
      </c>
    </row>
    <row r="383" spans="2:16">
      <c r="B383" s="33">
        <f ca="1">IFERROR(__xludf.DUMMYFUNCTION("""COMPUTED_VALUE"""),2026)</f>
        <v>2026</v>
      </c>
      <c r="C383" s="15">
        <f ca="1">IFERROR(__xludf.DUMMYFUNCTION("""COMPUTED_VALUE"""),3)</f>
        <v>3</v>
      </c>
      <c r="D383" s="6" t="str">
        <f ca="1">IFERROR(__xludf.DUMMYFUNCTION("""COMPUTED_VALUE"""),"NO")</f>
        <v>NO</v>
      </c>
      <c r="E383" s="6" t="str">
        <f ca="1">IFERROR(__xludf.DUMMYFUNCTION("""COMPUTED_VALUE"""),"Ponferrada")</f>
        <v>Ponferrada</v>
      </c>
      <c r="F383" s="16">
        <f ca="1">IFERROR(__xludf.DUMMYFUNCTION("""COMPUTED_VALUE"""),46100)</f>
        <v>46100</v>
      </c>
      <c r="G383" s="16">
        <f ca="1">IFERROR(__xludf.DUMMYFUNCTION("""COMPUTED_VALUE"""),46010)</f>
        <v>46010</v>
      </c>
      <c r="H383" s="6" t="str">
        <f ca="1">IFERROR(__xludf.DUMMYFUNCTION("""COMPUTED_VALUE"""),"Ponferrada")</f>
        <v>Ponferrada</v>
      </c>
      <c r="I383" s="6" t="str">
        <f ca="1">IFERROR(__xludf.DUMMYFUNCTION("""COMPUTED_VALUE"""),"C202512191234333691")</f>
        <v>C202512191234333691</v>
      </c>
      <c r="J383" s="6" t="str">
        <f ca="1">IFERROR(__xludf.DUMMYFUNCTION("""COMPUTED_VALUE"""),"ANA CRISTINA   MENDEZ ARIAS")</f>
        <v>ANA CRISTINA   MENDEZ ARIAS</v>
      </c>
      <c r="K383" s="15">
        <f ca="1">IFERROR(__xludf.DUMMYFUNCTION("""COMPUTED_VALUE"""),1)</f>
        <v>1</v>
      </c>
      <c r="L383" s="21">
        <f ca="1">IFERROR(__xludf.DUMMYFUNCTION("""COMPUTED_VALUE"""),2090.91)</f>
        <v>2090.91</v>
      </c>
      <c r="M383" s="6" t="str">
        <f ca="1">IFERROR(__xludf.DUMMYFUNCTION("""COMPUTED_VALUE"""),"03 ORL")</f>
        <v>03 ORL</v>
      </c>
      <c r="N383" s="6" t="str">
        <f ca="1">IFERROR(__xludf.DUMMYFUNCTION("""COMPUTED_VALUE"""),"06 ORL")</f>
        <v>06 ORL</v>
      </c>
      <c r="O383" s="6" t="str">
        <f ca="1">IFERROR(__xludf.DUMMYFUNCTION("""COMPUTED_VALUE"""),"Dra, Mónica Granda Rosales")</f>
        <v>Dra, Mónica Granda Rosales</v>
      </c>
      <c r="P383" s="6" t="str">
        <f ca="1">IFERROR(__xludf.DUMMYFUNCTION("""COMPUTED_VALUE"""),"Alberto Moreno (Madrid)")</f>
        <v>Alberto Moreno (Madrid)</v>
      </c>
    </row>
    <row r="384" spans="2:16">
      <c r="B384" s="33">
        <f ca="1">IFERROR(__xludf.DUMMYFUNCTION("""COMPUTED_VALUE"""),2026)</f>
        <v>2026</v>
      </c>
      <c r="C384" s="15">
        <f ca="1">IFERROR(__xludf.DUMMYFUNCTION("""COMPUTED_VALUE"""),3)</f>
        <v>3</v>
      </c>
      <c r="D384" s="6" t="str">
        <f ca="1">IFERROR(__xludf.DUMMYFUNCTION("""COMPUTED_VALUE"""),"NO")</f>
        <v>NO</v>
      </c>
      <c r="E384" s="6" t="str">
        <f ca="1">IFERROR(__xludf.DUMMYFUNCTION("""COMPUTED_VALUE"""),"Logroño")</f>
        <v>Logroño</v>
      </c>
      <c r="F384" s="16">
        <f ca="1">IFERROR(__xludf.DUMMYFUNCTION("""COMPUTED_VALUE"""),46100)</f>
        <v>46100</v>
      </c>
      <c r="G384" s="16">
        <f ca="1">IFERROR(__xludf.DUMMYFUNCTION("""COMPUTED_VALUE"""),45973)</f>
        <v>45973</v>
      </c>
      <c r="H384" s="6" t="str">
        <f ca="1">IFERROR(__xludf.DUMMYFUNCTION("""COMPUTED_VALUE"""),"Logroño")</f>
        <v>Logroño</v>
      </c>
      <c r="I384" s="6" t="str">
        <f ca="1">IFERROR(__xludf.DUMMYFUNCTION("""COMPUTED_VALUE"""),"C202511121113594439")</f>
        <v>C202511121113594439</v>
      </c>
      <c r="J384" s="6" t="str">
        <f ca="1">IFERROR(__xludf.DUMMYFUNCTION("""COMPUTED_VALUE"""),"SILVIA REVUELTO GONZALEZ")</f>
        <v>SILVIA REVUELTO GONZALEZ</v>
      </c>
      <c r="K384" s="15">
        <f ca="1">IFERROR(__xludf.DUMMYFUNCTION("""COMPUTED_VALUE"""),1)</f>
        <v>1</v>
      </c>
      <c r="L384" s="21">
        <f ca="1">IFERROR(__xludf.DUMMYFUNCTION("""COMPUTED_VALUE"""),1454.55)</f>
        <v>1454.55</v>
      </c>
      <c r="M384" s="6" t="str">
        <f ca="1">IFERROR(__xludf.DUMMYFUNCTION("""COMPUTED_VALUE"""),"03 ORL")</f>
        <v>03 ORL</v>
      </c>
      <c r="N384" s="6" t="str">
        <f ca="1">IFERROR(__xludf.DUMMYFUNCTION("""COMPUTED_VALUE"""),"06 ORL")</f>
        <v>06 ORL</v>
      </c>
      <c r="O384" s="6" t="str">
        <f ca="1">IFERROR(__xludf.DUMMYFUNCTION("""COMPUTED_VALUE"""),"No recuerda ORL")</f>
        <v>No recuerda ORL</v>
      </c>
      <c r="P384" s="6" t="str">
        <f ca="1">IFERROR(__xludf.DUMMYFUNCTION("""COMPUTED_VALUE"""),"Lisandro Russian (Madrid, Cáceres, Toledo, Talavera y Logroño)")</f>
        <v>Lisandro Russian (Madrid, Cáceres, Toledo, Talavera y Logroño)</v>
      </c>
    </row>
    <row r="385" spans="2:16">
      <c r="B385" s="33">
        <f ca="1">IFERROR(__xludf.DUMMYFUNCTION("""COMPUTED_VALUE"""),2026)</f>
        <v>2026</v>
      </c>
      <c r="C385" s="15">
        <f ca="1">IFERROR(__xludf.DUMMYFUNCTION("""COMPUTED_VALUE"""),3)</f>
        <v>3</v>
      </c>
      <c r="D385" s="6" t="str">
        <f ca="1">IFERROR(__xludf.DUMMYFUNCTION("""COMPUTED_VALUE"""),"NO")</f>
        <v>NO</v>
      </c>
      <c r="E385" s="6" t="str">
        <f ca="1">IFERROR(__xludf.DUMMYFUNCTION("""COMPUTED_VALUE"""),"Fuenlabrada")</f>
        <v>Fuenlabrada</v>
      </c>
      <c r="F385" s="16">
        <f ca="1">IFERROR(__xludf.DUMMYFUNCTION("""COMPUTED_VALUE"""),46100)</f>
        <v>46100</v>
      </c>
      <c r="G385" s="16">
        <f ca="1">IFERROR(__xludf.DUMMYFUNCTION("""COMPUTED_VALUE"""),46064)</f>
        <v>46064</v>
      </c>
      <c r="H385" s="6" t="str">
        <f ca="1">IFERROR(__xludf.DUMMYFUNCTION("""COMPUTED_VALUE"""),"Fuenlabrada")</f>
        <v>Fuenlabrada</v>
      </c>
      <c r="I385" s="6" t="str">
        <f ca="1">IFERROR(__xludf.DUMMYFUNCTION("""COMPUTED_VALUE"""),"C202621118050393364")</f>
        <v>C202621118050393364</v>
      </c>
      <c r="J385" s="6" t="str">
        <f ca="1">IFERROR(__xludf.DUMMYFUNCTION("""COMPUTED_VALUE"""),"Mª MAR MENDOZA MARTINEZ")</f>
        <v>Mª MAR MENDOZA MARTINEZ</v>
      </c>
      <c r="K385" s="15">
        <f ca="1">IFERROR(__xludf.DUMMYFUNCTION("""COMPUTED_VALUE"""),2)</f>
        <v>2</v>
      </c>
      <c r="L385" s="21">
        <f ca="1">IFERROR(__xludf.DUMMYFUNCTION("""COMPUTED_VALUE"""),2718.19)</f>
        <v>2718.19</v>
      </c>
      <c r="M385" s="6" t="str">
        <f ca="1">IFERROR(__xludf.DUMMYFUNCTION("""COMPUTED_VALUE"""),"03 ORL")</f>
        <v>03 ORL</v>
      </c>
      <c r="N385" s="6" t="str">
        <f ca="1">IFERROR(__xludf.DUMMYFUNCTION("""COMPUTED_VALUE"""),"06 ORL")</f>
        <v>06 ORL</v>
      </c>
      <c r="O385" s="6" t="str">
        <f ca="1">IFERROR(__xludf.DUMMYFUNCTION("""COMPUTED_VALUE"""),"Dr, Fabio Fernández Mateos")</f>
        <v>Dr, Fabio Fernández Mateos</v>
      </c>
      <c r="P385" s="6" t="str">
        <f ca="1">IFERROR(__xludf.DUMMYFUNCTION("""COMPUTED_VALUE"""),"Maika Blázquez (Madrid)")</f>
        <v>Maika Blázquez (Madrid)</v>
      </c>
    </row>
    <row r="386" spans="2:16">
      <c r="B386" s="33">
        <f ca="1">IFERROR(__xludf.DUMMYFUNCTION("""COMPUTED_VALUE"""),2026)</f>
        <v>2026</v>
      </c>
      <c r="C386" s="15">
        <f ca="1">IFERROR(__xludf.DUMMYFUNCTION("""COMPUTED_VALUE"""),3)</f>
        <v>3</v>
      </c>
      <c r="D386" s="6" t="str">
        <f ca="1">IFERROR(__xludf.DUMMYFUNCTION("""COMPUTED_VALUE"""),"NO")</f>
        <v>NO</v>
      </c>
      <c r="E386" s="6" t="str">
        <f ca="1">IFERROR(__xludf.DUMMYFUNCTION("""COMPUTED_VALUE"""),"Cáceres")</f>
        <v>Cáceres</v>
      </c>
      <c r="F386" s="16">
        <f ca="1">IFERROR(__xludf.DUMMYFUNCTION("""COMPUTED_VALUE"""),46101)</f>
        <v>46101</v>
      </c>
      <c r="G386" s="16">
        <f ca="1">IFERROR(__xludf.DUMMYFUNCTION("""COMPUTED_VALUE"""),46057)</f>
        <v>46057</v>
      </c>
      <c r="H386" s="6" t="str">
        <f ca="1">IFERROR(__xludf.DUMMYFUNCTION("""COMPUTED_VALUE"""),"Cáceres")</f>
        <v>Cáceres</v>
      </c>
      <c r="I386" s="6" t="str">
        <f ca="1">IFERROR(__xludf.DUMMYFUNCTION("""COMPUTED_VALUE"""),"C202624192054929412")</f>
        <v>C202624192054929412</v>
      </c>
      <c r="J386" s="6" t="str">
        <f ca="1">IFERROR(__xludf.DUMMYFUNCTION("""COMPUTED_VALUE"""),"ROMUALDO GRAJERA GUERRA")</f>
        <v>ROMUALDO GRAJERA GUERRA</v>
      </c>
      <c r="K386" s="15">
        <f ca="1">IFERROR(__xludf.DUMMYFUNCTION("""COMPUTED_VALUE"""),2)</f>
        <v>2</v>
      </c>
      <c r="L386" s="21">
        <f ca="1">IFERROR(__xludf.DUMMYFUNCTION("""COMPUTED_VALUE"""),4990.91)</f>
        <v>4990.91</v>
      </c>
      <c r="M386" s="6" t="str">
        <f ca="1">IFERROR(__xludf.DUMMYFUNCTION("""COMPUTED_VALUE"""),"03 ORL")</f>
        <v>03 ORL</v>
      </c>
      <c r="N386" s="6" t="str">
        <f ca="1">IFERROR(__xludf.DUMMYFUNCTION("""COMPUTED_VALUE"""),"06 ORL")</f>
        <v>06 ORL</v>
      </c>
      <c r="O386" s="6" t="str">
        <f ca="1">IFERROR(__xludf.DUMMYFUNCTION("""COMPUTED_VALUE"""),"Dra, Esther De La O Corrochano")</f>
        <v>Dra, Esther De La O Corrochano</v>
      </c>
      <c r="P386" s="6" t="str">
        <f ca="1">IFERROR(__xludf.DUMMYFUNCTION("""COMPUTED_VALUE"""),"Lisandro Russian (Madrid, Cáceres, Toledo, Talavera y Logroño)")</f>
        <v>Lisandro Russian (Madrid, Cáceres, Toledo, Talavera y Logroño)</v>
      </c>
    </row>
    <row r="387" spans="2:16">
      <c r="B387" s="33">
        <f ca="1">IFERROR(__xludf.DUMMYFUNCTION("""COMPUTED_VALUE"""),2026)</f>
        <v>2026</v>
      </c>
      <c r="C387" s="15">
        <f ca="1">IFERROR(__xludf.DUMMYFUNCTION("""COMPUTED_VALUE"""),3)</f>
        <v>3</v>
      </c>
      <c r="D387" s="6" t="str">
        <f ca="1">IFERROR(__xludf.DUMMYFUNCTION("""COMPUTED_VALUE"""),"NO")</f>
        <v>NO</v>
      </c>
      <c r="E387" s="6" t="str">
        <f ca="1">IFERROR(__xludf.DUMMYFUNCTION("""COMPUTED_VALUE"""),"Valencia- Cádiz")</f>
        <v>Valencia- Cádiz</v>
      </c>
      <c r="F387" s="16">
        <f ca="1">IFERROR(__xludf.DUMMYFUNCTION("""COMPUTED_VALUE"""),46101)</f>
        <v>46101</v>
      </c>
      <c r="G387" s="16">
        <f ca="1">IFERROR(__xludf.DUMMYFUNCTION("""COMPUTED_VALUE"""),46051)</f>
        <v>46051</v>
      </c>
      <c r="H387" s="6" t="str">
        <f ca="1">IFERROR(__xludf.DUMMYFUNCTION("""COMPUTED_VALUE"""),"Valencia- Cádiz")</f>
        <v>Valencia- Cádiz</v>
      </c>
      <c r="I387" s="6" t="str">
        <f ca="1">IFERROR(__xludf.DUMMYFUNCTION("""COMPUTED_VALUE"""),"C202612993442906741")</f>
        <v>C202612993442906741</v>
      </c>
      <c r="J387" s="6" t="str">
        <f ca="1">IFERROR(__xludf.DUMMYFUNCTION("""COMPUTED_VALUE"""),"VICENT  FERRANDIS MAS")</f>
        <v>VICENT  FERRANDIS MAS</v>
      </c>
      <c r="K387" s="15">
        <f ca="1">IFERROR(__xludf.DUMMYFUNCTION("""COMPUTED_VALUE"""),1)</f>
        <v>1</v>
      </c>
      <c r="L387" s="21">
        <f ca="1">IFERROR(__xludf.DUMMYFUNCTION("""COMPUTED_VALUE"""),2481.82)</f>
        <v>2481.8200000000002</v>
      </c>
      <c r="M387" s="6" t="str">
        <f ca="1">IFERROR(__xludf.DUMMYFUNCTION("""COMPUTED_VALUE"""),"03 ORL")</f>
        <v>03 ORL</v>
      </c>
      <c r="N387" s="6" t="str">
        <f ca="1">IFERROR(__xludf.DUMMYFUNCTION("""COMPUTED_VALUE"""),"06 ORL")</f>
        <v>06 ORL</v>
      </c>
      <c r="O387" s="6" t="str">
        <f ca="1">IFERROR(__xludf.DUMMYFUNCTION("""COMPUTED_VALUE"""),"No recuerda ORL")</f>
        <v>No recuerda ORL</v>
      </c>
      <c r="P387" s="6" t="str">
        <f ca="1">IFERROR(__xludf.DUMMYFUNCTION("""COMPUTED_VALUE"""),"Ramon Ferrando(Valencia)")</f>
        <v>Ramon Ferrando(Valencia)</v>
      </c>
    </row>
    <row r="388" spans="2:16">
      <c r="B388" s="33">
        <f ca="1">IFERROR(__xludf.DUMMYFUNCTION("""COMPUTED_VALUE"""),2026)</f>
        <v>2026</v>
      </c>
      <c r="C388" s="15">
        <f ca="1">IFERROR(__xludf.DUMMYFUNCTION("""COMPUTED_VALUE"""),3)</f>
        <v>3</v>
      </c>
      <c r="D388" s="6" t="str">
        <f ca="1">IFERROR(__xludf.DUMMYFUNCTION("""COMPUTED_VALUE"""),"NO")</f>
        <v>NO</v>
      </c>
      <c r="E388" s="6" t="str">
        <f ca="1">IFERROR(__xludf.DUMMYFUNCTION("""COMPUTED_VALUE"""),"Murcia")</f>
        <v>Murcia</v>
      </c>
      <c r="F388" s="16">
        <f ca="1">IFERROR(__xludf.DUMMYFUNCTION("""COMPUTED_VALUE"""),46101)</f>
        <v>46101</v>
      </c>
      <c r="G388" s="16">
        <f ca="1">IFERROR(__xludf.DUMMYFUNCTION("""COMPUTED_VALUE"""),45729)</f>
        <v>45729</v>
      </c>
      <c r="H388" s="6" t="str">
        <f ca="1">IFERROR(__xludf.DUMMYFUNCTION("""COMPUTED_VALUE"""),"Murcia")</f>
        <v>Murcia</v>
      </c>
      <c r="I388" s="6" t="str">
        <f ca="1">IFERROR(__xludf.DUMMYFUNCTION("""COMPUTED_VALUE"""),"C202611516129372")</f>
        <v>C202611516129372</v>
      </c>
      <c r="J388" s="6" t="str">
        <f ca="1">IFERROR(__xludf.DUMMYFUNCTION("""COMPUTED_VALUE"""),"REMEDIOS LUZ MENDOZA MARTINEZ")</f>
        <v>REMEDIOS LUZ MENDOZA MARTINEZ</v>
      </c>
      <c r="K388" s="15">
        <f ca="1">IFERROR(__xludf.DUMMYFUNCTION("""COMPUTED_VALUE"""),2)</f>
        <v>2</v>
      </c>
      <c r="L388" s="21">
        <f ca="1">IFERROR(__xludf.DUMMYFUNCTION("""COMPUTED_VALUE"""),2718.19)</f>
        <v>2718.19</v>
      </c>
      <c r="M388" s="6" t="str">
        <f ca="1">IFERROR(__xludf.DUMMYFUNCTION("""COMPUTED_VALUE"""),"03 ORL")</f>
        <v>03 ORL</v>
      </c>
      <c r="N388" s="6" t="str">
        <f ca="1">IFERROR(__xludf.DUMMYFUNCTION("""COMPUTED_VALUE"""),"06 ORL")</f>
        <v>06 ORL</v>
      </c>
      <c r="O388" s="6" t="str">
        <f ca="1">IFERROR(__xludf.DUMMYFUNCTION("""COMPUTED_VALUE"""),"Dr, Miguel Lucas Herrera")</f>
        <v>Dr, Miguel Lucas Herrera</v>
      </c>
      <c r="P388" s="6" t="str">
        <f ca="1">IFERROR(__xludf.DUMMYFUNCTION("""COMPUTED_VALUE"""),"Iván Sánchez (Levante y Albacete)")</f>
        <v>Iván Sánchez (Levante y Albacete)</v>
      </c>
    </row>
    <row r="389" spans="2:16">
      <c r="B389" s="33">
        <f ca="1">IFERROR(__xludf.DUMMYFUNCTION("""COMPUTED_VALUE"""),2026)</f>
        <v>2026</v>
      </c>
      <c r="C389" s="15">
        <f ca="1">IFERROR(__xludf.DUMMYFUNCTION("""COMPUTED_VALUE"""),3)</f>
        <v>3</v>
      </c>
      <c r="D389" s="6" t="str">
        <f ca="1">IFERROR(__xludf.DUMMYFUNCTION("""COMPUTED_VALUE"""),"NO")</f>
        <v>NO</v>
      </c>
      <c r="E389" s="6" t="str">
        <f ca="1">IFERROR(__xludf.DUMMYFUNCTION("""COMPUTED_VALUE"""),"Zaragoza- Santander")</f>
        <v>Zaragoza- Santander</v>
      </c>
      <c r="F389" s="16">
        <f ca="1">IFERROR(__xludf.DUMMYFUNCTION("""COMPUTED_VALUE"""),46101)</f>
        <v>46101</v>
      </c>
      <c r="G389" s="16">
        <f ca="1">IFERROR(__xludf.DUMMYFUNCTION("""COMPUTED_VALUE"""),46070)</f>
        <v>46070</v>
      </c>
      <c r="H389" s="6" t="str">
        <f ca="1">IFERROR(__xludf.DUMMYFUNCTION("""COMPUTED_VALUE"""),"Zaragoza- Santander")</f>
        <v>Zaragoza- Santander</v>
      </c>
      <c r="I389" s="6" t="str">
        <f ca="1">IFERROR(__xludf.DUMMYFUNCTION("""COMPUTED_VALUE"""),"C202621716393454417")</f>
        <v>C202621716393454417</v>
      </c>
      <c r="J389" s="6" t="str">
        <f ca="1">IFERROR(__xludf.DUMMYFUNCTION("""COMPUTED_VALUE"""),"RAUL PENA ALPIN")</f>
        <v>RAUL PENA ALPIN</v>
      </c>
      <c r="K389" s="15">
        <f ca="1">IFERROR(__xludf.DUMMYFUNCTION("""COMPUTED_VALUE"""),2)</f>
        <v>2</v>
      </c>
      <c r="L389" s="21">
        <f ca="1">IFERROR(__xludf.DUMMYFUNCTION("""COMPUTED_VALUE"""),3424.55)</f>
        <v>3424.55</v>
      </c>
      <c r="M389" s="6" t="str">
        <f ca="1">IFERROR(__xludf.DUMMYFUNCTION("""COMPUTED_VALUE"""),"03 ORL")</f>
        <v>03 ORL</v>
      </c>
      <c r="N389" s="6" t="str">
        <f ca="1">IFERROR(__xludf.DUMMYFUNCTION("""COMPUTED_VALUE"""),"06 ORL")</f>
        <v>06 ORL</v>
      </c>
      <c r="O389" s="6" t="str">
        <f ca="1">IFERROR(__xludf.DUMMYFUNCTION("""COMPUTED_VALUE"""),"Dr, Jaime Leache Pueyo")</f>
        <v>Dr, Jaime Leache Pueyo</v>
      </c>
      <c r="P389" s="6" t="str">
        <f ca="1">IFERROR(__xludf.DUMMYFUNCTION("""COMPUTED_VALUE"""),"Ignacio Berdejo (Zaragoza)")</f>
        <v>Ignacio Berdejo (Zaragoza)</v>
      </c>
    </row>
    <row r="390" spans="2:16">
      <c r="B390" s="33">
        <f ca="1">IFERROR(__xludf.DUMMYFUNCTION("""COMPUTED_VALUE"""),2026)</f>
        <v>2026</v>
      </c>
      <c r="C390" s="15">
        <f ca="1">IFERROR(__xludf.DUMMYFUNCTION("""COMPUTED_VALUE"""),3)</f>
        <v>3</v>
      </c>
      <c r="D390" s="6" t="str">
        <f ca="1">IFERROR(__xludf.DUMMYFUNCTION("""COMPUTED_VALUE"""),"NO")</f>
        <v>NO</v>
      </c>
      <c r="E390" s="6" t="str">
        <f ca="1">IFERROR(__xludf.DUMMYFUNCTION("""COMPUTED_VALUE"""),"Zaragoza- Santander")</f>
        <v>Zaragoza- Santander</v>
      </c>
      <c r="F390" s="16">
        <f ca="1">IFERROR(__xludf.DUMMYFUNCTION("""COMPUTED_VALUE"""),46101)</f>
        <v>46101</v>
      </c>
      <c r="G390" s="16">
        <f ca="1">IFERROR(__xludf.DUMMYFUNCTION("""COMPUTED_VALUE"""),46064)</f>
        <v>46064</v>
      </c>
      <c r="H390" s="6" t="str">
        <f ca="1">IFERROR(__xludf.DUMMYFUNCTION("""COMPUTED_VALUE"""),"Zaragoza- Santander")</f>
        <v>Zaragoza- Santander</v>
      </c>
      <c r="I390" s="6" t="str">
        <f ca="1">IFERROR(__xludf.DUMMYFUNCTION("""COMPUTED_VALUE"""),"C202621117354786888")</f>
        <v>C202621117354786888</v>
      </c>
      <c r="J390" s="6" t="str">
        <f ca="1">IFERROR(__xludf.DUMMYFUNCTION("""COMPUTED_VALUE"""),"MARIA JESUS ZAPATA QUIRANT")</f>
        <v>MARIA JESUS ZAPATA QUIRANT</v>
      </c>
      <c r="K390" s="15">
        <f ca="1">IFERROR(__xludf.DUMMYFUNCTION("""COMPUTED_VALUE"""),2)</f>
        <v>2</v>
      </c>
      <c r="L390" s="21">
        <f ca="1">IFERROR(__xludf.DUMMYFUNCTION("""COMPUTED_VALUE"""),3604.55)</f>
        <v>3604.55</v>
      </c>
      <c r="M390" s="6" t="str">
        <f ca="1">IFERROR(__xludf.DUMMYFUNCTION("""COMPUTED_VALUE"""),"03 ORL")</f>
        <v>03 ORL</v>
      </c>
      <c r="N390" s="6" t="str">
        <f ca="1">IFERROR(__xludf.DUMMYFUNCTION("""COMPUTED_VALUE"""),"06 ORL")</f>
        <v>06 ORL</v>
      </c>
      <c r="O390" s="6" t="str">
        <f ca="1">IFERROR(__xludf.DUMMYFUNCTION("""COMPUTED_VALUE"""),"Dr, Jaime Leache Pueyo")</f>
        <v>Dr, Jaime Leache Pueyo</v>
      </c>
      <c r="P390" s="6" t="str">
        <f ca="1">IFERROR(__xludf.DUMMYFUNCTION("""COMPUTED_VALUE"""),"Ignacio Berdejo (Zaragoza)")</f>
        <v>Ignacio Berdejo (Zaragoza)</v>
      </c>
    </row>
    <row r="391" spans="2:16">
      <c r="B391" s="33">
        <f ca="1">IFERROR(__xludf.DUMMYFUNCTION("""COMPUTED_VALUE"""),2026)</f>
        <v>2026</v>
      </c>
      <c r="C391" s="15">
        <f ca="1">IFERROR(__xludf.DUMMYFUNCTION("""COMPUTED_VALUE"""),3)</f>
        <v>3</v>
      </c>
      <c r="D391" s="6" t="str">
        <f ca="1">IFERROR(__xludf.DUMMYFUNCTION("""COMPUTED_VALUE"""),"NO")</f>
        <v>NO</v>
      </c>
      <c r="E391" s="6" t="str">
        <f ca="1">IFERROR(__xludf.DUMMYFUNCTION("""COMPUTED_VALUE"""),"Getafe")</f>
        <v>Getafe</v>
      </c>
      <c r="F391" s="16">
        <f ca="1">IFERROR(__xludf.DUMMYFUNCTION("""COMPUTED_VALUE"""),46104)</f>
        <v>46104</v>
      </c>
      <c r="G391" s="16">
        <f ca="1">IFERROR(__xludf.DUMMYFUNCTION("""COMPUTED_VALUE"""),46076)</f>
        <v>46076</v>
      </c>
      <c r="H391" s="6" t="str">
        <f ca="1">IFERROR(__xludf.DUMMYFUNCTION("""COMPUTED_VALUE"""),"Getafe")</f>
        <v>Getafe</v>
      </c>
      <c r="I391" s="6" t="str">
        <f ca="1">IFERROR(__xludf.DUMMYFUNCTION("""COMPUTED_VALUE"""),"C202622382858055948")</f>
        <v>C202622382858055948</v>
      </c>
      <c r="J391" s="6" t="str">
        <f ca="1">IFERROR(__xludf.DUMMYFUNCTION("""COMPUTED_VALUE"""),"LUIS MANUEL SEGURA DE LA VALLINA")</f>
        <v>LUIS MANUEL SEGURA DE LA VALLINA</v>
      </c>
      <c r="K391" s="15">
        <f ca="1">IFERROR(__xludf.DUMMYFUNCTION("""COMPUTED_VALUE"""),2)</f>
        <v>2</v>
      </c>
      <c r="L391" s="21">
        <f ca="1">IFERROR(__xludf.DUMMYFUNCTION("""COMPUTED_VALUE"""),2718.18)</f>
        <v>2718.18</v>
      </c>
      <c r="M391" s="6" t="str">
        <f ca="1">IFERROR(__xludf.DUMMYFUNCTION("""COMPUTED_VALUE"""),"03 ORL")</f>
        <v>03 ORL</v>
      </c>
      <c r="N391" s="6" t="str">
        <f ca="1">IFERROR(__xludf.DUMMYFUNCTION("""COMPUTED_VALUE"""),"06 ORL")</f>
        <v>06 ORL</v>
      </c>
      <c r="O391" s="6" t="str">
        <f ca="1">IFERROR(__xludf.DUMMYFUNCTION("""COMPUTED_VALUE"""),"No recuerda ORL")</f>
        <v>No recuerda ORL</v>
      </c>
      <c r="P391" s="6" t="str">
        <f ca="1">IFERROR(__xludf.DUMMYFUNCTION("""COMPUTED_VALUE"""),"Maika Blázquez (Madrid)")</f>
        <v>Maika Blázquez (Madrid)</v>
      </c>
    </row>
    <row r="392" spans="2:16">
      <c r="B392" s="33">
        <f ca="1">IFERROR(__xludf.DUMMYFUNCTION("""COMPUTED_VALUE"""),2026)</f>
        <v>2026</v>
      </c>
      <c r="C392" s="15">
        <f ca="1">IFERROR(__xludf.DUMMYFUNCTION("""COMPUTED_VALUE"""),3)</f>
        <v>3</v>
      </c>
      <c r="D392" s="6" t="str">
        <f ca="1">IFERROR(__xludf.DUMMYFUNCTION("""COMPUTED_VALUE"""),"NO")</f>
        <v>NO</v>
      </c>
      <c r="E392" s="6" t="str">
        <f ca="1">IFERROR(__xludf.DUMMYFUNCTION("""COMPUTED_VALUE"""),"Toledo")</f>
        <v>Toledo</v>
      </c>
      <c r="F392" s="16">
        <f ca="1">IFERROR(__xludf.DUMMYFUNCTION("""COMPUTED_VALUE"""),46104)</f>
        <v>46104</v>
      </c>
      <c r="G392" s="16">
        <f ca="1">IFERROR(__xludf.DUMMYFUNCTION("""COMPUTED_VALUE"""),46058)</f>
        <v>46058</v>
      </c>
      <c r="H392" s="6" t="str">
        <f ca="1">IFERROR(__xludf.DUMMYFUNCTION("""COMPUTED_VALUE"""),"Toledo")</f>
        <v>Toledo</v>
      </c>
      <c r="I392" s="6" t="str">
        <f ca="1">IFERROR(__xludf.DUMMYFUNCTION("""COMPUTED_VALUE"""),"C202625181340624")</f>
        <v>C202625181340624</v>
      </c>
      <c r="J392" s="6" t="str">
        <f ca="1">IFERROR(__xludf.DUMMYFUNCTION("""COMPUTED_VALUE"""),"Benito Angel  Valero Conejo")</f>
        <v>Benito Angel  Valero Conejo</v>
      </c>
      <c r="K392" s="15">
        <f ca="1">IFERROR(__xludf.DUMMYFUNCTION("""COMPUTED_VALUE"""),2)</f>
        <v>2</v>
      </c>
      <c r="L392" s="21">
        <f ca="1">IFERROR(__xludf.DUMMYFUNCTION("""COMPUTED_VALUE"""),3450.24)</f>
        <v>3450.24</v>
      </c>
      <c r="M392" s="6" t="str">
        <f ca="1">IFERROR(__xludf.DUMMYFUNCTION("""COMPUTED_VALUE"""),"03 ORL")</f>
        <v>03 ORL</v>
      </c>
      <c r="N392" s="6" t="str">
        <f ca="1">IFERROR(__xludf.DUMMYFUNCTION("""COMPUTED_VALUE"""),"06 ORL")</f>
        <v>06 ORL</v>
      </c>
      <c r="O392" s="6" t="str">
        <f ca="1">IFERROR(__xludf.DUMMYFUNCTION("""COMPUTED_VALUE"""),"Dr, Eduardo Martín Sanz")</f>
        <v>Dr, Eduardo Martín Sanz</v>
      </c>
      <c r="P392" s="6" t="str">
        <f ca="1">IFERROR(__xludf.DUMMYFUNCTION("""COMPUTED_VALUE"""),"Maika Blázquez (Madrid)")</f>
        <v>Maika Blázquez (Madrid)</v>
      </c>
    </row>
    <row r="393" spans="2:16">
      <c r="B393" s="33">
        <f ca="1">IFERROR(__xludf.DUMMYFUNCTION("""COMPUTED_VALUE"""),2026)</f>
        <v>2026</v>
      </c>
      <c r="C393" s="15">
        <f ca="1">IFERROR(__xludf.DUMMYFUNCTION("""COMPUTED_VALUE"""),3)</f>
        <v>3</v>
      </c>
      <c r="D393" s="6" t="str">
        <f ca="1">IFERROR(__xludf.DUMMYFUNCTION("""COMPUTED_VALUE"""),"NO")</f>
        <v>NO</v>
      </c>
      <c r="E393" s="6" t="str">
        <f ca="1">IFERROR(__xludf.DUMMYFUNCTION("""COMPUTED_VALUE"""),"Vitoria")</f>
        <v>Vitoria</v>
      </c>
      <c r="F393" s="16">
        <f ca="1">IFERROR(__xludf.DUMMYFUNCTION("""COMPUTED_VALUE"""),46104)</f>
        <v>46104</v>
      </c>
      <c r="G393" s="16">
        <f ca="1">IFERROR(__xludf.DUMMYFUNCTION("""COMPUTED_VALUE"""),46058)</f>
        <v>46058</v>
      </c>
      <c r="H393" s="6" t="str">
        <f ca="1">IFERROR(__xludf.DUMMYFUNCTION("""COMPUTED_VALUE"""),"Vitoria")</f>
        <v>Vitoria</v>
      </c>
      <c r="I393" s="6" t="str">
        <f ca="1">IFERROR(__xludf.DUMMYFUNCTION("""COMPUTED_VALUE"""),"VIT-737")</f>
        <v>VIT-737</v>
      </c>
      <c r="J393" s="6" t="str">
        <f ca="1">IFERROR(__xludf.DUMMYFUNCTION("""COMPUTED_VALUE"""),"CARMEN CAÑO PADILLA")</f>
        <v>CARMEN CAÑO PADILLA</v>
      </c>
      <c r="K393" s="15">
        <f ca="1">IFERROR(__xludf.DUMMYFUNCTION("""COMPUTED_VALUE"""),2)</f>
        <v>2</v>
      </c>
      <c r="L393" s="21">
        <f ca="1">IFERROR(__xludf.DUMMYFUNCTION("""COMPUTED_VALUE"""),4181.82)</f>
        <v>4181.82</v>
      </c>
      <c r="M393" s="6" t="str">
        <f ca="1">IFERROR(__xludf.DUMMYFUNCTION("""COMPUTED_VALUE"""),"03 ORL")</f>
        <v>03 ORL</v>
      </c>
      <c r="N393" s="6" t="str">
        <f ca="1">IFERROR(__xludf.DUMMYFUNCTION("""COMPUTED_VALUE"""),"06 ORL")</f>
        <v>06 ORL</v>
      </c>
      <c r="O393" s="6" t="str">
        <f ca="1">IFERROR(__xludf.DUMMYFUNCTION("""COMPUTED_VALUE"""),"Dr, José María Anda Fernández")</f>
        <v>Dr, José María Anda Fernández</v>
      </c>
      <c r="P393" s="6" t="str">
        <f ca="1">IFERROR(__xludf.DUMMYFUNCTION("""COMPUTED_VALUE"""),"Álvaro Mollá")</f>
        <v>Álvaro Mollá</v>
      </c>
    </row>
    <row r="394" spans="2:16">
      <c r="B394" s="33">
        <f ca="1">IFERROR(__xludf.DUMMYFUNCTION("""COMPUTED_VALUE"""),2026)</f>
        <v>2026</v>
      </c>
      <c r="C394" s="15">
        <f ca="1">IFERROR(__xludf.DUMMYFUNCTION("""COMPUTED_VALUE"""),3)</f>
        <v>3</v>
      </c>
      <c r="D394" s="6" t="str">
        <f ca="1">IFERROR(__xludf.DUMMYFUNCTION("""COMPUTED_VALUE"""),"NO")</f>
        <v>NO</v>
      </c>
      <c r="E394" s="6" t="str">
        <f ca="1">IFERROR(__xludf.DUMMYFUNCTION("""COMPUTED_VALUE"""),"Valencia- Cádiz")</f>
        <v>Valencia- Cádiz</v>
      </c>
      <c r="F394" s="16">
        <f ca="1">IFERROR(__xludf.DUMMYFUNCTION("""COMPUTED_VALUE"""),46104)</f>
        <v>46104</v>
      </c>
      <c r="G394" s="16">
        <f ca="1">IFERROR(__xludf.DUMMYFUNCTION("""COMPUTED_VALUE"""),46056)</f>
        <v>46056</v>
      </c>
      <c r="H394" s="6" t="str">
        <f ca="1">IFERROR(__xludf.DUMMYFUNCTION("""COMPUTED_VALUE"""),"Valencia- Cádiz")</f>
        <v>Valencia- Cádiz</v>
      </c>
      <c r="I394" s="6" t="str">
        <f ca="1">IFERROR(__xludf.DUMMYFUNCTION("""COMPUTED_VALUE"""),"C20262382716053575")</f>
        <v>C20262382716053575</v>
      </c>
      <c r="J394" s="6" t="str">
        <f ca="1">IFERROR(__xludf.DUMMYFUNCTION("""COMPUTED_VALUE"""),"AZUCENA BUJEDO MARTINEZ")</f>
        <v>AZUCENA BUJEDO MARTINEZ</v>
      </c>
      <c r="K394" s="15">
        <f ca="1">IFERROR(__xludf.DUMMYFUNCTION("""COMPUTED_VALUE"""),2)</f>
        <v>2</v>
      </c>
      <c r="L394" s="21">
        <f ca="1">IFERROR(__xludf.DUMMYFUNCTION("""COMPUTED_VALUE"""),3631.82)</f>
        <v>3631.82</v>
      </c>
      <c r="M394" s="6" t="str">
        <f ca="1">IFERROR(__xludf.DUMMYFUNCTION("""COMPUTED_VALUE"""),"03 ORL")</f>
        <v>03 ORL</v>
      </c>
      <c r="N394" s="6" t="str">
        <f ca="1">IFERROR(__xludf.DUMMYFUNCTION("""COMPUTED_VALUE"""),"06 ORL")</f>
        <v>06 ORL</v>
      </c>
      <c r="O394" s="6" t="str">
        <f ca="1">IFERROR(__xludf.DUMMYFUNCTION("""COMPUTED_VALUE"""),"Dr, Luis Martínez Bernabeu")</f>
        <v>Dr, Luis Martínez Bernabeu</v>
      </c>
      <c r="P394" s="6" t="str">
        <f ca="1">IFERROR(__xludf.DUMMYFUNCTION("""COMPUTED_VALUE"""),"Ramon Ferrando(Valencia)")</f>
        <v>Ramon Ferrando(Valencia)</v>
      </c>
    </row>
    <row r="395" spans="2:16">
      <c r="B395" s="33">
        <f ca="1">IFERROR(__xludf.DUMMYFUNCTION("""COMPUTED_VALUE"""),2026)</f>
        <v>2026</v>
      </c>
      <c r="C395" s="15">
        <f ca="1">IFERROR(__xludf.DUMMYFUNCTION("""COMPUTED_VALUE"""),3)</f>
        <v>3</v>
      </c>
      <c r="D395" s="6" t="str">
        <f ca="1">IFERROR(__xludf.DUMMYFUNCTION("""COMPUTED_VALUE"""),"SI")</f>
        <v>SI</v>
      </c>
      <c r="E395" s="6" t="str">
        <f ca="1">IFERROR(__xludf.DUMMYFUNCTION("""COMPUTED_VALUE"""),"Madrid- La Oca")</f>
        <v>Madrid- La Oca</v>
      </c>
      <c r="F395" s="16">
        <f ca="1">IFERROR(__xludf.DUMMYFUNCTION("""COMPUTED_VALUE"""),46104)</f>
        <v>46104</v>
      </c>
      <c r="G395" s="16">
        <f ca="1">IFERROR(__xludf.DUMMYFUNCTION("""COMPUTED_VALUE"""),45602)</f>
        <v>45602</v>
      </c>
      <c r="H395" s="6" t="str">
        <f ca="1">IFERROR(__xludf.DUMMYFUNCTION("""COMPUTED_VALUE"""),"La Oca")</f>
        <v>La Oca</v>
      </c>
      <c r="I395" s="6" t="str">
        <f ca="1">IFERROR(__xludf.DUMMYFUNCTION("""COMPUTED_VALUE"""),"C202411616195766")</f>
        <v>C202411616195766</v>
      </c>
      <c r="J395" s="6" t="str">
        <f ca="1">IFERROR(__xludf.DUMMYFUNCTION("""COMPUTED_VALUE"""),"MANUELA ROCES GARCIA")</f>
        <v>MANUELA ROCES GARCIA</v>
      </c>
      <c r="K395" s="15">
        <f ca="1">IFERROR(__xludf.DUMMYFUNCTION("""COMPUTED_VALUE"""),2)</f>
        <v>2</v>
      </c>
      <c r="L395" s="21">
        <f ca="1">IFERROR(__xludf.DUMMYFUNCTION("""COMPUTED_VALUE"""),2446.91)</f>
        <v>2446.91</v>
      </c>
      <c r="M395" s="6" t="str">
        <f ca="1">IFERROR(__xludf.DUMMYFUNCTION("""COMPUTED_VALUE"""),"04 TIENDA")</f>
        <v>04 TIENDA</v>
      </c>
      <c r="N395" s="6" t="str">
        <f ca="1">IFERROR(__xludf.DUMMYFUNCTION("""COMPUTED_VALUE"""),"19 CLIENTE RECOMPRA ESPONTANEA")</f>
        <v>19 CLIENTE RECOMPRA ESPONTANEA</v>
      </c>
      <c r="O395" s="6" t="str">
        <f ca="1">IFERROR(__xludf.DUMMYFUNCTION("""COMPUTED_VALUE"""),"Dr, José Joaquín Gutiérrez Barquín")</f>
        <v>Dr, José Joaquín Gutiérrez Barquín</v>
      </c>
      <c r="P395" s="6" t="str">
        <f ca="1">IFERROR(__xludf.DUMMYFUNCTION("""COMPUTED_VALUE"""),"Maika Blázquez (Madrid)")</f>
        <v>Maika Blázquez (Madrid)</v>
      </c>
    </row>
    <row r="396" spans="2:16">
      <c r="B396" s="33">
        <f ca="1">IFERROR(__xludf.DUMMYFUNCTION("""COMPUTED_VALUE"""),2026)</f>
        <v>2026</v>
      </c>
      <c r="C396" s="15">
        <f ca="1">IFERROR(__xludf.DUMMYFUNCTION("""COMPUTED_VALUE"""),3)</f>
        <v>3</v>
      </c>
      <c r="D396" s="6" t="str">
        <f ca="1">IFERROR(__xludf.DUMMYFUNCTION("""COMPUTED_VALUE"""),"NO")</f>
        <v>NO</v>
      </c>
      <c r="E396" s="6" t="str">
        <f ca="1">IFERROR(__xludf.DUMMYFUNCTION("""COMPUTED_VALUE"""),"Salamanca")</f>
        <v>Salamanca</v>
      </c>
      <c r="F396" s="16">
        <f ca="1">IFERROR(__xludf.DUMMYFUNCTION("""COMPUTED_VALUE"""),46104)</f>
        <v>46104</v>
      </c>
      <c r="G396" s="16">
        <f ca="1">IFERROR(__xludf.DUMMYFUNCTION("""COMPUTED_VALUE"""),46058)</f>
        <v>46058</v>
      </c>
      <c r="H396" s="6" t="str">
        <f ca="1">IFERROR(__xludf.DUMMYFUNCTION("""COMPUTED_VALUE"""),"Salamanca")</f>
        <v>Salamanca</v>
      </c>
      <c r="I396" s="6" t="str">
        <f ca="1">IFERROR(__xludf.DUMMYFUNCTION("""COMPUTED_VALUE"""),"C202625124123012239")</f>
        <v>C202625124123012239</v>
      </c>
      <c r="J396" s="6" t="str">
        <f ca="1">IFERROR(__xludf.DUMMYFUNCTION("""COMPUTED_VALUE"""),"JAVIER CASADO LEON")</f>
        <v>JAVIER CASADO LEON</v>
      </c>
      <c r="K396" s="15">
        <f ca="1">IFERROR(__xludf.DUMMYFUNCTION("""COMPUTED_VALUE"""),1)</f>
        <v>1</v>
      </c>
      <c r="L396" s="21">
        <f ca="1">IFERROR(__xludf.DUMMYFUNCTION("""COMPUTED_VALUE"""),1784.55)</f>
        <v>1784.55</v>
      </c>
      <c r="M396" s="6" t="str">
        <f ca="1">IFERROR(__xludf.DUMMYFUNCTION("""COMPUTED_VALUE"""),"03 ORL")</f>
        <v>03 ORL</v>
      </c>
      <c r="N396" s="6" t="str">
        <f ca="1">IFERROR(__xludf.DUMMYFUNCTION("""COMPUTED_VALUE"""),"06 ORL")</f>
        <v>06 ORL</v>
      </c>
      <c r="O396" s="6" t="str">
        <f ca="1">IFERROR(__xludf.DUMMYFUNCTION("""COMPUTED_VALUE"""),"Dr, Ángel Muñoz Herrera")</f>
        <v>Dr, Ángel Muñoz Herrera</v>
      </c>
      <c r="P396" s="6" t="str">
        <f ca="1">IFERROR(__xludf.DUMMYFUNCTION("""COMPUTED_VALUE"""),"Alberto Moreno (Madrid)")</f>
        <v>Alberto Moreno (Madrid)</v>
      </c>
    </row>
    <row r="397" spans="2:16">
      <c r="B397" s="33">
        <f ca="1">IFERROR(__xludf.DUMMYFUNCTION("""COMPUTED_VALUE"""),2026)</f>
        <v>2026</v>
      </c>
      <c r="C397" s="15">
        <f ca="1">IFERROR(__xludf.DUMMYFUNCTION("""COMPUTED_VALUE"""),3)</f>
        <v>3</v>
      </c>
      <c r="D397" s="6" t="str">
        <f ca="1">IFERROR(__xludf.DUMMYFUNCTION("""COMPUTED_VALUE"""),"NO")</f>
        <v>NO</v>
      </c>
      <c r="E397" s="6" t="str">
        <f ca="1">IFERROR(__xludf.DUMMYFUNCTION("""COMPUTED_VALUE"""),"San Javier")</f>
        <v>San Javier</v>
      </c>
      <c r="F397" s="16">
        <f ca="1">IFERROR(__xludf.DUMMYFUNCTION("""COMPUTED_VALUE"""),46104)</f>
        <v>46104</v>
      </c>
      <c r="G397" s="16">
        <f ca="1">IFERROR(__xludf.DUMMYFUNCTION("""COMPUTED_VALUE"""),46066)</f>
        <v>46066</v>
      </c>
      <c r="H397" s="6" t="str">
        <f ca="1">IFERROR(__xludf.DUMMYFUNCTION("""COMPUTED_VALUE"""),"San Javier")</f>
        <v>San Javier</v>
      </c>
      <c r="I397" s="6" t="str">
        <f ca="1">IFERROR(__xludf.DUMMYFUNCTION("""COMPUTED_VALUE"""),"C202621317332705391")</f>
        <v>C202621317332705391</v>
      </c>
      <c r="J397" s="6" t="str">
        <f ca="1">IFERROR(__xludf.DUMMYFUNCTION("""COMPUTED_VALUE"""),"JOSEFA GARCIA MARTINEZ")</f>
        <v>JOSEFA GARCIA MARTINEZ</v>
      </c>
      <c r="K397" s="15">
        <f ca="1">IFERROR(__xludf.DUMMYFUNCTION("""COMPUTED_VALUE"""),2)</f>
        <v>2</v>
      </c>
      <c r="L397" s="21">
        <f ca="1">IFERROR(__xludf.DUMMYFUNCTION("""COMPUTED_VALUE"""),3631.82)</f>
        <v>3631.82</v>
      </c>
      <c r="M397" s="6" t="str">
        <f ca="1">IFERROR(__xludf.DUMMYFUNCTION("""COMPUTED_VALUE"""),"03 ORL")</f>
        <v>03 ORL</v>
      </c>
      <c r="N397" s="6" t="str">
        <f ca="1">IFERROR(__xludf.DUMMYFUNCTION("""COMPUTED_VALUE"""),"06 ORL")</f>
        <v>06 ORL</v>
      </c>
      <c r="O397" s="6" t="str">
        <f ca="1">IFERROR(__xludf.DUMMYFUNCTION("""COMPUTED_VALUE"""),"Dr, Ángel Onofre Pérez Coll")</f>
        <v>Dr, Ángel Onofre Pérez Coll</v>
      </c>
      <c r="P397" s="6" t="str">
        <f ca="1">IFERROR(__xludf.DUMMYFUNCTION("""COMPUTED_VALUE"""),"Iván Sánchez (Levante y Albacete)")</f>
        <v>Iván Sánchez (Levante y Albacete)</v>
      </c>
    </row>
    <row r="398" spans="2:16">
      <c r="B398" s="33">
        <f ca="1">IFERROR(__xludf.DUMMYFUNCTION("""COMPUTED_VALUE"""),2026)</f>
        <v>2026</v>
      </c>
      <c r="C398" s="15">
        <f ca="1">IFERROR(__xludf.DUMMYFUNCTION("""COMPUTED_VALUE"""),3)</f>
        <v>3</v>
      </c>
      <c r="D398" s="6" t="str">
        <f ca="1">IFERROR(__xludf.DUMMYFUNCTION("""COMPUTED_VALUE"""),"NO")</f>
        <v>NO</v>
      </c>
      <c r="E398" s="6" t="str">
        <f ca="1">IFERROR(__xludf.DUMMYFUNCTION("""COMPUTED_VALUE"""),"Madrid- Moratalaz")</f>
        <v>Madrid- Moratalaz</v>
      </c>
      <c r="F398" s="16">
        <f ca="1">IFERROR(__xludf.DUMMYFUNCTION("""COMPUTED_VALUE"""),46104)</f>
        <v>46104</v>
      </c>
      <c r="G398" s="16">
        <f ca="1">IFERROR(__xludf.DUMMYFUNCTION("""COMPUTED_VALUE"""),46070)</f>
        <v>46070</v>
      </c>
      <c r="H398" s="6" t="str">
        <f ca="1">IFERROR(__xludf.DUMMYFUNCTION("""COMPUTED_VALUE"""),"Moratalaz")</f>
        <v>Moratalaz</v>
      </c>
      <c r="I398" s="6" t="str">
        <f ca="1">IFERROR(__xludf.DUMMYFUNCTION("""COMPUTED_VALUE"""),"C202621711017242970")</f>
        <v>C202621711017242970</v>
      </c>
      <c r="J398" s="6" t="str">
        <f ca="1">IFERROR(__xludf.DUMMYFUNCTION("""COMPUTED_VALUE"""),"CARLOS CORNA BUSTOS")</f>
        <v>CARLOS CORNA BUSTOS</v>
      </c>
      <c r="K398" s="15">
        <f ca="1">IFERROR(__xludf.DUMMYFUNCTION("""COMPUTED_VALUE"""),2)</f>
        <v>2</v>
      </c>
      <c r="L398" s="21">
        <f ca="1">IFERROR(__xludf.DUMMYFUNCTION("""COMPUTED_VALUE"""),3450.22)</f>
        <v>3450.22</v>
      </c>
      <c r="M398" s="6" t="str">
        <f ca="1">IFERROR(__xludf.DUMMYFUNCTION("""COMPUTED_VALUE"""),"03 ORL")</f>
        <v>03 ORL</v>
      </c>
      <c r="N398" s="6" t="str">
        <f ca="1">IFERROR(__xludf.DUMMYFUNCTION("""COMPUTED_VALUE"""),"06 ORL")</f>
        <v>06 ORL</v>
      </c>
      <c r="O398" s="6" t="str">
        <f ca="1">IFERROR(__xludf.DUMMYFUNCTION("""COMPUTED_VALUE"""),"Dra, Laura Yeguas Ramírez")</f>
        <v>Dra, Laura Yeguas Ramírez</v>
      </c>
      <c r="P398" s="6" t="str">
        <f ca="1">IFERROR(__xludf.DUMMYFUNCTION("""COMPUTED_VALUE"""),"Maika Blázquez (Madrid)")</f>
        <v>Maika Blázquez (Madrid)</v>
      </c>
    </row>
    <row r="399" spans="2:16">
      <c r="B399" s="33">
        <f ca="1">IFERROR(__xludf.DUMMYFUNCTION("""COMPUTED_VALUE"""),2026)</f>
        <v>2026</v>
      </c>
      <c r="C399" s="15">
        <f ca="1">IFERROR(__xludf.DUMMYFUNCTION("""COMPUTED_VALUE"""),3)</f>
        <v>3</v>
      </c>
      <c r="D399" s="6" t="str">
        <f ca="1">IFERROR(__xludf.DUMMYFUNCTION("""COMPUTED_VALUE"""),"NO")</f>
        <v>NO</v>
      </c>
      <c r="E399" s="6" t="str">
        <f ca="1">IFERROR(__xludf.DUMMYFUNCTION("""COMPUTED_VALUE"""),"Logroño")</f>
        <v>Logroño</v>
      </c>
      <c r="F399" s="16">
        <f ca="1">IFERROR(__xludf.DUMMYFUNCTION("""COMPUTED_VALUE"""),46104)</f>
        <v>46104</v>
      </c>
      <c r="G399" s="16">
        <f ca="1">IFERROR(__xludf.DUMMYFUNCTION("""COMPUTED_VALUE"""),46090)</f>
        <v>46090</v>
      </c>
      <c r="H399" s="6" t="str">
        <f ca="1">IFERROR(__xludf.DUMMYFUNCTION("""COMPUTED_VALUE"""),"Logroño")</f>
        <v>Logroño</v>
      </c>
      <c r="I399" s="6" t="str">
        <f ca="1">IFERROR(__xludf.DUMMYFUNCTION("""COMPUTED_VALUE"""),"C20263910389459500")</f>
        <v>C20263910389459500</v>
      </c>
      <c r="J399" s="6" t="str">
        <f ca="1">IFERROR(__xludf.DUMMYFUNCTION("""COMPUTED_VALUE"""),"PRUDENCIO ACEVEDO MARTINEZ")</f>
        <v>PRUDENCIO ACEVEDO MARTINEZ</v>
      </c>
      <c r="K399" s="15">
        <f ca="1">IFERROR(__xludf.DUMMYFUNCTION("""COMPUTED_VALUE"""),2)</f>
        <v>2</v>
      </c>
      <c r="L399" s="21">
        <f ca="1">IFERROR(__xludf.DUMMYFUNCTION("""COMPUTED_VALUE"""),3631.82)</f>
        <v>3631.82</v>
      </c>
      <c r="M399" s="6" t="str">
        <f ca="1">IFERROR(__xludf.DUMMYFUNCTION("""COMPUTED_VALUE"""),"03 ORL")</f>
        <v>03 ORL</v>
      </c>
      <c r="N399" s="6" t="str">
        <f ca="1">IFERROR(__xludf.DUMMYFUNCTION("""COMPUTED_VALUE"""),"06 ORL")</f>
        <v>06 ORL</v>
      </c>
      <c r="O399" s="6" t="str">
        <f ca="1">IFERROR(__xludf.DUMMYFUNCTION("""COMPUTED_VALUE"""),"No recuerda ORL")</f>
        <v>No recuerda ORL</v>
      </c>
      <c r="P399" s="6" t="str">
        <f ca="1">IFERROR(__xludf.DUMMYFUNCTION("""COMPUTED_VALUE"""),"Lisandro Russian (Madrid, Cáceres, Toledo, Talavera y Logroño)")</f>
        <v>Lisandro Russian (Madrid, Cáceres, Toledo, Talavera y Logroño)</v>
      </c>
    </row>
    <row r="400" spans="2:16">
      <c r="B400" s="33">
        <f ca="1">IFERROR(__xludf.DUMMYFUNCTION("""COMPUTED_VALUE"""),2026)</f>
        <v>2026</v>
      </c>
      <c r="C400" s="15">
        <f ca="1">IFERROR(__xludf.DUMMYFUNCTION("""COMPUTED_VALUE"""),3)</f>
        <v>3</v>
      </c>
      <c r="D400" s="6" t="str">
        <f ca="1">IFERROR(__xludf.DUMMYFUNCTION("""COMPUTED_VALUE"""),"NO")</f>
        <v>NO</v>
      </c>
      <c r="E400" s="6" t="str">
        <f ca="1">IFERROR(__xludf.DUMMYFUNCTION("""COMPUTED_VALUE"""),"León")</f>
        <v>León</v>
      </c>
      <c r="F400" s="16">
        <f ca="1">IFERROR(__xludf.DUMMYFUNCTION("""COMPUTED_VALUE"""),46104)</f>
        <v>46104</v>
      </c>
      <c r="G400" s="16">
        <f ca="1">IFERROR(__xludf.DUMMYFUNCTION("""COMPUTED_VALUE"""),46093)</f>
        <v>46093</v>
      </c>
      <c r="H400" s="6" t="str">
        <f ca="1">IFERROR(__xludf.DUMMYFUNCTION("""COMPUTED_VALUE"""),"León")</f>
        <v>León</v>
      </c>
      <c r="I400" s="6" t="str">
        <f ca="1">IFERROR(__xludf.DUMMYFUNCTION("""COMPUTED_VALUE"""),"C202631217351288577")</f>
        <v>C202631217351288577</v>
      </c>
      <c r="J400" s="6" t="str">
        <f ca="1">IFERROR(__xludf.DUMMYFUNCTION("""COMPUTED_VALUE"""),"CELESTINA FERNANDEZ FERNANDEZ")</f>
        <v>CELESTINA FERNANDEZ FERNANDEZ</v>
      </c>
      <c r="K400" s="15">
        <f ca="1">IFERROR(__xludf.DUMMYFUNCTION("""COMPUTED_VALUE"""),2)</f>
        <v>2</v>
      </c>
      <c r="L400" s="21">
        <f ca="1">IFERROR(__xludf.DUMMYFUNCTION("""COMPUTED_VALUE"""),1909.09)</f>
        <v>1909.09</v>
      </c>
      <c r="M400" s="6" t="str">
        <f ca="1">IFERROR(__xludf.DUMMYFUNCTION("""COMPUTED_VALUE"""),"03 ORL")</f>
        <v>03 ORL</v>
      </c>
      <c r="N400" s="6" t="str">
        <f ca="1">IFERROR(__xludf.DUMMYFUNCTION("""COMPUTED_VALUE"""),"06 ORL")</f>
        <v>06 ORL</v>
      </c>
      <c r="O400" s="6" t="str">
        <f ca="1">IFERROR(__xludf.DUMMYFUNCTION("""COMPUTED_VALUE"""),"Dr, Rafael Pérez González")</f>
        <v>Dr, Rafael Pérez González</v>
      </c>
      <c r="P400" s="6" t="str">
        <f ca="1">IFERROR(__xludf.DUMMYFUNCTION("""COMPUTED_VALUE"""),"Alberto Moreno (Madrid)")</f>
        <v>Alberto Moreno (Madrid)</v>
      </c>
    </row>
    <row r="401" spans="2:16">
      <c r="B401" s="33">
        <f ca="1">IFERROR(__xludf.DUMMYFUNCTION("""COMPUTED_VALUE"""),2026)</f>
        <v>2026</v>
      </c>
      <c r="C401" s="15">
        <f ca="1">IFERROR(__xludf.DUMMYFUNCTION("""COMPUTED_VALUE"""),3)</f>
        <v>3</v>
      </c>
      <c r="D401" s="6" t="str">
        <f ca="1">IFERROR(__xludf.DUMMYFUNCTION("""COMPUTED_VALUE"""),"NO")</f>
        <v>NO</v>
      </c>
      <c r="E401" s="6" t="str">
        <f ca="1">IFERROR(__xludf.DUMMYFUNCTION("""COMPUTED_VALUE"""),"Jerez de la Frontera")</f>
        <v>Jerez de la Frontera</v>
      </c>
      <c r="F401" s="16">
        <f ca="1">IFERROR(__xludf.DUMMYFUNCTION("""COMPUTED_VALUE"""),46105)</f>
        <v>46105</v>
      </c>
      <c r="G401" s="16">
        <f ca="1">IFERROR(__xludf.DUMMYFUNCTION("""COMPUTED_VALUE"""),46085)</f>
        <v>46085</v>
      </c>
      <c r="H401" s="6" t="str">
        <f ca="1">IFERROR(__xludf.DUMMYFUNCTION("""COMPUTED_VALUE"""),"Jerez")</f>
        <v>Jerez</v>
      </c>
      <c r="I401" s="6" t="str">
        <f ca="1">IFERROR(__xludf.DUMMYFUNCTION("""COMPUTED_VALUE"""),"C202634164844964727")</f>
        <v>C202634164844964727</v>
      </c>
      <c r="J401" s="6" t="str">
        <f ca="1">IFERROR(__xludf.DUMMYFUNCTION("""COMPUTED_VALUE"""),"BELEN DE LA CUADRA GUERRERO")</f>
        <v>BELEN DE LA CUADRA GUERRERO</v>
      </c>
      <c r="K401" s="15">
        <f ca="1">IFERROR(__xludf.DUMMYFUNCTION("""COMPUTED_VALUE"""),1)</f>
        <v>1</v>
      </c>
      <c r="L401" s="21">
        <f ca="1">IFERROR(__xludf.DUMMYFUNCTION("""COMPUTED_VALUE"""),2722.73)</f>
        <v>2722.73</v>
      </c>
      <c r="M401" s="6" t="str">
        <f ca="1">IFERROR(__xludf.DUMMYFUNCTION("""COMPUTED_VALUE"""),"03 ORL")</f>
        <v>03 ORL</v>
      </c>
      <c r="N401" s="6" t="str">
        <f ca="1">IFERROR(__xludf.DUMMYFUNCTION("""COMPUTED_VALUE"""),"06 ORL")</f>
        <v>06 ORL</v>
      </c>
      <c r="O401" s="6" t="str">
        <f ca="1">IFERROR(__xludf.DUMMYFUNCTION("""COMPUTED_VALUE"""),"Dr, Miguel García Teno")</f>
        <v>Dr, Miguel García Teno</v>
      </c>
      <c r="P401" s="6" t="str">
        <f ca="1">IFERROR(__xludf.DUMMYFUNCTION("""COMPUTED_VALUE"""),"Luis Alberto Rodríguez (Andalucía y Badajoz)")</f>
        <v>Luis Alberto Rodríguez (Andalucía y Badajoz)</v>
      </c>
    </row>
    <row r="402" spans="2:16">
      <c r="B402" s="33">
        <f ca="1">IFERROR(__xludf.DUMMYFUNCTION("""COMPUTED_VALUE"""),2026)</f>
        <v>2026</v>
      </c>
      <c r="C402" s="15">
        <f ca="1">IFERROR(__xludf.DUMMYFUNCTION("""COMPUTED_VALUE"""),3)</f>
        <v>3</v>
      </c>
      <c r="D402" s="6" t="str">
        <f ca="1">IFERROR(__xludf.DUMMYFUNCTION("""COMPUTED_VALUE"""),"NO")</f>
        <v>NO</v>
      </c>
      <c r="E402" s="6" t="str">
        <f ca="1">IFERROR(__xludf.DUMMYFUNCTION("""COMPUTED_VALUE"""),"Murcia")</f>
        <v>Murcia</v>
      </c>
      <c r="F402" s="16">
        <f ca="1">IFERROR(__xludf.DUMMYFUNCTION("""COMPUTED_VALUE"""),46105)</f>
        <v>46105</v>
      </c>
      <c r="G402" s="16">
        <f ca="1">IFERROR(__xludf.DUMMYFUNCTION("""COMPUTED_VALUE"""),46027)</f>
        <v>46027</v>
      </c>
      <c r="H402" s="6" t="str">
        <f ca="1">IFERROR(__xludf.DUMMYFUNCTION("""COMPUTED_VALUE"""),"Murcia")</f>
        <v>Murcia</v>
      </c>
      <c r="I402" s="6" t="str">
        <f ca="1">IFERROR(__xludf.DUMMYFUNCTION("""COMPUTED_VALUE"""),"C20261591023671225")</f>
        <v>C20261591023671225</v>
      </c>
      <c r="J402" s="6" t="str">
        <f ca="1">IFERROR(__xludf.DUMMYFUNCTION("""COMPUTED_VALUE"""),"MATILDE MARTINEZ LOPEZ")</f>
        <v>MATILDE MARTINEZ LOPEZ</v>
      </c>
      <c r="K402" s="15">
        <f ca="1">IFERROR(__xludf.DUMMYFUNCTION("""COMPUTED_VALUE"""),1)</f>
        <v>1</v>
      </c>
      <c r="L402" s="21">
        <f ca="1">IFERROR(__xludf.DUMMYFUNCTION("""COMPUTED_VALUE"""),2180.91)</f>
        <v>2180.91</v>
      </c>
      <c r="M402" s="6" t="str">
        <f ca="1">IFERROR(__xludf.DUMMYFUNCTION("""COMPUTED_VALUE"""),"04 TIENDA")</f>
        <v>04 TIENDA</v>
      </c>
      <c r="N402" s="6" t="str">
        <f ca="1">IFERROR(__xludf.DUMMYFUNCTION("""COMPUTED_VALUE"""),"07 BOCA/BOCA")</f>
        <v>07 BOCA/BOCA</v>
      </c>
      <c r="O402" s="6" t="str">
        <f ca="1">IFERROR(__xludf.DUMMYFUNCTION("""COMPUTED_VALUE"""),"No recuerda ORL")</f>
        <v>No recuerda ORL</v>
      </c>
      <c r="P402" s="6" t="str">
        <f ca="1">IFERROR(__xludf.DUMMYFUNCTION("""COMPUTED_VALUE"""),"Iván Sánchez (Levante y Albacete)")</f>
        <v>Iván Sánchez (Levante y Albacete)</v>
      </c>
    </row>
    <row r="403" spans="2:16">
      <c r="B403" s="33">
        <f ca="1">IFERROR(__xludf.DUMMYFUNCTION("""COMPUTED_VALUE"""),2026)</f>
        <v>2026</v>
      </c>
      <c r="C403" s="15">
        <f ca="1">IFERROR(__xludf.DUMMYFUNCTION("""COMPUTED_VALUE"""),3)</f>
        <v>3</v>
      </c>
      <c r="D403" s="6" t="str">
        <f ca="1">IFERROR(__xludf.DUMMYFUNCTION("""COMPUTED_VALUE"""),"NO")</f>
        <v>NO</v>
      </c>
      <c r="E403" s="6" t="str">
        <f ca="1">IFERROR(__xludf.DUMMYFUNCTION("""COMPUTED_VALUE"""),"Murcia")</f>
        <v>Murcia</v>
      </c>
      <c r="F403" s="16">
        <f ca="1">IFERROR(__xludf.DUMMYFUNCTION("""COMPUTED_VALUE"""),46105)</f>
        <v>46105</v>
      </c>
      <c r="G403" s="16">
        <f ca="1">IFERROR(__xludf.DUMMYFUNCTION("""COMPUTED_VALUE"""),46069)</f>
        <v>46069</v>
      </c>
      <c r="H403" s="6" t="str">
        <f ca="1">IFERROR(__xludf.DUMMYFUNCTION("""COMPUTED_VALUE"""),"Murcia")</f>
        <v>Murcia</v>
      </c>
      <c r="I403" s="6" t="str">
        <f ca="1">IFERROR(__xludf.DUMMYFUNCTION("""COMPUTED_VALUE"""),"C202621612391370804")</f>
        <v>C202621612391370804</v>
      </c>
      <c r="J403" s="6" t="str">
        <f ca="1">IFERROR(__xludf.DUMMYFUNCTION("""COMPUTED_VALUE"""),"MARIA DEL PILAR ALEMAN VERA")</f>
        <v>MARIA DEL PILAR ALEMAN VERA</v>
      </c>
      <c r="K403" s="15">
        <f ca="1">IFERROR(__xludf.DUMMYFUNCTION("""COMPUTED_VALUE"""),2)</f>
        <v>2</v>
      </c>
      <c r="L403" s="21">
        <f ca="1">IFERROR(__xludf.DUMMYFUNCTION("""COMPUTED_VALUE"""),2718.18)</f>
        <v>2718.18</v>
      </c>
      <c r="M403" s="6" t="str">
        <f ca="1">IFERROR(__xludf.DUMMYFUNCTION("""COMPUTED_VALUE"""),"03 ORL")</f>
        <v>03 ORL</v>
      </c>
      <c r="N403" s="6" t="str">
        <f ca="1">IFERROR(__xludf.DUMMYFUNCTION("""COMPUTED_VALUE"""),"06 ORL")</f>
        <v>06 ORL</v>
      </c>
      <c r="O403" s="6" t="str">
        <f ca="1">IFERROR(__xludf.DUMMYFUNCTION("""COMPUTED_VALUE"""),"Dr, Enrique López Meseguer")</f>
        <v>Dr, Enrique López Meseguer</v>
      </c>
      <c r="P403" s="6" t="str">
        <f ca="1">IFERROR(__xludf.DUMMYFUNCTION("""COMPUTED_VALUE"""),"Iván Sánchez (Levante y Albacete)")</f>
        <v>Iván Sánchez (Levante y Albacete)</v>
      </c>
    </row>
    <row r="404" spans="2:16">
      <c r="B404" s="33">
        <f ca="1">IFERROR(__xludf.DUMMYFUNCTION("""COMPUTED_VALUE"""),2026)</f>
        <v>2026</v>
      </c>
      <c r="C404" s="15">
        <f ca="1">IFERROR(__xludf.DUMMYFUNCTION("""COMPUTED_VALUE"""),3)</f>
        <v>3</v>
      </c>
      <c r="D404" s="6" t="str">
        <f ca="1">IFERROR(__xludf.DUMMYFUNCTION("""COMPUTED_VALUE"""),"NO")</f>
        <v>NO</v>
      </c>
      <c r="E404" s="6" t="str">
        <f ca="1">IFERROR(__xludf.DUMMYFUNCTION("""COMPUTED_VALUE"""),"Valencia- Cádiz")</f>
        <v>Valencia- Cádiz</v>
      </c>
      <c r="F404" s="16">
        <f ca="1">IFERROR(__xludf.DUMMYFUNCTION("""COMPUTED_VALUE"""),46105)</f>
        <v>46105</v>
      </c>
      <c r="G404" s="16">
        <f ca="1">IFERROR(__xludf.DUMMYFUNCTION("""COMPUTED_VALUE"""),46056)</f>
        <v>46056</v>
      </c>
      <c r="H404" s="6" t="str">
        <f ca="1">IFERROR(__xludf.DUMMYFUNCTION("""COMPUTED_VALUE"""),"Valencia- Cádiz")</f>
        <v>Valencia- Cádiz</v>
      </c>
      <c r="I404" s="6" t="str">
        <f ca="1">IFERROR(__xludf.DUMMYFUNCTION("""COMPUTED_VALUE"""),"C202623123339316530")</f>
        <v>C202623123339316530</v>
      </c>
      <c r="J404" s="6" t="str">
        <f ca="1">IFERROR(__xludf.DUMMYFUNCTION("""COMPUTED_VALUE"""),"IDALINA MUNNO")</f>
        <v>IDALINA MUNNO</v>
      </c>
      <c r="K404" s="15">
        <f ca="1">IFERROR(__xludf.DUMMYFUNCTION("""COMPUTED_VALUE"""),1)</f>
        <v>1</v>
      </c>
      <c r="L404" s="21">
        <f ca="1">IFERROR(__xludf.DUMMYFUNCTION("""COMPUTED_VALUE"""),1631.82)</f>
        <v>1631.82</v>
      </c>
      <c r="M404" s="6" t="str">
        <f ca="1">IFERROR(__xludf.DUMMYFUNCTION("""COMPUTED_VALUE"""),"03 ORL")</f>
        <v>03 ORL</v>
      </c>
      <c r="N404" s="6" t="str">
        <f ca="1">IFERROR(__xludf.DUMMYFUNCTION("""COMPUTED_VALUE"""),"06 ORL")</f>
        <v>06 ORL</v>
      </c>
      <c r="O404" s="6" t="str">
        <f ca="1">IFERROR(__xludf.DUMMYFUNCTION("""COMPUTED_VALUE"""),"Dr, Jean Franco Intraprendente Martini")</f>
        <v>Dr, Jean Franco Intraprendente Martini</v>
      </c>
      <c r="P404" s="6" t="str">
        <f ca="1">IFERROR(__xludf.DUMMYFUNCTION("""COMPUTED_VALUE"""),"Ramon Ferrando(Valencia)")</f>
        <v>Ramon Ferrando(Valencia)</v>
      </c>
    </row>
    <row r="405" spans="2:16">
      <c r="B405" s="33">
        <f ca="1">IFERROR(__xludf.DUMMYFUNCTION("""COMPUTED_VALUE"""),2026)</f>
        <v>2026</v>
      </c>
      <c r="C405" s="15">
        <f ca="1">IFERROR(__xludf.DUMMYFUNCTION("""COMPUTED_VALUE"""),3)</f>
        <v>3</v>
      </c>
      <c r="D405" s="6" t="str">
        <f ca="1">IFERROR(__xludf.DUMMYFUNCTION("""COMPUTED_VALUE"""),"NO")</f>
        <v>NO</v>
      </c>
      <c r="E405" s="6" t="str">
        <f ca="1">IFERROR(__xludf.DUMMYFUNCTION("""COMPUTED_VALUE"""),"Cáceres")</f>
        <v>Cáceres</v>
      </c>
      <c r="F405" s="16">
        <f ca="1">IFERROR(__xludf.DUMMYFUNCTION("""COMPUTED_VALUE"""),46105)</f>
        <v>46105</v>
      </c>
      <c r="G405" s="16">
        <f ca="1">IFERROR(__xludf.DUMMYFUNCTION("""COMPUTED_VALUE"""),46077)</f>
        <v>46077</v>
      </c>
      <c r="H405" s="6" t="str">
        <f ca="1">IFERROR(__xludf.DUMMYFUNCTION("""COMPUTED_VALUE"""),"Cáceres")</f>
        <v>Cáceres</v>
      </c>
      <c r="I405" s="6" t="str">
        <f ca="1">IFERROR(__xludf.DUMMYFUNCTION("""COMPUTED_VALUE"""),"C202622418504788966")</f>
        <v>C202622418504788966</v>
      </c>
      <c r="J405" s="6" t="str">
        <f ca="1">IFERROR(__xludf.DUMMYFUNCTION("""COMPUTED_VALUE"""),"JUAN JOSE RICO BORREGUERO")</f>
        <v>JUAN JOSE RICO BORREGUERO</v>
      </c>
      <c r="K405" s="15">
        <f ca="1">IFERROR(__xludf.DUMMYFUNCTION("""COMPUTED_VALUE"""),2)</f>
        <v>2</v>
      </c>
      <c r="L405" s="21">
        <f ca="1">IFERROR(__xludf.DUMMYFUNCTION("""COMPUTED_VALUE"""),3678.18)</f>
        <v>3678.18</v>
      </c>
      <c r="M405" s="6" t="str">
        <f ca="1">IFERROR(__xludf.DUMMYFUNCTION("""COMPUTED_VALUE"""),"03 ORL")</f>
        <v>03 ORL</v>
      </c>
      <c r="N405" s="6" t="str">
        <f ca="1">IFERROR(__xludf.DUMMYFUNCTION("""COMPUTED_VALUE"""),"06 ORL")</f>
        <v>06 ORL</v>
      </c>
      <c r="O405" s="6" t="str">
        <f ca="1">IFERROR(__xludf.DUMMYFUNCTION("""COMPUTED_VALUE"""),"Dr, Raed Maqued El Maqued")</f>
        <v>Dr, Raed Maqued El Maqued</v>
      </c>
      <c r="P405" s="6" t="str">
        <f ca="1">IFERROR(__xludf.DUMMYFUNCTION("""COMPUTED_VALUE"""),"Lisandro Russian (Madrid, Cáceres, Toledo, Talavera y Logroño)")</f>
        <v>Lisandro Russian (Madrid, Cáceres, Toledo, Talavera y Logroño)</v>
      </c>
    </row>
    <row r="406" spans="2:16">
      <c r="B406" s="33">
        <f ca="1">IFERROR(__xludf.DUMMYFUNCTION("""COMPUTED_VALUE"""),2026)</f>
        <v>2026</v>
      </c>
      <c r="C406" s="15">
        <f ca="1">IFERROR(__xludf.DUMMYFUNCTION("""COMPUTED_VALUE"""),3)</f>
        <v>3</v>
      </c>
      <c r="D406" s="6" t="str">
        <f ca="1">IFERROR(__xludf.DUMMYFUNCTION("""COMPUTED_VALUE"""),"NO")</f>
        <v>NO</v>
      </c>
      <c r="E406" s="6" t="str">
        <f ca="1">IFERROR(__xludf.DUMMYFUNCTION("""COMPUTED_VALUE"""),"Valencia- Parra")</f>
        <v>Valencia- Parra</v>
      </c>
      <c r="F406" s="16">
        <f ca="1">IFERROR(__xludf.DUMMYFUNCTION("""COMPUTED_VALUE"""),46105)</f>
        <v>46105</v>
      </c>
      <c r="G406" s="16">
        <f ca="1">IFERROR(__xludf.DUMMYFUNCTION("""COMPUTED_VALUE"""),46063)</f>
        <v>46063</v>
      </c>
      <c r="H406" s="6" t="str">
        <f ca="1">IFERROR(__xludf.DUMMYFUNCTION("""COMPUTED_VALUE"""),"Valencia- Parra")</f>
        <v>Valencia- Parra</v>
      </c>
      <c r="I406" s="6" t="str">
        <f ca="1">IFERROR(__xludf.DUMMYFUNCTION("""COMPUTED_VALUE"""),"C202621011591130907")</f>
        <v>C202621011591130907</v>
      </c>
      <c r="J406" s="6" t="str">
        <f ca="1">IFERROR(__xludf.DUMMYFUNCTION("""COMPUTED_VALUE"""),"VICTOR PUENTES FENOLLOSA")</f>
        <v>VICTOR PUENTES FENOLLOSA</v>
      </c>
      <c r="K406" s="15">
        <f ca="1">IFERROR(__xludf.DUMMYFUNCTION("""COMPUTED_VALUE"""),2)</f>
        <v>2</v>
      </c>
      <c r="L406" s="21">
        <f ca="1">IFERROR(__xludf.DUMMYFUNCTION("""COMPUTED_VALUE"""),2718.18)</f>
        <v>2718.18</v>
      </c>
      <c r="M406" s="6" t="str">
        <f ca="1">IFERROR(__xludf.DUMMYFUNCTION("""COMPUTED_VALUE"""),"03 ORL")</f>
        <v>03 ORL</v>
      </c>
      <c r="N406" s="6" t="str">
        <f ca="1">IFERROR(__xludf.DUMMYFUNCTION("""COMPUTED_VALUE"""),"06 ORL")</f>
        <v>06 ORL</v>
      </c>
      <c r="O406" s="6" t="str">
        <f ca="1">IFERROR(__xludf.DUMMYFUNCTION("""COMPUTED_VALUE"""),"Dr, José Manuel Tamarit Conejeros")</f>
        <v>Dr, José Manuel Tamarit Conejeros</v>
      </c>
      <c r="P406" s="6" t="str">
        <f ca="1">IFERROR(__xludf.DUMMYFUNCTION("""COMPUTED_VALUE"""),"Ramon Ferrando(Valencia)")</f>
        <v>Ramon Ferrando(Valencia)</v>
      </c>
    </row>
    <row r="407" spans="2:16">
      <c r="B407" s="33">
        <f ca="1">IFERROR(__xludf.DUMMYFUNCTION("""COMPUTED_VALUE"""),2026)</f>
        <v>2026</v>
      </c>
      <c r="C407" s="15">
        <f ca="1">IFERROR(__xludf.DUMMYFUNCTION("""COMPUTED_VALUE"""),3)</f>
        <v>3</v>
      </c>
      <c r="D407" s="6" t="str">
        <f ca="1">IFERROR(__xludf.DUMMYFUNCTION("""COMPUTED_VALUE"""),"NO")</f>
        <v>NO</v>
      </c>
      <c r="E407" s="6" t="str">
        <f ca="1">IFERROR(__xludf.DUMMYFUNCTION("""COMPUTED_VALUE"""),"Madrid- Juan Bravo")</f>
        <v>Madrid- Juan Bravo</v>
      </c>
      <c r="F407" s="16">
        <f ca="1">IFERROR(__xludf.DUMMYFUNCTION("""COMPUTED_VALUE"""),46105)</f>
        <v>46105</v>
      </c>
      <c r="G407" s="16">
        <f ca="1">IFERROR(__xludf.DUMMYFUNCTION("""COMPUTED_VALUE"""),46029)</f>
        <v>46029</v>
      </c>
      <c r="H407" s="6" t="str">
        <f ca="1">IFERROR(__xludf.DUMMYFUNCTION("""COMPUTED_VALUE"""),"Juan Bravo")</f>
        <v>Juan Bravo</v>
      </c>
      <c r="I407" s="6" t="str">
        <f ca="1">IFERROR(__xludf.DUMMYFUNCTION("""COMPUTED_VALUE"""),"C202617182211952993")</f>
        <v>C202617182211952993</v>
      </c>
      <c r="J407" s="6" t="str">
        <f ca="1">IFERROR(__xludf.DUMMYFUNCTION("""COMPUTED_VALUE"""),"LUCIA RUIZ HORCHE")</f>
        <v>LUCIA RUIZ HORCHE</v>
      </c>
      <c r="K407" s="15">
        <f ca="1">IFERROR(__xludf.DUMMYFUNCTION("""COMPUTED_VALUE"""),2)</f>
        <v>2</v>
      </c>
      <c r="L407" s="21">
        <f ca="1">IFERROR(__xludf.DUMMYFUNCTION("""COMPUTED_VALUE"""),3945.95)</f>
        <v>3945.95</v>
      </c>
      <c r="M407" s="6" t="str">
        <f ca="1">IFERROR(__xludf.DUMMYFUNCTION("""COMPUTED_VALUE"""),"03 ORL")</f>
        <v>03 ORL</v>
      </c>
      <c r="N407" s="6" t="str">
        <f ca="1">IFERROR(__xludf.DUMMYFUNCTION("""COMPUTED_VALUE"""),"06 ORL")</f>
        <v>06 ORL</v>
      </c>
      <c r="O407" s="6" t="str">
        <f ca="1">IFERROR(__xludf.DUMMYFUNCTION("""COMPUTED_VALUE"""),"No recuerda ORL")</f>
        <v>No recuerda ORL</v>
      </c>
      <c r="P407" s="6" t="str">
        <f ca="1">IFERROR(__xludf.DUMMYFUNCTION("""COMPUTED_VALUE"""),"Maika Blázquez (Madrid)")</f>
        <v>Maika Blázquez (Madrid)</v>
      </c>
    </row>
    <row r="408" spans="2:16">
      <c r="B408" s="33">
        <f ca="1">IFERROR(__xludf.DUMMYFUNCTION("""COMPUTED_VALUE"""),2026)</f>
        <v>2026</v>
      </c>
      <c r="C408" s="15">
        <f ca="1">IFERROR(__xludf.DUMMYFUNCTION("""COMPUTED_VALUE"""),3)</f>
        <v>3</v>
      </c>
      <c r="D408" s="6" t="str">
        <f ca="1">IFERROR(__xludf.DUMMYFUNCTION("""COMPUTED_VALUE"""),"NO")</f>
        <v>NO</v>
      </c>
      <c r="E408" s="6" t="str">
        <f ca="1">IFERROR(__xludf.DUMMYFUNCTION("""COMPUTED_VALUE"""),"Sevilla- Montoto")</f>
        <v>Sevilla- Montoto</v>
      </c>
      <c r="F408" s="16">
        <f ca="1">IFERROR(__xludf.DUMMYFUNCTION("""COMPUTED_VALUE"""),46105)</f>
        <v>46105</v>
      </c>
      <c r="G408" s="16">
        <f ca="1">IFERROR(__xludf.DUMMYFUNCTION("""COMPUTED_VALUE"""),46030)</f>
        <v>46030</v>
      </c>
      <c r="H408" s="6" t="str">
        <f ca="1">IFERROR(__xludf.DUMMYFUNCTION("""COMPUTED_VALUE"""),"Montoto")</f>
        <v>Montoto</v>
      </c>
      <c r="I408" s="6" t="str">
        <f ca="1">IFERROR(__xludf.DUMMYFUNCTION("""COMPUTED_VALUE"""),"C202618111858546960")</f>
        <v>C202618111858546960</v>
      </c>
      <c r="J408" s="6" t="str">
        <f ca="1">IFERROR(__xludf.DUMMYFUNCTION("""COMPUTED_VALUE"""),"ANDREA ROSA BOZADA")</f>
        <v>ANDREA ROSA BOZADA</v>
      </c>
      <c r="K408" s="15">
        <f ca="1">IFERROR(__xludf.DUMMYFUNCTION("""COMPUTED_VALUE"""),2)</f>
        <v>2</v>
      </c>
      <c r="L408" s="21">
        <f ca="1">IFERROR(__xludf.DUMMYFUNCTION("""COMPUTED_VALUE"""),4536.36)</f>
        <v>4536.3599999999997</v>
      </c>
      <c r="M408" s="6" t="str">
        <f ca="1">IFERROR(__xludf.DUMMYFUNCTION("""COMPUTED_VALUE"""),"03 ORL")</f>
        <v>03 ORL</v>
      </c>
      <c r="N408" s="6" t="str">
        <f ca="1">IFERROR(__xludf.DUMMYFUNCTION("""COMPUTED_VALUE"""),"06 ORL")</f>
        <v>06 ORL</v>
      </c>
      <c r="O408" s="6" t="str">
        <f ca="1">IFERROR(__xludf.DUMMYFUNCTION("""COMPUTED_VALUE"""),"Dr, David Castro Gutiérrez de Agüero")</f>
        <v>Dr, David Castro Gutiérrez de Agüero</v>
      </c>
      <c r="P408" s="6" t="str">
        <f ca="1">IFERROR(__xludf.DUMMYFUNCTION("""COMPUTED_VALUE"""),"Luis Alberto Rodríguez (Andalucía y Badajoz)")</f>
        <v>Luis Alberto Rodríguez (Andalucía y Badajoz)</v>
      </c>
    </row>
    <row r="409" spans="2:16">
      <c r="B409" s="33">
        <f ca="1">IFERROR(__xludf.DUMMYFUNCTION("""COMPUTED_VALUE"""),2026)</f>
        <v>2026</v>
      </c>
      <c r="C409" s="15">
        <f ca="1">IFERROR(__xludf.DUMMYFUNCTION("""COMPUTED_VALUE"""),3)</f>
        <v>3</v>
      </c>
      <c r="D409" s="6" t="str">
        <f ca="1">IFERROR(__xludf.DUMMYFUNCTION("""COMPUTED_VALUE"""),"NO")</f>
        <v>NO</v>
      </c>
      <c r="E409" s="6" t="str">
        <f ca="1">IFERROR(__xludf.DUMMYFUNCTION("""COMPUTED_VALUE"""),"Valencia- Cádiz")</f>
        <v>Valencia- Cádiz</v>
      </c>
      <c r="F409" s="16">
        <f ca="1">IFERROR(__xludf.DUMMYFUNCTION("""COMPUTED_VALUE"""),46105)</f>
        <v>46105</v>
      </c>
      <c r="G409" s="16">
        <f ca="1">IFERROR(__xludf.DUMMYFUNCTION("""COMPUTED_VALUE"""),46052)</f>
        <v>46052</v>
      </c>
      <c r="H409" s="6" t="str">
        <f ca="1">IFERROR(__xludf.DUMMYFUNCTION("""COMPUTED_VALUE"""),"Valencia- Cádiz")</f>
        <v>Valencia- Cádiz</v>
      </c>
      <c r="I409" s="6" t="str">
        <f ca="1">IFERROR(__xludf.DUMMYFUNCTION("""COMPUTED_VALUE"""),"C202613010311166949")</f>
        <v>C202613010311166949</v>
      </c>
      <c r="J409" s="6" t="str">
        <f ca="1">IFERROR(__xludf.DUMMYFUNCTION("""COMPUTED_VALUE"""),"ADRIANA  SAILEMA SAILEMA")</f>
        <v>ADRIANA  SAILEMA SAILEMA</v>
      </c>
      <c r="K409" s="15">
        <f ca="1">IFERROR(__xludf.DUMMYFUNCTION("""COMPUTED_VALUE"""),1)</f>
        <v>1</v>
      </c>
      <c r="L409" s="21">
        <f ca="1">IFERROR(__xludf.DUMMYFUNCTION("""COMPUTED_VALUE"""),2180.91)</f>
        <v>2180.91</v>
      </c>
      <c r="M409" s="6" t="str">
        <f ca="1">IFERROR(__xludf.DUMMYFUNCTION("""COMPUTED_VALUE"""),"03 ORL")</f>
        <v>03 ORL</v>
      </c>
      <c r="N409" s="6" t="str">
        <f ca="1">IFERROR(__xludf.DUMMYFUNCTION("""COMPUTED_VALUE"""),"06 ORL")</f>
        <v>06 ORL</v>
      </c>
      <c r="O409" s="6" t="str">
        <f ca="1">IFERROR(__xludf.DUMMYFUNCTION("""COMPUTED_VALUE"""),"Dra, Catalina Riera Sala")</f>
        <v>Dra, Catalina Riera Sala</v>
      </c>
      <c r="P409" s="6" t="str">
        <f ca="1">IFERROR(__xludf.DUMMYFUNCTION("""COMPUTED_VALUE"""),"Ramon Ferrando(Valencia)")</f>
        <v>Ramon Ferrando(Valencia)</v>
      </c>
    </row>
    <row r="410" spans="2:16">
      <c r="B410" s="33">
        <f ca="1">IFERROR(__xludf.DUMMYFUNCTION("""COMPUTED_VALUE"""),2026)</f>
        <v>2026</v>
      </c>
      <c r="C410" s="15">
        <f ca="1">IFERROR(__xludf.DUMMYFUNCTION("""COMPUTED_VALUE"""),3)</f>
        <v>3</v>
      </c>
      <c r="D410" s="6" t="str">
        <f ca="1">IFERROR(__xludf.DUMMYFUNCTION("""COMPUTED_VALUE"""),"NO")</f>
        <v>NO</v>
      </c>
      <c r="E410" s="6" t="str">
        <f ca="1">IFERROR(__xludf.DUMMYFUNCTION("""COMPUTED_VALUE"""),"Leganés")</f>
        <v>Leganés</v>
      </c>
      <c r="F410" s="16">
        <f ca="1">IFERROR(__xludf.DUMMYFUNCTION("""COMPUTED_VALUE"""),46105)</f>
        <v>46105</v>
      </c>
      <c r="G410" s="16">
        <f ca="1">IFERROR(__xludf.DUMMYFUNCTION("""COMPUTED_VALUE"""),46076)</f>
        <v>46076</v>
      </c>
      <c r="H410" s="6" t="str">
        <f ca="1">IFERROR(__xludf.DUMMYFUNCTION("""COMPUTED_VALUE"""),"Leganés")</f>
        <v>Leganés</v>
      </c>
      <c r="I410" s="6" t="str">
        <f ca="1">IFERROR(__xludf.DUMMYFUNCTION("""COMPUTED_VALUE"""),"C202622383152566603")</f>
        <v>C202622383152566603</v>
      </c>
      <c r="J410" s="6" t="str">
        <f ca="1">IFERROR(__xludf.DUMMYFUNCTION("""COMPUTED_VALUE"""),"MARIANO GARCIA MAESO")</f>
        <v>MARIANO GARCIA MAESO</v>
      </c>
      <c r="K410" s="15">
        <f ca="1">IFERROR(__xludf.DUMMYFUNCTION("""COMPUTED_VALUE"""),2)</f>
        <v>2</v>
      </c>
      <c r="L410" s="21">
        <f ca="1">IFERROR(__xludf.DUMMYFUNCTION("""COMPUTED_VALUE"""),3631.82)</f>
        <v>3631.82</v>
      </c>
      <c r="M410" s="6" t="str">
        <f ca="1">IFERROR(__xludf.DUMMYFUNCTION("""COMPUTED_VALUE"""),"03 ORL")</f>
        <v>03 ORL</v>
      </c>
      <c r="N410" s="6" t="str">
        <f ca="1">IFERROR(__xludf.DUMMYFUNCTION("""COMPUTED_VALUE"""),"06 ORL")</f>
        <v>06 ORL</v>
      </c>
      <c r="O410" s="6" t="str">
        <f ca="1">IFERROR(__xludf.DUMMYFUNCTION("""COMPUTED_VALUE"""),"Dra, Ana Ruiz Fornells Noreña")</f>
        <v>Dra, Ana Ruiz Fornells Noreña</v>
      </c>
      <c r="P410" s="6" t="str">
        <f ca="1">IFERROR(__xludf.DUMMYFUNCTION("""COMPUTED_VALUE"""),"Maika Blázquez (Madrid)")</f>
        <v>Maika Blázquez (Madrid)</v>
      </c>
    </row>
    <row r="411" spans="2:16">
      <c r="B411" s="33">
        <f ca="1">IFERROR(__xludf.DUMMYFUNCTION("""COMPUTED_VALUE"""),2026)</f>
        <v>2026</v>
      </c>
      <c r="C411" s="15">
        <f ca="1">IFERROR(__xludf.DUMMYFUNCTION("""COMPUTED_VALUE"""),3)</f>
        <v>3</v>
      </c>
      <c r="D411" s="6" t="str">
        <f ca="1">IFERROR(__xludf.DUMMYFUNCTION("""COMPUTED_VALUE"""),"NO")</f>
        <v>NO</v>
      </c>
      <c r="E411" s="6" t="str">
        <f ca="1">IFERROR(__xludf.DUMMYFUNCTION("""COMPUTED_VALUE"""),"Madrid- Juan Bravo")</f>
        <v>Madrid- Juan Bravo</v>
      </c>
      <c r="F411" s="16">
        <f ca="1">IFERROR(__xludf.DUMMYFUNCTION("""COMPUTED_VALUE"""),46105)</f>
        <v>46105</v>
      </c>
      <c r="G411" s="16">
        <f ca="1">IFERROR(__xludf.DUMMYFUNCTION("""COMPUTED_VALUE"""),46077)</f>
        <v>46077</v>
      </c>
      <c r="H411" s="6" t="str">
        <f ca="1">IFERROR(__xludf.DUMMYFUNCTION("""COMPUTED_VALUE"""),"Juan Bravo")</f>
        <v>Juan Bravo</v>
      </c>
      <c r="I411" s="6" t="str">
        <f ca="1">IFERROR(__xludf.DUMMYFUNCTION("""COMPUTED_VALUE"""),"C202622417564128522")</f>
        <v>C202622417564128522</v>
      </c>
      <c r="J411" s="6" t="str">
        <f ca="1">IFERROR(__xludf.DUMMYFUNCTION("""COMPUTED_VALUE"""),"MERCEDES    DE JUAN GINES")</f>
        <v>MERCEDES    DE JUAN GINES</v>
      </c>
      <c r="K411" s="15">
        <f ca="1">IFERROR(__xludf.DUMMYFUNCTION("""COMPUTED_VALUE"""),2)</f>
        <v>2</v>
      </c>
      <c r="L411" s="21">
        <f ca="1">IFERROR(__xludf.DUMMYFUNCTION("""COMPUTED_VALUE"""),4136.36)</f>
        <v>4136.3599999999997</v>
      </c>
      <c r="M411" s="6" t="str">
        <f ca="1">IFERROR(__xludf.DUMMYFUNCTION("""COMPUTED_VALUE"""),"03 ORL")</f>
        <v>03 ORL</v>
      </c>
      <c r="N411" s="6" t="str">
        <f ca="1">IFERROR(__xludf.DUMMYFUNCTION("""COMPUTED_VALUE"""),"06 ORL")</f>
        <v>06 ORL</v>
      </c>
      <c r="O411" s="6" t="str">
        <f ca="1">IFERROR(__xludf.DUMMYFUNCTION("""COMPUTED_VALUE"""),"Dr, Javier García Domínguez")</f>
        <v>Dr, Javier García Domínguez</v>
      </c>
      <c r="P411" s="6" t="str">
        <f ca="1">IFERROR(__xludf.DUMMYFUNCTION("""COMPUTED_VALUE"""),"Maika Blázquez (Madrid)")</f>
        <v>Maika Blázquez (Madrid)</v>
      </c>
    </row>
    <row r="412" spans="2:16">
      <c r="B412" s="33">
        <f ca="1">IFERROR(__xludf.DUMMYFUNCTION("""COMPUTED_VALUE"""),2026)</f>
        <v>2026</v>
      </c>
      <c r="C412" s="15">
        <f ca="1">IFERROR(__xludf.DUMMYFUNCTION("""COMPUTED_VALUE"""),3)</f>
        <v>3</v>
      </c>
      <c r="D412" s="6" t="str">
        <f ca="1">IFERROR(__xludf.DUMMYFUNCTION("""COMPUTED_VALUE"""),"NO")</f>
        <v>NO</v>
      </c>
      <c r="E412" s="6" t="str">
        <f ca="1">IFERROR(__xludf.DUMMYFUNCTION("""COMPUTED_VALUE"""),"Fuenlabrada")</f>
        <v>Fuenlabrada</v>
      </c>
      <c r="F412" s="16">
        <f ca="1">IFERROR(__xludf.DUMMYFUNCTION("""COMPUTED_VALUE"""),46106)</f>
        <v>46106</v>
      </c>
      <c r="G412" s="16">
        <f ca="1">IFERROR(__xludf.DUMMYFUNCTION("""COMPUTED_VALUE"""),46063)</f>
        <v>46063</v>
      </c>
      <c r="H412" s="6" t="str">
        <f ca="1">IFERROR(__xludf.DUMMYFUNCTION("""COMPUTED_VALUE"""),"Fuenlabrada")</f>
        <v>Fuenlabrada</v>
      </c>
      <c r="I412" s="6" t="str">
        <f ca="1">IFERROR(__xludf.DUMMYFUNCTION("""COMPUTED_VALUE"""),"C202621016017740583")</f>
        <v>C202621016017740583</v>
      </c>
      <c r="J412" s="6" t="str">
        <f ca="1">IFERROR(__xludf.DUMMYFUNCTION("""COMPUTED_VALUE"""),"SOCORRO JIMENEZ LLORENTES")</f>
        <v>SOCORRO JIMENEZ LLORENTES</v>
      </c>
      <c r="K412" s="15">
        <f ca="1">IFERROR(__xludf.DUMMYFUNCTION("""COMPUTED_VALUE"""),2)</f>
        <v>2</v>
      </c>
      <c r="L412" s="21">
        <f ca="1">IFERROR(__xludf.DUMMYFUNCTION("""COMPUTED_VALUE"""),2718.18)</f>
        <v>2718.18</v>
      </c>
      <c r="M412" s="6" t="str">
        <f ca="1">IFERROR(__xludf.DUMMYFUNCTION("""COMPUTED_VALUE"""),"03 ORL")</f>
        <v>03 ORL</v>
      </c>
      <c r="N412" s="6" t="str">
        <f ca="1">IFERROR(__xludf.DUMMYFUNCTION("""COMPUTED_VALUE"""),"06 ORL")</f>
        <v>06 ORL</v>
      </c>
      <c r="O412" s="6" t="str">
        <f ca="1">IFERROR(__xludf.DUMMYFUNCTION("""COMPUTED_VALUE"""),"Dra, Estefania Miranda Sánchez")</f>
        <v>Dra, Estefania Miranda Sánchez</v>
      </c>
      <c r="P412" s="6" t="str">
        <f ca="1">IFERROR(__xludf.DUMMYFUNCTION("""COMPUTED_VALUE"""),"Maika Blázquez (Madrid)")</f>
        <v>Maika Blázquez (Madrid)</v>
      </c>
    </row>
    <row r="413" spans="2:16">
      <c r="B413" s="33">
        <f ca="1">IFERROR(__xludf.DUMMYFUNCTION("""COMPUTED_VALUE"""),2026)</f>
        <v>2026</v>
      </c>
      <c r="C413" s="15">
        <f ca="1">IFERROR(__xludf.DUMMYFUNCTION("""COMPUTED_VALUE"""),3)</f>
        <v>3</v>
      </c>
      <c r="D413" s="6" t="str">
        <f ca="1">IFERROR(__xludf.DUMMYFUNCTION("""COMPUTED_VALUE"""),"NO")</f>
        <v>NO</v>
      </c>
      <c r="E413" s="6" t="str">
        <f ca="1">IFERROR(__xludf.DUMMYFUNCTION("""COMPUTED_VALUE"""),"Murcia")</f>
        <v>Murcia</v>
      </c>
      <c r="F413" s="16">
        <f ca="1">IFERROR(__xludf.DUMMYFUNCTION("""COMPUTED_VALUE"""),46106)</f>
        <v>46106</v>
      </c>
      <c r="G413" s="16">
        <f ca="1">IFERROR(__xludf.DUMMYFUNCTION("""COMPUTED_VALUE"""),46058)</f>
        <v>46058</v>
      </c>
      <c r="H413" s="6" t="str">
        <f ca="1">IFERROR(__xludf.DUMMYFUNCTION("""COMPUTED_VALUE"""),"Murcia")</f>
        <v>Murcia</v>
      </c>
      <c r="I413" s="6" t="str">
        <f ca="1">IFERROR(__xludf.DUMMYFUNCTION("""COMPUTED_VALUE"""),"C202625152152410682")</f>
        <v>C202625152152410682</v>
      </c>
      <c r="J413" s="6" t="str">
        <f ca="1">IFERROR(__xludf.DUMMYFUNCTION("""COMPUTED_VALUE"""),"ENCARNACION CAMPILLO SOTO")</f>
        <v>ENCARNACION CAMPILLO SOTO</v>
      </c>
      <c r="K413" s="15">
        <f ca="1">IFERROR(__xludf.DUMMYFUNCTION("""COMPUTED_VALUE"""),2)</f>
        <v>2</v>
      </c>
      <c r="L413" s="21">
        <f ca="1">IFERROR(__xludf.DUMMYFUNCTION("""COMPUTED_VALUE"""),2718.19)</f>
        <v>2718.19</v>
      </c>
      <c r="M413" s="6" t="str">
        <f ca="1">IFERROR(__xludf.DUMMYFUNCTION("""COMPUTED_VALUE"""),"03 ORL")</f>
        <v>03 ORL</v>
      </c>
      <c r="N413" s="6" t="str">
        <f ca="1">IFERROR(__xludf.DUMMYFUNCTION("""COMPUTED_VALUE"""),"06 ORL")</f>
        <v>06 ORL</v>
      </c>
      <c r="O413" s="6" t="str">
        <f ca="1">IFERROR(__xludf.DUMMYFUNCTION("""COMPUTED_VALUE"""),"Dra, Nuria Salas Barrio")</f>
        <v>Dra, Nuria Salas Barrio</v>
      </c>
      <c r="P413" s="6" t="str">
        <f ca="1">IFERROR(__xludf.DUMMYFUNCTION("""COMPUTED_VALUE"""),"Iván Sánchez (Levante y Albacete)")</f>
        <v>Iván Sánchez (Levante y Albacete)</v>
      </c>
    </row>
    <row r="414" spans="2:16">
      <c r="B414" s="33">
        <f ca="1">IFERROR(__xludf.DUMMYFUNCTION("""COMPUTED_VALUE"""),2026)</f>
        <v>2026</v>
      </c>
      <c r="C414" s="15">
        <f ca="1">IFERROR(__xludf.DUMMYFUNCTION("""COMPUTED_VALUE"""),3)</f>
        <v>3</v>
      </c>
      <c r="D414" s="6" t="str">
        <f ca="1">IFERROR(__xludf.DUMMYFUNCTION("""COMPUTED_VALUE"""),"NO")</f>
        <v>NO</v>
      </c>
      <c r="E414" s="6" t="str">
        <f ca="1">IFERROR(__xludf.DUMMYFUNCTION("""COMPUTED_VALUE"""),"Almería")</f>
        <v>Almería</v>
      </c>
      <c r="F414" s="16">
        <f ca="1">IFERROR(__xludf.DUMMYFUNCTION("""COMPUTED_VALUE"""),46106)</f>
        <v>46106</v>
      </c>
      <c r="G414" s="16">
        <f ca="1">IFERROR(__xludf.DUMMYFUNCTION("""COMPUTED_VALUE"""),46093)</f>
        <v>46093</v>
      </c>
      <c r="H414" s="6" t="str">
        <f ca="1">IFERROR(__xludf.DUMMYFUNCTION("""COMPUTED_VALUE"""),"Almería")</f>
        <v>Almería</v>
      </c>
      <c r="I414" s="6" t="str">
        <f ca="1">IFERROR(__xludf.DUMMYFUNCTION("""COMPUTED_VALUE"""),"C202631215153684101")</f>
        <v>C202631215153684101</v>
      </c>
      <c r="J414" s="6" t="str">
        <f ca="1">IFERROR(__xludf.DUMMYFUNCTION("""COMPUTED_VALUE"""),"VICTORIA CAMPOS SANTOS")</f>
        <v>VICTORIA CAMPOS SANTOS</v>
      </c>
      <c r="K414" s="15">
        <f ca="1">IFERROR(__xludf.DUMMYFUNCTION("""COMPUTED_VALUE"""),1)</f>
        <v>1</v>
      </c>
      <c r="L414" s="21">
        <f ca="1">IFERROR(__xludf.DUMMYFUNCTION("""COMPUTED_VALUE"""),2481.82)</f>
        <v>2481.8200000000002</v>
      </c>
      <c r="M414" s="6" t="str">
        <f ca="1">IFERROR(__xludf.DUMMYFUNCTION("""COMPUTED_VALUE"""),"01 MARKETING ON LINE")</f>
        <v>01 MARKETING ON LINE</v>
      </c>
      <c r="N414" s="6" t="str">
        <f ca="1">IFERROR(__xludf.DUMMYFUNCTION("""COMPUTED_VALUE"""),"04 AUDIFONO,ES")</f>
        <v>04 AUDIFONO,ES</v>
      </c>
      <c r="O414" s="6" t="str">
        <f ca="1">IFERROR(__xludf.DUMMYFUNCTION("""COMPUTED_VALUE"""),"Dr, Juanjo Góngora Lencina")</f>
        <v>Dr, Juanjo Góngora Lencina</v>
      </c>
      <c r="P414" s="6" t="str">
        <f ca="1">IFERROR(__xludf.DUMMYFUNCTION("""COMPUTED_VALUE"""),"Ramon Ferrando(Valencia)")</f>
        <v>Ramon Ferrando(Valencia)</v>
      </c>
    </row>
    <row r="415" spans="2:16">
      <c r="B415" s="33">
        <f ca="1">IFERROR(__xludf.DUMMYFUNCTION("""COMPUTED_VALUE"""),2026)</f>
        <v>2026</v>
      </c>
      <c r="C415" s="15">
        <f ca="1">IFERROR(__xludf.DUMMYFUNCTION("""COMPUTED_VALUE"""),3)</f>
        <v>3</v>
      </c>
      <c r="D415" s="6" t="str">
        <f ca="1">IFERROR(__xludf.DUMMYFUNCTION("""COMPUTED_VALUE"""),"NO")</f>
        <v>NO</v>
      </c>
      <c r="E415" s="6" t="str">
        <f ca="1">IFERROR(__xludf.DUMMYFUNCTION("""COMPUTED_VALUE"""),"Fuenlabrada")</f>
        <v>Fuenlabrada</v>
      </c>
      <c r="F415" s="16">
        <f ca="1">IFERROR(__xludf.DUMMYFUNCTION("""COMPUTED_VALUE"""),46106)</f>
        <v>46106</v>
      </c>
      <c r="G415" s="16">
        <f ca="1">IFERROR(__xludf.DUMMYFUNCTION("""COMPUTED_VALUE"""),46073)</f>
        <v>46073</v>
      </c>
      <c r="H415" s="6" t="str">
        <f ca="1">IFERROR(__xludf.DUMMYFUNCTION("""COMPUTED_VALUE"""),"Fuenlabrada")</f>
        <v>Fuenlabrada</v>
      </c>
      <c r="I415" s="6" t="str">
        <f ca="1">IFERROR(__xludf.DUMMYFUNCTION("""COMPUTED_VALUE"""),"C202622011312932276")</f>
        <v>C202622011312932276</v>
      </c>
      <c r="J415" s="6" t="str">
        <f ca="1">IFERROR(__xludf.DUMMYFUNCTION("""COMPUTED_VALUE"""),"VICTORIA LOPEZ DE LA FRANCA GONZALEZ")</f>
        <v>VICTORIA LOPEZ DE LA FRANCA GONZALEZ</v>
      </c>
      <c r="K415" s="15">
        <f ca="1">IFERROR(__xludf.DUMMYFUNCTION("""COMPUTED_VALUE"""),1)</f>
        <v>1</v>
      </c>
      <c r="L415" s="21">
        <f ca="1">IFERROR(__xludf.DUMMYFUNCTION("""COMPUTED_VALUE"""),2181.73)</f>
        <v>2181.73</v>
      </c>
      <c r="M415" s="6" t="str">
        <f ca="1">IFERROR(__xludf.DUMMYFUNCTION("""COMPUTED_VALUE"""),"03 ORL")</f>
        <v>03 ORL</v>
      </c>
      <c r="N415" s="6" t="str">
        <f ca="1">IFERROR(__xludf.DUMMYFUNCTION("""COMPUTED_VALUE"""),"06 ORL")</f>
        <v>06 ORL</v>
      </c>
      <c r="O415" s="6" t="str">
        <f ca="1">IFERROR(__xludf.DUMMYFUNCTION("""COMPUTED_VALUE"""),"Dra, Paloma Martín-Aragón Martín")</f>
        <v>Dra, Paloma Martín-Aragón Martín</v>
      </c>
      <c r="P415" s="6" t="str">
        <f ca="1">IFERROR(__xludf.DUMMYFUNCTION("""COMPUTED_VALUE"""),"Maika Blázquez (Madrid)")</f>
        <v>Maika Blázquez (Madrid)</v>
      </c>
    </row>
    <row r="416" spans="2:16">
      <c r="B416" s="33">
        <f ca="1">IFERROR(__xludf.DUMMYFUNCTION("""COMPUTED_VALUE"""),2026)</f>
        <v>2026</v>
      </c>
      <c r="C416" s="15">
        <f ca="1">IFERROR(__xludf.DUMMYFUNCTION("""COMPUTED_VALUE"""),3)</f>
        <v>3</v>
      </c>
      <c r="D416" s="6" t="str">
        <f ca="1">IFERROR(__xludf.DUMMYFUNCTION("""COMPUTED_VALUE"""),"NO")</f>
        <v>NO</v>
      </c>
      <c r="E416" s="6" t="str">
        <f ca="1">IFERROR(__xludf.DUMMYFUNCTION("""COMPUTED_VALUE"""),"Alicante")</f>
        <v>Alicante</v>
      </c>
      <c r="F416" s="16">
        <f ca="1">IFERROR(__xludf.DUMMYFUNCTION("""COMPUTED_VALUE"""),46106)</f>
        <v>46106</v>
      </c>
      <c r="G416" s="16">
        <f ca="1">IFERROR(__xludf.DUMMYFUNCTION("""COMPUTED_VALUE"""),46077)</f>
        <v>46077</v>
      </c>
      <c r="H416" s="6" t="str">
        <f ca="1">IFERROR(__xludf.DUMMYFUNCTION("""COMPUTED_VALUE"""),"Alicante")</f>
        <v>Alicante</v>
      </c>
      <c r="I416" s="6" t="str">
        <f ca="1">IFERROR(__xludf.DUMMYFUNCTION("""COMPUTED_VALUE"""),"C202622412142688311")</f>
        <v>C202622412142688311</v>
      </c>
      <c r="J416" s="6" t="str">
        <f ca="1">IFERROR(__xludf.DUMMYFUNCTION("""COMPUTED_VALUE"""),"JOSE LUIS ESCOBAR ARROYO")</f>
        <v>JOSE LUIS ESCOBAR ARROYO</v>
      </c>
      <c r="K416" s="15">
        <f ca="1">IFERROR(__xludf.DUMMYFUNCTION("""COMPUTED_VALUE"""),2)</f>
        <v>2</v>
      </c>
      <c r="L416" s="21">
        <f ca="1">IFERROR(__xludf.DUMMYFUNCTION("""COMPUTED_VALUE"""),3631.82)</f>
        <v>3631.82</v>
      </c>
      <c r="M416" s="6" t="str">
        <f ca="1">IFERROR(__xludf.DUMMYFUNCTION("""COMPUTED_VALUE"""),"03 ORL")</f>
        <v>03 ORL</v>
      </c>
      <c r="N416" s="6" t="str">
        <f ca="1">IFERROR(__xludf.DUMMYFUNCTION("""COMPUTED_VALUE"""),"06 ORL")</f>
        <v>06 ORL</v>
      </c>
      <c r="O416" s="6" t="str">
        <f ca="1">IFERROR(__xludf.DUMMYFUNCTION("""COMPUTED_VALUE"""),"Dra, Cristina Muñoz Pinto")</f>
        <v>Dra, Cristina Muñoz Pinto</v>
      </c>
      <c r="P416" s="6" t="str">
        <f ca="1">IFERROR(__xludf.DUMMYFUNCTION("""COMPUTED_VALUE"""),"Iván Sánchez (Levante y Albacete)")</f>
        <v>Iván Sánchez (Levante y Albacete)</v>
      </c>
    </row>
    <row r="417" spans="2:16">
      <c r="B417" s="33">
        <f ca="1">IFERROR(__xludf.DUMMYFUNCTION("""COMPUTED_VALUE"""),2026)</f>
        <v>2026</v>
      </c>
      <c r="C417" s="15">
        <f ca="1">IFERROR(__xludf.DUMMYFUNCTION("""COMPUTED_VALUE"""),3)</f>
        <v>3</v>
      </c>
      <c r="D417" s="6" t="str">
        <f ca="1">IFERROR(__xludf.DUMMYFUNCTION("""COMPUTED_VALUE"""),"NO")</f>
        <v>NO</v>
      </c>
      <c r="E417" s="6" t="str">
        <f ca="1">IFERROR(__xludf.DUMMYFUNCTION("""COMPUTED_VALUE"""),"Murcia")</f>
        <v>Murcia</v>
      </c>
      <c r="F417" s="16">
        <f ca="1">IFERROR(__xludf.DUMMYFUNCTION("""COMPUTED_VALUE"""),46106)</f>
        <v>46106</v>
      </c>
      <c r="G417" s="16">
        <f ca="1">IFERROR(__xludf.DUMMYFUNCTION("""COMPUTED_VALUE"""),46070)</f>
        <v>46070</v>
      </c>
      <c r="H417" s="6" t="str">
        <f ca="1">IFERROR(__xludf.DUMMYFUNCTION("""COMPUTED_VALUE"""),"Murcia")</f>
        <v>Murcia</v>
      </c>
      <c r="I417" s="6" t="str">
        <f ca="1">IFERROR(__xludf.DUMMYFUNCTION("""COMPUTED_VALUE"""),"C202621794150905684")</f>
        <v>C202621794150905684</v>
      </c>
      <c r="J417" s="6" t="str">
        <f ca="1">IFERROR(__xludf.DUMMYFUNCTION("""COMPUTED_VALUE"""),"IVAN MARTINEZ MILLAN")</f>
        <v>IVAN MARTINEZ MILLAN</v>
      </c>
      <c r="K417" s="15">
        <f ca="1">IFERROR(__xludf.DUMMYFUNCTION("""COMPUTED_VALUE"""),2)</f>
        <v>2</v>
      </c>
      <c r="L417" s="21">
        <f ca="1">IFERROR(__xludf.DUMMYFUNCTION("""COMPUTED_VALUE"""),4536.36)</f>
        <v>4536.3599999999997</v>
      </c>
      <c r="M417" s="6" t="str">
        <f ca="1">IFERROR(__xludf.DUMMYFUNCTION("""COMPUTED_VALUE"""),"03 ORL")</f>
        <v>03 ORL</v>
      </c>
      <c r="N417" s="6" t="str">
        <f ca="1">IFERROR(__xludf.DUMMYFUNCTION("""COMPUTED_VALUE"""),"06 ORL")</f>
        <v>06 ORL</v>
      </c>
      <c r="O417" s="6" t="str">
        <f ca="1">IFERROR(__xludf.DUMMYFUNCTION("""COMPUTED_VALUE"""),"Dr, Jesús Miguel Iniesta Turpín")</f>
        <v>Dr, Jesús Miguel Iniesta Turpín</v>
      </c>
      <c r="P417" s="6" t="str">
        <f ca="1">IFERROR(__xludf.DUMMYFUNCTION("""COMPUTED_VALUE"""),"Iván Sánchez (Levante y Albacete)")</f>
        <v>Iván Sánchez (Levante y Albacete)</v>
      </c>
    </row>
    <row r="418" spans="2:16">
      <c r="B418" s="33">
        <f ca="1">IFERROR(__xludf.DUMMYFUNCTION("""COMPUTED_VALUE"""),2026)</f>
        <v>2026</v>
      </c>
      <c r="C418" s="15">
        <f ca="1">IFERROR(__xludf.DUMMYFUNCTION("""COMPUTED_VALUE"""),3)</f>
        <v>3</v>
      </c>
      <c r="D418" s="6" t="str">
        <f ca="1">IFERROR(__xludf.DUMMYFUNCTION("""COMPUTED_VALUE"""),"NO")</f>
        <v>NO</v>
      </c>
      <c r="E418" s="6" t="str">
        <f ca="1">IFERROR(__xludf.DUMMYFUNCTION("""COMPUTED_VALUE"""),"Madrid- Monforte de Lemos")</f>
        <v>Madrid- Monforte de Lemos</v>
      </c>
      <c r="F418" s="16">
        <f ca="1">IFERROR(__xludf.DUMMYFUNCTION("""COMPUTED_VALUE"""),46106)</f>
        <v>46106</v>
      </c>
      <c r="G418" s="16">
        <f ca="1">IFERROR(__xludf.DUMMYFUNCTION("""COMPUTED_VALUE"""),46098)</f>
        <v>46098</v>
      </c>
      <c r="H418" s="6" t="str">
        <f ca="1">IFERROR(__xludf.DUMMYFUNCTION("""COMPUTED_VALUE"""),"La Vaguada")</f>
        <v>La Vaguada</v>
      </c>
      <c r="I418" s="6" t="str">
        <f ca="1">IFERROR(__xludf.DUMMYFUNCTION("""COMPUTED_VALUE"""),"C202631792213452520")</f>
        <v>C202631792213452520</v>
      </c>
      <c r="J418" s="6" t="str">
        <f ca="1">IFERROR(__xludf.DUMMYFUNCTION("""COMPUTED_VALUE"""),"JOAQUIN MUÑOZ COUTO")</f>
        <v>JOAQUIN MUÑOZ COUTO</v>
      </c>
      <c r="K418" s="15">
        <f ca="1">IFERROR(__xludf.DUMMYFUNCTION("""COMPUTED_VALUE"""),2)</f>
        <v>2</v>
      </c>
      <c r="L418" s="21">
        <f ca="1">IFERROR(__xludf.DUMMYFUNCTION("""COMPUTED_VALUE"""),2718.18)</f>
        <v>2718.18</v>
      </c>
      <c r="M418" s="6" t="str">
        <f ca="1">IFERROR(__xludf.DUMMYFUNCTION("""COMPUTED_VALUE"""),"03 ORL")</f>
        <v>03 ORL</v>
      </c>
      <c r="N418" s="6" t="str">
        <f ca="1">IFERROR(__xludf.DUMMYFUNCTION("""COMPUTED_VALUE"""),"06 ORL")</f>
        <v>06 ORL</v>
      </c>
      <c r="O418" s="6" t="str">
        <f ca="1">IFERROR(__xludf.DUMMYFUNCTION("""COMPUTED_VALUE"""),"Dr, Álvaro Sánchez de Arriba")</f>
        <v>Dr, Álvaro Sánchez de Arriba</v>
      </c>
      <c r="P418" s="6" t="str">
        <f ca="1">IFERROR(__xludf.DUMMYFUNCTION("""COMPUTED_VALUE"""),"Lisandro Russian (Madrid, Cáceres, Toledo, Talavera y Logroño)")</f>
        <v>Lisandro Russian (Madrid, Cáceres, Toledo, Talavera y Logroño)</v>
      </c>
    </row>
    <row r="419" spans="2:16">
      <c r="B419" s="33">
        <f ca="1">IFERROR(__xludf.DUMMYFUNCTION("""COMPUTED_VALUE"""),2026)</f>
        <v>2026</v>
      </c>
      <c r="C419" s="15">
        <f ca="1">IFERROR(__xludf.DUMMYFUNCTION("""COMPUTED_VALUE"""),3)</f>
        <v>3</v>
      </c>
      <c r="D419" s="6" t="str">
        <f ca="1">IFERROR(__xludf.DUMMYFUNCTION("""COMPUTED_VALUE"""),"NO")</f>
        <v>NO</v>
      </c>
      <c r="E419" s="6" t="str">
        <f ca="1">IFERROR(__xludf.DUMMYFUNCTION("""COMPUTED_VALUE"""),"Logroño")</f>
        <v>Logroño</v>
      </c>
      <c r="F419" s="16">
        <f ca="1">IFERROR(__xludf.DUMMYFUNCTION("""COMPUTED_VALUE"""),46107)</f>
        <v>46107</v>
      </c>
      <c r="G419" s="16">
        <f ca="1">IFERROR(__xludf.DUMMYFUNCTION("""COMPUTED_VALUE"""),46063)</f>
        <v>46063</v>
      </c>
      <c r="H419" s="6" t="str">
        <f ca="1">IFERROR(__xludf.DUMMYFUNCTION("""COMPUTED_VALUE"""),"Logroño")</f>
        <v>Logroño</v>
      </c>
      <c r="I419" s="6" t="str">
        <f ca="1">IFERROR(__xludf.DUMMYFUNCTION("""COMPUTED_VALUE"""),"C202621094742102979")</f>
        <v>C202621094742102979</v>
      </c>
      <c r="J419" s="6" t="str">
        <f ca="1">IFERROR(__xludf.DUMMYFUNCTION("""COMPUTED_VALUE"""),"Juan Andrés Armesto Fernandez")</f>
        <v>Juan Andrés Armesto Fernandez</v>
      </c>
      <c r="K419" s="15">
        <f ca="1">IFERROR(__xludf.DUMMYFUNCTION("""COMPUTED_VALUE"""),2)</f>
        <v>2</v>
      </c>
      <c r="L419" s="21">
        <f ca="1">IFERROR(__xludf.DUMMYFUNCTION("""COMPUTED_VALUE"""),4136.36)</f>
        <v>4136.3599999999997</v>
      </c>
      <c r="M419" s="6" t="str">
        <f ca="1">IFERROR(__xludf.DUMMYFUNCTION("""COMPUTED_VALUE"""),"03 ORL")</f>
        <v>03 ORL</v>
      </c>
      <c r="N419" s="6" t="str">
        <f ca="1">IFERROR(__xludf.DUMMYFUNCTION("""COMPUTED_VALUE"""),"22 AUDIOMETRIA CLINICA")</f>
        <v>22 AUDIOMETRIA CLINICA</v>
      </c>
      <c r="O419" s="6" t="str">
        <f ca="1">IFERROR(__xludf.DUMMYFUNCTION("""COMPUTED_VALUE"""),"No recuerda ORL")</f>
        <v>No recuerda ORL</v>
      </c>
      <c r="P419" s="6" t="str">
        <f ca="1">IFERROR(__xludf.DUMMYFUNCTION("""COMPUTED_VALUE"""),"Lisandro Russian (Madrid, Cáceres, Toledo, Talavera y Logroño)")</f>
        <v>Lisandro Russian (Madrid, Cáceres, Toledo, Talavera y Logroño)</v>
      </c>
    </row>
    <row r="420" spans="2:16">
      <c r="B420" s="33">
        <f ca="1">IFERROR(__xludf.DUMMYFUNCTION("""COMPUTED_VALUE"""),2026)</f>
        <v>2026</v>
      </c>
      <c r="C420" s="15">
        <f ca="1">IFERROR(__xludf.DUMMYFUNCTION("""COMPUTED_VALUE"""),3)</f>
        <v>3</v>
      </c>
      <c r="D420" s="6" t="str">
        <f ca="1">IFERROR(__xludf.DUMMYFUNCTION("""COMPUTED_VALUE"""),"NO")</f>
        <v>NO</v>
      </c>
      <c r="E420" s="6" t="str">
        <f ca="1">IFERROR(__xludf.DUMMYFUNCTION("""COMPUTED_VALUE"""),"Logroño")</f>
        <v>Logroño</v>
      </c>
      <c r="F420" s="16">
        <f ca="1">IFERROR(__xludf.DUMMYFUNCTION("""COMPUTED_VALUE"""),46107)</f>
        <v>46107</v>
      </c>
      <c r="G420" s="16">
        <f ca="1">IFERROR(__xludf.DUMMYFUNCTION("""COMPUTED_VALUE"""),46085)</f>
        <v>46085</v>
      </c>
      <c r="H420" s="6" t="str">
        <f ca="1">IFERROR(__xludf.DUMMYFUNCTION("""COMPUTED_VALUE"""),"Logroño")</f>
        <v>Logroño</v>
      </c>
      <c r="I420" s="6" t="str">
        <f ca="1">IFERROR(__xludf.DUMMYFUNCTION("""COMPUTED_VALUE"""),"C202634162939043899")</f>
        <v>C202634162939043899</v>
      </c>
      <c r="J420" s="6" t="str">
        <f ca="1">IFERROR(__xludf.DUMMYFUNCTION("""COMPUTED_VALUE"""),"TERESA GONZALEZ PRECIADO")</f>
        <v>TERESA GONZALEZ PRECIADO</v>
      </c>
      <c r="K420" s="15">
        <f ca="1">IFERROR(__xludf.DUMMYFUNCTION("""COMPUTED_VALUE"""),2)</f>
        <v>2</v>
      </c>
      <c r="L420" s="21">
        <f ca="1">IFERROR(__xludf.DUMMYFUNCTION("""COMPUTED_VALUE"""),3631.82)</f>
        <v>3631.82</v>
      </c>
      <c r="M420" s="6" t="str">
        <f ca="1">IFERROR(__xludf.DUMMYFUNCTION("""COMPUTED_VALUE"""),"03 ORL")</f>
        <v>03 ORL</v>
      </c>
      <c r="N420" s="6" t="str">
        <f ca="1">IFERROR(__xludf.DUMMYFUNCTION("""COMPUTED_VALUE"""),"06 ORL")</f>
        <v>06 ORL</v>
      </c>
      <c r="O420" s="6" t="str">
        <f ca="1">IFERROR(__xludf.DUMMYFUNCTION("""COMPUTED_VALUE"""),"No recuerda ORL")</f>
        <v>No recuerda ORL</v>
      </c>
      <c r="P420" s="6" t="str">
        <f ca="1">IFERROR(__xludf.DUMMYFUNCTION("""COMPUTED_VALUE"""),"Lisandro Russian (Madrid, Cáceres, Toledo, Talavera y Logroño)")</f>
        <v>Lisandro Russian (Madrid, Cáceres, Toledo, Talavera y Logroño)</v>
      </c>
    </row>
    <row r="421" spans="2:16">
      <c r="B421" s="33">
        <f ca="1">IFERROR(__xludf.DUMMYFUNCTION("""COMPUTED_VALUE"""),2026)</f>
        <v>2026</v>
      </c>
      <c r="C421" s="15">
        <f ca="1">IFERROR(__xludf.DUMMYFUNCTION("""COMPUTED_VALUE"""),3)</f>
        <v>3</v>
      </c>
      <c r="D421" s="6" t="str">
        <f ca="1">IFERROR(__xludf.DUMMYFUNCTION("""COMPUTED_VALUE"""),"NO")</f>
        <v>NO</v>
      </c>
      <c r="E421" s="6" t="str">
        <f ca="1">IFERROR(__xludf.DUMMYFUNCTION("""COMPUTED_VALUE"""),"Almería")</f>
        <v>Almería</v>
      </c>
      <c r="F421" s="16">
        <f ca="1">IFERROR(__xludf.DUMMYFUNCTION("""COMPUTED_VALUE"""),46107)</f>
        <v>46107</v>
      </c>
      <c r="G421" s="16">
        <f ca="1">IFERROR(__xludf.DUMMYFUNCTION("""COMPUTED_VALUE"""),46086)</f>
        <v>46086</v>
      </c>
      <c r="H421" s="6" t="str">
        <f ca="1">IFERROR(__xludf.DUMMYFUNCTION("""COMPUTED_VALUE"""),"Almería")</f>
        <v>Almería</v>
      </c>
      <c r="I421" s="6" t="str">
        <f ca="1">IFERROR(__xludf.DUMMYFUNCTION("""COMPUTED_VALUE"""),"C20263511656958322")</f>
        <v>C20263511656958322</v>
      </c>
      <c r="J421" s="6" t="str">
        <f ca="1">IFERROR(__xludf.DUMMYFUNCTION("""COMPUTED_VALUE"""),"ENCARNACIÓN GONZALEZ HERNANDEZ")</f>
        <v>ENCARNACIÓN GONZALEZ HERNANDEZ</v>
      </c>
      <c r="K421" s="15">
        <f ca="1">IFERROR(__xludf.DUMMYFUNCTION("""COMPUTED_VALUE"""),1)</f>
        <v>1</v>
      </c>
      <c r="L421" s="21">
        <f ca="1">IFERROR(__xludf.DUMMYFUNCTION("""COMPUTED_VALUE"""),1545.45)</f>
        <v>1545.45</v>
      </c>
      <c r="M421" s="6" t="str">
        <f ca="1">IFERROR(__xludf.DUMMYFUNCTION("""COMPUTED_VALUE"""),"03 ORL")</f>
        <v>03 ORL</v>
      </c>
      <c r="N421" s="6" t="str">
        <f ca="1">IFERROR(__xludf.DUMMYFUNCTION("""COMPUTED_VALUE"""),"06 ORL")</f>
        <v>06 ORL</v>
      </c>
      <c r="O421" s="6" t="str">
        <f ca="1">IFERROR(__xludf.DUMMYFUNCTION("""COMPUTED_VALUE"""),"Dr, Antonio José Fernández Pérez")</f>
        <v>Dr, Antonio José Fernández Pérez</v>
      </c>
      <c r="P421" s="6" t="str">
        <f ca="1">IFERROR(__xludf.DUMMYFUNCTION("""COMPUTED_VALUE"""),"Ramon Ferrando(Valencia)")</f>
        <v>Ramon Ferrando(Valencia)</v>
      </c>
    </row>
    <row r="422" spans="2:16">
      <c r="B422" s="33">
        <f ca="1">IFERROR(__xludf.DUMMYFUNCTION("""COMPUTED_VALUE"""),2026)</f>
        <v>2026</v>
      </c>
      <c r="C422" s="15">
        <f ca="1">IFERROR(__xludf.DUMMYFUNCTION("""COMPUTED_VALUE"""),3)</f>
        <v>3</v>
      </c>
      <c r="D422" s="6" t="str">
        <f ca="1">IFERROR(__xludf.DUMMYFUNCTION("""COMPUTED_VALUE"""),"NO")</f>
        <v>NO</v>
      </c>
      <c r="E422" s="6" t="str">
        <f ca="1">IFERROR(__xludf.DUMMYFUNCTION("""COMPUTED_VALUE"""),"Talavera")</f>
        <v>Talavera</v>
      </c>
      <c r="F422" s="16">
        <f ca="1">IFERROR(__xludf.DUMMYFUNCTION("""COMPUTED_VALUE"""),46107)</f>
        <v>46107</v>
      </c>
      <c r="G422" s="16">
        <f ca="1">IFERROR(__xludf.DUMMYFUNCTION("""COMPUTED_VALUE"""),45751)</f>
        <v>45751</v>
      </c>
      <c r="H422" s="6" t="str">
        <f ca="1">IFERROR(__xludf.DUMMYFUNCTION("""COMPUTED_VALUE"""),"Talavera")</f>
        <v>Talavera</v>
      </c>
      <c r="I422" s="6" t="str">
        <f ca="1">IFERROR(__xludf.DUMMYFUNCTION("""COMPUTED_VALUE"""),"C2025411105516909")</f>
        <v>C2025411105516909</v>
      </c>
      <c r="J422" s="6" t="str">
        <f ca="1">IFERROR(__xludf.DUMMYFUNCTION("""COMPUTED_VALUE"""),"JULIA ROBLEDO MARTIN")</f>
        <v>JULIA ROBLEDO MARTIN</v>
      </c>
      <c r="K422" s="15">
        <f ca="1">IFERROR(__xludf.DUMMYFUNCTION("""COMPUTED_VALUE"""),2)</f>
        <v>2</v>
      </c>
      <c r="L422" s="21">
        <f ca="1">IFERROR(__xludf.DUMMYFUNCTION("""COMPUTED_VALUE"""),2718.18)</f>
        <v>2718.18</v>
      </c>
      <c r="M422" s="6" t="str">
        <f ca="1">IFERROR(__xludf.DUMMYFUNCTION("""COMPUTED_VALUE"""),"03 ORL")</f>
        <v>03 ORL</v>
      </c>
      <c r="N422" s="6" t="str">
        <f ca="1">IFERROR(__xludf.DUMMYFUNCTION("""COMPUTED_VALUE"""),"06 ORL")</f>
        <v>06 ORL</v>
      </c>
      <c r="O422" s="6" t="str">
        <f ca="1">IFERROR(__xludf.DUMMYFUNCTION("""COMPUTED_VALUE"""),"Dra, María Del Rocío Lobato Pérez")</f>
        <v>Dra, María Del Rocío Lobato Pérez</v>
      </c>
      <c r="P422" s="6" t="str">
        <f ca="1">IFERROR(__xludf.DUMMYFUNCTION("""COMPUTED_VALUE"""),"Lisandro Russian (Madrid, Cáceres, Toledo, Talavera y Logroño)")</f>
        <v>Lisandro Russian (Madrid, Cáceres, Toledo, Talavera y Logroño)</v>
      </c>
    </row>
    <row r="423" spans="2:16">
      <c r="B423" s="33">
        <f ca="1">IFERROR(__xludf.DUMMYFUNCTION("""COMPUTED_VALUE"""),2026)</f>
        <v>2026</v>
      </c>
      <c r="C423" s="15">
        <f ca="1">IFERROR(__xludf.DUMMYFUNCTION("""COMPUTED_VALUE"""),3)</f>
        <v>3</v>
      </c>
      <c r="D423" s="6" t="str">
        <f ca="1">IFERROR(__xludf.DUMMYFUNCTION("""COMPUTED_VALUE"""),"NO")</f>
        <v>NO</v>
      </c>
      <c r="E423" s="6" t="str">
        <f ca="1">IFERROR(__xludf.DUMMYFUNCTION("""COMPUTED_VALUE"""),"El Albir (Benidorm)")</f>
        <v>El Albir (Benidorm)</v>
      </c>
      <c r="F423" s="16">
        <f ca="1">IFERROR(__xludf.DUMMYFUNCTION("""COMPUTED_VALUE"""),46107)</f>
        <v>46107</v>
      </c>
      <c r="G423" s="16">
        <f ca="1">IFERROR(__xludf.DUMMYFUNCTION("""COMPUTED_VALUE"""),46064)</f>
        <v>46064</v>
      </c>
      <c r="H423" s="6" t="str">
        <f ca="1">IFERROR(__xludf.DUMMYFUNCTION("""COMPUTED_VALUE"""),"El Albir (Benidorm)")</f>
        <v>El Albir (Benidorm)</v>
      </c>
      <c r="I423" s="6" t="str">
        <f ca="1">IFERROR(__xludf.DUMMYFUNCTION("""COMPUTED_VALUE"""),"C202621115633636141")</f>
        <v>C202621115633636141</v>
      </c>
      <c r="J423" s="6" t="str">
        <f ca="1">IFERROR(__xludf.DUMMYFUNCTION("""COMPUTED_VALUE"""),"CLARA CORTES LAVIÓS")</f>
        <v>CLARA CORTES LAVIÓS</v>
      </c>
      <c r="K423" s="15">
        <f ca="1">IFERROR(__xludf.DUMMYFUNCTION("""COMPUTED_VALUE"""),2)</f>
        <v>2</v>
      </c>
      <c r="L423" s="21">
        <f ca="1">IFERROR(__xludf.DUMMYFUNCTION("""COMPUTED_VALUE"""),2772.27)</f>
        <v>2772.27</v>
      </c>
      <c r="M423" s="6" t="str">
        <f ca="1">IFERROR(__xludf.DUMMYFUNCTION("""COMPUTED_VALUE"""),"03 ORL")</f>
        <v>03 ORL</v>
      </c>
      <c r="N423" s="6" t="str">
        <f ca="1">IFERROR(__xludf.DUMMYFUNCTION("""COMPUTED_VALUE"""),"06 ORL")</f>
        <v>06 ORL</v>
      </c>
      <c r="O423" s="6" t="str">
        <f ca="1">IFERROR(__xludf.DUMMYFUNCTION("""COMPUTED_VALUE"""),"Dra, Isabel Polo Tomás")</f>
        <v>Dra, Isabel Polo Tomás</v>
      </c>
      <c r="P423" s="6" t="str">
        <f ca="1">IFERROR(__xludf.DUMMYFUNCTION("""COMPUTED_VALUE"""),"Ramon Ferrando(Valencia)")</f>
        <v>Ramon Ferrando(Valencia)</v>
      </c>
    </row>
    <row r="424" spans="2:16">
      <c r="B424" s="33">
        <f ca="1">IFERROR(__xludf.DUMMYFUNCTION("""COMPUTED_VALUE"""),2026)</f>
        <v>2026</v>
      </c>
      <c r="C424" s="15">
        <f ca="1">IFERROR(__xludf.DUMMYFUNCTION("""COMPUTED_VALUE"""),3)</f>
        <v>3</v>
      </c>
      <c r="D424" s="6" t="str">
        <f ca="1">IFERROR(__xludf.DUMMYFUNCTION("""COMPUTED_VALUE"""),"NO")</f>
        <v>NO</v>
      </c>
      <c r="E424" s="6" t="str">
        <f ca="1">IFERROR(__xludf.DUMMYFUNCTION("""COMPUTED_VALUE"""),"Madrid- La Oca")</f>
        <v>Madrid- La Oca</v>
      </c>
      <c r="F424" s="16">
        <f ca="1">IFERROR(__xludf.DUMMYFUNCTION("""COMPUTED_VALUE"""),46107)</f>
        <v>46107</v>
      </c>
      <c r="G424" s="16">
        <f ca="1">IFERROR(__xludf.DUMMYFUNCTION("""COMPUTED_VALUE"""),46073)</f>
        <v>46073</v>
      </c>
      <c r="H424" s="6" t="str">
        <f ca="1">IFERROR(__xludf.DUMMYFUNCTION("""COMPUTED_VALUE"""),"La Oca")</f>
        <v>La Oca</v>
      </c>
      <c r="I424" s="6" t="str">
        <f ca="1">IFERROR(__xludf.DUMMYFUNCTION("""COMPUTED_VALUE"""),"C202622016312913031")</f>
        <v>C202622016312913031</v>
      </c>
      <c r="J424" s="6" t="str">
        <f ca="1">IFERROR(__xludf.DUMMYFUNCTION("""COMPUTED_VALUE"""),"FERNANDO  CAMUÑAS LAZARO")</f>
        <v>FERNANDO  CAMUÑAS LAZARO</v>
      </c>
      <c r="K424" s="15">
        <f ca="1">IFERROR(__xludf.DUMMYFUNCTION("""COMPUTED_VALUE"""),1)</f>
        <v>1</v>
      </c>
      <c r="L424" s="21">
        <f ca="1">IFERROR(__xludf.DUMMYFUNCTION("""COMPUTED_VALUE"""),2180.91)</f>
        <v>2180.91</v>
      </c>
      <c r="M424" s="6" t="str">
        <f ca="1">IFERROR(__xludf.DUMMYFUNCTION("""COMPUTED_VALUE"""),"03 ORL")</f>
        <v>03 ORL</v>
      </c>
      <c r="N424" s="6" t="str">
        <f ca="1">IFERROR(__xludf.DUMMYFUNCTION("""COMPUTED_VALUE"""),"06 ORL")</f>
        <v>06 ORL</v>
      </c>
      <c r="O424" s="6" t="str">
        <f ca="1">IFERROR(__xludf.DUMMYFUNCTION("""COMPUTED_VALUE"""),"Dr, Andreas Schilling Borghesi")</f>
        <v>Dr, Andreas Schilling Borghesi</v>
      </c>
      <c r="P424" s="6" t="str">
        <f ca="1">IFERROR(__xludf.DUMMYFUNCTION("""COMPUTED_VALUE"""),"Maika Blázquez (Madrid)")</f>
        <v>Maika Blázquez (Madrid)</v>
      </c>
    </row>
    <row r="425" spans="2:16">
      <c r="B425" s="33">
        <f ca="1">IFERROR(__xludf.DUMMYFUNCTION("""COMPUTED_VALUE"""),2026)</f>
        <v>2026</v>
      </c>
      <c r="C425" s="15">
        <f ca="1">IFERROR(__xludf.DUMMYFUNCTION("""COMPUTED_VALUE"""),3)</f>
        <v>3</v>
      </c>
      <c r="D425" s="6" t="str">
        <f ca="1">IFERROR(__xludf.DUMMYFUNCTION("""COMPUTED_VALUE"""),"NO")</f>
        <v>NO</v>
      </c>
      <c r="E425" s="6" t="str">
        <f ca="1">IFERROR(__xludf.DUMMYFUNCTION("""COMPUTED_VALUE"""),"Fuenlabrada")</f>
        <v>Fuenlabrada</v>
      </c>
      <c r="F425" s="16">
        <f ca="1">IFERROR(__xludf.DUMMYFUNCTION("""COMPUTED_VALUE"""),46107)</f>
        <v>46107</v>
      </c>
      <c r="G425" s="16">
        <f ca="1">IFERROR(__xludf.DUMMYFUNCTION("""COMPUTED_VALUE"""),46078)</f>
        <v>46078</v>
      </c>
      <c r="H425" s="6" t="str">
        <f ca="1">IFERROR(__xludf.DUMMYFUNCTION("""COMPUTED_VALUE"""),"Fuenlabrada")</f>
        <v>Fuenlabrada</v>
      </c>
      <c r="I425" s="6" t="str">
        <f ca="1">IFERROR(__xludf.DUMMYFUNCTION("""COMPUTED_VALUE"""),"C202622511557773529")</f>
        <v>C202622511557773529</v>
      </c>
      <c r="J425" s="6" t="str">
        <f ca="1">IFERROR(__xludf.DUMMYFUNCTION("""COMPUTED_VALUE"""),"CARMEN  CUESTA GARCIA")</f>
        <v>CARMEN  CUESTA GARCIA</v>
      </c>
      <c r="K425" s="15">
        <f ca="1">IFERROR(__xludf.DUMMYFUNCTION("""COMPUTED_VALUE"""),1)</f>
        <v>1</v>
      </c>
      <c r="L425" s="21">
        <f ca="1">IFERROR(__xludf.DUMMYFUNCTION("""COMPUTED_VALUE"""),2180.91)</f>
        <v>2180.91</v>
      </c>
      <c r="M425" s="6" t="str">
        <f ca="1">IFERROR(__xludf.DUMMYFUNCTION("""COMPUTED_VALUE"""),"03 ORL")</f>
        <v>03 ORL</v>
      </c>
      <c r="N425" s="6" t="str">
        <f ca="1">IFERROR(__xludf.DUMMYFUNCTION("""COMPUTED_VALUE"""),"06 ORL")</f>
        <v>06 ORL</v>
      </c>
      <c r="O425" s="6" t="str">
        <f ca="1">IFERROR(__xludf.DUMMYFUNCTION("""COMPUTED_VALUE"""),"Dr, Raimundo Andres Navarro Mediano")</f>
        <v>Dr, Raimundo Andres Navarro Mediano</v>
      </c>
      <c r="P425" s="6" t="str">
        <f ca="1">IFERROR(__xludf.DUMMYFUNCTION("""COMPUTED_VALUE"""),"Maika Blázquez (Madrid)")</f>
        <v>Maika Blázquez (Madrid)</v>
      </c>
    </row>
    <row r="426" spans="2:16">
      <c r="B426" s="33">
        <f ca="1">IFERROR(__xludf.DUMMYFUNCTION("""COMPUTED_VALUE"""),2026)</f>
        <v>2026</v>
      </c>
      <c r="C426" s="15">
        <f ca="1">IFERROR(__xludf.DUMMYFUNCTION("""COMPUTED_VALUE"""),3)</f>
        <v>3</v>
      </c>
      <c r="D426" s="6" t="str">
        <f ca="1">IFERROR(__xludf.DUMMYFUNCTION("""COMPUTED_VALUE"""),"NO")</f>
        <v>NO</v>
      </c>
      <c r="E426" s="6" t="str">
        <f ca="1">IFERROR(__xludf.DUMMYFUNCTION("""COMPUTED_VALUE"""),"El Albir (Benidorm)")</f>
        <v>El Albir (Benidorm)</v>
      </c>
      <c r="F426" s="16">
        <f ca="1">IFERROR(__xludf.DUMMYFUNCTION("""COMPUTED_VALUE"""),46107)</f>
        <v>46107</v>
      </c>
      <c r="G426" s="16">
        <f ca="1">IFERROR(__xludf.DUMMYFUNCTION("""COMPUTED_VALUE"""),46059)</f>
        <v>46059</v>
      </c>
      <c r="H426" s="6" t="str">
        <f ca="1">IFERROR(__xludf.DUMMYFUNCTION("""COMPUTED_VALUE"""),"El Albir (Benidorm)")</f>
        <v>El Albir (Benidorm)</v>
      </c>
      <c r="I426" s="6" t="str">
        <f ca="1">IFERROR(__xludf.DUMMYFUNCTION("""COMPUTED_VALUE"""),"C20262616184191590")</f>
        <v>C20262616184191590</v>
      </c>
      <c r="J426" s="6" t="str">
        <f ca="1">IFERROR(__xludf.DUMMYFUNCTION("""COMPUTED_VALUE"""),"ANTONIO MUÑOZ VIVANCOS")</f>
        <v>ANTONIO MUÑOZ VIVANCOS</v>
      </c>
      <c r="K426" s="15">
        <f ca="1">IFERROR(__xludf.DUMMYFUNCTION("""COMPUTED_VALUE"""),2)</f>
        <v>2</v>
      </c>
      <c r="L426" s="21">
        <f ca="1">IFERROR(__xludf.DUMMYFUNCTION("""COMPUTED_VALUE"""),2718.18)</f>
        <v>2718.18</v>
      </c>
      <c r="M426" s="6" t="str">
        <f ca="1">IFERROR(__xludf.DUMMYFUNCTION("""COMPUTED_VALUE"""),"03 ORL")</f>
        <v>03 ORL</v>
      </c>
      <c r="N426" s="6" t="str">
        <f ca="1">IFERROR(__xludf.DUMMYFUNCTION("""COMPUTED_VALUE"""),"06 ORL")</f>
        <v>06 ORL</v>
      </c>
      <c r="O426" s="6" t="str">
        <f ca="1">IFERROR(__xludf.DUMMYFUNCTION("""COMPUTED_VALUE"""),"Dr, José María Laborda Margolles")</f>
        <v>Dr, José María Laborda Margolles</v>
      </c>
      <c r="P426" s="6" t="str">
        <f ca="1">IFERROR(__xludf.DUMMYFUNCTION("""COMPUTED_VALUE"""),"Ramon Ferrando(Valencia)")</f>
        <v>Ramon Ferrando(Valencia)</v>
      </c>
    </row>
    <row r="427" spans="2:16">
      <c r="B427" s="33">
        <f ca="1">IFERROR(__xludf.DUMMYFUNCTION("""COMPUTED_VALUE"""),2026)</f>
        <v>2026</v>
      </c>
      <c r="C427" s="15">
        <f ca="1">IFERROR(__xludf.DUMMYFUNCTION("""COMPUTED_VALUE"""),3)</f>
        <v>3</v>
      </c>
      <c r="D427" s="6" t="str">
        <f ca="1">IFERROR(__xludf.DUMMYFUNCTION("""COMPUTED_VALUE"""),"NO")</f>
        <v>NO</v>
      </c>
      <c r="E427" s="6" t="str">
        <f ca="1">IFERROR(__xludf.DUMMYFUNCTION("""COMPUTED_VALUE"""),"Zaragoza- Santander")</f>
        <v>Zaragoza- Santander</v>
      </c>
      <c r="F427" s="16">
        <f ca="1">IFERROR(__xludf.DUMMYFUNCTION("""COMPUTED_VALUE"""),46107)</f>
        <v>46107</v>
      </c>
      <c r="G427" s="16">
        <f ca="1">IFERROR(__xludf.DUMMYFUNCTION("""COMPUTED_VALUE"""),46008)</f>
        <v>46008</v>
      </c>
      <c r="H427" s="6" t="str">
        <f ca="1">IFERROR(__xludf.DUMMYFUNCTION("""COMPUTED_VALUE"""),"Zaragoza- Santander")</f>
        <v>Zaragoza- Santander</v>
      </c>
      <c r="I427" s="6" t="str">
        <f ca="1">IFERROR(__xludf.DUMMYFUNCTION("""COMPUTED_VALUE"""),"C202512171782383625")</f>
        <v>C202512171782383625</v>
      </c>
      <c r="J427" s="6" t="str">
        <f ca="1">IFERROR(__xludf.DUMMYFUNCTION("""COMPUTED_VALUE"""),"MARIA ANGELES ROMEO MALO")</f>
        <v>MARIA ANGELES ROMEO MALO</v>
      </c>
      <c r="K427" s="15">
        <f ca="1">IFERROR(__xludf.DUMMYFUNCTION("""COMPUTED_VALUE"""),2)</f>
        <v>2</v>
      </c>
      <c r="L427" s="21">
        <f ca="1">IFERROR(__xludf.DUMMYFUNCTION("""COMPUTED_VALUE"""),3136.36)</f>
        <v>3136.36</v>
      </c>
      <c r="M427" s="6" t="str">
        <f ca="1">IFERROR(__xludf.DUMMYFUNCTION("""COMPUTED_VALUE"""),"03 ORL")</f>
        <v>03 ORL</v>
      </c>
      <c r="N427" s="6" t="str">
        <f ca="1">IFERROR(__xludf.DUMMYFUNCTION("""COMPUTED_VALUE"""),"06 ORL")</f>
        <v>06 ORL</v>
      </c>
      <c r="O427" s="6" t="str">
        <f ca="1">IFERROR(__xludf.DUMMYFUNCTION("""COMPUTED_VALUE"""),"Dr, Jaime Leache Pueyo")</f>
        <v>Dr, Jaime Leache Pueyo</v>
      </c>
      <c r="P427" s="6" t="str">
        <f ca="1">IFERROR(__xludf.DUMMYFUNCTION("""COMPUTED_VALUE"""),"Ignacio Berdejo (Zaragoza)")</f>
        <v>Ignacio Berdejo (Zaragoza)</v>
      </c>
    </row>
    <row r="428" spans="2:16">
      <c r="B428" s="33">
        <f ca="1">IFERROR(__xludf.DUMMYFUNCTION("""COMPUTED_VALUE"""),2026)</f>
        <v>2026</v>
      </c>
      <c r="C428" s="15">
        <f ca="1">IFERROR(__xludf.DUMMYFUNCTION("""COMPUTED_VALUE"""),3)</f>
        <v>3</v>
      </c>
      <c r="D428" s="6" t="str">
        <f ca="1">IFERROR(__xludf.DUMMYFUNCTION("""COMPUTED_VALUE"""),"NO")</f>
        <v>NO</v>
      </c>
      <c r="E428" s="6" t="str">
        <f ca="1">IFERROR(__xludf.DUMMYFUNCTION("""COMPUTED_VALUE"""),"Almería")</f>
        <v>Almería</v>
      </c>
      <c r="F428" s="16">
        <f ca="1">IFERROR(__xludf.DUMMYFUNCTION("""COMPUTED_VALUE"""),46107)</f>
        <v>46107</v>
      </c>
      <c r="G428" s="16">
        <f ca="1">IFERROR(__xludf.DUMMYFUNCTION("""COMPUTED_VALUE"""),46086)</f>
        <v>46086</v>
      </c>
      <c r="H428" s="6" t="str">
        <f ca="1">IFERROR(__xludf.DUMMYFUNCTION("""COMPUTED_VALUE"""),"Almería")</f>
        <v>Almería</v>
      </c>
      <c r="I428" s="6" t="str">
        <f ca="1">IFERROR(__xludf.DUMMYFUNCTION("""COMPUTED_VALUE"""),"C202635164147856493")</f>
        <v>C202635164147856493</v>
      </c>
      <c r="J428" s="6" t="str">
        <f ca="1">IFERROR(__xludf.DUMMYFUNCTION("""COMPUTED_VALUE"""),"JOAQUIN MARTIN ALMECIJA")</f>
        <v>JOAQUIN MARTIN ALMECIJA</v>
      </c>
      <c r="K428" s="15">
        <f ca="1">IFERROR(__xludf.DUMMYFUNCTION("""COMPUTED_VALUE"""),1)</f>
        <v>1</v>
      </c>
      <c r="L428" s="21">
        <f ca="1">IFERROR(__xludf.DUMMYFUNCTION("""COMPUTED_VALUE"""),1631.82)</f>
        <v>1631.82</v>
      </c>
      <c r="M428" s="6" t="str">
        <f ca="1">IFERROR(__xludf.DUMMYFUNCTION("""COMPUTED_VALUE"""),"03 ORL")</f>
        <v>03 ORL</v>
      </c>
      <c r="N428" s="6" t="str">
        <f ca="1">IFERROR(__xludf.DUMMYFUNCTION("""COMPUTED_VALUE"""),"06 ORL")</f>
        <v>06 ORL</v>
      </c>
      <c r="O428" s="6" t="str">
        <f ca="1">IFERROR(__xludf.DUMMYFUNCTION("""COMPUTED_VALUE"""),"Dr, Daniel Alberto Finol Toro")</f>
        <v>Dr, Daniel Alberto Finol Toro</v>
      </c>
      <c r="P428" s="6" t="str">
        <f ca="1">IFERROR(__xludf.DUMMYFUNCTION("""COMPUTED_VALUE"""),"Ramon Ferrando(Valencia)")</f>
        <v>Ramon Ferrando(Valencia)</v>
      </c>
    </row>
    <row r="429" spans="2:16">
      <c r="B429" s="33">
        <f ca="1">IFERROR(__xludf.DUMMYFUNCTION("""COMPUTED_VALUE"""),2026)</f>
        <v>2026</v>
      </c>
      <c r="C429" s="15">
        <f ca="1">IFERROR(__xludf.DUMMYFUNCTION("""COMPUTED_VALUE"""),3)</f>
        <v>3</v>
      </c>
      <c r="D429" s="6" t="str">
        <f ca="1">IFERROR(__xludf.DUMMYFUNCTION("""COMPUTED_VALUE"""),"NO")</f>
        <v>NO</v>
      </c>
      <c r="E429" s="6" t="str">
        <f ca="1">IFERROR(__xludf.DUMMYFUNCTION("""COMPUTED_VALUE"""),"Santiago de Compostela")</f>
        <v>Santiago de Compostela</v>
      </c>
      <c r="F429" s="16">
        <f ca="1">IFERROR(__xludf.DUMMYFUNCTION("""COMPUTED_VALUE"""),46107)</f>
        <v>46107</v>
      </c>
      <c r="G429" s="16">
        <f ca="1">IFERROR(__xludf.DUMMYFUNCTION("""COMPUTED_VALUE"""),46086)</f>
        <v>46086</v>
      </c>
      <c r="H429" s="6" t="str">
        <f ca="1">IFERROR(__xludf.DUMMYFUNCTION("""COMPUTED_VALUE"""),"Santiago")</f>
        <v>Santiago</v>
      </c>
      <c r="I429" s="6" t="str">
        <f ca="1">IFERROR(__xludf.DUMMYFUNCTION("""COMPUTED_VALUE"""),"C20263510319025766")</f>
        <v>C20263510319025766</v>
      </c>
      <c r="J429" s="6" t="str">
        <f ca="1">IFERROR(__xludf.DUMMYFUNCTION("""COMPUTED_VALUE"""),"MARI CARMEN GARCIA GERPE")</f>
        <v>MARI CARMEN GARCIA GERPE</v>
      </c>
      <c r="K429" s="15">
        <f ca="1">IFERROR(__xludf.DUMMYFUNCTION("""COMPUTED_VALUE"""),2)</f>
        <v>2</v>
      </c>
      <c r="L429" s="21">
        <f ca="1">IFERROR(__xludf.DUMMYFUNCTION("""COMPUTED_VALUE"""),2918.18)</f>
        <v>2918.18</v>
      </c>
      <c r="M429" s="6" t="str">
        <f ca="1">IFERROR(__xludf.DUMMYFUNCTION("""COMPUTED_VALUE"""),"03 ORL")</f>
        <v>03 ORL</v>
      </c>
      <c r="N429" s="6" t="str">
        <f ca="1">IFERROR(__xludf.DUMMYFUNCTION("""COMPUTED_VALUE"""),"06 ORL")</f>
        <v>06 ORL</v>
      </c>
      <c r="O429" s="6" t="str">
        <f ca="1">IFERROR(__xludf.DUMMYFUNCTION("""COMPUTED_VALUE"""),"Dr, Gabriel Martínez Capoccini")</f>
        <v>Dr, Gabriel Martínez Capoccini</v>
      </c>
      <c r="P429" s="6" t="str">
        <f ca="1">IFERROR(__xludf.DUMMYFUNCTION("""COMPUTED_VALUE"""),"KiKo Ortega (Galicia)")</f>
        <v>KiKo Ortega (Galicia)</v>
      </c>
    </row>
    <row r="430" spans="2:16">
      <c r="B430" s="33">
        <f ca="1">IFERROR(__xludf.DUMMYFUNCTION("""COMPUTED_VALUE"""),2026)</f>
        <v>2026</v>
      </c>
      <c r="C430" s="15">
        <f ca="1">IFERROR(__xludf.DUMMYFUNCTION("""COMPUTED_VALUE"""),3)</f>
        <v>3</v>
      </c>
      <c r="D430" s="6" t="str">
        <f ca="1">IFERROR(__xludf.DUMMYFUNCTION("""COMPUTED_VALUE"""),"NO")</f>
        <v>NO</v>
      </c>
      <c r="E430" s="6" t="str">
        <f ca="1">IFERROR(__xludf.DUMMYFUNCTION("""COMPUTED_VALUE"""),"El Albir (Benidorm)")</f>
        <v>El Albir (Benidorm)</v>
      </c>
      <c r="F430" s="16">
        <f ca="1">IFERROR(__xludf.DUMMYFUNCTION("""COMPUTED_VALUE"""),46107)</f>
        <v>46107</v>
      </c>
      <c r="G430" s="16">
        <f ca="1">IFERROR(__xludf.DUMMYFUNCTION("""COMPUTED_VALUE"""),46043)</f>
        <v>46043</v>
      </c>
      <c r="H430" s="6" t="str">
        <f ca="1">IFERROR(__xludf.DUMMYFUNCTION("""COMPUTED_VALUE"""),"El Albir (Benidorm)")</f>
        <v>El Albir (Benidorm)</v>
      </c>
      <c r="I430" s="6" t="str">
        <f ca="1">IFERROR(__xludf.DUMMYFUNCTION("""COMPUTED_VALUE"""),"C202612111562968731")</f>
        <v>C202612111562968731</v>
      </c>
      <c r="J430" s="6" t="str">
        <f ca="1">IFERROR(__xludf.DUMMYFUNCTION("""COMPUTED_VALUE"""),"ANTONIO ANTON PEINADO")</f>
        <v>ANTONIO ANTON PEINADO</v>
      </c>
      <c r="K430" s="15">
        <f ca="1">IFERROR(__xludf.DUMMYFUNCTION("""COMPUTED_VALUE"""),2)</f>
        <v>2</v>
      </c>
      <c r="L430" s="21">
        <f ca="1">IFERROR(__xludf.DUMMYFUNCTION("""COMPUTED_VALUE"""),3631.82)</f>
        <v>3631.82</v>
      </c>
      <c r="M430" s="6" t="str">
        <f ca="1">IFERROR(__xludf.DUMMYFUNCTION("""COMPUTED_VALUE"""),"03 ORL")</f>
        <v>03 ORL</v>
      </c>
      <c r="N430" s="6" t="str">
        <f ca="1">IFERROR(__xludf.DUMMYFUNCTION("""COMPUTED_VALUE"""),"06 ORL")</f>
        <v>06 ORL</v>
      </c>
      <c r="O430" s="6" t="str">
        <f ca="1">IFERROR(__xludf.DUMMYFUNCTION("""COMPUTED_VALUE"""),"Dra, Isabel Polo Tomás")</f>
        <v>Dra, Isabel Polo Tomás</v>
      </c>
      <c r="P430" s="6" t="str">
        <f ca="1">IFERROR(__xludf.DUMMYFUNCTION("""COMPUTED_VALUE"""),"Ramon Ferrando(Valencia)")</f>
        <v>Ramon Ferrando(Valencia)</v>
      </c>
    </row>
    <row r="431" spans="2:16">
      <c r="B431" s="33">
        <f ca="1">IFERROR(__xludf.DUMMYFUNCTION("""COMPUTED_VALUE"""),2026)</f>
        <v>2026</v>
      </c>
      <c r="C431" s="15">
        <f ca="1">IFERROR(__xludf.DUMMYFUNCTION("""COMPUTED_VALUE"""),3)</f>
        <v>3</v>
      </c>
      <c r="D431" s="6" t="str">
        <f ca="1">IFERROR(__xludf.DUMMYFUNCTION("""COMPUTED_VALUE"""),"NO")</f>
        <v>NO</v>
      </c>
      <c r="E431" s="6" t="str">
        <f ca="1">IFERROR(__xludf.DUMMYFUNCTION("""COMPUTED_VALUE"""),"Madrid- Canillas")</f>
        <v>Madrid- Canillas</v>
      </c>
      <c r="F431" s="16">
        <f ca="1">IFERROR(__xludf.DUMMYFUNCTION("""COMPUTED_VALUE"""),46107)</f>
        <v>46107</v>
      </c>
      <c r="G431" s="16">
        <f ca="1">IFERROR(__xludf.DUMMYFUNCTION("""COMPUTED_VALUE"""),46084)</f>
        <v>46084</v>
      </c>
      <c r="H431" s="6" t="str">
        <f ca="1">IFERROR(__xludf.DUMMYFUNCTION("""COMPUTED_VALUE"""),"Canillas")</f>
        <v>Canillas</v>
      </c>
      <c r="I431" s="6" t="str">
        <f ca="1">IFERROR(__xludf.DUMMYFUNCTION("""COMPUTED_VALUE"""),"C20263391426799994")</f>
        <v>C20263391426799994</v>
      </c>
      <c r="J431" s="6" t="str">
        <f ca="1">IFERROR(__xludf.DUMMYFUNCTION("""COMPUTED_VALUE"""),"MARIA ELENA RODRIGUEZ ALULEMA")</f>
        <v>MARIA ELENA RODRIGUEZ ALULEMA</v>
      </c>
      <c r="K431" s="15">
        <f ca="1">IFERROR(__xludf.DUMMYFUNCTION("""COMPUTED_VALUE"""),2)</f>
        <v>2</v>
      </c>
      <c r="L431" s="21">
        <f ca="1">IFERROR(__xludf.DUMMYFUNCTION("""COMPUTED_VALUE"""),2718.18)</f>
        <v>2718.18</v>
      </c>
      <c r="M431" s="6" t="str">
        <f ca="1">IFERROR(__xludf.DUMMYFUNCTION("""COMPUTED_VALUE"""),"03 ORL")</f>
        <v>03 ORL</v>
      </c>
      <c r="N431" s="6" t="str">
        <f ca="1">IFERROR(__xludf.DUMMYFUNCTION("""COMPUTED_VALUE"""),"06 ORL")</f>
        <v>06 ORL</v>
      </c>
      <c r="O431" s="6" t="str">
        <f ca="1">IFERROR(__xludf.DUMMYFUNCTION("""COMPUTED_VALUE"""),"No recuerda ORL")</f>
        <v>No recuerda ORL</v>
      </c>
      <c r="P431" s="6" t="str">
        <f ca="1">IFERROR(__xludf.DUMMYFUNCTION("""COMPUTED_VALUE"""),"Maika Blázquez (Madrid)")</f>
        <v>Maika Blázquez (Madrid)</v>
      </c>
    </row>
    <row r="432" spans="2:16">
      <c r="B432" s="33">
        <f ca="1">IFERROR(__xludf.DUMMYFUNCTION("""COMPUTED_VALUE"""),2026)</f>
        <v>2026</v>
      </c>
      <c r="C432" s="15">
        <f ca="1">IFERROR(__xludf.DUMMYFUNCTION("""COMPUTED_VALUE"""),3)</f>
        <v>3</v>
      </c>
      <c r="D432" s="6" t="str">
        <f ca="1">IFERROR(__xludf.DUMMYFUNCTION("""COMPUTED_VALUE"""),"NO")</f>
        <v>NO</v>
      </c>
      <c r="E432" s="6" t="str">
        <f ca="1">IFERROR(__xludf.DUMMYFUNCTION("""COMPUTED_VALUE"""),"Getafe")</f>
        <v>Getafe</v>
      </c>
      <c r="F432" s="16">
        <f ca="1">IFERROR(__xludf.DUMMYFUNCTION("""COMPUTED_VALUE"""),46107)</f>
        <v>46107</v>
      </c>
      <c r="G432" s="16">
        <f ca="1">IFERROR(__xludf.DUMMYFUNCTION("""COMPUTED_VALUE"""),46076)</f>
        <v>46076</v>
      </c>
      <c r="H432" s="6" t="str">
        <f ca="1">IFERROR(__xludf.DUMMYFUNCTION("""COMPUTED_VALUE"""),"Getafe")</f>
        <v>Getafe</v>
      </c>
      <c r="I432" s="6" t="str">
        <f ca="1">IFERROR(__xludf.DUMMYFUNCTION("""COMPUTED_VALUE"""),"C202622311526574591")</f>
        <v>C202622311526574591</v>
      </c>
      <c r="J432" s="6" t="str">
        <f ca="1">IFERROR(__xludf.DUMMYFUNCTION("""COMPUTED_VALUE"""),"MAGDALENA  LOPEZ MORENA")</f>
        <v>MAGDALENA  LOPEZ MORENA</v>
      </c>
      <c r="K432" s="15">
        <f ca="1">IFERROR(__xludf.DUMMYFUNCTION("""COMPUTED_VALUE"""),2)</f>
        <v>2</v>
      </c>
      <c r="L432" s="21">
        <f ca="1">IFERROR(__xludf.DUMMYFUNCTION("""COMPUTED_VALUE"""),2718.19)</f>
        <v>2718.19</v>
      </c>
      <c r="M432" s="6" t="str">
        <f ca="1">IFERROR(__xludf.DUMMYFUNCTION("""COMPUTED_VALUE"""),"03 ORL")</f>
        <v>03 ORL</v>
      </c>
      <c r="N432" s="6" t="str">
        <f ca="1">IFERROR(__xludf.DUMMYFUNCTION("""COMPUTED_VALUE"""),"06 ORL")</f>
        <v>06 ORL</v>
      </c>
      <c r="O432" s="6" t="str">
        <f ca="1">IFERROR(__xludf.DUMMYFUNCTION("""COMPUTED_VALUE"""),"Dra, Cristina Herrero Fernández")</f>
        <v>Dra, Cristina Herrero Fernández</v>
      </c>
      <c r="P432" s="6" t="str">
        <f ca="1">IFERROR(__xludf.DUMMYFUNCTION("""COMPUTED_VALUE"""),"Maika Blázquez (Madrid)")</f>
        <v>Maika Blázquez (Madrid)</v>
      </c>
    </row>
    <row r="433" spans="2:16">
      <c r="B433" s="33">
        <f ca="1">IFERROR(__xludf.DUMMYFUNCTION("""COMPUTED_VALUE"""),2026)</f>
        <v>2026</v>
      </c>
      <c r="C433" s="15">
        <f ca="1">IFERROR(__xludf.DUMMYFUNCTION("""COMPUTED_VALUE"""),3)</f>
        <v>3</v>
      </c>
      <c r="D433" s="6" t="str">
        <f ca="1">IFERROR(__xludf.DUMMYFUNCTION("""COMPUTED_VALUE"""),"NO")</f>
        <v>NO</v>
      </c>
      <c r="E433" s="6" t="str">
        <f ca="1">IFERROR(__xludf.DUMMYFUNCTION("""COMPUTED_VALUE"""),"Valencia- Cádiz")</f>
        <v>Valencia- Cádiz</v>
      </c>
      <c r="F433" s="16">
        <f ca="1">IFERROR(__xludf.DUMMYFUNCTION("""COMPUTED_VALUE"""),46107)</f>
        <v>46107</v>
      </c>
      <c r="G433" s="16">
        <f ca="1">IFERROR(__xludf.DUMMYFUNCTION("""COMPUTED_VALUE"""),46030)</f>
        <v>46030</v>
      </c>
      <c r="H433" s="6" t="str">
        <f ca="1">IFERROR(__xludf.DUMMYFUNCTION("""COMPUTED_VALUE"""),"Valencia- Cádiz")</f>
        <v>Valencia- Cádiz</v>
      </c>
      <c r="I433" s="6" t="str">
        <f ca="1">IFERROR(__xludf.DUMMYFUNCTION("""COMPUTED_VALUE"""),"C202618113411407364")</f>
        <v>C202618113411407364</v>
      </c>
      <c r="J433" s="6" t="str">
        <f ca="1">IFERROR(__xludf.DUMMYFUNCTION("""COMPUTED_VALUE"""),"FRANCISCO JESÚS DE FRÍAS LUJÁN")</f>
        <v>FRANCISCO JESÚS DE FRÍAS LUJÁN</v>
      </c>
      <c r="K433" s="15">
        <f ca="1">IFERROR(__xludf.DUMMYFUNCTION("""COMPUTED_VALUE"""),1)</f>
        <v>1</v>
      </c>
      <c r="L433" s="21">
        <f ca="1">IFERROR(__xludf.DUMMYFUNCTION("""COMPUTED_VALUE"""),2481.82)</f>
        <v>2481.8200000000002</v>
      </c>
      <c r="M433" s="6" t="str">
        <f ca="1">IFERROR(__xludf.DUMMYFUNCTION("""COMPUTED_VALUE"""),"03 ORL")</f>
        <v>03 ORL</v>
      </c>
      <c r="N433" s="6" t="str">
        <f ca="1">IFERROR(__xludf.DUMMYFUNCTION("""COMPUTED_VALUE"""),"06 ORL")</f>
        <v>06 ORL</v>
      </c>
      <c r="O433" s="6" t="str">
        <f ca="1">IFERROR(__xludf.DUMMYFUNCTION("""COMPUTED_VALUE"""),"Dr, Martín Eduardo Marcano Acuña")</f>
        <v>Dr, Martín Eduardo Marcano Acuña</v>
      </c>
      <c r="P433" s="6" t="str">
        <f ca="1">IFERROR(__xludf.DUMMYFUNCTION("""COMPUTED_VALUE"""),"Ramon Ferrando(Valencia)")</f>
        <v>Ramon Ferrando(Valencia)</v>
      </c>
    </row>
    <row r="434" spans="2:16">
      <c r="B434" s="33">
        <f ca="1">IFERROR(__xludf.DUMMYFUNCTION("""COMPUTED_VALUE"""),2026)</f>
        <v>2026</v>
      </c>
      <c r="C434" s="15">
        <f ca="1">IFERROR(__xludf.DUMMYFUNCTION("""COMPUTED_VALUE"""),3)</f>
        <v>3</v>
      </c>
      <c r="D434" s="6" t="str">
        <f ca="1">IFERROR(__xludf.DUMMYFUNCTION("""COMPUTED_VALUE"""),"NO")</f>
        <v>NO</v>
      </c>
      <c r="E434" s="6" t="str">
        <f ca="1">IFERROR(__xludf.DUMMYFUNCTION("""COMPUTED_VALUE"""),"Leganés")</f>
        <v>Leganés</v>
      </c>
      <c r="F434" s="16">
        <f ca="1">IFERROR(__xludf.DUMMYFUNCTION("""COMPUTED_VALUE"""),46107)</f>
        <v>46107</v>
      </c>
      <c r="G434" s="16">
        <f ca="1">IFERROR(__xludf.DUMMYFUNCTION("""COMPUTED_VALUE"""),46077)</f>
        <v>46077</v>
      </c>
      <c r="H434" s="6" t="str">
        <f ca="1">IFERROR(__xludf.DUMMYFUNCTION("""COMPUTED_VALUE"""),"Leganés")</f>
        <v>Leganés</v>
      </c>
      <c r="I434" s="6" t="str">
        <f ca="1">IFERROR(__xludf.DUMMYFUNCTION("""COMPUTED_VALUE"""),"C202622411404039012")</f>
        <v>C202622411404039012</v>
      </c>
      <c r="J434" s="6" t="str">
        <f ca="1">IFERROR(__xludf.DUMMYFUNCTION("""COMPUTED_VALUE"""),"JESUS ANGEL ORTIZ GONZALEZ")</f>
        <v>JESUS ANGEL ORTIZ GONZALEZ</v>
      </c>
      <c r="K434" s="15">
        <f ca="1">IFERROR(__xludf.DUMMYFUNCTION("""COMPUTED_VALUE"""),2)</f>
        <v>2</v>
      </c>
      <c r="L434" s="21">
        <f ca="1">IFERROR(__xludf.DUMMYFUNCTION("""COMPUTED_VALUE"""),4136.36)</f>
        <v>4136.3599999999997</v>
      </c>
      <c r="M434" s="6" t="str">
        <f ca="1">IFERROR(__xludf.DUMMYFUNCTION("""COMPUTED_VALUE"""),"03 ORL")</f>
        <v>03 ORL</v>
      </c>
      <c r="N434" s="6" t="str">
        <f ca="1">IFERROR(__xludf.DUMMYFUNCTION("""COMPUTED_VALUE"""),"06 ORL")</f>
        <v>06 ORL</v>
      </c>
      <c r="O434" s="6" t="str">
        <f ca="1">IFERROR(__xludf.DUMMYFUNCTION("""COMPUTED_VALUE"""),"Dr, Jesús Atalaya Díaz")</f>
        <v>Dr, Jesús Atalaya Díaz</v>
      </c>
      <c r="P434" s="6" t="str">
        <f ca="1">IFERROR(__xludf.DUMMYFUNCTION("""COMPUTED_VALUE"""),"Maika Blázquez (Madrid)")</f>
        <v>Maika Blázquez (Madrid)</v>
      </c>
    </row>
    <row r="435" spans="2:16">
      <c r="B435" s="33">
        <f ca="1">IFERROR(__xludf.DUMMYFUNCTION("""COMPUTED_VALUE"""),2026)</f>
        <v>2026</v>
      </c>
      <c r="C435" s="15">
        <f ca="1">IFERROR(__xludf.DUMMYFUNCTION("""COMPUTED_VALUE"""),3)</f>
        <v>3</v>
      </c>
      <c r="D435" s="6" t="str">
        <f ca="1">IFERROR(__xludf.DUMMYFUNCTION("""COMPUTED_VALUE"""),"NO")</f>
        <v>NO</v>
      </c>
      <c r="E435" s="6" t="str">
        <f ca="1">IFERROR(__xludf.DUMMYFUNCTION("""COMPUTED_VALUE"""),"Madrid- Galileo")</f>
        <v>Madrid- Galileo</v>
      </c>
      <c r="F435" s="16">
        <f ca="1">IFERROR(__xludf.DUMMYFUNCTION("""COMPUTED_VALUE"""),46107)</f>
        <v>46107</v>
      </c>
      <c r="G435" s="16">
        <f ca="1">IFERROR(__xludf.DUMMYFUNCTION("""COMPUTED_VALUE"""),46093)</f>
        <v>46093</v>
      </c>
      <c r="H435" s="6" t="str">
        <f ca="1">IFERROR(__xludf.DUMMYFUNCTION("""COMPUTED_VALUE"""),"Moncloa")</f>
        <v>Moncloa</v>
      </c>
      <c r="I435" s="6" t="str">
        <f ca="1">IFERROR(__xludf.DUMMYFUNCTION("""COMPUTED_VALUE"""),"C202631217145355254")</f>
        <v>C202631217145355254</v>
      </c>
      <c r="J435" s="6" t="str">
        <f ca="1">IFERROR(__xludf.DUMMYFUNCTION("""COMPUTED_VALUE"""),"ANTONIO PULDAIN BENEYTEZ")</f>
        <v>ANTONIO PULDAIN BENEYTEZ</v>
      </c>
      <c r="K435" s="15">
        <f ca="1">IFERROR(__xludf.DUMMYFUNCTION("""COMPUTED_VALUE"""),2)</f>
        <v>2</v>
      </c>
      <c r="L435" s="21">
        <f ca="1">IFERROR(__xludf.DUMMYFUNCTION("""COMPUTED_VALUE"""),2582.27)</f>
        <v>2582.27</v>
      </c>
      <c r="M435" s="6" t="str">
        <f ca="1">IFERROR(__xludf.DUMMYFUNCTION("""COMPUTED_VALUE"""),"03 ORL")</f>
        <v>03 ORL</v>
      </c>
      <c r="N435" s="6" t="str">
        <f ca="1">IFERROR(__xludf.DUMMYFUNCTION("""COMPUTED_VALUE"""),"06 ORL")</f>
        <v>06 ORL</v>
      </c>
      <c r="O435" s="6" t="str">
        <f ca="1">IFERROR(__xludf.DUMMYFUNCTION("""COMPUTED_VALUE"""),"Dra, Sara Zaldivar Saiz Maza")</f>
        <v>Dra, Sara Zaldivar Saiz Maza</v>
      </c>
      <c r="P435" s="6" t="str">
        <f ca="1">IFERROR(__xludf.DUMMYFUNCTION("""COMPUTED_VALUE"""),"Maika Blázquez (Madrid)")</f>
        <v>Maika Blázquez (Madrid)</v>
      </c>
    </row>
    <row r="436" spans="2:16">
      <c r="B436" s="33">
        <f ca="1">IFERROR(__xludf.DUMMYFUNCTION("""COMPUTED_VALUE"""),2026)</f>
        <v>2026</v>
      </c>
      <c r="C436" s="15">
        <f ca="1">IFERROR(__xludf.DUMMYFUNCTION("""COMPUTED_VALUE"""),3)</f>
        <v>3</v>
      </c>
      <c r="D436" s="6" t="str">
        <f ca="1">IFERROR(__xludf.DUMMYFUNCTION("""COMPUTED_VALUE"""),"NO")</f>
        <v>NO</v>
      </c>
      <c r="E436" s="6" t="str">
        <f ca="1">IFERROR(__xludf.DUMMYFUNCTION("""COMPUTED_VALUE"""),"Fuenlabrada")</f>
        <v>Fuenlabrada</v>
      </c>
      <c r="F436" s="16">
        <f ca="1">IFERROR(__xludf.DUMMYFUNCTION("""COMPUTED_VALUE"""),46107)</f>
        <v>46107</v>
      </c>
      <c r="G436" s="16">
        <f ca="1">IFERROR(__xludf.DUMMYFUNCTION("""COMPUTED_VALUE"""),46071)</f>
        <v>46071</v>
      </c>
      <c r="H436" s="6" t="str">
        <f ca="1">IFERROR(__xludf.DUMMYFUNCTION("""COMPUTED_VALUE"""),"Fuenlabrada")</f>
        <v>Fuenlabrada</v>
      </c>
      <c r="I436" s="6" t="str">
        <f ca="1">IFERROR(__xludf.DUMMYFUNCTION("""COMPUTED_VALUE"""),"C202621885342242482")</f>
        <v>C202621885342242482</v>
      </c>
      <c r="J436" s="6" t="str">
        <f ca="1">IFERROR(__xludf.DUMMYFUNCTION("""COMPUTED_VALUE"""),"JUANA CHICA PECHARROMAN")</f>
        <v>JUANA CHICA PECHARROMAN</v>
      </c>
      <c r="K436" s="15">
        <f ca="1">IFERROR(__xludf.DUMMYFUNCTION("""COMPUTED_VALUE"""),2)</f>
        <v>2</v>
      </c>
      <c r="L436" s="21">
        <f ca="1">IFERROR(__xludf.DUMMYFUNCTION("""COMPUTED_VALUE"""),3631.82)</f>
        <v>3631.82</v>
      </c>
      <c r="M436" s="6" t="str">
        <f ca="1">IFERROR(__xludf.DUMMYFUNCTION("""COMPUTED_VALUE"""),"03 ORL")</f>
        <v>03 ORL</v>
      </c>
      <c r="N436" s="6" t="str">
        <f ca="1">IFERROR(__xludf.DUMMYFUNCTION("""COMPUTED_VALUE"""),"06 ORL")</f>
        <v>06 ORL</v>
      </c>
      <c r="O436" s="6" t="str">
        <f ca="1">IFERROR(__xludf.DUMMYFUNCTION("""COMPUTED_VALUE"""),"Dra, Paloma Martín-Aragón Martín")</f>
        <v>Dra, Paloma Martín-Aragón Martín</v>
      </c>
      <c r="P436" s="6" t="str">
        <f ca="1">IFERROR(__xludf.DUMMYFUNCTION("""COMPUTED_VALUE"""),"Maika Blázquez (Madrid)")</f>
        <v>Maika Blázquez (Madrid)</v>
      </c>
    </row>
    <row r="437" spans="2:16">
      <c r="B437" s="33">
        <f ca="1">IFERROR(__xludf.DUMMYFUNCTION("""COMPUTED_VALUE"""),2026)</f>
        <v>2026</v>
      </c>
      <c r="C437" s="15">
        <f ca="1">IFERROR(__xludf.DUMMYFUNCTION("""COMPUTED_VALUE"""),3)</f>
        <v>3</v>
      </c>
      <c r="D437" s="6" t="str">
        <f ca="1">IFERROR(__xludf.DUMMYFUNCTION("""COMPUTED_VALUE"""),"NO")</f>
        <v>NO</v>
      </c>
      <c r="E437" s="6" t="str">
        <f ca="1">IFERROR(__xludf.DUMMYFUNCTION("""COMPUTED_VALUE"""),"Alicante")</f>
        <v>Alicante</v>
      </c>
      <c r="F437" s="16">
        <f ca="1">IFERROR(__xludf.DUMMYFUNCTION("""COMPUTED_VALUE"""),46107)</f>
        <v>46107</v>
      </c>
      <c r="G437" s="16">
        <f ca="1">IFERROR(__xludf.DUMMYFUNCTION("""COMPUTED_VALUE"""),46079)</f>
        <v>46079</v>
      </c>
      <c r="H437" s="6" t="str">
        <f ca="1">IFERROR(__xludf.DUMMYFUNCTION("""COMPUTED_VALUE"""),"Alicante")</f>
        <v>Alicante</v>
      </c>
      <c r="I437" s="6" t="str">
        <f ca="1">IFERROR(__xludf.DUMMYFUNCTION("""COMPUTED_VALUE"""),"C20262269452713570")</f>
        <v>C20262269452713570</v>
      </c>
      <c r="J437" s="6" t="str">
        <f ca="1">IFERROR(__xludf.DUMMYFUNCTION("""COMPUTED_VALUE"""),"ASUNCION PASTOR TORREGROSA")</f>
        <v>ASUNCION PASTOR TORREGROSA</v>
      </c>
      <c r="K437" s="15">
        <f ca="1">IFERROR(__xludf.DUMMYFUNCTION("""COMPUTED_VALUE"""),2)</f>
        <v>2</v>
      </c>
      <c r="L437" s="21">
        <f ca="1">IFERROR(__xludf.DUMMYFUNCTION("""COMPUTED_VALUE"""),3631.82)</f>
        <v>3631.82</v>
      </c>
      <c r="M437" s="6" t="str">
        <f ca="1">IFERROR(__xludf.DUMMYFUNCTION("""COMPUTED_VALUE"""),"03 ORL")</f>
        <v>03 ORL</v>
      </c>
      <c r="N437" s="6" t="str">
        <f ca="1">IFERROR(__xludf.DUMMYFUNCTION("""COMPUTED_VALUE"""),"06 ORL")</f>
        <v>06 ORL</v>
      </c>
      <c r="O437" s="6" t="str">
        <f ca="1">IFERROR(__xludf.DUMMYFUNCTION("""COMPUTED_VALUE"""),"Dra, Maria Rosario Ferrandiz García")</f>
        <v>Dra, Maria Rosario Ferrandiz García</v>
      </c>
      <c r="P437" s="6" t="str">
        <f ca="1">IFERROR(__xludf.DUMMYFUNCTION("""COMPUTED_VALUE"""),"Iván Sánchez (Levante y Albacete)")</f>
        <v>Iván Sánchez (Levante y Albacete)</v>
      </c>
    </row>
    <row r="438" spans="2:16">
      <c r="B438" s="33">
        <f ca="1">IFERROR(__xludf.DUMMYFUNCTION("""COMPUTED_VALUE"""),2026)</f>
        <v>2026</v>
      </c>
      <c r="C438" s="15">
        <f ca="1">IFERROR(__xludf.DUMMYFUNCTION("""COMPUTED_VALUE"""),3)</f>
        <v>3</v>
      </c>
      <c r="D438" s="6" t="str">
        <f ca="1">IFERROR(__xludf.DUMMYFUNCTION("""COMPUTED_VALUE"""),"NO")</f>
        <v>NO</v>
      </c>
      <c r="E438" s="6" t="str">
        <f ca="1">IFERROR(__xludf.DUMMYFUNCTION("""COMPUTED_VALUE"""),"Logroño")</f>
        <v>Logroño</v>
      </c>
      <c r="F438" s="16">
        <f ca="1">IFERROR(__xludf.DUMMYFUNCTION("""COMPUTED_VALUE"""),46107)</f>
        <v>46107</v>
      </c>
      <c r="G438" s="16">
        <f ca="1">IFERROR(__xludf.DUMMYFUNCTION("""COMPUTED_VALUE"""),46063)</f>
        <v>46063</v>
      </c>
      <c r="H438" s="6" t="str">
        <f ca="1">IFERROR(__xludf.DUMMYFUNCTION("""COMPUTED_VALUE"""),"Logroño")</f>
        <v>Logroño</v>
      </c>
      <c r="I438" s="6" t="str">
        <f ca="1">IFERROR(__xludf.DUMMYFUNCTION("""COMPUTED_VALUE"""),"C202621012291805056")</f>
        <v>C202621012291805056</v>
      </c>
      <c r="J438" s="6" t="str">
        <f ca="1">IFERROR(__xludf.DUMMYFUNCTION("""COMPUTED_VALUE"""),"ANGEL VICTORIANO GOMEZ")</f>
        <v>ANGEL VICTORIANO GOMEZ</v>
      </c>
      <c r="K438" s="15">
        <f ca="1">IFERROR(__xludf.DUMMYFUNCTION("""COMPUTED_VALUE"""),2)</f>
        <v>2</v>
      </c>
      <c r="L438" s="21">
        <f ca="1">IFERROR(__xludf.DUMMYFUNCTION("""COMPUTED_VALUE"""),3631.82)</f>
        <v>3631.82</v>
      </c>
      <c r="M438" s="6" t="str">
        <f ca="1">IFERROR(__xludf.DUMMYFUNCTION("""COMPUTED_VALUE"""),"03 ORL")</f>
        <v>03 ORL</v>
      </c>
      <c r="N438" s="6" t="str">
        <f ca="1">IFERROR(__xludf.DUMMYFUNCTION("""COMPUTED_VALUE"""),"06 ORL")</f>
        <v>06 ORL</v>
      </c>
      <c r="O438" s="6" t="str">
        <f ca="1">IFERROR(__xludf.DUMMYFUNCTION("""COMPUTED_VALUE"""),"Dr, Fernando Salazar Barcelona")</f>
        <v>Dr, Fernando Salazar Barcelona</v>
      </c>
      <c r="P438" s="6" t="str">
        <f ca="1">IFERROR(__xludf.DUMMYFUNCTION("""COMPUTED_VALUE"""),"Lisandro Russian (Madrid, Cáceres, Toledo, Talavera y Logroño)")</f>
        <v>Lisandro Russian (Madrid, Cáceres, Toledo, Talavera y Logroño)</v>
      </c>
    </row>
    <row r="439" spans="2:16">
      <c r="B439" s="33">
        <f ca="1">IFERROR(__xludf.DUMMYFUNCTION("""COMPUTED_VALUE"""),2026)</f>
        <v>2026</v>
      </c>
      <c r="C439" s="15">
        <f ca="1">IFERROR(__xludf.DUMMYFUNCTION("""COMPUTED_VALUE"""),3)</f>
        <v>3</v>
      </c>
      <c r="D439" s="6" t="str">
        <f ca="1">IFERROR(__xludf.DUMMYFUNCTION("""COMPUTED_VALUE"""),"NO")</f>
        <v>NO</v>
      </c>
      <c r="E439" s="6" t="str">
        <f ca="1">IFERROR(__xludf.DUMMYFUNCTION("""COMPUTED_VALUE"""),"Jerez de la Frontera")</f>
        <v>Jerez de la Frontera</v>
      </c>
      <c r="F439" s="16">
        <f ca="1">IFERROR(__xludf.DUMMYFUNCTION("""COMPUTED_VALUE"""),46107)</f>
        <v>46107</v>
      </c>
      <c r="G439" s="16">
        <f ca="1">IFERROR(__xludf.DUMMYFUNCTION("""COMPUTED_VALUE"""),46072)</f>
        <v>46072</v>
      </c>
      <c r="H439" s="6" t="str">
        <f ca="1">IFERROR(__xludf.DUMMYFUNCTION("""COMPUTED_VALUE"""),"Jerez")</f>
        <v>Jerez</v>
      </c>
      <c r="I439" s="6" t="str">
        <f ca="1">IFERROR(__xludf.DUMMYFUNCTION("""COMPUTED_VALUE"""),"C202621912583028008")</f>
        <v>C202621912583028008</v>
      </c>
      <c r="J439" s="6" t="str">
        <f ca="1">IFERROR(__xludf.DUMMYFUNCTION("""COMPUTED_VALUE"""),"JERONIMA MARISCAL RAMIREZ")</f>
        <v>JERONIMA MARISCAL RAMIREZ</v>
      </c>
      <c r="K439" s="15">
        <f ca="1">IFERROR(__xludf.DUMMYFUNCTION("""COMPUTED_VALUE"""),2)</f>
        <v>2</v>
      </c>
      <c r="L439" s="21">
        <f ca="1">IFERROR(__xludf.DUMMYFUNCTION("""COMPUTED_VALUE"""),2918.18)</f>
        <v>2918.18</v>
      </c>
      <c r="M439" s="6" t="str">
        <f ca="1">IFERROR(__xludf.DUMMYFUNCTION("""COMPUTED_VALUE"""),"03 ORL")</f>
        <v>03 ORL</v>
      </c>
      <c r="N439" s="6" t="str">
        <f ca="1">IFERROR(__xludf.DUMMYFUNCTION("""COMPUTED_VALUE"""),"06 ORL")</f>
        <v>06 ORL</v>
      </c>
      <c r="O439" s="6" t="str">
        <f ca="1">IFERROR(__xludf.DUMMYFUNCTION("""COMPUTED_VALUE"""),"Dr, Miguel Ángel Fernández Andrade")</f>
        <v>Dr, Miguel Ángel Fernández Andrade</v>
      </c>
      <c r="P439" s="6" t="str">
        <f ca="1">IFERROR(__xludf.DUMMYFUNCTION("""COMPUTED_VALUE"""),"Luis Alberto Rodríguez (Andalucía y Badajoz)")</f>
        <v>Luis Alberto Rodríguez (Andalucía y Badajoz)</v>
      </c>
    </row>
    <row r="440" spans="2:16">
      <c r="B440" s="33">
        <f ca="1">IFERROR(__xludf.DUMMYFUNCTION("""COMPUTED_VALUE"""),2026)</f>
        <v>2026</v>
      </c>
      <c r="C440" s="15">
        <f ca="1">IFERROR(__xludf.DUMMYFUNCTION("""COMPUTED_VALUE"""),3)</f>
        <v>3</v>
      </c>
      <c r="D440" s="6" t="str">
        <f ca="1">IFERROR(__xludf.DUMMYFUNCTION("""COMPUTED_VALUE"""),"NO")</f>
        <v>NO</v>
      </c>
      <c r="E440" s="6" t="str">
        <f ca="1">IFERROR(__xludf.DUMMYFUNCTION("""COMPUTED_VALUE"""),"Madrid- Canillas")</f>
        <v>Madrid- Canillas</v>
      </c>
      <c r="F440" s="16">
        <f ca="1">IFERROR(__xludf.DUMMYFUNCTION("""COMPUTED_VALUE"""),46107)</f>
        <v>46107</v>
      </c>
      <c r="G440" s="16">
        <f ca="1">IFERROR(__xludf.DUMMYFUNCTION("""COMPUTED_VALUE"""),46091)</f>
        <v>46091</v>
      </c>
      <c r="H440" s="6" t="str">
        <f ca="1">IFERROR(__xludf.DUMMYFUNCTION("""COMPUTED_VALUE"""),"Canillas")</f>
        <v>Canillas</v>
      </c>
      <c r="I440" s="6" t="str">
        <f ca="1">IFERROR(__xludf.DUMMYFUNCTION("""COMPUTED_VALUE"""),"C202631014553821814")</f>
        <v>C202631014553821814</v>
      </c>
      <c r="J440" s="6" t="str">
        <f ca="1">IFERROR(__xludf.DUMMYFUNCTION("""COMPUTED_VALUE"""),"MARIA CONCEPCION  CASARIEGO CARBALLÉS")</f>
        <v>MARIA CONCEPCION  CASARIEGO CARBALLÉS</v>
      </c>
      <c r="K440" s="15">
        <f ca="1">IFERROR(__xludf.DUMMYFUNCTION("""COMPUTED_VALUE"""),2)</f>
        <v>2</v>
      </c>
      <c r="L440" s="21">
        <f ca="1">IFERROR(__xludf.DUMMYFUNCTION("""COMPUTED_VALUE"""),2718.18)</f>
        <v>2718.18</v>
      </c>
      <c r="M440" s="6" t="str">
        <f ca="1">IFERROR(__xludf.DUMMYFUNCTION("""COMPUTED_VALUE"""),"03 ORL")</f>
        <v>03 ORL</v>
      </c>
      <c r="N440" s="6" t="str">
        <f ca="1">IFERROR(__xludf.DUMMYFUNCTION("""COMPUTED_VALUE"""),"06 ORL")</f>
        <v>06 ORL</v>
      </c>
      <c r="O440" s="6" t="str">
        <f ca="1">IFERROR(__xludf.DUMMYFUNCTION("""COMPUTED_VALUE"""),"No recuerda ORL")</f>
        <v>No recuerda ORL</v>
      </c>
      <c r="P440" s="6" t="str">
        <f ca="1">IFERROR(__xludf.DUMMYFUNCTION("""COMPUTED_VALUE"""),"Maika Blázquez (Madrid)")</f>
        <v>Maika Blázquez (Madrid)</v>
      </c>
    </row>
    <row r="441" spans="2:16">
      <c r="B441" s="33">
        <f ca="1">IFERROR(__xludf.DUMMYFUNCTION("""COMPUTED_VALUE"""),2026)</f>
        <v>2026</v>
      </c>
      <c r="C441" s="15">
        <f ca="1">IFERROR(__xludf.DUMMYFUNCTION("""COMPUTED_VALUE"""),3)</f>
        <v>3</v>
      </c>
      <c r="D441" s="6" t="str">
        <f ca="1">IFERROR(__xludf.DUMMYFUNCTION("""COMPUTED_VALUE"""),"NO")</f>
        <v>NO</v>
      </c>
      <c r="E441" s="6" t="str">
        <f ca="1">IFERROR(__xludf.DUMMYFUNCTION("""COMPUTED_VALUE"""),"Ourense")</f>
        <v>Ourense</v>
      </c>
      <c r="F441" s="16">
        <f ca="1">IFERROR(__xludf.DUMMYFUNCTION("""COMPUTED_VALUE"""),46108)</f>
        <v>46108</v>
      </c>
      <c r="G441" s="16">
        <f ca="1">IFERROR(__xludf.DUMMYFUNCTION("""COMPUTED_VALUE"""),46090)</f>
        <v>46090</v>
      </c>
      <c r="H441" s="6" t="str">
        <f ca="1">IFERROR(__xludf.DUMMYFUNCTION("""COMPUTED_VALUE"""),"Orense")</f>
        <v>Orense</v>
      </c>
      <c r="I441" s="6" t="str">
        <f ca="1">IFERROR(__xludf.DUMMYFUNCTION("""COMPUTED_VALUE"""),"C20263985829847689")</f>
        <v>C20263985829847689</v>
      </c>
      <c r="J441" s="6" t="str">
        <f ca="1">IFERROR(__xludf.DUMMYFUNCTION("""COMPUTED_VALUE"""),"JOSE CAMIÑA FERNANDEZ")</f>
        <v>JOSE CAMIÑA FERNANDEZ</v>
      </c>
      <c r="K441" s="15">
        <f ca="1">IFERROR(__xludf.DUMMYFUNCTION("""COMPUTED_VALUE"""),2)</f>
        <v>2</v>
      </c>
      <c r="L441" s="21">
        <f ca="1">IFERROR(__xludf.DUMMYFUNCTION("""COMPUTED_VALUE"""),2718.18)</f>
        <v>2718.18</v>
      </c>
      <c r="M441" s="6" t="str">
        <f ca="1">IFERROR(__xludf.DUMMYFUNCTION("""COMPUTED_VALUE"""),"03 ORL")</f>
        <v>03 ORL</v>
      </c>
      <c r="N441" s="6" t="str">
        <f ca="1">IFERROR(__xludf.DUMMYFUNCTION("""COMPUTED_VALUE"""),"06 ORL")</f>
        <v>06 ORL</v>
      </c>
      <c r="O441" s="6" t="str">
        <f ca="1">IFERROR(__xludf.DUMMYFUNCTION("""COMPUTED_VALUE"""),"No recuerda ORL")</f>
        <v>No recuerda ORL</v>
      </c>
      <c r="P441" s="6" t="str">
        <f ca="1">IFERROR(__xludf.DUMMYFUNCTION("""COMPUTED_VALUE"""),"KiKo Ortega (Galicia)")</f>
        <v>KiKo Ortega (Galicia)</v>
      </c>
    </row>
    <row r="442" spans="2:16">
      <c r="B442" s="33">
        <f ca="1">IFERROR(__xludf.DUMMYFUNCTION("""COMPUTED_VALUE"""),2026)</f>
        <v>2026</v>
      </c>
      <c r="C442" s="15">
        <f ca="1">IFERROR(__xludf.DUMMYFUNCTION("""COMPUTED_VALUE"""),3)</f>
        <v>3</v>
      </c>
      <c r="D442" s="6" t="str">
        <f ca="1">IFERROR(__xludf.DUMMYFUNCTION("""COMPUTED_VALUE"""),"NO")</f>
        <v>NO</v>
      </c>
      <c r="E442" s="6" t="str">
        <f ca="1">IFERROR(__xludf.DUMMYFUNCTION("""COMPUTED_VALUE"""),"Murcia")</f>
        <v>Murcia</v>
      </c>
      <c r="F442" s="16">
        <f ca="1">IFERROR(__xludf.DUMMYFUNCTION("""COMPUTED_VALUE"""),46108)</f>
        <v>46108</v>
      </c>
      <c r="G442" s="16">
        <f ca="1">IFERROR(__xludf.DUMMYFUNCTION("""COMPUTED_VALUE"""),46073)</f>
        <v>46073</v>
      </c>
      <c r="H442" s="6" t="str">
        <f ca="1">IFERROR(__xludf.DUMMYFUNCTION("""COMPUTED_VALUE"""),"Murcia")</f>
        <v>Murcia</v>
      </c>
      <c r="I442" s="6" t="str">
        <f ca="1">IFERROR(__xludf.DUMMYFUNCTION("""COMPUTED_VALUE"""),"C20262209496240831")</f>
        <v>C20262209496240831</v>
      </c>
      <c r="J442" s="6" t="str">
        <f ca="1">IFERROR(__xludf.DUMMYFUNCTION("""COMPUTED_VALUE"""),"FRANCISCO MARTINEZ MADRID")</f>
        <v>FRANCISCO MARTINEZ MADRID</v>
      </c>
      <c r="K442" s="15">
        <f ca="1">IFERROR(__xludf.DUMMYFUNCTION("""COMPUTED_VALUE"""),2)</f>
        <v>2</v>
      </c>
      <c r="L442" s="21">
        <f ca="1">IFERROR(__xludf.DUMMYFUNCTION("""COMPUTED_VALUE"""),4309.55)</f>
        <v>4309.55</v>
      </c>
      <c r="M442" s="6" t="str">
        <f ca="1">IFERROR(__xludf.DUMMYFUNCTION("""COMPUTED_VALUE"""),"03 ORL")</f>
        <v>03 ORL</v>
      </c>
      <c r="N442" s="6" t="str">
        <f ca="1">IFERROR(__xludf.DUMMYFUNCTION("""COMPUTED_VALUE"""),"06 ORL")</f>
        <v>06 ORL</v>
      </c>
      <c r="O442" s="6" t="str">
        <f ca="1">IFERROR(__xludf.DUMMYFUNCTION("""COMPUTED_VALUE"""),"Dra, María Agustina Sevilla García")</f>
        <v>Dra, María Agustina Sevilla García</v>
      </c>
      <c r="P442" s="6" t="str">
        <f ca="1">IFERROR(__xludf.DUMMYFUNCTION("""COMPUTED_VALUE"""),"Iván Sánchez (Levante y Albacete)")</f>
        <v>Iván Sánchez (Levante y Albacete)</v>
      </c>
    </row>
    <row r="443" spans="2:16">
      <c r="B443" s="33">
        <f ca="1">IFERROR(__xludf.DUMMYFUNCTION("""COMPUTED_VALUE"""),2026)</f>
        <v>2026</v>
      </c>
      <c r="C443" s="15">
        <f ca="1">IFERROR(__xludf.DUMMYFUNCTION("""COMPUTED_VALUE"""),3)</f>
        <v>3</v>
      </c>
      <c r="D443" s="6" t="str">
        <f ca="1">IFERROR(__xludf.DUMMYFUNCTION("""COMPUTED_VALUE"""),"NO")</f>
        <v>NO</v>
      </c>
      <c r="E443" s="6" t="str">
        <f ca="1">IFERROR(__xludf.DUMMYFUNCTION("""COMPUTED_VALUE"""),"Alcorcón")</f>
        <v>Alcorcón</v>
      </c>
      <c r="F443" s="16">
        <f ca="1">IFERROR(__xludf.DUMMYFUNCTION("""COMPUTED_VALUE"""),46108)</f>
        <v>46108</v>
      </c>
      <c r="G443" s="16">
        <f ca="1">IFERROR(__xludf.DUMMYFUNCTION("""COMPUTED_VALUE"""),46078)</f>
        <v>46078</v>
      </c>
      <c r="H443" s="6" t="str">
        <f ca="1">IFERROR(__xludf.DUMMYFUNCTION("""COMPUTED_VALUE"""),"Alcorcón")</f>
        <v>Alcorcón</v>
      </c>
      <c r="I443" s="6" t="str">
        <f ca="1">IFERROR(__xludf.DUMMYFUNCTION("""COMPUTED_VALUE"""),"C202622510242287354")</f>
        <v>C202622510242287354</v>
      </c>
      <c r="J443" s="6" t="str">
        <f ca="1">IFERROR(__xludf.DUMMYFUNCTION("""COMPUTED_VALUE"""),"MARGARITA SANCHEZ DE SANDE")</f>
        <v>MARGARITA SANCHEZ DE SANDE</v>
      </c>
      <c r="K443" s="15">
        <f ca="1">IFERROR(__xludf.DUMMYFUNCTION("""COMPUTED_VALUE"""),2)</f>
        <v>2</v>
      </c>
      <c r="L443" s="21">
        <f ca="1">IFERROR(__xludf.DUMMYFUNCTION("""COMPUTED_VALUE"""),2718.18)</f>
        <v>2718.18</v>
      </c>
      <c r="M443" s="6" t="str">
        <f ca="1">IFERROR(__xludf.DUMMYFUNCTION("""COMPUTED_VALUE"""),"03 ORL")</f>
        <v>03 ORL</v>
      </c>
      <c r="N443" s="6" t="str">
        <f ca="1">IFERROR(__xludf.DUMMYFUNCTION("""COMPUTED_VALUE"""),"06 ORL")</f>
        <v>06 ORL</v>
      </c>
      <c r="O443" s="6" t="str">
        <f ca="1">IFERROR(__xludf.DUMMYFUNCTION("""COMPUTED_VALUE"""),"Dr, Adolfo Toledano Muñoz")</f>
        <v>Dr, Adolfo Toledano Muñoz</v>
      </c>
      <c r="P443" s="6" t="str">
        <f ca="1">IFERROR(__xludf.DUMMYFUNCTION("""COMPUTED_VALUE"""),"Maika Blázquez (Madrid)")</f>
        <v>Maika Blázquez (Madrid)</v>
      </c>
    </row>
    <row r="444" spans="2:16">
      <c r="B444" s="33">
        <f ca="1">IFERROR(__xludf.DUMMYFUNCTION("""COMPUTED_VALUE"""),2026)</f>
        <v>2026</v>
      </c>
      <c r="C444" s="15">
        <f ca="1">IFERROR(__xludf.DUMMYFUNCTION("""COMPUTED_VALUE"""),3)</f>
        <v>3</v>
      </c>
      <c r="D444" s="6" t="str">
        <f ca="1">IFERROR(__xludf.DUMMYFUNCTION("""COMPUTED_VALUE"""),"NO")</f>
        <v>NO</v>
      </c>
      <c r="E444" s="6" t="str">
        <f ca="1">IFERROR(__xludf.DUMMYFUNCTION("""COMPUTED_VALUE"""),"Jerez de la Frontera")</f>
        <v>Jerez de la Frontera</v>
      </c>
      <c r="F444" s="16">
        <f ca="1">IFERROR(__xludf.DUMMYFUNCTION("""COMPUTED_VALUE"""),46108)</f>
        <v>46108</v>
      </c>
      <c r="G444" s="16">
        <f ca="1">IFERROR(__xludf.DUMMYFUNCTION("""COMPUTED_VALUE"""),46094)</f>
        <v>46094</v>
      </c>
      <c r="H444" s="6" t="str">
        <f ca="1">IFERROR(__xludf.DUMMYFUNCTION("""COMPUTED_VALUE"""),"Jerez")</f>
        <v>Jerez</v>
      </c>
      <c r="I444" s="6" t="str">
        <f ca="1">IFERROR(__xludf.DUMMYFUNCTION("""COMPUTED_VALUE"""),"C202631310381793043")</f>
        <v>C202631310381793043</v>
      </c>
      <c r="J444" s="6" t="str">
        <f ca="1">IFERROR(__xludf.DUMMYFUNCTION("""COMPUTED_VALUE"""),"JUAN  RUIZ PEREZ")</f>
        <v>JUAN  RUIZ PEREZ</v>
      </c>
      <c r="K444" s="15">
        <f ca="1">IFERROR(__xludf.DUMMYFUNCTION("""COMPUTED_VALUE"""),2)</f>
        <v>2</v>
      </c>
      <c r="L444" s="21">
        <f ca="1">IFERROR(__xludf.DUMMYFUNCTION("""COMPUTED_VALUE"""),2918.18)</f>
        <v>2918.18</v>
      </c>
      <c r="M444" s="6" t="str">
        <f ca="1">IFERROR(__xludf.DUMMYFUNCTION("""COMPUTED_VALUE"""),"03 ORL")</f>
        <v>03 ORL</v>
      </c>
      <c r="N444" s="6" t="str">
        <f ca="1">IFERROR(__xludf.DUMMYFUNCTION("""COMPUTED_VALUE"""),"06 ORL")</f>
        <v>06 ORL</v>
      </c>
      <c r="O444" s="6" t="str">
        <f ca="1">IFERROR(__xludf.DUMMYFUNCTION("""COMPUTED_VALUE"""),"No recuerda ORL")</f>
        <v>No recuerda ORL</v>
      </c>
      <c r="P444" s="6" t="str">
        <f ca="1">IFERROR(__xludf.DUMMYFUNCTION("""COMPUTED_VALUE"""),"Luis Alberto Rodríguez (Andalucía y Badajoz)")</f>
        <v>Luis Alberto Rodríguez (Andalucía y Badajoz)</v>
      </c>
    </row>
    <row r="445" spans="2:16">
      <c r="B445" s="33">
        <f ca="1">IFERROR(__xludf.DUMMYFUNCTION("""COMPUTED_VALUE"""),2026)</f>
        <v>2026</v>
      </c>
      <c r="C445" s="15">
        <f ca="1">IFERROR(__xludf.DUMMYFUNCTION("""COMPUTED_VALUE"""),3)</f>
        <v>3</v>
      </c>
      <c r="D445" s="6" t="str">
        <f ca="1">IFERROR(__xludf.DUMMYFUNCTION("""COMPUTED_VALUE"""),"NO")</f>
        <v>NO</v>
      </c>
      <c r="E445" s="6" t="str">
        <f ca="1">IFERROR(__xludf.DUMMYFUNCTION("""COMPUTED_VALUE"""),"Toledo")</f>
        <v>Toledo</v>
      </c>
      <c r="F445" s="16">
        <f ca="1">IFERROR(__xludf.DUMMYFUNCTION("""COMPUTED_VALUE"""),46108)</f>
        <v>46108</v>
      </c>
      <c r="G445" s="16">
        <f ca="1">IFERROR(__xludf.DUMMYFUNCTION("""COMPUTED_VALUE"""),45791)</f>
        <v>45791</v>
      </c>
      <c r="H445" s="6" t="str">
        <f ca="1">IFERROR(__xludf.DUMMYFUNCTION("""COMPUTED_VALUE"""),"Toledo")</f>
        <v>Toledo</v>
      </c>
      <c r="I445" s="6" t="str">
        <f ca="1">IFERROR(__xludf.DUMMYFUNCTION("""COMPUTED_VALUE"""),"C202551611222412")</f>
        <v>C202551611222412</v>
      </c>
      <c r="J445" s="6" t="str">
        <f ca="1">IFERROR(__xludf.DUMMYFUNCTION("""COMPUTED_VALUE"""),"María Josefa  Calvo Aguado")</f>
        <v>María Josefa  Calvo Aguado</v>
      </c>
      <c r="K445" s="15">
        <f ca="1">IFERROR(__xludf.DUMMYFUNCTION("""COMPUTED_VALUE"""),2)</f>
        <v>2</v>
      </c>
      <c r="L445" s="21">
        <f ca="1">IFERROR(__xludf.DUMMYFUNCTION("""COMPUTED_VALUE"""),3181.82)</f>
        <v>3181.82</v>
      </c>
      <c r="M445" s="6" t="str">
        <f ca="1">IFERROR(__xludf.DUMMYFUNCTION("""COMPUTED_VALUE"""),"03 ORL")</f>
        <v>03 ORL</v>
      </c>
      <c r="N445" s="6" t="str">
        <f ca="1">IFERROR(__xludf.DUMMYFUNCTION("""COMPUTED_VALUE"""),"22 AUDIOMETRIA CLINICA")</f>
        <v>22 AUDIOMETRIA CLINICA</v>
      </c>
      <c r="O445" s="6" t="str">
        <f ca="1">IFERROR(__xludf.DUMMYFUNCTION("""COMPUTED_VALUE"""),"Dra, María Garrote Garrote")</f>
        <v>Dra, María Garrote Garrote</v>
      </c>
      <c r="P445" s="6" t="str">
        <f ca="1">IFERROR(__xludf.DUMMYFUNCTION("""COMPUTED_VALUE"""),"Maika Blázquez (Madrid)")</f>
        <v>Maika Blázquez (Madrid)</v>
      </c>
    </row>
    <row r="446" spans="2:16">
      <c r="B446" s="33">
        <f ca="1">IFERROR(__xludf.DUMMYFUNCTION("""COMPUTED_VALUE"""),2026)</f>
        <v>2026</v>
      </c>
      <c r="C446" s="15">
        <f ca="1">IFERROR(__xludf.DUMMYFUNCTION("""COMPUTED_VALUE"""),3)</f>
        <v>3</v>
      </c>
      <c r="D446" s="6" t="str">
        <f ca="1">IFERROR(__xludf.DUMMYFUNCTION("""COMPUTED_VALUE"""),"NO")</f>
        <v>NO</v>
      </c>
      <c r="E446" s="6" t="str">
        <f ca="1">IFERROR(__xludf.DUMMYFUNCTION("""COMPUTED_VALUE"""),"Madrid- Juan Bravo")</f>
        <v>Madrid- Juan Bravo</v>
      </c>
      <c r="F446" s="16">
        <f ca="1">IFERROR(__xludf.DUMMYFUNCTION("""COMPUTED_VALUE"""),46108)</f>
        <v>46108</v>
      </c>
      <c r="G446" s="16">
        <f ca="1">IFERROR(__xludf.DUMMYFUNCTION("""COMPUTED_VALUE"""),46084)</f>
        <v>46084</v>
      </c>
      <c r="H446" s="6" t="str">
        <f ca="1">IFERROR(__xludf.DUMMYFUNCTION("""COMPUTED_VALUE"""),"Juan Bravo")</f>
        <v>Juan Bravo</v>
      </c>
      <c r="I446" s="6" t="str">
        <f ca="1">IFERROR(__xludf.DUMMYFUNCTION("""COMPUTED_VALUE"""),"C20263393127841723")</f>
        <v>C20263393127841723</v>
      </c>
      <c r="J446" s="6" t="str">
        <f ca="1">IFERROR(__xludf.DUMMYFUNCTION("""COMPUTED_VALUE"""),"ISABEL  HERNANDEZ PEREZ")</f>
        <v>ISABEL  HERNANDEZ PEREZ</v>
      </c>
      <c r="K446" s="15">
        <f ca="1">IFERROR(__xludf.DUMMYFUNCTION("""COMPUTED_VALUE"""),1)</f>
        <v>1</v>
      </c>
      <c r="L446" s="21">
        <f ca="1">IFERROR(__xludf.DUMMYFUNCTION("""COMPUTED_VALUE"""),2481.82)</f>
        <v>2481.8200000000002</v>
      </c>
      <c r="M446" s="6" t="str">
        <f ca="1">IFERROR(__xludf.DUMMYFUNCTION("""COMPUTED_VALUE"""),"03 ORL")</f>
        <v>03 ORL</v>
      </c>
      <c r="N446" s="6" t="str">
        <f ca="1">IFERROR(__xludf.DUMMYFUNCTION("""COMPUTED_VALUE"""),"06 ORL")</f>
        <v>06 ORL</v>
      </c>
      <c r="O446" s="6" t="str">
        <f ca="1">IFERROR(__xludf.DUMMYFUNCTION("""COMPUTED_VALUE"""),"Dr, Carlos Barajas del Rosal")</f>
        <v>Dr, Carlos Barajas del Rosal</v>
      </c>
      <c r="P446" s="6" t="str">
        <f ca="1">IFERROR(__xludf.DUMMYFUNCTION("""COMPUTED_VALUE"""),"Lisandro Russian (Madrid, Cáceres, Toledo, Talavera y Logroño)")</f>
        <v>Lisandro Russian (Madrid, Cáceres, Toledo, Talavera y Logroño)</v>
      </c>
    </row>
    <row r="447" spans="2:16">
      <c r="B447" s="33">
        <f ca="1">IFERROR(__xludf.DUMMYFUNCTION("""COMPUTED_VALUE"""),2026)</f>
        <v>2026</v>
      </c>
      <c r="C447" s="15">
        <f ca="1">IFERROR(__xludf.DUMMYFUNCTION("""COMPUTED_VALUE"""),3)</f>
        <v>3</v>
      </c>
      <c r="D447" s="6" t="str">
        <f ca="1">IFERROR(__xludf.DUMMYFUNCTION("""COMPUTED_VALUE"""),"NO")</f>
        <v>NO</v>
      </c>
      <c r="E447" s="6" t="str">
        <f ca="1">IFERROR(__xludf.DUMMYFUNCTION("""COMPUTED_VALUE"""),"Albacete")</f>
        <v>Albacete</v>
      </c>
      <c r="F447" s="16">
        <f ca="1">IFERROR(__xludf.DUMMYFUNCTION("""COMPUTED_VALUE"""),46108)</f>
        <v>46108</v>
      </c>
      <c r="G447" s="16">
        <f ca="1">IFERROR(__xludf.DUMMYFUNCTION("""COMPUTED_VALUE"""),46072)</f>
        <v>46072</v>
      </c>
      <c r="H447" s="6" t="str">
        <f ca="1">IFERROR(__xludf.DUMMYFUNCTION("""COMPUTED_VALUE"""),"Albacete")</f>
        <v>Albacete</v>
      </c>
      <c r="I447" s="6" t="str">
        <f ca="1">IFERROR(__xludf.DUMMYFUNCTION("""COMPUTED_VALUE"""),"C202621917412256555")</f>
        <v>C202621917412256555</v>
      </c>
      <c r="J447" s="6" t="str">
        <f ca="1">IFERROR(__xludf.DUMMYFUNCTION("""COMPUTED_VALUE"""),"JOSE MATIAS ALONSO CASTILLO")</f>
        <v>JOSE MATIAS ALONSO CASTILLO</v>
      </c>
      <c r="K447" s="15">
        <f ca="1">IFERROR(__xludf.DUMMYFUNCTION("""COMPUTED_VALUE"""),2)</f>
        <v>2</v>
      </c>
      <c r="L447" s="21">
        <f ca="1">IFERROR(__xludf.DUMMYFUNCTION("""COMPUTED_VALUE"""),2918.18)</f>
        <v>2918.18</v>
      </c>
      <c r="M447" s="6" t="str">
        <f ca="1">IFERROR(__xludf.DUMMYFUNCTION("""COMPUTED_VALUE"""),"03 ORL")</f>
        <v>03 ORL</v>
      </c>
      <c r="N447" s="6" t="str">
        <f ca="1">IFERROR(__xludf.DUMMYFUNCTION("""COMPUTED_VALUE"""),"06 ORL")</f>
        <v>06 ORL</v>
      </c>
      <c r="O447" s="6" t="str">
        <f ca="1">IFERROR(__xludf.DUMMYFUNCTION("""COMPUTED_VALUE"""),"Dr, Javier García-Dueñas González")</f>
        <v>Dr, Javier García-Dueñas González</v>
      </c>
      <c r="P447" s="6" t="str">
        <f ca="1">IFERROR(__xludf.DUMMYFUNCTION("""COMPUTED_VALUE"""),"Iván Sánchez (Levante y Albacete)")</f>
        <v>Iván Sánchez (Levante y Albacete)</v>
      </c>
    </row>
    <row r="448" spans="2:16">
      <c r="B448" s="33">
        <f ca="1">IFERROR(__xludf.DUMMYFUNCTION("""COMPUTED_VALUE"""),2026)</f>
        <v>2026</v>
      </c>
      <c r="C448" s="15">
        <f ca="1">IFERROR(__xludf.DUMMYFUNCTION("""COMPUTED_VALUE"""),3)</f>
        <v>3</v>
      </c>
      <c r="D448" s="6" t="str">
        <f ca="1">IFERROR(__xludf.DUMMYFUNCTION("""COMPUTED_VALUE"""),"NO")</f>
        <v>NO</v>
      </c>
      <c r="E448" s="6" t="str">
        <f ca="1">IFERROR(__xludf.DUMMYFUNCTION("""COMPUTED_VALUE"""),"Madrid- Canillas")</f>
        <v>Madrid- Canillas</v>
      </c>
      <c r="F448" s="16">
        <f ca="1">IFERROR(__xludf.DUMMYFUNCTION("""COMPUTED_VALUE"""),46108)</f>
        <v>46108</v>
      </c>
      <c r="G448" s="16">
        <f ca="1">IFERROR(__xludf.DUMMYFUNCTION("""COMPUTED_VALUE"""),46085)</f>
        <v>46085</v>
      </c>
      <c r="H448" s="6" t="str">
        <f ca="1">IFERROR(__xludf.DUMMYFUNCTION("""COMPUTED_VALUE"""),"Canillas")</f>
        <v>Canillas</v>
      </c>
      <c r="I448" s="6" t="str">
        <f ca="1">IFERROR(__xludf.DUMMYFUNCTION("""COMPUTED_VALUE"""),"C20263410838508549")</f>
        <v>C20263410838508549</v>
      </c>
      <c r="J448" s="6" t="str">
        <f ca="1">IFERROR(__xludf.DUMMYFUNCTION("""COMPUTED_VALUE"""),"MARÍA LÓPEZ SACRISTÁN")</f>
        <v>MARÍA LÓPEZ SACRISTÁN</v>
      </c>
      <c r="K448" s="15">
        <f ca="1">IFERROR(__xludf.DUMMYFUNCTION("""COMPUTED_VALUE"""),2)</f>
        <v>2</v>
      </c>
      <c r="L448" s="21">
        <f ca="1">IFERROR(__xludf.DUMMYFUNCTION("""COMPUTED_VALUE"""),4536.36)</f>
        <v>4536.3599999999997</v>
      </c>
      <c r="M448" s="6" t="str">
        <f ca="1">IFERROR(__xludf.DUMMYFUNCTION("""COMPUTED_VALUE"""),"03 ORL")</f>
        <v>03 ORL</v>
      </c>
      <c r="N448" s="6" t="str">
        <f ca="1">IFERROR(__xludf.DUMMYFUNCTION("""COMPUTED_VALUE"""),"06 ORL")</f>
        <v>06 ORL</v>
      </c>
      <c r="O448" s="6" t="str">
        <f ca="1">IFERROR(__xludf.DUMMYFUNCTION("""COMPUTED_VALUE"""),"Dr, José Gustavo Barroso Braojos")</f>
        <v>Dr, José Gustavo Barroso Braojos</v>
      </c>
      <c r="P448" s="6" t="str">
        <f ca="1">IFERROR(__xludf.DUMMYFUNCTION("""COMPUTED_VALUE"""),"Maika Blázquez (Madrid)")</f>
        <v>Maika Blázquez (Madrid)</v>
      </c>
    </row>
    <row r="449" spans="2:16">
      <c r="B449" s="33">
        <f ca="1">IFERROR(__xludf.DUMMYFUNCTION("""COMPUTED_VALUE"""),2026)</f>
        <v>2026</v>
      </c>
      <c r="C449" s="15">
        <f ca="1">IFERROR(__xludf.DUMMYFUNCTION("""COMPUTED_VALUE"""),3)</f>
        <v>3</v>
      </c>
      <c r="D449" s="6" t="str">
        <f ca="1">IFERROR(__xludf.DUMMYFUNCTION("""COMPUTED_VALUE"""),"NO")</f>
        <v>NO</v>
      </c>
      <c r="E449" s="6" t="str">
        <f ca="1">IFERROR(__xludf.DUMMYFUNCTION("""COMPUTED_VALUE"""),"Madrid- Canillas")</f>
        <v>Madrid- Canillas</v>
      </c>
      <c r="F449" s="16">
        <f ca="1">IFERROR(__xludf.DUMMYFUNCTION("""COMPUTED_VALUE"""),46108)</f>
        <v>46108</v>
      </c>
      <c r="G449" s="16">
        <f ca="1">IFERROR(__xludf.DUMMYFUNCTION("""COMPUTED_VALUE"""),46104)</f>
        <v>46104</v>
      </c>
      <c r="H449" s="6" t="str">
        <f ca="1">IFERROR(__xludf.DUMMYFUNCTION("""COMPUTED_VALUE"""),"Canillas")</f>
        <v>Canillas</v>
      </c>
      <c r="I449" s="6" t="str">
        <f ca="1">IFERROR(__xludf.DUMMYFUNCTION("""COMPUTED_VALUE"""),"C202632393140116305")</f>
        <v>C202632393140116305</v>
      </c>
      <c r="J449" s="6" t="str">
        <f ca="1">IFERROR(__xludf.DUMMYFUNCTION("""COMPUTED_VALUE"""),"AVELINO GONZÁLEZ MARTÍNEZ")</f>
        <v>AVELINO GONZÁLEZ MARTÍNEZ</v>
      </c>
      <c r="K449" s="15">
        <f ca="1">IFERROR(__xludf.DUMMYFUNCTION("""COMPUTED_VALUE"""),2)</f>
        <v>2</v>
      </c>
      <c r="L449" s="21">
        <f ca="1">IFERROR(__xludf.DUMMYFUNCTION("""COMPUTED_VALUE"""),3631.73)</f>
        <v>3631.73</v>
      </c>
      <c r="M449" s="6" t="str">
        <f ca="1">IFERROR(__xludf.DUMMYFUNCTION("""COMPUTED_VALUE"""),"03 ORL")</f>
        <v>03 ORL</v>
      </c>
      <c r="N449" s="6" t="str">
        <f ca="1">IFERROR(__xludf.DUMMYFUNCTION("""COMPUTED_VALUE"""),"06 ORL")</f>
        <v>06 ORL</v>
      </c>
      <c r="O449" s="6" t="str">
        <f ca="1">IFERROR(__xludf.DUMMYFUNCTION("""COMPUTED_VALUE"""),"Dr, José Gustavo Barroso Braojos")</f>
        <v>Dr, José Gustavo Barroso Braojos</v>
      </c>
      <c r="P449" s="6" t="str">
        <f ca="1">IFERROR(__xludf.DUMMYFUNCTION("""COMPUTED_VALUE"""),"Maika Blázquez (Madrid)")</f>
        <v>Maika Blázquez (Madrid)</v>
      </c>
    </row>
    <row r="450" spans="2:16">
      <c r="B450" s="33">
        <f ca="1">IFERROR(__xludf.DUMMYFUNCTION("""COMPUTED_VALUE"""),2026)</f>
        <v>2026</v>
      </c>
      <c r="C450" s="15">
        <f ca="1">IFERROR(__xludf.DUMMYFUNCTION("""COMPUTED_VALUE"""),3)</f>
        <v>3</v>
      </c>
      <c r="D450" s="6" t="str">
        <f ca="1">IFERROR(__xludf.DUMMYFUNCTION("""COMPUTED_VALUE"""),"NO")</f>
        <v>NO</v>
      </c>
      <c r="E450" s="6" t="str">
        <f ca="1">IFERROR(__xludf.DUMMYFUNCTION("""COMPUTED_VALUE"""),"Madrid- Monforte de Lemos")</f>
        <v>Madrid- Monforte de Lemos</v>
      </c>
      <c r="F450" s="16">
        <f ca="1">IFERROR(__xludf.DUMMYFUNCTION("""COMPUTED_VALUE"""),46108)</f>
        <v>46108</v>
      </c>
      <c r="G450" s="16">
        <f ca="1">IFERROR(__xludf.DUMMYFUNCTION("""COMPUTED_VALUE"""),46084)</f>
        <v>46084</v>
      </c>
      <c r="H450" s="6" t="str">
        <f ca="1">IFERROR(__xludf.DUMMYFUNCTION("""COMPUTED_VALUE"""),"La Vaguada")</f>
        <v>La Vaguada</v>
      </c>
      <c r="I450" s="6" t="str">
        <f ca="1">IFERROR(__xludf.DUMMYFUNCTION("""COMPUTED_VALUE"""),"C2026331215182231")</f>
        <v>C2026331215182231</v>
      </c>
      <c r="J450" s="6" t="str">
        <f ca="1">IFERROR(__xludf.DUMMYFUNCTION("""COMPUTED_VALUE"""),"ANA MARÍA  MUNARRIZ PÉREZ")</f>
        <v>ANA MARÍA  MUNARRIZ PÉREZ</v>
      </c>
      <c r="K450" s="15">
        <f ca="1">IFERROR(__xludf.DUMMYFUNCTION("""COMPUTED_VALUE"""),2)</f>
        <v>2</v>
      </c>
      <c r="L450" s="21">
        <f ca="1">IFERROR(__xludf.DUMMYFUNCTION("""COMPUTED_VALUE"""),2718.18)</f>
        <v>2718.18</v>
      </c>
      <c r="M450" s="6" t="str">
        <f ca="1">IFERROR(__xludf.DUMMYFUNCTION("""COMPUTED_VALUE"""),"03 ORL")</f>
        <v>03 ORL</v>
      </c>
      <c r="N450" s="6" t="str">
        <f ca="1">IFERROR(__xludf.DUMMYFUNCTION("""COMPUTED_VALUE"""),"06 ORL")</f>
        <v>06 ORL</v>
      </c>
      <c r="O450" s="6" t="str">
        <f ca="1">IFERROR(__xludf.DUMMYFUNCTION("""COMPUTED_VALUE"""),"Dr, José Gustavo Barroso Braojos")</f>
        <v>Dr, José Gustavo Barroso Braojos</v>
      </c>
      <c r="P450" s="6" t="str">
        <f ca="1">IFERROR(__xludf.DUMMYFUNCTION("""COMPUTED_VALUE"""),"Maika Blázquez (Madrid)")</f>
        <v>Maika Blázquez (Madrid)</v>
      </c>
    </row>
    <row r="451" spans="2:16">
      <c r="B451" s="33">
        <f ca="1">IFERROR(__xludf.DUMMYFUNCTION("""COMPUTED_VALUE"""),2026)</f>
        <v>2026</v>
      </c>
      <c r="C451" s="15">
        <f ca="1">IFERROR(__xludf.DUMMYFUNCTION("""COMPUTED_VALUE"""),3)</f>
        <v>3</v>
      </c>
      <c r="D451" s="6" t="str">
        <f ca="1">IFERROR(__xludf.DUMMYFUNCTION("""COMPUTED_VALUE"""),"NO")</f>
        <v>NO</v>
      </c>
      <c r="E451" s="6" t="str">
        <f ca="1">IFERROR(__xludf.DUMMYFUNCTION("""COMPUTED_VALUE"""),"Madrid- Galileo")</f>
        <v>Madrid- Galileo</v>
      </c>
      <c r="F451" s="16">
        <f ca="1">IFERROR(__xludf.DUMMYFUNCTION("""COMPUTED_VALUE"""),46108)</f>
        <v>46108</v>
      </c>
      <c r="G451" s="16">
        <f ca="1">IFERROR(__xludf.DUMMYFUNCTION("""COMPUTED_VALUE"""),46078)</f>
        <v>46078</v>
      </c>
      <c r="H451" s="6" t="str">
        <f ca="1">IFERROR(__xludf.DUMMYFUNCTION("""COMPUTED_VALUE"""),"Moncloa")</f>
        <v>Moncloa</v>
      </c>
      <c r="I451" s="6" t="str">
        <f ca="1">IFERROR(__xludf.DUMMYFUNCTION("""COMPUTED_VALUE"""),"C202622592914979233")</f>
        <v>C202622592914979233</v>
      </c>
      <c r="J451" s="6" t="str">
        <f ca="1">IFERROR(__xludf.DUMMYFUNCTION("""COMPUTED_VALUE"""),"RUTH VIVAS FERMIN")</f>
        <v>RUTH VIVAS FERMIN</v>
      </c>
      <c r="K451" s="15">
        <f ca="1">IFERROR(__xludf.DUMMYFUNCTION("""COMPUTED_VALUE"""),1)</f>
        <v>1</v>
      </c>
      <c r="L451" s="21">
        <f ca="1">IFERROR(__xludf.DUMMYFUNCTION("""COMPUTED_VALUE"""),2180.91)</f>
        <v>2180.91</v>
      </c>
      <c r="M451" s="6" t="str">
        <f ca="1">IFERROR(__xludf.DUMMYFUNCTION("""COMPUTED_VALUE"""),"03 ORL")</f>
        <v>03 ORL</v>
      </c>
      <c r="N451" s="6" t="str">
        <f ca="1">IFERROR(__xludf.DUMMYFUNCTION("""COMPUTED_VALUE"""),"06 ORL")</f>
        <v>06 ORL</v>
      </c>
      <c r="O451" s="6" t="str">
        <f ca="1">IFERROR(__xludf.DUMMYFUNCTION("""COMPUTED_VALUE"""),"Dr, Carlos Velásquez Fermín")</f>
        <v>Dr, Carlos Velásquez Fermín</v>
      </c>
      <c r="P451" s="6" t="str">
        <f ca="1">IFERROR(__xludf.DUMMYFUNCTION("""COMPUTED_VALUE"""),"Iván Sánchez (Levante y Albacete)")</f>
        <v>Iván Sánchez (Levante y Albacete)</v>
      </c>
    </row>
    <row r="452" spans="2:16">
      <c r="B452" s="33">
        <f ca="1">IFERROR(__xludf.DUMMYFUNCTION("""COMPUTED_VALUE"""),2026)</f>
        <v>2026</v>
      </c>
      <c r="C452" s="15">
        <f ca="1">IFERROR(__xludf.DUMMYFUNCTION("""COMPUTED_VALUE"""),3)</f>
        <v>3</v>
      </c>
      <c r="D452" s="6" t="str">
        <f ca="1">IFERROR(__xludf.DUMMYFUNCTION("""COMPUTED_VALUE"""),"NO")</f>
        <v>NO</v>
      </c>
      <c r="E452" s="6" t="str">
        <f ca="1">IFERROR(__xludf.DUMMYFUNCTION("""COMPUTED_VALUE"""),"Jerez de la Frontera")</f>
        <v>Jerez de la Frontera</v>
      </c>
      <c r="F452" s="16">
        <f ca="1">IFERROR(__xludf.DUMMYFUNCTION("""COMPUTED_VALUE"""),46108)</f>
        <v>46108</v>
      </c>
      <c r="G452" s="16">
        <f ca="1">IFERROR(__xludf.DUMMYFUNCTION("""COMPUTED_VALUE"""),46083)</f>
        <v>46083</v>
      </c>
      <c r="H452" s="6" t="str">
        <f ca="1">IFERROR(__xludf.DUMMYFUNCTION("""COMPUTED_VALUE"""),"Jerez")</f>
        <v>Jerez</v>
      </c>
      <c r="I452" s="6" t="str">
        <f ca="1">IFERROR(__xludf.DUMMYFUNCTION("""COMPUTED_VALUE"""),"C20263285511881800")</f>
        <v>C20263285511881800</v>
      </c>
      <c r="J452" s="6" t="str">
        <f ca="1">IFERROR(__xludf.DUMMYFUNCTION("""COMPUTED_VALUE"""),"MIGUEL ANGEL  CASTILLEJO LOPEZ")</f>
        <v>MIGUEL ANGEL  CASTILLEJO LOPEZ</v>
      </c>
      <c r="K452" s="15">
        <f ca="1">IFERROR(__xludf.DUMMYFUNCTION("""COMPUTED_VALUE"""),1)</f>
        <v>1</v>
      </c>
      <c r="L452" s="21">
        <f ca="1">IFERROR(__xludf.DUMMYFUNCTION("""COMPUTED_VALUE"""),2722.73)</f>
        <v>2722.73</v>
      </c>
      <c r="M452" s="6" t="str">
        <f ca="1">IFERROR(__xludf.DUMMYFUNCTION("""COMPUTED_VALUE"""),"03 ORL")</f>
        <v>03 ORL</v>
      </c>
      <c r="N452" s="6" t="str">
        <f ca="1">IFERROR(__xludf.DUMMYFUNCTION("""COMPUTED_VALUE"""),"06 ORL")</f>
        <v>06 ORL</v>
      </c>
      <c r="O452" s="6" t="str">
        <f ca="1">IFERROR(__xludf.DUMMYFUNCTION("""COMPUTED_VALUE"""),"Dra, Maria Del Carmen Salom Coveñas")</f>
        <v>Dra, Maria Del Carmen Salom Coveñas</v>
      </c>
      <c r="P452" s="6" t="str">
        <f ca="1">IFERROR(__xludf.DUMMYFUNCTION("""COMPUTED_VALUE"""),"Luis Alberto Rodríguez (Andalucía y Badajoz)")</f>
        <v>Luis Alberto Rodríguez (Andalucía y Badajoz)</v>
      </c>
    </row>
    <row r="453" spans="2:16">
      <c r="B453" s="33">
        <f ca="1">IFERROR(__xludf.DUMMYFUNCTION("""COMPUTED_VALUE"""),2026)</f>
        <v>2026</v>
      </c>
      <c r="C453" s="15">
        <f ca="1">IFERROR(__xludf.DUMMYFUNCTION("""COMPUTED_VALUE"""),3)</f>
        <v>3</v>
      </c>
      <c r="D453" s="6" t="str">
        <f ca="1">IFERROR(__xludf.DUMMYFUNCTION("""COMPUTED_VALUE"""),"NO")</f>
        <v>NO</v>
      </c>
      <c r="E453" s="6" t="str">
        <f ca="1">IFERROR(__xludf.DUMMYFUNCTION("""COMPUTED_VALUE"""),"Valencia- Parra")</f>
        <v>Valencia- Parra</v>
      </c>
      <c r="F453" s="16">
        <f ca="1">IFERROR(__xludf.DUMMYFUNCTION("""COMPUTED_VALUE"""),46111)</f>
        <v>46111</v>
      </c>
      <c r="G453" s="16">
        <f ca="1">IFERROR(__xludf.DUMMYFUNCTION("""COMPUTED_VALUE"""),46045)</f>
        <v>46045</v>
      </c>
      <c r="H453" s="6" t="str">
        <f ca="1">IFERROR(__xludf.DUMMYFUNCTION("""COMPUTED_VALUE"""),"Valencia- Parra")</f>
        <v>Valencia- Parra</v>
      </c>
      <c r="I453" s="6" t="str">
        <f ca="1">IFERROR(__xludf.DUMMYFUNCTION("""COMPUTED_VALUE"""),"C202612310284907484")</f>
        <v>C202612310284907484</v>
      </c>
      <c r="J453" s="6" t="str">
        <f ca="1">IFERROR(__xludf.DUMMYFUNCTION("""COMPUTED_VALUE"""),"RAUL SORIA PINEL")</f>
        <v>RAUL SORIA PINEL</v>
      </c>
      <c r="K453" s="15">
        <f ca="1">IFERROR(__xludf.DUMMYFUNCTION("""COMPUTED_VALUE"""),2)</f>
        <v>2</v>
      </c>
      <c r="L453" s="21">
        <f ca="1">IFERROR(__xludf.DUMMYFUNCTION("""COMPUTED_VALUE"""),2718.18)</f>
        <v>2718.18</v>
      </c>
      <c r="M453" s="6" t="str">
        <f ca="1">IFERROR(__xludf.DUMMYFUNCTION("""COMPUTED_VALUE"""),"03 ORL")</f>
        <v>03 ORL</v>
      </c>
      <c r="N453" s="6" t="str">
        <f ca="1">IFERROR(__xludf.DUMMYFUNCTION("""COMPUTED_VALUE"""),"06 ORL")</f>
        <v>06 ORL</v>
      </c>
      <c r="O453" s="6" t="str">
        <f ca="1">IFERROR(__xludf.DUMMYFUNCTION("""COMPUTED_VALUE"""),"Dr, Raimon García Chillerón")</f>
        <v>Dr, Raimon García Chillerón</v>
      </c>
      <c r="P453" s="6" t="str">
        <f ca="1">IFERROR(__xludf.DUMMYFUNCTION("""COMPUTED_VALUE"""),"Ramon Ferrando(Valencia)")</f>
        <v>Ramon Ferrando(Valencia)</v>
      </c>
    </row>
    <row r="454" spans="2:16">
      <c r="B454" s="33">
        <f ca="1">IFERROR(__xludf.DUMMYFUNCTION("""COMPUTED_VALUE"""),2026)</f>
        <v>2026</v>
      </c>
      <c r="C454" s="15">
        <f ca="1">IFERROR(__xludf.DUMMYFUNCTION("""COMPUTED_VALUE"""),3)</f>
        <v>3</v>
      </c>
      <c r="D454" s="6" t="str">
        <f ca="1">IFERROR(__xludf.DUMMYFUNCTION("""COMPUTED_VALUE"""),"NO")</f>
        <v>NO</v>
      </c>
      <c r="E454" s="6" t="str">
        <f ca="1">IFERROR(__xludf.DUMMYFUNCTION("""COMPUTED_VALUE"""),"El Albir (Benidorm)")</f>
        <v>El Albir (Benidorm)</v>
      </c>
      <c r="F454" s="16">
        <f ca="1">IFERROR(__xludf.DUMMYFUNCTION("""COMPUTED_VALUE"""),46111)</f>
        <v>46111</v>
      </c>
      <c r="G454" s="16">
        <f ca="1">IFERROR(__xludf.DUMMYFUNCTION("""COMPUTED_VALUE"""),46030)</f>
        <v>46030</v>
      </c>
      <c r="H454" s="6" t="str">
        <f ca="1">IFERROR(__xludf.DUMMYFUNCTION("""COMPUTED_VALUE"""),"El Albir (Benidorm)")</f>
        <v>El Albir (Benidorm)</v>
      </c>
      <c r="I454" s="6" t="str">
        <f ca="1">IFERROR(__xludf.DUMMYFUNCTION("""COMPUTED_VALUE"""),"C202618165718382638")</f>
        <v>C202618165718382638</v>
      </c>
      <c r="J454" s="6" t="str">
        <f ca="1">IFERROR(__xludf.DUMMYFUNCTION("""COMPUTED_VALUE"""),"ENCARNA  DIAZ HORTELANO")</f>
        <v>ENCARNA  DIAZ HORTELANO</v>
      </c>
      <c r="K454" s="15">
        <f ca="1">IFERROR(__xludf.DUMMYFUNCTION("""COMPUTED_VALUE"""),2)</f>
        <v>2</v>
      </c>
      <c r="L454" s="21">
        <f ca="1">IFERROR(__xludf.DUMMYFUNCTION("""COMPUTED_VALUE"""),2582.27)</f>
        <v>2582.27</v>
      </c>
      <c r="M454" s="6" t="str">
        <f ca="1">IFERROR(__xludf.DUMMYFUNCTION("""COMPUTED_VALUE"""),"03 ORL")</f>
        <v>03 ORL</v>
      </c>
      <c r="N454" s="6" t="str">
        <f ca="1">IFERROR(__xludf.DUMMYFUNCTION("""COMPUTED_VALUE"""),"06 ORL")</f>
        <v>06 ORL</v>
      </c>
      <c r="O454" s="6" t="str">
        <f ca="1">IFERROR(__xludf.DUMMYFUNCTION("""COMPUTED_VALUE"""),"Dra, Salwa Laraqui Hossini")</f>
        <v>Dra, Salwa Laraqui Hossini</v>
      </c>
      <c r="P454" s="6" t="str">
        <f ca="1">IFERROR(__xludf.DUMMYFUNCTION("""COMPUTED_VALUE"""),"Iván Sánchez (Levante y Albacete)")</f>
        <v>Iván Sánchez (Levante y Albacete)</v>
      </c>
    </row>
    <row r="455" spans="2:16">
      <c r="B455" s="33">
        <f ca="1">IFERROR(__xludf.DUMMYFUNCTION("""COMPUTED_VALUE"""),2026)</f>
        <v>2026</v>
      </c>
      <c r="C455" s="15">
        <f ca="1">IFERROR(__xludf.DUMMYFUNCTION("""COMPUTED_VALUE"""),3)</f>
        <v>3</v>
      </c>
      <c r="D455" s="6" t="str">
        <f ca="1">IFERROR(__xludf.DUMMYFUNCTION("""COMPUTED_VALUE"""),"NO")</f>
        <v>NO</v>
      </c>
      <c r="E455" s="6" t="str">
        <f ca="1">IFERROR(__xludf.DUMMYFUNCTION("""COMPUTED_VALUE"""),"Alicante")</f>
        <v>Alicante</v>
      </c>
      <c r="F455" s="16">
        <f ca="1">IFERROR(__xludf.DUMMYFUNCTION("""COMPUTED_VALUE"""),46111)</f>
        <v>46111</v>
      </c>
      <c r="G455" s="16">
        <f ca="1">IFERROR(__xludf.DUMMYFUNCTION("""COMPUTED_VALUE"""),46090)</f>
        <v>46090</v>
      </c>
      <c r="H455" s="6" t="str">
        <f ca="1">IFERROR(__xludf.DUMMYFUNCTION("""COMPUTED_VALUE"""),"Alicante")</f>
        <v>Alicante</v>
      </c>
      <c r="I455" s="6" t="str">
        <f ca="1">IFERROR(__xludf.DUMMYFUNCTION("""COMPUTED_VALUE"""),"C202639162646500411")</f>
        <v>C202639162646500411</v>
      </c>
      <c r="J455" s="6" t="str">
        <f ca="1">IFERROR(__xludf.DUMMYFUNCTION("""COMPUTED_VALUE"""),"MAONNG LI")</f>
        <v>MAONNG LI</v>
      </c>
      <c r="K455" s="15">
        <f ca="1">IFERROR(__xludf.DUMMYFUNCTION("""COMPUTED_VALUE"""),2)</f>
        <v>2</v>
      </c>
      <c r="L455" s="21">
        <f ca="1">IFERROR(__xludf.DUMMYFUNCTION("""COMPUTED_VALUE"""),2718.18)</f>
        <v>2718.18</v>
      </c>
      <c r="M455" s="6" t="str">
        <f ca="1">IFERROR(__xludf.DUMMYFUNCTION("""COMPUTED_VALUE"""),"03 ORL")</f>
        <v>03 ORL</v>
      </c>
      <c r="N455" s="6" t="str">
        <f ca="1">IFERROR(__xludf.DUMMYFUNCTION("""COMPUTED_VALUE"""),"06 ORL")</f>
        <v>06 ORL</v>
      </c>
      <c r="O455" s="6" t="str">
        <f ca="1">IFERROR(__xludf.DUMMYFUNCTION("""COMPUTED_VALUE"""),"Dra, Maria Rosario Ferrandiz García")</f>
        <v>Dra, Maria Rosario Ferrandiz García</v>
      </c>
      <c r="P455" s="6" t="str">
        <f ca="1">IFERROR(__xludf.DUMMYFUNCTION("""COMPUTED_VALUE"""),"Iván Sánchez (Levante y Albacete)")</f>
        <v>Iván Sánchez (Levante y Albacete)</v>
      </c>
    </row>
    <row r="456" spans="2:16">
      <c r="B456" s="33">
        <f ca="1">IFERROR(__xludf.DUMMYFUNCTION("""COMPUTED_VALUE"""),2026)</f>
        <v>2026</v>
      </c>
      <c r="C456" s="15">
        <f ca="1">IFERROR(__xludf.DUMMYFUNCTION("""COMPUTED_VALUE"""),3)</f>
        <v>3</v>
      </c>
      <c r="D456" s="6" t="str">
        <f ca="1">IFERROR(__xludf.DUMMYFUNCTION("""COMPUTED_VALUE"""),"NO")</f>
        <v>NO</v>
      </c>
      <c r="E456" s="6" t="str">
        <f ca="1">IFERROR(__xludf.DUMMYFUNCTION("""COMPUTED_VALUE"""),"Valladolid")</f>
        <v>Valladolid</v>
      </c>
      <c r="F456" s="16">
        <f ca="1">IFERROR(__xludf.DUMMYFUNCTION("""COMPUTED_VALUE"""),46111)</f>
        <v>46111</v>
      </c>
      <c r="G456" s="16">
        <f ca="1">IFERROR(__xludf.DUMMYFUNCTION("""COMPUTED_VALUE"""),46079)</f>
        <v>46079</v>
      </c>
      <c r="H456" s="6" t="str">
        <f ca="1">IFERROR(__xludf.DUMMYFUNCTION("""COMPUTED_VALUE"""),"Valladolid")</f>
        <v>Valladolid</v>
      </c>
      <c r="I456" s="6" t="str">
        <f ca="1">IFERROR(__xludf.DUMMYFUNCTION("""COMPUTED_VALUE"""),"C202622611395939003")</f>
        <v>C202622611395939003</v>
      </c>
      <c r="J456" s="6" t="str">
        <f ca="1">IFERROR(__xludf.DUMMYFUNCTION("""COMPUTED_VALUE"""),"JUAN  DUARTE CARAVACA")</f>
        <v>JUAN  DUARTE CARAVACA</v>
      </c>
      <c r="K456" s="15">
        <f ca="1">IFERROR(__xludf.DUMMYFUNCTION("""COMPUTED_VALUE"""),1)</f>
        <v>1</v>
      </c>
      <c r="L456" s="21">
        <f ca="1">IFERROR(__xludf.DUMMYFUNCTION("""COMPUTED_VALUE"""),2080)</f>
        <v>2080</v>
      </c>
      <c r="M456" s="6" t="str">
        <f ca="1">IFERROR(__xludf.DUMMYFUNCTION("""COMPUTED_VALUE"""),"03 ORL")</f>
        <v>03 ORL</v>
      </c>
      <c r="N456" s="6" t="str">
        <f ca="1">IFERROR(__xludf.DUMMYFUNCTION("""COMPUTED_VALUE"""),"06 ORL")</f>
        <v>06 ORL</v>
      </c>
      <c r="O456" s="6" t="str">
        <f ca="1">IFERROR(__xludf.DUMMYFUNCTION("""COMPUTED_VALUE"""),"Dra, Ana Fernández Rodríguez")</f>
        <v>Dra, Ana Fernández Rodríguez</v>
      </c>
      <c r="P456" s="6" t="str">
        <f ca="1">IFERROR(__xludf.DUMMYFUNCTION("""COMPUTED_VALUE"""),"Alberto Moreno (Madrid)")</f>
        <v>Alberto Moreno (Madrid)</v>
      </c>
    </row>
    <row r="457" spans="2:16">
      <c r="B457" s="33">
        <f ca="1">IFERROR(__xludf.DUMMYFUNCTION("""COMPUTED_VALUE"""),2026)</f>
        <v>2026</v>
      </c>
      <c r="C457" s="15">
        <f ca="1">IFERROR(__xludf.DUMMYFUNCTION("""COMPUTED_VALUE"""),3)</f>
        <v>3</v>
      </c>
      <c r="D457" s="6" t="str">
        <f ca="1">IFERROR(__xludf.DUMMYFUNCTION("""COMPUTED_VALUE"""),"NO")</f>
        <v>NO</v>
      </c>
      <c r="E457" s="6" t="str">
        <f ca="1">IFERROR(__xludf.DUMMYFUNCTION("""COMPUTED_VALUE"""),"Madrid- Monforte de Lemos")</f>
        <v>Madrid- Monforte de Lemos</v>
      </c>
      <c r="F457" s="16">
        <f ca="1">IFERROR(__xludf.DUMMYFUNCTION("""COMPUTED_VALUE"""),46111)</f>
        <v>46111</v>
      </c>
      <c r="G457" s="16">
        <f ca="1">IFERROR(__xludf.DUMMYFUNCTION("""COMPUTED_VALUE"""),46070)</f>
        <v>46070</v>
      </c>
      <c r="H457" s="6" t="str">
        <f ca="1">IFERROR(__xludf.DUMMYFUNCTION("""COMPUTED_VALUE"""),"La Vaguada")</f>
        <v>La Vaguada</v>
      </c>
      <c r="I457" s="6" t="str">
        <f ca="1">IFERROR(__xludf.DUMMYFUNCTION("""COMPUTED_VALUE"""),"C202621717342062690")</f>
        <v>C202621717342062690</v>
      </c>
      <c r="J457" s="6" t="str">
        <f ca="1">IFERROR(__xludf.DUMMYFUNCTION("""COMPUTED_VALUE"""),"MARIA ROSA SÁNCHEZ-MONGE LAGUNA DE RINS")</f>
        <v>MARIA ROSA SÁNCHEZ-MONGE LAGUNA DE RINS</v>
      </c>
      <c r="K457" s="15">
        <f ca="1">IFERROR(__xludf.DUMMYFUNCTION("""COMPUTED_VALUE"""),2)</f>
        <v>2</v>
      </c>
      <c r="L457" s="21">
        <f ca="1">IFERROR(__xludf.DUMMYFUNCTION("""COMPUTED_VALUE"""),2718.18)</f>
        <v>2718.18</v>
      </c>
      <c r="M457" s="6" t="str">
        <f ca="1">IFERROR(__xludf.DUMMYFUNCTION("""COMPUTED_VALUE"""),"03 ORL")</f>
        <v>03 ORL</v>
      </c>
      <c r="N457" s="6" t="str">
        <f ca="1">IFERROR(__xludf.DUMMYFUNCTION("""COMPUTED_VALUE"""),"06 ORL")</f>
        <v>06 ORL</v>
      </c>
      <c r="O457" s="6" t="str">
        <f ca="1">IFERROR(__xludf.DUMMYFUNCTION("""COMPUTED_VALUE"""),"Dra, Victoria García Peces")</f>
        <v>Dra, Victoria García Peces</v>
      </c>
      <c r="P457" s="6" t="str">
        <f ca="1">IFERROR(__xludf.DUMMYFUNCTION("""COMPUTED_VALUE"""),"Maika Blázquez (Madrid)")</f>
        <v>Maika Blázquez (Madrid)</v>
      </c>
    </row>
    <row r="458" spans="2:16">
      <c r="B458" s="33">
        <f ca="1">IFERROR(__xludf.DUMMYFUNCTION("""COMPUTED_VALUE"""),2026)</f>
        <v>2026</v>
      </c>
      <c r="C458" s="15">
        <f ca="1">IFERROR(__xludf.DUMMYFUNCTION("""COMPUTED_VALUE"""),3)</f>
        <v>3</v>
      </c>
      <c r="D458" s="6" t="str">
        <f ca="1">IFERROR(__xludf.DUMMYFUNCTION("""COMPUTED_VALUE"""),"NO")</f>
        <v>NO</v>
      </c>
      <c r="E458" s="6" t="str">
        <f ca="1">IFERROR(__xludf.DUMMYFUNCTION("""COMPUTED_VALUE"""),"Zaragoza- León XIII")</f>
        <v>Zaragoza- León XIII</v>
      </c>
      <c r="F458" s="16">
        <f ca="1">IFERROR(__xludf.DUMMYFUNCTION("""COMPUTED_VALUE"""),46111)</f>
        <v>46111</v>
      </c>
      <c r="G458" s="16">
        <f ca="1">IFERROR(__xludf.DUMMYFUNCTION("""COMPUTED_VALUE"""),46083)</f>
        <v>46083</v>
      </c>
      <c r="H458" s="6" t="str">
        <f ca="1">IFERROR(__xludf.DUMMYFUNCTION("""COMPUTED_VALUE"""),"Zaragoza")</f>
        <v>Zaragoza</v>
      </c>
      <c r="I458" s="6" t="str">
        <f ca="1">IFERROR(__xludf.DUMMYFUNCTION("""COMPUTED_VALUE"""),"C20263210129072148")</f>
        <v>C20263210129072148</v>
      </c>
      <c r="J458" s="6" t="str">
        <f ca="1">IFERROR(__xludf.DUMMYFUNCTION("""COMPUTED_VALUE"""),"LUIS IBAÑEZ GALLEGO")</f>
        <v>LUIS IBAÑEZ GALLEGO</v>
      </c>
      <c r="K458" s="15">
        <f ca="1">IFERROR(__xludf.DUMMYFUNCTION("""COMPUTED_VALUE"""),2)</f>
        <v>2</v>
      </c>
      <c r="L458" s="21">
        <f ca="1">IFERROR(__xludf.DUMMYFUNCTION("""COMPUTED_VALUE"""),3627.27)</f>
        <v>3627.27</v>
      </c>
      <c r="M458" s="6" t="str">
        <f ca="1">IFERROR(__xludf.DUMMYFUNCTION("""COMPUTED_VALUE"""),"03 ORL")</f>
        <v>03 ORL</v>
      </c>
      <c r="N458" s="6" t="str">
        <f ca="1">IFERROR(__xludf.DUMMYFUNCTION("""COMPUTED_VALUE"""),"06 ORL")</f>
        <v>06 ORL</v>
      </c>
      <c r="O458" s="6" t="str">
        <f ca="1">IFERROR(__xludf.DUMMYFUNCTION("""COMPUTED_VALUE"""),"Dr, José Manuel García Solans-Esteras")</f>
        <v>Dr, José Manuel García Solans-Esteras</v>
      </c>
      <c r="P458" s="6" t="str">
        <f ca="1">IFERROR(__xludf.DUMMYFUNCTION("""COMPUTED_VALUE"""),"Ignacio Berdejo (Zaragoza)")</f>
        <v>Ignacio Berdejo (Zaragoza)</v>
      </c>
    </row>
    <row r="459" spans="2:16">
      <c r="B459" s="33">
        <f ca="1">IFERROR(__xludf.DUMMYFUNCTION("""COMPUTED_VALUE"""),2026)</f>
        <v>2026</v>
      </c>
      <c r="C459" s="15">
        <f ca="1">IFERROR(__xludf.DUMMYFUNCTION("""COMPUTED_VALUE"""),3)</f>
        <v>3</v>
      </c>
      <c r="D459" s="6" t="str">
        <f ca="1">IFERROR(__xludf.DUMMYFUNCTION("""COMPUTED_VALUE"""),"NO")</f>
        <v>NO</v>
      </c>
      <c r="E459" s="6" t="str">
        <f ca="1">IFERROR(__xludf.DUMMYFUNCTION("""COMPUTED_VALUE"""),"Orihuela")</f>
        <v>Orihuela</v>
      </c>
      <c r="F459" s="16">
        <f ca="1">IFERROR(__xludf.DUMMYFUNCTION("""COMPUTED_VALUE"""),46111)</f>
        <v>46111</v>
      </c>
      <c r="G459" s="16">
        <f ca="1">IFERROR(__xludf.DUMMYFUNCTION("""COMPUTED_VALUE"""),46097)</f>
        <v>46097</v>
      </c>
      <c r="H459" s="6" t="str">
        <f ca="1">IFERROR(__xludf.DUMMYFUNCTION("""COMPUTED_VALUE"""),"La Zenia")</f>
        <v>La Zenia</v>
      </c>
      <c r="I459" s="6" t="str">
        <f ca="1">IFERROR(__xludf.DUMMYFUNCTION("""COMPUTED_VALUE"""),"C202631610495728359")</f>
        <v>C202631610495728359</v>
      </c>
      <c r="J459" s="6" t="str">
        <f ca="1">IFERROR(__xludf.DUMMYFUNCTION("""COMPUTED_VALUE"""),"INMACULADA RIVES PIC")</f>
        <v>INMACULADA RIVES PIC</v>
      </c>
      <c r="K459" s="15">
        <f ca="1">IFERROR(__xludf.DUMMYFUNCTION("""COMPUTED_VALUE"""),2)</f>
        <v>2</v>
      </c>
      <c r="L459" s="21">
        <f ca="1">IFERROR(__xludf.DUMMYFUNCTION("""COMPUTED_VALUE"""),3631.82)</f>
        <v>3631.82</v>
      </c>
      <c r="M459" s="6" t="str">
        <f ca="1">IFERROR(__xludf.DUMMYFUNCTION("""COMPUTED_VALUE"""),"03 ORL")</f>
        <v>03 ORL</v>
      </c>
      <c r="N459" s="6" t="str">
        <f ca="1">IFERROR(__xludf.DUMMYFUNCTION("""COMPUTED_VALUE"""),"06 ORL")</f>
        <v>06 ORL</v>
      </c>
      <c r="O459" s="6" t="str">
        <f ca="1">IFERROR(__xludf.DUMMYFUNCTION("""COMPUTED_VALUE"""),"Dr, Carlos Velásquez Fermín")</f>
        <v>Dr, Carlos Velásquez Fermín</v>
      </c>
      <c r="P459" s="6" t="str">
        <f ca="1">IFERROR(__xludf.DUMMYFUNCTION("""COMPUTED_VALUE"""),"Iván Sánchez (Levante y Albacete)")</f>
        <v>Iván Sánchez (Levante y Albacete)</v>
      </c>
    </row>
    <row r="460" spans="2:16">
      <c r="B460" s="33">
        <f ca="1">IFERROR(__xludf.DUMMYFUNCTION("""COMPUTED_VALUE"""),2026)</f>
        <v>2026</v>
      </c>
      <c r="C460" s="15">
        <f ca="1">IFERROR(__xludf.DUMMYFUNCTION("""COMPUTED_VALUE"""),3)</f>
        <v>3</v>
      </c>
      <c r="D460" s="6" t="str">
        <f ca="1">IFERROR(__xludf.DUMMYFUNCTION("""COMPUTED_VALUE"""),"NO")</f>
        <v>NO</v>
      </c>
      <c r="E460" s="6" t="str">
        <f ca="1">IFERROR(__xludf.DUMMYFUNCTION("""COMPUTED_VALUE"""),"Orihuela")</f>
        <v>Orihuela</v>
      </c>
      <c r="F460" s="16">
        <f ca="1">IFERROR(__xludf.DUMMYFUNCTION("""COMPUTED_VALUE"""),46111)</f>
        <v>46111</v>
      </c>
      <c r="G460" s="16">
        <f ca="1">IFERROR(__xludf.DUMMYFUNCTION("""COMPUTED_VALUE"""),45838)</f>
        <v>45838</v>
      </c>
      <c r="H460" s="6" t="str">
        <f ca="1">IFERROR(__xludf.DUMMYFUNCTION("""COMPUTED_VALUE"""),"La Zenia")</f>
        <v>La Zenia</v>
      </c>
      <c r="I460" s="6" t="str">
        <f ca="1">IFERROR(__xludf.DUMMYFUNCTION("""COMPUTED_VALUE"""),"C202571171834930")</f>
        <v>C202571171834930</v>
      </c>
      <c r="J460" s="6" t="str">
        <f ca="1">IFERROR(__xludf.DUMMYFUNCTION("""COMPUTED_VALUE"""),"SOLANGE LAMIN")</f>
        <v>SOLANGE LAMIN</v>
      </c>
      <c r="K460" s="15">
        <f ca="1">IFERROR(__xludf.DUMMYFUNCTION("""COMPUTED_VALUE"""),1)</f>
        <v>1</v>
      </c>
      <c r="L460" s="21">
        <f ca="1">IFERROR(__xludf.DUMMYFUNCTION("""COMPUTED_VALUE"""),1631.82)</f>
        <v>1631.82</v>
      </c>
      <c r="M460" s="6" t="str">
        <f ca="1">IFERROR(__xludf.DUMMYFUNCTION("""COMPUTED_VALUE"""),"03 ORL")</f>
        <v>03 ORL</v>
      </c>
      <c r="N460" s="6" t="str">
        <f ca="1">IFERROR(__xludf.DUMMYFUNCTION("""COMPUTED_VALUE"""),"06 ORL")</f>
        <v>06 ORL</v>
      </c>
      <c r="O460" s="6" t="str">
        <f ca="1">IFERROR(__xludf.DUMMYFUNCTION("""COMPUTED_VALUE"""),"Dr, Carlos Velásquez Fermín")</f>
        <v>Dr, Carlos Velásquez Fermín</v>
      </c>
      <c r="P460" s="6" t="str">
        <f ca="1">IFERROR(__xludf.DUMMYFUNCTION("""COMPUTED_VALUE"""),"Iván Sánchez (Levante y Albacete)")</f>
        <v>Iván Sánchez (Levante y Albacete)</v>
      </c>
    </row>
    <row r="461" spans="2:16">
      <c r="B461" s="33">
        <f ca="1">IFERROR(__xludf.DUMMYFUNCTION("""COMPUTED_VALUE"""),2026)</f>
        <v>2026</v>
      </c>
      <c r="C461" s="15">
        <f ca="1">IFERROR(__xludf.DUMMYFUNCTION("""COMPUTED_VALUE"""),3)</f>
        <v>3</v>
      </c>
      <c r="D461" s="6" t="str">
        <f ca="1">IFERROR(__xludf.DUMMYFUNCTION("""COMPUTED_VALUE"""),"NO")</f>
        <v>NO</v>
      </c>
      <c r="E461" s="6" t="str">
        <f ca="1">IFERROR(__xludf.DUMMYFUNCTION("""COMPUTED_VALUE"""),"Madrid- Juan Bravo")</f>
        <v>Madrid- Juan Bravo</v>
      </c>
      <c r="F461" s="16">
        <f ca="1">IFERROR(__xludf.DUMMYFUNCTION("""COMPUTED_VALUE"""),46111)</f>
        <v>46111</v>
      </c>
      <c r="G461" s="16">
        <f ca="1">IFERROR(__xludf.DUMMYFUNCTION("""COMPUTED_VALUE"""),46078)</f>
        <v>46078</v>
      </c>
      <c r="H461" s="6" t="str">
        <f ca="1">IFERROR(__xludf.DUMMYFUNCTION("""COMPUTED_VALUE"""),"Juan Bravo")</f>
        <v>Juan Bravo</v>
      </c>
      <c r="I461" s="6" t="str">
        <f ca="1">IFERROR(__xludf.DUMMYFUNCTION("""COMPUTED_VALUE"""),"C202622510202918352")</f>
        <v>C202622510202918352</v>
      </c>
      <c r="J461" s="6" t="str">
        <f ca="1">IFERROR(__xludf.DUMMYFUNCTION("""COMPUTED_VALUE"""),"LIBOR  SECKA")</f>
        <v>LIBOR  SECKA</v>
      </c>
      <c r="K461" s="15">
        <f ca="1">IFERROR(__xludf.DUMMYFUNCTION("""COMPUTED_VALUE"""),2)</f>
        <v>2</v>
      </c>
      <c r="L461" s="21">
        <f ca="1">IFERROR(__xludf.DUMMYFUNCTION("""COMPUTED_VALUE"""),4154.22)</f>
        <v>4154.22</v>
      </c>
      <c r="M461" s="6" t="str">
        <f ca="1">IFERROR(__xludf.DUMMYFUNCTION("""COMPUTED_VALUE"""),"03 ORL")</f>
        <v>03 ORL</v>
      </c>
      <c r="N461" s="6" t="str">
        <f ca="1">IFERROR(__xludf.DUMMYFUNCTION("""COMPUTED_VALUE"""),"06 ORL")</f>
        <v>06 ORL</v>
      </c>
      <c r="O461" s="6" t="str">
        <f ca="1">IFERROR(__xludf.DUMMYFUNCTION("""COMPUTED_VALUE"""),"Dr, Carlos Barajas del Rosal")</f>
        <v>Dr, Carlos Barajas del Rosal</v>
      </c>
      <c r="P461" s="6" t="str">
        <f ca="1">IFERROR(__xludf.DUMMYFUNCTION("""COMPUTED_VALUE"""),"Lisandro Russian (Madrid, Cáceres, Toledo, Talavera y Logroño)")</f>
        <v>Lisandro Russian (Madrid, Cáceres, Toledo, Talavera y Logroño)</v>
      </c>
    </row>
    <row r="462" spans="2:16">
      <c r="B462" s="33">
        <f ca="1">IFERROR(__xludf.DUMMYFUNCTION("""COMPUTED_VALUE"""),2026)</f>
        <v>2026</v>
      </c>
      <c r="C462" s="15">
        <f ca="1">IFERROR(__xludf.DUMMYFUNCTION("""COMPUTED_VALUE"""),3)</f>
        <v>3</v>
      </c>
      <c r="D462" s="6" t="str">
        <f ca="1">IFERROR(__xludf.DUMMYFUNCTION("""COMPUTED_VALUE"""),"NO")</f>
        <v>NO</v>
      </c>
      <c r="E462" s="6" t="str">
        <f ca="1">IFERROR(__xludf.DUMMYFUNCTION("""COMPUTED_VALUE"""),"Murcia")</f>
        <v>Murcia</v>
      </c>
      <c r="F462" s="16">
        <f ca="1">IFERROR(__xludf.DUMMYFUNCTION("""COMPUTED_VALUE"""),46111)</f>
        <v>46111</v>
      </c>
      <c r="G462" s="16">
        <f ca="1">IFERROR(__xludf.DUMMYFUNCTION("""COMPUTED_VALUE"""),46079)</f>
        <v>46079</v>
      </c>
      <c r="H462" s="6" t="str">
        <f ca="1">IFERROR(__xludf.DUMMYFUNCTION("""COMPUTED_VALUE"""),"Murcia")</f>
        <v>Murcia</v>
      </c>
      <c r="I462" s="6" t="str">
        <f ca="1">IFERROR(__xludf.DUMMYFUNCTION("""COMPUTED_VALUE"""),"C202622617103051096")</f>
        <v>C202622617103051096</v>
      </c>
      <c r="J462" s="6" t="str">
        <f ca="1">IFERROR(__xludf.DUMMYFUNCTION("""COMPUTED_VALUE"""),"JOSE ALMAGRO MARMOL")</f>
        <v>JOSE ALMAGRO MARMOL</v>
      </c>
      <c r="K462" s="15">
        <f ca="1">IFERROR(__xludf.DUMMYFUNCTION("""COMPUTED_VALUE"""),1)</f>
        <v>1</v>
      </c>
      <c r="L462" s="21">
        <f ca="1">IFERROR(__xludf.DUMMYFUNCTION("""COMPUTED_VALUE"""),1631.82)</f>
        <v>1631.82</v>
      </c>
      <c r="M462" s="6" t="str">
        <f ca="1">IFERROR(__xludf.DUMMYFUNCTION("""COMPUTED_VALUE"""),"03 ORL")</f>
        <v>03 ORL</v>
      </c>
      <c r="N462" s="6" t="str">
        <f ca="1">IFERROR(__xludf.DUMMYFUNCTION("""COMPUTED_VALUE"""),"06 ORL")</f>
        <v>06 ORL</v>
      </c>
      <c r="O462" s="6" t="str">
        <f ca="1">IFERROR(__xludf.DUMMYFUNCTION("""COMPUTED_VALUE"""),"Dra, María Agustina Sevilla García")</f>
        <v>Dra, María Agustina Sevilla García</v>
      </c>
      <c r="P462" s="6" t="str">
        <f ca="1">IFERROR(__xludf.DUMMYFUNCTION("""COMPUTED_VALUE"""),"Iván Sánchez (Levante y Albacete)")</f>
        <v>Iván Sánchez (Levante y Albacete)</v>
      </c>
    </row>
    <row r="463" spans="2:16">
      <c r="B463" s="33">
        <f ca="1">IFERROR(__xludf.DUMMYFUNCTION("""COMPUTED_VALUE"""),2026)</f>
        <v>2026</v>
      </c>
      <c r="C463" s="15">
        <f ca="1">IFERROR(__xludf.DUMMYFUNCTION("""COMPUTED_VALUE"""),3)</f>
        <v>3</v>
      </c>
      <c r="D463" s="6" t="str">
        <f ca="1">IFERROR(__xludf.DUMMYFUNCTION("""COMPUTED_VALUE"""),"NO")</f>
        <v>NO</v>
      </c>
      <c r="E463" s="6" t="str">
        <f ca="1">IFERROR(__xludf.DUMMYFUNCTION("""COMPUTED_VALUE"""),"Madrid- Moratalaz")</f>
        <v>Madrid- Moratalaz</v>
      </c>
      <c r="F463" s="16">
        <f ca="1">IFERROR(__xludf.DUMMYFUNCTION("""COMPUTED_VALUE"""),46111)</f>
        <v>46111</v>
      </c>
      <c r="G463" s="16">
        <f ca="1">IFERROR(__xludf.DUMMYFUNCTION("""COMPUTED_VALUE"""),46094)</f>
        <v>46094</v>
      </c>
      <c r="H463" s="6" t="str">
        <f ca="1">IFERROR(__xludf.DUMMYFUNCTION("""COMPUTED_VALUE"""),"Moratalaz")</f>
        <v>Moratalaz</v>
      </c>
      <c r="I463" s="6" t="str">
        <f ca="1">IFERROR(__xludf.DUMMYFUNCTION("""COMPUTED_VALUE"""),"C202631312144876755")</f>
        <v>C202631312144876755</v>
      </c>
      <c r="J463" s="6" t="str">
        <f ca="1">IFERROR(__xludf.DUMMYFUNCTION("""COMPUTED_VALUE"""),"MARIA CARMONA AVILES")</f>
        <v>MARIA CARMONA AVILES</v>
      </c>
      <c r="K463" s="15">
        <f ca="1">IFERROR(__xludf.DUMMYFUNCTION("""COMPUTED_VALUE"""),1)</f>
        <v>1</v>
      </c>
      <c r="L463" s="21">
        <f ca="1">IFERROR(__xludf.DUMMYFUNCTION("""COMPUTED_VALUE"""),2357.73)</f>
        <v>2357.73</v>
      </c>
      <c r="M463" s="6" t="str">
        <f ca="1">IFERROR(__xludf.DUMMYFUNCTION("""COMPUTED_VALUE"""),"03 ORL")</f>
        <v>03 ORL</v>
      </c>
      <c r="N463" s="6" t="str">
        <f ca="1">IFERROR(__xludf.DUMMYFUNCTION("""COMPUTED_VALUE"""),"06 ORL")</f>
        <v>06 ORL</v>
      </c>
      <c r="O463" s="6" t="str">
        <f ca="1">IFERROR(__xludf.DUMMYFUNCTION("""COMPUTED_VALUE"""),"No recuerda ORL")</f>
        <v>No recuerda ORL</v>
      </c>
      <c r="P463" s="6" t="str">
        <f ca="1">IFERROR(__xludf.DUMMYFUNCTION("""COMPUTED_VALUE"""),"Maika Blázquez (Madrid)")</f>
        <v>Maika Blázquez (Madrid)</v>
      </c>
    </row>
    <row r="464" spans="2:16">
      <c r="B464" s="33">
        <f ca="1">IFERROR(__xludf.DUMMYFUNCTION("""COMPUTED_VALUE"""),2026)</f>
        <v>2026</v>
      </c>
      <c r="C464" s="15">
        <f ca="1">IFERROR(__xludf.DUMMYFUNCTION("""COMPUTED_VALUE"""),3)</f>
        <v>3</v>
      </c>
      <c r="D464" s="6" t="str">
        <f ca="1">IFERROR(__xludf.DUMMYFUNCTION("""COMPUTED_VALUE"""),"NO")</f>
        <v>NO</v>
      </c>
      <c r="E464" s="6" t="str">
        <f ca="1">IFERROR(__xludf.DUMMYFUNCTION("""COMPUTED_VALUE"""),"Madrid- Canillas")</f>
        <v>Madrid- Canillas</v>
      </c>
      <c r="F464" s="16">
        <f ca="1">IFERROR(__xludf.DUMMYFUNCTION("""COMPUTED_VALUE"""),46111)</f>
        <v>46111</v>
      </c>
      <c r="G464" s="16">
        <f ca="1">IFERROR(__xludf.DUMMYFUNCTION("""COMPUTED_VALUE"""),46069)</f>
        <v>46069</v>
      </c>
      <c r="H464" s="6" t="str">
        <f ca="1">IFERROR(__xludf.DUMMYFUNCTION("""COMPUTED_VALUE"""),"Canillas")</f>
        <v>Canillas</v>
      </c>
      <c r="I464" s="6" t="str">
        <f ca="1">IFERROR(__xludf.DUMMYFUNCTION("""COMPUTED_VALUE"""),"C202621612332097208")</f>
        <v>C202621612332097208</v>
      </c>
      <c r="J464" s="6" t="str">
        <f ca="1">IFERROR(__xludf.DUMMYFUNCTION("""COMPUTED_VALUE"""),"ELENA  GONZALEZ GONZALEZ")</f>
        <v>ELENA  GONZALEZ GONZALEZ</v>
      </c>
      <c r="K464" s="15">
        <f ca="1">IFERROR(__xludf.DUMMYFUNCTION("""COMPUTED_VALUE"""),2)</f>
        <v>2</v>
      </c>
      <c r="L464" s="21">
        <f ca="1">IFERROR(__xludf.DUMMYFUNCTION("""COMPUTED_VALUE"""),4136.36)</f>
        <v>4136.3599999999997</v>
      </c>
      <c r="M464" s="6" t="str">
        <f ca="1">IFERROR(__xludf.DUMMYFUNCTION("""COMPUTED_VALUE"""),"03 ORL")</f>
        <v>03 ORL</v>
      </c>
      <c r="N464" s="6" t="str">
        <f ca="1">IFERROR(__xludf.DUMMYFUNCTION("""COMPUTED_VALUE"""),"06 ORL")</f>
        <v>06 ORL</v>
      </c>
      <c r="O464" s="6" t="str">
        <f ca="1">IFERROR(__xludf.DUMMYFUNCTION("""COMPUTED_VALUE"""),"Dra, María del Mar Medina González")</f>
        <v>Dra, María del Mar Medina González</v>
      </c>
      <c r="P464" s="6" t="str">
        <f ca="1">IFERROR(__xludf.DUMMYFUNCTION("""COMPUTED_VALUE"""),"Maika Blázquez (Madrid)")</f>
        <v>Maika Blázquez (Madrid)</v>
      </c>
    </row>
    <row r="465" spans="2:16">
      <c r="B465" s="33">
        <f ca="1">IFERROR(__xludf.DUMMYFUNCTION("""COMPUTED_VALUE"""),2026)</f>
        <v>2026</v>
      </c>
      <c r="C465" s="15">
        <f ca="1">IFERROR(__xludf.DUMMYFUNCTION("""COMPUTED_VALUE"""),3)</f>
        <v>3</v>
      </c>
      <c r="D465" s="6" t="str">
        <f ca="1">IFERROR(__xludf.DUMMYFUNCTION("""COMPUTED_VALUE"""),"NO")</f>
        <v>NO</v>
      </c>
      <c r="E465" s="6" t="str">
        <f ca="1">IFERROR(__xludf.DUMMYFUNCTION("""COMPUTED_VALUE"""),"San Javier")</f>
        <v>San Javier</v>
      </c>
      <c r="F465" s="16">
        <f ca="1">IFERROR(__xludf.DUMMYFUNCTION("""COMPUTED_VALUE"""),46111)</f>
        <v>46111</v>
      </c>
      <c r="G465" s="16">
        <f ca="1">IFERROR(__xludf.DUMMYFUNCTION("""COMPUTED_VALUE"""),46079)</f>
        <v>46079</v>
      </c>
      <c r="H465" s="6" t="str">
        <f ca="1">IFERROR(__xludf.DUMMYFUNCTION("""COMPUTED_VALUE"""),"San Javier")</f>
        <v>San Javier</v>
      </c>
      <c r="I465" s="6" t="str">
        <f ca="1">IFERROR(__xludf.DUMMYFUNCTION("""COMPUTED_VALUE"""),"C202622610047193666")</f>
        <v>C202622610047193666</v>
      </c>
      <c r="J465" s="6" t="str">
        <f ca="1">IFERROR(__xludf.DUMMYFUNCTION("""COMPUTED_VALUE"""),"JOSEFA ISABEL MARIN GARCIA")</f>
        <v>JOSEFA ISABEL MARIN GARCIA</v>
      </c>
      <c r="K465" s="15">
        <f ca="1">IFERROR(__xludf.DUMMYFUNCTION("""COMPUTED_VALUE"""),2)</f>
        <v>2</v>
      </c>
      <c r="L465" s="21">
        <f ca="1">IFERROR(__xludf.DUMMYFUNCTION("""COMPUTED_VALUE"""),2718.18)</f>
        <v>2718.18</v>
      </c>
      <c r="M465" s="6" t="str">
        <f ca="1">IFERROR(__xludf.DUMMYFUNCTION("""COMPUTED_VALUE"""),"03 ORL")</f>
        <v>03 ORL</v>
      </c>
      <c r="N465" s="6" t="str">
        <f ca="1">IFERROR(__xludf.DUMMYFUNCTION("""COMPUTED_VALUE"""),"06 ORL")</f>
        <v>06 ORL</v>
      </c>
      <c r="O465" s="6" t="str">
        <f ca="1">IFERROR(__xludf.DUMMYFUNCTION("""COMPUTED_VALUE"""),"Dr, Andrés Barrios Recio")</f>
        <v>Dr, Andrés Barrios Recio</v>
      </c>
      <c r="P465" s="6" t="str">
        <f ca="1">IFERROR(__xludf.DUMMYFUNCTION("""COMPUTED_VALUE"""),"Iván Sánchez (Levante y Albacete)")</f>
        <v>Iván Sánchez (Levante y Albacete)</v>
      </c>
    </row>
    <row r="466" spans="2:16">
      <c r="B466" s="33">
        <f ca="1">IFERROR(__xludf.DUMMYFUNCTION("""COMPUTED_VALUE"""),2026)</f>
        <v>2026</v>
      </c>
      <c r="C466" s="15">
        <f ca="1">IFERROR(__xludf.DUMMYFUNCTION("""COMPUTED_VALUE"""),3)</f>
        <v>3</v>
      </c>
      <c r="D466" s="6" t="str">
        <f ca="1">IFERROR(__xludf.DUMMYFUNCTION("""COMPUTED_VALUE"""),"NO")</f>
        <v>NO</v>
      </c>
      <c r="E466" s="6" t="str">
        <f ca="1">IFERROR(__xludf.DUMMYFUNCTION("""COMPUTED_VALUE"""),"Logroño")</f>
        <v>Logroño</v>
      </c>
      <c r="F466" s="16">
        <f ca="1">IFERROR(__xludf.DUMMYFUNCTION("""COMPUTED_VALUE"""),46111)</f>
        <v>46111</v>
      </c>
      <c r="G466" s="16">
        <f ca="1">IFERROR(__xludf.DUMMYFUNCTION("""COMPUTED_VALUE"""),46069)</f>
        <v>46069</v>
      </c>
      <c r="H466" s="6" t="str">
        <f ca="1">IFERROR(__xludf.DUMMYFUNCTION("""COMPUTED_VALUE"""),"Logroño")</f>
        <v>Logroño</v>
      </c>
      <c r="I466" s="6" t="str">
        <f ca="1">IFERROR(__xludf.DUMMYFUNCTION("""COMPUTED_VALUE"""),"C202621692621997748")</f>
        <v>C202621692621997748</v>
      </c>
      <c r="J466" s="6" t="str">
        <f ca="1">IFERROR(__xludf.DUMMYFUNCTION("""COMPUTED_VALUE"""),"TERESA LERIA RUBIO")</f>
        <v>TERESA LERIA RUBIO</v>
      </c>
      <c r="K466" s="15">
        <f ca="1">IFERROR(__xludf.DUMMYFUNCTION("""COMPUTED_VALUE"""),2)</f>
        <v>2</v>
      </c>
      <c r="L466" s="21">
        <f ca="1">IFERROR(__xludf.DUMMYFUNCTION("""COMPUTED_VALUE"""),4136.36)</f>
        <v>4136.3599999999997</v>
      </c>
      <c r="M466" s="6" t="str">
        <f ca="1">IFERROR(__xludf.DUMMYFUNCTION("""COMPUTED_VALUE"""),"03 ORL")</f>
        <v>03 ORL</v>
      </c>
      <c r="N466" s="6" t="str">
        <f ca="1">IFERROR(__xludf.DUMMYFUNCTION("""COMPUTED_VALUE"""),"06 ORL")</f>
        <v>06 ORL</v>
      </c>
      <c r="O466" s="6" t="str">
        <f ca="1">IFERROR(__xludf.DUMMYFUNCTION("""COMPUTED_VALUE"""),"No recuerda ORL")</f>
        <v>No recuerda ORL</v>
      </c>
      <c r="P466" s="6" t="str">
        <f ca="1">IFERROR(__xludf.DUMMYFUNCTION("""COMPUTED_VALUE"""),"Lisandro Russian (Madrid, Cáceres, Toledo, Talavera y Logroño)")</f>
        <v>Lisandro Russian (Madrid, Cáceres, Toledo, Talavera y Logroño)</v>
      </c>
    </row>
    <row r="467" spans="2:16">
      <c r="B467" s="33">
        <f ca="1">IFERROR(__xludf.DUMMYFUNCTION("""COMPUTED_VALUE"""),2026)</f>
        <v>2026</v>
      </c>
      <c r="C467" s="15">
        <f ca="1">IFERROR(__xludf.DUMMYFUNCTION("""COMPUTED_VALUE"""),3)</f>
        <v>3</v>
      </c>
      <c r="D467" s="6" t="str">
        <f ca="1">IFERROR(__xludf.DUMMYFUNCTION("""COMPUTED_VALUE"""),"NO")</f>
        <v>NO</v>
      </c>
      <c r="E467" s="6" t="str">
        <f ca="1">IFERROR(__xludf.DUMMYFUNCTION("""COMPUTED_VALUE"""),"León")</f>
        <v>León</v>
      </c>
      <c r="F467" s="16">
        <f ca="1">IFERROR(__xludf.DUMMYFUNCTION("""COMPUTED_VALUE"""),46112)</f>
        <v>46112</v>
      </c>
      <c r="G467" s="16">
        <f ca="1">IFERROR(__xludf.DUMMYFUNCTION("""COMPUTED_VALUE"""),46065)</f>
        <v>46065</v>
      </c>
      <c r="H467" s="6" t="str">
        <f ca="1">IFERROR(__xludf.DUMMYFUNCTION("""COMPUTED_VALUE"""),"León")</f>
        <v>León</v>
      </c>
      <c r="I467" s="6" t="str">
        <f ca="1">IFERROR(__xludf.DUMMYFUNCTION("""COMPUTED_VALUE"""),"C202621216935172983")</f>
        <v>C202621216935172983</v>
      </c>
      <c r="J467" s="6" t="str">
        <f ca="1">IFERROR(__xludf.DUMMYFUNCTION("""COMPUTED_VALUE"""),"Natividad Martinez Torre")</f>
        <v>Natividad Martinez Torre</v>
      </c>
      <c r="K467" s="15">
        <f ca="1">IFERROR(__xludf.DUMMYFUNCTION("""COMPUTED_VALUE"""),1)</f>
        <v>1</v>
      </c>
      <c r="L467" s="21">
        <f ca="1">IFERROR(__xludf.DUMMYFUNCTION("""COMPUTED_VALUE"""),3743.18)</f>
        <v>3743.18</v>
      </c>
      <c r="M467" s="6" t="str">
        <f ca="1">IFERROR(__xludf.DUMMYFUNCTION("""COMPUTED_VALUE"""),"03 ORL")</f>
        <v>03 ORL</v>
      </c>
      <c r="N467" s="6" t="str">
        <f ca="1">IFERROR(__xludf.DUMMYFUNCTION("""COMPUTED_VALUE"""),"06 ORL")</f>
        <v>06 ORL</v>
      </c>
      <c r="O467" s="6" t="str">
        <f ca="1">IFERROR(__xludf.DUMMYFUNCTION("""COMPUTED_VALUE"""),"Dr, Alejandro Harguindey Antoli-Candela")</f>
        <v>Dr, Alejandro Harguindey Antoli-Candela</v>
      </c>
      <c r="P467" s="6" t="str">
        <f ca="1">IFERROR(__xludf.DUMMYFUNCTION("""COMPUTED_VALUE"""),"Maika Blázquez (Madrid)")</f>
        <v>Maika Blázquez (Madrid)</v>
      </c>
    </row>
    <row r="468" spans="2:16">
      <c r="B468" s="33">
        <f ca="1">IFERROR(__xludf.DUMMYFUNCTION("""COMPUTED_VALUE"""),2026)</f>
        <v>2026</v>
      </c>
      <c r="C468" s="15">
        <f ca="1">IFERROR(__xludf.DUMMYFUNCTION("""COMPUTED_VALUE"""),3)</f>
        <v>3</v>
      </c>
      <c r="D468" s="6" t="str">
        <f ca="1">IFERROR(__xludf.DUMMYFUNCTION("""COMPUTED_VALUE"""),"NO")</f>
        <v>NO</v>
      </c>
      <c r="E468" s="6" t="str">
        <f ca="1">IFERROR(__xludf.DUMMYFUNCTION("""COMPUTED_VALUE"""),"Murcia")</f>
        <v>Murcia</v>
      </c>
      <c r="F468" s="16">
        <f ca="1">IFERROR(__xludf.DUMMYFUNCTION("""COMPUTED_VALUE"""),46112)</f>
        <v>46112</v>
      </c>
      <c r="G468" s="16">
        <f ca="1">IFERROR(__xludf.DUMMYFUNCTION("""COMPUTED_VALUE"""),46071)</f>
        <v>46071</v>
      </c>
      <c r="H468" s="6" t="str">
        <f ca="1">IFERROR(__xludf.DUMMYFUNCTION("""COMPUTED_VALUE"""),"Murcia")</f>
        <v>Murcia</v>
      </c>
      <c r="I468" s="6" t="str">
        <f ca="1">IFERROR(__xludf.DUMMYFUNCTION("""COMPUTED_VALUE"""),"C202621816286922226")</f>
        <v>C202621816286922226</v>
      </c>
      <c r="J468" s="6" t="str">
        <f ca="1">IFERROR(__xludf.DUMMYFUNCTION("""COMPUTED_VALUE"""),"JOELLE MANTELET")</f>
        <v>JOELLE MANTELET</v>
      </c>
      <c r="K468" s="15">
        <f ca="1">IFERROR(__xludf.DUMMYFUNCTION("""COMPUTED_VALUE"""),2)</f>
        <v>2</v>
      </c>
      <c r="L468" s="21">
        <f ca="1">IFERROR(__xludf.DUMMYFUNCTION("""COMPUTED_VALUE"""),2718.18)</f>
        <v>2718.18</v>
      </c>
      <c r="M468" s="6" t="str">
        <f ca="1">IFERROR(__xludf.DUMMYFUNCTION("""COMPUTED_VALUE"""),"03 ORL")</f>
        <v>03 ORL</v>
      </c>
      <c r="N468" s="6" t="str">
        <f ca="1">IFERROR(__xludf.DUMMYFUNCTION("""COMPUTED_VALUE"""),"06 ORL")</f>
        <v>06 ORL</v>
      </c>
      <c r="O468" s="6" t="str">
        <f ca="1">IFERROR(__xludf.DUMMYFUNCTION("""COMPUTED_VALUE"""),"Dra, Nuria Salas Barrio")</f>
        <v>Dra, Nuria Salas Barrio</v>
      </c>
      <c r="P468" s="6" t="str">
        <f ca="1">IFERROR(__xludf.DUMMYFUNCTION("""COMPUTED_VALUE"""),"Iván Sánchez (Levante y Albacete)")</f>
        <v>Iván Sánchez (Levante y Albacete)</v>
      </c>
    </row>
    <row r="469" spans="2:16">
      <c r="B469" s="33">
        <f ca="1">IFERROR(__xludf.DUMMYFUNCTION("""COMPUTED_VALUE"""),2026)</f>
        <v>2026</v>
      </c>
      <c r="C469" s="15">
        <f ca="1">IFERROR(__xludf.DUMMYFUNCTION("""COMPUTED_VALUE"""),3)</f>
        <v>3</v>
      </c>
      <c r="D469" s="6" t="str">
        <f ca="1">IFERROR(__xludf.DUMMYFUNCTION("""COMPUTED_VALUE"""),"NO")</f>
        <v>NO</v>
      </c>
      <c r="E469" s="6" t="str">
        <f ca="1">IFERROR(__xludf.DUMMYFUNCTION("""COMPUTED_VALUE"""),"Madrid- Costa Rica")</f>
        <v>Madrid- Costa Rica</v>
      </c>
      <c r="F469" s="16">
        <f ca="1">IFERROR(__xludf.DUMMYFUNCTION("""COMPUTED_VALUE"""),46112)</f>
        <v>46112</v>
      </c>
      <c r="G469" s="16">
        <f ca="1">IFERROR(__xludf.DUMMYFUNCTION("""COMPUTED_VALUE"""),45973)</f>
        <v>45973</v>
      </c>
      <c r="H469" s="6" t="str">
        <f ca="1">IFERROR(__xludf.DUMMYFUNCTION("""COMPUTED_VALUE"""),"Costa Rica")</f>
        <v>Costa Rica</v>
      </c>
      <c r="I469" s="6" t="str">
        <f ca="1">IFERROR(__xludf.DUMMYFUNCTION("""COMPUTED_VALUE"""),"C202511121256727364")</f>
        <v>C202511121256727364</v>
      </c>
      <c r="J469" s="6" t="str">
        <f ca="1">IFERROR(__xludf.DUMMYFUNCTION("""COMPUTED_VALUE"""),"PEDRO  SAEZ GARCIA")</f>
        <v>PEDRO  SAEZ GARCIA</v>
      </c>
      <c r="K469" s="15">
        <f ca="1">IFERROR(__xludf.DUMMYFUNCTION("""COMPUTED_VALUE"""),-1)</f>
        <v>-1</v>
      </c>
      <c r="L469" s="21">
        <f ca="1">IFERROR(__xludf.DUMMYFUNCTION("""COMPUTED_VALUE"""),-1631.82)</f>
        <v>-1631.82</v>
      </c>
      <c r="M469" s="6" t="str">
        <f ca="1">IFERROR(__xludf.DUMMYFUNCTION("""COMPUTED_VALUE"""),"03 ORL")</f>
        <v>03 ORL</v>
      </c>
      <c r="N469" s="6" t="str">
        <f ca="1">IFERROR(__xludf.DUMMYFUNCTION("""COMPUTED_VALUE"""),"06 ORL")</f>
        <v>06 ORL</v>
      </c>
      <c r="O469" s="6" t="str">
        <f ca="1">IFERROR(__xludf.DUMMYFUNCTION("""COMPUTED_VALUE"""),"Dr. Luis Jiménez Ferreres")</f>
        <v>Dr. Luis Jiménez Ferreres</v>
      </c>
      <c r="P469" s="6" t="str">
        <f ca="1">IFERROR(__xludf.DUMMYFUNCTION("""COMPUTED_VALUE"""),"Lisandro Russian (Madrid, Cáceres, Toledo, Talavera y Logroño)")</f>
        <v>Lisandro Russian (Madrid, Cáceres, Toledo, Talavera y Logroño)</v>
      </c>
    </row>
    <row r="470" spans="2:16">
      <c r="B470" s="33">
        <f ca="1">IFERROR(__xludf.DUMMYFUNCTION("""COMPUTED_VALUE"""),2026)</f>
        <v>2026</v>
      </c>
      <c r="C470" s="15">
        <f ca="1">IFERROR(__xludf.DUMMYFUNCTION("""COMPUTED_VALUE"""),3)</f>
        <v>3</v>
      </c>
      <c r="D470" s="6" t="str">
        <f ca="1">IFERROR(__xludf.DUMMYFUNCTION("""COMPUTED_VALUE"""),"NO")</f>
        <v>NO</v>
      </c>
      <c r="E470" s="6" t="str">
        <f ca="1">IFERROR(__xludf.DUMMYFUNCTION("""COMPUTED_VALUE"""),"Albacete")</f>
        <v>Albacete</v>
      </c>
      <c r="F470" s="16">
        <f ca="1">IFERROR(__xludf.DUMMYFUNCTION("""COMPUTED_VALUE"""),46112)</f>
        <v>46112</v>
      </c>
      <c r="G470" s="16">
        <f ca="1">IFERROR(__xludf.DUMMYFUNCTION("""COMPUTED_VALUE"""),46077)</f>
        <v>46077</v>
      </c>
      <c r="H470" s="6" t="str">
        <f ca="1">IFERROR(__xludf.DUMMYFUNCTION("""COMPUTED_VALUE"""),"Albacete")</f>
        <v>Albacete</v>
      </c>
      <c r="I470" s="6" t="str">
        <f ca="1">IFERROR(__xludf.DUMMYFUNCTION("""COMPUTED_VALUE"""),"C202622415411463016")</f>
        <v>C202622415411463016</v>
      </c>
      <c r="J470" s="6" t="str">
        <f ca="1">IFERROR(__xludf.DUMMYFUNCTION("""COMPUTED_VALUE"""),"PALMIRA MUELA AZORIN")</f>
        <v>PALMIRA MUELA AZORIN</v>
      </c>
      <c r="K470" s="15">
        <f ca="1">IFERROR(__xludf.DUMMYFUNCTION("""COMPUTED_VALUE"""),2)</f>
        <v>2</v>
      </c>
      <c r="L470" s="21">
        <f ca="1">IFERROR(__xludf.DUMMYFUNCTION("""COMPUTED_VALUE"""),2818.18)</f>
        <v>2818.18</v>
      </c>
      <c r="M470" s="6" t="str">
        <f ca="1">IFERROR(__xludf.DUMMYFUNCTION("""COMPUTED_VALUE"""),"03 ORL")</f>
        <v>03 ORL</v>
      </c>
      <c r="N470" s="6" t="str">
        <f ca="1">IFERROR(__xludf.DUMMYFUNCTION("""COMPUTED_VALUE"""),"06 ORL")</f>
        <v>06 ORL</v>
      </c>
      <c r="O470" s="6" t="str">
        <f ca="1">IFERROR(__xludf.DUMMYFUNCTION("""COMPUTED_VALUE"""),"Dra, Alejandra Jara Maquilón")</f>
        <v>Dra, Alejandra Jara Maquilón</v>
      </c>
      <c r="P470" s="6" t="str">
        <f ca="1">IFERROR(__xludf.DUMMYFUNCTION("""COMPUTED_VALUE"""),"Iván Sánchez (Levante y Albacete)")</f>
        <v>Iván Sánchez (Levante y Albacete)</v>
      </c>
    </row>
    <row r="471" spans="2:16">
      <c r="B471" s="33">
        <f ca="1">IFERROR(__xludf.DUMMYFUNCTION("""COMPUTED_VALUE"""),2026)</f>
        <v>2026</v>
      </c>
      <c r="C471" s="15">
        <f ca="1">IFERROR(__xludf.DUMMYFUNCTION("""COMPUTED_VALUE"""),3)</f>
        <v>3</v>
      </c>
      <c r="D471" s="6" t="str">
        <f ca="1">IFERROR(__xludf.DUMMYFUNCTION("""COMPUTED_VALUE"""),"NO")</f>
        <v>NO</v>
      </c>
      <c r="E471" s="6" t="str">
        <f ca="1">IFERROR(__xludf.DUMMYFUNCTION("""COMPUTED_VALUE"""),"Murcia")</f>
        <v>Murcia</v>
      </c>
      <c r="F471" s="16">
        <f ca="1">IFERROR(__xludf.DUMMYFUNCTION("""COMPUTED_VALUE"""),46112)</f>
        <v>46112</v>
      </c>
      <c r="G471" s="16">
        <f ca="1">IFERROR(__xludf.DUMMYFUNCTION("""COMPUTED_VALUE"""),45308)</f>
        <v>45308</v>
      </c>
      <c r="H471" s="6" t="str">
        <f ca="1">IFERROR(__xludf.DUMMYFUNCTION("""COMPUTED_VALUE"""),"Murcia")</f>
        <v>Murcia</v>
      </c>
      <c r="I471" s="6" t="str">
        <f ca="1">IFERROR(__xludf.DUMMYFUNCTION("""COMPUTED_VALUE"""),"MUR-1812")</f>
        <v>MUR-1812</v>
      </c>
      <c r="J471" s="6" t="str">
        <f ca="1">IFERROR(__xludf.DUMMYFUNCTION("""COMPUTED_VALUE"""),"MARIA PILAR FERNANDEZ-PACHECO PEREZ")</f>
        <v>MARIA PILAR FERNANDEZ-PACHECO PEREZ</v>
      </c>
      <c r="K471" s="15">
        <f ca="1">IFERROR(__xludf.DUMMYFUNCTION("""COMPUTED_VALUE"""),1)</f>
        <v>1</v>
      </c>
      <c r="L471" s="21">
        <f ca="1">IFERROR(__xludf.DUMMYFUNCTION("""COMPUTED_VALUE"""),2482.69)</f>
        <v>2482.69</v>
      </c>
      <c r="M471" s="6" t="str">
        <f ca="1">IFERROR(__xludf.DUMMYFUNCTION("""COMPUTED_VALUE"""),"03 ORL")</f>
        <v>03 ORL</v>
      </c>
      <c r="N471" s="6" t="str">
        <f ca="1">IFERROR(__xludf.DUMMYFUNCTION("""COMPUTED_VALUE"""),"06 ORL")</f>
        <v>06 ORL</v>
      </c>
      <c r="O471" s="6" t="str">
        <f ca="1">IFERROR(__xludf.DUMMYFUNCTION("""COMPUTED_VALUE"""),"Dra, Ana Giribet Fernandez-Pacheco")</f>
        <v>Dra, Ana Giribet Fernandez-Pacheco</v>
      </c>
      <c r="P471" s="6" t="str">
        <f ca="1">IFERROR(__xludf.DUMMYFUNCTION("""COMPUTED_VALUE"""),"Iván Sánchez (Levante y Albacete)")</f>
        <v>Iván Sánchez (Levante y Albacete)</v>
      </c>
    </row>
    <row r="472" spans="2:16">
      <c r="B472" s="33">
        <f ca="1">IFERROR(__xludf.DUMMYFUNCTION("""COMPUTED_VALUE"""),2026)</f>
        <v>2026</v>
      </c>
      <c r="C472" s="15">
        <f ca="1">IFERROR(__xludf.DUMMYFUNCTION("""COMPUTED_VALUE"""),3)</f>
        <v>3</v>
      </c>
      <c r="D472" s="6" t="str">
        <f ca="1">IFERROR(__xludf.DUMMYFUNCTION("""COMPUTED_VALUE"""),"NO")</f>
        <v>NO</v>
      </c>
      <c r="E472" s="6" t="str">
        <f ca="1">IFERROR(__xludf.DUMMYFUNCTION("""COMPUTED_VALUE"""),"Getafe")</f>
        <v>Getafe</v>
      </c>
      <c r="F472" s="16">
        <f ca="1">IFERROR(__xludf.DUMMYFUNCTION("""COMPUTED_VALUE"""),46112)</f>
        <v>46112</v>
      </c>
      <c r="G472" s="16">
        <f ca="1">IFERROR(__xludf.DUMMYFUNCTION("""COMPUTED_VALUE"""),46078)</f>
        <v>46078</v>
      </c>
      <c r="H472" s="6" t="str">
        <f ca="1">IFERROR(__xludf.DUMMYFUNCTION("""COMPUTED_VALUE"""),"Getafe")</f>
        <v>Getafe</v>
      </c>
      <c r="I472" s="6" t="str">
        <f ca="1">IFERROR(__xludf.DUMMYFUNCTION("""COMPUTED_VALUE"""),"C202622510205223542")</f>
        <v>C202622510205223542</v>
      </c>
      <c r="J472" s="6" t="str">
        <f ca="1">IFERROR(__xludf.DUMMYFUNCTION("""COMPUTED_VALUE"""),"ESPERANZA IZQUIERDO LUIS")</f>
        <v>ESPERANZA IZQUIERDO LUIS</v>
      </c>
      <c r="K472" s="15">
        <f ca="1">IFERROR(__xludf.DUMMYFUNCTION("""COMPUTED_VALUE"""),2)</f>
        <v>2</v>
      </c>
      <c r="L472" s="21">
        <f ca="1">IFERROR(__xludf.DUMMYFUNCTION("""COMPUTED_VALUE"""),3450)</f>
        <v>3450</v>
      </c>
      <c r="M472" s="6" t="str">
        <f ca="1">IFERROR(__xludf.DUMMYFUNCTION("""COMPUTED_VALUE"""),"03 ORL")</f>
        <v>03 ORL</v>
      </c>
      <c r="N472" s="6" t="str">
        <f ca="1">IFERROR(__xludf.DUMMYFUNCTION("""COMPUTED_VALUE"""),"06 ORL")</f>
        <v>06 ORL</v>
      </c>
      <c r="O472" s="6" t="str">
        <f ca="1">IFERROR(__xludf.DUMMYFUNCTION("""COMPUTED_VALUE"""),"Dra, Cristina Herrero Fernández")</f>
        <v>Dra, Cristina Herrero Fernández</v>
      </c>
      <c r="P472" s="6" t="str">
        <f ca="1">IFERROR(__xludf.DUMMYFUNCTION("""COMPUTED_VALUE"""),"Maika Blázquez (Madrid)")</f>
        <v>Maika Blázquez (Madrid)</v>
      </c>
    </row>
    <row r="473" spans="2:16">
      <c r="B473" s="33">
        <f ca="1">IFERROR(__xludf.DUMMYFUNCTION("""COMPUTED_VALUE"""),2026)</f>
        <v>2026</v>
      </c>
      <c r="C473" s="15">
        <f ca="1">IFERROR(__xludf.DUMMYFUNCTION("""COMPUTED_VALUE"""),3)</f>
        <v>3</v>
      </c>
      <c r="D473" s="6" t="str">
        <f ca="1">IFERROR(__xludf.DUMMYFUNCTION("""COMPUTED_VALUE"""),"NO")</f>
        <v>NO</v>
      </c>
      <c r="E473" s="6" t="str">
        <f ca="1">IFERROR(__xludf.DUMMYFUNCTION("""COMPUTED_VALUE"""),"Leganés")</f>
        <v>Leganés</v>
      </c>
      <c r="F473" s="16">
        <f ca="1">IFERROR(__xludf.DUMMYFUNCTION("""COMPUTED_VALUE"""),46112)</f>
        <v>46112</v>
      </c>
      <c r="G473" s="16">
        <f ca="1">IFERROR(__xludf.DUMMYFUNCTION("""COMPUTED_VALUE"""),46070)</f>
        <v>46070</v>
      </c>
      <c r="H473" s="6" t="str">
        <f ca="1">IFERROR(__xludf.DUMMYFUNCTION("""COMPUTED_VALUE"""),"Leganés")</f>
        <v>Leganés</v>
      </c>
      <c r="I473" s="6" t="str">
        <f ca="1">IFERROR(__xludf.DUMMYFUNCTION("""COMPUTED_VALUE"""),"C202621718264768381")</f>
        <v>C202621718264768381</v>
      </c>
      <c r="J473" s="6" t="str">
        <f ca="1">IFERROR(__xludf.DUMMYFUNCTION("""COMPUTED_VALUE"""),"TERESA CHAMORRO LÓPEZ")</f>
        <v>TERESA CHAMORRO LÓPEZ</v>
      </c>
      <c r="K473" s="15">
        <f ca="1">IFERROR(__xludf.DUMMYFUNCTION("""COMPUTED_VALUE"""),2)</f>
        <v>2</v>
      </c>
      <c r="L473" s="21">
        <f ca="1">IFERROR(__xludf.DUMMYFUNCTION("""COMPUTED_VALUE"""),2718.18)</f>
        <v>2718.18</v>
      </c>
      <c r="M473" s="6" t="str">
        <f ca="1">IFERROR(__xludf.DUMMYFUNCTION("""COMPUTED_VALUE"""),"03 ORL")</f>
        <v>03 ORL</v>
      </c>
      <c r="N473" s="6" t="str">
        <f ca="1">IFERROR(__xludf.DUMMYFUNCTION("""COMPUTED_VALUE"""),"06 ORL")</f>
        <v>06 ORL</v>
      </c>
      <c r="O473" s="6" t="str">
        <f ca="1">IFERROR(__xludf.DUMMYFUNCTION("""COMPUTED_VALUE"""),"Dra, Elena Martín Bejerano")</f>
        <v>Dra, Elena Martín Bejerano</v>
      </c>
      <c r="P473" s="6" t="str">
        <f ca="1">IFERROR(__xludf.DUMMYFUNCTION("""COMPUTED_VALUE"""),"Maika Blázquez (Madrid)")</f>
        <v>Maika Blázquez (Madrid)</v>
      </c>
    </row>
    <row r="474" spans="2:16">
      <c r="B474" s="33">
        <f ca="1">IFERROR(__xludf.DUMMYFUNCTION("""COMPUTED_VALUE"""),2026)</f>
        <v>2026</v>
      </c>
      <c r="C474" s="15">
        <f ca="1">IFERROR(__xludf.DUMMYFUNCTION("""COMPUTED_VALUE"""),3)</f>
        <v>3</v>
      </c>
      <c r="D474" s="6" t="str">
        <f ca="1">IFERROR(__xludf.DUMMYFUNCTION("""COMPUTED_VALUE"""),"NO")</f>
        <v>NO</v>
      </c>
      <c r="E474" s="6" t="str">
        <f ca="1">IFERROR(__xludf.DUMMYFUNCTION("""COMPUTED_VALUE"""),"Murcia")</f>
        <v>Murcia</v>
      </c>
      <c r="F474" s="16">
        <f ca="1">IFERROR(__xludf.DUMMYFUNCTION("""COMPUTED_VALUE"""),46112)</f>
        <v>46112</v>
      </c>
      <c r="G474" s="16">
        <f ca="1">IFERROR(__xludf.DUMMYFUNCTION("""COMPUTED_VALUE"""),46056)</f>
        <v>46056</v>
      </c>
      <c r="H474" s="6" t="str">
        <f ca="1">IFERROR(__xludf.DUMMYFUNCTION("""COMPUTED_VALUE"""),"Murcia")</f>
        <v>Murcia</v>
      </c>
      <c r="I474" s="6" t="str">
        <f ca="1">IFERROR(__xludf.DUMMYFUNCTION("""COMPUTED_VALUE"""),"C202623101617395124")</f>
        <v>C202623101617395124</v>
      </c>
      <c r="J474" s="6" t="str">
        <f ca="1">IFERROR(__xludf.DUMMYFUNCTION("""COMPUTED_VALUE"""),"MANUEL FERNANDEZ GALLEGO")</f>
        <v>MANUEL FERNANDEZ GALLEGO</v>
      </c>
      <c r="K474" s="15">
        <f ca="1">IFERROR(__xludf.DUMMYFUNCTION("""COMPUTED_VALUE"""),2)</f>
        <v>2</v>
      </c>
      <c r="L474" s="21">
        <f ca="1">IFERROR(__xludf.DUMMYFUNCTION("""COMPUTED_VALUE"""),4136.36)</f>
        <v>4136.3599999999997</v>
      </c>
      <c r="M474" s="6" t="str">
        <f ca="1">IFERROR(__xludf.DUMMYFUNCTION("""COMPUTED_VALUE"""),"03 ORL")</f>
        <v>03 ORL</v>
      </c>
      <c r="N474" s="6" t="str">
        <f ca="1">IFERROR(__xludf.DUMMYFUNCTION("""COMPUTED_VALUE"""),"22 AUDIOMETRIA CLINICA")</f>
        <v>22 AUDIOMETRIA CLINICA</v>
      </c>
      <c r="O474" s="6" t="str">
        <f ca="1">IFERROR(__xludf.DUMMYFUNCTION("""COMPUTED_VALUE"""),"Dra, María Agustina Sevilla García")</f>
        <v>Dra, María Agustina Sevilla García</v>
      </c>
      <c r="P474" s="6" t="str">
        <f ca="1">IFERROR(__xludf.DUMMYFUNCTION("""COMPUTED_VALUE"""),"Iván Sánchez (Levante y Albacete)")</f>
        <v>Iván Sánchez (Levante y Albacete)</v>
      </c>
    </row>
    <row r="475" spans="2:16">
      <c r="B475" s="33">
        <f ca="1">IFERROR(__xludf.DUMMYFUNCTION("""COMPUTED_VALUE"""),2026)</f>
        <v>2026</v>
      </c>
      <c r="C475" s="15">
        <f ca="1">IFERROR(__xludf.DUMMYFUNCTION("""COMPUTED_VALUE"""),3)</f>
        <v>3</v>
      </c>
      <c r="D475" s="6" t="str">
        <f ca="1">IFERROR(__xludf.DUMMYFUNCTION("""COMPUTED_VALUE"""),"NO")</f>
        <v>NO</v>
      </c>
      <c r="E475" s="6" t="str">
        <f ca="1">IFERROR(__xludf.DUMMYFUNCTION("""COMPUTED_VALUE"""),"Salamanca")</f>
        <v>Salamanca</v>
      </c>
      <c r="F475" s="16">
        <f ca="1">IFERROR(__xludf.DUMMYFUNCTION("""COMPUTED_VALUE"""),46112)</f>
        <v>46112</v>
      </c>
      <c r="G475" s="16">
        <f ca="1">IFERROR(__xludf.DUMMYFUNCTION("""COMPUTED_VALUE"""),46071)</f>
        <v>46071</v>
      </c>
      <c r="H475" s="6" t="str">
        <f ca="1">IFERROR(__xludf.DUMMYFUNCTION("""COMPUTED_VALUE"""),"Salamanca")</f>
        <v>Salamanca</v>
      </c>
      <c r="I475" s="6" t="str">
        <f ca="1">IFERROR(__xludf.DUMMYFUNCTION("""COMPUTED_VALUE"""),"C202621812193368454")</f>
        <v>C202621812193368454</v>
      </c>
      <c r="J475" s="6" t="str">
        <f ca="1">IFERROR(__xludf.DUMMYFUNCTION("""COMPUTED_VALUE"""),"Carmen Guinarte Perez")</f>
        <v>Carmen Guinarte Perez</v>
      </c>
      <c r="K475" s="15">
        <f ca="1">IFERROR(__xludf.DUMMYFUNCTION("""COMPUTED_VALUE"""),2)</f>
        <v>2</v>
      </c>
      <c r="L475" s="21">
        <f ca="1">IFERROR(__xludf.DUMMYFUNCTION("""COMPUTED_VALUE"""),3730)</f>
        <v>3730</v>
      </c>
      <c r="M475" s="6" t="str">
        <f ca="1">IFERROR(__xludf.DUMMYFUNCTION("""COMPUTED_VALUE"""),"03 ORL")</f>
        <v>03 ORL</v>
      </c>
      <c r="N475" s="6" t="str">
        <f ca="1">IFERROR(__xludf.DUMMYFUNCTION("""COMPUTED_VALUE"""),"06 ORL")</f>
        <v>06 ORL</v>
      </c>
      <c r="O475" s="6" t="str">
        <f ca="1">IFERROR(__xludf.DUMMYFUNCTION("""COMPUTED_VALUE"""),"Dr, Ángel Muñoz Herrera")</f>
        <v>Dr, Ángel Muñoz Herrera</v>
      </c>
      <c r="P475" s="6" t="str">
        <f ca="1">IFERROR(__xludf.DUMMYFUNCTION("""COMPUTED_VALUE"""),"Alberto Moreno (Madrid)")</f>
        <v>Alberto Moreno (Madrid)</v>
      </c>
    </row>
    <row r="476" spans="2:16">
      <c r="B476" s="33">
        <f ca="1">IFERROR(__xludf.DUMMYFUNCTION("""COMPUTED_VALUE"""),2026)</f>
        <v>2026</v>
      </c>
      <c r="C476" s="15">
        <f ca="1">IFERROR(__xludf.DUMMYFUNCTION("""COMPUTED_VALUE"""),3)</f>
        <v>3</v>
      </c>
      <c r="D476" s="6" t="str">
        <f ca="1">IFERROR(__xludf.DUMMYFUNCTION("""COMPUTED_VALUE"""),"NO")</f>
        <v>NO</v>
      </c>
      <c r="E476" s="6" t="str">
        <f ca="1">IFERROR(__xludf.DUMMYFUNCTION("""COMPUTED_VALUE"""),"Leganés")</f>
        <v>Leganés</v>
      </c>
      <c r="F476" s="16">
        <f ca="1">IFERROR(__xludf.DUMMYFUNCTION("""COMPUTED_VALUE"""),46112)</f>
        <v>46112</v>
      </c>
      <c r="G476" s="16">
        <f ca="1">IFERROR(__xludf.DUMMYFUNCTION("""COMPUTED_VALUE"""),46090)</f>
        <v>46090</v>
      </c>
      <c r="H476" s="6" t="str">
        <f ca="1">IFERROR(__xludf.DUMMYFUNCTION("""COMPUTED_VALUE"""),"Leganés")</f>
        <v>Leganés</v>
      </c>
      <c r="I476" s="6" t="str">
        <f ca="1">IFERROR(__xludf.DUMMYFUNCTION("""COMPUTED_VALUE"""),"C2026399930726458")</f>
        <v>C2026399930726458</v>
      </c>
      <c r="J476" s="6" t="str">
        <f ca="1">IFERROR(__xludf.DUMMYFUNCTION("""COMPUTED_VALUE"""),"FRANCISCO SERRANO RODRIGUEZ DE GUZMAN")</f>
        <v>FRANCISCO SERRANO RODRIGUEZ DE GUZMAN</v>
      </c>
      <c r="K476" s="15">
        <f ca="1">IFERROR(__xludf.DUMMYFUNCTION("""COMPUTED_VALUE"""),2)</f>
        <v>2</v>
      </c>
      <c r="L476" s="21">
        <f ca="1">IFERROR(__xludf.DUMMYFUNCTION("""COMPUTED_VALUE"""),2718.18)</f>
        <v>2718.18</v>
      </c>
      <c r="M476" s="6" t="str">
        <f ca="1">IFERROR(__xludf.DUMMYFUNCTION("""COMPUTED_VALUE"""),"03 ORL")</f>
        <v>03 ORL</v>
      </c>
      <c r="N476" s="6" t="str">
        <f ca="1">IFERROR(__xludf.DUMMYFUNCTION("""COMPUTED_VALUE"""),"06 ORL")</f>
        <v>06 ORL</v>
      </c>
      <c r="O476" s="6" t="str">
        <f ca="1">IFERROR(__xludf.DUMMYFUNCTION("""COMPUTED_VALUE"""),"Dra, Nuria Arnaiz Canora")</f>
        <v>Dra, Nuria Arnaiz Canora</v>
      </c>
      <c r="P476" s="6" t="str">
        <f ca="1">IFERROR(__xludf.DUMMYFUNCTION("""COMPUTED_VALUE"""),"Maika Blázquez (Madrid)")</f>
        <v>Maika Blázquez (Madrid)</v>
      </c>
    </row>
    <row r="477" spans="2:16">
      <c r="B477" s="33">
        <f ca="1">IFERROR(__xludf.DUMMYFUNCTION("""COMPUTED_VALUE"""),2026)</f>
        <v>2026</v>
      </c>
      <c r="C477" s="15">
        <f ca="1">IFERROR(__xludf.DUMMYFUNCTION("""COMPUTED_VALUE"""),3)</f>
        <v>3</v>
      </c>
      <c r="D477" s="6" t="str">
        <f ca="1">IFERROR(__xludf.DUMMYFUNCTION("""COMPUTED_VALUE"""),"NO")</f>
        <v>NO</v>
      </c>
      <c r="E477" s="6" t="str">
        <f ca="1">IFERROR(__xludf.DUMMYFUNCTION("""COMPUTED_VALUE"""),"Logroño")</f>
        <v>Logroño</v>
      </c>
      <c r="F477" s="16">
        <f ca="1">IFERROR(__xludf.DUMMYFUNCTION("""COMPUTED_VALUE"""),46112)</f>
        <v>46112</v>
      </c>
      <c r="G477" s="16">
        <f ca="1">IFERROR(__xludf.DUMMYFUNCTION("""COMPUTED_VALUE"""),46062)</f>
        <v>46062</v>
      </c>
      <c r="H477" s="6" t="str">
        <f ca="1">IFERROR(__xludf.DUMMYFUNCTION("""COMPUTED_VALUE"""),"Logroño")</f>
        <v>Logroño</v>
      </c>
      <c r="I477" s="6" t="str">
        <f ca="1">IFERROR(__xludf.DUMMYFUNCTION("""COMPUTED_VALUE"""),"C2026291005304025")</f>
        <v>C2026291005304025</v>
      </c>
      <c r="J477" s="6" t="str">
        <f ca="1">IFERROR(__xludf.DUMMYFUNCTION("""COMPUTED_VALUE"""),"MARIA LOURDES  FRIAS VITORES")</f>
        <v>MARIA LOURDES  FRIAS VITORES</v>
      </c>
      <c r="K477" s="15">
        <f ca="1">IFERROR(__xludf.DUMMYFUNCTION("""COMPUTED_VALUE"""),2)</f>
        <v>2</v>
      </c>
      <c r="L477" s="21">
        <f ca="1">IFERROR(__xludf.DUMMYFUNCTION("""COMPUTED_VALUE"""),2718.18)</f>
        <v>2718.18</v>
      </c>
      <c r="M477" s="6" t="str">
        <f ca="1">IFERROR(__xludf.DUMMYFUNCTION("""COMPUTED_VALUE"""),"03 ORL")</f>
        <v>03 ORL</v>
      </c>
      <c r="N477" s="6" t="str">
        <f ca="1">IFERROR(__xludf.DUMMYFUNCTION("""COMPUTED_VALUE"""),"06 ORL")</f>
        <v>06 ORL</v>
      </c>
      <c r="O477" s="6" t="str">
        <f ca="1">IFERROR(__xludf.DUMMYFUNCTION("""COMPUTED_VALUE"""),"No recuerda ORL")</f>
        <v>No recuerda ORL</v>
      </c>
      <c r="P477" s="6" t="str">
        <f ca="1">IFERROR(__xludf.DUMMYFUNCTION("""COMPUTED_VALUE"""),"Lisandro Russian (Madrid, Cáceres, Toledo, Talavera y Logroño)")</f>
        <v>Lisandro Russian (Madrid, Cáceres, Toledo, Talavera y Logroño)</v>
      </c>
    </row>
    <row r="478" spans="2:16">
      <c r="B478" s="33">
        <f ca="1">IFERROR(__xludf.DUMMYFUNCTION("""COMPUTED_VALUE"""),2026)</f>
        <v>2026</v>
      </c>
      <c r="C478" s="15">
        <f ca="1">IFERROR(__xludf.DUMMYFUNCTION("""COMPUTED_VALUE"""),3)</f>
        <v>3</v>
      </c>
      <c r="D478" s="6" t="str">
        <f ca="1">IFERROR(__xludf.DUMMYFUNCTION("""COMPUTED_VALUE"""),"NO")</f>
        <v>NO</v>
      </c>
      <c r="E478" s="6" t="str">
        <f ca="1">IFERROR(__xludf.DUMMYFUNCTION("""COMPUTED_VALUE"""),"Valladolid")</f>
        <v>Valladolid</v>
      </c>
      <c r="F478" s="16">
        <f ca="1">IFERROR(__xludf.DUMMYFUNCTION("""COMPUTED_VALUE"""),46112)</f>
        <v>46112</v>
      </c>
      <c r="G478" s="16">
        <f ca="1">IFERROR(__xludf.DUMMYFUNCTION("""COMPUTED_VALUE"""),46058)</f>
        <v>46058</v>
      </c>
      <c r="H478" s="6" t="str">
        <f ca="1">IFERROR(__xludf.DUMMYFUNCTION("""COMPUTED_VALUE"""),"Valladolid")</f>
        <v>Valladolid</v>
      </c>
      <c r="I478" s="6" t="str">
        <f ca="1">IFERROR(__xludf.DUMMYFUNCTION("""COMPUTED_VALUE"""),"C202625165834361107")</f>
        <v>C202625165834361107</v>
      </c>
      <c r="J478" s="6" t="str">
        <f ca="1">IFERROR(__xludf.DUMMYFUNCTION("""COMPUTED_VALUE"""),"MARIA DEL CARMEN GARCIA RUA")</f>
        <v>MARIA DEL CARMEN GARCIA RUA</v>
      </c>
      <c r="K478" s="15">
        <f ca="1">IFERROR(__xludf.DUMMYFUNCTION("""COMPUTED_VALUE"""),1)</f>
        <v>1</v>
      </c>
      <c r="L478" s="21">
        <f ca="1">IFERROR(__xludf.DUMMYFUNCTION("""COMPUTED_VALUE"""),2307.27)</f>
        <v>2307.27</v>
      </c>
      <c r="M478" s="6" t="str">
        <f ca="1">IFERROR(__xludf.DUMMYFUNCTION("""COMPUTED_VALUE"""),"03 ORL")</f>
        <v>03 ORL</v>
      </c>
      <c r="N478" s="6" t="str">
        <f ca="1">IFERROR(__xludf.DUMMYFUNCTION("""COMPUTED_VALUE"""),"06 ORL")</f>
        <v>06 ORL</v>
      </c>
      <c r="O478" s="6" t="str">
        <f ca="1">IFERROR(__xludf.DUMMYFUNCTION("""COMPUTED_VALUE"""),"Dra, Ana Fernández Rodríguez")</f>
        <v>Dra, Ana Fernández Rodríguez</v>
      </c>
      <c r="P478" s="6" t="str">
        <f ca="1">IFERROR(__xludf.DUMMYFUNCTION("""COMPUTED_VALUE"""),"Alberto Moreno (Madrid)")</f>
        <v>Alberto Moreno (Madrid)</v>
      </c>
    </row>
    <row r="479" spans="2:16">
      <c r="B479" s="33">
        <f ca="1">IFERROR(__xludf.DUMMYFUNCTION("""COMPUTED_VALUE"""),2026)</f>
        <v>2026</v>
      </c>
      <c r="C479" s="15">
        <f ca="1">IFERROR(__xludf.DUMMYFUNCTION("""COMPUTED_VALUE"""),3)</f>
        <v>3</v>
      </c>
      <c r="D479" s="6" t="str">
        <f ca="1">IFERROR(__xludf.DUMMYFUNCTION("""COMPUTED_VALUE"""),"NO")</f>
        <v>NO</v>
      </c>
      <c r="E479" s="6" t="str">
        <f ca="1">IFERROR(__xludf.DUMMYFUNCTION("""COMPUTED_VALUE"""),"Logroño")</f>
        <v>Logroño</v>
      </c>
      <c r="F479" s="16">
        <f ca="1">IFERROR(__xludf.DUMMYFUNCTION("""COMPUTED_VALUE"""),46112)</f>
        <v>46112</v>
      </c>
      <c r="G479" s="16">
        <f ca="1">IFERROR(__xludf.DUMMYFUNCTION("""COMPUTED_VALUE"""),46014)</f>
        <v>46014</v>
      </c>
      <c r="H479" s="6" t="str">
        <f ca="1">IFERROR(__xludf.DUMMYFUNCTION("""COMPUTED_VALUE"""),"Logroño")</f>
        <v>Logroño</v>
      </c>
      <c r="I479" s="6" t="str">
        <f ca="1">IFERROR(__xludf.DUMMYFUNCTION("""COMPUTED_VALUE"""),"C20251223192557630")</f>
        <v>C20251223192557630</v>
      </c>
      <c r="J479" s="6" t="str">
        <f ca="1">IFERROR(__xludf.DUMMYFUNCTION("""COMPUTED_VALUE"""),"JULIA CASTELLANOS ZALDIBAR")</f>
        <v>JULIA CASTELLANOS ZALDIBAR</v>
      </c>
      <c r="K479" s="15">
        <f ca="1">IFERROR(__xludf.DUMMYFUNCTION("""COMPUTED_VALUE"""),2)</f>
        <v>2</v>
      </c>
      <c r="L479" s="21">
        <f ca="1">IFERROR(__xludf.DUMMYFUNCTION("""COMPUTED_VALUE"""),4136.36)</f>
        <v>4136.3599999999997</v>
      </c>
      <c r="M479" s="6" t="str">
        <f ca="1">IFERROR(__xludf.DUMMYFUNCTION("""COMPUTED_VALUE"""),"03 ORL")</f>
        <v>03 ORL</v>
      </c>
      <c r="N479" s="6" t="str">
        <f ca="1">IFERROR(__xludf.DUMMYFUNCTION("""COMPUTED_VALUE"""),"06 ORL")</f>
        <v>06 ORL</v>
      </c>
      <c r="O479" s="6" t="str">
        <f ca="1">IFERROR(__xludf.DUMMYFUNCTION("""COMPUTED_VALUE"""),"No recuerda ORL")</f>
        <v>No recuerda ORL</v>
      </c>
      <c r="P479" s="6" t="str">
        <f ca="1">IFERROR(__xludf.DUMMYFUNCTION("""COMPUTED_VALUE"""),"Lisandro Russian (Madrid, Cáceres, Toledo, Talavera y Logroño)")</f>
        <v>Lisandro Russian (Madrid, Cáceres, Toledo, Talavera y Logroño)</v>
      </c>
    </row>
    <row r="480" spans="2:16">
      <c r="B480" s="33">
        <f ca="1">IFERROR(__xludf.DUMMYFUNCTION("""COMPUTED_VALUE"""),2026)</f>
        <v>2026</v>
      </c>
      <c r="C480" s="15">
        <f ca="1">IFERROR(__xludf.DUMMYFUNCTION("""COMPUTED_VALUE"""),3)</f>
        <v>3</v>
      </c>
      <c r="D480" s="6" t="str">
        <f ca="1">IFERROR(__xludf.DUMMYFUNCTION("""COMPUTED_VALUE"""),"NO")</f>
        <v>NO</v>
      </c>
      <c r="E480" s="6" t="str">
        <f ca="1">IFERROR(__xludf.DUMMYFUNCTION("""COMPUTED_VALUE"""),"Madrid- Juan Bravo")</f>
        <v>Madrid- Juan Bravo</v>
      </c>
      <c r="F480" s="16">
        <f ca="1">IFERROR(__xludf.DUMMYFUNCTION("""COMPUTED_VALUE"""),46112)</f>
        <v>46112</v>
      </c>
      <c r="G480" s="16">
        <f ca="1">IFERROR(__xludf.DUMMYFUNCTION("""COMPUTED_VALUE"""),46044)</f>
        <v>46044</v>
      </c>
      <c r="H480" s="6" t="str">
        <f ca="1">IFERROR(__xludf.DUMMYFUNCTION("""COMPUTED_VALUE"""),"Juan Bravo")</f>
        <v>Juan Bravo</v>
      </c>
      <c r="I480" s="6" t="str">
        <f ca="1">IFERROR(__xludf.DUMMYFUNCTION("""COMPUTED_VALUE"""),"C202612211164410529")</f>
        <v>C202612211164410529</v>
      </c>
      <c r="J480" s="6" t="str">
        <f ca="1">IFERROR(__xludf.DUMMYFUNCTION("""COMPUTED_VALUE"""),"MARGARITA MARIN YECORA")</f>
        <v>MARGARITA MARIN YECORA</v>
      </c>
      <c r="K480" s="15">
        <f ca="1">IFERROR(__xludf.DUMMYFUNCTION("""COMPUTED_VALUE"""),2)</f>
        <v>2</v>
      </c>
      <c r="L480" s="21">
        <f ca="1">IFERROR(__xludf.DUMMYFUNCTION("""COMPUTED_VALUE"""),3631.82)</f>
        <v>3631.82</v>
      </c>
      <c r="M480" s="6" t="str">
        <f ca="1">IFERROR(__xludf.DUMMYFUNCTION("""COMPUTED_VALUE"""),"03 ORL")</f>
        <v>03 ORL</v>
      </c>
      <c r="N480" s="6" t="str">
        <f ca="1">IFERROR(__xludf.DUMMYFUNCTION("""COMPUTED_VALUE"""),"06 ORL")</f>
        <v>06 ORL</v>
      </c>
      <c r="O480" s="6" t="str">
        <f ca="1">IFERROR(__xludf.DUMMYFUNCTION("""COMPUTED_VALUE"""),"Dr, Carlos Barajas del Rosal")</f>
        <v>Dr, Carlos Barajas del Rosal</v>
      </c>
      <c r="P480" s="6" t="str">
        <f ca="1">IFERROR(__xludf.DUMMYFUNCTION("""COMPUTED_VALUE"""),"Lisandro Russian (Madrid, Cáceres, Toledo, Talavera y Logroño)")</f>
        <v>Lisandro Russian (Madrid, Cáceres, Toledo, Talavera y Logroño)</v>
      </c>
    </row>
    <row r="481" spans="2:16">
      <c r="B481" s="33">
        <f ca="1">IFERROR(__xludf.DUMMYFUNCTION("""COMPUTED_VALUE"""),2026)</f>
        <v>2026</v>
      </c>
      <c r="C481" s="15">
        <f ca="1">IFERROR(__xludf.DUMMYFUNCTION("""COMPUTED_VALUE"""),3)</f>
        <v>3</v>
      </c>
      <c r="D481" s="6" t="str">
        <f ca="1">IFERROR(__xludf.DUMMYFUNCTION("""COMPUTED_VALUE"""),"NO")</f>
        <v>NO</v>
      </c>
      <c r="E481" s="6" t="str">
        <f ca="1">IFERROR(__xludf.DUMMYFUNCTION("""COMPUTED_VALUE"""),"Madrid- Costa Rica")</f>
        <v>Madrid- Costa Rica</v>
      </c>
      <c r="F481" s="16">
        <f ca="1">IFERROR(__xludf.DUMMYFUNCTION("""COMPUTED_VALUE"""),46112)</f>
        <v>46112</v>
      </c>
      <c r="G481" s="16">
        <f ca="1">IFERROR(__xludf.DUMMYFUNCTION("""COMPUTED_VALUE"""),46064)</f>
        <v>46064</v>
      </c>
      <c r="H481" s="6" t="str">
        <f ca="1">IFERROR(__xludf.DUMMYFUNCTION("""COMPUTED_VALUE"""),"Costa Rica")</f>
        <v>Costa Rica</v>
      </c>
      <c r="I481" s="6" t="str">
        <f ca="1">IFERROR(__xludf.DUMMYFUNCTION("""COMPUTED_VALUE"""),"C202621193144091134")</f>
        <v>C202621193144091134</v>
      </c>
      <c r="J481" s="6" t="str">
        <f ca="1">IFERROR(__xludf.DUMMYFUNCTION("""COMPUTED_VALUE"""),"ANTONIO HUALDE MIGUEL")</f>
        <v>ANTONIO HUALDE MIGUEL</v>
      </c>
      <c r="K481" s="15">
        <f ca="1">IFERROR(__xludf.DUMMYFUNCTION("""COMPUTED_VALUE"""),2)</f>
        <v>2</v>
      </c>
      <c r="L481" s="21">
        <f ca="1">IFERROR(__xludf.DUMMYFUNCTION("""COMPUTED_VALUE"""),2718.18)</f>
        <v>2718.18</v>
      </c>
      <c r="M481" s="6" t="str">
        <f ca="1">IFERROR(__xludf.DUMMYFUNCTION("""COMPUTED_VALUE"""),"03 ORL")</f>
        <v>03 ORL</v>
      </c>
      <c r="N481" s="6" t="str">
        <f ca="1">IFERROR(__xludf.DUMMYFUNCTION("""COMPUTED_VALUE"""),"22 AUDIOMETRIA CLINICA")</f>
        <v>22 AUDIOMETRIA CLINICA</v>
      </c>
      <c r="O481" s="6" t="str">
        <f ca="1">IFERROR(__xludf.DUMMYFUNCTION("""COMPUTED_VALUE"""),"Dr, Jose Maria Hernandez Hernandez")</f>
        <v>Dr, Jose Maria Hernandez Hernandez</v>
      </c>
      <c r="P481" s="6" t="str">
        <f ca="1">IFERROR(__xludf.DUMMYFUNCTION("""COMPUTED_VALUE"""),"Luis Alberto Rodríguez (Andalucía y Badajoz)")</f>
        <v>Luis Alberto Rodríguez (Andalucía y Badajoz)</v>
      </c>
    </row>
    <row r="482" spans="2:16">
      <c r="B482" s="33">
        <f ca="1">IFERROR(__xludf.DUMMYFUNCTION("""COMPUTED_VALUE"""),2026)</f>
        <v>2026</v>
      </c>
      <c r="C482" s="15">
        <f ca="1">IFERROR(__xludf.DUMMYFUNCTION("""COMPUTED_VALUE"""),3)</f>
        <v>3</v>
      </c>
      <c r="D482" s="6" t="str">
        <f ca="1">IFERROR(__xludf.DUMMYFUNCTION("""COMPUTED_VALUE"""),"NO")</f>
        <v>NO</v>
      </c>
      <c r="E482" s="6" t="str">
        <f ca="1">IFERROR(__xludf.DUMMYFUNCTION("""COMPUTED_VALUE"""),"Ponferrada")</f>
        <v>Ponferrada</v>
      </c>
      <c r="F482" s="16">
        <f ca="1">IFERROR(__xludf.DUMMYFUNCTION("""COMPUTED_VALUE"""),46112)</f>
        <v>46112</v>
      </c>
      <c r="G482" s="16">
        <f ca="1">IFERROR(__xludf.DUMMYFUNCTION("""COMPUTED_VALUE"""),45819)</f>
        <v>45819</v>
      </c>
      <c r="H482" s="6" t="str">
        <f ca="1">IFERROR(__xludf.DUMMYFUNCTION("""COMPUTED_VALUE"""),"Ponferrada")</f>
        <v>Ponferrada</v>
      </c>
      <c r="I482" s="6" t="str">
        <f ca="1">IFERROR(__xludf.DUMMYFUNCTION("""COMPUTED_VALUE"""),"PON-937")</f>
        <v>PON-937</v>
      </c>
      <c r="J482" s="6" t="str">
        <f ca="1">IFERROR(__xludf.DUMMYFUNCTION("""COMPUTED_VALUE"""),"ANGUSTIAS RODRIGUEZ DIEZ")</f>
        <v>ANGUSTIAS RODRIGUEZ DIEZ</v>
      </c>
      <c r="K482" s="15">
        <f ca="1">IFERROR(__xludf.DUMMYFUNCTION("""COMPUTED_VALUE"""),2)</f>
        <v>2</v>
      </c>
      <c r="L482" s="21">
        <f ca="1">IFERROR(__xludf.DUMMYFUNCTION("""COMPUTED_VALUE"""),3181.82)</f>
        <v>3181.82</v>
      </c>
      <c r="M482" s="6" t="str">
        <f ca="1">IFERROR(__xludf.DUMMYFUNCTION("""COMPUTED_VALUE"""),"03 ORL")</f>
        <v>03 ORL</v>
      </c>
      <c r="N482" s="6" t="str">
        <f ca="1">IFERROR(__xludf.DUMMYFUNCTION("""COMPUTED_VALUE"""),"06 ORL")</f>
        <v>06 ORL</v>
      </c>
      <c r="O482" s="6" t="str">
        <f ca="1">IFERROR(__xludf.DUMMYFUNCTION("""COMPUTED_VALUE"""),"Dra, Mónica Granda Rosales")</f>
        <v>Dra, Mónica Granda Rosales</v>
      </c>
      <c r="P482" s="6" t="str">
        <f ca="1">IFERROR(__xludf.DUMMYFUNCTION("""COMPUTED_VALUE"""),"Alberto Moreno (Madrid)")</f>
        <v>Alberto Moreno (Madrid)</v>
      </c>
    </row>
    <row r="483" spans="2:16">
      <c r="B483" s="33">
        <f ca="1">IFERROR(__xludf.DUMMYFUNCTION("""COMPUTED_VALUE"""),2026)</f>
        <v>2026</v>
      </c>
      <c r="C483" s="15">
        <f ca="1">IFERROR(__xludf.DUMMYFUNCTION("""COMPUTED_VALUE"""),3)</f>
        <v>3</v>
      </c>
      <c r="D483" s="6" t="str">
        <f ca="1">IFERROR(__xludf.DUMMYFUNCTION("""COMPUTED_VALUE"""),"NO")</f>
        <v>NO</v>
      </c>
      <c r="E483" s="6" t="str">
        <f ca="1">IFERROR(__xludf.DUMMYFUNCTION("""COMPUTED_VALUE"""),"Fuenlabrada")</f>
        <v>Fuenlabrada</v>
      </c>
      <c r="F483" s="16">
        <f ca="1">IFERROR(__xludf.DUMMYFUNCTION("""COMPUTED_VALUE"""),46112)</f>
        <v>46112</v>
      </c>
      <c r="G483" s="16">
        <f ca="1">IFERROR(__xludf.DUMMYFUNCTION("""COMPUTED_VALUE"""),46083)</f>
        <v>46083</v>
      </c>
      <c r="H483" s="6" t="str">
        <f ca="1">IFERROR(__xludf.DUMMYFUNCTION("""COMPUTED_VALUE"""),"Fuenlabrada")</f>
        <v>Fuenlabrada</v>
      </c>
      <c r="I483" s="6" t="str">
        <f ca="1">IFERROR(__xludf.DUMMYFUNCTION("""COMPUTED_VALUE"""),"C202632103422747350")</f>
        <v>C202632103422747350</v>
      </c>
      <c r="J483" s="6" t="str">
        <f ca="1">IFERROR(__xludf.DUMMYFUNCTION("""COMPUTED_VALUE"""),"DEMETRIO GOMEZ DE LOS RIOS")</f>
        <v>DEMETRIO GOMEZ DE LOS RIOS</v>
      </c>
      <c r="K483" s="15">
        <f ca="1">IFERROR(__xludf.DUMMYFUNCTION("""COMPUTED_VALUE"""),2)</f>
        <v>2</v>
      </c>
      <c r="L483" s="21">
        <f ca="1">IFERROR(__xludf.DUMMYFUNCTION("""COMPUTED_VALUE"""),2718.18)</f>
        <v>2718.18</v>
      </c>
      <c r="M483" s="6" t="str">
        <f ca="1">IFERROR(__xludf.DUMMYFUNCTION("""COMPUTED_VALUE"""),"03 ORL")</f>
        <v>03 ORL</v>
      </c>
      <c r="N483" s="6" t="str">
        <f ca="1">IFERROR(__xludf.DUMMYFUNCTION("""COMPUTED_VALUE"""),"06 ORL")</f>
        <v>06 ORL</v>
      </c>
      <c r="O483" s="6" t="str">
        <f ca="1">IFERROR(__xludf.DUMMYFUNCTION("""COMPUTED_VALUE"""),"Dra, Concepcion Rodríguez Izquierdo")</f>
        <v>Dra, Concepcion Rodríguez Izquierdo</v>
      </c>
      <c r="P483" s="6" t="str">
        <f ca="1">IFERROR(__xludf.DUMMYFUNCTION("""COMPUTED_VALUE"""),"Maika Blázquez (Madrid)")</f>
        <v>Maika Blázquez (Madrid)</v>
      </c>
    </row>
    <row r="484" spans="2:16">
      <c r="B484" s="33">
        <f ca="1">IFERROR(__xludf.DUMMYFUNCTION("""COMPUTED_VALUE"""),2026)</f>
        <v>2026</v>
      </c>
      <c r="C484" s="15">
        <f ca="1">IFERROR(__xludf.DUMMYFUNCTION("""COMPUTED_VALUE"""),3)</f>
        <v>3</v>
      </c>
      <c r="D484" s="6" t="str">
        <f ca="1">IFERROR(__xludf.DUMMYFUNCTION("""COMPUTED_VALUE"""),"NO")</f>
        <v>NO</v>
      </c>
      <c r="E484" s="6" t="str">
        <f ca="1">IFERROR(__xludf.DUMMYFUNCTION("""COMPUTED_VALUE"""),"Ponferrada")</f>
        <v>Ponferrada</v>
      </c>
      <c r="F484" s="16">
        <f ca="1">IFERROR(__xludf.DUMMYFUNCTION("""COMPUTED_VALUE"""),46112)</f>
        <v>46112</v>
      </c>
      <c r="G484" s="16">
        <f ca="1">IFERROR(__xludf.DUMMYFUNCTION("""COMPUTED_VALUE"""),46041)</f>
        <v>46041</v>
      </c>
      <c r="H484" s="6" t="str">
        <f ca="1">IFERROR(__xludf.DUMMYFUNCTION("""COMPUTED_VALUE"""),"Ponferrada")</f>
        <v>Ponferrada</v>
      </c>
      <c r="I484" s="6" t="str">
        <f ca="1">IFERROR(__xludf.DUMMYFUNCTION("""COMPUTED_VALUE"""),"C202611915584584535")</f>
        <v>C202611915584584535</v>
      </c>
      <c r="J484" s="6" t="str">
        <f ca="1">IFERROR(__xludf.DUMMYFUNCTION("""COMPUTED_VALUE"""),"HARRISON AVENDAÑO CORREAL")</f>
        <v>HARRISON AVENDAÑO CORREAL</v>
      </c>
      <c r="K484" s="15">
        <f ca="1">IFERROR(__xludf.DUMMYFUNCTION("""COMPUTED_VALUE"""),1)</f>
        <v>1</v>
      </c>
      <c r="L484" s="21">
        <f ca="1">IFERROR(__xludf.DUMMYFUNCTION("""COMPUTED_VALUE"""),1909.09)</f>
        <v>1909.09</v>
      </c>
      <c r="M484" s="6" t="str">
        <f ca="1">IFERROR(__xludf.DUMMYFUNCTION("""COMPUTED_VALUE"""),"03 ORL")</f>
        <v>03 ORL</v>
      </c>
      <c r="N484" s="6" t="str">
        <f ca="1">IFERROR(__xludf.DUMMYFUNCTION("""COMPUTED_VALUE"""),"06 ORL")</f>
        <v>06 ORL</v>
      </c>
      <c r="O484" s="6" t="str">
        <f ca="1">IFERROR(__xludf.DUMMYFUNCTION("""COMPUTED_VALUE"""),"Dra, Xenia Mota Rojas")</f>
        <v>Dra, Xenia Mota Rojas</v>
      </c>
      <c r="P484" s="6" t="str">
        <f ca="1">IFERROR(__xludf.DUMMYFUNCTION("""COMPUTED_VALUE"""),"Alberto Moreno (Madrid)")</f>
        <v>Alberto Moreno (Madrid)</v>
      </c>
    </row>
    <row r="599" spans="14:15">
      <c r="O599" s="1"/>
    </row>
    <row r="608" spans="14:15">
      <c r="N608" s="1"/>
    </row>
    <row r="641" spans="10:10">
      <c r="J641" s="1"/>
    </row>
    <row r="730" spans="16:16">
      <c r="P730" s="1"/>
    </row>
    <row r="771" spans="15:15">
      <c r="O771" s="1"/>
    </row>
    <row r="914" spans="9:9">
      <c r="I914" s="1"/>
    </row>
    <row r="1179" spans="10:10">
      <c r="J1179" s="1"/>
    </row>
  </sheetData>
  <conditionalFormatting sqref="D1:D1848">
    <cfRule type="containsText" dxfId="4" priority="2" operator="containsText" text="SI">
      <formula>NOT(ISERROR(SEARCH(("SI"),(D1))))</formula>
    </cfRule>
  </conditionalFormatting>
  <conditionalFormatting sqref="J1:J1848">
    <cfRule type="cellIs" dxfId="3" priority="1" operator="less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showGridLines="0" workbookViewId="0"/>
  </sheetViews>
  <sheetFormatPr baseColWidth="10" defaultColWidth="12.6640625" defaultRowHeight="15" customHeight="1"/>
  <cols>
    <col min="1" max="1" width="10.5" customWidth="1"/>
    <col min="2" max="2" width="24.83203125" customWidth="1"/>
    <col min="3" max="3" width="17.33203125" customWidth="1"/>
    <col min="4" max="4" width="23" customWidth="1"/>
    <col min="5" max="5" width="16.83203125" customWidth="1"/>
    <col min="6" max="6" width="13" customWidth="1"/>
  </cols>
  <sheetData>
    <row r="1" spans="1:7">
      <c r="A1" s="225"/>
      <c r="B1" s="226"/>
      <c r="C1" s="226"/>
      <c r="D1" s="226"/>
      <c r="E1" s="226"/>
      <c r="F1" s="227" t="s">
        <v>2733</v>
      </c>
      <c r="G1" s="228"/>
    </row>
    <row r="2" spans="1:7">
      <c r="A2" s="227" t="s">
        <v>48</v>
      </c>
      <c r="B2" s="227" t="s">
        <v>49</v>
      </c>
      <c r="C2" s="227" t="s">
        <v>50</v>
      </c>
      <c r="D2" s="227" t="s">
        <v>51</v>
      </c>
      <c r="E2" s="227" t="s">
        <v>52</v>
      </c>
      <c r="F2" s="225" t="s">
        <v>2736</v>
      </c>
      <c r="G2" s="229" t="s">
        <v>2739</v>
      </c>
    </row>
    <row r="3" spans="1:7">
      <c r="A3" s="225" t="s">
        <v>2737</v>
      </c>
      <c r="B3" s="226"/>
      <c r="C3" s="226"/>
      <c r="D3" s="226"/>
      <c r="E3" s="226"/>
      <c r="F3" s="236">
        <v>63</v>
      </c>
      <c r="G3" s="237">
        <v>113496.44999999998</v>
      </c>
    </row>
    <row r="4" spans="1:7">
      <c r="A4" s="225" t="s">
        <v>2740</v>
      </c>
      <c r="B4" s="226"/>
      <c r="C4" s="226"/>
      <c r="D4" s="226"/>
      <c r="E4" s="226"/>
      <c r="F4" s="236">
        <v>2</v>
      </c>
      <c r="G4" s="237">
        <v>4181.82</v>
      </c>
    </row>
    <row r="5" spans="1:7">
      <c r="A5" s="225" t="s">
        <v>2738</v>
      </c>
      <c r="B5" s="226"/>
      <c r="C5" s="226"/>
      <c r="D5" s="226"/>
      <c r="E5" s="226"/>
      <c r="F5" s="236">
        <v>16</v>
      </c>
      <c r="G5" s="237">
        <v>27340.43</v>
      </c>
    </row>
    <row r="6" spans="1:7">
      <c r="A6" s="225" t="s">
        <v>7</v>
      </c>
      <c r="B6" s="226"/>
      <c r="C6" s="226"/>
      <c r="D6" s="226"/>
      <c r="E6" s="226"/>
      <c r="F6" s="236">
        <v>165</v>
      </c>
      <c r="G6" s="237">
        <v>283890.97999999992</v>
      </c>
    </row>
    <row r="7" spans="1:7">
      <c r="A7" s="225" t="s">
        <v>127</v>
      </c>
      <c r="B7" s="226"/>
      <c r="C7" s="226"/>
      <c r="D7" s="226"/>
      <c r="E7" s="226"/>
      <c r="F7" s="236">
        <v>16</v>
      </c>
      <c r="G7" s="237">
        <v>25547.95</v>
      </c>
    </row>
    <row r="8" spans="1:7">
      <c r="A8" s="225" t="s">
        <v>44</v>
      </c>
      <c r="B8" s="226"/>
      <c r="C8" s="226"/>
      <c r="D8" s="226"/>
      <c r="E8" s="226"/>
      <c r="F8" s="236">
        <v>138</v>
      </c>
      <c r="G8" s="237">
        <v>257826.03999999998</v>
      </c>
    </row>
    <row r="9" spans="1:7" ht="14.25" customHeight="1">
      <c r="A9" s="225" t="s">
        <v>13</v>
      </c>
      <c r="B9" s="226"/>
      <c r="C9" s="226"/>
      <c r="D9" s="226"/>
      <c r="E9" s="226"/>
      <c r="F9" s="236">
        <v>85</v>
      </c>
      <c r="G9" s="237">
        <v>151392.03000000003</v>
      </c>
    </row>
    <row r="10" spans="1:7" ht="12.75" customHeight="1">
      <c r="A10" s="225" t="s">
        <v>1</v>
      </c>
      <c r="B10" s="226"/>
      <c r="C10" s="226"/>
      <c r="D10" s="226"/>
      <c r="E10" s="226"/>
      <c r="F10" s="236">
        <v>278</v>
      </c>
      <c r="G10" s="237">
        <v>473087.20999999956</v>
      </c>
    </row>
    <row r="11" spans="1:7">
      <c r="A11" s="225" t="s">
        <v>8</v>
      </c>
      <c r="B11" s="226"/>
      <c r="C11" s="226"/>
      <c r="D11" s="226"/>
      <c r="E11" s="226"/>
      <c r="F11" s="236">
        <v>12</v>
      </c>
      <c r="G11" s="237">
        <v>25015.42</v>
      </c>
    </row>
    <row r="12" spans="1:7">
      <c r="A12" s="225" t="s">
        <v>3</v>
      </c>
      <c r="B12" s="226"/>
      <c r="C12" s="226"/>
      <c r="D12" s="226"/>
      <c r="E12" s="226"/>
      <c r="F12" s="236">
        <v>74</v>
      </c>
      <c r="G12" s="237">
        <v>132264.56000000006</v>
      </c>
    </row>
    <row r="13" spans="1:7">
      <c r="A13" s="225" t="s">
        <v>2734</v>
      </c>
      <c r="B13" s="226"/>
      <c r="C13" s="226"/>
      <c r="D13" s="226"/>
      <c r="E13" s="226"/>
      <c r="F13" s="236"/>
      <c r="G13" s="237"/>
    </row>
    <row r="14" spans="1:7">
      <c r="A14" s="231" t="s">
        <v>2735</v>
      </c>
      <c r="B14" s="230"/>
      <c r="C14" s="230"/>
      <c r="D14" s="230"/>
      <c r="E14" s="230"/>
      <c r="F14" s="238">
        <v>849</v>
      </c>
      <c r="G14" s="239">
        <v>1494042.8899999994</v>
      </c>
    </row>
    <row r="15" spans="1:7">
      <c r="G15" s="35"/>
    </row>
    <row r="16" spans="1:7">
      <c r="G16" s="35"/>
    </row>
    <row r="17" spans="7:7">
      <c r="G17" s="35"/>
    </row>
    <row r="18" spans="7:7">
      <c r="G18" s="35"/>
    </row>
    <row r="19" spans="7:7">
      <c r="G19" s="35"/>
    </row>
    <row r="20" spans="7:7">
      <c r="G20" s="35"/>
    </row>
    <row r="21" spans="7:7">
      <c r="G21" s="35"/>
    </row>
    <row r="22" spans="7:7">
      <c r="G22" s="35"/>
    </row>
    <row r="23" spans="7:7">
      <c r="G23" s="35"/>
    </row>
    <row r="24" spans="7:7">
      <c r="G24" s="35"/>
    </row>
    <row r="25" spans="7:7">
      <c r="G25" s="35"/>
    </row>
    <row r="26" spans="7:7">
      <c r="G26" s="35"/>
    </row>
    <row r="27" spans="7:7">
      <c r="G27" s="35"/>
    </row>
    <row r="28" spans="7:7">
      <c r="G28" s="35"/>
    </row>
    <row r="29" spans="7:7">
      <c r="G29" s="35"/>
    </row>
    <row r="30" spans="7:7">
      <c r="G30" s="35"/>
    </row>
    <row r="31" spans="7:7">
      <c r="G31" s="35"/>
    </row>
    <row r="32" spans="7:7">
      <c r="G32" s="35"/>
    </row>
    <row r="33" spans="7:7">
      <c r="G33" s="35"/>
    </row>
    <row r="34" spans="7:7">
      <c r="G34" s="35"/>
    </row>
    <row r="35" spans="7:7">
      <c r="G35" s="35"/>
    </row>
    <row r="36" spans="7:7">
      <c r="G36" s="35"/>
    </row>
    <row r="37" spans="7:7">
      <c r="G37" s="35"/>
    </row>
    <row r="38" spans="7:7">
      <c r="G38" s="35"/>
    </row>
    <row r="39" spans="7:7">
      <c r="G39" s="35"/>
    </row>
    <row r="40" spans="7:7">
      <c r="G40" s="35"/>
    </row>
    <row r="41" spans="7:7">
      <c r="G41" s="35"/>
    </row>
    <row r="42" spans="7:7">
      <c r="G42" s="35"/>
    </row>
    <row r="43" spans="7:7">
      <c r="G43" s="35"/>
    </row>
    <row r="44" spans="7:7">
      <c r="G44" s="35"/>
    </row>
    <row r="45" spans="7:7">
      <c r="G45" s="35"/>
    </row>
    <row r="46" spans="7:7">
      <c r="G46" s="35"/>
    </row>
    <row r="47" spans="7:7">
      <c r="G47" s="35"/>
    </row>
    <row r="48" spans="7:7">
      <c r="G48" s="35"/>
    </row>
    <row r="49" spans="7:7">
      <c r="G49" s="35"/>
    </row>
    <row r="50" spans="7:7">
      <c r="G50" s="35"/>
    </row>
    <row r="51" spans="7:7">
      <c r="G51" s="35"/>
    </row>
    <row r="52" spans="7:7">
      <c r="G52" s="35"/>
    </row>
    <row r="53" spans="7:7">
      <c r="G53" s="35"/>
    </row>
    <row r="54" spans="7:7">
      <c r="G54" s="35"/>
    </row>
    <row r="55" spans="7:7">
      <c r="G55" s="35"/>
    </row>
    <row r="56" spans="7:7">
      <c r="G56" s="35"/>
    </row>
    <row r="57" spans="7:7">
      <c r="G57" s="35"/>
    </row>
    <row r="58" spans="7:7">
      <c r="G58" s="35"/>
    </row>
    <row r="59" spans="7:7">
      <c r="G59" s="35"/>
    </row>
    <row r="60" spans="7:7">
      <c r="G60" s="35"/>
    </row>
    <row r="61" spans="7:7">
      <c r="G61" s="35"/>
    </row>
    <row r="62" spans="7:7">
      <c r="G62" s="35"/>
    </row>
    <row r="63" spans="7:7">
      <c r="G63" s="35"/>
    </row>
    <row r="64" spans="7:7">
      <c r="G64" s="35"/>
    </row>
    <row r="65" spans="7:7">
      <c r="G65" s="35"/>
    </row>
    <row r="66" spans="7:7">
      <c r="G66" s="35"/>
    </row>
    <row r="67" spans="7:7">
      <c r="G67" s="35"/>
    </row>
    <row r="68" spans="7:7">
      <c r="G68" s="35"/>
    </row>
    <row r="69" spans="7:7">
      <c r="G69" s="35"/>
    </row>
    <row r="70" spans="7:7">
      <c r="G70" s="35"/>
    </row>
    <row r="71" spans="7:7">
      <c r="G71" s="35"/>
    </row>
    <row r="72" spans="7:7">
      <c r="G72" s="35"/>
    </row>
    <row r="73" spans="7:7">
      <c r="G73" s="35"/>
    </row>
    <row r="74" spans="7:7">
      <c r="G74" s="35"/>
    </row>
    <row r="75" spans="7:7">
      <c r="G75" s="35"/>
    </row>
    <row r="76" spans="7:7">
      <c r="G76" s="35"/>
    </row>
    <row r="77" spans="7:7">
      <c r="G77" s="35"/>
    </row>
    <row r="78" spans="7:7">
      <c r="G78" s="35"/>
    </row>
    <row r="79" spans="7:7">
      <c r="G79" s="35"/>
    </row>
    <row r="80" spans="7:7">
      <c r="G80" s="35"/>
    </row>
    <row r="81" spans="7:7">
      <c r="G81" s="35"/>
    </row>
    <row r="82" spans="7:7">
      <c r="G82" s="35"/>
    </row>
    <row r="83" spans="7:7">
      <c r="G83" s="35"/>
    </row>
    <row r="84" spans="7:7">
      <c r="G84" s="35"/>
    </row>
    <row r="85" spans="7:7">
      <c r="G85" s="35"/>
    </row>
    <row r="86" spans="7:7">
      <c r="G86" s="35"/>
    </row>
    <row r="87" spans="7:7">
      <c r="G87" s="35"/>
    </row>
    <row r="88" spans="7:7">
      <c r="G88" s="35"/>
    </row>
    <row r="89" spans="7:7">
      <c r="G89" s="35"/>
    </row>
    <row r="90" spans="7:7">
      <c r="G90" s="35"/>
    </row>
    <row r="91" spans="7:7">
      <c r="G91" s="35"/>
    </row>
    <row r="92" spans="7:7">
      <c r="G92" s="35"/>
    </row>
    <row r="93" spans="7:7">
      <c r="G93" s="35"/>
    </row>
    <row r="94" spans="7:7">
      <c r="G94" s="35"/>
    </row>
    <row r="95" spans="7:7">
      <c r="G95" s="35"/>
    </row>
    <row r="96" spans="7:7">
      <c r="G96" s="35"/>
    </row>
    <row r="97" spans="7:7">
      <c r="G97" s="35"/>
    </row>
    <row r="98" spans="7:7">
      <c r="G98" s="35"/>
    </row>
    <row r="99" spans="7:7">
      <c r="G99" s="35"/>
    </row>
    <row r="100" spans="7:7">
      <c r="G100" s="35"/>
    </row>
    <row r="101" spans="7:7">
      <c r="G101" s="35"/>
    </row>
    <row r="102" spans="7:7">
      <c r="G102" s="35"/>
    </row>
    <row r="103" spans="7:7">
      <c r="G103" s="35"/>
    </row>
    <row r="104" spans="7:7">
      <c r="G104" s="35"/>
    </row>
    <row r="105" spans="7:7">
      <c r="G105" s="35"/>
    </row>
    <row r="106" spans="7:7">
      <c r="G106" s="35"/>
    </row>
    <row r="107" spans="7:7">
      <c r="G107" s="35"/>
    </row>
    <row r="108" spans="7:7">
      <c r="G108" s="35"/>
    </row>
    <row r="109" spans="7:7">
      <c r="G109" s="35"/>
    </row>
    <row r="110" spans="7:7">
      <c r="G110" s="35"/>
    </row>
    <row r="111" spans="7:7">
      <c r="G111" s="35"/>
    </row>
    <row r="112" spans="7:7">
      <c r="G112" s="35"/>
    </row>
    <row r="113" spans="7:7">
      <c r="G113" s="35"/>
    </row>
    <row r="114" spans="7:7">
      <c r="G114" s="35"/>
    </row>
    <row r="115" spans="7:7">
      <c r="G115" s="35"/>
    </row>
    <row r="116" spans="7:7">
      <c r="G116" s="35"/>
    </row>
    <row r="117" spans="7:7">
      <c r="G117" s="35"/>
    </row>
    <row r="118" spans="7:7">
      <c r="G118" s="35"/>
    </row>
    <row r="119" spans="7:7">
      <c r="G119" s="35"/>
    </row>
    <row r="120" spans="7:7">
      <c r="G120" s="35"/>
    </row>
    <row r="121" spans="7:7">
      <c r="G121" s="35"/>
    </row>
    <row r="122" spans="7:7">
      <c r="G122" s="35"/>
    </row>
    <row r="123" spans="7:7">
      <c r="G123" s="35"/>
    </row>
    <row r="124" spans="7:7">
      <c r="G124" s="35"/>
    </row>
    <row r="125" spans="7:7">
      <c r="G125" s="35"/>
    </row>
    <row r="126" spans="7:7">
      <c r="G126" s="35"/>
    </row>
    <row r="127" spans="7:7">
      <c r="G127" s="35"/>
    </row>
    <row r="128" spans="7:7">
      <c r="G128" s="35"/>
    </row>
    <row r="129" spans="7:7">
      <c r="G129" s="35"/>
    </row>
    <row r="130" spans="7:7">
      <c r="G130" s="35"/>
    </row>
    <row r="131" spans="7:7">
      <c r="G131" s="35"/>
    </row>
    <row r="132" spans="7:7">
      <c r="G132" s="35"/>
    </row>
    <row r="133" spans="7:7">
      <c r="G133" s="35"/>
    </row>
    <row r="134" spans="7:7">
      <c r="G134" s="35"/>
    </row>
    <row r="135" spans="7:7">
      <c r="G135" s="35"/>
    </row>
    <row r="136" spans="7:7">
      <c r="G136" s="35"/>
    </row>
    <row r="137" spans="7:7">
      <c r="G137" s="35"/>
    </row>
    <row r="138" spans="7:7">
      <c r="G138" s="35"/>
    </row>
    <row r="139" spans="7:7">
      <c r="G139" s="35"/>
    </row>
    <row r="140" spans="7:7">
      <c r="G140" s="35"/>
    </row>
    <row r="141" spans="7:7">
      <c r="G141" s="35"/>
    </row>
    <row r="142" spans="7:7">
      <c r="G142" s="35"/>
    </row>
    <row r="143" spans="7:7">
      <c r="G143" s="35"/>
    </row>
    <row r="144" spans="7:7">
      <c r="G144" s="35"/>
    </row>
    <row r="145" spans="7:7">
      <c r="G145" s="35"/>
    </row>
    <row r="146" spans="7:7">
      <c r="G146" s="35"/>
    </row>
    <row r="147" spans="7:7">
      <c r="G147" s="35"/>
    </row>
    <row r="148" spans="7:7">
      <c r="G148" s="35"/>
    </row>
    <row r="149" spans="7:7">
      <c r="G149" s="35"/>
    </row>
    <row r="150" spans="7:7">
      <c r="G150" s="35"/>
    </row>
    <row r="151" spans="7:7">
      <c r="G151" s="35"/>
    </row>
    <row r="152" spans="7:7">
      <c r="G152" s="35"/>
    </row>
    <row r="153" spans="7:7">
      <c r="G153" s="35"/>
    </row>
    <row r="154" spans="7:7">
      <c r="G154" s="35"/>
    </row>
    <row r="155" spans="7:7">
      <c r="G155" s="35"/>
    </row>
    <row r="156" spans="7:7">
      <c r="G156" s="35"/>
    </row>
    <row r="157" spans="7:7">
      <c r="G157" s="35"/>
    </row>
    <row r="158" spans="7:7">
      <c r="G158" s="35"/>
    </row>
    <row r="159" spans="7:7">
      <c r="G159" s="35"/>
    </row>
    <row r="160" spans="7:7">
      <c r="G160" s="35"/>
    </row>
    <row r="161" spans="7:7">
      <c r="G161" s="35"/>
    </row>
    <row r="162" spans="7:7">
      <c r="G162" s="35"/>
    </row>
    <row r="163" spans="7:7">
      <c r="G163" s="35"/>
    </row>
    <row r="164" spans="7:7">
      <c r="G164" s="35"/>
    </row>
    <row r="165" spans="7:7">
      <c r="G165" s="35"/>
    </row>
    <row r="166" spans="7:7">
      <c r="G166" s="35"/>
    </row>
    <row r="167" spans="7:7">
      <c r="G167" s="35"/>
    </row>
    <row r="168" spans="7:7">
      <c r="G168" s="35"/>
    </row>
    <row r="169" spans="7:7">
      <c r="G169" s="35"/>
    </row>
    <row r="170" spans="7:7">
      <c r="G170" s="35"/>
    </row>
    <row r="171" spans="7:7">
      <c r="G171" s="35"/>
    </row>
    <row r="172" spans="7:7">
      <c r="G172" s="35"/>
    </row>
    <row r="173" spans="7:7">
      <c r="G173" s="35"/>
    </row>
    <row r="174" spans="7:7">
      <c r="G174" s="35"/>
    </row>
    <row r="175" spans="7:7">
      <c r="G175" s="35"/>
    </row>
    <row r="176" spans="7:7">
      <c r="G176" s="35"/>
    </row>
    <row r="177" spans="7:7">
      <c r="G177" s="35"/>
    </row>
    <row r="178" spans="7:7">
      <c r="G178" s="35"/>
    </row>
    <row r="179" spans="7:7">
      <c r="G179" s="35"/>
    </row>
    <row r="180" spans="7:7">
      <c r="G180" s="35"/>
    </row>
    <row r="181" spans="7:7">
      <c r="G181" s="35"/>
    </row>
    <row r="182" spans="7:7">
      <c r="G182" s="35"/>
    </row>
    <row r="183" spans="7:7">
      <c r="G183" s="35"/>
    </row>
    <row r="184" spans="7:7">
      <c r="G184" s="35"/>
    </row>
    <row r="185" spans="7:7">
      <c r="G185" s="35"/>
    </row>
    <row r="186" spans="7:7">
      <c r="G186" s="35"/>
    </row>
    <row r="187" spans="7:7">
      <c r="G187" s="35"/>
    </row>
    <row r="188" spans="7:7">
      <c r="G188" s="35"/>
    </row>
    <row r="189" spans="7:7">
      <c r="G189" s="35"/>
    </row>
    <row r="190" spans="7:7">
      <c r="G190" s="35"/>
    </row>
    <row r="191" spans="7:7">
      <c r="G191" s="35"/>
    </row>
    <row r="192" spans="7:7">
      <c r="G192" s="35"/>
    </row>
    <row r="193" spans="7:7">
      <c r="G193" s="35"/>
    </row>
    <row r="194" spans="7:7">
      <c r="G194" s="35"/>
    </row>
    <row r="195" spans="7:7">
      <c r="G195" s="35"/>
    </row>
    <row r="196" spans="7:7">
      <c r="G196" s="35"/>
    </row>
    <row r="197" spans="7:7">
      <c r="G197" s="35"/>
    </row>
    <row r="198" spans="7:7">
      <c r="G198" s="35"/>
    </row>
    <row r="199" spans="7:7">
      <c r="G199" s="35"/>
    </row>
    <row r="200" spans="7:7">
      <c r="G200" s="35"/>
    </row>
    <row r="201" spans="7:7">
      <c r="G201" s="35"/>
    </row>
    <row r="202" spans="7:7">
      <c r="G202" s="35"/>
    </row>
    <row r="203" spans="7:7">
      <c r="G203" s="35"/>
    </row>
    <row r="204" spans="7:7">
      <c r="G204" s="35"/>
    </row>
    <row r="205" spans="7:7">
      <c r="G205" s="35"/>
    </row>
    <row r="206" spans="7:7">
      <c r="G206" s="35"/>
    </row>
    <row r="207" spans="7:7">
      <c r="G207" s="35"/>
    </row>
    <row r="208" spans="7:7">
      <c r="G208" s="35"/>
    </row>
    <row r="209" spans="7:7">
      <c r="G209" s="35"/>
    </row>
    <row r="210" spans="7:7">
      <c r="G210" s="35"/>
    </row>
    <row r="211" spans="7:7">
      <c r="G211" s="35"/>
    </row>
    <row r="212" spans="7:7">
      <c r="G212" s="35"/>
    </row>
    <row r="213" spans="7:7">
      <c r="G213" s="35"/>
    </row>
    <row r="214" spans="7:7">
      <c r="G214" s="35"/>
    </row>
    <row r="215" spans="7:7">
      <c r="G215" s="35"/>
    </row>
    <row r="216" spans="7:7">
      <c r="G216" s="35"/>
    </row>
    <row r="217" spans="7:7">
      <c r="G217" s="35"/>
    </row>
    <row r="218" spans="7:7">
      <c r="G218" s="35"/>
    </row>
    <row r="219" spans="7:7">
      <c r="G219" s="35"/>
    </row>
    <row r="220" spans="7:7">
      <c r="G220" s="35"/>
    </row>
    <row r="221" spans="7:7">
      <c r="G221" s="35"/>
    </row>
    <row r="222" spans="7:7">
      <c r="G222" s="35"/>
    </row>
    <row r="223" spans="7:7">
      <c r="G223" s="35"/>
    </row>
    <row r="224" spans="7:7">
      <c r="G224" s="35"/>
    </row>
    <row r="225" spans="7:7">
      <c r="G225" s="35"/>
    </row>
    <row r="226" spans="7:7">
      <c r="G226" s="35"/>
    </row>
    <row r="227" spans="7:7">
      <c r="G227" s="35"/>
    </row>
    <row r="228" spans="7:7">
      <c r="G228" s="35"/>
    </row>
    <row r="229" spans="7:7">
      <c r="G229" s="35"/>
    </row>
    <row r="230" spans="7:7">
      <c r="G230" s="35"/>
    </row>
    <row r="231" spans="7:7">
      <c r="G231" s="35"/>
    </row>
    <row r="232" spans="7:7">
      <c r="G232" s="35"/>
    </row>
    <row r="233" spans="7:7">
      <c r="G233" s="35"/>
    </row>
    <row r="234" spans="7:7">
      <c r="G234" s="35"/>
    </row>
    <row r="235" spans="7:7">
      <c r="G235" s="35"/>
    </row>
    <row r="236" spans="7:7">
      <c r="G236" s="35"/>
    </row>
    <row r="237" spans="7:7">
      <c r="G237" s="35"/>
    </row>
    <row r="238" spans="7:7">
      <c r="G238" s="35"/>
    </row>
    <row r="239" spans="7:7">
      <c r="G239" s="35"/>
    </row>
    <row r="240" spans="7:7">
      <c r="G240" s="35"/>
    </row>
    <row r="241" spans="7:7">
      <c r="G241" s="35"/>
    </row>
    <row r="242" spans="7:7">
      <c r="G242" s="35"/>
    </row>
    <row r="243" spans="7:7">
      <c r="G243" s="35"/>
    </row>
    <row r="244" spans="7:7">
      <c r="G244" s="35"/>
    </row>
    <row r="245" spans="7:7">
      <c r="G245" s="35"/>
    </row>
    <row r="246" spans="7:7">
      <c r="G246" s="35"/>
    </row>
    <row r="247" spans="7:7">
      <c r="G247" s="35"/>
    </row>
    <row r="248" spans="7:7">
      <c r="G248" s="35"/>
    </row>
    <row r="249" spans="7:7">
      <c r="G249" s="35"/>
    </row>
    <row r="250" spans="7:7">
      <c r="G250" s="35"/>
    </row>
    <row r="251" spans="7:7">
      <c r="G251" s="35"/>
    </row>
    <row r="252" spans="7:7">
      <c r="G252" s="35"/>
    </row>
    <row r="253" spans="7:7">
      <c r="G253" s="35"/>
    </row>
    <row r="254" spans="7:7">
      <c r="G254" s="35"/>
    </row>
    <row r="255" spans="7:7">
      <c r="G255" s="35"/>
    </row>
    <row r="256" spans="7:7">
      <c r="G256" s="35"/>
    </row>
    <row r="257" spans="7:7">
      <c r="G257" s="35"/>
    </row>
    <row r="258" spans="7:7">
      <c r="G258" s="35"/>
    </row>
    <row r="259" spans="7:7">
      <c r="G259" s="35"/>
    </row>
    <row r="260" spans="7:7">
      <c r="G260" s="35"/>
    </row>
    <row r="261" spans="7:7">
      <c r="G261" s="35"/>
    </row>
    <row r="262" spans="7:7">
      <c r="G262" s="35"/>
    </row>
    <row r="263" spans="7:7">
      <c r="G263" s="35"/>
    </row>
    <row r="264" spans="7:7">
      <c r="G264" s="35"/>
    </row>
    <row r="265" spans="7:7">
      <c r="G265" s="35"/>
    </row>
    <row r="266" spans="7:7">
      <c r="G266" s="35"/>
    </row>
    <row r="267" spans="7:7">
      <c r="G267" s="35"/>
    </row>
    <row r="268" spans="7:7">
      <c r="G268" s="35"/>
    </row>
    <row r="269" spans="7:7">
      <c r="G269" s="35"/>
    </row>
    <row r="270" spans="7:7">
      <c r="G270" s="35"/>
    </row>
    <row r="271" spans="7:7">
      <c r="G271" s="35"/>
    </row>
    <row r="272" spans="7:7">
      <c r="G272" s="35"/>
    </row>
    <row r="273" spans="7:7">
      <c r="G273" s="35"/>
    </row>
    <row r="274" spans="7:7">
      <c r="G274" s="35"/>
    </row>
    <row r="275" spans="7:7">
      <c r="G275" s="35"/>
    </row>
    <row r="276" spans="7:7">
      <c r="G276" s="35"/>
    </row>
    <row r="277" spans="7:7">
      <c r="G277" s="35"/>
    </row>
    <row r="278" spans="7:7">
      <c r="G278" s="35"/>
    </row>
    <row r="279" spans="7:7">
      <c r="G279" s="35"/>
    </row>
    <row r="280" spans="7:7">
      <c r="G280" s="35"/>
    </row>
    <row r="281" spans="7:7">
      <c r="G281" s="35"/>
    </row>
    <row r="282" spans="7:7">
      <c r="G282" s="35"/>
    </row>
    <row r="283" spans="7:7">
      <c r="G283" s="35"/>
    </row>
    <row r="284" spans="7:7">
      <c r="G284" s="35"/>
    </row>
    <row r="285" spans="7:7">
      <c r="G285" s="35"/>
    </row>
    <row r="286" spans="7:7">
      <c r="G286" s="35"/>
    </row>
    <row r="287" spans="7:7">
      <c r="G287" s="35"/>
    </row>
    <row r="288" spans="7:7">
      <c r="G288" s="35"/>
    </row>
    <row r="289" spans="7:7">
      <c r="G289" s="35"/>
    </row>
    <row r="290" spans="7:7">
      <c r="G290" s="35"/>
    </row>
    <row r="291" spans="7:7">
      <c r="G291" s="35"/>
    </row>
    <row r="292" spans="7:7">
      <c r="G292" s="35"/>
    </row>
    <row r="293" spans="7:7">
      <c r="G293" s="35"/>
    </row>
    <row r="294" spans="7:7">
      <c r="G294" s="35"/>
    </row>
    <row r="295" spans="7:7">
      <c r="G295" s="35"/>
    </row>
    <row r="296" spans="7:7">
      <c r="G296" s="35"/>
    </row>
    <row r="297" spans="7:7">
      <c r="G297" s="35"/>
    </row>
    <row r="298" spans="7:7">
      <c r="G298" s="35"/>
    </row>
    <row r="299" spans="7:7">
      <c r="G299" s="35"/>
    </row>
    <row r="300" spans="7:7">
      <c r="G300" s="35"/>
    </row>
    <row r="301" spans="7:7">
      <c r="G301" s="35"/>
    </row>
    <row r="302" spans="7:7">
      <c r="G302" s="35"/>
    </row>
    <row r="303" spans="7:7">
      <c r="G303" s="35"/>
    </row>
    <row r="304" spans="7:7">
      <c r="G304" s="35"/>
    </row>
    <row r="305" spans="7:7">
      <c r="G305" s="35"/>
    </row>
    <row r="306" spans="7:7">
      <c r="G306" s="35"/>
    </row>
    <row r="307" spans="7:7">
      <c r="G307" s="35"/>
    </row>
    <row r="308" spans="7:7">
      <c r="G308" s="35"/>
    </row>
    <row r="309" spans="7:7">
      <c r="G309" s="35"/>
    </row>
    <row r="310" spans="7:7">
      <c r="G310" s="35"/>
    </row>
    <row r="311" spans="7:7">
      <c r="G311" s="35"/>
    </row>
    <row r="312" spans="7:7">
      <c r="G312" s="35"/>
    </row>
    <row r="313" spans="7:7">
      <c r="G313" s="35"/>
    </row>
    <row r="314" spans="7:7">
      <c r="G314" s="35"/>
    </row>
    <row r="315" spans="7:7">
      <c r="G315" s="35"/>
    </row>
    <row r="316" spans="7:7">
      <c r="G316" s="35"/>
    </row>
    <row r="317" spans="7:7">
      <c r="G317" s="35"/>
    </row>
    <row r="318" spans="7:7">
      <c r="G318" s="35"/>
    </row>
    <row r="319" spans="7:7">
      <c r="G319" s="35"/>
    </row>
    <row r="320" spans="7:7">
      <c r="G320" s="35"/>
    </row>
    <row r="321" spans="7:7">
      <c r="G321" s="35"/>
    </row>
    <row r="322" spans="7:7">
      <c r="G322" s="35"/>
    </row>
    <row r="323" spans="7:7">
      <c r="G323" s="35"/>
    </row>
    <row r="324" spans="7:7">
      <c r="G324" s="35"/>
    </row>
    <row r="325" spans="7:7">
      <c r="G325" s="35"/>
    </row>
    <row r="326" spans="7:7">
      <c r="G326" s="35"/>
    </row>
    <row r="327" spans="7:7">
      <c r="G327" s="35"/>
    </row>
    <row r="328" spans="7:7">
      <c r="G328" s="35"/>
    </row>
    <row r="329" spans="7:7">
      <c r="G329" s="35"/>
    </row>
    <row r="330" spans="7:7">
      <c r="G330" s="35"/>
    </row>
    <row r="331" spans="7:7">
      <c r="G331" s="35"/>
    </row>
    <row r="332" spans="7:7">
      <c r="G332" s="35"/>
    </row>
    <row r="333" spans="7:7">
      <c r="G333" s="35"/>
    </row>
    <row r="334" spans="7:7">
      <c r="G334" s="35"/>
    </row>
    <row r="335" spans="7:7">
      <c r="G335" s="35"/>
    </row>
    <row r="336" spans="7:7">
      <c r="G336" s="35"/>
    </row>
    <row r="337" spans="7:7">
      <c r="G337" s="35"/>
    </row>
    <row r="338" spans="7:7">
      <c r="G338" s="35"/>
    </row>
    <row r="339" spans="7:7">
      <c r="G339" s="35"/>
    </row>
    <row r="340" spans="7:7">
      <c r="G340" s="35"/>
    </row>
    <row r="341" spans="7:7">
      <c r="G341" s="35"/>
    </row>
    <row r="342" spans="7:7">
      <c r="G342" s="35"/>
    </row>
    <row r="343" spans="7:7">
      <c r="G343" s="35"/>
    </row>
    <row r="344" spans="7:7">
      <c r="G344" s="35"/>
    </row>
    <row r="345" spans="7:7">
      <c r="G345" s="35"/>
    </row>
    <row r="346" spans="7:7">
      <c r="G346" s="35"/>
    </row>
    <row r="347" spans="7:7">
      <c r="G347" s="35"/>
    </row>
    <row r="348" spans="7:7">
      <c r="G348" s="35"/>
    </row>
    <row r="349" spans="7:7">
      <c r="G349" s="35"/>
    </row>
    <row r="350" spans="7:7">
      <c r="G350" s="35"/>
    </row>
    <row r="351" spans="7:7">
      <c r="G351" s="35"/>
    </row>
    <row r="352" spans="7:7">
      <c r="G352" s="35"/>
    </row>
    <row r="353" spans="7:7">
      <c r="G353" s="35"/>
    </row>
    <row r="354" spans="7:7">
      <c r="G354" s="35"/>
    </row>
    <row r="355" spans="7:7">
      <c r="G355" s="35"/>
    </row>
    <row r="356" spans="7:7">
      <c r="G356" s="35"/>
    </row>
    <row r="357" spans="7:7">
      <c r="G357" s="35"/>
    </row>
    <row r="358" spans="7:7">
      <c r="G358" s="35"/>
    </row>
    <row r="359" spans="7:7">
      <c r="G359" s="35"/>
    </row>
    <row r="360" spans="7:7">
      <c r="G360" s="35"/>
    </row>
    <row r="361" spans="7:7">
      <c r="G361" s="35"/>
    </row>
    <row r="362" spans="7:7">
      <c r="G362" s="35"/>
    </row>
    <row r="363" spans="7:7">
      <c r="G363" s="35"/>
    </row>
    <row r="364" spans="7:7">
      <c r="G364" s="35"/>
    </row>
    <row r="365" spans="7:7">
      <c r="G365" s="35"/>
    </row>
    <row r="366" spans="7:7">
      <c r="G366" s="35"/>
    </row>
    <row r="367" spans="7:7">
      <c r="G367" s="35"/>
    </row>
    <row r="368" spans="7:7">
      <c r="G368" s="35"/>
    </row>
    <row r="369" spans="7:7">
      <c r="G369" s="35"/>
    </row>
    <row r="370" spans="7:7">
      <c r="G370" s="35"/>
    </row>
    <row r="371" spans="7:7">
      <c r="G371" s="35"/>
    </row>
    <row r="372" spans="7:7">
      <c r="G372" s="35"/>
    </row>
    <row r="373" spans="7:7">
      <c r="G373" s="35"/>
    </row>
    <row r="374" spans="7:7">
      <c r="G374" s="35"/>
    </row>
    <row r="375" spans="7:7">
      <c r="G375" s="35"/>
    </row>
    <row r="376" spans="7:7">
      <c r="G376" s="35"/>
    </row>
    <row r="377" spans="7:7">
      <c r="G377" s="35"/>
    </row>
    <row r="378" spans="7:7">
      <c r="G378" s="35"/>
    </row>
    <row r="379" spans="7:7">
      <c r="G379" s="35"/>
    </row>
    <row r="380" spans="7:7">
      <c r="G380" s="35"/>
    </row>
    <row r="381" spans="7:7">
      <c r="G381" s="35"/>
    </row>
    <row r="382" spans="7:7">
      <c r="G382" s="35"/>
    </row>
    <row r="383" spans="7:7">
      <c r="G383" s="35"/>
    </row>
    <row r="384" spans="7:7">
      <c r="G384" s="35"/>
    </row>
    <row r="385" spans="7:7">
      <c r="G385" s="35"/>
    </row>
    <row r="386" spans="7:7">
      <c r="G386" s="35"/>
    </row>
    <row r="387" spans="7:7">
      <c r="G387" s="35"/>
    </row>
    <row r="388" spans="7:7">
      <c r="G388" s="35"/>
    </row>
    <row r="389" spans="7:7">
      <c r="G389" s="35"/>
    </row>
    <row r="390" spans="7:7">
      <c r="G390" s="35"/>
    </row>
    <row r="391" spans="7:7">
      <c r="G391" s="35"/>
    </row>
    <row r="392" spans="7:7">
      <c r="G392" s="35"/>
    </row>
    <row r="393" spans="7:7">
      <c r="G393" s="35"/>
    </row>
    <row r="394" spans="7:7">
      <c r="G394" s="35"/>
    </row>
    <row r="395" spans="7:7">
      <c r="G395" s="35"/>
    </row>
    <row r="396" spans="7:7">
      <c r="G396" s="35"/>
    </row>
    <row r="397" spans="7:7">
      <c r="G397" s="35"/>
    </row>
    <row r="398" spans="7:7">
      <c r="G398" s="35"/>
    </row>
    <row r="399" spans="7:7">
      <c r="G399" s="35"/>
    </row>
    <row r="400" spans="7:7">
      <c r="G400" s="35"/>
    </row>
    <row r="401" spans="7:7">
      <c r="G401" s="35"/>
    </row>
    <row r="402" spans="7:7">
      <c r="G402" s="35"/>
    </row>
    <row r="403" spans="7:7">
      <c r="G403" s="35"/>
    </row>
    <row r="404" spans="7:7">
      <c r="G404" s="35"/>
    </row>
    <row r="405" spans="7:7">
      <c r="G405" s="35"/>
    </row>
    <row r="406" spans="7:7">
      <c r="G406" s="35"/>
    </row>
    <row r="407" spans="7:7">
      <c r="G407" s="35"/>
    </row>
    <row r="408" spans="7:7">
      <c r="G408" s="35"/>
    </row>
    <row r="409" spans="7:7">
      <c r="G409" s="35"/>
    </row>
    <row r="410" spans="7:7">
      <c r="G410" s="35"/>
    </row>
    <row r="411" spans="7:7">
      <c r="G411" s="35"/>
    </row>
    <row r="412" spans="7:7">
      <c r="G412" s="35"/>
    </row>
    <row r="413" spans="7:7">
      <c r="G413" s="35"/>
    </row>
    <row r="414" spans="7:7">
      <c r="G414" s="35"/>
    </row>
    <row r="415" spans="7:7">
      <c r="G415" s="35"/>
    </row>
    <row r="416" spans="7:7">
      <c r="G416" s="35"/>
    </row>
    <row r="417" spans="7:7">
      <c r="G417" s="35"/>
    </row>
    <row r="418" spans="7:7">
      <c r="G418" s="35"/>
    </row>
    <row r="419" spans="7:7">
      <c r="G419" s="35"/>
    </row>
    <row r="420" spans="7:7">
      <c r="G420" s="35"/>
    </row>
    <row r="421" spans="7:7">
      <c r="G421" s="35"/>
    </row>
    <row r="422" spans="7:7">
      <c r="G422" s="35"/>
    </row>
    <row r="423" spans="7:7">
      <c r="G423" s="35"/>
    </row>
    <row r="424" spans="7:7">
      <c r="G424" s="35"/>
    </row>
    <row r="425" spans="7:7">
      <c r="G425" s="35"/>
    </row>
    <row r="426" spans="7:7">
      <c r="G426" s="35"/>
    </row>
    <row r="427" spans="7:7">
      <c r="G427" s="35"/>
    </row>
    <row r="428" spans="7:7">
      <c r="G428" s="35"/>
    </row>
    <row r="429" spans="7:7">
      <c r="G429" s="35"/>
    </row>
    <row r="430" spans="7:7">
      <c r="G430" s="35"/>
    </row>
    <row r="431" spans="7:7">
      <c r="G431" s="35"/>
    </row>
    <row r="432" spans="7:7">
      <c r="G432" s="35"/>
    </row>
    <row r="433" spans="7:7">
      <c r="G433" s="35"/>
    </row>
    <row r="434" spans="7:7">
      <c r="G434" s="35"/>
    </row>
    <row r="435" spans="7:7">
      <c r="G435" s="35"/>
    </row>
    <row r="436" spans="7:7">
      <c r="G436" s="35"/>
    </row>
    <row r="437" spans="7:7">
      <c r="G437" s="35"/>
    </row>
    <row r="438" spans="7:7">
      <c r="G438" s="35"/>
    </row>
    <row r="439" spans="7:7">
      <c r="G439" s="35"/>
    </row>
    <row r="440" spans="7:7">
      <c r="G440" s="35"/>
    </row>
    <row r="441" spans="7:7">
      <c r="G441" s="35"/>
    </row>
    <row r="442" spans="7:7">
      <c r="G442" s="35"/>
    </row>
    <row r="443" spans="7:7">
      <c r="G443" s="35"/>
    </row>
    <row r="444" spans="7:7">
      <c r="G444" s="35"/>
    </row>
    <row r="445" spans="7:7">
      <c r="G445" s="35"/>
    </row>
    <row r="446" spans="7:7">
      <c r="G446" s="35"/>
    </row>
    <row r="447" spans="7:7">
      <c r="G447" s="35"/>
    </row>
    <row r="448" spans="7:7">
      <c r="G448" s="35"/>
    </row>
    <row r="449" spans="7:7">
      <c r="G449" s="35"/>
    </row>
    <row r="450" spans="7:7">
      <c r="G450" s="35"/>
    </row>
    <row r="451" spans="7:7">
      <c r="G451" s="35"/>
    </row>
    <row r="452" spans="7:7">
      <c r="G452" s="35"/>
    </row>
    <row r="453" spans="7:7">
      <c r="G453" s="35"/>
    </row>
    <row r="454" spans="7:7">
      <c r="G454" s="35"/>
    </row>
    <row r="455" spans="7:7">
      <c r="G455" s="35"/>
    </row>
    <row r="456" spans="7:7">
      <c r="G456" s="35"/>
    </row>
    <row r="457" spans="7:7">
      <c r="G457" s="35"/>
    </row>
    <row r="458" spans="7:7">
      <c r="G458" s="35"/>
    </row>
    <row r="459" spans="7:7">
      <c r="G459" s="35"/>
    </row>
    <row r="460" spans="7:7">
      <c r="G460" s="35"/>
    </row>
    <row r="461" spans="7:7">
      <c r="G461" s="35"/>
    </row>
    <row r="462" spans="7:7">
      <c r="G462" s="35"/>
    </row>
    <row r="463" spans="7:7">
      <c r="G463" s="35"/>
    </row>
    <row r="464" spans="7:7">
      <c r="G464" s="35"/>
    </row>
    <row r="465" spans="7:7">
      <c r="G465" s="35"/>
    </row>
    <row r="466" spans="7:7">
      <c r="G466" s="35"/>
    </row>
    <row r="467" spans="7:7">
      <c r="G467" s="35"/>
    </row>
    <row r="468" spans="7:7">
      <c r="G468" s="35"/>
    </row>
    <row r="469" spans="7:7">
      <c r="G469" s="35"/>
    </row>
    <row r="470" spans="7:7">
      <c r="G470" s="35"/>
    </row>
    <row r="471" spans="7:7">
      <c r="G471" s="35"/>
    </row>
    <row r="472" spans="7:7">
      <c r="G472" s="35"/>
    </row>
    <row r="473" spans="7:7">
      <c r="G473" s="35"/>
    </row>
    <row r="474" spans="7:7">
      <c r="G474" s="35"/>
    </row>
    <row r="475" spans="7:7">
      <c r="G475" s="35"/>
    </row>
    <row r="476" spans="7:7">
      <c r="G476" s="35"/>
    </row>
    <row r="477" spans="7:7">
      <c r="G477" s="35"/>
    </row>
    <row r="478" spans="7:7">
      <c r="G478" s="35"/>
    </row>
    <row r="479" spans="7:7">
      <c r="G479" s="35"/>
    </row>
    <row r="480" spans="7:7">
      <c r="G480" s="35"/>
    </row>
    <row r="481" spans="7:7">
      <c r="G481" s="35"/>
    </row>
    <row r="482" spans="7:7">
      <c r="G482" s="35"/>
    </row>
    <row r="483" spans="7:7">
      <c r="G483" s="35"/>
    </row>
    <row r="484" spans="7:7">
      <c r="G484" s="35"/>
    </row>
    <row r="485" spans="7:7">
      <c r="G485" s="35"/>
    </row>
    <row r="486" spans="7:7">
      <c r="G486" s="35"/>
    </row>
    <row r="487" spans="7:7">
      <c r="G487" s="35"/>
    </row>
    <row r="488" spans="7:7">
      <c r="G488" s="35"/>
    </row>
    <row r="489" spans="7:7">
      <c r="G489" s="35"/>
    </row>
    <row r="490" spans="7:7">
      <c r="G490" s="35"/>
    </row>
    <row r="491" spans="7:7">
      <c r="G491" s="35"/>
    </row>
    <row r="492" spans="7:7">
      <c r="G492" s="35"/>
    </row>
    <row r="493" spans="7:7">
      <c r="G493" s="35"/>
    </row>
    <row r="494" spans="7:7">
      <c r="G494" s="35"/>
    </row>
    <row r="495" spans="7:7">
      <c r="G495" s="35"/>
    </row>
    <row r="496" spans="7:7">
      <c r="G496" s="35"/>
    </row>
    <row r="497" spans="7:7">
      <c r="G497" s="35"/>
    </row>
    <row r="498" spans="7:7">
      <c r="G498" s="35"/>
    </row>
    <row r="499" spans="7:7">
      <c r="G499" s="35"/>
    </row>
    <row r="500" spans="7:7">
      <c r="G500" s="35"/>
    </row>
    <row r="501" spans="7:7">
      <c r="G501" s="35"/>
    </row>
    <row r="502" spans="7:7">
      <c r="G502" s="35"/>
    </row>
    <row r="503" spans="7:7">
      <c r="G503" s="35"/>
    </row>
    <row r="504" spans="7:7">
      <c r="G504" s="35"/>
    </row>
    <row r="505" spans="7:7">
      <c r="G505" s="35"/>
    </row>
    <row r="506" spans="7:7">
      <c r="G506" s="35"/>
    </row>
    <row r="507" spans="7:7">
      <c r="G507" s="35"/>
    </row>
    <row r="508" spans="7:7">
      <c r="G508" s="35"/>
    </row>
    <row r="509" spans="7:7">
      <c r="G509" s="35"/>
    </row>
    <row r="510" spans="7:7">
      <c r="G510" s="35"/>
    </row>
    <row r="511" spans="7:7">
      <c r="G511" s="35"/>
    </row>
    <row r="512" spans="7:7">
      <c r="G512" s="35"/>
    </row>
    <row r="513" spans="7:7">
      <c r="G513" s="35"/>
    </row>
    <row r="514" spans="7:7">
      <c r="G514" s="35"/>
    </row>
    <row r="515" spans="7:7">
      <c r="G515" s="35"/>
    </row>
    <row r="516" spans="7:7">
      <c r="G516" s="35"/>
    </row>
    <row r="517" spans="7:7">
      <c r="G517" s="35"/>
    </row>
    <row r="518" spans="7:7">
      <c r="G518" s="35"/>
    </row>
    <row r="519" spans="7:7">
      <c r="G519" s="35"/>
    </row>
    <row r="520" spans="7:7">
      <c r="G520" s="35"/>
    </row>
    <row r="521" spans="7:7">
      <c r="G521" s="35"/>
    </row>
    <row r="522" spans="7:7">
      <c r="G522" s="35"/>
    </row>
    <row r="523" spans="7:7">
      <c r="G523" s="35"/>
    </row>
    <row r="524" spans="7:7">
      <c r="G524" s="35"/>
    </row>
    <row r="525" spans="7:7">
      <c r="G525" s="35"/>
    </row>
    <row r="526" spans="7:7">
      <c r="G526" s="35"/>
    </row>
    <row r="527" spans="7:7">
      <c r="G527" s="35"/>
    </row>
    <row r="528" spans="7:7">
      <c r="G528" s="35"/>
    </row>
    <row r="529" spans="7:7">
      <c r="G529" s="35"/>
    </row>
    <row r="530" spans="7:7">
      <c r="G530" s="35"/>
    </row>
    <row r="531" spans="7:7">
      <c r="G531" s="35"/>
    </row>
    <row r="532" spans="7:7">
      <c r="G532" s="35"/>
    </row>
    <row r="533" spans="7:7">
      <c r="G533" s="35"/>
    </row>
    <row r="534" spans="7:7">
      <c r="G534" s="35"/>
    </row>
    <row r="535" spans="7:7">
      <c r="G535" s="35"/>
    </row>
    <row r="536" spans="7:7">
      <c r="G536" s="35"/>
    </row>
    <row r="537" spans="7:7">
      <c r="G537" s="35"/>
    </row>
    <row r="538" spans="7:7">
      <c r="G538" s="35"/>
    </row>
    <row r="539" spans="7:7">
      <c r="G539" s="35"/>
    </row>
    <row r="540" spans="7:7">
      <c r="G540" s="35"/>
    </row>
    <row r="541" spans="7:7">
      <c r="G541" s="35"/>
    </row>
    <row r="542" spans="7:7">
      <c r="G542" s="35"/>
    </row>
    <row r="543" spans="7:7">
      <c r="G543" s="35"/>
    </row>
    <row r="544" spans="7:7">
      <c r="G544" s="35"/>
    </row>
    <row r="545" spans="7:7">
      <c r="G545" s="35"/>
    </row>
    <row r="546" spans="7:7">
      <c r="G546" s="35"/>
    </row>
    <row r="547" spans="7:7">
      <c r="G547" s="35"/>
    </row>
    <row r="548" spans="7:7">
      <c r="G548" s="35"/>
    </row>
    <row r="549" spans="7:7">
      <c r="G549" s="35"/>
    </row>
    <row r="550" spans="7:7">
      <c r="G550" s="35"/>
    </row>
    <row r="551" spans="7:7">
      <c r="G551" s="35"/>
    </row>
    <row r="552" spans="7:7">
      <c r="G552" s="35"/>
    </row>
    <row r="553" spans="7:7">
      <c r="G553" s="35"/>
    </row>
    <row r="554" spans="7:7">
      <c r="G554" s="35"/>
    </row>
    <row r="555" spans="7:7">
      <c r="G555" s="35"/>
    </row>
    <row r="556" spans="7:7">
      <c r="G556" s="35"/>
    </row>
    <row r="557" spans="7:7">
      <c r="G557" s="35"/>
    </row>
    <row r="558" spans="7:7">
      <c r="G558" s="35"/>
    </row>
    <row r="559" spans="7:7">
      <c r="G559" s="35"/>
    </row>
    <row r="560" spans="7:7">
      <c r="G560" s="35"/>
    </row>
    <row r="561" spans="7:7">
      <c r="G561" s="35"/>
    </row>
    <row r="562" spans="7:7">
      <c r="G562" s="35"/>
    </row>
    <row r="563" spans="7:7">
      <c r="G563" s="35"/>
    </row>
    <row r="564" spans="7:7">
      <c r="G564" s="35"/>
    </row>
    <row r="565" spans="7:7">
      <c r="G565" s="35"/>
    </row>
    <row r="566" spans="7:7">
      <c r="G566" s="35"/>
    </row>
    <row r="567" spans="7:7">
      <c r="G567" s="35"/>
    </row>
    <row r="568" spans="7:7">
      <c r="G568" s="35"/>
    </row>
    <row r="569" spans="7:7">
      <c r="G569" s="35"/>
    </row>
    <row r="570" spans="7:7">
      <c r="G570" s="35"/>
    </row>
    <row r="571" spans="7:7">
      <c r="G571" s="35"/>
    </row>
    <row r="572" spans="7:7">
      <c r="G572" s="35"/>
    </row>
    <row r="573" spans="7:7">
      <c r="G573" s="35"/>
    </row>
    <row r="574" spans="7:7">
      <c r="G574" s="35"/>
    </row>
    <row r="575" spans="7:7">
      <c r="G575" s="35"/>
    </row>
    <row r="576" spans="7:7">
      <c r="G576" s="35"/>
    </row>
    <row r="577" spans="7:7">
      <c r="G577" s="35"/>
    </row>
    <row r="578" spans="7:7">
      <c r="G578" s="35"/>
    </row>
    <row r="579" spans="7:7">
      <c r="G579" s="35"/>
    </row>
    <row r="580" spans="7:7">
      <c r="G580" s="35"/>
    </row>
    <row r="581" spans="7:7">
      <c r="G581" s="35"/>
    </row>
    <row r="582" spans="7:7">
      <c r="G582" s="35"/>
    </row>
    <row r="583" spans="7:7">
      <c r="G583" s="35"/>
    </row>
    <row r="584" spans="7:7">
      <c r="G584" s="35"/>
    </row>
    <row r="585" spans="7:7">
      <c r="G585" s="35"/>
    </row>
    <row r="586" spans="7:7">
      <c r="G586" s="35"/>
    </row>
    <row r="587" spans="7:7">
      <c r="G587" s="35"/>
    </row>
    <row r="588" spans="7:7">
      <c r="G588" s="35"/>
    </row>
    <row r="589" spans="7:7">
      <c r="G589" s="35"/>
    </row>
    <row r="590" spans="7:7">
      <c r="G590" s="35"/>
    </row>
    <row r="591" spans="7:7">
      <c r="G591" s="35"/>
    </row>
    <row r="592" spans="7:7">
      <c r="G592" s="35"/>
    </row>
    <row r="593" spans="7:7">
      <c r="G593" s="35"/>
    </row>
    <row r="594" spans="7:7">
      <c r="G594" s="35"/>
    </row>
    <row r="595" spans="7:7">
      <c r="G595" s="35"/>
    </row>
    <row r="596" spans="7:7">
      <c r="G596" s="35"/>
    </row>
    <row r="597" spans="7:7">
      <c r="G597" s="35"/>
    </row>
    <row r="598" spans="7:7">
      <c r="G598" s="35"/>
    </row>
    <row r="599" spans="7:7">
      <c r="G599" s="35"/>
    </row>
    <row r="600" spans="7:7">
      <c r="G600" s="35"/>
    </row>
    <row r="601" spans="7:7">
      <c r="G601" s="35"/>
    </row>
    <row r="602" spans="7:7">
      <c r="G602" s="35"/>
    </row>
    <row r="603" spans="7:7">
      <c r="G603" s="35"/>
    </row>
    <row r="604" spans="7:7">
      <c r="G604" s="35"/>
    </row>
    <row r="605" spans="7:7">
      <c r="G605" s="35"/>
    </row>
    <row r="606" spans="7:7">
      <c r="G606" s="35"/>
    </row>
    <row r="607" spans="7:7">
      <c r="G607" s="35"/>
    </row>
    <row r="608" spans="7:7">
      <c r="G608" s="35"/>
    </row>
    <row r="609" spans="7:7">
      <c r="G609" s="35"/>
    </row>
    <row r="610" spans="7:7">
      <c r="G610" s="35"/>
    </row>
    <row r="611" spans="7:7">
      <c r="G611" s="35"/>
    </row>
    <row r="612" spans="7:7">
      <c r="G612" s="35"/>
    </row>
    <row r="613" spans="7:7">
      <c r="G613" s="35"/>
    </row>
    <row r="614" spans="7:7">
      <c r="G614" s="35"/>
    </row>
    <row r="615" spans="7:7">
      <c r="G615" s="35"/>
    </row>
    <row r="616" spans="7:7">
      <c r="G616" s="35"/>
    </row>
    <row r="617" spans="7:7">
      <c r="G617" s="35"/>
    </row>
    <row r="618" spans="7:7">
      <c r="G618" s="35"/>
    </row>
    <row r="619" spans="7:7">
      <c r="G619" s="35"/>
    </row>
    <row r="620" spans="7:7">
      <c r="G620" s="35"/>
    </row>
    <row r="621" spans="7:7">
      <c r="G621" s="35"/>
    </row>
    <row r="622" spans="7:7">
      <c r="G622" s="35"/>
    </row>
    <row r="623" spans="7:7">
      <c r="G623" s="35"/>
    </row>
    <row r="624" spans="7:7">
      <c r="G624" s="35"/>
    </row>
    <row r="625" spans="7:7">
      <c r="G625" s="35"/>
    </row>
    <row r="626" spans="7:7">
      <c r="G626" s="35"/>
    </row>
    <row r="627" spans="7:7">
      <c r="G627" s="35"/>
    </row>
    <row r="628" spans="7:7">
      <c r="G628" s="35"/>
    </row>
    <row r="629" spans="7:7">
      <c r="G629" s="35"/>
    </row>
    <row r="630" spans="7:7">
      <c r="G630" s="35"/>
    </row>
    <row r="631" spans="7:7">
      <c r="G631" s="35"/>
    </row>
    <row r="632" spans="7:7">
      <c r="G632" s="35"/>
    </row>
    <row r="633" spans="7:7">
      <c r="G633" s="35"/>
    </row>
    <row r="634" spans="7:7">
      <c r="G634" s="35"/>
    </row>
    <row r="635" spans="7:7">
      <c r="G635" s="35"/>
    </row>
    <row r="636" spans="7:7">
      <c r="G636" s="35"/>
    </row>
    <row r="637" spans="7:7">
      <c r="G637" s="35"/>
    </row>
    <row r="638" spans="7:7">
      <c r="G638" s="35"/>
    </row>
    <row r="639" spans="7:7">
      <c r="G639" s="35"/>
    </row>
    <row r="640" spans="7:7">
      <c r="G640" s="35"/>
    </row>
    <row r="641" spans="7:7">
      <c r="G641" s="35"/>
    </row>
    <row r="642" spans="7:7">
      <c r="G642" s="35"/>
    </row>
    <row r="643" spans="7:7">
      <c r="G643" s="35"/>
    </row>
    <row r="644" spans="7:7">
      <c r="G644" s="35"/>
    </row>
    <row r="645" spans="7:7">
      <c r="G645" s="35"/>
    </row>
    <row r="646" spans="7:7">
      <c r="G646" s="35"/>
    </row>
    <row r="647" spans="7:7">
      <c r="G647" s="35"/>
    </row>
    <row r="648" spans="7:7">
      <c r="G648" s="35"/>
    </row>
    <row r="649" spans="7:7">
      <c r="G649" s="35"/>
    </row>
    <row r="650" spans="7:7">
      <c r="G650" s="35"/>
    </row>
    <row r="651" spans="7:7">
      <c r="G651" s="35"/>
    </row>
    <row r="652" spans="7:7">
      <c r="G652" s="35"/>
    </row>
    <row r="653" spans="7:7">
      <c r="G653" s="35"/>
    </row>
    <row r="654" spans="7:7">
      <c r="G654" s="35"/>
    </row>
    <row r="655" spans="7:7">
      <c r="G655" s="35"/>
    </row>
    <row r="656" spans="7:7">
      <c r="G656" s="35"/>
    </row>
    <row r="657" spans="7:7">
      <c r="G657" s="35"/>
    </row>
    <row r="658" spans="7:7">
      <c r="G658" s="35"/>
    </row>
    <row r="659" spans="7:7">
      <c r="G659" s="35"/>
    </row>
    <row r="660" spans="7:7">
      <c r="G660" s="35"/>
    </row>
    <row r="661" spans="7:7">
      <c r="G661" s="35"/>
    </row>
    <row r="662" spans="7:7">
      <c r="G662" s="35"/>
    </row>
    <row r="663" spans="7:7">
      <c r="G663" s="35"/>
    </row>
    <row r="664" spans="7:7">
      <c r="G664" s="35"/>
    </row>
    <row r="665" spans="7:7">
      <c r="G665" s="35"/>
    </row>
    <row r="666" spans="7:7">
      <c r="G666" s="35"/>
    </row>
    <row r="667" spans="7:7">
      <c r="G667" s="35"/>
    </row>
    <row r="668" spans="7:7">
      <c r="G668" s="35"/>
    </row>
    <row r="669" spans="7:7">
      <c r="G669" s="35"/>
    </row>
    <row r="670" spans="7:7">
      <c r="G670" s="35"/>
    </row>
    <row r="671" spans="7:7">
      <c r="G671" s="35"/>
    </row>
    <row r="672" spans="7:7">
      <c r="G672" s="35"/>
    </row>
    <row r="673" spans="7:7">
      <c r="G673" s="35"/>
    </row>
    <row r="674" spans="7:7">
      <c r="G674" s="35"/>
    </row>
    <row r="675" spans="7:7">
      <c r="G675" s="35"/>
    </row>
    <row r="676" spans="7:7">
      <c r="G676" s="35"/>
    </row>
    <row r="677" spans="7:7">
      <c r="G677" s="35"/>
    </row>
    <row r="678" spans="7:7">
      <c r="G678" s="35"/>
    </row>
    <row r="679" spans="7:7">
      <c r="G679" s="35"/>
    </row>
    <row r="680" spans="7:7">
      <c r="G680" s="35"/>
    </row>
    <row r="681" spans="7:7">
      <c r="G681" s="35"/>
    </row>
    <row r="682" spans="7:7">
      <c r="G682" s="35"/>
    </row>
    <row r="683" spans="7:7">
      <c r="G683" s="35"/>
    </row>
    <row r="684" spans="7:7">
      <c r="G684" s="35"/>
    </row>
    <row r="685" spans="7:7">
      <c r="G685" s="35"/>
    </row>
    <row r="686" spans="7:7">
      <c r="G686" s="35"/>
    </row>
    <row r="687" spans="7:7">
      <c r="G687" s="35"/>
    </row>
    <row r="688" spans="7:7">
      <c r="G688" s="35"/>
    </row>
    <row r="689" spans="7:7">
      <c r="G689" s="35"/>
    </row>
    <row r="690" spans="7:7">
      <c r="G690" s="35"/>
    </row>
    <row r="691" spans="7:7">
      <c r="G691" s="35"/>
    </row>
    <row r="692" spans="7:7">
      <c r="G692" s="35"/>
    </row>
    <row r="693" spans="7:7">
      <c r="G693" s="35"/>
    </row>
    <row r="694" spans="7:7">
      <c r="G694" s="35"/>
    </row>
    <row r="695" spans="7:7">
      <c r="G695" s="35"/>
    </row>
    <row r="696" spans="7:7">
      <c r="G696" s="35"/>
    </row>
    <row r="697" spans="7:7">
      <c r="G697" s="35"/>
    </row>
    <row r="698" spans="7:7">
      <c r="G698" s="35"/>
    </row>
    <row r="699" spans="7:7">
      <c r="G699" s="35"/>
    </row>
    <row r="700" spans="7:7">
      <c r="G700" s="35"/>
    </row>
    <row r="701" spans="7:7">
      <c r="G701" s="35"/>
    </row>
    <row r="702" spans="7:7">
      <c r="G702" s="35"/>
    </row>
    <row r="703" spans="7:7">
      <c r="G703" s="35"/>
    </row>
    <row r="704" spans="7:7">
      <c r="G704" s="35"/>
    </row>
    <row r="705" spans="7:7">
      <c r="G705" s="35"/>
    </row>
    <row r="706" spans="7:7">
      <c r="G706" s="35"/>
    </row>
    <row r="707" spans="7:7">
      <c r="G707" s="35"/>
    </row>
    <row r="708" spans="7:7">
      <c r="G708" s="35"/>
    </row>
    <row r="709" spans="7:7">
      <c r="G709" s="35"/>
    </row>
    <row r="710" spans="7:7">
      <c r="G710" s="35"/>
    </row>
    <row r="711" spans="7:7">
      <c r="G711" s="35"/>
    </row>
    <row r="712" spans="7:7">
      <c r="G712" s="35"/>
    </row>
    <row r="713" spans="7:7">
      <c r="G713" s="35"/>
    </row>
    <row r="714" spans="7:7">
      <c r="G714" s="35"/>
    </row>
    <row r="715" spans="7:7">
      <c r="G715" s="35"/>
    </row>
    <row r="716" spans="7:7">
      <c r="G716" s="35"/>
    </row>
    <row r="717" spans="7:7">
      <c r="G717" s="35"/>
    </row>
    <row r="718" spans="7:7">
      <c r="G718" s="35"/>
    </row>
    <row r="719" spans="7:7">
      <c r="G719" s="35"/>
    </row>
    <row r="720" spans="7:7">
      <c r="G720" s="35"/>
    </row>
    <row r="721" spans="7:7">
      <c r="G721" s="35"/>
    </row>
    <row r="722" spans="7:7">
      <c r="G722" s="35"/>
    </row>
    <row r="723" spans="7:7">
      <c r="G723" s="35"/>
    </row>
    <row r="724" spans="7:7">
      <c r="G724" s="35"/>
    </row>
    <row r="725" spans="7:7">
      <c r="G725" s="35"/>
    </row>
    <row r="726" spans="7:7">
      <c r="G726" s="35"/>
    </row>
    <row r="727" spans="7:7">
      <c r="G727" s="35"/>
    </row>
    <row r="728" spans="7:7">
      <c r="G728" s="35"/>
    </row>
    <row r="729" spans="7:7">
      <c r="G729" s="35"/>
    </row>
    <row r="730" spans="7:7">
      <c r="G730" s="35"/>
    </row>
    <row r="731" spans="7:7">
      <c r="G731" s="35"/>
    </row>
    <row r="732" spans="7:7">
      <c r="G732" s="35"/>
    </row>
    <row r="733" spans="7:7">
      <c r="G733" s="35"/>
    </row>
    <row r="734" spans="7:7">
      <c r="G734" s="35"/>
    </row>
    <row r="735" spans="7:7">
      <c r="G735" s="35"/>
    </row>
    <row r="736" spans="7:7">
      <c r="G736" s="35"/>
    </row>
    <row r="737" spans="7:7">
      <c r="G737" s="35"/>
    </row>
    <row r="738" spans="7:7">
      <c r="G738" s="35"/>
    </row>
    <row r="739" spans="7:7">
      <c r="G739" s="35"/>
    </row>
    <row r="740" spans="7:7">
      <c r="G740" s="35"/>
    </row>
    <row r="741" spans="7:7">
      <c r="G741" s="35"/>
    </row>
    <row r="742" spans="7:7">
      <c r="G742" s="35"/>
    </row>
    <row r="743" spans="7:7">
      <c r="G743" s="35"/>
    </row>
    <row r="744" spans="7:7">
      <c r="G744" s="35"/>
    </row>
    <row r="745" spans="7:7">
      <c r="G745" s="35"/>
    </row>
    <row r="746" spans="7:7">
      <c r="G746" s="35"/>
    </row>
    <row r="747" spans="7:7">
      <c r="G747" s="35"/>
    </row>
    <row r="748" spans="7:7">
      <c r="G748" s="35"/>
    </row>
    <row r="749" spans="7:7">
      <c r="G749" s="35"/>
    </row>
    <row r="750" spans="7:7">
      <c r="G750" s="35"/>
    </row>
    <row r="751" spans="7:7">
      <c r="G751" s="35"/>
    </row>
    <row r="752" spans="7:7">
      <c r="G752" s="35"/>
    </row>
    <row r="753" spans="7:7">
      <c r="G753" s="35"/>
    </row>
    <row r="754" spans="7:7">
      <c r="G754" s="35"/>
    </row>
    <row r="755" spans="7:7">
      <c r="G755" s="35"/>
    </row>
    <row r="756" spans="7:7">
      <c r="G756" s="35"/>
    </row>
    <row r="757" spans="7:7">
      <c r="G757" s="35"/>
    </row>
    <row r="758" spans="7:7">
      <c r="G758" s="35"/>
    </row>
    <row r="759" spans="7:7">
      <c r="G759" s="35"/>
    </row>
    <row r="760" spans="7:7">
      <c r="G760" s="35"/>
    </row>
    <row r="761" spans="7:7">
      <c r="G761" s="35"/>
    </row>
    <row r="762" spans="7:7">
      <c r="G762" s="35"/>
    </row>
    <row r="763" spans="7:7">
      <c r="G763" s="35"/>
    </row>
    <row r="764" spans="7:7">
      <c r="G764" s="35"/>
    </row>
    <row r="765" spans="7:7">
      <c r="G765" s="35"/>
    </row>
    <row r="766" spans="7:7">
      <c r="G766" s="35"/>
    </row>
    <row r="767" spans="7:7">
      <c r="G767" s="35"/>
    </row>
    <row r="768" spans="7:7">
      <c r="G768" s="35"/>
    </row>
    <row r="769" spans="7:7">
      <c r="G769" s="35"/>
    </row>
    <row r="770" spans="7:7">
      <c r="G770" s="35"/>
    </row>
    <row r="771" spans="7:7">
      <c r="G771" s="35"/>
    </row>
    <row r="772" spans="7:7">
      <c r="G772" s="35"/>
    </row>
    <row r="773" spans="7:7">
      <c r="G773" s="35"/>
    </row>
    <row r="774" spans="7:7">
      <c r="G774" s="35"/>
    </row>
    <row r="775" spans="7:7">
      <c r="G775" s="35"/>
    </row>
    <row r="776" spans="7:7">
      <c r="G776" s="35"/>
    </row>
    <row r="777" spans="7:7">
      <c r="G777" s="35"/>
    </row>
    <row r="778" spans="7:7">
      <c r="G778" s="35"/>
    </row>
    <row r="779" spans="7:7">
      <c r="G779" s="35"/>
    </row>
    <row r="780" spans="7:7">
      <c r="G780" s="35"/>
    </row>
    <row r="781" spans="7:7">
      <c r="G781" s="35"/>
    </row>
    <row r="782" spans="7:7">
      <c r="G782" s="35"/>
    </row>
    <row r="783" spans="7:7">
      <c r="G783" s="35"/>
    </row>
    <row r="784" spans="7:7">
      <c r="G784" s="35"/>
    </row>
    <row r="785" spans="7:7">
      <c r="G785" s="35"/>
    </row>
    <row r="786" spans="7:7">
      <c r="G786" s="35"/>
    </row>
    <row r="787" spans="7:7">
      <c r="G787" s="35"/>
    </row>
    <row r="788" spans="7:7">
      <c r="G788" s="35"/>
    </row>
    <row r="789" spans="7:7">
      <c r="G789" s="35"/>
    </row>
    <row r="790" spans="7:7">
      <c r="G790" s="35"/>
    </row>
    <row r="791" spans="7:7">
      <c r="G791" s="35"/>
    </row>
    <row r="792" spans="7:7">
      <c r="G792" s="35"/>
    </row>
    <row r="793" spans="7:7">
      <c r="G793" s="35"/>
    </row>
    <row r="794" spans="7:7">
      <c r="G794" s="35"/>
    </row>
    <row r="795" spans="7:7">
      <c r="G795" s="35"/>
    </row>
    <row r="796" spans="7:7">
      <c r="G796" s="35"/>
    </row>
    <row r="797" spans="7:7">
      <c r="G797" s="35"/>
    </row>
    <row r="798" spans="7:7">
      <c r="G798" s="35"/>
    </row>
    <row r="799" spans="7:7">
      <c r="G799" s="35"/>
    </row>
    <row r="800" spans="7:7">
      <c r="G800" s="35"/>
    </row>
    <row r="801" spans="7:7">
      <c r="G801" s="35"/>
    </row>
    <row r="802" spans="7:7">
      <c r="G802" s="35"/>
    </row>
    <row r="803" spans="7:7">
      <c r="G803" s="35"/>
    </row>
    <row r="804" spans="7:7">
      <c r="G804" s="35"/>
    </row>
    <row r="805" spans="7:7">
      <c r="G805" s="35"/>
    </row>
    <row r="806" spans="7:7">
      <c r="G806" s="35"/>
    </row>
    <row r="807" spans="7:7">
      <c r="G807" s="35"/>
    </row>
    <row r="808" spans="7:7">
      <c r="G808" s="35"/>
    </row>
    <row r="809" spans="7:7">
      <c r="G809" s="35"/>
    </row>
    <row r="810" spans="7:7">
      <c r="G810" s="35"/>
    </row>
    <row r="811" spans="7:7">
      <c r="G811" s="35"/>
    </row>
    <row r="812" spans="7:7">
      <c r="G812" s="35"/>
    </row>
    <row r="813" spans="7:7">
      <c r="G813" s="35"/>
    </row>
    <row r="814" spans="7:7">
      <c r="G814" s="35"/>
    </row>
    <row r="815" spans="7:7">
      <c r="G815" s="35"/>
    </row>
    <row r="816" spans="7:7">
      <c r="G816" s="35"/>
    </row>
    <row r="817" spans="7:7">
      <c r="G817" s="35"/>
    </row>
    <row r="818" spans="7:7">
      <c r="G818" s="35"/>
    </row>
    <row r="819" spans="7:7">
      <c r="G819" s="35"/>
    </row>
    <row r="820" spans="7:7">
      <c r="G820" s="35"/>
    </row>
    <row r="821" spans="7:7">
      <c r="G821" s="35"/>
    </row>
    <row r="822" spans="7:7">
      <c r="G822" s="35"/>
    </row>
    <row r="823" spans="7:7">
      <c r="G823" s="35"/>
    </row>
    <row r="824" spans="7:7">
      <c r="G824" s="35"/>
    </row>
    <row r="825" spans="7:7">
      <c r="G825" s="35"/>
    </row>
    <row r="826" spans="7:7">
      <c r="G826" s="35"/>
    </row>
    <row r="827" spans="7:7">
      <c r="G827" s="35"/>
    </row>
    <row r="828" spans="7:7">
      <c r="G828" s="35"/>
    </row>
    <row r="829" spans="7:7">
      <c r="G829" s="35"/>
    </row>
    <row r="830" spans="7:7">
      <c r="G830" s="35"/>
    </row>
    <row r="831" spans="7:7">
      <c r="G831" s="35"/>
    </row>
    <row r="832" spans="7:7">
      <c r="G832" s="35"/>
    </row>
    <row r="833" spans="7:7">
      <c r="G833" s="35"/>
    </row>
    <row r="834" spans="7:7">
      <c r="G834" s="35"/>
    </row>
    <row r="835" spans="7:7">
      <c r="G835" s="35"/>
    </row>
    <row r="836" spans="7:7">
      <c r="G836" s="35"/>
    </row>
    <row r="837" spans="7:7">
      <c r="G837" s="35"/>
    </row>
    <row r="838" spans="7:7">
      <c r="G838" s="35"/>
    </row>
    <row r="839" spans="7:7">
      <c r="G839" s="35"/>
    </row>
    <row r="840" spans="7:7">
      <c r="G840" s="35"/>
    </row>
    <row r="841" spans="7:7">
      <c r="G841" s="35"/>
    </row>
    <row r="842" spans="7:7">
      <c r="G842" s="35"/>
    </row>
    <row r="843" spans="7:7">
      <c r="G843" s="35"/>
    </row>
    <row r="844" spans="7:7">
      <c r="G844" s="35"/>
    </row>
    <row r="845" spans="7:7">
      <c r="G845" s="35"/>
    </row>
    <row r="846" spans="7:7">
      <c r="G846" s="35"/>
    </row>
    <row r="847" spans="7:7">
      <c r="G847" s="35"/>
    </row>
    <row r="848" spans="7:7">
      <c r="G848" s="35"/>
    </row>
    <row r="849" spans="7:7">
      <c r="G849" s="35"/>
    </row>
    <row r="850" spans="7:7">
      <c r="G850" s="35"/>
    </row>
    <row r="851" spans="7:7">
      <c r="G851" s="35"/>
    </row>
    <row r="852" spans="7:7">
      <c r="G852" s="35"/>
    </row>
    <row r="853" spans="7:7">
      <c r="G853" s="35"/>
    </row>
    <row r="854" spans="7:7">
      <c r="G854" s="35"/>
    </row>
    <row r="855" spans="7:7">
      <c r="G855" s="35"/>
    </row>
    <row r="856" spans="7:7">
      <c r="G856" s="35"/>
    </row>
    <row r="857" spans="7:7">
      <c r="G857" s="35"/>
    </row>
    <row r="858" spans="7:7">
      <c r="G858" s="35"/>
    </row>
    <row r="859" spans="7:7">
      <c r="G859" s="35"/>
    </row>
    <row r="860" spans="7:7">
      <c r="G860" s="35"/>
    </row>
    <row r="861" spans="7:7">
      <c r="G861" s="35"/>
    </row>
    <row r="862" spans="7:7">
      <c r="G862" s="35"/>
    </row>
    <row r="863" spans="7:7">
      <c r="G863" s="35"/>
    </row>
    <row r="864" spans="7:7">
      <c r="G864" s="35"/>
    </row>
    <row r="865" spans="7:7">
      <c r="G865" s="35"/>
    </row>
    <row r="866" spans="7:7">
      <c r="G866" s="35"/>
    </row>
    <row r="867" spans="7:7">
      <c r="G867" s="35"/>
    </row>
    <row r="868" spans="7:7">
      <c r="G868" s="35"/>
    </row>
    <row r="869" spans="7:7">
      <c r="G869" s="35"/>
    </row>
    <row r="870" spans="7:7">
      <c r="G870" s="35"/>
    </row>
    <row r="871" spans="7:7">
      <c r="G871" s="35"/>
    </row>
    <row r="872" spans="7:7">
      <c r="G872" s="35"/>
    </row>
    <row r="873" spans="7:7">
      <c r="G873" s="35"/>
    </row>
    <row r="874" spans="7:7">
      <c r="G874" s="35"/>
    </row>
    <row r="875" spans="7:7">
      <c r="G875" s="35"/>
    </row>
    <row r="876" spans="7:7">
      <c r="G876" s="35"/>
    </row>
    <row r="877" spans="7:7">
      <c r="G877" s="35"/>
    </row>
    <row r="878" spans="7:7">
      <c r="G878" s="35"/>
    </row>
    <row r="879" spans="7:7">
      <c r="G879" s="35"/>
    </row>
    <row r="880" spans="7:7">
      <c r="G880" s="35"/>
    </row>
    <row r="881" spans="7:7">
      <c r="G881" s="35"/>
    </row>
    <row r="882" spans="7:7">
      <c r="G882" s="35"/>
    </row>
    <row r="883" spans="7:7">
      <c r="G883" s="35"/>
    </row>
    <row r="884" spans="7:7">
      <c r="G884" s="35"/>
    </row>
    <row r="885" spans="7:7">
      <c r="G885" s="35"/>
    </row>
    <row r="886" spans="7:7">
      <c r="G886" s="35"/>
    </row>
    <row r="887" spans="7:7">
      <c r="G887" s="35"/>
    </row>
    <row r="888" spans="7:7">
      <c r="G888" s="35"/>
    </row>
    <row r="889" spans="7:7">
      <c r="G889" s="35"/>
    </row>
    <row r="890" spans="7:7">
      <c r="G890" s="35"/>
    </row>
    <row r="891" spans="7:7">
      <c r="G891" s="35"/>
    </row>
    <row r="892" spans="7:7">
      <c r="G892" s="35"/>
    </row>
    <row r="893" spans="7:7">
      <c r="G893" s="35"/>
    </row>
    <row r="894" spans="7:7">
      <c r="G894" s="35"/>
    </row>
    <row r="895" spans="7:7">
      <c r="G895" s="35"/>
    </row>
    <row r="896" spans="7:7">
      <c r="G896" s="35"/>
    </row>
    <row r="897" spans="7:7">
      <c r="G897" s="35"/>
    </row>
    <row r="898" spans="7:7">
      <c r="G898" s="35"/>
    </row>
    <row r="899" spans="7:7">
      <c r="G899" s="35"/>
    </row>
    <row r="900" spans="7:7">
      <c r="G900" s="35"/>
    </row>
    <row r="901" spans="7:7">
      <c r="G901" s="35"/>
    </row>
    <row r="902" spans="7:7">
      <c r="G902" s="35"/>
    </row>
    <row r="903" spans="7:7">
      <c r="G903" s="35"/>
    </row>
    <row r="904" spans="7:7">
      <c r="G904" s="35"/>
    </row>
    <row r="905" spans="7:7">
      <c r="G905" s="35"/>
    </row>
    <row r="906" spans="7:7">
      <c r="G906" s="35"/>
    </row>
    <row r="907" spans="7:7">
      <c r="G907" s="35"/>
    </row>
    <row r="908" spans="7:7">
      <c r="G908" s="35"/>
    </row>
    <row r="909" spans="7:7">
      <c r="G909" s="35"/>
    </row>
    <row r="910" spans="7:7">
      <c r="G910" s="35"/>
    </row>
    <row r="911" spans="7:7">
      <c r="G911" s="35"/>
    </row>
    <row r="912" spans="7:7">
      <c r="G912" s="35"/>
    </row>
    <row r="913" spans="7:7">
      <c r="G913" s="35"/>
    </row>
    <row r="914" spans="7:7">
      <c r="G914" s="35"/>
    </row>
    <row r="915" spans="7:7">
      <c r="G915" s="35"/>
    </row>
    <row r="916" spans="7:7">
      <c r="G916" s="35"/>
    </row>
    <row r="917" spans="7:7">
      <c r="G917" s="35"/>
    </row>
    <row r="918" spans="7:7">
      <c r="G918" s="35"/>
    </row>
    <row r="919" spans="7:7">
      <c r="G919" s="35"/>
    </row>
    <row r="920" spans="7:7">
      <c r="G920" s="35"/>
    </row>
    <row r="921" spans="7:7">
      <c r="G921" s="35"/>
    </row>
    <row r="922" spans="7:7">
      <c r="G922" s="35"/>
    </row>
    <row r="923" spans="7:7">
      <c r="G923" s="35"/>
    </row>
    <row r="924" spans="7:7">
      <c r="G924" s="35"/>
    </row>
    <row r="925" spans="7:7">
      <c r="G925" s="35"/>
    </row>
    <row r="926" spans="7:7">
      <c r="G926" s="35"/>
    </row>
    <row r="927" spans="7:7">
      <c r="G927" s="35"/>
    </row>
    <row r="928" spans="7:7">
      <c r="G928" s="35"/>
    </row>
    <row r="929" spans="7:7">
      <c r="G929" s="35"/>
    </row>
    <row r="930" spans="7:7">
      <c r="G930" s="35"/>
    </row>
    <row r="931" spans="7:7">
      <c r="G931" s="35"/>
    </row>
    <row r="932" spans="7:7">
      <c r="G932" s="35"/>
    </row>
    <row r="933" spans="7:7">
      <c r="G933" s="35"/>
    </row>
    <row r="934" spans="7:7">
      <c r="G934" s="35"/>
    </row>
    <row r="935" spans="7:7">
      <c r="G935" s="35"/>
    </row>
    <row r="936" spans="7:7">
      <c r="G936" s="35"/>
    </row>
    <row r="937" spans="7:7">
      <c r="G937" s="35"/>
    </row>
    <row r="938" spans="7:7">
      <c r="G938" s="35"/>
    </row>
    <row r="939" spans="7:7">
      <c r="G939" s="35"/>
    </row>
    <row r="940" spans="7:7">
      <c r="G940" s="35"/>
    </row>
    <row r="941" spans="7:7">
      <c r="G941" s="35"/>
    </row>
    <row r="942" spans="7:7">
      <c r="G942" s="35"/>
    </row>
    <row r="943" spans="7:7">
      <c r="G943" s="35"/>
    </row>
    <row r="944" spans="7:7">
      <c r="G944" s="35"/>
    </row>
    <row r="945" spans="7:7">
      <c r="G945" s="35"/>
    </row>
    <row r="946" spans="7:7">
      <c r="G946" s="35"/>
    </row>
    <row r="947" spans="7:7">
      <c r="G947" s="35"/>
    </row>
    <row r="948" spans="7:7">
      <c r="G948" s="35"/>
    </row>
    <row r="949" spans="7:7">
      <c r="G949" s="35"/>
    </row>
    <row r="950" spans="7:7">
      <c r="G950" s="35"/>
    </row>
    <row r="951" spans="7:7">
      <c r="G951" s="35"/>
    </row>
    <row r="952" spans="7:7">
      <c r="G952" s="35"/>
    </row>
    <row r="953" spans="7:7">
      <c r="G953" s="35"/>
    </row>
    <row r="954" spans="7:7">
      <c r="G954" s="35"/>
    </row>
    <row r="955" spans="7:7">
      <c r="G955" s="35"/>
    </row>
    <row r="956" spans="7:7">
      <c r="G956" s="35"/>
    </row>
    <row r="957" spans="7:7">
      <c r="G957" s="35"/>
    </row>
    <row r="958" spans="7:7">
      <c r="G958" s="35"/>
    </row>
    <row r="959" spans="7:7">
      <c r="G959" s="35"/>
    </row>
    <row r="960" spans="7:7">
      <c r="G960" s="35"/>
    </row>
    <row r="961" spans="7:7">
      <c r="G961" s="35"/>
    </row>
    <row r="962" spans="7:7">
      <c r="G962" s="35"/>
    </row>
    <row r="963" spans="7:7">
      <c r="G963" s="35"/>
    </row>
    <row r="964" spans="7:7">
      <c r="G964" s="35"/>
    </row>
    <row r="965" spans="7:7">
      <c r="G965" s="35"/>
    </row>
    <row r="966" spans="7:7">
      <c r="G966" s="35"/>
    </row>
    <row r="967" spans="7:7">
      <c r="G967" s="35"/>
    </row>
    <row r="968" spans="7:7">
      <c r="G968" s="35"/>
    </row>
    <row r="969" spans="7:7">
      <c r="G969" s="35"/>
    </row>
    <row r="970" spans="7:7">
      <c r="G970" s="35"/>
    </row>
    <row r="971" spans="7:7">
      <c r="G971" s="35"/>
    </row>
    <row r="972" spans="7:7">
      <c r="G972" s="35"/>
    </row>
    <row r="973" spans="7:7">
      <c r="G973" s="35"/>
    </row>
    <row r="974" spans="7:7">
      <c r="G974" s="35"/>
    </row>
    <row r="975" spans="7:7">
      <c r="G975" s="35"/>
    </row>
    <row r="976" spans="7:7">
      <c r="G976" s="35"/>
    </row>
    <row r="977" spans="7:7">
      <c r="G977" s="35"/>
    </row>
    <row r="978" spans="7:7">
      <c r="G978" s="35"/>
    </row>
    <row r="979" spans="7:7">
      <c r="G979" s="35"/>
    </row>
    <row r="980" spans="7:7">
      <c r="G980" s="35"/>
    </row>
    <row r="981" spans="7:7">
      <c r="G981" s="35"/>
    </row>
    <row r="982" spans="7:7">
      <c r="G982" s="35"/>
    </row>
    <row r="983" spans="7:7">
      <c r="G983" s="35"/>
    </row>
    <row r="984" spans="7:7">
      <c r="G984" s="35"/>
    </row>
    <row r="985" spans="7:7">
      <c r="G985" s="35"/>
    </row>
    <row r="986" spans="7:7">
      <c r="G986" s="35"/>
    </row>
    <row r="987" spans="7:7">
      <c r="G987" s="35"/>
    </row>
    <row r="988" spans="7:7">
      <c r="G988" s="35"/>
    </row>
    <row r="989" spans="7:7">
      <c r="G989" s="35"/>
    </row>
    <row r="990" spans="7:7">
      <c r="G990" s="35"/>
    </row>
    <row r="991" spans="7:7">
      <c r="G991" s="35"/>
    </row>
    <row r="992" spans="7:7">
      <c r="G992" s="35"/>
    </row>
    <row r="993" spans="7:7">
      <c r="G993" s="35"/>
    </row>
    <row r="994" spans="7:7">
      <c r="G994" s="35"/>
    </row>
    <row r="995" spans="7:7">
      <c r="G995" s="35"/>
    </row>
    <row r="996" spans="7:7">
      <c r="G996" s="35"/>
    </row>
    <row r="997" spans="7:7">
      <c r="G997" s="35"/>
    </row>
    <row r="998" spans="7:7">
      <c r="G998" s="35"/>
    </row>
    <row r="999" spans="7:7">
      <c r="G999" s="35"/>
    </row>
    <row r="1000" spans="7:7">
      <c r="G1000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BH2016"/>
  <sheetViews>
    <sheetView workbookViewId="0"/>
  </sheetViews>
  <sheetFormatPr baseColWidth="10" defaultColWidth="12.6640625" defaultRowHeight="15" customHeight="1"/>
  <cols>
    <col min="1" max="1" width="6.6640625" customWidth="1"/>
    <col min="2" max="2" width="30.5" customWidth="1"/>
    <col min="3" max="3" width="9.33203125" customWidth="1"/>
    <col min="4" max="4" width="9.1640625" customWidth="1"/>
    <col min="5" max="5" width="16.33203125" customWidth="1"/>
    <col min="6" max="6" width="11.83203125" customWidth="1"/>
    <col min="7" max="7" width="17.33203125" customWidth="1"/>
    <col min="8" max="8" width="27.83203125" customWidth="1"/>
    <col min="9" max="9" width="24.1640625" customWidth="1"/>
    <col min="10" max="10" width="11.83203125" customWidth="1"/>
    <col min="11" max="11" width="54.6640625" customWidth="1"/>
    <col min="12" max="12" width="34.6640625" customWidth="1"/>
    <col min="13" max="13" width="16.6640625" customWidth="1"/>
    <col min="14" max="14" width="11.33203125" hidden="1" customWidth="1"/>
    <col min="15" max="16" width="35.6640625" customWidth="1"/>
    <col min="17" max="17" width="35" customWidth="1"/>
    <col min="18" max="18" width="32" customWidth="1"/>
    <col min="26" max="26" width="67" customWidth="1"/>
    <col min="27" max="27" width="55.6640625" customWidth="1"/>
    <col min="28" max="28" width="21" customWidth="1"/>
    <col min="29" max="29" width="22.6640625" customWidth="1"/>
    <col min="30" max="30" width="22" customWidth="1"/>
    <col min="31" max="31" width="18.5" customWidth="1"/>
    <col min="32" max="32" width="22.6640625" customWidth="1"/>
    <col min="33" max="33" width="19.33203125" customWidth="1"/>
  </cols>
  <sheetData>
    <row r="1" spans="1:60" ht="16">
      <c r="A1" s="36" t="s">
        <v>53</v>
      </c>
      <c r="B1" s="36" t="s">
        <v>54</v>
      </c>
      <c r="C1" s="36" t="s">
        <v>55</v>
      </c>
      <c r="D1" s="37" t="s">
        <v>56</v>
      </c>
      <c r="E1" s="38" t="s">
        <v>57</v>
      </c>
      <c r="F1" s="38" t="s">
        <v>58</v>
      </c>
      <c r="G1" s="38" t="s">
        <v>59</v>
      </c>
      <c r="H1" s="36" t="s">
        <v>60</v>
      </c>
      <c r="I1" s="38" t="s">
        <v>0</v>
      </c>
      <c r="J1" s="38" t="s">
        <v>61</v>
      </c>
      <c r="K1" s="38" t="s">
        <v>62</v>
      </c>
      <c r="L1" s="38" t="s">
        <v>63</v>
      </c>
      <c r="M1" s="39" t="s">
        <v>64</v>
      </c>
      <c r="N1" s="38" t="s">
        <v>65</v>
      </c>
      <c r="O1" s="38" t="s">
        <v>66</v>
      </c>
      <c r="P1" s="38" t="s">
        <v>67</v>
      </c>
      <c r="Q1" s="38" t="s">
        <v>68</v>
      </c>
      <c r="R1" s="38" t="s">
        <v>69</v>
      </c>
      <c r="S1" s="38" t="s">
        <v>70</v>
      </c>
      <c r="T1" s="38" t="s">
        <v>71</v>
      </c>
      <c r="U1" s="38" t="s">
        <v>72</v>
      </c>
      <c r="V1" s="38" t="s">
        <v>73</v>
      </c>
      <c r="W1" s="38" t="s">
        <v>74</v>
      </c>
      <c r="X1" s="38" t="s">
        <v>75</v>
      </c>
      <c r="Y1" s="38" t="s">
        <v>76</v>
      </c>
      <c r="Z1" s="40" t="s">
        <v>77</v>
      </c>
      <c r="AA1" s="40" t="s">
        <v>78</v>
      </c>
      <c r="AB1" s="40" t="s">
        <v>79</v>
      </c>
      <c r="AC1" s="40" t="s">
        <v>80</v>
      </c>
      <c r="AD1" s="40" t="s">
        <v>81</v>
      </c>
      <c r="AE1" s="40" t="s">
        <v>82</v>
      </c>
      <c r="AF1" s="40" t="s">
        <v>83</v>
      </c>
      <c r="AG1" s="40" t="s">
        <v>84</v>
      </c>
      <c r="AH1" s="40" t="s">
        <v>85</v>
      </c>
      <c r="AI1" s="40" t="s">
        <v>86</v>
      </c>
      <c r="AJ1" s="40" t="s">
        <v>87</v>
      </c>
      <c r="AK1" s="40" t="s">
        <v>88</v>
      </c>
      <c r="AL1" s="40" t="s">
        <v>89</v>
      </c>
      <c r="AM1" s="40" t="s">
        <v>90</v>
      </c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</row>
    <row r="2" spans="1:60" ht="16">
      <c r="A2" s="41" t="s">
        <v>4</v>
      </c>
      <c r="B2" s="41" t="s">
        <v>7</v>
      </c>
      <c r="C2" s="41">
        <v>1</v>
      </c>
      <c r="D2" s="42" t="str">
        <f t="shared" ref="D2:D11" si="0">IF(E2="","",LEFT(E2,SEARCH("/",E2)-1))</f>
        <v>ISL91</v>
      </c>
      <c r="E2" s="43" t="s">
        <v>91</v>
      </c>
      <c r="F2" s="44">
        <v>46053</v>
      </c>
      <c r="G2" s="43" t="s">
        <v>92</v>
      </c>
      <c r="H2" s="41" t="e">
        <f>VLOOKUP(D2,#REF!,4,FALSE)</f>
        <v>#REF!</v>
      </c>
      <c r="I2" s="43" t="s">
        <v>10</v>
      </c>
      <c r="J2" s="43" t="s">
        <v>93</v>
      </c>
      <c r="K2" s="43" t="s">
        <v>94</v>
      </c>
      <c r="L2" s="43" t="s">
        <v>95</v>
      </c>
      <c r="M2" s="43">
        <v>600</v>
      </c>
      <c r="N2" s="43"/>
      <c r="O2" s="43" t="s">
        <v>96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5" t="str">
        <f t="shared" ref="Z2:AA2" si="1">CONCATENATE(AA2,",",AB2,",",AC2,",",AD2,",",AE2,",",AF2,",",AG2,",",AH2,",",AI2,",",AJ2)</f>
        <v>,,,,,,,,,,,,,,,,,,</v>
      </c>
      <c r="AA2" s="45" t="str">
        <f t="shared" si="1"/>
        <v>,,,,,,,,,</v>
      </c>
      <c r="AB2" s="46"/>
      <c r="AC2" s="46"/>
      <c r="AD2" s="46"/>
      <c r="AE2" s="46"/>
      <c r="AF2" s="46"/>
      <c r="AG2" s="46"/>
      <c r="AH2" s="46"/>
      <c r="AI2" s="46"/>
      <c r="AJ2" s="46"/>
      <c r="AK2" s="40"/>
      <c r="AL2" s="40">
        <f t="shared" ref="AL2:AL4" si="2">M2/300</f>
        <v>2</v>
      </c>
      <c r="AM2" s="40">
        <f t="shared" ref="AM2:AM4" si="3">COUNTA(AA2:AJ2)</f>
        <v>1</v>
      </c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</row>
    <row r="3" spans="1:60" ht="16.5" customHeight="1">
      <c r="A3" s="41" t="s">
        <v>4</v>
      </c>
      <c r="B3" s="41" t="s">
        <v>7</v>
      </c>
      <c r="C3" s="41">
        <v>1</v>
      </c>
      <c r="D3" s="42" t="str">
        <f t="shared" si="0"/>
        <v>ISL91</v>
      </c>
      <c r="E3" s="43" t="s">
        <v>97</v>
      </c>
      <c r="F3" s="44">
        <v>46053</v>
      </c>
      <c r="G3" s="43" t="s">
        <v>98</v>
      </c>
      <c r="H3" s="41" t="e">
        <f>VLOOKUP(D3,#REF!,4,FALSE)</f>
        <v>#REF!</v>
      </c>
      <c r="I3" s="43" t="s">
        <v>10</v>
      </c>
      <c r="J3" s="43" t="s">
        <v>93</v>
      </c>
      <c r="K3" s="43" t="s">
        <v>94</v>
      </c>
      <c r="L3" s="43" t="s">
        <v>95</v>
      </c>
      <c r="M3" s="43">
        <v>1200</v>
      </c>
      <c r="N3" s="43"/>
      <c r="O3" s="47" t="s">
        <v>99</v>
      </c>
      <c r="P3" s="43" t="s">
        <v>100</v>
      </c>
      <c r="Q3" s="43"/>
      <c r="R3" s="43"/>
      <c r="S3" s="43"/>
      <c r="T3" s="43"/>
      <c r="U3" s="43"/>
      <c r="V3" s="43"/>
      <c r="W3" s="43"/>
      <c r="X3" s="43"/>
      <c r="Y3" s="43"/>
      <c r="Z3" s="45" t="str">
        <f t="shared" ref="Z3:AA3" si="4">CONCATENATE(AA3,",",AB3,",",AC3,",",AD3,",",AE3,",",AF3,",",AG3,",",AH3,",",AI3,",",AJ3)</f>
        <v>,,,,,,,,,,,,,,,,,,</v>
      </c>
      <c r="AA3" s="45" t="str">
        <f t="shared" si="4"/>
        <v>,,,,,,,,,</v>
      </c>
      <c r="AB3" s="46"/>
      <c r="AC3" s="46"/>
      <c r="AD3" s="46"/>
      <c r="AE3" s="46"/>
      <c r="AF3" s="46"/>
      <c r="AG3" s="46"/>
      <c r="AH3" s="46"/>
      <c r="AI3" s="46"/>
      <c r="AJ3" s="46"/>
      <c r="AK3" s="40"/>
      <c r="AL3" s="40">
        <f t="shared" si="2"/>
        <v>4</v>
      </c>
      <c r="AM3" s="40">
        <f t="shared" si="3"/>
        <v>1</v>
      </c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</row>
    <row r="4" spans="1:60" ht="16">
      <c r="A4" s="41" t="s">
        <v>4</v>
      </c>
      <c r="B4" s="41" t="s">
        <v>7</v>
      </c>
      <c r="C4" s="41">
        <v>1</v>
      </c>
      <c r="D4" s="42" t="str">
        <f t="shared" si="0"/>
        <v>ISL136</v>
      </c>
      <c r="E4" s="43" t="s">
        <v>101</v>
      </c>
      <c r="F4" s="44">
        <v>46053</v>
      </c>
      <c r="G4" s="43" t="s">
        <v>102</v>
      </c>
      <c r="H4" s="41" t="e">
        <f>VLOOKUP(D4,#REF!,4,FALSE)</f>
        <v>#REF!</v>
      </c>
      <c r="I4" s="48" t="s">
        <v>103</v>
      </c>
      <c r="J4" s="48" t="s">
        <v>104</v>
      </c>
      <c r="K4" s="48" t="s">
        <v>105</v>
      </c>
      <c r="L4" s="48" t="s">
        <v>106</v>
      </c>
      <c r="M4" s="48">
        <v>600</v>
      </c>
      <c r="N4" s="43"/>
      <c r="O4" s="43" t="s">
        <v>107</v>
      </c>
      <c r="P4" s="232"/>
      <c r="Q4" s="233"/>
      <c r="R4" s="233"/>
      <c r="S4" s="43"/>
      <c r="T4" s="43"/>
      <c r="U4" s="43"/>
      <c r="V4" s="43"/>
      <c r="W4" s="43"/>
      <c r="X4" s="43"/>
      <c r="Y4" s="43"/>
      <c r="Z4" s="45" t="str">
        <f t="shared" ref="Z4:Z7" si="5">CONCATENATE(AA4,",",AB4,",",AC4,",",AD4,",",AE4,",",AF4,",",AG4,",",AH4,",",AI4,",",AJ4)</f>
        <v>,,,,,,,,,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0"/>
      <c r="AL4" s="40">
        <f t="shared" si="2"/>
        <v>2</v>
      </c>
      <c r="AM4" s="40">
        <f t="shared" si="3"/>
        <v>0</v>
      </c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9"/>
      <c r="BC4" s="49"/>
      <c r="BD4" s="49"/>
      <c r="BE4" s="49"/>
      <c r="BF4" s="49"/>
      <c r="BG4" s="49"/>
      <c r="BH4" s="49"/>
    </row>
    <row r="5" spans="1:60" ht="16">
      <c r="A5" s="41" t="s">
        <v>2</v>
      </c>
      <c r="B5" s="41" t="s">
        <v>1</v>
      </c>
      <c r="C5" s="41">
        <v>1</v>
      </c>
      <c r="D5" s="42" t="str">
        <f t="shared" si="0"/>
        <v>MBM11</v>
      </c>
      <c r="E5" s="43" t="s">
        <v>108</v>
      </c>
      <c r="F5" s="44">
        <v>46053</v>
      </c>
      <c r="G5" s="50" t="s">
        <v>109</v>
      </c>
      <c r="H5" s="41" t="e">
        <f>VLOOKUP(D5,#REF!,4,FALSE)</f>
        <v>#REF!</v>
      </c>
      <c r="I5" s="43" t="s">
        <v>15</v>
      </c>
      <c r="J5" s="43" t="s">
        <v>110</v>
      </c>
      <c r="K5" s="43" t="s">
        <v>111</v>
      </c>
      <c r="L5" s="43" t="s">
        <v>112</v>
      </c>
      <c r="M5" s="43">
        <v>300</v>
      </c>
      <c r="N5" s="43"/>
      <c r="O5" s="47" t="s">
        <v>113</v>
      </c>
      <c r="P5" s="50"/>
      <c r="Q5" s="43"/>
      <c r="R5" s="43"/>
      <c r="S5" s="43"/>
      <c r="T5" s="43"/>
      <c r="U5" s="43"/>
      <c r="V5" s="43"/>
      <c r="W5" s="43"/>
      <c r="X5" s="43"/>
      <c r="Y5" s="43"/>
      <c r="Z5" s="45" t="str">
        <f t="shared" si="5"/>
        <v>,,,,,,,,,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</row>
    <row r="6" spans="1:60" ht="16">
      <c r="A6" s="51" t="s">
        <v>2</v>
      </c>
      <c r="B6" s="51" t="s">
        <v>1</v>
      </c>
      <c r="C6" s="41">
        <v>1</v>
      </c>
      <c r="D6" s="42" t="str">
        <f t="shared" si="0"/>
        <v>MBM186</v>
      </c>
      <c r="E6" s="52" t="s">
        <v>114</v>
      </c>
      <c r="F6" s="44">
        <v>46053</v>
      </c>
      <c r="G6" s="52" t="s">
        <v>115</v>
      </c>
      <c r="H6" s="41" t="e">
        <f>VLOOKUP(D6,#REF!,4,FALSE)</f>
        <v>#REF!</v>
      </c>
      <c r="I6" s="52" t="s">
        <v>116</v>
      </c>
      <c r="J6" s="52" t="s">
        <v>117</v>
      </c>
      <c r="K6" s="52" t="s">
        <v>118</v>
      </c>
      <c r="L6" s="52" t="s">
        <v>119</v>
      </c>
      <c r="M6" s="43">
        <v>600</v>
      </c>
      <c r="N6" s="50"/>
      <c r="O6" s="47" t="s">
        <v>120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45" t="str">
        <f t="shared" si="5"/>
        <v>,,,,,,,,,</v>
      </c>
      <c r="AA6" s="45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5">
        <f>M6/300</f>
        <v>2</v>
      </c>
      <c r="AM6" s="55">
        <f>COUNTA(AA6:AJ6)</f>
        <v>0</v>
      </c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40"/>
      <c r="BC6" s="40"/>
      <c r="BD6" s="40"/>
      <c r="BE6" s="40"/>
      <c r="BF6" s="40"/>
      <c r="BG6" s="40"/>
      <c r="BH6" s="40"/>
    </row>
    <row r="7" spans="1:60" ht="16">
      <c r="A7" s="41" t="s">
        <v>2</v>
      </c>
      <c r="B7" s="41" t="s">
        <v>1</v>
      </c>
      <c r="C7" s="41">
        <v>1</v>
      </c>
      <c r="D7" s="42" t="str">
        <f t="shared" si="0"/>
        <v>MBM109</v>
      </c>
      <c r="E7" s="43" t="s">
        <v>121</v>
      </c>
      <c r="F7" s="44">
        <v>46053</v>
      </c>
      <c r="G7" s="43" t="s">
        <v>122</v>
      </c>
      <c r="H7" s="41" t="e">
        <f>VLOOKUP(D7,#REF!,4,FALSE)</f>
        <v>#REF!</v>
      </c>
      <c r="I7" s="43" t="s">
        <v>18</v>
      </c>
      <c r="J7" s="48" t="s">
        <v>123</v>
      </c>
      <c r="K7" s="48" t="s">
        <v>124</v>
      </c>
      <c r="L7" s="48" t="s">
        <v>125</v>
      </c>
      <c r="M7" s="43">
        <v>300</v>
      </c>
      <c r="N7" s="43"/>
      <c r="O7" s="56" t="s">
        <v>126</v>
      </c>
      <c r="P7" s="50"/>
      <c r="Q7" s="49"/>
      <c r="R7" s="43"/>
      <c r="S7" s="43"/>
      <c r="T7" s="43"/>
      <c r="U7" s="43"/>
      <c r="V7" s="43"/>
      <c r="W7" s="43"/>
      <c r="X7" s="43"/>
      <c r="Y7" s="43"/>
      <c r="Z7" s="45" t="str">
        <f t="shared" si="5"/>
        <v>,,,,,,,,,</v>
      </c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</row>
    <row r="8" spans="1:60" ht="15" customHeight="1">
      <c r="A8" s="41" t="s">
        <v>2</v>
      </c>
      <c r="B8" s="41" t="s">
        <v>127</v>
      </c>
      <c r="C8" s="41">
        <v>1</v>
      </c>
      <c r="D8" s="42" t="str">
        <f t="shared" si="0"/>
        <v>RPG51</v>
      </c>
      <c r="E8" s="48" t="s">
        <v>128</v>
      </c>
      <c r="F8" s="44">
        <v>46053</v>
      </c>
      <c r="G8" s="43" t="s">
        <v>129</v>
      </c>
      <c r="H8" s="41" t="e">
        <f>VLOOKUP(D8,#REF!,4,FALSE)</f>
        <v>#REF!</v>
      </c>
      <c r="I8" s="43" t="s">
        <v>32</v>
      </c>
      <c r="J8" s="48" t="s">
        <v>130</v>
      </c>
      <c r="K8" s="43" t="s">
        <v>131</v>
      </c>
      <c r="L8" s="48" t="s">
        <v>132</v>
      </c>
      <c r="M8" s="57">
        <v>600</v>
      </c>
      <c r="N8" s="57"/>
      <c r="O8" s="58" t="s">
        <v>133</v>
      </c>
      <c r="P8" s="58" t="s">
        <v>134</v>
      </c>
      <c r="Q8" s="58"/>
      <c r="R8" s="58"/>
      <c r="S8" s="58"/>
      <c r="T8" s="58"/>
      <c r="U8" s="43"/>
      <c r="V8" s="43"/>
      <c r="W8" s="43"/>
      <c r="X8" s="43"/>
      <c r="Y8" s="43"/>
      <c r="Z8" s="46" t="s">
        <v>135</v>
      </c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59"/>
      <c r="BC8" s="59"/>
      <c r="BD8" s="59"/>
      <c r="BE8" s="59"/>
      <c r="BF8" s="59"/>
      <c r="BG8" s="59"/>
      <c r="BH8" s="59"/>
    </row>
    <row r="9" spans="1:60" ht="16">
      <c r="A9" s="41" t="s">
        <v>2</v>
      </c>
      <c r="B9" s="41" t="s">
        <v>136</v>
      </c>
      <c r="C9" s="41">
        <v>1</v>
      </c>
      <c r="D9" s="42" t="str">
        <f t="shared" si="0"/>
        <v>MCC75</v>
      </c>
      <c r="E9" s="43" t="s">
        <v>137</v>
      </c>
      <c r="F9" s="44">
        <v>46053</v>
      </c>
      <c r="G9" s="43" t="s">
        <v>138</v>
      </c>
      <c r="H9" s="41" t="e">
        <f>VLOOKUP(D9,#REF!,4,FALSE)</f>
        <v>#REF!</v>
      </c>
      <c r="I9" s="43" t="s">
        <v>139</v>
      </c>
      <c r="J9" s="43" t="s">
        <v>140</v>
      </c>
      <c r="K9" s="43" t="s">
        <v>141</v>
      </c>
      <c r="L9" s="43" t="s">
        <v>142</v>
      </c>
      <c r="M9" s="43">
        <v>150</v>
      </c>
      <c r="N9" s="43"/>
      <c r="O9" s="43" t="s">
        <v>143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0"/>
      <c r="AL9" s="40">
        <f t="shared" ref="AL9:AL10" si="6">M9/300</f>
        <v>0.5</v>
      </c>
      <c r="AM9" s="40">
        <f t="shared" ref="AM9:AM10" si="7">COUNTA(AA9:AJ9)</f>
        <v>0</v>
      </c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</row>
    <row r="10" spans="1:60" ht="16">
      <c r="A10" s="41" t="s">
        <v>2</v>
      </c>
      <c r="B10" s="41" t="s">
        <v>136</v>
      </c>
      <c r="C10" s="41">
        <v>1</v>
      </c>
      <c r="D10" s="42" t="str">
        <f t="shared" si="0"/>
        <v>MCC75</v>
      </c>
      <c r="E10" s="43" t="s">
        <v>144</v>
      </c>
      <c r="F10" s="44">
        <v>46053</v>
      </c>
      <c r="G10" s="43" t="s">
        <v>145</v>
      </c>
      <c r="H10" s="41" t="s">
        <v>139</v>
      </c>
      <c r="I10" s="43" t="s">
        <v>139</v>
      </c>
      <c r="J10" s="43" t="s">
        <v>140</v>
      </c>
      <c r="K10" s="43" t="s">
        <v>141</v>
      </c>
      <c r="L10" s="43" t="s">
        <v>142</v>
      </c>
      <c r="M10" s="43">
        <v>1200</v>
      </c>
      <c r="N10" s="43"/>
      <c r="O10" s="43" t="s">
        <v>146</v>
      </c>
      <c r="P10" s="43" t="s">
        <v>147</v>
      </c>
      <c r="Q10" s="43"/>
      <c r="R10" s="43"/>
      <c r="S10" s="43"/>
      <c r="T10" s="43"/>
      <c r="U10" s="43"/>
      <c r="V10" s="43"/>
      <c r="W10" s="43"/>
      <c r="X10" s="43"/>
      <c r="Y10" s="43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0"/>
      <c r="AL10" s="40">
        <f t="shared" si="6"/>
        <v>4</v>
      </c>
      <c r="AM10" s="40">
        <f t="shared" si="7"/>
        <v>0</v>
      </c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</row>
    <row r="11" spans="1:60" ht="16">
      <c r="A11" s="41" t="s">
        <v>4</v>
      </c>
      <c r="B11" s="41" t="s">
        <v>148</v>
      </c>
      <c r="C11" s="41">
        <v>2</v>
      </c>
      <c r="D11" s="42" t="str">
        <f t="shared" si="0"/>
        <v>RFV33</v>
      </c>
      <c r="E11" s="60" t="s">
        <v>149</v>
      </c>
      <c r="F11" s="61">
        <v>46081</v>
      </c>
      <c r="G11" s="62" t="s">
        <v>150</v>
      </c>
      <c r="H11" s="41" t="e">
        <f>VLOOKUP(D11,#REF!,4,FALSE)</f>
        <v>#REF!</v>
      </c>
      <c r="I11" s="62" t="s">
        <v>36</v>
      </c>
      <c r="J11" s="62" t="s">
        <v>151</v>
      </c>
      <c r="K11" s="62" t="s">
        <v>152</v>
      </c>
      <c r="L11" s="62" t="s">
        <v>153</v>
      </c>
      <c r="M11" s="43">
        <v>1500</v>
      </c>
      <c r="N11" s="43"/>
      <c r="O11" s="43" t="s">
        <v>154</v>
      </c>
      <c r="P11" s="57" t="s">
        <v>155</v>
      </c>
      <c r="Q11" s="43" t="s">
        <v>156</v>
      </c>
      <c r="R11" s="43"/>
      <c r="S11" s="43"/>
      <c r="T11" s="43"/>
      <c r="U11" s="43"/>
      <c r="V11" s="43"/>
      <c r="W11" s="43"/>
      <c r="X11" s="43"/>
      <c r="Y11" s="43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</row>
    <row r="12" spans="1:60" ht="16">
      <c r="A12" s="63" t="s">
        <v>2</v>
      </c>
      <c r="B12" s="63" t="s">
        <v>1</v>
      </c>
      <c r="C12" s="41">
        <v>2</v>
      </c>
      <c r="D12" s="64" t="str">
        <f t="shared" ref="D12:D14" si="8">LEFT(E12,SEARCH("/",E12,1)-1)</f>
        <v>MBM128</v>
      </c>
      <c r="E12" s="9" t="s">
        <v>157</v>
      </c>
      <c r="F12" s="61">
        <v>46081</v>
      </c>
      <c r="G12" s="65" t="s">
        <v>158</v>
      </c>
      <c r="H12" s="63" t="e">
        <f>VLOOKUP(D12,#REF!,4,FALSE)</f>
        <v>#REF!</v>
      </c>
      <c r="I12" s="9" t="s">
        <v>29</v>
      </c>
      <c r="J12" s="66" t="s">
        <v>159</v>
      </c>
      <c r="K12" s="66" t="s">
        <v>160</v>
      </c>
      <c r="L12" s="67" t="s">
        <v>161</v>
      </c>
      <c r="M12" s="60">
        <v>600</v>
      </c>
      <c r="N12" s="68"/>
      <c r="O12" s="1" t="s">
        <v>162</v>
      </c>
      <c r="P12" s="7"/>
      <c r="Q12" s="7"/>
      <c r="R12" s="68"/>
      <c r="S12" s="68"/>
      <c r="T12" s="68"/>
      <c r="U12" s="68"/>
      <c r="V12" s="68"/>
      <c r="W12" s="68"/>
      <c r="X12" s="68"/>
      <c r="Y12" s="68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40"/>
      <c r="BC12" s="40"/>
      <c r="BD12" s="40"/>
      <c r="BE12" s="40"/>
      <c r="BF12" s="40"/>
      <c r="BG12" s="40"/>
      <c r="BH12" s="40"/>
    </row>
    <row r="13" spans="1:60" ht="16">
      <c r="A13" s="70" t="s">
        <v>2</v>
      </c>
      <c r="B13" s="70" t="s">
        <v>1</v>
      </c>
      <c r="C13" s="41">
        <v>2</v>
      </c>
      <c r="D13" s="71" t="str">
        <f t="shared" si="8"/>
        <v>MBM114</v>
      </c>
      <c r="E13" s="60" t="s">
        <v>163</v>
      </c>
      <c r="F13" s="61">
        <v>46081</v>
      </c>
      <c r="G13" s="65" t="s">
        <v>164</v>
      </c>
      <c r="H13" s="70" t="e">
        <f>VLOOKUP(D13,#REF!,4,FALSE)</f>
        <v>#REF!</v>
      </c>
      <c r="I13" s="60" t="s">
        <v>165</v>
      </c>
      <c r="J13" s="60" t="s">
        <v>166</v>
      </c>
      <c r="K13" s="60" t="s">
        <v>167</v>
      </c>
      <c r="L13" s="60" t="s">
        <v>168</v>
      </c>
      <c r="M13" s="60">
        <v>600</v>
      </c>
      <c r="N13" s="60"/>
      <c r="O13" s="1" t="s">
        <v>169</v>
      </c>
      <c r="P13" s="72"/>
      <c r="Q13" s="60"/>
      <c r="R13" s="60"/>
      <c r="S13" s="60"/>
      <c r="T13" s="60"/>
      <c r="U13" s="60"/>
      <c r="V13" s="60"/>
      <c r="W13" s="60"/>
      <c r="X13" s="60"/>
      <c r="Y13" s="60"/>
      <c r="Z13" s="73" t="str">
        <f t="shared" ref="Z13:Z16" si="9">CONCATENATE(AA13,",",AB13,",",AC13,",",AD13,",",AE13,",",AF13,",",AG13,",",AH13,",",AI13,",",AJ13)</f>
        <v>,,,,,,,,,</v>
      </c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4"/>
      <c r="AL13" s="74">
        <f t="shared" ref="AL13:AL16" si="10">M13/300</f>
        <v>2</v>
      </c>
      <c r="AM13" s="74">
        <f t="shared" ref="AM13:AM16" si="11">COUNTA(AA13:AJ13)</f>
        <v>0</v>
      </c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40"/>
      <c r="BC13" s="40"/>
      <c r="BD13" s="40"/>
      <c r="BE13" s="40"/>
      <c r="BF13" s="40"/>
      <c r="BG13" s="40"/>
      <c r="BH13" s="40"/>
    </row>
    <row r="14" spans="1:60" ht="16">
      <c r="A14" s="70" t="s">
        <v>2</v>
      </c>
      <c r="B14" s="70" t="s">
        <v>1</v>
      </c>
      <c r="C14" s="41">
        <v>2</v>
      </c>
      <c r="D14" s="71" t="str">
        <f t="shared" si="8"/>
        <v>MBM03</v>
      </c>
      <c r="E14" s="60" t="s">
        <v>170</v>
      </c>
      <c r="F14" s="61">
        <v>46081</v>
      </c>
      <c r="G14" s="52" t="s">
        <v>115</v>
      </c>
      <c r="H14" s="70" t="e">
        <f>VLOOKUP(D14,#REF!,4,FALSE)</f>
        <v>#REF!</v>
      </c>
      <c r="I14" s="60" t="s">
        <v>171</v>
      </c>
      <c r="J14" s="60" t="s">
        <v>172</v>
      </c>
      <c r="K14" s="60" t="s">
        <v>173</v>
      </c>
      <c r="L14" s="60" t="s">
        <v>174</v>
      </c>
      <c r="M14" s="60">
        <v>300</v>
      </c>
      <c r="N14" s="60"/>
      <c r="O14" s="1" t="s">
        <v>175</v>
      </c>
      <c r="P14" s="72"/>
      <c r="Q14" s="60"/>
      <c r="R14" s="60"/>
      <c r="S14" s="60"/>
      <c r="T14" s="60"/>
      <c r="U14" s="60"/>
      <c r="V14" s="60"/>
      <c r="W14" s="60"/>
      <c r="X14" s="60"/>
      <c r="Y14" s="60"/>
      <c r="Z14" s="73" t="str">
        <f t="shared" si="9"/>
        <v>,,,,,,,,,</v>
      </c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4"/>
      <c r="AL14" s="74">
        <f t="shared" si="10"/>
        <v>1</v>
      </c>
      <c r="AM14" s="74">
        <f t="shared" si="11"/>
        <v>0</v>
      </c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40"/>
      <c r="BC14" s="40"/>
      <c r="BD14" s="40"/>
      <c r="BE14" s="40"/>
      <c r="BF14" s="40"/>
      <c r="BG14" s="40"/>
      <c r="BH14" s="40"/>
    </row>
    <row r="15" spans="1:60" ht="16">
      <c r="A15" s="51" t="s">
        <v>2</v>
      </c>
      <c r="B15" s="51" t="s">
        <v>1</v>
      </c>
      <c r="C15" s="41">
        <v>2</v>
      </c>
      <c r="D15" s="42" t="str">
        <f t="shared" ref="D15:D16" si="12">IF(E15="","",LEFT(E15,SEARCH("/",E15)-1))</f>
        <v>MBM186</v>
      </c>
      <c r="E15" s="52" t="s">
        <v>176</v>
      </c>
      <c r="F15" s="61">
        <v>46081</v>
      </c>
      <c r="G15" s="52" t="s">
        <v>115</v>
      </c>
      <c r="H15" s="41" t="e">
        <f>VLOOKUP(D15,#REF!,4,FALSE)</f>
        <v>#REF!</v>
      </c>
      <c r="I15" s="52" t="s">
        <v>116</v>
      </c>
      <c r="J15" s="52" t="s">
        <v>117</v>
      </c>
      <c r="K15" s="52" t="s">
        <v>118</v>
      </c>
      <c r="L15" s="52" t="s">
        <v>119</v>
      </c>
      <c r="M15" s="43">
        <v>600</v>
      </c>
      <c r="N15" s="50"/>
      <c r="O15" s="1" t="s">
        <v>177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45" t="str">
        <f t="shared" si="9"/>
        <v>,,,,,,,,,</v>
      </c>
      <c r="AA15" s="4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5">
        <f t="shared" si="10"/>
        <v>2</v>
      </c>
      <c r="AM15" s="55">
        <f t="shared" si="11"/>
        <v>0</v>
      </c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40"/>
      <c r="BC15" s="40"/>
      <c r="BD15" s="40"/>
      <c r="BE15" s="40"/>
      <c r="BF15" s="40"/>
      <c r="BG15" s="40"/>
      <c r="BH15" s="40"/>
    </row>
    <row r="16" spans="1:60" ht="16">
      <c r="A16" s="41" t="s">
        <v>4</v>
      </c>
      <c r="B16" s="41" t="s">
        <v>7</v>
      </c>
      <c r="C16" s="41">
        <v>2</v>
      </c>
      <c r="D16" s="42" t="str">
        <f t="shared" si="12"/>
        <v>ISL91</v>
      </c>
      <c r="E16" s="43" t="s">
        <v>178</v>
      </c>
      <c r="F16" s="61">
        <v>46081</v>
      </c>
      <c r="G16" s="43" t="s">
        <v>92</v>
      </c>
      <c r="H16" s="41" t="e">
        <f>VLOOKUP(D16,#REF!,4,FALSE)</f>
        <v>#REF!</v>
      </c>
      <c r="I16" s="43" t="s">
        <v>10</v>
      </c>
      <c r="J16" s="43" t="s">
        <v>93</v>
      </c>
      <c r="K16" s="43" t="s">
        <v>94</v>
      </c>
      <c r="L16" s="43" t="s">
        <v>95</v>
      </c>
      <c r="M16" s="43">
        <v>600</v>
      </c>
      <c r="N16" s="43"/>
      <c r="O16" s="1" t="s">
        <v>179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5" t="str">
        <f t="shared" si="9"/>
        <v>,,,,,,,,,,,,,,,,,,</v>
      </c>
      <c r="AA16" s="45" t="str">
        <f>CONCATENATE(AB16,",",AC16,",",AD16,",",AE16,",",AF16,",",AG16,",",AH16,",",AI16,",",AJ16,",",AK16)</f>
        <v>,,,,,,,,,</v>
      </c>
      <c r="AB16" s="46"/>
      <c r="AC16" s="46"/>
      <c r="AD16" s="46"/>
      <c r="AE16" s="46"/>
      <c r="AF16" s="46"/>
      <c r="AG16" s="46"/>
      <c r="AH16" s="46"/>
      <c r="AI16" s="46"/>
      <c r="AJ16" s="46"/>
      <c r="AK16" s="40"/>
      <c r="AL16" s="40">
        <f t="shared" si="10"/>
        <v>2</v>
      </c>
      <c r="AM16" s="40">
        <f t="shared" si="11"/>
        <v>1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</row>
    <row r="17" spans="1:60" ht="16">
      <c r="A17" s="70" t="s">
        <v>14</v>
      </c>
      <c r="B17" s="70" t="s">
        <v>7</v>
      </c>
      <c r="C17" s="41">
        <v>2</v>
      </c>
      <c r="D17" s="71" t="str">
        <f t="shared" ref="D17:D19" si="13">LEFT(E17,SEARCH("/",E17,1)-1)</f>
        <v>ISL122</v>
      </c>
      <c r="E17" s="60" t="s">
        <v>180</v>
      </c>
      <c r="F17" s="61">
        <v>46081</v>
      </c>
      <c r="G17" s="60" t="s">
        <v>98</v>
      </c>
      <c r="H17" s="41" t="e">
        <f>VLOOKUP(D17,#REF!,4,FALSE)</f>
        <v>#REF!</v>
      </c>
      <c r="I17" s="75" t="s">
        <v>181</v>
      </c>
      <c r="J17" s="60" t="s">
        <v>182</v>
      </c>
      <c r="K17" s="60" t="s">
        <v>183</v>
      </c>
      <c r="L17" s="60" t="s">
        <v>184</v>
      </c>
      <c r="M17" s="43">
        <v>1600</v>
      </c>
      <c r="N17" s="43"/>
      <c r="O17" s="1" t="s">
        <v>185</v>
      </c>
      <c r="P17" s="43" t="s">
        <v>186</v>
      </c>
      <c r="Q17" s="43"/>
      <c r="R17" s="43"/>
      <c r="S17" s="43"/>
      <c r="T17" s="43"/>
      <c r="U17" s="43"/>
      <c r="V17" s="43"/>
      <c r="W17" s="43"/>
      <c r="X17" s="43"/>
      <c r="Y17" s="43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</row>
    <row r="18" spans="1:60" ht="16">
      <c r="A18" s="70" t="s">
        <v>14</v>
      </c>
      <c r="B18" s="70" t="s">
        <v>7</v>
      </c>
      <c r="C18" s="41">
        <v>2</v>
      </c>
      <c r="D18" s="71" t="str">
        <f t="shared" si="13"/>
        <v>ISL122</v>
      </c>
      <c r="E18" s="60" t="s">
        <v>187</v>
      </c>
      <c r="F18" s="61">
        <v>46081</v>
      </c>
      <c r="G18" s="60" t="s">
        <v>102</v>
      </c>
      <c r="H18" s="41" t="e">
        <f>VLOOKUP(D18,#REF!,4,FALSE)</f>
        <v>#REF!</v>
      </c>
      <c r="I18" s="75" t="s">
        <v>181</v>
      </c>
      <c r="J18" s="60" t="s">
        <v>182</v>
      </c>
      <c r="K18" s="60" t="s">
        <v>183</v>
      </c>
      <c r="L18" s="60" t="s">
        <v>184</v>
      </c>
      <c r="M18" s="43">
        <v>800</v>
      </c>
      <c r="N18" s="43"/>
      <c r="O18" s="1" t="s">
        <v>188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</row>
    <row r="19" spans="1:60" ht="16">
      <c r="A19" s="70" t="s">
        <v>14</v>
      </c>
      <c r="B19" s="70" t="s">
        <v>7</v>
      </c>
      <c r="C19" s="41">
        <v>2</v>
      </c>
      <c r="D19" s="71" t="str">
        <f t="shared" si="13"/>
        <v>ISL122</v>
      </c>
      <c r="E19" s="60" t="s">
        <v>189</v>
      </c>
      <c r="F19" s="61">
        <v>46081</v>
      </c>
      <c r="G19" s="60" t="s">
        <v>190</v>
      </c>
      <c r="H19" s="41" t="e">
        <f>VLOOKUP(D19,#REF!,4,FALSE)</f>
        <v>#REF!</v>
      </c>
      <c r="I19" s="75" t="s">
        <v>181</v>
      </c>
      <c r="J19" s="60" t="s">
        <v>182</v>
      </c>
      <c r="K19" s="60" t="s">
        <v>183</v>
      </c>
      <c r="L19" s="60" t="s">
        <v>184</v>
      </c>
      <c r="M19" s="43">
        <v>800</v>
      </c>
      <c r="N19" s="43"/>
      <c r="O19" s="1" t="s">
        <v>191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</row>
    <row r="20" spans="1:60" ht="15" customHeight="1">
      <c r="A20" s="41" t="s">
        <v>2</v>
      </c>
      <c r="B20" s="41" t="s">
        <v>127</v>
      </c>
      <c r="C20" s="41">
        <v>2</v>
      </c>
      <c r="D20" s="42" t="str">
        <f>IF(E20="","",LEFT(E20,SEARCH("/",E20)-1))</f>
        <v>RPG51</v>
      </c>
      <c r="E20" s="48" t="s">
        <v>192</v>
      </c>
      <c r="F20" s="61">
        <v>46081</v>
      </c>
      <c r="G20" s="43" t="s">
        <v>129</v>
      </c>
      <c r="H20" s="41" t="e">
        <f>VLOOKUP(D20,#REF!,4,FALSE)</f>
        <v>#REF!</v>
      </c>
      <c r="I20" s="43" t="s">
        <v>32</v>
      </c>
      <c r="J20" s="48" t="s">
        <v>130</v>
      </c>
      <c r="K20" s="43" t="s">
        <v>131</v>
      </c>
      <c r="L20" s="48" t="s">
        <v>132</v>
      </c>
      <c r="M20" s="57">
        <v>900</v>
      </c>
      <c r="N20" s="57"/>
      <c r="O20" s="58" t="s">
        <v>193</v>
      </c>
      <c r="P20" s="58" t="s">
        <v>194</v>
      </c>
      <c r="Q20" s="58"/>
      <c r="R20" s="58"/>
      <c r="S20" s="58"/>
      <c r="T20" s="58"/>
      <c r="U20" s="43"/>
      <c r="V20" s="43"/>
      <c r="W20" s="43"/>
      <c r="X20" s="43"/>
      <c r="Y20" s="43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59"/>
      <c r="BC20" s="59"/>
      <c r="BD20" s="59"/>
      <c r="BE20" s="59"/>
      <c r="BF20" s="59"/>
      <c r="BG20" s="59"/>
      <c r="BH20" s="59"/>
    </row>
    <row r="21" spans="1:60" ht="16">
      <c r="A21" s="41" t="s">
        <v>4</v>
      </c>
      <c r="B21" s="41" t="s">
        <v>7</v>
      </c>
      <c r="C21" s="41">
        <v>2</v>
      </c>
      <c r="D21" s="42" t="s">
        <v>37</v>
      </c>
      <c r="E21" s="43" t="s">
        <v>195</v>
      </c>
      <c r="F21" s="61">
        <v>46081</v>
      </c>
      <c r="G21" s="43" t="s">
        <v>92</v>
      </c>
      <c r="H21" s="41" t="e">
        <f>VLOOKUP(D21,#REF!,4,FALSE)</f>
        <v>#REF!</v>
      </c>
      <c r="I21" s="43" t="s">
        <v>38</v>
      </c>
      <c r="J21" s="48" t="s">
        <v>196</v>
      </c>
      <c r="K21" s="48" t="s">
        <v>197</v>
      </c>
      <c r="L21" s="43" t="s">
        <v>198</v>
      </c>
      <c r="M21" s="43">
        <v>300</v>
      </c>
      <c r="N21" s="43"/>
      <c r="O21" s="43" t="s">
        <v>199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</row>
    <row r="22" spans="1:60" ht="16">
      <c r="A22" s="70" t="s">
        <v>2</v>
      </c>
      <c r="B22" s="70" t="s">
        <v>43</v>
      </c>
      <c r="C22" s="70">
        <v>2</v>
      </c>
      <c r="D22" s="70" t="str">
        <f t="shared" ref="D22:D23" si="14">LEFT(E22,SEARCH("/",E22,1)-1)</f>
        <v>LRM125</v>
      </c>
      <c r="E22" s="60" t="s">
        <v>200</v>
      </c>
      <c r="F22" s="61">
        <v>46081</v>
      </c>
      <c r="G22" s="60" t="s">
        <v>201</v>
      </c>
      <c r="H22" s="41" t="e">
        <f>VLOOKUP(D22,#REF!,4,FALSE)</f>
        <v>#REF!</v>
      </c>
      <c r="I22" s="60" t="s">
        <v>9</v>
      </c>
      <c r="J22" s="60" t="s">
        <v>202</v>
      </c>
      <c r="K22" s="60" t="s">
        <v>203</v>
      </c>
      <c r="L22" s="60" t="s">
        <v>204</v>
      </c>
      <c r="M22" s="60">
        <v>600</v>
      </c>
      <c r="N22" s="60"/>
      <c r="O22" s="60" t="s">
        <v>205</v>
      </c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73" t="str">
        <f t="shared" ref="Z22:Z23" si="15">CONCATENATE(AA22,",",AB22,",",AC22,",",AD22,",",AE22,",",AF22,",",AG22,",",AH22,",",AI22,",",AJ22)</f>
        <v>,,,,,,,,,</v>
      </c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40"/>
      <c r="BC22" s="40"/>
      <c r="BD22" s="40"/>
      <c r="BE22" s="40"/>
      <c r="BF22" s="40"/>
      <c r="BG22" s="40"/>
      <c r="BH22" s="40"/>
    </row>
    <row r="23" spans="1:60" ht="16">
      <c r="A23" s="70" t="s">
        <v>4</v>
      </c>
      <c r="B23" s="70" t="s">
        <v>3</v>
      </c>
      <c r="C23" s="70">
        <v>3</v>
      </c>
      <c r="D23" s="70" t="str">
        <f t="shared" si="14"/>
        <v>RFV22</v>
      </c>
      <c r="E23" s="60" t="s">
        <v>206</v>
      </c>
      <c r="F23" s="76">
        <v>46112</v>
      </c>
      <c r="G23" s="60" t="s">
        <v>150</v>
      </c>
      <c r="H23" s="41" t="e">
        <f>VLOOKUP(D23,#REF!,4,FALSE)</f>
        <v>#REF!</v>
      </c>
      <c r="I23" s="60" t="s">
        <v>33</v>
      </c>
      <c r="J23" s="60" t="s">
        <v>207</v>
      </c>
      <c r="K23" s="60" t="s">
        <v>208</v>
      </c>
      <c r="L23" s="60" t="s">
        <v>209</v>
      </c>
      <c r="M23" s="60">
        <v>1050</v>
      </c>
      <c r="N23" s="60"/>
      <c r="O23" s="77" t="s">
        <v>210</v>
      </c>
      <c r="P23" s="60" t="s">
        <v>211</v>
      </c>
      <c r="Q23" s="60"/>
      <c r="R23" s="60"/>
      <c r="S23" s="60"/>
      <c r="T23" s="60"/>
      <c r="U23" s="60"/>
      <c r="V23" s="60"/>
      <c r="W23" s="60"/>
      <c r="X23" s="60"/>
      <c r="Y23" s="60"/>
      <c r="Z23" s="60" t="str">
        <f t="shared" si="15"/>
        <v>,,,,,,,,,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38"/>
      <c r="BC23" s="38"/>
      <c r="BD23" s="38"/>
      <c r="BE23" s="38"/>
      <c r="BF23" s="38"/>
      <c r="BG23" s="38"/>
      <c r="BH23" s="38"/>
    </row>
    <row r="24" spans="1:60" ht="16">
      <c r="A24" s="70" t="s">
        <v>4</v>
      </c>
      <c r="B24" s="70" t="s">
        <v>3</v>
      </c>
      <c r="C24" s="70">
        <v>3</v>
      </c>
      <c r="D24" s="63" t="s">
        <v>30</v>
      </c>
      <c r="E24" s="9" t="s">
        <v>212</v>
      </c>
      <c r="F24" s="76">
        <v>46112</v>
      </c>
      <c r="G24" s="60" t="s">
        <v>213</v>
      </c>
      <c r="H24" s="41" t="e">
        <f>VLOOKUP(D24,#REF!,4,FALSE)</f>
        <v>#REF!</v>
      </c>
      <c r="I24" s="79" t="s">
        <v>31</v>
      </c>
      <c r="J24" s="79" t="s">
        <v>214</v>
      </c>
      <c r="K24" s="60" t="s">
        <v>215</v>
      </c>
      <c r="L24" s="79" t="s">
        <v>216</v>
      </c>
      <c r="M24" s="60">
        <v>700</v>
      </c>
      <c r="N24" s="60"/>
      <c r="O24" s="80" t="s">
        <v>217</v>
      </c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38"/>
      <c r="BC24" s="38"/>
      <c r="BD24" s="38"/>
      <c r="BE24" s="38"/>
      <c r="BF24" s="38"/>
      <c r="BG24" s="38"/>
      <c r="BH24" s="38"/>
    </row>
    <row r="25" spans="1:60" ht="16">
      <c r="A25" s="70" t="s">
        <v>2</v>
      </c>
      <c r="B25" s="70" t="s">
        <v>1</v>
      </c>
      <c r="C25" s="70">
        <v>3</v>
      </c>
      <c r="D25" s="70" t="str">
        <f>LEFT(E25,SEARCH("/",E25,1)-1)</f>
        <v>MBM11</v>
      </c>
      <c r="E25" s="60" t="s">
        <v>108</v>
      </c>
      <c r="F25" s="76">
        <v>46112</v>
      </c>
      <c r="G25" s="60" t="s">
        <v>158</v>
      </c>
      <c r="H25" s="41" t="e">
        <f>VLOOKUP(D25,#REF!,4,FALSE)</f>
        <v>#REF!</v>
      </c>
      <c r="I25" s="60" t="s">
        <v>218</v>
      </c>
      <c r="J25" s="60" t="s">
        <v>110</v>
      </c>
      <c r="K25" s="60" t="s">
        <v>111</v>
      </c>
      <c r="L25" s="60" t="s">
        <v>112</v>
      </c>
      <c r="M25" s="60">
        <v>600</v>
      </c>
      <c r="N25" s="60"/>
      <c r="O25" s="80" t="s">
        <v>219</v>
      </c>
      <c r="P25" s="60"/>
      <c r="Q25" s="81"/>
      <c r="R25" s="81"/>
      <c r="S25" s="81"/>
      <c r="T25" s="81"/>
      <c r="U25" s="81"/>
      <c r="V25" s="81"/>
      <c r="W25" s="60"/>
      <c r="X25" s="60"/>
      <c r="Y25" s="81"/>
      <c r="Z25" s="60"/>
      <c r="AA25" s="60" t="s">
        <v>220</v>
      </c>
      <c r="AB25" s="60" t="s">
        <v>221</v>
      </c>
      <c r="AC25" s="60" t="s">
        <v>222</v>
      </c>
      <c r="AD25" s="60" t="s">
        <v>223</v>
      </c>
      <c r="AE25" s="60" t="s">
        <v>224</v>
      </c>
      <c r="AF25" s="60" t="s">
        <v>225</v>
      </c>
      <c r="AG25" s="60" t="s">
        <v>226</v>
      </c>
      <c r="AH25" s="60" t="s">
        <v>227</v>
      </c>
      <c r="AI25" s="60" t="s">
        <v>228</v>
      </c>
      <c r="AJ25" s="60" t="s">
        <v>229</v>
      </c>
      <c r="AK25" s="82"/>
      <c r="AL25" s="82">
        <f t="shared" ref="AL25:AL26" si="16">M25/300</f>
        <v>2</v>
      </c>
      <c r="AM25" s="82">
        <f t="shared" ref="AM25:AM26" si="17">COUNTA(AA25:AJ25)</f>
        <v>10</v>
      </c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38"/>
      <c r="BC25" s="38"/>
      <c r="BD25" s="38"/>
      <c r="BE25" s="38"/>
      <c r="BF25" s="38"/>
      <c r="BG25" s="38"/>
      <c r="BH25" s="38"/>
    </row>
    <row r="26" spans="1:60" ht="16">
      <c r="A26" s="51" t="s">
        <v>2</v>
      </c>
      <c r="B26" s="51" t="s">
        <v>1</v>
      </c>
      <c r="C26" s="41">
        <v>3</v>
      </c>
      <c r="D26" s="41" t="str">
        <f>IF(E26="","",LEFT(E26,SEARCH("/",E26)-1))</f>
        <v>MBM186</v>
      </c>
      <c r="E26" s="52" t="s">
        <v>230</v>
      </c>
      <c r="F26" s="76">
        <v>46112</v>
      </c>
      <c r="G26" s="52" t="s">
        <v>115</v>
      </c>
      <c r="H26" s="41" t="e">
        <f>VLOOKUP(D26,#REF!,4,FALSE)</f>
        <v>#REF!</v>
      </c>
      <c r="I26" s="52" t="s">
        <v>116</v>
      </c>
      <c r="J26" s="52" t="s">
        <v>117</v>
      </c>
      <c r="K26" s="52" t="s">
        <v>118</v>
      </c>
      <c r="L26" s="52" t="s">
        <v>119</v>
      </c>
      <c r="M26" s="43">
        <v>300</v>
      </c>
      <c r="N26" s="52"/>
      <c r="O26" s="80" t="s">
        <v>231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2" t="str">
        <f>CONCATENATE(AA26,",",AB26,",",AC26,",",AD26,",",AE26,",",AF26,",",AG26,",",AH26,",",AI26,",",AJ26)</f>
        <v>,,,,,,,,,</v>
      </c>
      <c r="AA26" s="52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83">
        <f t="shared" si="16"/>
        <v>1</v>
      </c>
      <c r="AM26" s="83">
        <f t="shared" si="17"/>
        <v>0</v>
      </c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38"/>
      <c r="BC26" s="38"/>
      <c r="BD26" s="38"/>
      <c r="BE26" s="38"/>
      <c r="BF26" s="38"/>
      <c r="BG26" s="38"/>
      <c r="BH26" s="38"/>
    </row>
    <row r="27" spans="1:60" ht="16">
      <c r="A27" s="70" t="s">
        <v>14</v>
      </c>
      <c r="B27" s="70" t="s">
        <v>13</v>
      </c>
      <c r="C27" s="70">
        <v>3</v>
      </c>
      <c r="D27" s="70" t="s">
        <v>41</v>
      </c>
      <c r="E27" s="60" t="s">
        <v>232</v>
      </c>
      <c r="F27" s="76">
        <v>46112</v>
      </c>
      <c r="G27" s="9" t="s">
        <v>233</v>
      </c>
      <c r="H27" s="41" t="e">
        <f>VLOOKUP(D27,#REF!,4,FALSE)</f>
        <v>#REF!</v>
      </c>
      <c r="I27" s="60" t="s">
        <v>42</v>
      </c>
      <c r="J27" s="60" t="s">
        <v>234</v>
      </c>
      <c r="K27" s="60" t="s">
        <v>235</v>
      </c>
      <c r="L27" s="60" t="s">
        <v>236</v>
      </c>
      <c r="M27" s="60">
        <v>400</v>
      </c>
      <c r="N27" s="60"/>
      <c r="O27" s="80" t="s">
        <v>237</v>
      </c>
      <c r="P27" s="9"/>
      <c r="Q27" s="9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38"/>
      <c r="BC27" s="38"/>
      <c r="BD27" s="38"/>
      <c r="BE27" s="38"/>
      <c r="BF27" s="38"/>
      <c r="BG27" s="38"/>
      <c r="BH27" s="38"/>
    </row>
    <row r="28" spans="1:60" ht="15" customHeight="1">
      <c r="A28" s="70" t="s">
        <v>14</v>
      </c>
      <c r="B28" s="70" t="s">
        <v>13</v>
      </c>
      <c r="C28" s="41">
        <v>3</v>
      </c>
      <c r="D28" s="70" t="str">
        <f t="shared" ref="D28:D32" si="18">LEFT(E28,SEARCH("/",E28,1)-1)</f>
        <v>LAA77</v>
      </c>
      <c r="E28" s="60" t="s">
        <v>238</v>
      </c>
      <c r="F28" s="76">
        <v>46112</v>
      </c>
      <c r="G28" s="60" t="s">
        <v>239</v>
      </c>
      <c r="H28" s="41" t="e">
        <f>VLOOKUP(D28,#REF!,4,FALSE)</f>
        <v>#REF!</v>
      </c>
      <c r="I28" s="60" t="e">
        <f>VLOOKUP(D28,#REF!,4,FALSE)</f>
        <v>#REF!</v>
      </c>
      <c r="J28" s="60" t="s">
        <v>240</v>
      </c>
      <c r="K28" s="60" t="s">
        <v>241</v>
      </c>
      <c r="L28" s="60" t="s">
        <v>242</v>
      </c>
      <c r="M28" s="60">
        <v>800</v>
      </c>
      <c r="N28" s="60"/>
      <c r="O28" s="84" t="s">
        <v>243</v>
      </c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38"/>
      <c r="BC28" s="38"/>
      <c r="BD28" s="38"/>
      <c r="BE28" s="38"/>
      <c r="BF28" s="38"/>
      <c r="BG28" s="38"/>
      <c r="BH28" s="38"/>
    </row>
    <row r="29" spans="1:60" ht="16">
      <c r="A29" s="70" t="s">
        <v>14</v>
      </c>
      <c r="B29" s="70" t="s">
        <v>7</v>
      </c>
      <c r="C29" s="70">
        <v>3</v>
      </c>
      <c r="D29" s="70" t="str">
        <f t="shared" si="18"/>
        <v>ISL122</v>
      </c>
      <c r="E29" s="60" t="s">
        <v>244</v>
      </c>
      <c r="F29" s="76">
        <v>46112</v>
      </c>
      <c r="G29" s="60" t="s">
        <v>190</v>
      </c>
      <c r="H29" s="41" t="e">
        <f>VLOOKUP(D29,#REF!,4,FALSE)</f>
        <v>#REF!</v>
      </c>
      <c r="I29" s="60" t="s">
        <v>181</v>
      </c>
      <c r="J29" s="60" t="s">
        <v>182</v>
      </c>
      <c r="K29" s="60" t="s">
        <v>183</v>
      </c>
      <c r="L29" s="60" t="s">
        <v>184</v>
      </c>
      <c r="M29" s="43">
        <v>2800</v>
      </c>
      <c r="N29" s="43"/>
      <c r="O29" s="80" t="s">
        <v>245</v>
      </c>
      <c r="P29" s="43" t="s">
        <v>246</v>
      </c>
      <c r="Q29" s="43" t="s">
        <v>247</v>
      </c>
      <c r="R29" s="43" t="s">
        <v>248</v>
      </c>
      <c r="S29" s="43" t="s">
        <v>245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</row>
    <row r="30" spans="1:60" ht="16">
      <c r="A30" s="70" t="s">
        <v>4</v>
      </c>
      <c r="B30" s="70" t="s">
        <v>3</v>
      </c>
      <c r="C30" s="70">
        <v>3</v>
      </c>
      <c r="D30" s="70" t="str">
        <f t="shared" si="18"/>
        <v>RFV24</v>
      </c>
      <c r="E30" s="60" t="s">
        <v>249</v>
      </c>
      <c r="F30" s="76">
        <v>46112</v>
      </c>
      <c r="G30" s="60" t="s">
        <v>213</v>
      </c>
      <c r="H30" s="70" t="e">
        <f>VLOOKUP(D30,#REF!,4,FALSE)</f>
        <v>#REF!</v>
      </c>
      <c r="I30" s="60" t="s">
        <v>40</v>
      </c>
      <c r="J30" s="60" t="s">
        <v>250</v>
      </c>
      <c r="K30" s="60" t="s">
        <v>251</v>
      </c>
      <c r="L30" s="60" t="s">
        <v>252</v>
      </c>
      <c r="M30" s="60">
        <v>700</v>
      </c>
      <c r="N30" s="60">
        <v>0</v>
      </c>
      <c r="O30" s="60" t="s">
        <v>253</v>
      </c>
      <c r="P30" s="60"/>
      <c r="Q30" s="60"/>
      <c r="R30" s="60"/>
      <c r="S30" s="9"/>
      <c r="T30" s="9"/>
      <c r="U30" s="60"/>
      <c r="V30" s="9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38"/>
      <c r="BC30" s="38"/>
      <c r="BD30" s="38"/>
      <c r="BE30" s="38"/>
      <c r="BF30" s="38"/>
      <c r="BG30" s="38"/>
      <c r="BH30" s="38"/>
    </row>
    <row r="31" spans="1:60" ht="15.75" customHeight="1">
      <c r="A31" s="63" t="s">
        <v>4</v>
      </c>
      <c r="B31" s="63" t="s">
        <v>3</v>
      </c>
      <c r="C31" s="70">
        <v>3</v>
      </c>
      <c r="D31" s="63" t="str">
        <f t="shared" si="18"/>
        <v>RFV15</v>
      </c>
      <c r="E31" s="9" t="s">
        <v>254</v>
      </c>
      <c r="F31" s="76">
        <v>46112</v>
      </c>
      <c r="G31" s="9" t="s">
        <v>150</v>
      </c>
      <c r="H31" s="63" t="e">
        <f>VLOOKUP(D31,#REF!,4,FALSE)</f>
        <v>#REF!</v>
      </c>
      <c r="I31" s="9" t="s">
        <v>255</v>
      </c>
      <c r="J31" s="9" t="s">
        <v>256</v>
      </c>
      <c r="K31" s="9" t="s">
        <v>257</v>
      </c>
      <c r="L31" s="9" t="s">
        <v>258</v>
      </c>
      <c r="M31" s="60">
        <v>1400</v>
      </c>
      <c r="N31" s="9">
        <v>50</v>
      </c>
      <c r="O31" s="9" t="s">
        <v>259</v>
      </c>
      <c r="P31" s="52" t="s">
        <v>260</v>
      </c>
      <c r="Q31" s="10" t="s">
        <v>261</v>
      </c>
      <c r="R31" s="68"/>
      <c r="S31" s="68"/>
      <c r="T31" s="68"/>
      <c r="U31" s="68"/>
      <c r="V31" s="68"/>
      <c r="W31" s="68"/>
      <c r="X31" s="68"/>
      <c r="Y31" s="68"/>
      <c r="Z31" s="9" t="str">
        <f t="shared" ref="Z31:Z32" si="19">CONCATENATE(AA31,",",AB31,",",AC31,",",AD31,",",AE31,",",AF31,",",AG31,",",AH31,",",AI31,",",AJ31)</f>
        <v>C202541112259462,,,,,,,,,</v>
      </c>
      <c r="AA31" s="9" t="s">
        <v>262</v>
      </c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85">
        <f t="shared" ref="AL31:AL32" si="20">M31/300</f>
        <v>4.666666666666667</v>
      </c>
      <c r="AM31" s="85">
        <f t="shared" ref="AM31:AM32" si="21">COUNTA(AA31:AJ31)</f>
        <v>1</v>
      </c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86"/>
      <c r="BC31" s="86"/>
      <c r="BD31" s="86"/>
      <c r="BE31" s="86"/>
      <c r="BF31" s="86"/>
      <c r="BG31" s="86"/>
      <c r="BH31" s="86"/>
    </row>
    <row r="32" spans="1:60" ht="16">
      <c r="A32" s="70" t="s">
        <v>2</v>
      </c>
      <c r="B32" s="70" t="s">
        <v>1</v>
      </c>
      <c r="C32" s="70">
        <v>3</v>
      </c>
      <c r="D32" s="70" t="str">
        <f t="shared" si="18"/>
        <v>MBM03</v>
      </c>
      <c r="E32" s="60" t="s">
        <v>263</v>
      </c>
      <c r="F32" s="76">
        <v>46112</v>
      </c>
      <c r="G32" s="52" t="s">
        <v>109</v>
      </c>
      <c r="H32" s="70" t="e">
        <f>VLOOKUP(D32,#REF!,4,FALSE)</f>
        <v>#REF!</v>
      </c>
      <c r="I32" s="60" t="s">
        <v>171</v>
      </c>
      <c r="J32" s="60" t="s">
        <v>172</v>
      </c>
      <c r="K32" s="60" t="s">
        <v>173</v>
      </c>
      <c r="L32" s="60" t="s">
        <v>174</v>
      </c>
      <c r="M32" s="60">
        <v>300</v>
      </c>
      <c r="N32" s="60"/>
      <c r="O32" s="80" t="s">
        <v>264</v>
      </c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 t="str">
        <f t="shared" si="19"/>
        <v>,,,,,,,,,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78"/>
      <c r="AL32" s="78">
        <f t="shared" si="20"/>
        <v>1</v>
      </c>
      <c r="AM32" s="78">
        <f t="shared" si="21"/>
        <v>0</v>
      </c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38"/>
      <c r="BC32" s="38"/>
      <c r="BD32" s="38"/>
      <c r="BE32" s="38"/>
      <c r="BF32" s="38"/>
      <c r="BG32" s="38"/>
      <c r="BH32" s="38"/>
    </row>
    <row r="33" spans="1:60" ht="16">
      <c r="A33" s="87" t="s">
        <v>14</v>
      </c>
      <c r="B33" s="87" t="s">
        <v>13</v>
      </c>
      <c r="C33" s="88">
        <v>3</v>
      </c>
      <c r="D33" s="87" t="s">
        <v>26</v>
      </c>
      <c r="E33" s="60" t="s">
        <v>265</v>
      </c>
      <c r="F33" s="76">
        <v>46112</v>
      </c>
      <c r="G33" s="89" t="s">
        <v>239</v>
      </c>
      <c r="H33" s="70" t="e">
        <f>VLOOKUP(D33,#REF!,4,FALSE)</f>
        <v>#REF!</v>
      </c>
      <c r="I33" s="60" t="s">
        <v>27</v>
      </c>
      <c r="J33" s="9" t="s">
        <v>266</v>
      </c>
      <c r="K33" s="89" t="s">
        <v>267</v>
      </c>
      <c r="L33" s="9" t="s">
        <v>268</v>
      </c>
      <c r="M33" s="90">
        <v>800</v>
      </c>
      <c r="N33" s="89">
        <v>414118273</v>
      </c>
      <c r="O33" s="89" t="s">
        <v>269</v>
      </c>
      <c r="P33" s="91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38"/>
      <c r="AP33" s="38"/>
      <c r="AQ33" s="38"/>
      <c r="AR33" s="38"/>
      <c r="AS33" s="38"/>
      <c r="AT33" s="38"/>
      <c r="AU33" s="38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</row>
    <row r="34" spans="1:60" ht="16">
      <c r="A34" s="87" t="s">
        <v>14</v>
      </c>
      <c r="B34" s="87" t="s">
        <v>13</v>
      </c>
      <c r="C34" s="88">
        <v>3</v>
      </c>
      <c r="D34" s="87" t="s">
        <v>26</v>
      </c>
      <c r="E34" s="60" t="s">
        <v>270</v>
      </c>
      <c r="F34" s="76">
        <v>46112</v>
      </c>
      <c r="G34" s="89" t="s">
        <v>271</v>
      </c>
      <c r="H34" s="70" t="e">
        <f>VLOOKUP(D34,#REF!,4,FALSE)</f>
        <v>#REF!</v>
      </c>
      <c r="I34" s="60" t="s">
        <v>27</v>
      </c>
      <c r="J34" s="9" t="s">
        <v>266</v>
      </c>
      <c r="K34" s="89" t="s">
        <v>267</v>
      </c>
      <c r="L34" s="9" t="s">
        <v>268</v>
      </c>
      <c r="M34" s="90">
        <v>800</v>
      </c>
      <c r="N34" s="89">
        <v>414118273</v>
      </c>
      <c r="O34" s="89" t="s">
        <v>272</v>
      </c>
      <c r="P34" s="91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38"/>
      <c r="AP34" s="38"/>
      <c r="AQ34" s="38"/>
      <c r="AR34" s="38"/>
      <c r="AS34" s="38"/>
      <c r="AT34" s="38"/>
      <c r="AU34" s="38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</row>
    <row r="35" spans="1:60" ht="16">
      <c r="A35" s="41" t="s">
        <v>2</v>
      </c>
      <c r="B35" s="70" t="s">
        <v>43</v>
      </c>
      <c r="C35" s="70">
        <v>3</v>
      </c>
      <c r="D35" s="93" t="str">
        <f>LEFT(E35,SEARCH("/",E35,1)-1)</f>
        <v>LRM246</v>
      </c>
      <c r="E35" s="60" t="s">
        <v>273</v>
      </c>
      <c r="F35" s="76">
        <v>46112</v>
      </c>
      <c r="G35" s="60" t="s">
        <v>201</v>
      </c>
      <c r="H35" s="70" t="e">
        <f>VLOOKUP(D35,#REF!,4,FALSE)</f>
        <v>#REF!</v>
      </c>
      <c r="I35" s="60" t="s">
        <v>274</v>
      </c>
      <c r="J35" s="60" t="s">
        <v>275</v>
      </c>
      <c r="K35" s="60" t="s">
        <v>276</v>
      </c>
      <c r="L35" s="60" t="s">
        <v>277</v>
      </c>
      <c r="M35" s="62">
        <v>600</v>
      </c>
      <c r="N35" s="60">
        <v>0</v>
      </c>
      <c r="O35" s="235" t="s">
        <v>278</v>
      </c>
      <c r="P35" s="233"/>
      <c r="Q35" s="233"/>
      <c r="R35" s="60"/>
      <c r="S35" s="60"/>
      <c r="T35" s="60"/>
      <c r="U35" s="60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</row>
    <row r="36" spans="1:60" ht="16">
      <c r="A36" s="41"/>
      <c r="B36" s="41"/>
      <c r="C36" s="41"/>
      <c r="D36" s="42"/>
      <c r="E36" s="43"/>
      <c r="F36" s="44"/>
      <c r="G36" s="43"/>
      <c r="H36" s="41"/>
      <c r="I36" s="43"/>
      <c r="J36" s="43"/>
      <c r="K36" s="43"/>
      <c r="L36" s="43"/>
      <c r="M36" s="43"/>
      <c r="N36" s="43"/>
      <c r="O36" s="43"/>
      <c r="P36" s="232"/>
      <c r="Q36" s="233"/>
      <c r="R36" s="233"/>
      <c r="S36" s="43"/>
      <c r="T36" s="43"/>
      <c r="U36" s="43"/>
      <c r="V36" s="43"/>
      <c r="W36" s="43"/>
      <c r="X36" s="43"/>
      <c r="Y36" s="43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</row>
    <row r="37" spans="1:60" ht="16">
      <c r="A37" s="41"/>
      <c r="B37" s="41"/>
      <c r="C37" s="41"/>
      <c r="D37" s="42"/>
      <c r="E37" s="43"/>
      <c r="F37" s="44"/>
      <c r="G37" s="43"/>
      <c r="H37" s="41"/>
      <c r="I37" s="43"/>
      <c r="J37" s="43"/>
      <c r="K37" s="43"/>
      <c r="L37" s="43"/>
      <c r="M37" s="43"/>
      <c r="N37" s="43"/>
      <c r="O37" s="48"/>
      <c r="P37" s="48"/>
      <c r="Q37" s="232"/>
      <c r="R37" s="233"/>
      <c r="S37" s="43"/>
      <c r="T37" s="43"/>
      <c r="U37" s="43"/>
      <c r="V37" s="43"/>
      <c r="W37" s="43"/>
      <c r="X37" s="43"/>
      <c r="Y37" s="43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</row>
    <row r="38" spans="1:60" ht="16">
      <c r="A38" s="41"/>
      <c r="B38" s="41"/>
      <c r="C38" s="41"/>
      <c r="D38" s="42"/>
      <c r="E38" s="48"/>
      <c r="F38" s="44"/>
      <c r="G38" s="43"/>
      <c r="H38" s="41"/>
      <c r="I38" s="48"/>
      <c r="J38" s="48"/>
      <c r="K38" s="48"/>
      <c r="L38" s="48"/>
      <c r="M38" s="43"/>
      <c r="N38" s="48"/>
      <c r="O38" s="48"/>
      <c r="P38" s="48"/>
      <c r="Q38" s="234"/>
      <c r="R38" s="233"/>
      <c r="S38" s="233"/>
      <c r="T38" s="43"/>
      <c r="U38" s="43"/>
      <c r="V38" s="43"/>
      <c r="W38" s="43"/>
      <c r="X38" s="43"/>
      <c r="Y38" s="43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</row>
    <row r="39" spans="1:60" ht="16">
      <c r="A39" s="41"/>
      <c r="B39" s="41"/>
      <c r="C39" s="41"/>
      <c r="D39" s="42"/>
      <c r="E39" s="43"/>
      <c r="F39" s="44"/>
      <c r="G39" s="43"/>
      <c r="H39" s="41"/>
      <c r="I39" s="43"/>
      <c r="J39" s="43"/>
      <c r="K39" s="43"/>
      <c r="L39" s="43"/>
      <c r="M39" s="43"/>
      <c r="N39" s="43"/>
      <c r="O39" s="232"/>
      <c r="P39" s="233"/>
      <c r="Q39" s="43"/>
      <c r="R39" s="43"/>
      <c r="S39" s="43"/>
      <c r="T39" s="43"/>
      <c r="U39" s="43"/>
      <c r="V39" s="43"/>
      <c r="W39" s="94"/>
      <c r="X39" s="43"/>
      <c r="Y39" s="43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</row>
    <row r="40" spans="1:60" ht="16">
      <c r="A40" s="41"/>
      <c r="B40" s="41"/>
      <c r="C40" s="41"/>
      <c r="D40" s="42"/>
      <c r="E40" s="43"/>
      <c r="F40" s="44"/>
      <c r="G40" s="43"/>
      <c r="H40" s="41"/>
      <c r="I40" s="43"/>
      <c r="J40" s="43"/>
      <c r="K40" s="43"/>
      <c r="L40" s="43"/>
      <c r="M40" s="43"/>
      <c r="N40" s="43"/>
      <c r="O40" s="48"/>
      <c r="P40" s="234"/>
      <c r="Q40" s="233"/>
      <c r="R40" s="233"/>
      <c r="S40" s="43"/>
      <c r="T40" s="43"/>
      <c r="U40" s="43"/>
      <c r="V40" s="43"/>
      <c r="W40" s="43"/>
      <c r="X40" s="43"/>
      <c r="Y40" s="43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</row>
    <row r="41" spans="1:60" ht="16">
      <c r="A41" s="41"/>
      <c r="B41" s="41"/>
      <c r="C41" s="41"/>
      <c r="D41" s="42"/>
      <c r="E41" s="43"/>
      <c r="F41" s="44"/>
      <c r="G41" s="43"/>
      <c r="H41" s="41"/>
      <c r="I41" s="43"/>
      <c r="J41" s="43"/>
      <c r="K41" s="43"/>
      <c r="L41" s="43"/>
      <c r="M41" s="43"/>
      <c r="N41" s="43"/>
      <c r="O41" s="232"/>
      <c r="P41" s="233"/>
      <c r="Q41" s="43"/>
      <c r="R41" s="43"/>
      <c r="S41" s="43"/>
      <c r="T41" s="43"/>
      <c r="U41" s="43"/>
      <c r="V41" s="48"/>
      <c r="W41" s="48"/>
      <c r="X41" s="48"/>
      <c r="Y41" s="43"/>
      <c r="Z41" s="46"/>
      <c r="AA41" s="95"/>
      <c r="AB41" s="95"/>
      <c r="AC41" s="95"/>
      <c r="AD41" s="95"/>
      <c r="AE41" s="95"/>
      <c r="AF41" s="46"/>
      <c r="AG41" s="46"/>
      <c r="AH41" s="46"/>
      <c r="AI41" s="46"/>
      <c r="AJ41" s="46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</row>
    <row r="42" spans="1:60" ht="16">
      <c r="A42" s="41"/>
      <c r="B42" s="41"/>
      <c r="C42" s="41"/>
      <c r="D42" s="42"/>
      <c r="E42" s="43"/>
      <c r="F42" s="44"/>
      <c r="G42" s="43"/>
      <c r="H42" s="41"/>
      <c r="I42" s="43"/>
      <c r="J42" s="43"/>
      <c r="K42" s="43"/>
      <c r="L42" s="43"/>
      <c r="M42" s="43"/>
      <c r="N42" s="43"/>
      <c r="O42" s="232"/>
      <c r="P42" s="233"/>
      <c r="Q42" s="233"/>
      <c r="R42" s="43"/>
      <c r="S42" s="43"/>
      <c r="T42" s="43"/>
      <c r="U42" s="43"/>
      <c r="V42" s="43"/>
      <c r="W42" s="43"/>
      <c r="X42" s="43"/>
      <c r="Y42" s="43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</row>
    <row r="43" spans="1:60" ht="16">
      <c r="A43" s="41"/>
      <c r="B43" s="41"/>
      <c r="C43" s="41"/>
      <c r="D43" s="42"/>
      <c r="E43" s="43"/>
      <c r="F43" s="44"/>
      <c r="G43" s="43"/>
      <c r="H43" s="41"/>
      <c r="I43" s="43"/>
      <c r="J43" s="43"/>
      <c r="K43" s="43"/>
      <c r="L43" s="43"/>
      <c r="M43" s="43"/>
      <c r="N43" s="43"/>
      <c r="O43" s="43"/>
      <c r="P43" s="232"/>
      <c r="Q43" s="233"/>
      <c r="R43" s="233"/>
      <c r="S43" s="43"/>
      <c r="T43" s="43"/>
      <c r="U43" s="43"/>
      <c r="V43" s="43"/>
      <c r="W43" s="43"/>
      <c r="X43" s="43"/>
      <c r="Y43" s="43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</row>
    <row r="44" spans="1:60" ht="16">
      <c r="A44" s="41"/>
      <c r="B44" s="41"/>
      <c r="C44" s="41"/>
      <c r="D44" s="42"/>
      <c r="E44" s="43"/>
      <c r="F44" s="96"/>
      <c r="G44" s="43"/>
      <c r="H44" s="41"/>
      <c r="I44" s="43"/>
      <c r="J44" s="48"/>
      <c r="K44" s="48"/>
      <c r="L44" s="48"/>
      <c r="M44" s="48"/>
      <c r="N44" s="43"/>
      <c r="O44" s="232"/>
      <c r="P44" s="233"/>
      <c r="Q44" s="233"/>
      <c r="R44" s="43"/>
      <c r="S44" s="43"/>
      <c r="T44" s="43"/>
      <c r="U44" s="43"/>
      <c r="V44" s="43"/>
      <c r="W44" s="43"/>
      <c r="X44" s="43"/>
      <c r="Y44" s="43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</row>
    <row r="45" spans="1:60" ht="16">
      <c r="A45" s="41"/>
      <c r="B45" s="41"/>
      <c r="C45" s="41"/>
      <c r="D45" s="42"/>
      <c r="E45" s="43"/>
      <c r="F45" s="96"/>
      <c r="G45" s="43"/>
      <c r="H45" s="41"/>
      <c r="I45" s="43"/>
      <c r="J45" s="43"/>
      <c r="K45" s="43"/>
      <c r="L45" s="43"/>
      <c r="M45" s="48"/>
      <c r="N45" s="43"/>
      <c r="O45" s="48"/>
      <c r="P45" s="48"/>
      <c r="Q45" s="48"/>
      <c r="R45" s="48"/>
      <c r="S45" s="48"/>
      <c r="T45" s="48"/>
      <c r="U45" s="43"/>
      <c r="V45" s="232"/>
      <c r="W45" s="233"/>
      <c r="X45" s="233"/>
      <c r="Y45" s="43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</row>
    <row r="46" spans="1:60" ht="16">
      <c r="A46" s="41"/>
      <c r="B46" s="41"/>
      <c r="C46" s="41"/>
      <c r="D46" s="42"/>
      <c r="E46" s="48"/>
      <c r="F46" s="96"/>
      <c r="G46" s="48"/>
      <c r="H46" s="41"/>
      <c r="I46" s="48"/>
      <c r="J46" s="48"/>
      <c r="K46" s="48"/>
      <c r="L46" s="48"/>
      <c r="M46" s="48"/>
      <c r="N46" s="43"/>
      <c r="O46" s="234"/>
      <c r="P46" s="233"/>
      <c r="Q46" s="233"/>
      <c r="R46" s="48"/>
      <c r="S46" s="48"/>
      <c r="T46" s="48"/>
      <c r="U46" s="48"/>
      <c r="V46" s="48"/>
      <c r="W46" s="48"/>
      <c r="X46" s="48"/>
      <c r="Y46" s="48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</row>
    <row r="47" spans="1:60" ht="16">
      <c r="A47" s="41"/>
      <c r="B47" s="41"/>
      <c r="C47" s="41"/>
      <c r="D47" s="42"/>
      <c r="E47" s="48"/>
      <c r="F47" s="96"/>
      <c r="G47" s="43"/>
      <c r="H47" s="41"/>
      <c r="I47" s="48"/>
      <c r="J47" s="48"/>
      <c r="K47" s="43"/>
      <c r="L47" s="43"/>
      <c r="M47" s="48"/>
      <c r="N47" s="43"/>
      <c r="O47" s="43"/>
      <c r="P47" s="43"/>
      <c r="Q47" s="232"/>
      <c r="R47" s="233"/>
      <c r="S47" s="233"/>
      <c r="T47" s="43"/>
      <c r="U47" s="43"/>
      <c r="V47" s="43"/>
      <c r="W47" s="43"/>
      <c r="X47" s="43"/>
      <c r="Y47" s="43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</row>
    <row r="48" spans="1:60" ht="16">
      <c r="A48" s="41"/>
      <c r="B48" s="41"/>
      <c r="C48" s="41"/>
      <c r="D48" s="42"/>
      <c r="E48" s="48"/>
      <c r="F48" s="96"/>
      <c r="G48" s="43"/>
      <c r="H48" s="41"/>
      <c r="I48" s="48"/>
      <c r="J48" s="48"/>
      <c r="K48" s="43"/>
      <c r="L48" s="43"/>
      <c r="M48" s="48"/>
      <c r="N48" s="43"/>
      <c r="O48" s="43"/>
      <c r="P48" s="43"/>
      <c r="Q48" s="232"/>
      <c r="R48" s="233"/>
      <c r="S48" s="43"/>
      <c r="T48" s="43"/>
      <c r="U48" s="43"/>
      <c r="V48" s="43"/>
      <c r="W48" s="43"/>
      <c r="X48" s="43"/>
      <c r="Y48" s="43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</row>
    <row r="49" spans="1:60" ht="16">
      <c r="A49" s="41"/>
      <c r="B49" s="41"/>
      <c r="C49" s="41"/>
      <c r="D49" s="42"/>
      <c r="E49" s="48"/>
      <c r="F49" s="96"/>
      <c r="G49" s="43"/>
      <c r="H49" s="41"/>
      <c r="I49" s="48"/>
      <c r="J49" s="48"/>
      <c r="K49" s="43"/>
      <c r="L49" s="43"/>
      <c r="M49" s="48"/>
      <c r="N49" s="43"/>
      <c r="O49" s="43"/>
      <c r="P49" s="43"/>
      <c r="Q49" s="234"/>
      <c r="R49" s="233"/>
      <c r="S49" s="233"/>
      <c r="T49" s="233"/>
      <c r="U49" s="43"/>
      <c r="V49" s="43"/>
      <c r="W49" s="43"/>
      <c r="X49" s="43"/>
      <c r="Y49" s="43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</row>
    <row r="50" spans="1:60" ht="16">
      <c r="A50" s="41"/>
      <c r="B50" s="41"/>
      <c r="C50" s="41"/>
      <c r="D50" s="42"/>
      <c r="E50" s="48"/>
      <c r="F50" s="96"/>
      <c r="G50" s="43"/>
      <c r="H50" s="41"/>
      <c r="I50" s="48"/>
      <c r="J50" s="48"/>
      <c r="K50" s="43"/>
      <c r="L50" s="43"/>
      <c r="M50" s="48"/>
      <c r="N50" s="43"/>
      <c r="O50" s="232"/>
      <c r="P50" s="233"/>
      <c r="Q50" s="43"/>
      <c r="R50" s="43"/>
      <c r="S50" s="43"/>
      <c r="T50" s="43"/>
      <c r="U50" s="43"/>
      <c r="V50" s="43"/>
      <c r="W50" s="43"/>
      <c r="X50" s="43"/>
      <c r="Y50" s="43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</row>
    <row r="51" spans="1:60" ht="16">
      <c r="A51" s="41"/>
      <c r="B51" s="41"/>
      <c r="C51" s="41"/>
      <c r="D51" s="42"/>
      <c r="E51" s="43"/>
      <c r="F51" s="96"/>
      <c r="G51" s="43"/>
      <c r="H51" s="41"/>
      <c r="I51" s="43"/>
      <c r="J51" s="43"/>
      <c r="K51" s="43"/>
      <c r="L51" s="43"/>
      <c r="M51" s="48"/>
      <c r="N51" s="43"/>
      <c r="O51" s="48"/>
      <c r="P51" s="43"/>
      <c r="Q51" s="48"/>
      <c r="R51" s="43"/>
      <c r="S51" s="43"/>
      <c r="T51" s="43"/>
      <c r="U51" s="43"/>
      <c r="V51" s="43"/>
      <c r="W51" s="43"/>
      <c r="X51" s="43"/>
      <c r="Y51" s="43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</row>
    <row r="52" spans="1:60" ht="16">
      <c r="A52" s="41"/>
      <c r="B52" s="41"/>
      <c r="C52" s="41"/>
      <c r="D52" s="42"/>
      <c r="E52" s="43"/>
      <c r="F52" s="96"/>
      <c r="G52" s="43"/>
      <c r="H52" s="41"/>
      <c r="I52" s="43"/>
      <c r="J52" s="43"/>
      <c r="K52" s="43"/>
      <c r="L52" s="43"/>
      <c r="M52" s="48"/>
      <c r="N52" s="43"/>
      <c r="O52" s="48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</row>
    <row r="53" spans="1:60" ht="16">
      <c r="A53" s="41"/>
      <c r="B53" s="41"/>
      <c r="C53" s="41"/>
      <c r="D53" s="42"/>
      <c r="E53" s="43"/>
      <c r="F53" s="96"/>
      <c r="G53" s="48"/>
      <c r="H53" s="41"/>
      <c r="I53" s="48"/>
      <c r="J53" s="43"/>
      <c r="K53" s="43"/>
      <c r="L53" s="43"/>
      <c r="M53" s="48"/>
      <c r="N53" s="43"/>
      <c r="O53" s="48"/>
      <c r="P53" s="48"/>
      <c r="Q53" s="234"/>
      <c r="R53" s="233"/>
      <c r="S53" s="233"/>
      <c r="T53" s="43"/>
      <c r="U53" s="43"/>
      <c r="V53" s="43"/>
      <c r="W53" s="43"/>
      <c r="X53" s="43"/>
      <c r="Y53" s="43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</row>
    <row r="54" spans="1:60" ht="16">
      <c r="A54" s="41"/>
      <c r="B54" s="41"/>
      <c r="C54" s="41"/>
      <c r="D54" s="42"/>
      <c r="E54" s="43"/>
      <c r="F54" s="96"/>
      <c r="G54" s="43"/>
      <c r="H54" s="41"/>
      <c r="I54" s="43"/>
      <c r="J54" s="43"/>
      <c r="K54" s="43"/>
      <c r="L54" s="43"/>
      <c r="M54" s="48"/>
      <c r="N54" s="43"/>
      <c r="O54" s="234"/>
      <c r="P54" s="233"/>
      <c r="Q54" s="233"/>
      <c r="R54" s="43"/>
      <c r="S54" s="43"/>
      <c r="T54" s="43"/>
      <c r="U54" s="43"/>
      <c r="V54" s="43"/>
      <c r="W54" s="43"/>
      <c r="X54" s="43"/>
      <c r="Y54" s="43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</row>
    <row r="55" spans="1:60" ht="16">
      <c r="A55" s="41"/>
      <c r="B55" s="41"/>
      <c r="C55" s="41"/>
      <c r="D55" s="42"/>
      <c r="E55" s="43"/>
      <c r="F55" s="96"/>
      <c r="G55" s="43"/>
      <c r="H55" s="41"/>
      <c r="I55" s="43"/>
      <c r="J55" s="43"/>
      <c r="K55" s="43"/>
      <c r="L55" s="43"/>
      <c r="M55" s="48"/>
      <c r="N55" s="43"/>
      <c r="O55" s="234"/>
      <c r="P55" s="233"/>
      <c r="Q55" s="233"/>
      <c r="R55" s="43"/>
      <c r="S55" s="43"/>
      <c r="T55" s="43"/>
      <c r="U55" s="43"/>
      <c r="V55" s="43"/>
      <c r="W55" s="43"/>
      <c r="X55" s="43"/>
      <c r="Y55" s="43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</row>
    <row r="56" spans="1:60" ht="16">
      <c r="A56" s="41"/>
      <c r="B56" s="41"/>
      <c r="C56" s="41"/>
      <c r="D56" s="42"/>
      <c r="E56" s="43"/>
      <c r="F56" s="96"/>
      <c r="G56" s="43"/>
      <c r="H56" s="41"/>
      <c r="I56" s="43"/>
      <c r="J56" s="43"/>
      <c r="K56" s="43"/>
      <c r="L56" s="43"/>
      <c r="M56" s="48"/>
      <c r="N56" s="43"/>
      <c r="O56" s="232"/>
      <c r="P56" s="233"/>
      <c r="Q56" s="233"/>
      <c r="R56" s="43"/>
      <c r="S56" s="43"/>
      <c r="T56" s="43"/>
      <c r="U56" s="43"/>
      <c r="V56" s="43"/>
      <c r="W56" s="94"/>
      <c r="X56" s="43"/>
      <c r="Y56" s="43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</row>
    <row r="57" spans="1:60" ht="16">
      <c r="A57" s="41"/>
      <c r="B57" s="41"/>
      <c r="C57" s="41"/>
      <c r="D57" s="42"/>
      <c r="E57" s="43"/>
      <c r="F57" s="96"/>
      <c r="G57" s="48"/>
      <c r="H57" s="41"/>
      <c r="I57" s="48"/>
      <c r="J57" s="48"/>
      <c r="K57" s="48"/>
      <c r="L57" s="48"/>
      <c r="M57" s="48"/>
      <c r="N57" s="43"/>
      <c r="O57" s="234"/>
      <c r="P57" s="233"/>
      <c r="Q57" s="233"/>
      <c r="R57" s="43"/>
      <c r="S57" s="43"/>
      <c r="T57" s="43"/>
      <c r="U57" s="43"/>
      <c r="V57" s="43"/>
      <c r="W57" s="43"/>
      <c r="X57" s="43"/>
      <c r="Y57" s="43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</row>
    <row r="58" spans="1:60" ht="16">
      <c r="A58" s="41"/>
      <c r="B58" s="41"/>
      <c r="C58" s="41"/>
      <c r="D58" s="42"/>
      <c r="E58" s="43"/>
      <c r="F58" s="96"/>
      <c r="G58" s="48"/>
      <c r="H58" s="41"/>
      <c r="I58" s="48"/>
      <c r="J58" s="43"/>
      <c r="K58" s="48"/>
      <c r="L58" s="48"/>
      <c r="M58" s="48"/>
      <c r="N58" s="43"/>
      <c r="O58" s="234"/>
      <c r="P58" s="233"/>
      <c r="Q58" s="233"/>
      <c r="R58" s="43"/>
      <c r="S58" s="43"/>
      <c r="T58" s="43"/>
      <c r="U58" s="43"/>
      <c r="V58" s="43"/>
      <c r="W58" s="43"/>
      <c r="X58" s="43"/>
      <c r="Y58" s="43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</row>
    <row r="59" spans="1:60" ht="16">
      <c r="A59" s="41"/>
      <c r="B59" s="41"/>
      <c r="C59" s="41"/>
      <c r="D59" s="42"/>
      <c r="E59" s="43"/>
      <c r="F59" s="96"/>
      <c r="G59" s="48"/>
      <c r="H59" s="41"/>
      <c r="I59" s="48"/>
      <c r="J59" s="43"/>
      <c r="K59" s="43"/>
      <c r="L59" s="43"/>
      <c r="M59" s="48"/>
      <c r="N59" s="43"/>
      <c r="O59" s="48"/>
      <c r="P59" s="234"/>
      <c r="Q59" s="233"/>
      <c r="R59" s="233"/>
      <c r="S59" s="43"/>
      <c r="T59" s="43"/>
      <c r="U59" s="43"/>
      <c r="V59" s="43"/>
      <c r="W59" s="43"/>
      <c r="X59" s="43"/>
      <c r="Y59" s="43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</row>
    <row r="60" spans="1:60" ht="16">
      <c r="A60" s="41"/>
      <c r="B60" s="41"/>
      <c r="C60" s="41"/>
      <c r="D60" s="42"/>
      <c r="E60" s="48"/>
      <c r="F60" s="96"/>
      <c r="G60" s="48"/>
      <c r="H60" s="41"/>
      <c r="I60" s="48"/>
      <c r="J60" s="48"/>
      <c r="K60" s="48"/>
      <c r="L60" s="48"/>
      <c r="M60" s="48"/>
      <c r="N60" s="43"/>
      <c r="O60" s="234"/>
      <c r="P60" s="233"/>
      <c r="Q60" s="233"/>
      <c r="R60" s="43"/>
      <c r="S60" s="43"/>
      <c r="T60" s="43"/>
      <c r="U60" s="43"/>
      <c r="V60" s="43"/>
      <c r="W60" s="43"/>
      <c r="X60" s="43"/>
      <c r="Y60" s="43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</row>
    <row r="61" spans="1:60" ht="16">
      <c r="A61" s="41"/>
      <c r="B61" s="41"/>
      <c r="C61" s="41"/>
      <c r="D61" s="42"/>
      <c r="E61" s="43"/>
      <c r="F61" s="96"/>
      <c r="G61" s="48"/>
      <c r="H61" s="41"/>
      <c r="I61" s="48"/>
      <c r="J61" s="48"/>
      <c r="K61" s="48"/>
      <c r="L61" s="48"/>
      <c r="M61" s="48"/>
      <c r="N61" s="43"/>
      <c r="O61" s="234"/>
      <c r="P61" s="233"/>
      <c r="Q61" s="233"/>
      <c r="R61" s="43"/>
      <c r="S61" s="43"/>
      <c r="T61" s="43"/>
      <c r="U61" s="43"/>
      <c r="V61" s="43"/>
      <c r="W61" s="43"/>
      <c r="X61" s="43"/>
      <c r="Y61" s="43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</row>
    <row r="62" spans="1:60" ht="16">
      <c r="A62" s="41"/>
      <c r="B62" s="41"/>
      <c r="C62" s="41"/>
      <c r="D62" s="42"/>
      <c r="E62" s="43"/>
      <c r="F62" s="96"/>
      <c r="G62" s="48"/>
      <c r="H62" s="41"/>
      <c r="I62" s="48"/>
      <c r="J62" s="48"/>
      <c r="K62" s="48"/>
      <c r="L62" s="48"/>
      <c r="M62" s="48"/>
      <c r="N62" s="43"/>
      <c r="O62" s="234"/>
      <c r="P62" s="233"/>
      <c r="Q62" s="233"/>
      <c r="R62" s="43"/>
      <c r="S62" s="43"/>
      <c r="T62" s="43"/>
      <c r="U62" s="43"/>
      <c r="V62" s="43"/>
      <c r="W62" s="43"/>
      <c r="X62" s="43"/>
      <c r="Y62" s="43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</row>
    <row r="63" spans="1:60" ht="16">
      <c r="A63" s="41"/>
      <c r="B63" s="41"/>
      <c r="C63" s="41"/>
      <c r="D63" s="42"/>
      <c r="E63" s="43"/>
      <c r="F63" s="96"/>
      <c r="G63" s="43"/>
      <c r="H63" s="41"/>
      <c r="I63" s="48"/>
      <c r="J63" s="48"/>
      <c r="K63" s="48"/>
      <c r="L63" s="48"/>
      <c r="M63" s="48"/>
      <c r="N63" s="43"/>
      <c r="O63" s="48"/>
      <c r="P63" s="48"/>
      <c r="Q63" s="43"/>
      <c r="R63" s="43"/>
      <c r="S63" s="43"/>
      <c r="T63" s="43"/>
      <c r="U63" s="43"/>
      <c r="V63" s="43"/>
      <c r="W63" s="43"/>
      <c r="X63" s="43"/>
      <c r="Y63" s="43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</row>
    <row r="64" spans="1:60" ht="16">
      <c r="A64" s="41"/>
      <c r="B64" s="41"/>
      <c r="C64" s="41"/>
      <c r="D64" s="42"/>
      <c r="E64" s="48"/>
      <c r="F64" s="96"/>
      <c r="G64" s="43"/>
      <c r="H64" s="41"/>
      <c r="I64" s="48"/>
      <c r="J64" s="48"/>
      <c r="K64" s="48"/>
      <c r="L64" s="48"/>
      <c r="M64" s="48"/>
      <c r="N64" s="43"/>
      <c r="O64" s="232"/>
      <c r="P64" s="233"/>
      <c r="Q64" s="233"/>
      <c r="R64" s="43"/>
      <c r="S64" s="43"/>
      <c r="T64" s="43"/>
      <c r="U64" s="43"/>
      <c r="V64" s="43"/>
      <c r="W64" s="43"/>
      <c r="X64" s="43"/>
      <c r="Y64" s="43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</row>
    <row r="65" spans="1:60" ht="16">
      <c r="A65" s="41"/>
      <c r="B65" s="41"/>
      <c r="C65" s="41"/>
      <c r="D65" s="42"/>
      <c r="E65" s="48"/>
      <c r="F65" s="96"/>
      <c r="G65" s="43"/>
      <c r="H65" s="41"/>
      <c r="I65" s="48"/>
      <c r="J65" s="48"/>
      <c r="K65" s="48"/>
      <c r="L65" s="48"/>
      <c r="M65" s="48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</row>
    <row r="66" spans="1:60" ht="16">
      <c r="A66" s="41"/>
      <c r="B66" s="41"/>
      <c r="C66" s="41"/>
      <c r="D66" s="42"/>
      <c r="E66" s="43"/>
      <c r="F66" s="96"/>
      <c r="G66" s="43"/>
      <c r="H66" s="41"/>
      <c r="I66" s="48"/>
      <c r="J66" s="48"/>
      <c r="K66" s="48"/>
      <c r="L66" s="48"/>
      <c r="M66" s="48"/>
      <c r="N66" s="43"/>
      <c r="O66" s="43"/>
      <c r="P66" s="232"/>
      <c r="Q66" s="233"/>
      <c r="R66" s="233"/>
      <c r="S66" s="43"/>
      <c r="T66" s="43"/>
      <c r="U66" s="43"/>
      <c r="V66" s="43"/>
      <c r="W66" s="43"/>
      <c r="X66" s="43"/>
      <c r="Y66" s="43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</row>
    <row r="67" spans="1:60" ht="16">
      <c r="A67" s="41"/>
      <c r="B67" s="41"/>
      <c r="C67" s="41"/>
      <c r="D67" s="42"/>
      <c r="E67" s="48"/>
      <c r="F67" s="96"/>
      <c r="G67" s="43"/>
      <c r="H67" s="41"/>
      <c r="I67" s="48"/>
      <c r="J67" s="48"/>
      <c r="K67" s="48"/>
      <c r="L67" s="48"/>
      <c r="M67" s="43"/>
      <c r="N67" s="43"/>
      <c r="O67" s="43"/>
      <c r="P67" s="57"/>
      <c r="Q67" s="43"/>
      <c r="R67" s="43"/>
      <c r="S67" s="43"/>
      <c r="T67" s="43"/>
      <c r="U67" s="43"/>
      <c r="V67" s="43"/>
      <c r="W67" s="43"/>
      <c r="X67" s="43"/>
      <c r="Y67" s="43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</row>
    <row r="68" spans="1:60" ht="16">
      <c r="A68" s="41"/>
      <c r="B68" s="41"/>
      <c r="C68" s="41"/>
      <c r="D68" s="42"/>
      <c r="E68" s="43"/>
      <c r="F68" s="96"/>
      <c r="G68" s="43"/>
      <c r="H68" s="41"/>
      <c r="I68" s="43"/>
      <c r="J68" s="48"/>
      <c r="K68" s="48"/>
      <c r="L68" s="48"/>
      <c r="M68" s="48"/>
      <c r="N68" s="57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</row>
    <row r="69" spans="1:60" ht="16">
      <c r="A69" s="41"/>
      <c r="B69" s="41"/>
      <c r="C69" s="41"/>
      <c r="D69" s="42"/>
      <c r="E69" s="43"/>
      <c r="F69" s="96"/>
      <c r="G69" s="43"/>
      <c r="H69" s="41"/>
      <c r="I69" s="43"/>
      <c r="J69" s="48"/>
      <c r="K69" s="48"/>
      <c r="L69" s="48"/>
      <c r="M69" s="48"/>
      <c r="N69" s="57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</row>
    <row r="70" spans="1:60" ht="16">
      <c r="A70" s="41"/>
      <c r="B70" s="41"/>
      <c r="C70" s="41"/>
      <c r="D70" s="42"/>
      <c r="E70" s="43"/>
      <c r="F70" s="96"/>
      <c r="G70" s="43"/>
      <c r="H70" s="41"/>
      <c r="I70" s="43"/>
      <c r="J70" s="48"/>
      <c r="K70" s="48"/>
      <c r="L70" s="48"/>
      <c r="M70" s="48"/>
      <c r="N70" s="57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</row>
    <row r="71" spans="1:60" ht="16">
      <c r="A71" s="41"/>
      <c r="B71" s="41"/>
      <c r="C71" s="41"/>
      <c r="D71" s="42"/>
      <c r="E71" s="43"/>
      <c r="F71" s="96"/>
      <c r="G71" s="43"/>
      <c r="H71" s="41"/>
      <c r="I71" s="43"/>
      <c r="J71" s="48"/>
      <c r="K71" s="48"/>
      <c r="L71" s="48"/>
      <c r="M71" s="48"/>
      <c r="N71" s="57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</row>
    <row r="72" spans="1:60" ht="16">
      <c r="A72" s="41"/>
      <c r="B72" s="41"/>
      <c r="C72" s="41"/>
      <c r="D72" s="42"/>
      <c r="E72" s="43"/>
      <c r="F72" s="96"/>
      <c r="G72" s="43"/>
      <c r="H72" s="41"/>
      <c r="I72" s="43"/>
      <c r="J72" s="48"/>
      <c r="K72" s="48"/>
      <c r="L72" s="48"/>
      <c r="M72" s="48"/>
      <c r="N72" s="57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</row>
    <row r="73" spans="1:60" ht="16">
      <c r="A73" s="41"/>
      <c r="B73" s="41"/>
      <c r="C73" s="41"/>
      <c r="D73" s="42"/>
      <c r="E73" s="43"/>
      <c r="F73" s="96"/>
      <c r="G73" s="43"/>
      <c r="H73" s="41"/>
      <c r="I73" s="43"/>
      <c r="J73" s="48"/>
      <c r="K73" s="48"/>
      <c r="L73" s="48"/>
      <c r="M73" s="48"/>
      <c r="N73" s="57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</row>
    <row r="74" spans="1:60" ht="16">
      <c r="A74" s="41"/>
      <c r="B74" s="41"/>
      <c r="C74" s="41"/>
      <c r="D74" s="42"/>
      <c r="E74" s="43"/>
      <c r="F74" s="96"/>
      <c r="G74" s="43"/>
      <c r="H74" s="41"/>
      <c r="I74" s="43"/>
      <c r="J74" s="48"/>
      <c r="K74" s="48"/>
      <c r="L74" s="48"/>
      <c r="M74" s="48"/>
      <c r="N74" s="57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</row>
    <row r="75" spans="1:60" ht="16">
      <c r="A75" s="41"/>
      <c r="B75" s="41"/>
      <c r="C75" s="41"/>
      <c r="D75" s="42"/>
      <c r="E75" s="43"/>
      <c r="F75" s="96"/>
      <c r="G75" s="43"/>
      <c r="H75" s="41"/>
      <c r="I75" s="43"/>
      <c r="J75" s="48"/>
      <c r="K75" s="48"/>
      <c r="L75" s="48"/>
      <c r="M75" s="48"/>
      <c r="N75" s="57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</row>
    <row r="76" spans="1:60" ht="16">
      <c r="A76" s="41"/>
      <c r="B76" s="41"/>
      <c r="C76" s="41"/>
      <c r="D76" s="42"/>
      <c r="E76" s="43"/>
      <c r="F76" s="96"/>
      <c r="G76" s="43"/>
      <c r="H76" s="41"/>
      <c r="I76" s="43"/>
      <c r="J76" s="48"/>
      <c r="K76" s="48"/>
      <c r="L76" s="48"/>
      <c r="M76" s="48"/>
      <c r="N76" s="57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</row>
    <row r="77" spans="1:60" ht="16">
      <c r="A77" s="41"/>
      <c r="B77" s="41"/>
      <c r="C77" s="41"/>
      <c r="D77" s="42"/>
      <c r="E77" s="43"/>
      <c r="F77" s="96"/>
      <c r="G77" s="43"/>
      <c r="H77" s="41"/>
      <c r="I77" s="43"/>
      <c r="J77" s="48"/>
      <c r="K77" s="48"/>
      <c r="L77" s="48"/>
      <c r="M77" s="48"/>
      <c r="N77" s="57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</row>
    <row r="78" spans="1:60" ht="16">
      <c r="A78" s="41"/>
      <c r="B78" s="41"/>
      <c r="C78" s="41"/>
      <c r="D78" s="42"/>
      <c r="E78" s="43"/>
      <c r="F78" s="96"/>
      <c r="G78" s="43"/>
      <c r="H78" s="41"/>
      <c r="I78" s="43"/>
      <c r="J78" s="48"/>
      <c r="K78" s="48"/>
      <c r="L78" s="48"/>
      <c r="M78" s="48"/>
      <c r="N78" s="57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</row>
    <row r="79" spans="1:60" ht="16">
      <c r="A79" s="41"/>
      <c r="B79" s="41"/>
      <c r="C79" s="41"/>
      <c r="D79" s="42"/>
      <c r="E79" s="43"/>
      <c r="F79" s="96"/>
      <c r="G79" s="43"/>
      <c r="H79" s="41"/>
      <c r="I79" s="43"/>
      <c r="J79" s="48"/>
      <c r="K79" s="48"/>
      <c r="L79" s="48"/>
      <c r="M79" s="48"/>
      <c r="N79" s="57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</row>
    <row r="80" spans="1:60" ht="16">
      <c r="A80" s="41"/>
      <c r="B80" s="41"/>
      <c r="C80" s="41"/>
      <c r="D80" s="42"/>
      <c r="E80" s="43"/>
      <c r="F80" s="96"/>
      <c r="G80" s="43"/>
      <c r="H80" s="41"/>
      <c r="I80" s="43"/>
      <c r="J80" s="48"/>
      <c r="K80" s="43"/>
      <c r="L80" s="48"/>
      <c r="M80" s="48"/>
      <c r="N80" s="57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</row>
    <row r="81" spans="1:60" ht="16">
      <c r="A81" s="41"/>
      <c r="B81" s="41"/>
      <c r="C81" s="41"/>
      <c r="D81" s="42"/>
      <c r="E81" s="43"/>
      <c r="F81" s="96"/>
      <c r="G81" s="43"/>
      <c r="H81" s="41"/>
      <c r="I81" s="43"/>
      <c r="J81" s="48"/>
      <c r="K81" s="48"/>
      <c r="L81" s="48"/>
      <c r="M81" s="48"/>
      <c r="N81" s="57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</row>
    <row r="82" spans="1:60" ht="16">
      <c r="A82" s="41"/>
      <c r="B82" s="41"/>
      <c r="C82" s="41"/>
      <c r="D82" s="42"/>
      <c r="E82" s="43"/>
      <c r="F82" s="96"/>
      <c r="G82" s="43"/>
      <c r="H82" s="41"/>
      <c r="I82" s="43"/>
      <c r="J82" s="48"/>
      <c r="K82" s="48"/>
      <c r="L82" s="48"/>
      <c r="M82" s="48"/>
      <c r="N82" s="57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</row>
    <row r="83" spans="1:60" ht="16">
      <c r="A83" s="41"/>
      <c r="B83" s="41"/>
      <c r="C83" s="41"/>
      <c r="D83" s="42"/>
      <c r="E83" s="43"/>
      <c r="F83" s="96"/>
      <c r="G83" s="43"/>
      <c r="H83" s="41"/>
      <c r="I83" s="43"/>
      <c r="J83" s="43"/>
      <c r="K83" s="43"/>
      <c r="L83" s="43"/>
      <c r="M83" s="43"/>
      <c r="N83" s="43"/>
      <c r="O83" s="43"/>
      <c r="P83" s="50"/>
      <c r="Q83" s="43"/>
      <c r="R83" s="43"/>
      <c r="S83" s="43"/>
      <c r="T83" s="43"/>
      <c r="U83" s="43"/>
      <c r="V83" s="43"/>
      <c r="W83" s="43"/>
      <c r="X83" s="43"/>
      <c r="Y83" s="43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</row>
    <row r="84" spans="1:60" ht="16">
      <c r="A84" s="41"/>
      <c r="B84" s="41"/>
      <c r="C84" s="41"/>
      <c r="D84" s="42"/>
      <c r="E84" s="43"/>
      <c r="F84" s="96"/>
      <c r="G84" s="43"/>
      <c r="H84" s="41"/>
      <c r="I84" s="43"/>
      <c r="J84" s="43"/>
      <c r="K84" s="43"/>
      <c r="L84" s="43"/>
      <c r="M84" s="43"/>
      <c r="N84" s="43"/>
      <c r="O84" s="43"/>
      <c r="P84" s="43"/>
      <c r="Q84" s="43"/>
      <c r="R84" s="50"/>
      <c r="S84" s="50"/>
      <c r="T84" s="50"/>
      <c r="U84" s="43"/>
      <c r="V84" s="43"/>
      <c r="W84" s="43"/>
      <c r="X84" s="43"/>
      <c r="Y84" s="43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</row>
    <row r="85" spans="1:60" ht="16">
      <c r="A85" s="41"/>
      <c r="B85" s="41"/>
      <c r="C85" s="41"/>
      <c r="D85" s="42"/>
      <c r="E85" s="43"/>
      <c r="F85" s="96"/>
      <c r="G85" s="43"/>
      <c r="H85" s="41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50"/>
      <c r="U85" s="50"/>
      <c r="V85" s="50"/>
      <c r="W85" s="43"/>
      <c r="X85" s="50"/>
      <c r="Y85" s="43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</row>
    <row r="86" spans="1:60" ht="16">
      <c r="A86" s="41"/>
      <c r="B86" s="41"/>
      <c r="C86" s="41"/>
      <c r="D86" s="42"/>
      <c r="E86" s="43"/>
      <c r="F86" s="96"/>
      <c r="G86" s="43"/>
      <c r="H86" s="41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50"/>
      <c r="T86" s="50"/>
      <c r="U86" s="43"/>
      <c r="V86" s="50"/>
      <c r="W86" s="43"/>
      <c r="X86" s="43"/>
      <c r="Y86" s="43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</row>
    <row r="87" spans="1:60" ht="16">
      <c r="A87" s="41"/>
      <c r="B87" s="41"/>
      <c r="C87" s="41"/>
      <c r="D87" s="42"/>
      <c r="E87" s="43"/>
      <c r="F87" s="96"/>
      <c r="G87" s="43"/>
      <c r="H87" s="41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50"/>
      <c r="T87" s="50"/>
      <c r="U87" s="43"/>
      <c r="V87" s="43"/>
      <c r="W87" s="43"/>
      <c r="X87" s="43"/>
      <c r="Y87" s="43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</row>
    <row r="88" spans="1:60" ht="16">
      <c r="A88" s="41"/>
      <c r="B88" s="41"/>
      <c r="C88" s="41"/>
      <c r="D88" s="42"/>
      <c r="E88" s="43"/>
      <c r="F88" s="96"/>
      <c r="G88" s="43"/>
      <c r="H88" s="41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50"/>
      <c r="T88" s="50"/>
      <c r="U88" s="43"/>
      <c r="V88" s="43"/>
      <c r="W88" s="43"/>
      <c r="X88" s="43"/>
      <c r="Y88" s="43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</row>
    <row r="89" spans="1:60" ht="16">
      <c r="A89" s="41"/>
      <c r="B89" s="41"/>
      <c r="C89" s="41"/>
      <c r="D89" s="42"/>
      <c r="E89" s="43"/>
      <c r="F89" s="96"/>
      <c r="G89" s="43"/>
      <c r="H89" s="41"/>
      <c r="I89" s="43"/>
      <c r="J89" s="43"/>
      <c r="K89" s="43"/>
      <c r="L89" s="43"/>
      <c r="M89" s="43"/>
      <c r="N89" s="43"/>
      <c r="O89" s="43"/>
      <c r="P89" s="50"/>
      <c r="Q89" s="43"/>
      <c r="R89" s="43"/>
      <c r="S89" s="43"/>
      <c r="T89" s="43"/>
      <c r="U89" s="43"/>
      <c r="V89" s="43"/>
      <c r="W89" s="43"/>
      <c r="X89" s="43"/>
      <c r="Y89" s="43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</row>
    <row r="90" spans="1:60" ht="16">
      <c r="A90" s="41"/>
      <c r="B90" s="41"/>
      <c r="C90" s="41"/>
      <c r="D90" s="42"/>
      <c r="E90" s="43"/>
      <c r="F90" s="96"/>
      <c r="G90" s="43"/>
      <c r="H90" s="41"/>
      <c r="I90" s="43"/>
      <c r="J90" s="43"/>
      <c r="K90" s="43"/>
      <c r="L90" s="43"/>
      <c r="M90" s="43"/>
      <c r="N90" s="57"/>
      <c r="O90" s="43"/>
      <c r="P90" s="57"/>
      <c r="Q90" s="43"/>
      <c r="R90" s="43"/>
      <c r="S90" s="43"/>
      <c r="T90" s="43"/>
      <c r="U90" s="43"/>
      <c r="V90" s="43"/>
      <c r="W90" s="43"/>
      <c r="X90" s="43"/>
      <c r="Y90" s="43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</row>
    <row r="91" spans="1:60" ht="16">
      <c r="A91" s="41"/>
      <c r="B91" s="41"/>
      <c r="C91" s="41"/>
      <c r="D91" s="42"/>
      <c r="E91" s="43"/>
      <c r="F91" s="96"/>
      <c r="G91" s="43"/>
      <c r="H91" s="41"/>
      <c r="I91" s="43"/>
      <c r="J91" s="43"/>
      <c r="K91" s="43"/>
      <c r="L91" s="43"/>
      <c r="M91" s="43"/>
      <c r="N91" s="43"/>
      <c r="O91" s="43"/>
      <c r="P91" s="50"/>
      <c r="Q91" s="43"/>
      <c r="R91" s="43"/>
      <c r="S91" s="43"/>
      <c r="T91" s="43"/>
      <c r="U91" s="43"/>
      <c r="V91" s="43"/>
      <c r="W91" s="43"/>
      <c r="X91" s="43"/>
      <c r="Y91" s="43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</row>
    <row r="92" spans="1:60" ht="16">
      <c r="A92" s="41"/>
      <c r="B92" s="41"/>
      <c r="C92" s="41"/>
      <c r="D92" s="42"/>
      <c r="E92" s="43"/>
      <c r="F92" s="96"/>
      <c r="G92" s="43"/>
      <c r="H92" s="41"/>
      <c r="I92" s="43"/>
      <c r="J92" s="43"/>
      <c r="K92" s="43"/>
      <c r="L92" s="43"/>
      <c r="M92" s="43"/>
      <c r="N92" s="43"/>
      <c r="O92" s="43"/>
      <c r="P92" s="50"/>
      <c r="Q92" s="43"/>
      <c r="R92" s="43"/>
      <c r="S92" s="43"/>
      <c r="T92" s="43"/>
      <c r="U92" s="43"/>
      <c r="V92" s="43"/>
      <c r="W92" s="43"/>
      <c r="X92" s="43"/>
      <c r="Y92" s="43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</row>
    <row r="93" spans="1:60" ht="16">
      <c r="A93" s="41"/>
      <c r="B93" s="41"/>
      <c r="C93" s="41"/>
      <c r="D93" s="42"/>
      <c r="E93" s="43"/>
      <c r="F93" s="96"/>
      <c r="G93" s="43"/>
      <c r="H93" s="41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50"/>
      <c r="T93" s="50"/>
      <c r="U93" s="43"/>
      <c r="V93" s="50"/>
      <c r="W93" s="43"/>
      <c r="X93" s="43"/>
      <c r="Y93" s="43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</row>
    <row r="94" spans="1:60" ht="16">
      <c r="A94" s="41"/>
      <c r="B94" s="41"/>
      <c r="C94" s="41"/>
      <c r="D94" s="42"/>
      <c r="E94" s="43"/>
      <c r="F94" s="96"/>
      <c r="G94" s="43"/>
      <c r="H94" s="41"/>
      <c r="I94" s="43"/>
      <c r="J94" s="43"/>
      <c r="K94" s="43"/>
      <c r="L94" s="43"/>
      <c r="M94" s="43"/>
      <c r="N94" s="43"/>
      <c r="O94" s="43"/>
      <c r="P94" s="50"/>
      <c r="Q94" s="43"/>
      <c r="R94" s="43"/>
      <c r="S94" s="43"/>
      <c r="T94" s="43"/>
      <c r="U94" s="43"/>
      <c r="V94" s="43"/>
      <c r="W94" s="43"/>
      <c r="X94" s="43"/>
      <c r="Y94" s="43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</row>
    <row r="95" spans="1:60" ht="16">
      <c r="A95" s="41"/>
      <c r="B95" s="41"/>
      <c r="C95" s="41"/>
      <c r="D95" s="42"/>
      <c r="E95" s="43"/>
      <c r="F95" s="96"/>
      <c r="G95" s="43"/>
      <c r="H95" s="41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</row>
    <row r="96" spans="1:60" ht="16">
      <c r="A96" s="41"/>
      <c r="B96" s="41"/>
      <c r="C96" s="41"/>
      <c r="D96" s="42"/>
      <c r="E96" s="43"/>
      <c r="F96" s="96"/>
      <c r="G96" s="43"/>
      <c r="H96" s="41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</row>
    <row r="97" spans="1:60" ht="16">
      <c r="A97" s="41"/>
      <c r="B97" s="41"/>
      <c r="C97" s="41"/>
      <c r="D97" s="42"/>
      <c r="E97" s="43"/>
      <c r="F97" s="96"/>
      <c r="G97" s="43"/>
      <c r="H97" s="41"/>
      <c r="I97" s="43"/>
      <c r="J97" s="43"/>
      <c r="K97" s="43"/>
      <c r="L97" s="43"/>
      <c r="M97" s="43"/>
      <c r="N97" s="43"/>
      <c r="O97" s="43"/>
      <c r="P97" s="57"/>
      <c r="Q97" s="43"/>
      <c r="R97" s="43"/>
      <c r="S97" s="43"/>
      <c r="T97" s="43"/>
      <c r="U97" s="43"/>
      <c r="V97" s="43"/>
      <c r="W97" s="43"/>
      <c r="X97" s="43"/>
      <c r="Y97" s="43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</row>
    <row r="98" spans="1:60" ht="16">
      <c r="A98" s="41"/>
      <c r="B98" s="41"/>
      <c r="C98" s="41"/>
      <c r="D98" s="42"/>
      <c r="E98" s="43"/>
      <c r="F98" s="96"/>
      <c r="G98" s="43"/>
      <c r="H98" s="41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</row>
    <row r="99" spans="1:60" ht="16">
      <c r="A99" s="41"/>
      <c r="B99" s="41"/>
      <c r="C99" s="41"/>
      <c r="D99" s="42"/>
      <c r="E99" s="43"/>
      <c r="F99" s="96"/>
      <c r="G99" s="43"/>
      <c r="H99" s="41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</row>
    <row r="100" spans="1:60" ht="16">
      <c r="A100" s="41"/>
      <c r="B100" s="41"/>
      <c r="C100" s="41"/>
      <c r="D100" s="42"/>
      <c r="E100" s="43"/>
      <c r="F100" s="96"/>
      <c r="G100" s="43"/>
      <c r="H100" s="41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</row>
    <row r="101" spans="1:60" ht="16">
      <c r="A101" s="41"/>
      <c r="B101" s="41"/>
      <c r="C101" s="41"/>
      <c r="D101" s="42"/>
      <c r="E101" s="43"/>
      <c r="F101" s="96"/>
      <c r="G101" s="43"/>
      <c r="H101" s="41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</row>
    <row r="102" spans="1:60" ht="16">
      <c r="A102" s="41"/>
      <c r="B102" s="41"/>
      <c r="C102" s="41"/>
      <c r="D102" s="42"/>
      <c r="E102" s="43"/>
      <c r="F102" s="96"/>
      <c r="G102" s="43"/>
      <c r="H102" s="41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</row>
    <row r="103" spans="1:60" ht="16">
      <c r="A103" s="41"/>
      <c r="B103" s="41"/>
      <c r="C103" s="41"/>
      <c r="D103" s="42"/>
      <c r="E103" s="43"/>
      <c r="F103" s="96"/>
      <c r="G103" s="43"/>
      <c r="H103" s="41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</row>
    <row r="104" spans="1:60" ht="16">
      <c r="A104" s="41"/>
      <c r="B104" s="41"/>
      <c r="C104" s="41"/>
      <c r="D104" s="42"/>
      <c r="E104" s="43"/>
      <c r="F104" s="96"/>
      <c r="G104" s="43"/>
      <c r="H104" s="41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</row>
    <row r="105" spans="1:60" ht="16">
      <c r="A105" s="41"/>
      <c r="B105" s="41"/>
      <c r="C105" s="41"/>
      <c r="D105" s="42"/>
      <c r="E105" s="43"/>
      <c r="F105" s="96"/>
      <c r="G105" s="43"/>
      <c r="H105" s="41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</row>
    <row r="106" spans="1:60" ht="16">
      <c r="A106" s="41"/>
      <c r="B106" s="41"/>
      <c r="C106" s="41"/>
      <c r="D106" s="42"/>
      <c r="E106" s="43"/>
      <c r="F106" s="96"/>
      <c r="G106" s="43"/>
      <c r="H106" s="41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</row>
    <row r="107" spans="1:60" ht="16">
      <c r="A107" s="41"/>
      <c r="B107" s="41"/>
      <c r="C107" s="41"/>
      <c r="D107" s="42"/>
      <c r="E107" s="43"/>
      <c r="F107" s="96"/>
      <c r="G107" s="43"/>
      <c r="H107" s="41"/>
      <c r="I107" s="43"/>
      <c r="J107" s="43"/>
      <c r="K107" s="43"/>
      <c r="L107" s="43"/>
      <c r="M107" s="43"/>
      <c r="N107" s="43"/>
      <c r="O107" s="43"/>
      <c r="P107" s="57"/>
      <c r="Q107" s="43"/>
      <c r="R107" s="43"/>
      <c r="S107" s="43"/>
      <c r="T107" s="43"/>
      <c r="U107" s="43"/>
      <c r="V107" s="43"/>
      <c r="W107" s="43"/>
      <c r="X107" s="43"/>
      <c r="Y107" s="43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</row>
    <row r="108" spans="1:60" ht="16">
      <c r="A108" s="41"/>
      <c r="B108" s="41"/>
      <c r="C108" s="41"/>
      <c r="D108" s="42"/>
      <c r="E108" s="43"/>
      <c r="F108" s="96"/>
      <c r="G108" s="43"/>
      <c r="H108" s="41"/>
      <c r="I108" s="43"/>
      <c r="J108" s="48"/>
      <c r="K108" s="48"/>
      <c r="L108" s="48"/>
      <c r="M108" s="48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</row>
    <row r="109" spans="1:60" ht="16">
      <c r="A109" s="41"/>
      <c r="B109" s="41"/>
      <c r="C109" s="41"/>
      <c r="D109" s="42"/>
      <c r="E109" s="43"/>
      <c r="F109" s="96"/>
      <c r="G109" s="43"/>
      <c r="H109" s="41"/>
      <c r="I109" s="48"/>
      <c r="J109" s="48"/>
      <c r="K109" s="48"/>
      <c r="L109" s="48"/>
      <c r="M109" s="48"/>
      <c r="N109" s="48"/>
      <c r="O109" s="43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</row>
    <row r="110" spans="1:60" ht="16">
      <c r="A110" s="41"/>
      <c r="B110" s="41"/>
      <c r="C110" s="41"/>
      <c r="D110" s="42"/>
      <c r="E110" s="43"/>
      <c r="F110" s="96"/>
      <c r="G110" s="43"/>
      <c r="H110" s="41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</row>
    <row r="111" spans="1:60" ht="16">
      <c r="A111" s="41"/>
      <c r="B111" s="41"/>
      <c r="C111" s="41"/>
      <c r="D111" s="42"/>
      <c r="E111" s="48"/>
      <c r="F111" s="96"/>
      <c r="G111" s="43"/>
      <c r="H111" s="41"/>
      <c r="I111" s="43"/>
      <c r="J111" s="48"/>
      <c r="K111" s="43"/>
      <c r="L111" s="48"/>
      <c r="M111" s="48"/>
      <c r="N111" s="48"/>
      <c r="O111" s="43"/>
      <c r="P111" s="57"/>
      <c r="Q111" s="43"/>
      <c r="R111" s="43"/>
      <c r="S111" s="43"/>
      <c r="T111" s="43"/>
      <c r="U111" s="43"/>
      <c r="V111" s="43"/>
      <c r="W111" s="43"/>
      <c r="X111" s="43"/>
      <c r="Y111" s="43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</row>
    <row r="112" spans="1:60" ht="16">
      <c r="A112" s="41"/>
      <c r="B112" s="41"/>
      <c r="C112" s="41"/>
      <c r="D112" s="42"/>
      <c r="E112" s="43"/>
      <c r="F112" s="98"/>
      <c r="G112" s="43"/>
      <c r="H112" s="41"/>
      <c r="I112" s="43"/>
      <c r="J112" s="43"/>
      <c r="K112" s="43"/>
      <c r="L112" s="43"/>
      <c r="M112" s="43"/>
      <c r="N112" s="43"/>
      <c r="O112" s="57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</row>
    <row r="113" spans="1:60" ht="16">
      <c r="A113" s="41"/>
      <c r="B113" s="41"/>
      <c r="C113" s="41"/>
      <c r="D113" s="42"/>
      <c r="E113" s="43"/>
      <c r="F113" s="98"/>
      <c r="G113" s="43"/>
      <c r="H113" s="41"/>
      <c r="I113" s="43"/>
      <c r="J113" s="43"/>
      <c r="K113" s="43"/>
      <c r="L113" s="43"/>
      <c r="M113" s="43"/>
      <c r="N113" s="43"/>
      <c r="O113" s="57"/>
      <c r="P113" s="50"/>
      <c r="Q113" s="43"/>
      <c r="R113" s="43"/>
      <c r="S113" s="43"/>
      <c r="T113" s="43"/>
      <c r="U113" s="43"/>
      <c r="V113" s="43"/>
      <c r="W113" s="43"/>
      <c r="X113" s="43"/>
      <c r="Y113" s="43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</row>
    <row r="114" spans="1:60" ht="16">
      <c r="A114" s="41"/>
      <c r="B114" s="41"/>
      <c r="C114" s="41"/>
      <c r="D114" s="42"/>
      <c r="E114" s="43"/>
      <c r="F114" s="98"/>
      <c r="G114" s="43"/>
      <c r="H114" s="41"/>
      <c r="I114" s="43"/>
      <c r="J114" s="48"/>
      <c r="K114" s="48"/>
      <c r="L114" s="48"/>
      <c r="M114" s="43"/>
      <c r="N114" s="43"/>
      <c r="O114" s="57"/>
      <c r="P114" s="50"/>
      <c r="Q114" s="43"/>
      <c r="R114" s="43"/>
      <c r="S114" s="43"/>
      <c r="T114" s="43"/>
      <c r="U114" s="43"/>
      <c r="V114" s="43"/>
      <c r="W114" s="43"/>
      <c r="X114" s="43"/>
      <c r="Y114" s="43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</row>
    <row r="115" spans="1:60" ht="16">
      <c r="A115" s="41"/>
      <c r="B115" s="41"/>
      <c r="C115" s="41"/>
      <c r="D115" s="42"/>
      <c r="E115" s="43"/>
      <c r="F115" s="98"/>
      <c r="G115" s="43"/>
      <c r="H115" s="41"/>
      <c r="I115" s="99"/>
      <c r="J115" s="97"/>
      <c r="K115" s="97"/>
      <c r="L115" s="97"/>
      <c r="M115" s="43"/>
      <c r="N115" s="43"/>
      <c r="O115" s="57"/>
      <c r="P115" s="57"/>
      <c r="Q115" s="57"/>
      <c r="R115" s="57"/>
      <c r="S115" s="57"/>
      <c r="T115" s="57"/>
      <c r="U115" s="57"/>
      <c r="V115" s="50"/>
      <c r="W115" s="57"/>
      <c r="X115" s="50"/>
      <c r="Y115" s="57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</row>
    <row r="116" spans="1:60" ht="16">
      <c r="A116" s="41"/>
      <c r="B116" s="41"/>
      <c r="C116" s="41"/>
      <c r="D116" s="42"/>
      <c r="E116" s="43"/>
      <c r="F116" s="98"/>
      <c r="G116" s="43"/>
      <c r="H116" s="41"/>
      <c r="I116" s="43"/>
      <c r="J116" s="97"/>
      <c r="K116" s="97"/>
      <c r="L116" s="97"/>
      <c r="M116" s="43"/>
      <c r="N116" s="43"/>
      <c r="O116" s="57"/>
      <c r="P116" s="50"/>
      <c r="Q116" s="57"/>
      <c r="R116" s="50"/>
      <c r="S116" s="57"/>
      <c r="T116" s="57"/>
      <c r="U116" s="43"/>
      <c r="V116" s="43"/>
      <c r="W116" s="43"/>
      <c r="X116" s="43"/>
      <c r="Y116" s="43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</row>
    <row r="117" spans="1:60" ht="16">
      <c r="A117" s="41"/>
      <c r="B117" s="41"/>
      <c r="C117" s="41"/>
      <c r="D117" s="42"/>
      <c r="E117" s="43"/>
      <c r="F117" s="98"/>
      <c r="G117" s="43"/>
      <c r="H117" s="41"/>
      <c r="I117" s="43"/>
      <c r="J117" s="97"/>
      <c r="K117" s="97"/>
      <c r="L117" s="97"/>
      <c r="M117" s="57"/>
      <c r="N117" s="57"/>
      <c r="O117" s="57"/>
      <c r="P117" s="57"/>
      <c r="Q117" s="57"/>
      <c r="R117" s="57"/>
      <c r="S117" s="43"/>
      <c r="T117" s="43"/>
      <c r="U117" s="43"/>
      <c r="V117" s="43"/>
      <c r="W117" s="43"/>
      <c r="X117" s="43"/>
      <c r="Y117" s="43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</row>
    <row r="118" spans="1:60" ht="16">
      <c r="A118" s="41"/>
      <c r="B118" s="41"/>
      <c r="C118" s="41"/>
      <c r="D118" s="42"/>
      <c r="E118" s="48"/>
      <c r="F118" s="98"/>
      <c r="G118" s="43"/>
      <c r="H118" s="41"/>
      <c r="I118" s="43"/>
      <c r="J118" s="48"/>
      <c r="K118" s="43"/>
      <c r="L118" s="48"/>
      <c r="M118" s="57"/>
      <c r="N118" s="57"/>
      <c r="O118" s="43"/>
      <c r="P118" s="57"/>
      <c r="Q118" s="57"/>
      <c r="R118" s="50"/>
      <c r="S118" s="43"/>
      <c r="T118" s="43"/>
      <c r="U118" s="43"/>
      <c r="V118" s="43"/>
      <c r="W118" s="43"/>
      <c r="X118" s="43"/>
      <c r="Y118" s="43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</row>
    <row r="119" spans="1:60" ht="16">
      <c r="A119" s="41"/>
      <c r="B119" s="41"/>
      <c r="C119" s="41"/>
      <c r="D119" s="42"/>
      <c r="E119" s="57"/>
      <c r="F119" s="98"/>
      <c r="G119" s="43"/>
      <c r="H119" s="41"/>
      <c r="I119" s="57"/>
      <c r="J119" s="57"/>
      <c r="K119" s="43"/>
      <c r="L119" s="57"/>
      <c r="M119" s="43"/>
      <c r="N119" s="43"/>
      <c r="O119" s="43"/>
      <c r="P119" s="43"/>
      <c r="Q119" s="43"/>
      <c r="R119" s="43"/>
      <c r="S119" s="50"/>
      <c r="T119" s="50"/>
      <c r="U119" s="43"/>
      <c r="V119" s="50"/>
      <c r="W119" s="43"/>
      <c r="X119" s="43"/>
      <c r="Y119" s="43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</row>
    <row r="120" spans="1:60" ht="16">
      <c r="A120" s="41"/>
      <c r="B120" s="41"/>
      <c r="C120" s="41"/>
      <c r="D120" s="42"/>
      <c r="E120" s="97"/>
      <c r="F120" s="98"/>
      <c r="G120" s="43"/>
      <c r="H120" s="41"/>
      <c r="I120" s="57"/>
      <c r="J120" s="97"/>
      <c r="K120" s="97"/>
      <c r="L120" s="97"/>
      <c r="M120" s="57"/>
      <c r="N120" s="57"/>
      <c r="O120" s="43"/>
      <c r="P120" s="50"/>
      <c r="Q120" s="43"/>
      <c r="R120" s="43"/>
      <c r="S120" s="43"/>
      <c r="T120" s="43"/>
      <c r="U120" s="43"/>
      <c r="V120" s="43"/>
      <c r="W120" s="43"/>
      <c r="X120" s="43"/>
      <c r="Y120" s="43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0"/>
      <c r="AK120" s="40"/>
      <c r="AL120" s="40"/>
      <c r="AM120" s="40"/>
      <c r="AN120" s="40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</row>
    <row r="121" spans="1:60" ht="16">
      <c r="A121" s="41"/>
      <c r="B121" s="41"/>
      <c r="C121" s="41"/>
      <c r="D121" s="42"/>
      <c r="E121" s="43"/>
      <c r="F121" s="98"/>
      <c r="G121" s="43"/>
      <c r="H121" s="41"/>
      <c r="I121" s="43"/>
      <c r="J121" s="43"/>
      <c r="K121" s="43"/>
      <c r="L121" s="43"/>
      <c r="M121" s="43"/>
      <c r="N121" s="43"/>
      <c r="O121" s="57"/>
      <c r="P121" s="57"/>
      <c r="Q121" s="50"/>
      <c r="R121" s="50"/>
      <c r="S121" s="43"/>
      <c r="T121" s="50"/>
      <c r="U121" s="43"/>
      <c r="V121" s="43"/>
      <c r="W121" s="43"/>
      <c r="X121" s="43"/>
      <c r="Y121" s="43"/>
      <c r="Z121" s="46"/>
      <c r="AA121" s="46"/>
      <c r="AB121" s="46"/>
      <c r="AC121" s="46"/>
      <c r="AD121" s="46"/>
      <c r="AE121" s="46"/>
      <c r="AF121" s="40"/>
      <c r="AG121" s="40"/>
      <c r="AH121" s="40"/>
      <c r="AI121" s="40"/>
      <c r="AJ121" s="40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</row>
    <row r="122" spans="1:60" ht="16">
      <c r="A122" s="41"/>
      <c r="B122" s="41"/>
      <c r="C122" s="41"/>
      <c r="D122" s="42"/>
      <c r="E122" s="43"/>
      <c r="F122" s="98"/>
      <c r="G122" s="43"/>
      <c r="H122" s="41"/>
      <c r="I122" s="43"/>
      <c r="J122" s="97"/>
      <c r="K122" s="97"/>
      <c r="L122" s="97"/>
      <c r="M122" s="43"/>
      <c r="N122" s="43"/>
      <c r="O122" s="57"/>
      <c r="P122" s="57"/>
      <c r="Q122" s="57"/>
      <c r="R122" s="57"/>
      <c r="S122" s="50"/>
      <c r="T122" s="50"/>
      <c r="U122" s="43"/>
      <c r="V122" s="43"/>
      <c r="W122" s="43"/>
      <c r="X122" s="43"/>
      <c r="Y122" s="43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</row>
    <row r="123" spans="1:60" ht="16">
      <c r="A123" s="41"/>
      <c r="B123" s="41"/>
      <c r="C123" s="41"/>
      <c r="D123" s="42"/>
      <c r="E123" s="43"/>
      <c r="F123" s="98"/>
      <c r="G123" s="48"/>
      <c r="H123" s="41"/>
      <c r="I123" s="48"/>
      <c r="J123" s="48"/>
      <c r="K123" s="48"/>
      <c r="L123" s="48"/>
      <c r="M123" s="48"/>
      <c r="N123" s="43"/>
      <c r="O123" s="43"/>
      <c r="P123" s="52"/>
      <c r="Q123" s="48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</row>
    <row r="124" spans="1:60" ht="16">
      <c r="A124" s="41"/>
      <c r="B124" s="41"/>
      <c r="C124" s="41"/>
      <c r="D124" s="42"/>
      <c r="E124" s="43"/>
      <c r="F124" s="98"/>
      <c r="G124" s="50"/>
      <c r="H124" s="41"/>
      <c r="I124" s="43"/>
      <c r="J124" s="43"/>
      <c r="K124" s="43"/>
      <c r="L124" s="43"/>
      <c r="M124" s="43"/>
      <c r="N124" s="43"/>
      <c r="O124" s="43"/>
      <c r="P124" s="50"/>
      <c r="Q124" s="43"/>
      <c r="R124" s="43"/>
      <c r="S124" s="43"/>
      <c r="T124" s="43"/>
      <c r="U124" s="43"/>
      <c r="V124" s="43"/>
      <c r="W124" s="43"/>
      <c r="X124" s="43"/>
      <c r="Y124" s="43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</row>
    <row r="125" spans="1:60" ht="16">
      <c r="A125" s="41"/>
      <c r="B125" s="41"/>
      <c r="C125" s="41"/>
      <c r="D125" s="42"/>
      <c r="E125" s="43"/>
      <c r="F125" s="98"/>
      <c r="G125" s="43"/>
      <c r="H125" s="41"/>
      <c r="I125" s="99"/>
      <c r="J125" s="97"/>
      <c r="K125" s="97"/>
      <c r="L125" s="97"/>
      <c r="M125" s="43"/>
      <c r="N125" s="43"/>
      <c r="O125" s="57"/>
      <c r="P125" s="50"/>
      <c r="Q125" s="57"/>
      <c r="R125" s="57"/>
      <c r="S125" s="57"/>
      <c r="T125" s="57"/>
      <c r="U125" s="57"/>
      <c r="V125" s="57"/>
      <c r="W125" s="43"/>
      <c r="X125" s="43"/>
      <c r="Y125" s="43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</row>
    <row r="126" spans="1:60" ht="16">
      <c r="A126" s="41"/>
      <c r="B126" s="41"/>
      <c r="C126" s="41"/>
      <c r="D126" s="42"/>
      <c r="E126" s="48"/>
      <c r="F126" s="98"/>
      <c r="G126" s="43"/>
      <c r="H126" s="41"/>
      <c r="I126" s="43"/>
      <c r="J126" s="48"/>
      <c r="K126" s="43"/>
      <c r="L126" s="48"/>
      <c r="M126" s="57"/>
      <c r="N126" s="57"/>
      <c r="O126" s="57"/>
      <c r="P126" s="50"/>
      <c r="Q126" s="57"/>
      <c r="R126" s="57"/>
      <c r="S126" s="43"/>
      <c r="T126" s="43"/>
      <c r="U126" s="43"/>
      <c r="V126" s="43"/>
      <c r="W126" s="43"/>
      <c r="X126" s="43"/>
      <c r="Y126" s="43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</row>
    <row r="127" spans="1:60" ht="16">
      <c r="A127" s="41"/>
      <c r="B127" s="41"/>
      <c r="C127" s="41"/>
      <c r="D127" s="42"/>
      <c r="E127" s="43"/>
      <c r="F127" s="98"/>
      <c r="G127" s="43"/>
      <c r="H127" s="41"/>
      <c r="I127" s="43"/>
      <c r="J127" s="48"/>
      <c r="K127" s="48"/>
      <c r="L127" s="48"/>
      <c r="M127" s="48"/>
      <c r="N127" s="57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</row>
    <row r="128" spans="1:60" ht="16">
      <c r="A128" s="41"/>
      <c r="B128" s="41"/>
      <c r="C128" s="41"/>
      <c r="D128" s="42"/>
      <c r="E128" s="43"/>
      <c r="F128" s="98"/>
      <c r="G128" s="43"/>
      <c r="H128" s="41"/>
      <c r="I128" s="43"/>
      <c r="J128" s="43"/>
      <c r="K128" s="43"/>
      <c r="L128" s="43"/>
      <c r="M128" s="48"/>
      <c r="N128" s="57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</row>
    <row r="129" spans="1:60" ht="16">
      <c r="A129" s="41"/>
      <c r="B129" s="41"/>
      <c r="C129" s="41"/>
      <c r="D129" s="42"/>
      <c r="E129" s="43"/>
      <c r="F129" s="98"/>
      <c r="G129" s="43"/>
      <c r="H129" s="41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</row>
    <row r="130" spans="1:60" ht="16">
      <c r="A130" s="41"/>
      <c r="B130" s="41"/>
      <c r="C130" s="41"/>
      <c r="D130" s="42"/>
      <c r="E130" s="43"/>
      <c r="F130" s="98"/>
      <c r="G130" s="43"/>
      <c r="H130" s="41"/>
      <c r="I130" s="48"/>
      <c r="J130" s="48"/>
      <c r="K130" s="48"/>
      <c r="L130" s="48"/>
      <c r="M130" s="48"/>
      <c r="N130" s="48"/>
      <c r="O130" s="43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</row>
    <row r="131" spans="1:60" ht="16">
      <c r="A131" s="41"/>
      <c r="B131" s="41"/>
      <c r="C131" s="41"/>
      <c r="D131" s="42"/>
      <c r="E131" s="43"/>
      <c r="F131" s="98"/>
      <c r="G131" s="43"/>
      <c r="H131" s="41"/>
      <c r="I131" s="43"/>
      <c r="J131" s="43"/>
      <c r="K131" s="43"/>
      <c r="L131" s="43"/>
      <c r="M131" s="43"/>
      <c r="N131" s="43"/>
      <c r="O131" s="100"/>
      <c r="P131" s="101"/>
      <c r="Q131" s="232"/>
      <c r="R131" s="233"/>
      <c r="S131" s="233"/>
      <c r="T131" s="43"/>
      <c r="U131" s="43"/>
      <c r="V131" s="43"/>
      <c r="W131" s="43"/>
      <c r="X131" s="43"/>
      <c r="Y131" s="43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</row>
    <row r="132" spans="1:60" ht="16">
      <c r="A132" s="41"/>
      <c r="B132" s="41"/>
      <c r="C132" s="41"/>
      <c r="D132" s="42"/>
      <c r="E132" s="43"/>
      <c r="F132" s="98"/>
      <c r="G132" s="43"/>
      <c r="H132" s="41"/>
      <c r="I132" s="43"/>
      <c r="J132" s="43"/>
      <c r="K132" s="43"/>
      <c r="L132" s="43"/>
      <c r="M132" s="43"/>
      <c r="N132" s="43"/>
      <c r="O132" s="84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</row>
    <row r="133" spans="1:60" ht="16">
      <c r="A133" s="41"/>
      <c r="B133" s="41"/>
      <c r="C133" s="41"/>
      <c r="D133" s="42"/>
      <c r="E133" s="43"/>
      <c r="F133" s="98"/>
      <c r="G133" s="50"/>
      <c r="H133" s="41"/>
      <c r="I133" s="43"/>
      <c r="J133" s="43"/>
      <c r="K133" s="43"/>
      <c r="L133" s="43"/>
      <c r="M133" s="43"/>
      <c r="N133" s="43"/>
      <c r="O133" s="50"/>
      <c r="P133" s="50"/>
      <c r="Q133" s="50"/>
      <c r="R133" s="43"/>
      <c r="S133" s="43"/>
      <c r="T133" s="43"/>
      <c r="U133" s="43"/>
      <c r="V133" s="43"/>
      <c r="W133" s="43"/>
      <c r="X133" s="43"/>
      <c r="Y133" s="43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</row>
    <row r="134" spans="1:60" ht="16">
      <c r="A134" s="41"/>
      <c r="B134" s="41"/>
      <c r="C134" s="41"/>
      <c r="D134" s="42"/>
      <c r="E134" s="43"/>
      <c r="F134" s="98"/>
      <c r="G134" s="43"/>
      <c r="H134" s="41"/>
      <c r="I134" s="43"/>
      <c r="J134" s="43"/>
      <c r="K134" s="43"/>
      <c r="L134" s="43"/>
      <c r="M134" s="43"/>
      <c r="N134" s="43"/>
      <c r="O134" s="102"/>
      <c r="P134" s="57"/>
      <c r="Q134" s="50"/>
      <c r="R134" s="50"/>
      <c r="S134" s="43"/>
      <c r="T134" s="50"/>
      <c r="U134" s="43"/>
      <c r="V134" s="43"/>
      <c r="W134" s="43"/>
      <c r="X134" s="43"/>
      <c r="Y134" s="43"/>
      <c r="Z134" s="46"/>
      <c r="AA134" s="46"/>
      <c r="AB134" s="46"/>
      <c r="AC134" s="46"/>
      <c r="AD134" s="46"/>
      <c r="AE134" s="46"/>
      <c r="AF134" s="40"/>
      <c r="AG134" s="40"/>
      <c r="AH134" s="40"/>
      <c r="AI134" s="40"/>
      <c r="AJ134" s="40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</row>
    <row r="135" spans="1:60" ht="16">
      <c r="A135" s="41"/>
      <c r="B135" s="41"/>
      <c r="C135" s="41"/>
      <c r="D135" s="42"/>
      <c r="E135" s="43"/>
      <c r="F135" s="98"/>
      <c r="G135" s="43"/>
      <c r="H135" s="41"/>
      <c r="I135" s="43"/>
      <c r="J135" s="43"/>
      <c r="K135" s="43"/>
      <c r="L135" s="43"/>
      <c r="M135" s="43"/>
      <c r="N135" s="43"/>
      <c r="O135" s="57"/>
      <c r="P135" s="50"/>
      <c r="Q135" s="43"/>
      <c r="R135" s="43"/>
      <c r="S135" s="43"/>
      <c r="T135" s="43"/>
      <c r="U135" s="43"/>
      <c r="V135" s="43"/>
      <c r="W135" s="43"/>
      <c r="X135" s="43"/>
      <c r="Y135" s="43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</row>
    <row r="136" spans="1:60" ht="16">
      <c r="A136" s="41"/>
      <c r="B136" s="41"/>
      <c r="C136" s="41"/>
      <c r="D136" s="42"/>
      <c r="E136" s="43"/>
      <c r="F136" s="98"/>
      <c r="G136" s="48"/>
      <c r="H136" s="41"/>
      <c r="I136" s="48"/>
      <c r="J136" s="48"/>
      <c r="K136" s="48"/>
      <c r="L136" s="48"/>
      <c r="M136" s="48"/>
      <c r="N136" s="43"/>
      <c r="O136" s="43"/>
      <c r="P136" s="52"/>
      <c r="Q136" s="48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</row>
    <row r="137" spans="1:60" ht="16">
      <c r="A137" s="41"/>
      <c r="B137" s="41"/>
      <c r="C137" s="41"/>
      <c r="D137" s="42"/>
      <c r="E137" s="43"/>
      <c r="F137" s="98"/>
      <c r="G137" s="50"/>
      <c r="H137" s="41"/>
      <c r="I137" s="43"/>
      <c r="J137" s="43"/>
      <c r="K137" s="43"/>
      <c r="L137" s="43"/>
      <c r="M137" s="43"/>
      <c r="N137" s="43"/>
      <c r="O137" s="57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</row>
    <row r="138" spans="1:60" ht="16">
      <c r="A138" s="41"/>
      <c r="B138" s="41"/>
      <c r="C138" s="41"/>
      <c r="D138" s="42"/>
      <c r="E138" s="43"/>
      <c r="F138" s="98"/>
      <c r="G138" s="50"/>
      <c r="H138" s="41"/>
      <c r="I138" s="43"/>
      <c r="J138" s="43"/>
      <c r="K138" s="43"/>
      <c r="L138" s="43"/>
      <c r="M138" s="43"/>
      <c r="N138" s="43"/>
      <c r="O138" s="57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</row>
    <row r="139" spans="1:60" ht="16">
      <c r="A139" s="41"/>
      <c r="B139" s="41"/>
      <c r="C139" s="41"/>
      <c r="D139" s="42"/>
      <c r="E139" s="43"/>
      <c r="F139" s="98"/>
      <c r="G139" s="43"/>
      <c r="H139" s="41"/>
      <c r="I139" s="43"/>
      <c r="J139" s="43"/>
      <c r="K139" s="43"/>
      <c r="L139" s="43"/>
      <c r="M139" s="48"/>
      <c r="N139" s="57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</row>
    <row r="140" spans="1:60" ht="16">
      <c r="A140" s="41"/>
      <c r="B140" s="41"/>
      <c r="C140" s="41"/>
      <c r="D140" s="42"/>
      <c r="E140" s="43"/>
      <c r="F140" s="98"/>
      <c r="G140" s="50"/>
      <c r="H140" s="41"/>
      <c r="I140" s="43"/>
      <c r="J140" s="43"/>
      <c r="K140" s="43"/>
      <c r="L140" s="43"/>
      <c r="M140" s="43"/>
      <c r="N140" s="43"/>
      <c r="O140" s="43"/>
      <c r="P140" s="50"/>
      <c r="Q140" s="43"/>
      <c r="R140" s="43"/>
      <c r="S140" s="43"/>
      <c r="T140" s="43"/>
      <c r="U140" s="43"/>
      <c r="V140" s="43"/>
      <c r="W140" s="43"/>
      <c r="X140" s="43"/>
      <c r="Y140" s="43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</row>
    <row r="141" spans="1:60" ht="16">
      <c r="A141" s="41"/>
      <c r="B141" s="41"/>
      <c r="C141" s="41"/>
      <c r="D141" s="42"/>
      <c r="E141" s="43"/>
      <c r="F141" s="98"/>
      <c r="G141" s="43"/>
      <c r="H141" s="41"/>
      <c r="I141" s="43"/>
      <c r="J141" s="48"/>
      <c r="K141" s="48"/>
      <c r="L141" s="48"/>
      <c r="M141" s="48"/>
      <c r="N141" s="57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</row>
    <row r="142" spans="1:60" ht="16">
      <c r="A142" s="41"/>
      <c r="B142" s="41"/>
      <c r="C142" s="41"/>
      <c r="D142" s="42"/>
      <c r="E142" s="43"/>
      <c r="F142" s="98"/>
      <c r="G142" s="50"/>
      <c r="H142" s="41"/>
      <c r="I142" s="43"/>
      <c r="J142" s="103"/>
      <c r="K142" s="103"/>
      <c r="L142" s="104"/>
      <c r="M142" s="43"/>
      <c r="N142" s="43"/>
      <c r="O142" s="57"/>
      <c r="P142" s="50"/>
      <c r="Q142" s="43"/>
      <c r="R142" s="43"/>
      <c r="S142" s="43"/>
      <c r="T142" s="43"/>
      <c r="U142" s="43"/>
      <c r="V142" s="43"/>
      <c r="W142" s="43"/>
      <c r="X142" s="43"/>
      <c r="Y142" s="43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</row>
    <row r="143" spans="1:60" ht="16">
      <c r="A143" s="41"/>
      <c r="B143" s="41"/>
      <c r="C143" s="41"/>
      <c r="D143" s="42"/>
      <c r="E143" s="43"/>
      <c r="F143" s="98"/>
      <c r="G143" s="43"/>
      <c r="H143" s="41"/>
      <c r="I143" s="43"/>
      <c r="J143" s="43"/>
      <c r="K143" s="43"/>
      <c r="L143" s="43"/>
      <c r="M143" s="43"/>
      <c r="N143" s="43"/>
      <c r="O143" s="57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</row>
    <row r="144" spans="1:60" ht="16">
      <c r="A144" s="41"/>
      <c r="B144" s="41"/>
      <c r="C144" s="41"/>
      <c r="D144" s="42"/>
      <c r="E144" s="43"/>
      <c r="F144" s="98"/>
      <c r="G144" s="43"/>
      <c r="H144" s="41"/>
      <c r="I144" s="43"/>
      <c r="J144" s="43"/>
      <c r="K144" s="43"/>
      <c r="L144" s="43"/>
      <c r="M144" s="48"/>
      <c r="N144" s="43"/>
      <c r="O144" s="48"/>
      <c r="P144" s="43"/>
      <c r="Q144" s="48"/>
      <c r="R144" s="43"/>
      <c r="S144" s="43"/>
      <c r="T144" s="43"/>
      <c r="U144" s="43"/>
      <c r="V144" s="43"/>
      <c r="W144" s="43"/>
      <c r="X144" s="43"/>
      <c r="Y144" s="43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</row>
    <row r="145" spans="1:60" ht="16">
      <c r="A145" s="41"/>
      <c r="B145" s="41"/>
      <c r="C145" s="41"/>
      <c r="D145" s="42"/>
      <c r="E145" s="43"/>
      <c r="F145" s="98"/>
      <c r="G145" s="43"/>
      <c r="H145" s="41"/>
      <c r="I145" s="43"/>
      <c r="J145" s="48"/>
      <c r="K145" s="48"/>
      <c r="L145" s="48"/>
      <c r="M145" s="48"/>
      <c r="N145" s="57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</row>
    <row r="146" spans="1:60" ht="16">
      <c r="A146" s="41"/>
      <c r="B146" s="41"/>
      <c r="C146" s="41"/>
      <c r="D146" s="42"/>
      <c r="E146" s="43"/>
      <c r="F146" s="98"/>
      <c r="G146" s="43"/>
      <c r="H146" s="41"/>
      <c r="I146" s="43"/>
      <c r="J146" s="48"/>
      <c r="K146" s="48"/>
      <c r="L146" s="48"/>
      <c r="M146" s="48"/>
      <c r="N146" s="57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</row>
    <row r="147" spans="1:60" ht="16">
      <c r="A147" s="41"/>
      <c r="B147" s="41"/>
      <c r="C147" s="41"/>
      <c r="D147" s="42"/>
      <c r="E147" s="43"/>
      <c r="F147" s="98"/>
      <c r="G147" s="43"/>
      <c r="H147" s="41"/>
      <c r="I147" s="43"/>
      <c r="J147" s="57"/>
      <c r="K147" s="43"/>
      <c r="L147" s="57"/>
      <c r="M147" s="43"/>
      <c r="N147" s="43"/>
      <c r="O147" s="43"/>
      <c r="P147" s="43"/>
      <c r="Q147" s="43"/>
      <c r="R147" s="43"/>
      <c r="S147" s="50"/>
      <c r="T147" s="50"/>
      <c r="U147" s="43"/>
      <c r="V147" s="50"/>
      <c r="W147" s="43"/>
      <c r="X147" s="43"/>
      <c r="Y147" s="43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</row>
    <row r="148" spans="1:60" ht="16">
      <c r="A148" s="41"/>
      <c r="B148" s="41"/>
      <c r="C148" s="41"/>
      <c r="D148" s="42"/>
      <c r="E148" s="43"/>
      <c r="F148" s="98"/>
      <c r="G148" s="43"/>
      <c r="H148" s="41"/>
      <c r="I148" s="43"/>
      <c r="J148" s="57"/>
      <c r="K148" s="43"/>
      <c r="L148" s="57"/>
      <c r="M148" s="43"/>
      <c r="N148" s="43"/>
      <c r="O148" s="43"/>
      <c r="P148" s="43"/>
      <c r="Q148" s="43"/>
      <c r="R148" s="43"/>
      <c r="S148" s="50"/>
      <c r="T148" s="50"/>
      <c r="U148" s="43"/>
      <c r="V148" s="50"/>
      <c r="W148" s="43"/>
      <c r="X148" s="43"/>
      <c r="Y148" s="43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</row>
    <row r="149" spans="1:60" ht="16">
      <c r="A149" s="41"/>
      <c r="B149" s="41"/>
      <c r="C149" s="41"/>
      <c r="D149" s="42"/>
      <c r="E149" s="43"/>
      <c r="F149" s="98"/>
      <c r="G149" s="48"/>
      <c r="H149" s="41"/>
      <c r="I149" s="48"/>
      <c r="J149" s="48"/>
      <c r="K149" s="48"/>
      <c r="L149" s="48"/>
      <c r="M149" s="48"/>
      <c r="N149" s="43"/>
      <c r="O149" s="102"/>
      <c r="P149" s="48"/>
      <c r="Q149" s="48"/>
      <c r="R149" s="43"/>
      <c r="S149" s="43"/>
      <c r="T149" s="43"/>
      <c r="U149" s="43"/>
      <c r="V149" s="43"/>
      <c r="W149" s="43"/>
      <c r="X149" s="43"/>
      <c r="Y149" s="43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</row>
    <row r="150" spans="1:60" ht="16">
      <c r="A150" s="41"/>
      <c r="B150" s="41"/>
      <c r="C150" s="41"/>
      <c r="D150" s="42"/>
      <c r="E150" s="48"/>
      <c r="F150" s="98"/>
      <c r="G150" s="43"/>
      <c r="H150" s="41"/>
      <c r="I150" s="43"/>
      <c r="J150" s="48"/>
      <c r="K150" s="43"/>
      <c r="L150" s="48"/>
      <c r="M150" s="57"/>
      <c r="N150" s="57"/>
      <c r="O150" s="57"/>
      <c r="P150" s="50"/>
      <c r="Q150" s="57"/>
      <c r="R150" s="57"/>
      <c r="S150" s="43"/>
      <c r="T150" s="43"/>
      <c r="U150" s="43"/>
      <c r="V150" s="43"/>
      <c r="W150" s="43"/>
      <c r="X150" s="43"/>
      <c r="Y150" s="43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</row>
    <row r="151" spans="1:60" ht="16">
      <c r="A151" s="41"/>
      <c r="B151" s="41"/>
      <c r="C151" s="41"/>
      <c r="D151" s="42"/>
      <c r="E151" s="43"/>
      <c r="F151" s="98"/>
      <c r="G151" s="43"/>
      <c r="H151" s="41"/>
      <c r="I151" s="43"/>
      <c r="J151" s="48"/>
      <c r="K151" s="48"/>
      <c r="L151" s="48"/>
      <c r="M151" s="48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</row>
    <row r="152" spans="1:60" ht="16">
      <c r="A152" s="41"/>
      <c r="B152" s="41"/>
      <c r="C152" s="105"/>
      <c r="D152" s="42"/>
      <c r="E152" s="43"/>
      <c r="F152" s="106"/>
      <c r="G152" s="43"/>
      <c r="H152" s="41"/>
      <c r="I152" s="43"/>
      <c r="J152" s="43"/>
      <c r="K152" s="52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</row>
    <row r="153" spans="1:60" ht="16">
      <c r="A153" s="41"/>
      <c r="B153" s="41"/>
      <c r="C153" s="105"/>
      <c r="D153" s="42"/>
      <c r="E153" s="43"/>
      <c r="F153" s="106"/>
      <c r="G153" s="43"/>
      <c r="H153" s="41"/>
      <c r="I153" s="48"/>
      <c r="J153" s="48"/>
      <c r="K153" s="48"/>
      <c r="L153" s="48"/>
      <c r="M153" s="48"/>
      <c r="N153" s="48"/>
      <c r="O153" s="43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</row>
    <row r="154" spans="1:60" ht="16">
      <c r="A154" s="41"/>
      <c r="B154" s="41"/>
      <c r="C154" s="105"/>
      <c r="D154" s="107"/>
      <c r="E154" s="52"/>
      <c r="F154" s="106"/>
      <c r="G154" s="43"/>
      <c r="H154" s="41"/>
      <c r="I154" s="103"/>
      <c r="J154" s="103"/>
      <c r="K154" s="43"/>
      <c r="L154" s="104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</row>
    <row r="155" spans="1:60" ht="16">
      <c r="A155" s="41"/>
      <c r="B155" s="41"/>
      <c r="C155" s="105"/>
      <c r="D155" s="42"/>
      <c r="E155" s="43"/>
      <c r="F155" s="106"/>
      <c r="G155" s="43"/>
      <c r="H155" s="41"/>
      <c r="I155" s="50"/>
      <c r="J155" s="52"/>
      <c r="K155" s="52"/>
      <c r="L155" s="52"/>
      <c r="M155" s="43"/>
      <c r="N155" s="52"/>
      <c r="O155" s="56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</row>
    <row r="156" spans="1:60" ht="16">
      <c r="A156" s="41"/>
      <c r="B156" s="41"/>
      <c r="C156" s="105"/>
      <c r="D156" s="42"/>
      <c r="E156" s="43"/>
      <c r="F156" s="108"/>
      <c r="G156" s="43"/>
      <c r="H156" s="41"/>
      <c r="I156" s="43"/>
      <c r="J156" s="43"/>
      <c r="K156" s="43"/>
      <c r="L156" s="43"/>
      <c r="M156" s="43"/>
      <c r="N156" s="43"/>
      <c r="O156" s="43"/>
      <c r="P156" s="43"/>
      <c r="Q156" s="56"/>
      <c r="R156" s="43"/>
      <c r="S156" s="43"/>
      <c r="T156" s="43"/>
      <c r="U156" s="43"/>
      <c r="V156" s="43"/>
      <c r="W156" s="43"/>
      <c r="X156" s="43"/>
      <c r="Y156" s="43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</row>
    <row r="157" spans="1:60" ht="16">
      <c r="A157" s="41"/>
      <c r="B157" s="41"/>
      <c r="C157" s="105"/>
      <c r="D157" s="42"/>
      <c r="E157" s="43"/>
      <c r="F157" s="106"/>
      <c r="G157" s="43"/>
      <c r="H157" s="41"/>
      <c r="I157" s="43"/>
      <c r="J157" s="43"/>
      <c r="K157" s="43"/>
      <c r="L157" s="43"/>
      <c r="M157" s="43"/>
      <c r="N157" s="43"/>
      <c r="O157" s="43"/>
      <c r="P157" s="56"/>
      <c r="Q157" s="43"/>
      <c r="R157" s="43"/>
      <c r="S157" s="43"/>
      <c r="T157" s="43"/>
      <c r="U157" s="43"/>
      <c r="V157" s="43"/>
      <c r="W157" s="43"/>
      <c r="X157" s="43"/>
      <c r="Y157" s="43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</row>
    <row r="158" spans="1:60" ht="16">
      <c r="A158" s="41"/>
      <c r="B158" s="41"/>
      <c r="C158" s="105"/>
      <c r="D158" s="42"/>
      <c r="E158" s="43"/>
      <c r="F158" s="106"/>
      <c r="G158" s="50"/>
      <c r="H158" s="41"/>
      <c r="I158" s="43"/>
      <c r="J158" s="43"/>
      <c r="K158" s="43"/>
      <c r="L158" s="43"/>
      <c r="M158" s="43"/>
      <c r="N158" s="43"/>
      <c r="O158" s="43"/>
      <c r="P158" s="50"/>
      <c r="Q158" s="43"/>
      <c r="R158" s="43"/>
      <c r="S158" s="43"/>
      <c r="T158" s="43"/>
      <c r="U158" s="43"/>
      <c r="V158" s="43"/>
      <c r="W158" s="43"/>
      <c r="X158" s="43"/>
      <c r="Y158" s="43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</row>
    <row r="159" spans="1:60" ht="16">
      <c r="A159" s="41"/>
      <c r="B159" s="41"/>
      <c r="C159" s="105"/>
      <c r="D159" s="42"/>
      <c r="E159" s="43"/>
      <c r="F159" s="106"/>
      <c r="G159" s="50"/>
      <c r="H159" s="41"/>
      <c r="I159" s="43"/>
      <c r="J159" s="43"/>
      <c r="K159" s="43"/>
      <c r="L159" s="43"/>
      <c r="M159" s="43"/>
      <c r="N159" s="43"/>
      <c r="O159" s="43"/>
      <c r="P159" s="50"/>
      <c r="Q159" s="43"/>
      <c r="R159" s="43"/>
      <c r="S159" s="43"/>
      <c r="T159" s="43"/>
      <c r="U159" s="43"/>
      <c r="V159" s="43"/>
      <c r="W159" s="43"/>
      <c r="X159" s="43"/>
      <c r="Y159" s="43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</row>
    <row r="160" spans="1:60" ht="16">
      <c r="A160" s="41"/>
      <c r="B160" s="41"/>
      <c r="C160" s="105"/>
      <c r="D160" s="42"/>
      <c r="E160" s="43"/>
      <c r="F160" s="106"/>
      <c r="G160" s="43"/>
      <c r="H160" s="41"/>
      <c r="I160" s="43"/>
      <c r="J160" s="48"/>
      <c r="K160" s="48"/>
      <c r="L160" s="48"/>
      <c r="M160" s="48"/>
      <c r="N160" s="57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</row>
    <row r="161" spans="1:60" ht="16">
      <c r="A161" s="41"/>
      <c r="B161" s="41"/>
      <c r="C161" s="105"/>
      <c r="D161" s="42"/>
      <c r="E161" s="43"/>
      <c r="F161" s="106"/>
      <c r="G161" s="43"/>
      <c r="H161" s="41"/>
      <c r="I161" s="43"/>
      <c r="J161" s="43"/>
      <c r="K161" s="43"/>
      <c r="L161" s="43"/>
      <c r="M161" s="43"/>
      <c r="N161" s="43"/>
      <c r="O161" s="57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</row>
    <row r="162" spans="1:60" ht="16">
      <c r="A162" s="41"/>
      <c r="B162" s="41"/>
      <c r="C162" s="105"/>
      <c r="D162" s="42"/>
      <c r="E162" s="48"/>
      <c r="F162" s="106"/>
      <c r="G162" s="43"/>
      <c r="H162" s="41"/>
      <c r="I162" s="43"/>
      <c r="J162" s="48"/>
      <c r="K162" s="43"/>
      <c r="L162" s="48"/>
      <c r="M162" s="57"/>
      <c r="N162" s="57"/>
      <c r="O162" s="58"/>
      <c r="P162" s="58"/>
      <c r="Q162" s="58"/>
      <c r="R162" s="58"/>
      <c r="S162" s="58"/>
      <c r="T162" s="58"/>
      <c r="U162" s="43"/>
      <c r="V162" s="43"/>
      <c r="W162" s="43"/>
      <c r="X162" s="43"/>
      <c r="Y162" s="43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</row>
    <row r="163" spans="1:60" ht="16">
      <c r="A163" s="41"/>
      <c r="B163" s="41"/>
      <c r="C163" s="105"/>
      <c r="D163" s="42"/>
      <c r="E163" s="43"/>
      <c r="F163" s="106"/>
      <c r="G163" s="43"/>
      <c r="H163" s="41"/>
      <c r="I163" s="43"/>
      <c r="J163" s="48"/>
      <c r="K163" s="48"/>
      <c r="L163" s="48"/>
      <c r="M163" s="43"/>
      <c r="N163" s="43"/>
      <c r="O163" s="56"/>
      <c r="P163" s="50"/>
      <c r="Q163" s="49"/>
      <c r="R163" s="43"/>
      <c r="S163" s="43"/>
      <c r="T163" s="43"/>
      <c r="U163" s="43"/>
      <c r="V163" s="43"/>
      <c r="W163" s="43"/>
      <c r="X163" s="43"/>
      <c r="Y163" s="43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</row>
    <row r="164" spans="1:60" ht="16">
      <c r="A164" s="41"/>
      <c r="B164" s="41"/>
      <c r="C164" s="105"/>
      <c r="D164" s="42"/>
      <c r="E164" s="43"/>
      <c r="F164" s="106"/>
      <c r="G164" s="50"/>
      <c r="H164" s="41"/>
      <c r="I164" s="43"/>
      <c r="J164" s="103"/>
      <c r="K164" s="103"/>
      <c r="L164" s="104"/>
      <c r="M164" s="43"/>
      <c r="N164" s="43"/>
      <c r="O164" s="57"/>
      <c r="P164" s="50"/>
      <c r="Q164" s="49"/>
      <c r="R164" s="43"/>
      <c r="S164" s="43"/>
      <c r="T164" s="43"/>
      <c r="U164" s="43"/>
      <c r="V164" s="43"/>
      <c r="W164" s="43"/>
      <c r="X164" s="43"/>
      <c r="Y164" s="43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</row>
    <row r="165" spans="1:60" ht="16">
      <c r="A165" s="41"/>
      <c r="B165" s="41"/>
      <c r="C165" s="105"/>
      <c r="D165" s="42"/>
      <c r="E165" s="43"/>
      <c r="F165" s="106"/>
      <c r="G165" s="50"/>
      <c r="H165" s="41"/>
      <c r="I165" s="43"/>
      <c r="J165" s="43"/>
      <c r="K165" s="43"/>
      <c r="L165" s="43"/>
      <c r="M165" s="43"/>
      <c r="N165" s="43"/>
      <c r="O165" s="56"/>
      <c r="P165" s="43"/>
      <c r="Q165" s="49"/>
      <c r="R165" s="43"/>
      <c r="S165" s="43"/>
      <c r="T165" s="43"/>
      <c r="U165" s="43"/>
      <c r="V165" s="43"/>
      <c r="W165" s="43"/>
      <c r="X165" s="43"/>
      <c r="Y165" s="43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</row>
    <row r="166" spans="1:60" ht="16">
      <c r="A166" s="41"/>
      <c r="B166" s="41"/>
      <c r="C166" s="105"/>
      <c r="D166" s="42"/>
      <c r="E166" s="43"/>
      <c r="F166" s="106"/>
      <c r="G166" s="50"/>
      <c r="H166" s="41"/>
      <c r="I166" s="43"/>
      <c r="J166" s="43"/>
      <c r="K166" s="43"/>
      <c r="L166" s="43"/>
      <c r="M166" s="43"/>
      <c r="N166" s="43"/>
      <c r="O166" s="56"/>
      <c r="P166" s="43"/>
      <c r="Q166" s="49"/>
      <c r="R166" s="43"/>
      <c r="S166" s="43"/>
      <c r="T166" s="43"/>
      <c r="U166" s="43"/>
      <c r="V166" s="43"/>
      <c r="W166" s="43"/>
      <c r="X166" s="43"/>
      <c r="Y166" s="43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</row>
    <row r="167" spans="1:60" ht="16">
      <c r="A167" s="41"/>
      <c r="B167" s="41"/>
      <c r="C167" s="105"/>
      <c r="D167" s="42"/>
      <c r="E167" s="43"/>
      <c r="F167" s="106"/>
      <c r="G167" s="43"/>
      <c r="H167" s="41"/>
      <c r="I167" s="43"/>
      <c r="J167" s="48"/>
      <c r="K167" s="48"/>
      <c r="L167" s="48"/>
      <c r="M167" s="48"/>
      <c r="N167" s="57"/>
      <c r="O167" s="43"/>
      <c r="P167" s="43"/>
      <c r="Q167" s="49"/>
      <c r="R167" s="43"/>
      <c r="S167" s="43"/>
      <c r="T167" s="43"/>
      <c r="U167" s="43"/>
      <c r="V167" s="43"/>
      <c r="W167" s="43"/>
      <c r="X167" s="43"/>
      <c r="Y167" s="43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</row>
    <row r="168" spans="1:60" ht="16">
      <c r="A168" s="41"/>
      <c r="B168" s="41"/>
      <c r="C168" s="105"/>
      <c r="D168" s="42"/>
      <c r="E168" s="43"/>
      <c r="F168" s="109"/>
      <c r="G168" s="43"/>
      <c r="H168" s="41"/>
      <c r="I168" s="43"/>
      <c r="J168" s="43"/>
      <c r="K168" s="43"/>
      <c r="L168" s="43"/>
      <c r="M168" s="43"/>
      <c r="N168" s="43"/>
      <c r="O168" s="56"/>
      <c r="P168" s="43"/>
      <c r="Q168" s="43"/>
      <c r="R168" s="43"/>
      <c r="S168" s="50"/>
      <c r="T168" s="50"/>
      <c r="U168" s="43"/>
      <c r="V168" s="43"/>
      <c r="W168" s="43"/>
      <c r="X168" s="43"/>
      <c r="Y168" s="43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</row>
    <row r="169" spans="1:60" ht="16">
      <c r="A169" s="41"/>
      <c r="B169" s="41"/>
      <c r="C169" s="105"/>
      <c r="D169" s="42"/>
      <c r="E169" s="43"/>
      <c r="F169" s="106"/>
      <c r="G169" s="48"/>
      <c r="H169" s="41"/>
      <c r="I169" s="48"/>
      <c r="J169" s="48"/>
      <c r="K169" s="48"/>
      <c r="L169" s="48"/>
      <c r="M169" s="48"/>
      <c r="N169" s="43"/>
      <c r="O169" s="57"/>
      <c r="P169" s="48"/>
      <c r="Q169" s="48"/>
      <c r="R169" s="43"/>
      <c r="S169" s="43"/>
      <c r="T169" s="43"/>
      <c r="U169" s="43"/>
      <c r="V169" s="43"/>
      <c r="W169" s="43"/>
      <c r="X169" s="43"/>
      <c r="Y169" s="43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</row>
    <row r="170" spans="1:60" ht="16">
      <c r="A170" s="41"/>
      <c r="B170" s="41"/>
      <c r="C170" s="105"/>
      <c r="D170" s="42"/>
      <c r="E170" s="43"/>
      <c r="F170" s="109"/>
      <c r="G170" s="43"/>
      <c r="H170" s="41"/>
      <c r="I170" s="110"/>
      <c r="J170" s="43"/>
      <c r="K170" s="43"/>
      <c r="L170" s="43"/>
      <c r="M170" s="43"/>
      <c r="N170" s="43"/>
      <c r="O170" s="56"/>
      <c r="P170" s="56"/>
      <c r="Q170" s="56"/>
      <c r="R170" s="47"/>
      <c r="S170" s="47"/>
      <c r="T170" s="49"/>
      <c r="U170" s="49"/>
      <c r="V170" s="43"/>
      <c r="W170" s="43"/>
      <c r="X170" s="43"/>
      <c r="Y170" s="43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</row>
    <row r="171" spans="1:60" ht="16">
      <c r="A171" s="41"/>
      <c r="B171" s="41"/>
      <c r="C171" s="41"/>
      <c r="D171" s="42"/>
      <c r="E171" s="43"/>
      <c r="F171" s="43"/>
      <c r="G171" s="43"/>
      <c r="H171" s="41"/>
      <c r="I171" s="110"/>
      <c r="J171" s="43"/>
      <c r="K171" s="43"/>
      <c r="L171" s="43"/>
      <c r="M171" s="43"/>
      <c r="N171" s="43"/>
      <c r="O171" s="49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</row>
    <row r="172" spans="1:60" ht="16">
      <c r="A172" s="41"/>
      <c r="B172" s="41"/>
      <c r="C172" s="41"/>
      <c r="D172" s="42"/>
      <c r="E172" s="43"/>
      <c r="F172" s="98"/>
      <c r="G172" s="50"/>
      <c r="H172" s="41"/>
      <c r="I172" s="43"/>
      <c r="J172" s="43"/>
      <c r="K172" s="43"/>
      <c r="L172" s="43"/>
      <c r="M172" s="43"/>
      <c r="N172" s="43"/>
      <c r="O172" s="49"/>
      <c r="P172" s="50"/>
      <c r="Q172" s="43"/>
      <c r="R172" s="43"/>
      <c r="S172" s="43"/>
      <c r="T172" s="43"/>
      <c r="U172" s="43"/>
      <c r="V172" s="43"/>
      <c r="W172" s="43"/>
      <c r="X172" s="43"/>
      <c r="Y172" s="43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</row>
    <row r="173" spans="1:60" ht="16">
      <c r="A173" s="41"/>
      <c r="B173" s="41"/>
      <c r="C173" s="41"/>
      <c r="D173" s="42"/>
      <c r="E173" s="43"/>
      <c r="F173" s="43"/>
      <c r="G173" s="43"/>
      <c r="H173" s="41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</row>
    <row r="174" spans="1:60" ht="16">
      <c r="A174" s="41"/>
      <c r="B174" s="41"/>
      <c r="C174" s="41"/>
      <c r="D174" s="42"/>
      <c r="E174" s="43"/>
      <c r="F174" s="43"/>
      <c r="G174" s="43"/>
      <c r="H174" s="41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</row>
    <row r="175" spans="1:60" ht="16">
      <c r="A175" s="41"/>
      <c r="B175" s="41"/>
      <c r="C175" s="41"/>
      <c r="D175" s="42"/>
      <c r="E175" s="43"/>
      <c r="F175" s="43"/>
      <c r="G175" s="43"/>
      <c r="H175" s="41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</row>
    <row r="176" spans="1:60" ht="16">
      <c r="A176" s="41"/>
      <c r="B176" s="41"/>
      <c r="C176" s="41"/>
      <c r="D176" s="42"/>
      <c r="E176" s="43"/>
      <c r="F176" s="43"/>
      <c r="G176" s="43"/>
      <c r="H176" s="41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</row>
    <row r="177" spans="1:60" ht="16">
      <c r="A177" s="41"/>
      <c r="B177" s="41"/>
      <c r="C177" s="41"/>
      <c r="D177" s="42"/>
      <c r="E177" s="43"/>
      <c r="F177" s="43"/>
      <c r="G177" s="43"/>
      <c r="H177" s="41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</row>
    <row r="178" spans="1:60" ht="16">
      <c r="A178" s="41"/>
      <c r="B178" s="41"/>
      <c r="C178" s="41"/>
      <c r="D178" s="42"/>
      <c r="E178" s="43"/>
      <c r="F178" s="43"/>
      <c r="G178" s="43"/>
      <c r="H178" s="41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</row>
    <row r="179" spans="1:60" ht="16">
      <c r="A179" s="41"/>
      <c r="B179" s="41"/>
      <c r="C179" s="41"/>
      <c r="D179" s="42"/>
      <c r="E179" s="43"/>
      <c r="F179" s="43"/>
      <c r="G179" s="43"/>
      <c r="H179" s="41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</row>
    <row r="180" spans="1:60" ht="16">
      <c r="A180" s="41"/>
      <c r="B180" s="41"/>
      <c r="C180" s="41"/>
      <c r="D180" s="42"/>
      <c r="E180" s="43"/>
      <c r="F180" s="43"/>
      <c r="G180" s="43"/>
      <c r="H180" s="41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</row>
    <row r="181" spans="1:60" ht="16">
      <c r="A181" s="41"/>
      <c r="B181" s="41"/>
      <c r="C181" s="41"/>
      <c r="D181" s="42"/>
      <c r="E181" s="43"/>
      <c r="F181" s="43"/>
      <c r="G181" s="43"/>
      <c r="H181" s="41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</row>
    <row r="182" spans="1:60" ht="16">
      <c r="A182" s="41"/>
      <c r="B182" s="41"/>
      <c r="C182" s="41"/>
      <c r="D182" s="42"/>
      <c r="E182" s="43"/>
      <c r="F182" s="43"/>
      <c r="G182" s="43"/>
      <c r="H182" s="41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</row>
    <row r="183" spans="1:60" ht="16">
      <c r="A183" s="41"/>
      <c r="B183" s="41"/>
      <c r="C183" s="41"/>
      <c r="D183" s="42"/>
      <c r="E183" s="43"/>
      <c r="F183" s="43"/>
      <c r="G183" s="43"/>
      <c r="H183" s="41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</row>
    <row r="184" spans="1:60" ht="16">
      <c r="A184" s="41"/>
      <c r="B184" s="41"/>
      <c r="C184" s="41"/>
      <c r="D184" s="42"/>
      <c r="E184" s="43"/>
      <c r="F184" s="43"/>
      <c r="G184" s="43"/>
      <c r="H184" s="41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</row>
    <row r="185" spans="1:60" ht="16">
      <c r="A185" s="41"/>
      <c r="B185" s="41"/>
      <c r="C185" s="41"/>
      <c r="D185" s="42"/>
      <c r="E185" s="43"/>
      <c r="F185" s="43"/>
      <c r="G185" s="43"/>
      <c r="H185" s="41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</row>
    <row r="186" spans="1:60" ht="16">
      <c r="A186" s="41"/>
      <c r="B186" s="41"/>
      <c r="C186" s="41"/>
      <c r="D186" s="42"/>
      <c r="E186" s="43"/>
      <c r="F186" s="43"/>
      <c r="G186" s="43"/>
      <c r="H186" s="41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</row>
    <row r="187" spans="1:60" ht="16">
      <c r="A187" s="41"/>
      <c r="B187" s="41"/>
      <c r="C187" s="41"/>
      <c r="D187" s="42"/>
      <c r="E187" s="43"/>
      <c r="F187" s="43"/>
      <c r="G187" s="43"/>
      <c r="H187" s="41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</row>
    <row r="188" spans="1:60" ht="16">
      <c r="A188" s="41"/>
      <c r="B188" s="41"/>
      <c r="C188" s="41"/>
      <c r="D188" s="42"/>
      <c r="E188" s="43"/>
      <c r="F188" s="43"/>
      <c r="G188" s="43"/>
      <c r="H188" s="41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</row>
    <row r="189" spans="1:60" ht="16">
      <c r="A189" s="41"/>
      <c r="B189" s="41"/>
      <c r="C189" s="41"/>
      <c r="D189" s="42"/>
      <c r="E189" s="43"/>
      <c r="F189" s="43"/>
      <c r="G189" s="43"/>
      <c r="H189" s="41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</row>
    <row r="190" spans="1:60" ht="16">
      <c r="A190" s="41"/>
      <c r="B190" s="41"/>
      <c r="C190" s="41"/>
      <c r="D190" s="42"/>
      <c r="E190" s="43"/>
      <c r="F190" s="43"/>
      <c r="G190" s="43"/>
      <c r="H190" s="41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</row>
    <row r="191" spans="1:60" ht="16">
      <c r="A191" s="41"/>
      <c r="B191" s="41"/>
      <c r="C191" s="41"/>
      <c r="D191" s="42"/>
      <c r="E191" s="43"/>
      <c r="F191" s="43"/>
      <c r="G191" s="43"/>
      <c r="H191" s="41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</row>
    <row r="192" spans="1:60" ht="16">
      <c r="A192" s="41"/>
      <c r="B192" s="41"/>
      <c r="C192" s="41"/>
      <c r="D192" s="42"/>
      <c r="E192" s="43"/>
      <c r="F192" s="43"/>
      <c r="G192" s="43"/>
      <c r="H192" s="41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</row>
    <row r="193" spans="1:60" ht="16">
      <c r="A193" s="41"/>
      <c r="B193" s="41"/>
      <c r="C193" s="41"/>
      <c r="D193" s="42"/>
      <c r="E193" s="43"/>
      <c r="F193" s="43"/>
      <c r="G193" s="43"/>
      <c r="H193" s="41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</row>
    <row r="194" spans="1:60" ht="16">
      <c r="A194" s="41"/>
      <c r="B194" s="41"/>
      <c r="C194" s="41"/>
      <c r="D194" s="42"/>
      <c r="E194" s="43"/>
      <c r="F194" s="43"/>
      <c r="G194" s="43"/>
      <c r="H194" s="41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</row>
    <row r="195" spans="1:60" ht="16">
      <c r="A195" s="41"/>
      <c r="B195" s="41"/>
      <c r="C195" s="41"/>
      <c r="D195" s="42"/>
      <c r="E195" s="43"/>
      <c r="F195" s="43"/>
      <c r="G195" s="43"/>
      <c r="H195" s="41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</row>
    <row r="196" spans="1:60" ht="16">
      <c r="A196" s="41"/>
      <c r="B196" s="41"/>
      <c r="C196" s="41"/>
      <c r="D196" s="42"/>
      <c r="E196" s="43"/>
      <c r="F196" s="43"/>
      <c r="G196" s="43"/>
      <c r="H196" s="41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</row>
    <row r="197" spans="1:60" ht="16">
      <c r="A197" s="41"/>
      <c r="B197" s="41"/>
      <c r="C197" s="41"/>
      <c r="D197" s="42"/>
      <c r="E197" s="43"/>
      <c r="F197" s="43"/>
      <c r="G197" s="43"/>
      <c r="H197" s="41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</row>
    <row r="198" spans="1:60" ht="16">
      <c r="A198" s="41"/>
      <c r="B198" s="41"/>
      <c r="C198" s="41"/>
      <c r="D198" s="42"/>
      <c r="E198" s="43"/>
      <c r="F198" s="43"/>
      <c r="G198" s="43"/>
      <c r="H198" s="41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</row>
    <row r="199" spans="1:60" ht="16">
      <c r="A199" s="41"/>
      <c r="B199" s="41"/>
      <c r="C199" s="41"/>
      <c r="D199" s="42"/>
      <c r="E199" s="43"/>
      <c r="F199" s="43"/>
      <c r="G199" s="43"/>
      <c r="H199" s="41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</row>
    <row r="200" spans="1:60" ht="16">
      <c r="A200" s="41"/>
      <c r="B200" s="41"/>
      <c r="C200" s="41"/>
      <c r="D200" s="42"/>
      <c r="E200" s="43"/>
      <c r="F200" s="43"/>
      <c r="G200" s="43"/>
      <c r="H200" s="41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</row>
    <row r="201" spans="1:60" ht="16">
      <c r="A201" s="41"/>
      <c r="B201" s="41"/>
      <c r="C201" s="41"/>
      <c r="D201" s="42"/>
      <c r="E201" s="43"/>
      <c r="F201" s="43"/>
      <c r="G201" s="43"/>
      <c r="H201" s="41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</row>
    <row r="202" spans="1:60" ht="16">
      <c r="A202" s="41"/>
      <c r="B202" s="41"/>
      <c r="C202" s="41"/>
      <c r="D202" s="42"/>
      <c r="E202" s="43"/>
      <c r="F202" s="43"/>
      <c r="G202" s="43"/>
      <c r="H202" s="41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</row>
    <row r="203" spans="1:60" ht="16">
      <c r="A203" s="41"/>
      <c r="B203" s="41"/>
      <c r="C203" s="41"/>
      <c r="D203" s="42"/>
      <c r="E203" s="43"/>
      <c r="F203" s="43"/>
      <c r="G203" s="43"/>
      <c r="H203" s="41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</row>
    <row r="204" spans="1:60" ht="16">
      <c r="A204" s="41"/>
      <c r="B204" s="41"/>
      <c r="C204" s="41"/>
      <c r="D204" s="42"/>
      <c r="E204" s="43"/>
      <c r="F204" s="43"/>
      <c r="G204" s="43"/>
      <c r="H204" s="41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</row>
    <row r="205" spans="1:60" ht="16">
      <c r="A205" s="41"/>
      <c r="B205" s="41"/>
      <c r="C205" s="41"/>
      <c r="D205" s="42"/>
      <c r="E205" s="43"/>
      <c r="F205" s="43"/>
      <c r="G205" s="43"/>
      <c r="H205" s="41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</row>
    <row r="206" spans="1:60" ht="16">
      <c r="A206" s="41"/>
      <c r="B206" s="41"/>
      <c r="C206" s="41"/>
      <c r="D206" s="42"/>
      <c r="E206" s="43"/>
      <c r="F206" s="43"/>
      <c r="G206" s="43"/>
      <c r="H206" s="41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</row>
    <row r="207" spans="1:60" ht="16">
      <c r="A207" s="41"/>
      <c r="B207" s="41"/>
      <c r="C207" s="41"/>
      <c r="D207" s="42"/>
      <c r="E207" s="43"/>
      <c r="F207" s="43"/>
      <c r="G207" s="43"/>
      <c r="H207" s="41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</row>
    <row r="208" spans="1:60" ht="16">
      <c r="A208" s="41"/>
      <c r="B208" s="41"/>
      <c r="C208" s="41"/>
      <c r="D208" s="42"/>
      <c r="E208" s="43"/>
      <c r="F208" s="43"/>
      <c r="G208" s="43"/>
      <c r="H208" s="41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</row>
    <row r="209" spans="1:60" ht="16">
      <c r="A209" s="41"/>
      <c r="B209" s="41"/>
      <c r="C209" s="41"/>
      <c r="D209" s="42"/>
      <c r="E209" s="43"/>
      <c r="F209" s="43"/>
      <c r="G209" s="43"/>
      <c r="H209" s="41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</row>
    <row r="210" spans="1:60" ht="16">
      <c r="A210" s="41"/>
      <c r="B210" s="41"/>
      <c r="C210" s="41"/>
      <c r="D210" s="42"/>
      <c r="E210" s="43"/>
      <c r="F210" s="43"/>
      <c r="G210" s="43"/>
      <c r="H210" s="41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</row>
    <row r="211" spans="1:60" ht="16">
      <c r="A211" s="41"/>
      <c r="B211" s="41"/>
      <c r="C211" s="41"/>
      <c r="D211" s="42"/>
      <c r="E211" s="43"/>
      <c r="F211" s="43"/>
      <c r="G211" s="43"/>
      <c r="H211" s="41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</row>
    <row r="212" spans="1:60" ht="16">
      <c r="A212" s="41"/>
      <c r="B212" s="41"/>
      <c r="C212" s="41"/>
      <c r="D212" s="42"/>
      <c r="E212" s="43"/>
      <c r="F212" s="43"/>
      <c r="G212" s="43"/>
      <c r="H212" s="41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</row>
    <row r="213" spans="1:60" ht="16">
      <c r="A213" s="41"/>
      <c r="B213" s="41"/>
      <c r="C213" s="41"/>
      <c r="D213" s="42"/>
      <c r="E213" s="43"/>
      <c r="F213" s="43"/>
      <c r="G213" s="43"/>
      <c r="H213" s="41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</row>
    <row r="214" spans="1:60" ht="16">
      <c r="A214" s="41"/>
      <c r="B214" s="41"/>
      <c r="C214" s="41"/>
      <c r="D214" s="42"/>
      <c r="E214" s="43"/>
      <c r="F214" s="43"/>
      <c r="G214" s="43"/>
      <c r="H214" s="41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</row>
    <row r="215" spans="1:60" ht="16">
      <c r="A215" s="41"/>
      <c r="B215" s="41"/>
      <c r="C215" s="41"/>
      <c r="D215" s="42"/>
      <c r="E215" s="43"/>
      <c r="F215" s="43"/>
      <c r="G215" s="43"/>
      <c r="H215" s="41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</row>
    <row r="216" spans="1:60" ht="16">
      <c r="A216" s="41"/>
      <c r="B216" s="41"/>
      <c r="C216" s="41"/>
      <c r="D216" s="42"/>
      <c r="E216" s="43"/>
      <c r="F216" s="43"/>
      <c r="G216" s="43"/>
      <c r="H216" s="41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</row>
    <row r="217" spans="1:60" ht="16">
      <c r="A217" s="41"/>
      <c r="B217" s="41"/>
      <c r="C217" s="41"/>
      <c r="D217" s="42"/>
      <c r="E217" s="43"/>
      <c r="F217" s="43"/>
      <c r="G217" s="43"/>
      <c r="H217" s="41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</row>
    <row r="218" spans="1:60" ht="16">
      <c r="A218" s="41"/>
      <c r="B218" s="41"/>
      <c r="C218" s="41"/>
      <c r="D218" s="42"/>
      <c r="E218" s="43"/>
      <c r="F218" s="43"/>
      <c r="G218" s="43"/>
      <c r="H218" s="41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</row>
    <row r="219" spans="1:60" ht="16">
      <c r="A219" s="41"/>
      <c r="B219" s="41"/>
      <c r="C219" s="41"/>
      <c r="D219" s="42"/>
      <c r="E219" s="43"/>
      <c r="F219" s="43"/>
      <c r="G219" s="43"/>
      <c r="H219" s="41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</row>
    <row r="220" spans="1:60" ht="16">
      <c r="A220" s="41"/>
      <c r="B220" s="41"/>
      <c r="C220" s="41"/>
      <c r="D220" s="42"/>
      <c r="E220" s="43"/>
      <c r="F220" s="43"/>
      <c r="G220" s="43"/>
      <c r="H220" s="41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</row>
    <row r="221" spans="1:60" ht="16">
      <c r="A221" s="41"/>
      <c r="B221" s="41"/>
      <c r="C221" s="41"/>
      <c r="D221" s="42"/>
      <c r="E221" s="43"/>
      <c r="F221" s="43"/>
      <c r="G221" s="43"/>
      <c r="H221" s="41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</row>
    <row r="222" spans="1:60" ht="16">
      <c r="A222" s="41"/>
      <c r="B222" s="41"/>
      <c r="C222" s="41"/>
      <c r="D222" s="42"/>
      <c r="E222" s="43"/>
      <c r="F222" s="43"/>
      <c r="G222" s="43"/>
      <c r="H222" s="41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</row>
    <row r="223" spans="1:60" ht="16">
      <c r="A223" s="41"/>
      <c r="B223" s="41"/>
      <c r="C223" s="41"/>
      <c r="D223" s="42"/>
      <c r="E223" s="43"/>
      <c r="F223" s="43"/>
      <c r="G223" s="43"/>
      <c r="H223" s="41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</row>
    <row r="224" spans="1:60" ht="16">
      <c r="A224" s="41"/>
      <c r="B224" s="41"/>
      <c r="C224" s="41"/>
      <c r="D224" s="42"/>
      <c r="E224" s="43"/>
      <c r="F224" s="43"/>
      <c r="G224" s="43"/>
      <c r="H224" s="41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</row>
    <row r="225" spans="1:60" ht="16">
      <c r="A225" s="41"/>
      <c r="B225" s="41"/>
      <c r="C225" s="41"/>
      <c r="D225" s="42"/>
      <c r="E225" s="43"/>
      <c r="F225" s="43"/>
      <c r="G225" s="43"/>
      <c r="H225" s="41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</row>
    <row r="226" spans="1:60" ht="16">
      <c r="A226" s="41"/>
      <c r="B226" s="41"/>
      <c r="C226" s="41"/>
      <c r="D226" s="42"/>
      <c r="E226" s="43"/>
      <c r="F226" s="43"/>
      <c r="G226" s="43"/>
      <c r="H226" s="41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</row>
    <row r="227" spans="1:60" ht="16">
      <c r="A227" s="41"/>
      <c r="B227" s="41"/>
      <c r="C227" s="41"/>
      <c r="D227" s="42"/>
      <c r="E227" s="43"/>
      <c r="F227" s="43"/>
      <c r="G227" s="43"/>
      <c r="H227" s="41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</row>
    <row r="228" spans="1:60" ht="16">
      <c r="A228" s="41"/>
      <c r="B228" s="41"/>
      <c r="C228" s="41"/>
      <c r="D228" s="42"/>
      <c r="E228" s="43"/>
      <c r="F228" s="43"/>
      <c r="G228" s="43"/>
      <c r="H228" s="41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</row>
    <row r="229" spans="1:60" ht="16">
      <c r="A229" s="41"/>
      <c r="B229" s="41"/>
      <c r="C229" s="41"/>
      <c r="D229" s="42"/>
      <c r="E229" s="43"/>
      <c r="F229" s="43"/>
      <c r="G229" s="43"/>
      <c r="H229" s="41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</row>
    <row r="230" spans="1:60" ht="16">
      <c r="A230" s="41"/>
      <c r="B230" s="41"/>
      <c r="C230" s="41"/>
      <c r="D230" s="42"/>
      <c r="E230" s="43"/>
      <c r="F230" s="43"/>
      <c r="G230" s="43"/>
      <c r="H230" s="41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</row>
    <row r="231" spans="1:60" ht="16">
      <c r="A231" s="41"/>
      <c r="B231" s="41"/>
      <c r="C231" s="41"/>
      <c r="D231" s="42"/>
      <c r="E231" s="43"/>
      <c r="F231" s="43"/>
      <c r="G231" s="43"/>
      <c r="H231" s="41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</row>
    <row r="232" spans="1:60" ht="16">
      <c r="A232" s="41"/>
      <c r="B232" s="41"/>
      <c r="C232" s="41"/>
      <c r="D232" s="42"/>
      <c r="E232" s="43"/>
      <c r="F232" s="43"/>
      <c r="G232" s="43"/>
      <c r="H232" s="41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</row>
    <row r="233" spans="1:60" ht="16">
      <c r="A233" s="41"/>
      <c r="B233" s="41"/>
      <c r="C233" s="41"/>
      <c r="D233" s="42"/>
      <c r="E233" s="43"/>
      <c r="F233" s="43"/>
      <c r="G233" s="43"/>
      <c r="H233" s="41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</row>
    <row r="234" spans="1:60" ht="16">
      <c r="A234" s="41"/>
      <c r="B234" s="41"/>
      <c r="C234" s="41"/>
      <c r="D234" s="42"/>
      <c r="E234" s="43"/>
      <c r="F234" s="43"/>
      <c r="G234" s="43"/>
      <c r="H234" s="41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</row>
    <row r="235" spans="1:60" ht="16">
      <c r="A235" s="41"/>
      <c r="B235" s="41"/>
      <c r="C235" s="41"/>
      <c r="D235" s="42"/>
      <c r="E235" s="43"/>
      <c r="F235" s="43"/>
      <c r="G235" s="43"/>
      <c r="H235" s="41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</row>
    <row r="236" spans="1:60" ht="16">
      <c r="A236" s="41"/>
      <c r="B236" s="41"/>
      <c r="C236" s="41"/>
      <c r="D236" s="42"/>
      <c r="E236" s="43"/>
      <c r="F236" s="43"/>
      <c r="G236" s="43"/>
      <c r="H236" s="41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</row>
    <row r="237" spans="1:60" ht="16">
      <c r="A237" s="41"/>
      <c r="B237" s="41"/>
      <c r="C237" s="41"/>
      <c r="D237" s="42"/>
      <c r="E237" s="43"/>
      <c r="F237" s="43"/>
      <c r="G237" s="43"/>
      <c r="H237" s="41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</row>
    <row r="238" spans="1:60" ht="16">
      <c r="A238" s="41"/>
      <c r="B238" s="41"/>
      <c r="C238" s="41"/>
      <c r="D238" s="42"/>
      <c r="E238" s="43"/>
      <c r="F238" s="43"/>
      <c r="G238" s="43"/>
      <c r="H238" s="41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</row>
    <row r="239" spans="1:60" ht="16">
      <c r="A239" s="41"/>
      <c r="B239" s="41"/>
      <c r="C239" s="41"/>
      <c r="D239" s="42"/>
      <c r="E239" s="43"/>
      <c r="F239" s="43"/>
      <c r="G239" s="43"/>
      <c r="H239" s="41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</row>
    <row r="240" spans="1:60" ht="16">
      <c r="A240" s="41"/>
      <c r="B240" s="41"/>
      <c r="C240" s="41"/>
      <c r="D240" s="42"/>
      <c r="E240" s="43"/>
      <c r="F240" s="43"/>
      <c r="G240" s="43"/>
      <c r="H240" s="41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</row>
    <row r="241" spans="1:60" ht="16">
      <c r="A241" s="41"/>
      <c r="B241" s="41"/>
      <c r="C241" s="41"/>
      <c r="D241" s="42"/>
      <c r="E241" s="43"/>
      <c r="F241" s="43"/>
      <c r="G241" s="43"/>
      <c r="H241" s="41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</row>
    <row r="242" spans="1:60" ht="16">
      <c r="A242" s="41"/>
      <c r="B242" s="41"/>
      <c r="C242" s="41"/>
      <c r="D242" s="42"/>
      <c r="E242" s="43"/>
      <c r="F242" s="43"/>
      <c r="G242" s="43"/>
      <c r="H242" s="41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</row>
    <row r="243" spans="1:60" ht="16">
      <c r="A243" s="41"/>
      <c r="B243" s="41"/>
      <c r="C243" s="41"/>
      <c r="D243" s="42"/>
      <c r="E243" s="43"/>
      <c r="F243" s="43"/>
      <c r="G243" s="43"/>
      <c r="H243" s="41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</row>
    <row r="244" spans="1:60" ht="16">
      <c r="A244" s="41"/>
      <c r="B244" s="41"/>
      <c r="C244" s="41"/>
      <c r="D244" s="42"/>
      <c r="E244" s="43"/>
      <c r="F244" s="43"/>
      <c r="G244" s="43"/>
      <c r="H244" s="41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</row>
    <row r="245" spans="1:60" ht="16">
      <c r="A245" s="41"/>
      <c r="B245" s="41"/>
      <c r="C245" s="41"/>
      <c r="D245" s="42"/>
      <c r="E245" s="43"/>
      <c r="F245" s="43"/>
      <c r="G245" s="43"/>
      <c r="H245" s="41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</row>
    <row r="246" spans="1:60" ht="16">
      <c r="A246" s="41"/>
      <c r="B246" s="41"/>
      <c r="C246" s="41"/>
      <c r="D246" s="42"/>
      <c r="E246" s="43"/>
      <c r="F246" s="43"/>
      <c r="G246" s="43"/>
      <c r="H246" s="41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</row>
    <row r="247" spans="1:60" ht="16">
      <c r="A247" s="41"/>
      <c r="B247" s="41"/>
      <c r="C247" s="41"/>
      <c r="D247" s="42"/>
      <c r="E247" s="43"/>
      <c r="F247" s="43"/>
      <c r="G247" s="43"/>
      <c r="H247" s="41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</row>
    <row r="248" spans="1:60" ht="16">
      <c r="A248" s="41"/>
      <c r="B248" s="41"/>
      <c r="C248" s="41"/>
      <c r="D248" s="42"/>
      <c r="E248" s="43"/>
      <c r="F248" s="43"/>
      <c r="G248" s="43"/>
      <c r="H248" s="41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</row>
    <row r="249" spans="1:60" ht="16">
      <c r="A249" s="41"/>
      <c r="B249" s="41"/>
      <c r="C249" s="41"/>
      <c r="D249" s="42"/>
      <c r="E249" s="43"/>
      <c r="F249" s="43"/>
      <c r="G249" s="43"/>
      <c r="H249" s="41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</row>
    <row r="250" spans="1:60" ht="16">
      <c r="A250" s="41"/>
      <c r="B250" s="41"/>
      <c r="C250" s="41"/>
      <c r="D250" s="42"/>
      <c r="E250" s="43"/>
      <c r="F250" s="43"/>
      <c r="G250" s="43"/>
      <c r="H250" s="41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</row>
    <row r="251" spans="1:60" ht="16">
      <c r="A251" s="41"/>
      <c r="B251" s="41"/>
      <c r="C251" s="41"/>
      <c r="D251" s="42"/>
      <c r="E251" s="43"/>
      <c r="F251" s="43"/>
      <c r="G251" s="43"/>
      <c r="H251" s="41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</row>
    <row r="252" spans="1:60" ht="16">
      <c r="A252" s="41"/>
      <c r="B252" s="41"/>
      <c r="C252" s="41"/>
      <c r="D252" s="42"/>
      <c r="E252" s="43"/>
      <c r="F252" s="43"/>
      <c r="G252" s="43"/>
      <c r="H252" s="41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</row>
    <row r="253" spans="1:60" ht="16">
      <c r="A253" s="41"/>
      <c r="B253" s="41"/>
      <c r="C253" s="41"/>
      <c r="D253" s="42"/>
      <c r="E253" s="43"/>
      <c r="F253" s="43"/>
      <c r="G253" s="43"/>
      <c r="H253" s="41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</row>
    <row r="254" spans="1:60" ht="16">
      <c r="A254" s="41"/>
      <c r="B254" s="41"/>
      <c r="C254" s="41"/>
      <c r="D254" s="42"/>
      <c r="E254" s="43"/>
      <c r="F254" s="43"/>
      <c r="G254" s="43"/>
      <c r="H254" s="41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</row>
    <row r="255" spans="1:60" ht="16">
      <c r="A255" s="41"/>
      <c r="B255" s="41"/>
      <c r="C255" s="41"/>
      <c r="D255" s="42"/>
      <c r="E255" s="43"/>
      <c r="F255" s="43"/>
      <c r="G255" s="43"/>
      <c r="H255" s="41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</row>
    <row r="256" spans="1:60" ht="16">
      <c r="A256" s="41"/>
      <c r="B256" s="41"/>
      <c r="C256" s="41"/>
      <c r="D256" s="42"/>
      <c r="E256" s="43"/>
      <c r="F256" s="43"/>
      <c r="G256" s="43"/>
      <c r="H256" s="41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</row>
    <row r="257" spans="1:60" ht="16">
      <c r="A257" s="41"/>
      <c r="B257" s="41"/>
      <c r="C257" s="41"/>
      <c r="D257" s="42"/>
      <c r="E257" s="43"/>
      <c r="F257" s="43"/>
      <c r="G257" s="43"/>
      <c r="H257" s="41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</row>
    <row r="258" spans="1:60" ht="16">
      <c r="A258" s="41"/>
      <c r="B258" s="41"/>
      <c r="C258" s="41"/>
      <c r="D258" s="42"/>
      <c r="E258" s="43"/>
      <c r="F258" s="43"/>
      <c r="G258" s="43"/>
      <c r="H258" s="41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</row>
    <row r="259" spans="1:60" ht="16">
      <c r="A259" s="41"/>
      <c r="B259" s="41"/>
      <c r="C259" s="41"/>
      <c r="D259" s="42"/>
      <c r="E259" s="43"/>
      <c r="F259" s="43"/>
      <c r="G259" s="43"/>
      <c r="H259" s="41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</row>
    <row r="260" spans="1:60" ht="16">
      <c r="A260" s="41"/>
      <c r="B260" s="41"/>
      <c r="C260" s="41"/>
      <c r="D260" s="42"/>
      <c r="E260" s="43"/>
      <c r="F260" s="43"/>
      <c r="G260" s="43"/>
      <c r="H260" s="41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</row>
    <row r="261" spans="1:60" ht="16">
      <c r="A261" s="41"/>
      <c r="B261" s="41"/>
      <c r="C261" s="41"/>
      <c r="D261" s="42"/>
      <c r="E261" s="43"/>
      <c r="F261" s="43"/>
      <c r="G261" s="43"/>
      <c r="H261" s="41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</row>
    <row r="262" spans="1:60" ht="16">
      <c r="A262" s="41"/>
      <c r="B262" s="41"/>
      <c r="C262" s="41"/>
      <c r="D262" s="42"/>
      <c r="E262" s="43"/>
      <c r="F262" s="43"/>
      <c r="G262" s="43"/>
      <c r="H262" s="41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</row>
    <row r="263" spans="1:60" ht="16">
      <c r="A263" s="41"/>
      <c r="B263" s="41"/>
      <c r="C263" s="41"/>
      <c r="D263" s="42"/>
      <c r="E263" s="43"/>
      <c r="F263" s="43"/>
      <c r="G263" s="43"/>
      <c r="H263" s="41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</row>
    <row r="264" spans="1:60" ht="16">
      <c r="A264" s="41"/>
      <c r="B264" s="41"/>
      <c r="C264" s="41"/>
      <c r="D264" s="42"/>
      <c r="E264" s="43"/>
      <c r="F264" s="43"/>
      <c r="G264" s="43"/>
      <c r="H264" s="41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</row>
    <row r="265" spans="1:60" ht="16">
      <c r="A265" s="41"/>
      <c r="B265" s="41"/>
      <c r="C265" s="41"/>
      <c r="D265" s="42"/>
      <c r="E265" s="43"/>
      <c r="F265" s="43"/>
      <c r="G265" s="43"/>
      <c r="H265" s="41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</row>
    <row r="266" spans="1:60" ht="16">
      <c r="A266" s="41"/>
      <c r="B266" s="41"/>
      <c r="C266" s="41"/>
      <c r="D266" s="42"/>
      <c r="E266" s="43"/>
      <c r="F266" s="43"/>
      <c r="G266" s="43"/>
      <c r="H266" s="41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</row>
    <row r="267" spans="1:60" ht="16">
      <c r="A267" s="41"/>
      <c r="B267" s="41"/>
      <c r="C267" s="41"/>
      <c r="D267" s="42"/>
      <c r="E267" s="43"/>
      <c r="F267" s="43"/>
      <c r="G267" s="43"/>
      <c r="H267" s="41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</row>
    <row r="268" spans="1:60" ht="16">
      <c r="A268" s="41"/>
      <c r="B268" s="41"/>
      <c r="C268" s="41"/>
      <c r="D268" s="42"/>
      <c r="E268" s="43"/>
      <c r="F268" s="43"/>
      <c r="G268" s="43"/>
      <c r="H268" s="41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</row>
    <row r="269" spans="1:60" ht="16">
      <c r="A269" s="41"/>
      <c r="B269" s="41"/>
      <c r="C269" s="41"/>
      <c r="D269" s="42"/>
      <c r="E269" s="43"/>
      <c r="F269" s="43"/>
      <c r="G269" s="43"/>
      <c r="H269" s="41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</row>
    <row r="270" spans="1:60" ht="16">
      <c r="A270" s="41"/>
      <c r="B270" s="41"/>
      <c r="C270" s="41"/>
      <c r="D270" s="42"/>
      <c r="E270" s="43"/>
      <c r="F270" s="43"/>
      <c r="G270" s="43"/>
      <c r="H270" s="41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</row>
    <row r="271" spans="1:60" ht="16">
      <c r="A271" s="41"/>
      <c r="B271" s="41"/>
      <c r="C271" s="41"/>
      <c r="D271" s="42"/>
      <c r="E271" s="43"/>
      <c r="F271" s="43"/>
      <c r="G271" s="43"/>
      <c r="H271" s="41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</row>
    <row r="272" spans="1:60" ht="16">
      <c r="A272" s="41"/>
      <c r="B272" s="41"/>
      <c r="C272" s="41"/>
      <c r="D272" s="42"/>
      <c r="E272" s="43"/>
      <c r="F272" s="43"/>
      <c r="G272" s="43"/>
      <c r="H272" s="41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</row>
    <row r="273" spans="1:60" ht="16">
      <c r="A273" s="41"/>
      <c r="B273" s="41"/>
      <c r="C273" s="41"/>
      <c r="D273" s="42"/>
      <c r="E273" s="43"/>
      <c r="F273" s="43"/>
      <c r="G273" s="43"/>
      <c r="H273" s="41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</row>
    <row r="274" spans="1:60" ht="16">
      <c r="A274" s="41"/>
      <c r="B274" s="41"/>
      <c r="C274" s="41"/>
      <c r="D274" s="42"/>
      <c r="E274" s="43"/>
      <c r="F274" s="43"/>
      <c r="G274" s="43"/>
      <c r="H274" s="41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</row>
    <row r="275" spans="1:60" ht="16">
      <c r="A275" s="41"/>
      <c r="B275" s="41"/>
      <c r="C275" s="41"/>
      <c r="D275" s="42"/>
      <c r="E275" s="43"/>
      <c r="F275" s="43"/>
      <c r="G275" s="43"/>
      <c r="H275" s="41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</row>
    <row r="276" spans="1:60" ht="16">
      <c r="A276" s="41"/>
      <c r="B276" s="41"/>
      <c r="C276" s="41"/>
      <c r="D276" s="42"/>
      <c r="E276" s="43"/>
      <c r="F276" s="43"/>
      <c r="G276" s="43"/>
      <c r="H276" s="41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</row>
    <row r="277" spans="1:60" ht="16">
      <c r="A277" s="41"/>
      <c r="B277" s="41"/>
      <c r="C277" s="41"/>
      <c r="D277" s="42"/>
      <c r="E277" s="43"/>
      <c r="F277" s="43"/>
      <c r="G277" s="43"/>
      <c r="H277" s="41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</row>
    <row r="278" spans="1:60" ht="16">
      <c r="A278" s="41"/>
      <c r="B278" s="41"/>
      <c r="C278" s="41"/>
      <c r="D278" s="42"/>
      <c r="E278" s="43"/>
      <c r="F278" s="43"/>
      <c r="G278" s="43"/>
      <c r="H278" s="41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</row>
    <row r="279" spans="1:60" ht="16">
      <c r="A279" s="41"/>
      <c r="B279" s="41"/>
      <c r="C279" s="41"/>
      <c r="D279" s="42"/>
      <c r="E279" s="43"/>
      <c r="F279" s="43"/>
      <c r="G279" s="43"/>
      <c r="H279" s="41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</row>
    <row r="280" spans="1:60" ht="16">
      <c r="A280" s="41"/>
      <c r="B280" s="41"/>
      <c r="C280" s="41"/>
      <c r="D280" s="42"/>
      <c r="E280" s="43"/>
      <c r="F280" s="43"/>
      <c r="G280" s="43"/>
      <c r="H280" s="41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</row>
    <row r="281" spans="1:60" ht="16">
      <c r="A281" s="41"/>
      <c r="B281" s="41"/>
      <c r="C281" s="41"/>
      <c r="D281" s="42"/>
      <c r="E281" s="43"/>
      <c r="F281" s="43"/>
      <c r="G281" s="43"/>
      <c r="H281" s="41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</row>
    <row r="282" spans="1:60" ht="16">
      <c r="A282" s="41"/>
      <c r="B282" s="41"/>
      <c r="C282" s="41"/>
      <c r="D282" s="42"/>
      <c r="E282" s="43"/>
      <c r="F282" s="43"/>
      <c r="G282" s="43"/>
      <c r="H282" s="41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</row>
    <row r="283" spans="1:60" ht="16">
      <c r="A283" s="41"/>
      <c r="B283" s="41"/>
      <c r="C283" s="41"/>
      <c r="D283" s="42"/>
      <c r="E283" s="43"/>
      <c r="F283" s="43"/>
      <c r="G283" s="43"/>
      <c r="H283" s="41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</row>
    <row r="284" spans="1:60" ht="16">
      <c r="A284" s="41"/>
      <c r="B284" s="41"/>
      <c r="C284" s="41"/>
      <c r="D284" s="42"/>
      <c r="E284" s="43"/>
      <c r="F284" s="43"/>
      <c r="G284" s="43"/>
      <c r="H284" s="41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</row>
    <row r="285" spans="1:60" ht="16">
      <c r="A285" s="41"/>
      <c r="B285" s="41"/>
      <c r="C285" s="41"/>
      <c r="D285" s="42"/>
      <c r="E285" s="43"/>
      <c r="F285" s="43"/>
      <c r="G285" s="43"/>
      <c r="H285" s="41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</row>
    <row r="286" spans="1:60" ht="16">
      <c r="A286" s="41"/>
      <c r="B286" s="41"/>
      <c r="C286" s="41"/>
      <c r="D286" s="42"/>
      <c r="E286" s="43"/>
      <c r="F286" s="43"/>
      <c r="G286" s="43"/>
      <c r="H286" s="41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</row>
    <row r="287" spans="1:60" ht="16">
      <c r="A287" s="41"/>
      <c r="B287" s="41"/>
      <c r="C287" s="41"/>
      <c r="D287" s="42"/>
      <c r="E287" s="43"/>
      <c r="F287" s="43"/>
      <c r="G287" s="43"/>
      <c r="H287" s="41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</row>
    <row r="288" spans="1:60" ht="16">
      <c r="A288" s="41"/>
      <c r="B288" s="41"/>
      <c r="C288" s="41"/>
      <c r="D288" s="42"/>
      <c r="E288" s="43"/>
      <c r="F288" s="43"/>
      <c r="G288" s="43"/>
      <c r="H288" s="41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</row>
    <row r="289" spans="1:60" ht="16">
      <c r="A289" s="41"/>
      <c r="B289" s="41"/>
      <c r="C289" s="41"/>
      <c r="D289" s="42"/>
      <c r="E289" s="43"/>
      <c r="F289" s="43"/>
      <c r="G289" s="43"/>
      <c r="H289" s="41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</row>
    <row r="290" spans="1:60" ht="16">
      <c r="A290" s="41"/>
      <c r="B290" s="41"/>
      <c r="C290" s="41"/>
      <c r="D290" s="42"/>
      <c r="E290" s="43"/>
      <c r="F290" s="43"/>
      <c r="G290" s="43"/>
      <c r="H290" s="41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</row>
    <row r="291" spans="1:60" ht="16">
      <c r="A291" s="41"/>
      <c r="B291" s="41"/>
      <c r="C291" s="41"/>
      <c r="D291" s="42"/>
      <c r="E291" s="43"/>
      <c r="F291" s="43"/>
      <c r="G291" s="43"/>
      <c r="H291" s="41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</row>
    <row r="292" spans="1:60" ht="16">
      <c r="A292" s="41"/>
      <c r="B292" s="41"/>
      <c r="C292" s="41"/>
      <c r="D292" s="42"/>
      <c r="E292" s="43"/>
      <c r="F292" s="43"/>
      <c r="G292" s="43"/>
      <c r="H292" s="41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</row>
    <row r="293" spans="1:60" ht="16">
      <c r="A293" s="41"/>
      <c r="B293" s="41"/>
      <c r="C293" s="41"/>
      <c r="D293" s="42"/>
      <c r="E293" s="43"/>
      <c r="F293" s="43"/>
      <c r="G293" s="43"/>
      <c r="H293" s="41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</row>
    <row r="294" spans="1:60" ht="16">
      <c r="A294" s="41"/>
      <c r="B294" s="41"/>
      <c r="C294" s="41"/>
      <c r="D294" s="42"/>
      <c r="E294" s="43"/>
      <c r="F294" s="43"/>
      <c r="G294" s="43"/>
      <c r="H294" s="41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</row>
    <row r="295" spans="1:60" ht="16">
      <c r="A295" s="41"/>
      <c r="B295" s="41"/>
      <c r="C295" s="41"/>
      <c r="D295" s="42"/>
      <c r="E295" s="43"/>
      <c r="F295" s="43"/>
      <c r="G295" s="43"/>
      <c r="H295" s="41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</row>
    <row r="296" spans="1:60" ht="16">
      <c r="A296" s="41"/>
      <c r="B296" s="41"/>
      <c r="C296" s="41"/>
      <c r="D296" s="42"/>
      <c r="E296" s="43"/>
      <c r="F296" s="43"/>
      <c r="G296" s="43"/>
      <c r="H296" s="41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</row>
    <row r="297" spans="1:60" ht="16">
      <c r="A297" s="41"/>
      <c r="B297" s="41"/>
      <c r="C297" s="41"/>
      <c r="D297" s="42"/>
      <c r="E297" s="43"/>
      <c r="F297" s="43"/>
      <c r="G297" s="43"/>
      <c r="H297" s="41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</row>
    <row r="298" spans="1:60" ht="16">
      <c r="A298" s="41"/>
      <c r="B298" s="41"/>
      <c r="C298" s="41"/>
      <c r="D298" s="42"/>
      <c r="E298" s="43"/>
      <c r="F298" s="43"/>
      <c r="G298" s="43"/>
      <c r="H298" s="41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</row>
    <row r="299" spans="1:60" ht="16">
      <c r="A299" s="41"/>
      <c r="B299" s="41"/>
      <c r="C299" s="41"/>
      <c r="D299" s="42"/>
      <c r="E299" s="43"/>
      <c r="F299" s="43"/>
      <c r="G299" s="43"/>
      <c r="H299" s="41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</row>
    <row r="300" spans="1:60" ht="16">
      <c r="A300" s="41"/>
      <c r="B300" s="41"/>
      <c r="C300" s="41"/>
      <c r="D300" s="42"/>
      <c r="E300" s="43"/>
      <c r="F300" s="43"/>
      <c r="G300" s="43"/>
      <c r="H300" s="41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</row>
    <row r="301" spans="1:60" ht="16">
      <c r="A301" s="41"/>
      <c r="B301" s="41"/>
      <c r="C301" s="41"/>
      <c r="D301" s="42"/>
      <c r="E301" s="43"/>
      <c r="F301" s="43"/>
      <c r="G301" s="43"/>
      <c r="H301" s="41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</row>
    <row r="302" spans="1:60" ht="16">
      <c r="A302" s="41"/>
      <c r="B302" s="41"/>
      <c r="C302" s="41"/>
      <c r="D302" s="42"/>
      <c r="E302" s="43"/>
      <c r="F302" s="43"/>
      <c r="G302" s="43"/>
      <c r="H302" s="41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</row>
    <row r="303" spans="1:60" ht="16">
      <c r="A303" s="41"/>
      <c r="B303" s="41"/>
      <c r="C303" s="41"/>
      <c r="D303" s="42"/>
      <c r="E303" s="43"/>
      <c r="F303" s="43"/>
      <c r="G303" s="43"/>
      <c r="H303" s="41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</row>
    <row r="304" spans="1:60" ht="16">
      <c r="A304" s="41"/>
      <c r="B304" s="41"/>
      <c r="C304" s="41"/>
      <c r="D304" s="42"/>
      <c r="E304" s="43"/>
      <c r="F304" s="43"/>
      <c r="G304" s="43"/>
      <c r="H304" s="41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</row>
    <row r="305" spans="1:60" ht="16">
      <c r="A305" s="41"/>
      <c r="B305" s="41"/>
      <c r="C305" s="41"/>
      <c r="D305" s="42"/>
      <c r="E305" s="43"/>
      <c r="F305" s="43"/>
      <c r="G305" s="43"/>
      <c r="H305" s="41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</row>
    <row r="306" spans="1:60" ht="16">
      <c r="A306" s="41"/>
      <c r="B306" s="41"/>
      <c r="C306" s="41"/>
      <c r="D306" s="42"/>
      <c r="E306" s="43"/>
      <c r="F306" s="43"/>
      <c r="G306" s="43"/>
      <c r="H306" s="41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</row>
    <row r="307" spans="1:60" ht="16">
      <c r="A307" s="41"/>
      <c r="B307" s="41"/>
      <c r="C307" s="41"/>
      <c r="D307" s="42"/>
      <c r="E307" s="43"/>
      <c r="F307" s="43"/>
      <c r="G307" s="43"/>
      <c r="H307" s="41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</row>
    <row r="308" spans="1:60" ht="16">
      <c r="A308" s="41"/>
      <c r="B308" s="41"/>
      <c r="C308" s="41"/>
      <c r="D308" s="42"/>
      <c r="E308" s="43"/>
      <c r="F308" s="43"/>
      <c r="G308" s="43"/>
      <c r="H308" s="41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</row>
    <row r="309" spans="1:60" ht="16">
      <c r="A309" s="41"/>
      <c r="B309" s="41"/>
      <c r="C309" s="41"/>
      <c r="D309" s="42"/>
      <c r="E309" s="43"/>
      <c r="F309" s="43"/>
      <c r="G309" s="43"/>
      <c r="H309" s="41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</row>
    <row r="310" spans="1:60" ht="16">
      <c r="A310" s="41"/>
      <c r="B310" s="41"/>
      <c r="C310" s="41"/>
      <c r="D310" s="42"/>
      <c r="E310" s="43"/>
      <c r="F310" s="43"/>
      <c r="G310" s="43"/>
      <c r="H310" s="41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</row>
    <row r="311" spans="1:60" ht="16">
      <c r="A311" s="41"/>
      <c r="B311" s="41"/>
      <c r="C311" s="41"/>
      <c r="D311" s="42"/>
      <c r="E311" s="43"/>
      <c r="F311" s="43"/>
      <c r="G311" s="43"/>
      <c r="H311" s="41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</row>
    <row r="312" spans="1:60" ht="16">
      <c r="A312" s="41"/>
      <c r="B312" s="41"/>
      <c r="C312" s="41"/>
      <c r="D312" s="42"/>
      <c r="E312" s="43"/>
      <c r="F312" s="43"/>
      <c r="G312" s="43"/>
      <c r="H312" s="41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</row>
    <row r="313" spans="1:60" ht="16">
      <c r="A313" s="41"/>
      <c r="B313" s="41"/>
      <c r="C313" s="41"/>
      <c r="D313" s="42"/>
      <c r="E313" s="43"/>
      <c r="F313" s="43"/>
      <c r="G313" s="43"/>
      <c r="H313" s="41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</row>
    <row r="314" spans="1:60" ht="16">
      <c r="A314" s="41"/>
      <c r="B314" s="41"/>
      <c r="C314" s="41"/>
      <c r="D314" s="42"/>
      <c r="E314" s="43"/>
      <c r="F314" s="43"/>
      <c r="G314" s="43"/>
      <c r="H314" s="41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</row>
    <row r="315" spans="1:60" ht="16">
      <c r="A315" s="41"/>
      <c r="B315" s="41"/>
      <c r="C315" s="41"/>
      <c r="D315" s="42"/>
      <c r="E315" s="43"/>
      <c r="F315" s="43"/>
      <c r="G315" s="43"/>
      <c r="H315" s="41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</row>
    <row r="316" spans="1:60" ht="16">
      <c r="A316" s="41"/>
      <c r="B316" s="41"/>
      <c r="C316" s="41"/>
      <c r="D316" s="42"/>
      <c r="E316" s="43"/>
      <c r="F316" s="43"/>
      <c r="G316" s="43"/>
      <c r="H316" s="41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</row>
    <row r="317" spans="1:60" ht="16">
      <c r="A317" s="41"/>
      <c r="B317" s="41"/>
      <c r="C317" s="41"/>
      <c r="D317" s="42"/>
      <c r="E317" s="43"/>
      <c r="F317" s="43"/>
      <c r="G317" s="43"/>
      <c r="H317" s="41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</row>
    <row r="318" spans="1:60" ht="16">
      <c r="A318" s="41"/>
      <c r="B318" s="41"/>
      <c r="C318" s="41"/>
      <c r="D318" s="42"/>
      <c r="E318" s="43"/>
      <c r="F318" s="43"/>
      <c r="G318" s="43"/>
      <c r="H318" s="41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</row>
    <row r="319" spans="1:60" ht="16">
      <c r="A319" s="41"/>
      <c r="B319" s="41"/>
      <c r="C319" s="41"/>
      <c r="D319" s="42"/>
      <c r="E319" s="43"/>
      <c r="F319" s="43"/>
      <c r="G319" s="43"/>
      <c r="H319" s="41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</row>
    <row r="320" spans="1:60" ht="16">
      <c r="A320" s="41"/>
      <c r="B320" s="41"/>
      <c r="C320" s="41"/>
      <c r="D320" s="42"/>
      <c r="E320" s="43"/>
      <c r="F320" s="43"/>
      <c r="G320" s="43"/>
      <c r="H320" s="41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</row>
    <row r="321" spans="1:60" ht="16">
      <c r="A321" s="41"/>
      <c r="B321" s="41"/>
      <c r="C321" s="41"/>
      <c r="D321" s="42"/>
      <c r="E321" s="43"/>
      <c r="F321" s="43"/>
      <c r="G321" s="43"/>
      <c r="H321" s="41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</row>
    <row r="322" spans="1:60" ht="16">
      <c r="A322" s="41"/>
      <c r="B322" s="41"/>
      <c r="C322" s="41"/>
      <c r="D322" s="42"/>
      <c r="E322" s="43"/>
      <c r="F322" s="43"/>
      <c r="G322" s="43"/>
      <c r="H322" s="41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</row>
    <row r="323" spans="1:60" ht="16">
      <c r="A323" s="41"/>
      <c r="B323" s="41"/>
      <c r="C323" s="41"/>
      <c r="D323" s="42"/>
      <c r="E323" s="43"/>
      <c r="F323" s="43"/>
      <c r="G323" s="43"/>
      <c r="H323" s="41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</row>
    <row r="324" spans="1:60" ht="16">
      <c r="A324" s="41"/>
      <c r="B324" s="41"/>
      <c r="C324" s="41"/>
      <c r="D324" s="42"/>
      <c r="E324" s="43"/>
      <c r="F324" s="43"/>
      <c r="G324" s="43"/>
      <c r="H324" s="41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</row>
    <row r="325" spans="1:60" ht="16">
      <c r="A325" s="41"/>
      <c r="B325" s="41"/>
      <c r="C325" s="41"/>
      <c r="D325" s="42"/>
      <c r="E325" s="43"/>
      <c r="F325" s="43"/>
      <c r="G325" s="43"/>
      <c r="H325" s="41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</row>
    <row r="326" spans="1:60" ht="16">
      <c r="A326" s="41"/>
      <c r="B326" s="41"/>
      <c r="C326" s="41"/>
      <c r="D326" s="42"/>
      <c r="E326" s="43"/>
      <c r="F326" s="43"/>
      <c r="G326" s="43"/>
      <c r="H326" s="41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</row>
    <row r="327" spans="1:60" ht="16">
      <c r="A327" s="41"/>
      <c r="B327" s="41"/>
      <c r="C327" s="41"/>
      <c r="D327" s="42"/>
      <c r="E327" s="43"/>
      <c r="F327" s="43"/>
      <c r="G327" s="43"/>
      <c r="H327" s="41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</row>
    <row r="328" spans="1:60" ht="16">
      <c r="A328" s="41"/>
      <c r="B328" s="41"/>
      <c r="C328" s="41"/>
      <c r="D328" s="42"/>
      <c r="E328" s="43"/>
      <c r="F328" s="43"/>
      <c r="G328" s="43"/>
      <c r="H328" s="41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</row>
    <row r="329" spans="1:60" ht="16">
      <c r="A329" s="41"/>
      <c r="B329" s="41"/>
      <c r="C329" s="41"/>
      <c r="D329" s="42"/>
      <c r="E329" s="43"/>
      <c r="F329" s="43"/>
      <c r="G329" s="43"/>
      <c r="H329" s="41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</row>
    <row r="330" spans="1:60" ht="16">
      <c r="A330" s="41"/>
      <c r="B330" s="41"/>
      <c r="C330" s="41"/>
      <c r="D330" s="42"/>
      <c r="E330" s="43"/>
      <c r="F330" s="43"/>
      <c r="G330" s="43"/>
      <c r="H330" s="41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</row>
    <row r="331" spans="1:60" ht="16">
      <c r="A331" s="41"/>
      <c r="B331" s="41"/>
      <c r="C331" s="41"/>
      <c r="D331" s="42"/>
      <c r="E331" s="43"/>
      <c r="F331" s="43"/>
      <c r="G331" s="43"/>
      <c r="H331" s="41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</row>
    <row r="332" spans="1:60" ht="16">
      <c r="A332" s="41"/>
      <c r="B332" s="41"/>
      <c r="C332" s="41"/>
      <c r="D332" s="42"/>
      <c r="E332" s="43"/>
      <c r="F332" s="43"/>
      <c r="G332" s="43"/>
      <c r="H332" s="41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</row>
    <row r="333" spans="1:60" ht="16">
      <c r="A333" s="41"/>
      <c r="B333" s="41"/>
      <c r="C333" s="41"/>
      <c r="D333" s="42"/>
      <c r="E333" s="43"/>
      <c r="F333" s="43"/>
      <c r="G333" s="43"/>
      <c r="H333" s="41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</row>
    <row r="334" spans="1:60" ht="16">
      <c r="A334" s="41"/>
      <c r="B334" s="41"/>
      <c r="C334" s="41"/>
      <c r="D334" s="42"/>
      <c r="E334" s="43"/>
      <c r="F334" s="43"/>
      <c r="G334" s="43"/>
      <c r="H334" s="41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</row>
    <row r="335" spans="1:60" ht="16">
      <c r="A335" s="41"/>
      <c r="B335" s="41"/>
      <c r="C335" s="41"/>
      <c r="D335" s="42"/>
      <c r="E335" s="43"/>
      <c r="F335" s="43"/>
      <c r="G335" s="43"/>
      <c r="H335" s="41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</row>
    <row r="336" spans="1:60" ht="16">
      <c r="A336" s="41"/>
      <c r="B336" s="41"/>
      <c r="C336" s="41"/>
      <c r="D336" s="42"/>
      <c r="E336" s="43"/>
      <c r="F336" s="43"/>
      <c r="G336" s="43"/>
      <c r="H336" s="41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</row>
    <row r="337" spans="1:60" ht="16">
      <c r="A337" s="41"/>
      <c r="B337" s="41"/>
      <c r="C337" s="41"/>
      <c r="D337" s="42"/>
      <c r="E337" s="43"/>
      <c r="F337" s="43"/>
      <c r="G337" s="43"/>
      <c r="H337" s="41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</row>
    <row r="338" spans="1:60" ht="16">
      <c r="A338" s="41"/>
      <c r="B338" s="41"/>
      <c r="C338" s="41"/>
      <c r="D338" s="42"/>
      <c r="E338" s="43"/>
      <c r="F338" s="43"/>
      <c r="G338" s="43"/>
      <c r="H338" s="41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</row>
    <row r="339" spans="1:60" ht="16">
      <c r="A339" s="41"/>
      <c r="B339" s="41"/>
      <c r="C339" s="41"/>
      <c r="D339" s="42"/>
      <c r="E339" s="43"/>
      <c r="F339" s="43"/>
      <c r="G339" s="43"/>
      <c r="H339" s="41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</row>
    <row r="340" spans="1:60" ht="16">
      <c r="A340" s="41"/>
      <c r="B340" s="41"/>
      <c r="C340" s="41"/>
      <c r="D340" s="42"/>
      <c r="E340" s="43"/>
      <c r="F340" s="43"/>
      <c r="G340" s="43"/>
      <c r="H340" s="41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</row>
    <row r="341" spans="1:60" ht="16">
      <c r="A341" s="41"/>
      <c r="B341" s="41"/>
      <c r="C341" s="41"/>
      <c r="D341" s="42"/>
      <c r="E341" s="43"/>
      <c r="F341" s="43"/>
      <c r="G341" s="43"/>
      <c r="H341" s="41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</row>
    <row r="342" spans="1:60" ht="16">
      <c r="A342" s="41"/>
      <c r="B342" s="41"/>
      <c r="C342" s="41"/>
      <c r="D342" s="42"/>
      <c r="E342" s="43"/>
      <c r="F342" s="43"/>
      <c r="G342" s="43"/>
      <c r="H342" s="41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</row>
    <row r="343" spans="1:60" ht="16">
      <c r="A343" s="41"/>
      <c r="B343" s="41"/>
      <c r="C343" s="41"/>
      <c r="D343" s="42"/>
      <c r="E343" s="43"/>
      <c r="F343" s="43"/>
      <c r="G343" s="43"/>
      <c r="H343" s="41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</row>
    <row r="344" spans="1:60" ht="16">
      <c r="A344" s="41"/>
      <c r="B344" s="41"/>
      <c r="C344" s="41"/>
      <c r="D344" s="42"/>
      <c r="E344" s="43"/>
      <c r="F344" s="43"/>
      <c r="G344" s="43"/>
      <c r="H344" s="41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</row>
    <row r="345" spans="1:60" ht="16">
      <c r="A345" s="41"/>
      <c r="B345" s="41"/>
      <c r="C345" s="41"/>
      <c r="D345" s="42"/>
      <c r="E345" s="43"/>
      <c r="F345" s="43"/>
      <c r="G345" s="43"/>
      <c r="H345" s="41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</row>
    <row r="346" spans="1:60" ht="16">
      <c r="A346" s="41"/>
      <c r="B346" s="41"/>
      <c r="C346" s="41"/>
      <c r="D346" s="42"/>
      <c r="E346" s="43"/>
      <c r="F346" s="43"/>
      <c r="G346" s="43"/>
      <c r="H346" s="41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</row>
    <row r="347" spans="1:60" ht="16">
      <c r="A347" s="41"/>
      <c r="B347" s="41"/>
      <c r="C347" s="41"/>
      <c r="D347" s="42"/>
      <c r="E347" s="43"/>
      <c r="F347" s="43"/>
      <c r="G347" s="43"/>
      <c r="H347" s="41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</row>
    <row r="348" spans="1:60" ht="16">
      <c r="A348" s="41"/>
      <c r="B348" s="41"/>
      <c r="C348" s="41"/>
      <c r="D348" s="42"/>
      <c r="E348" s="43"/>
      <c r="F348" s="43"/>
      <c r="G348" s="43"/>
      <c r="H348" s="41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</row>
    <row r="349" spans="1:60" ht="16">
      <c r="A349" s="41"/>
      <c r="B349" s="41"/>
      <c r="C349" s="41"/>
      <c r="D349" s="42"/>
      <c r="E349" s="43"/>
      <c r="F349" s="43"/>
      <c r="G349" s="43"/>
      <c r="H349" s="41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</row>
    <row r="350" spans="1:60" ht="16">
      <c r="A350" s="41"/>
      <c r="B350" s="41"/>
      <c r="C350" s="41"/>
      <c r="D350" s="42"/>
      <c r="E350" s="43"/>
      <c r="F350" s="43"/>
      <c r="G350" s="43"/>
      <c r="H350" s="41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</row>
    <row r="351" spans="1:60" ht="16">
      <c r="A351" s="41"/>
      <c r="B351" s="41"/>
      <c r="C351" s="41"/>
      <c r="D351" s="42"/>
      <c r="E351" s="43"/>
      <c r="F351" s="43"/>
      <c r="G351" s="43"/>
      <c r="H351" s="41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</row>
    <row r="352" spans="1:60" ht="16">
      <c r="A352" s="41"/>
      <c r="B352" s="41"/>
      <c r="C352" s="41"/>
      <c r="D352" s="42"/>
      <c r="E352" s="43"/>
      <c r="F352" s="43"/>
      <c r="G352" s="43"/>
      <c r="H352" s="41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</row>
    <row r="353" spans="1:60" ht="16">
      <c r="A353" s="41"/>
      <c r="B353" s="41"/>
      <c r="C353" s="41"/>
      <c r="D353" s="42"/>
      <c r="E353" s="43"/>
      <c r="F353" s="43"/>
      <c r="G353" s="43"/>
      <c r="H353" s="41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</row>
    <row r="354" spans="1:60" ht="16">
      <c r="A354" s="41"/>
      <c r="B354" s="41"/>
      <c r="C354" s="41"/>
      <c r="D354" s="42"/>
      <c r="E354" s="43"/>
      <c r="F354" s="43"/>
      <c r="G354" s="43"/>
      <c r="H354" s="41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</row>
    <row r="355" spans="1:60" ht="16">
      <c r="A355" s="41"/>
      <c r="B355" s="41"/>
      <c r="C355" s="41"/>
      <c r="D355" s="42"/>
      <c r="E355" s="43"/>
      <c r="F355" s="43"/>
      <c r="G355" s="43"/>
      <c r="H355" s="41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</row>
    <row r="356" spans="1:60" ht="16">
      <c r="A356" s="41"/>
      <c r="B356" s="41"/>
      <c r="C356" s="41"/>
      <c r="D356" s="42"/>
      <c r="E356" s="43"/>
      <c r="F356" s="43"/>
      <c r="G356" s="43"/>
      <c r="H356" s="41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</row>
    <row r="357" spans="1:60" ht="16">
      <c r="A357" s="41"/>
      <c r="B357" s="41"/>
      <c r="C357" s="41"/>
      <c r="D357" s="42"/>
      <c r="E357" s="43"/>
      <c r="F357" s="43"/>
      <c r="G357" s="43"/>
      <c r="H357" s="41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</row>
    <row r="358" spans="1:60" ht="16">
      <c r="A358" s="41"/>
      <c r="B358" s="41"/>
      <c r="C358" s="41"/>
      <c r="D358" s="42"/>
      <c r="E358" s="43"/>
      <c r="F358" s="43"/>
      <c r="G358" s="43"/>
      <c r="H358" s="41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</row>
    <row r="359" spans="1:60" ht="16">
      <c r="A359" s="41"/>
      <c r="B359" s="41"/>
      <c r="C359" s="41"/>
      <c r="D359" s="42"/>
      <c r="E359" s="43"/>
      <c r="F359" s="43"/>
      <c r="G359" s="43"/>
      <c r="H359" s="41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</row>
    <row r="360" spans="1:60" ht="16">
      <c r="A360" s="41"/>
      <c r="B360" s="41"/>
      <c r="C360" s="41"/>
      <c r="D360" s="42"/>
      <c r="E360" s="43"/>
      <c r="F360" s="43"/>
      <c r="G360" s="43"/>
      <c r="H360" s="41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</row>
    <row r="361" spans="1:60" ht="16">
      <c r="A361" s="41"/>
      <c r="B361" s="41"/>
      <c r="C361" s="41"/>
      <c r="D361" s="42"/>
      <c r="E361" s="43"/>
      <c r="F361" s="43"/>
      <c r="G361" s="43"/>
      <c r="H361" s="41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</row>
    <row r="362" spans="1:60" ht="16">
      <c r="A362" s="41"/>
      <c r="B362" s="41"/>
      <c r="C362" s="41"/>
      <c r="D362" s="42"/>
      <c r="E362" s="43"/>
      <c r="F362" s="43"/>
      <c r="G362" s="43"/>
      <c r="H362" s="41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</row>
    <row r="363" spans="1:60" ht="16">
      <c r="A363" s="41"/>
      <c r="B363" s="41"/>
      <c r="C363" s="41"/>
      <c r="D363" s="42"/>
      <c r="E363" s="43"/>
      <c r="F363" s="43"/>
      <c r="G363" s="43"/>
      <c r="H363" s="41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</row>
    <row r="364" spans="1:60" ht="16">
      <c r="A364" s="41"/>
      <c r="B364" s="41"/>
      <c r="C364" s="41"/>
      <c r="D364" s="42"/>
      <c r="E364" s="43"/>
      <c r="F364" s="43"/>
      <c r="G364" s="43"/>
      <c r="H364" s="41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</row>
    <row r="365" spans="1:60" ht="16">
      <c r="A365" s="41"/>
      <c r="B365" s="41"/>
      <c r="C365" s="41"/>
      <c r="D365" s="42"/>
      <c r="E365" s="43"/>
      <c r="F365" s="43"/>
      <c r="G365" s="43"/>
      <c r="H365" s="41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</row>
    <row r="366" spans="1:60" ht="16">
      <c r="A366" s="41"/>
      <c r="B366" s="41"/>
      <c r="C366" s="41"/>
      <c r="D366" s="42"/>
      <c r="E366" s="43"/>
      <c r="F366" s="43"/>
      <c r="G366" s="43"/>
      <c r="H366" s="41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</row>
    <row r="367" spans="1:60" ht="16">
      <c r="A367" s="41"/>
      <c r="B367" s="41"/>
      <c r="C367" s="41"/>
      <c r="D367" s="42"/>
      <c r="E367" s="43"/>
      <c r="F367" s="43"/>
      <c r="G367" s="43"/>
      <c r="H367" s="41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</row>
    <row r="368" spans="1:60" ht="16">
      <c r="A368" s="41"/>
      <c r="B368" s="41"/>
      <c r="C368" s="41"/>
      <c r="D368" s="42"/>
      <c r="E368" s="43"/>
      <c r="F368" s="43"/>
      <c r="G368" s="43"/>
      <c r="H368" s="41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</row>
    <row r="369" spans="1:60" ht="16">
      <c r="A369" s="41"/>
      <c r="B369" s="41"/>
      <c r="C369" s="41"/>
      <c r="D369" s="42"/>
      <c r="E369" s="43"/>
      <c r="F369" s="43"/>
      <c r="G369" s="43"/>
      <c r="H369" s="41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</row>
    <row r="370" spans="1:60" ht="16">
      <c r="A370" s="41"/>
      <c r="B370" s="41"/>
      <c r="C370" s="41"/>
      <c r="D370" s="42"/>
      <c r="E370" s="43"/>
      <c r="F370" s="43"/>
      <c r="G370" s="43"/>
      <c r="H370" s="41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</row>
    <row r="371" spans="1:60" ht="16">
      <c r="A371" s="41"/>
      <c r="B371" s="41"/>
      <c r="C371" s="41"/>
      <c r="D371" s="42"/>
      <c r="E371" s="43"/>
      <c r="F371" s="43"/>
      <c r="G371" s="43"/>
      <c r="H371" s="41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</row>
    <row r="372" spans="1:60" ht="16">
      <c r="A372" s="41"/>
      <c r="B372" s="41"/>
      <c r="C372" s="41"/>
      <c r="D372" s="42"/>
      <c r="E372" s="43"/>
      <c r="F372" s="43"/>
      <c r="G372" s="43"/>
      <c r="H372" s="41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</row>
    <row r="373" spans="1:60" ht="16">
      <c r="A373" s="41"/>
      <c r="B373" s="41"/>
      <c r="C373" s="41"/>
      <c r="D373" s="42"/>
      <c r="E373" s="43"/>
      <c r="F373" s="43"/>
      <c r="G373" s="43"/>
      <c r="H373" s="41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</row>
    <row r="374" spans="1:60" ht="16">
      <c r="A374" s="41"/>
      <c r="B374" s="41"/>
      <c r="C374" s="41"/>
      <c r="D374" s="42"/>
      <c r="E374" s="43"/>
      <c r="F374" s="43"/>
      <c r="G374" s="43"/>
      <c r="H374" s="41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</row>
    <row r="375" spans="1:60" ht="16">
      <c r="A375" s="41"/>
      <c r="B375" s="41"/>
      <c r="C375" s="41"/>
      <c r="D375" s="42"/>
      <c r="E375" s="43"/>
      <c r="F375" s="43"/>
      <c r="G375" s="43"/>
      <c r="H375" s="41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</row>
    <row r="376" spans="1:60" ht="16">
      <c r="A376" s="41"/>
      <c r="B376" s="41"/>
      <c r="C376" s="41"/>
      <c r="D376" s="42"/>
      <c r="E376" s="43"/>
      <c r="F376" s="43"/>
      <c r="G376" s="43"/>
      <c r="H376" s="41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</row>
    <row r="377" spans="1:60" ht="16">
      <c r="A377" s="41"/>
      <c r="B377" s="41"/>
      <c r="C377" s="41"/>
      <c r="D377" s="42"/>
      <c r="E377" s="43"/>
      <c r="F377" s="43"/>
      <c r="G377" s="43"/>
      <c r="H377" s="41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</row>
    <row r="378" spans="1:60" ht="16">
      <c r="A378" s="41"/>
      <c r="B378" s="41"/>
      <c r="C378" s="41"/>
      <c r="D378" s="42"/>
      <c r="E378" s="43"/>
      <c r="F378" s="43"/>
      <c r="G378" s="43"/>
      <c r="H378" s="41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</row>
    <row r="379" spans="1:60" ht="16">
      <c r="A379" s="41"/>
      <c r="B379" s="41"/>
      <c r="C379" s="41"/>
      <c r="D379" s="42"/>
      <c r="E379" s="43"/>
      <c r="F379" s="43"/>
      <c r="G379" s="43"/>
      <c r="H379" s="41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</row>
    <row r="380" spans="1:60" ht="16">
      <c r="A380" s="41"/>
      <c r="B380" s="41"/>
      <c r="C380" s="41"/>
      <c r="D380" s="42"/>
      <c r="E380" s="43"/>
      <c r="F380" s="43"/>
      <c r="G380" s="43"/>
      <c r="H380" s="41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</row>
    <row r="381" spans="1:60" ht="16">
      <c r="A381" s="41"/>
      <c r="B381" s="41"/>
      <c r="C381" s="41"/>
      <c r="D381" s="42"/>
      <c r="E381" s="43"/>
      <c r="F381" s="43"/>
      <c r="G381" s="43"/>
      <c r="H381" s="41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</row>
    <row r="382" spans="1:60" ht="16">
      <c r="A382" s="41"/>
      <c r="B382" s="41"/>
      <c r="C382" s="41"/>
      <c r="D382" s="42"/>
      <c r="E382" s="43"/>
      <c r="F382" s="43"/>
      <c r="G382" s="43"/>
      <c r="H382" s="41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</row>
    <row r="383" spans="1:60" ht="16">
      <c r="A383" s="41"/>
      <c r="B383" s="41"/>
      <c r="C383" s="41"/>
      <c r="D383" s="42"/>
      <c r="E383" s="43"/>
      <c r="F383" s="43"/>
      <c r="G383" s="43"/>
      <c r="H383" s="41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</row>
    <row r="384" spans="1:60" ht="16">
      <c r="A384" s="41"/>
      <c r="B384" s="41"/>
      <c r="C384" s="41"/>
      <c r="D384" s="42"/>
      <c r="E384" s="43"/>
      <c r="F384" s="43"/>
      <c r="G384" s="43"/>
      <c r="H384" s="41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</row>
    <row r="385" spans="1:60" ht="16">
      <c r="A385" s="41"/>
      <c r="B385" s="41"/>
      <c r="C385" s="41"/>
      <c r="D385" s="42"/>
      <c r="E385" s="43"/>
      <c r="F385" s="43"/>
      <c r="G385" s="43"/>
      <c r="H385" s="41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</row>
    <row r="386" spans="1:60" ht="16">
      <c r="A386" s="41"/>
      <c r="B386" s="41"/>
      <c r="C386" s="41"/>
      <c r="D386" s="42"/>
      <c r="E386" s="43"/>
      <c r="F386" s="43"/>
      <c r="G386" s="43"/>
      <c r="H386" s="41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</row>
    <row r="387" spans="1:60" ht="16">
      <c r="A387" s="41"/>
      <c r="B387" s="41"/>
      <c r="C387" s="41"/>
      <c r="D387" s="42"/>
      <c r="E387" s="43"/>
      <c r="F387" s="43"/>
      <c r="G387" s="43"/>
      <c r="H387" s="41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</row>
    <row r="388" spans="1:60" ht="16">
      <c r="A388" s="41"/>
      <c r="B388" s="41"/>
      <c r="C388" s="41"/>
      <c r="D388" s="42"/>
      <c r="E388" s="43"/>
      <c r="F388" s="43"/>
      <c r="G388" s="43"/>
      <c r="H388" s="41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</row>
    <row r="389" spans="1:60" ht="16">
      <c r="A389" s="41"/>
      <c r="B389" s="41"/>
      <c r="C389" s="41"/>
      <c r="D389" s="42"/>
      <c r="E389" s="43"/>
      <c r="F389" s="43"/>
      <c r="G389" s="43"/>
      <c r="H389" s="41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</row>
    <row r="390" spans="1:60" ht="16">
      <c r="A390" s="41"/>
      <c r="B390" s="41"/>
      <c r="C390" s="41"/>
      <c r="D390" s="42"/>
      <c r="E390" s="43"/>
      <c r="F390" s="43"/>
      <c r="G390" s="43"/>
      <c r="H390" s="41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</row>
    <row r="391" spans="1:60" ht="16">
      <c r="A391" s="41"/>
      <c r="B391" s="41"/>
      <c r="C391" s="41"/>
      <c r="D391" s="42"/>
      <c r="E391" s="43"/>
      <c r="F391" s="43"/>
      <c r="G391" s="43"/>
      <c r="H391" s="41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</row>
    <row r="392" spans="1:60" ht="16">
      <c r="A392" s="41"/>
      <c r="B392" s="41"/>
      <c r="C392" s="41"/>
      <c r="D392" s="42"/>
      <c r="E392" s="43"/>
      <c r="F392" s="43"/>
      <c r="G392" s="43"/>
      <c r="H392" s="41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</row>
    <row r="393" spans="1:60" ht="16">
      <c r="A393" s="41"/>
      <c r="B393" s="41"/>
      <c r="C393" s="41"/>
      <c r="D393" s="42"/>
      <c r="E393" s="43"/>
      <c r="F393" s="43"/>
      <c r="G393" s="43"/>
      <c r="H393" s="41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</row>
    <row r="394" spans="1:60" ht="16">
      <c r="A394" s="41"/>
      <c r="B394" s="41"/>
      <c r="C394" s="41"/>
      <c r="D394" s="42"/>
      <c r="E394" s="43"/>
      <c r="F394" s="43"/>
      <c r="G394" s="43"/>
      <c r="H394" s="41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</row>
    <row r="395" spans="1:60" ht="16">
      <c r="A395" s="41"/>
      <c r="B395" s="41"/>
      <c r="C395" s="41"/>
      <c r="D395" s="42"/>
      <c r="E395" s="43"/>
      <c r="F395" s="43"/>
      <c r="G395" s="43"/>
      <c r="H395" s="41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</row>
    <row r="396" spans="1:60" ht="16">
      <c r="A396" s="41"/>
      <c r="B396" s="41"/>
      <c r="C396" s="41"/>
      <c r="D396" s="42"/>
      <c r="E396" s="43"/>
      <c r="F396" s="43"/>
      <c r="G396" s="43"/>
      <c r="H396" s="41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</row>
    <row r="397" spans="1:60" ht="16">
      <c r="A397" s="41"/>
      <c r="B397" s="41"/>
      <c r="C397" s="41"/>
      <c r="D397" s="42"/>
      <c r="E397" s="43"/>
      <c r="F397" s="43"/>
      <c r="G397" s="43"/>
      <c r="H397" s="41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</row>
    <row r="398" spans="1:60" ht="16">
      <c r="A398" s="41"/>
      <c r="B398" s="41"/>
      <c r="C398" s="41"/>
      <c r="D398" s="42"/>
      <c r="E398" s="43"/>
      <c r="F398" s="43"/>
      <c r="G398" s="43"/>
      <c r="H398" s="41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</row>
    <row r="399" spans="1:60" ht="16">
      <c r="A399" s="41"/>
      <c r="B399" s="41"/>
      <c r="C399" s="41"/>
      <c r="D399" s="42"/>
      <c r="E399" s="43"/>
      <c r="F399" s="43"/>
      <c r="G399" s="43"/>
      <c r="H399" s="41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</row>
    <row r="400" spans="1:60" ht="16">
      <c r="A400" s="41"/>
      <c r="B400" s="41"/>
      <c r="C400" s="41"/>
      <c r="D400" s="42"/>
      <c r="E400" s="43"/>
      <c r="F400" s="43"/>
      <c r="G400" s="43"/>
      <c r="H400" s="41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</row>
    <row r="401" spans="1:60" ht="16">
      <c r="A401" s="41"/>
      <c r="B401" s="41"/>
      <c r="C401" s="41"/>
      <c r="D401" s="42"/>
      <c r="E401" s="43"/>
      <c r="F401" s="43"/>
      <c r="G401" s="43"/>
      <c r="H401" s="41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</row>
    <row r="402" spans="1:60" ht="16">
      <c r="A402" s="41"/>
      <c r="B402" s="41"/>
      <c r="C402" s="41"/>
      <c r="D402" s="42"/>
      <c r="E402" s="43"/>
      <c r="F402" s="43"/>
      <c r="G402" s="43"/>
      <c r="H402" s="41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</row>
    <row r="403" spans="1:60" ht="16">
      <c r="A403" s="41"/>
      <c r="B403" s="41"/>
      <c r="C403" s="41"/>
      <c r="D403" s="42"/>
      <c r="E403" s="43"/>
      <c r="F403" s="43"/>
      <c r="G403" s="43"/>
      <c r="H403" s="41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</row>
    <row r="404" spans="1:60" ht="16">
      <c r="A404" s="41"/>
      <c r="B404" s="41"/>
      <c r="C404" s="41"/>
      <c r="D404" s="42"/>
      <c r="E404" s="43"/>
      <c r="F404" s="43"/>
      <c r="G404" s="43"/>
      <c r="H404" s="41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</row>
    <row r="405" spans="1:60" ht="16">
      <c r="A405" s="41"/>
      <c r="B405" s="41"/>
      <c r="C405" s="41"/>
      <c r="D405" s="42"/>
      <c r="E405" s="43"/>
      <c r="F405" s="43"/>
      <c r="G405" s="43"/>
      <c r="H405" s="41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</row>
    <row r="406" spans="1:60" ht="16">
      <c r="A406" s="41"/>
      <c r="B406" s="41"/>
      <c r="C406" s="41"/>
      <c r="D406" s="42"/>
      <c r="E406" s="43"/>
      <c r="F406" s="43"/>
      <c r="G406" s="43"/>
      <c r="H406" s="41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</row>
    <row r="407" spans="1:60" ht="16">
      <c r="A407" s="41"/>
      <c r="B407" s="41"/>
      <c r="C407" s="41"/>
      <c r="D407" s="42"/>
      <c r="E407" s="43"/>
      <c r="F407" s="43"/>
      <c r="G407" s="43"/>
      <c r="H407" s="41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</row>
    <row r="408" spans="1:60" ht="16">
      <c r="A408" s="41"/>
      <c r="B408" s="41"/>
      <c r="C408" s="41"/>
      <c r="D408" s="42"/>
      <c r="E408" s="43"/>
      <c r="F408" s="43"/>
      <c r="G408" s="43"/>
      <c r="H408" s="41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</row>
    <row r="409" spans="1:60" ht="16">
      <c r="A409" s="41"/>
      <c r="B409" s="41"/>
      <c r="C409" s="41"/>
      <c r="D409" s="42"/>
      <c r="E409" s="43"/>
      <c r="F409" s="43"/>
      <c r="G409" s="43"/>
      <c r="H409" s="41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</row>
    <row r="410" spans="1:60" ht="16">
      <c r="A410" s="41"/>
      <c r="B410" s="41"/>
      <c r="C410" s="41"/>
      <c r="D410" s="42"/>
      <c r="E410" s="43"/>
      <c r="F410" s="43"/>
      <c r="G410" s="43"/>
      <c r="H410" s="41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</row>
    <row r="411" spans="1:60" ht="16">
      <c r="A411" s="41"/>
      <c r="B411" s="41"/>
      <c r="C411" s="41"/>
      <c r="D411" s="42"/>
      <c r="E411" s="43"/>
      <c r="F411" s="43"/>
      <c r="G411" s="43"/>
      <c r="H411" s="41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</row>
    <row r="412" spans="1:60" ht="16">
      <c r="A412" s="41"/>
      <c r="B412" s="41"/>
      <c r="C412" s="41"/>
      <c r="D412" s="42"/>
      <c r="E412" s="43"/>
      <c r="F412" s="43"/>
      <c r="G412" s="43"/>
      <c r="H412" s="41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</row>
    <row r="413" spans="1:60" ht="16">
      <c r="A413" s="41"/>
      <c r="B413" s="41"/>
      <c r="C413" s="41"/>
      <c r="D413" s="42"/>
      <c r="E413" s="43"/>
      <c r="F413" s="43"/>
      <c r="G413" s="43"/>
      <c r="H413" s="41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</row>
    <row r="414" spans="1:60" ht="16">
      <c r="A414" s="41"/>
      <c r="B414" s="41"/>
      <c r="C414" s="41"/>
      <c r="D414" s="42"/>
      <c r="E414" s="43"/>
      <c r="F414" s="43"/>
      <c r="G414" s="43"/>
      <c r="H414" s="41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</row>
    <row r="415" spans="1:60" ht="16">
      <c r="A415" s="41"/>
      <c r="B415" s="41"/>
      <c r="C415" s="41"/>
      <c r="D415" s="42"/>
      <c r="E415" s="43"/>
      <c r="F415" s="43"/>
      <c r="G415" s="43"/>
      <c r="H415" s="41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</row>
    <row r="416" spans="1:60" ht="16">
      <c r="A416" s="41"/>
      <c r="B416" s="41"/>
      <c r="C416" s="41"/>
      <c r="D416" s="42"/>
      <c r="E416" s="43"/>
      <c r="F416" s="43"/>
      <c r="G416" s="43"/>
      <c r="H416" s="41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</row>
    <row r="417" spans="1:60" ht="16">
      <c r="A417" s="41"/>
      <c r="B417" s="41"/>
      <c r="C417" s="41"/>
      <c r="D417" s="42"/>
      <c r="E417" s="43"/>
      <c r="F417" s="43"/>
      <c r="G417" s="43"/>
      <c r="H417" s="41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</row>
    <row r="418" spans="1:60" ht="16">
      <c r="A418" s="41"/>
      <c r="B418" s="41"/>
      <c r="C418" s="41"/>
      <c r="D418" s="42"/>
      <c r="E418" s="43"/>
      <c r="F418" s="43"/>
      <c r="G418" s="43"/>
      <c r="H418" s="41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</row>
    <row r="419" spans="1:60" ht="16">
      <c r="A419" s="41"/>
      <c r="B419" s="41"/>
      <c r="C419" s="41"/>
      <c r="D419" s="42"/>
      <c r="E419" s="43"/>
      <c r="F419" s="43"/>
      <c r="G419" s="43"/>
      <c r="H419" s="41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</row>
    <row r="420" spans="1:60" ht="16">
      <c r="A420" s="41"/>
      <c r="B420" s="41"/>
      <c r="C420" s="41"/>
      <c r="D420" s="42"/>
      <c r="E420" s="43"/>
      <c r="F420" s="43"/>
      <c r="G420" s="43"/>
      <c r="H420" s="41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</row>
    <row r="421" spans="1:60" ht="16">
      <c r="A421" s="41"/>
      <c r="B421" s="41"/>
      <c r="C421" s="41"/>
      <c r="D421" s="42"/>
      <c r="E421" s="43"/>
      <c r="F421" s="43"/>
      <c r="G421" s="43"/>
      <c r="H421" s="41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</row>
    <row r="422" spans="1:60" ht="16">
      <c r="A422" s="41"/>
      <c r="B422" s="41"/>
      <c r="C422" s="41"/>
      <c r="D422" s="42"/>
      <c r="E422" s="43"/>
      <c r="F422" s="43"/>
      <c r="G422" s="43"/>
      <c r="H422" s="41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</row>
    <row r="423" spans="1:60" ht="16">
      <c r="A423" s="41"/>
      <c r="B423" s="41"/>
      <c r="C423" s="41"/>
      <c r="D423" s="42"/>
      <c r="E423" s="43"/>
      <c r="F423" s="43"/>
      <c r="G423" s="43"/>
      <c r="H423" s="41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</row>
    <row r="424" spans="1:60" ht="16">
      <c r="A424" s="41"/>
      <c r="B424" s="41"/>
      <c r="C424" s="41"/>
      <c r="D424" s="42"/>
      <c r="E424" s="43"/>
      <c r="F424" s="43"/>
      <c r="G424" s="43"/>
      <c r="H424" s="41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</row>
    <row r="425" spans="1:60" ht="16">
      <c r="A425" s="41"/>
      <c r="B425" s="41"/>
      <c r="C425" s="41"/>
      <c r="D425" s="42"/>
      <c r="E425" s="43"/>
      <c r="F425" s="43"/>
      <c r="G425" s="43"/>
      <c r="H425" s="41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</row>
    <row r="426" spans="1:60" ht="16">
      <c r="A426" s="41"/>
      <c r="B426" s="41"/>
      <c r="C426" s="41"/>
      <c r="D426" s="42"/>
      <c r="E426" s="43"/>
      <c r="F426" s="43"/>
      <c r="G426" s="43"/>
      <c r="H426" s="41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</row>
    <row r="427" spans="1:60" ht="16">
      <c r="A427" s="41"/>
      <c r="B427" s="41"/>
      <c r="C427" s="41"/>
      <c r="D427" s="42"/>
      <c r="E427" s="43"/>
      <c r="F427" s="43"/>
      <c r="G427" s="43"/>
      <c r="H427" s="41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</row>
    <row r="428" spans="1:60" ht="16">
      <c r="A428" s="41"/>
      <c r="B428" s="41"/>
      <c r="C428" s="41"/>
      <c r="D428" s="42"/>
      <c r="E428" s="43"/>
      <c r="F428" s="43"/>
      <c r="G428" s="43"/>
      <c r="H428" s="41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</row>
    <row r="429" spans="1:60" ht="16">
      <c r="A429" s="41"/>
      <c r="B429" s="41"/>
      <c r="C429" s="41"/>
      <c r="D429" s="42"/>
      <c r="E429" s="43"/>
      <c r="F429" s="43"/>
      <c r="G429" s="43"/>
      <c r="H429" s="41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</row>
    <row r="430" spans="1:60" ht="16">
      <c r="A430" s="41"/>
      <c r="B430" s="41"/>
      <c r="C430" s="41"/>
      <c r="D430" s="42"/>
      <c r="E430" s="43"/>
      <c r="F430" s="43"/>
      <c r="G430" s="43"/>
      <c r="H430" s="41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</row>
    <row r="431" spans="1:60" ht="16">
      <c r="A431" s="41"/>
      <c r="B431" s="41"/>
      <c r="C431" s="41"/>
      <c r="D431" s="42"/>
      <c r="E431" s="43"/>
      <c r="F431" s="43"/>
      <c r="G431" s="43"/>
      <c r="H431" s="41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</row>
    <row r="432" spans="1:60" ht="16">
      <c r="A432" s="41"/>
      <c r="B432" s="41"/>
      <c r="C432" s="41"/>
      <c r="D432" s="42"/>
      <c r="E432" s="43"/>
      <c r="F432" s="43"/>
      <c r="G432" s="43"/>
      <c r="H432" s="41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</row>
    <row r="433" spans="1:60" ht="16">
      <c r="A433" s="41"/>
      <c r="B433" s="41"/>
      <c r="C433" s="41"/>
      <c r="D433" s="42"/>
      <c r="E433" s="43"/>
      <c r="F433" s="43"/>
      <c r="G433" s="43"/>
      <c r="H433" s="41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</row>
    <row r="434" spans="1:60" ht="16">
      <c r="A434" s="41"/>
      <c r="B434" s="41"/>
      <c r="C434" s="41"/>
      <c r="D434" s="42"/>
      <c r="E434" s="43"/>
      <c r="F434" s="43"/>
      <c r="G434" s="43"/>
      <c r="H434" s="41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</row>
    <row r="435" spans="1:60" ht="16">
      <c r="A435" s="41"/>
      <c r="B435" s="41"/>
      <c r="C435" s="41"/>
      <c r="D435" s="42"/>
      <c r="E435" s="43"/>
      <c r="F435" s="43"/>
      <c r="G435" s="43"/>
      <c r="H435" s="41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</row>
    <row r="436" spans="1:60" ht="16">
      <c r="A436" s="41"/>
      <c r="B436" s="41"/>
      <c r="C436" s="41"/>
      <c r="D436" s="42"/>
      <c r="E436" s="43"/>
      <c r="F436" s="43"/>
      <c r="G436" s="43"/>
      <c r="H436" s="41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</row>
    <row r="437" spans="1:60" ht="16">
      <c r="A437" s="41"/>
      <c r="B437" s="41"/>
      <c r="C437" s="41"/>
      <c r="D437" s="42"/>
      <c r="E437" s="43"/>
      <c r="F437" s="43"/>
      <c r="G437" s="43"/>
      <c r="H437" s="41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</row>
    <row r="438" spans="1:60" ht="16">
      <c r="A438" s="41"/>
      <c r="B438" s="41"/>
      <c r="C438" s="41"/>
      <c r="D438" s="42"/>
      <c r="E438" s="43"/>
      <c r="F438" s="43"/>
      <c r="G438" s="43"/>
      <c r="H438" s="41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</row>
    <row r="439" spans="1:60" ht="16">
      <c r="A439" s="41"/>
      <c r="B439" s="41"/>
      <c r="C439" s="41"/>
      <c r="D439" s="42"/>
      <c r="E439" s="43"/>
      <c r="F439" s="43"/>
      <c r="G439" s="43"/>
      <c r="H439" s="41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</row>
    <row r="440" spans="1:60" ht="16">
      <c r="A440" s="41"/>
      <c r="B440" s="41"/>
      <c r="C440" s="41"/>
      <c r="D440" s="42"/>
      <c r="E440" s="43"/>
      <c r="F440" s="43"/>
      <c r="G440" s="43"/>
      <c r="H440" s="41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</row>
    <row r="441" spans="1:60" ht="16">
      <c r="A441" s="41"/>
      <c r="B441" s="41"/>
      <c r="C441" s="41"/>
      <c r="D441" s="42"/>
      <c r="E441" s="43"/>
      <c r="F441" s="43"/>
      <c r="G441" s="43"/>
      <c r="H441" s="41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</row>
    <row r="442" spans="1:60" ht="16">
      <c r="A442" s="41"/>
      <c r="B442" s="41"/>
      <c r="C442" s="41"/>
      <c r="D442" s="42"/>
      <c r="E442" s="43"/>
      <c r="F442" s="43"/>
      <c r="G442" s="43"/>
      <c r="H442" s="41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</row>
    <row r="443" spans="1:60" ht="16">
      <c r="A443" s="41"/>
      <c r="B443" s="41"/>
      <c r="C443" s="41"/>
      <c r="D443" s="42"/>
      <c r="E443" s="43"/>
      <c r="F443" s="43"/>
      <c r="G443" s="43"/>
      <c r="H443" s="41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</row>
    <row r="444" spans="1:60" ht="16">
      <c r="A444" s="41"/>
      <c r="B444" s="41"/>
      <c r="C444" s="41"/>
      <c r="D444" s="42"/>
      <c r="E444" s="43"/>
      <c r="F444" s="43"/>
      <c r="G444" s="43"/>
      <c r="H444" s="41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</row>
    <row r="445" spans="1:60" ht="16">
      <c r="A445" s="41"/>
      <c r="B445" s="41"/>
      <c r="C445" s="41"/>
      <c r="D445" s="42"/>
      <c r="E445" s="43"/>
      <c r="F445" s="43"/>
      <c r="G445" s="43"/>
      <c r="H445" s="41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</row>
    <row r="446" spans="1:60" ht="16">
      <c r="A446" s="41"/>
      <c r="B446" s="41"/>
      <c r="C446" s="41"/>
      <c r="D446" s="42"/>
      <c r="E446" s="43"/>
      <c r="F446" s="43"/>
      <c r="G446" s="43"/>
      <c r="H446" s="41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</row>
    <row r="447" spans="1:60" ht="16">
      <c r="A447" s="41"/>
      <c r="B447" s="41"/>
      <c r="C447" s="41"/>
      <c r="D447" s="42"/>
      <c r="E447" s="43"/>
      <c r="F447" s="43"/>
      <c r="G447" s="43"/>
      <c r="H447" s="41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</row>
    <row r="448" spans="1:60" ht="16">
      <c r="A448" s="41"/>
      <c r="B448" s="41"/>
      <c r="C448" s="41"/>
      <c r="D448" s="42"/>
      <c r="E448" s="43"/>
      <c r="F448" s="43"/>
      <c r="G448" s="43"/>
      <c r="H448" s="41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</row>
    <row r="449" spans="1:60" ht="16">
      <c r="A449" s="41"/>
      <c r="B449" s="41"/>
      <c r="C449" s="41"/>
      <c r="D449" s="42"/>
      <c r="E449" s="43"/>
      <c r="F449" s="43"/>
      <c r="G449" s="43"/>
      <c r="H449" s="41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</row>
    <row r="450" spans="1:60" ht="16">
      <c r="A450" s="41"/>
      <c r="B450" s="41"/>
      <c r="C450" s="41"/>
      <c r="D450" s="42"/>
      <c r="E450" s="43"/>
      <c r="F450" s="43"/>
      <c r="G450" s="43"/>
      <c r="H450" s="41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</row>
    <row r="451" spans="1:60" ht="16">
      <c r="A451" s="41"/>
      <c r="B451" s="41"/>
      <c r="C451" s="41"/>
      <c r="D451" s="42"/>
      <c r="E451" s="43"/>
      <c r="F451" s="43"/>
      <c r="G451" s="43"/>
      <c r="H451" s="41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</row>
    <row r="452" spans="1:60" ht="16">
      <c r="A452" s="41"/>
      <c r="B452" s="41"/>
      <c r="C452" s="41"/>
      <c r="D452" s="42"/>
      <c r="E452" s="43"/>
      <c r="F452" s="43"/>
      <c r="G452" s="43"/>
      <c r="H452" s="41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</row>
    <row r="453" spans="1:60" ht="16">
      <c r="A453" s="41"/>
      <c r="B453" s="41"/>
      <c r="C453" s="41"/>
      <c r="D453" s="42"/>
      <c r="E453" s="43"/>
      <c r="F453" s="43"/>
      <c r="G453" s="43"/>
      <c r="H453" s="41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</row>
    <row r="454" spans="1:60" ht="16">
      <c r="A454" s="41"/>
      <c r="B454" s="41"/>
      <c r="C454" s="41"/>
      <c r="D454" s="42"/>
      <c r="E454" s="43"/>
      <c r="F454" s="43"/>
      <c r="G454" s="43"/>
      <c r="H454" s="41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</row>
    <row r="455" spans="1:60" ht="16">
      <c r="A455" s="41"/>
      <c r="B455" s="41"/>
      <c r="C455" s="41"/>
      <c r="D455" s="42"/>
      <c r="E455" s="43"/>
      <c r="F455" s="43"/>
      <c r="G455" s="43"/>
      <c r="H455" s="41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</row>
    <row r="456" spans="1:60" ht="16">
      <c r="A456" s="41"/>
      <c r="B456" s="41"/>
      <c r="C456" s="41"/>
      <c r="D456" s="42"/>
      <c r="E456" s="43"/>
      <c r="F456" s="43"/>
      <c r="G456" s="43"/>
      <c r="H456" s="41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</row>
    <row r="457" spans="1:60" ht="16">
      <c r="A457" s="41"/>
      <c r="B457" s="41"/>
      <c r="C457" s="41"/>
      <c r="D457" s="42"/>
      <c r="E457" s="43"/>
      <c r="F457" s="43"/>
      <c r="G457" s="43"/>
      <c r="H457" s="41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</row>
    <row r="458" spans="1:60" ht="16">
      <c r="A458" s="41"/>
      <c r="B458" s="41"/>
      <c r="C458" s="41"/>
      <c r="D458" s="42"/>
      <c r="E458" s="43"/>
      <c r="F458" s="43"/>
      <c r="G458" s="43"/>
      <c r="H458" s="41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</row>
    <row r="459" spans="1:60" ht="16">
      <c r="A459" s="41"/>
      <c r="B459" s="41"/>
      <c r="C459" s="41"/>
      <c r="D459" s="42"/>
      <c r="E459" s="43"/>
      <c r="F459" s="43"/>
      <c r="G459" s="43"/>
      <c r="H459" s="41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</row>
    <row r="460" spans="1:60" ht="16">
      <c r="A460" s="41"/>
      <c r="B460" s="41"/>
      <c r="C460" s="41"/>
      <c r="D460" s="42"/>
      <c r="E460" s="43"/>
      <c r="F460" s="43"/>
      <c r="G460" s="43"/>
      <c r="H460" s="41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</row>
    <row r="461" spans="1:60" ht="16">
      <c r="A461" s="41"/>
      <c r="B461" s="41"/>
      <c r="C461" s="41"/>
      <c r="D461" s="42"/>
      <c r="E461" s="43"/>
      <c r="F461" s="43"/>
      <c r="G461" s="43"/>
      <c r="H461" s="41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</row>
    <row r="462" spans="1:60" ht="16">
      <c r="A462" s="41"/>
      <c r="B462" s="41"/>
      <c r="C462" s="41"/>
      <c r="D462" s="42"/>
      <c r="E462" s="43"/>
      <c r="F462" s="43"/>
      <c r="G462" s="43"/>
      <c r="H462" s="41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</row>
    <row r="463" spans="1:60" ht="16">
      <c r="A463" s="41"/>
      <c r="B463" s="41"/>
      <c r="C463" s="41"/>
      <c r="D463" s="42"/>
      <c r="E463" s="43"/>
      <c r="F463" s="43"/>
      <c r="G463" s="43"/>
      <c r="H463" s="41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</row>
    <row r="464" spans="1:60" ht="16">
      <c r="A464" s="41"/>
      <c r="B464" s="41"/>
      <c r="C464" s="41"/>
      <c r="D464" s="42"/>
      <c r="E464" s="43"/>
      <c r="F464" s="43"/>
      <c r="G464" s="43"/>
      <c r="H464" s="41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</row>
    <row r="465" spans="1:60" ht="16">
      <c r="A465" s="41"/>
      <c r="B465" s="41"/>
      <c r="C465" s="41"/>
      <c r="D465" s="42"/>
      <c r="E465" s="43"/>
      <c r="F465" s="43"/>
      <c r="G465" s="43"/>
      <c r="H465" s="41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</row>
    <row r="466" spans="1:60" ht="16">
      <c r="A466" s="41"/>
      <c r="B466" s="41"/>
      <c r="C466" s="41"/>
      <c r="D466" s="42"/>
      <c r="E466" s="43"/>
      <c r="F466" s="43"/>
      <c r="G466" s="43"/>
      <c r="H466" s="41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</row>
    <row r="467" spans="1:60" ht="16">
      <c r="A467" s="41"/>
      <c r="B467" s="41"/>
      <c r="C467" s="41"/>
      <c r="D467" s="42"/>
      <c r="E467" s="43"/>
      <c r="F467" s="43"/>
      <c r="G467" s="43"/>
      <c r="H467" s="41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</row>
    <row r="468" spans="1:60" ht="16">
      <c r="A468" s="41"/>
      <c r="B468" s="41"/>
      <c r="C468" s="41"/>
      <c r="D468" s="42"/>
      <c r="E468" s="43"/>
      <c r="F468" s="43"/>
      <c r="G468" s="43"/>
      <c r="H468" s="41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</row>
    <row r="469" spans="1:60" ht="16">
      <c r="A469" s="41"/>
      <c r="B469" s="41"/>
      <c r="C469" s="41"/>
      <c r="D469" s="42"/>
      <c r="E469" s="43"/>
      <c r="F469" s="43"/>
      <c r="G469" s="43"/>
      <c r="H469" s="41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</row>
    <row r="470" spans="1:60" ht="16">
      <c r="A470" s="41"/>
      <c r="B470" s="41"/>
      <c r="C470" s="41"/>
      <c r="D470" s="42"/>
      <c r="E470" s="43"/>
      <c r="F470" s="43"/>
      <c r="G470" s="43"/>
      <c r="H470" s="41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</row>
    <row r="471" spans="1:60" ht="16">
      <c r="A471" s="41"/>
      <c r="B471" s="41"/>
      <c r="C471" s="41"/>
      <c r="D471" s="42"/>
      <c r="E471" s="43"/>
      <c r="F471" s="43"/>
      <c r="G471" s="43"/>
      <c r="H471" s="41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</row>
    <row r="472" spans="1:60" ht="16">
      <c r="A472" s="41"/>
      <c r="B472" s="41"/>
      <c r="C472" s="41"/>
      <c r="D472" s="42"/>
      <c r="E472" s="43"/>
      <c r="F472" s="43"/>
      <c r="G472" s="43"/>
      <c r="H472" s="41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</row>
    <row r="473" spans="1:60" ht="16">
      <c r="A473" s="41"/>
      <c r="B473" s="41"/>
      <c r="C473" s="41"/>
      <c r="D473" s="42"/>
      <c r="E473" s="43"/>
      <c r="F473" s="43"/>
      <c r="G473" s="43"/>
      <c r="H473" s="41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</row>
    <row r="474" spans="1:60" ht="16">
      <c r="A474" s="41"/>
      <c r="B474" s="41"/>
      <c r="C474" s="41"/>
      <c r="D474" s="42"/>
      <c r="E474" s="43"/>
      <c r="F474" s="43"/>
      <c r="G474" s="43"/>
      <c r="H474" s="41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</row>
    <row r="475" spans="1:60" ht="16">
      <c r="A475" s="41"/>
      <c r="B475" s="41"/>
      <c r="C475" s="41"/>
      <c r="D475" s="42"/>
      <c r="E475" s="43"/>
      <c r="F475" s="43"/>
      <c r="G475" s="43"/>
      <c r="H475" s="41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</row>
    <row r="476" spans="1:60" ht="16">
      <c r="A476" s="41"/>
      <c r="B476" s="41"/>
      <c r="C476" s="41"/>
      <c r="D476" s="42"/>
      <c r="E476" s="43"/>
      <c r="F476" s="43"/>
      <c r="G476" s="43"/>
      <c r="H476" s="41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</row>
    <row r="477" spans="1:60" ht="16">
      <c r="A477" s="41"/>
      <c r="B477" s="41"/>
      <c r="C477" s="41"/>
      <c r="D477" s="42"/>
      <c r="E477" s="43"/>
      <c r="F477" s="43"/>
      <c r="G477" s="43"/>
      <c r="H477" s="41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</row>
    <row r="478" spans="1:60" ht="16">
      <c r="A478" s="41"/>
      <c r="B478" s="41"/>
      <c r="C478" s="41"/>
      <c r="D478" s="42"/>
      <c r="E478" s="43"/>
      <c r="F478" s="43"/>
      <c r="G478" s="43"/>
      <c r="H478" s="41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</row>
    <row r="479" spans="1:60" ht="16">
      <c r="A479" s="41"/>
      <c r="B479" s="41"/>
      <c r="C479" s="41"/>
      <c r="D479" s="42"/>
      <c r="E479" s="43"/>
      <c r="F479" s="43"/>
      <c r="G479" s="43"/>
      <c r="H479" s="41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</row>
    <row r="480" spans="1:60" ht="16">
      <c r="A480" s="41"/>
      <c r="B480" s="41"/>
      <c r="C480" s="41"/>
      <c r="D480" s="42"/>
      <c r="E480" s="43"/>
      <c r="F480" s="43"/>
      <c r="G480" s="43"/>
      <c r="H480" s="41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</row>
    <row r="481" spans="1:60" ht="16">
      <c r="A481" s="41"/>
      <c r="B481" s="41"/>
      <c r="C481" s="41"/>
      <c r="D481" s="42"/>
      <c r="E481" s="43"/>
      <c r="F481" s="43"/>
      <c r="G481" s="43"/>
      <c r="H481" s="41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</row>
    <row r="482" spans="1:60" ht="16">
      <c r="A482" s="41"/>
      <c r="B482" s="41"/>
      <c r="C482" s="41"/>
      <c r="D482" s="42"/>
      <c r="E482" s="43"/>
      <c r="F482" s="43"/>
      <c r="G482" s="43"/>
      <c r="H482" s="41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</row>
    <row r="483" spans="1:60" ht="16">
      <c r="A483" s="41"/>
      <c r="B483" s="41"/>
      <c r="C483" s="41"/>
      <c r="D483" s="42"/>
      <c r="E483" s="43"/>
      <c r="F483" s="43"/>
      <c r="G483" s="43"/>
      <c r="H483" s="41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</row>
    <row r="484" spans="1:60" ht="16">
      <c r="A484" s="41"/>
      <c r="B484" s="41"/>
      <c r="C484" s="41"/>
      <c r="D484" s="42"/>
      <c r="E484" s="43"/>
      <c r="F484" s="43"/>
      <c r="G484" s="43"/>
      <c r="H484" s="41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</row>
    <row r="485" spans="1:60" ht="16">
      <c r="A485" s="41"/>
      <c r="B485" s="41"/>
      <c r="C485" s="41"/>
      <c r="D485" s="42"/>
      <c r="E485" s="43"/>
      <c r="F485" s="43"/>
      <c r="G485" s="43"/>
      <c r="H485" s="41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</row>
    <row r="486" spans="1:60" ht="16">
      <c r="A486" s="41"/>
      <c r="B486" s="41"/>
      <c r="C486" s="41"/>
      <c r="D486" s="42"/>
      <c r="E486" s="43"/>
      <c r="F486" s="43"/>
      <c r="G486" s="43"/>
      <c r="H486" s="41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</row>
    <row r="487" spans="1:60" ht="16">
      <c r="A487" s="41"/>
      <c r="B487" s="41"/>
      <c r="C487" s="41"/>
      <c r="D487" s="42"/>
      <c r="E487" s="43"/>
      <c r="F487" s="43"/>
      <c r="G487" s="43"/>
      <c r="H487" s="41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</row>
    <row r="488" spans="1:60" ht="16">
      <c r="A488" s="41"/>
      <c r="B488" s="41"/>
      <c r="C488" s="41"/>
      <c r="D488" s="42"/>
      <c r="E488" s="43"/>
      <c r="F488" s="43"/>
      <c r="G488" s="43"/>
      <c r="H488" s="41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</row>
    <row r="489" spans="1:60" ht="16">
      <c r="A489" s="41"/>
      <c r="B489" s="41"/>
      <c r="C489" s="41"/>
      <c r="D489" s="42"/>
      <c r="E489" s="43"/>
      <c r="F489" s="43"/>
      <c r="G489" s="43"/>
      <c r="H489" s="41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</row>
    <row r="490" spans="1:60" ht="16">
      <c r="A490" s="41"/>
      <c r="B490" s="41"/>
      <c r="C490" s="41"/>
      <c r="D490" s="42"/>
      <c r="E490" s="43"/>
      <c r="F490" s="43"/>
      <c r="G490" s="43"/>
      <c r="H490" s="41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</row>
    <row r="491" spans="1:60" ht="16">
      <c r="A491" s="41"/>
      <c r="B491" s="41"/>
      <c r="C491" s="41"/>
      <c r="D491" s="42"/>
      <c r="E491" s="43"/>
      <c r="F491" s="43"/>
      <c r="G491" s="43"/>
      <c r="H491" s="41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</row>
    <row r="492" spans="1:60" ht="16">
      <c r="A492" s="41"/>
      <c r="B492" s="41"/>
      <c r="C492" s="41"/>
      <c r="D492" s="42"/>
      <c r="E492" s="43"/>
      <c r="F492" s="43"/>
      <c r="G492" s="43"/>
      <c r="H492" s="41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</row>
    <row r="493" spans="1:60" ht="16">
      <c r="A493" s="41"/>
      <c r="B493" s="41"/>
      <c r="C493" s="41"/>
      <c r="D493" s="42"/>
      <c r="E493" s="43"/>
      <c r="F493" s="43"/>
      <c r="G493" s="43"/>
      <c r="H493" s="41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</row>
    <row r="494" spans="1:60" ht="16">
      <c r="A494" s="41"/>
      <c r="B494" s="41"/>
      <c r="C494" s="41"/>
      <c r="D494" s="42"/>
      <c r="E494" s="43"/>
      <c r="F494" s="43"/>
      <c r="G494" s="43"/>
      <c r="H494" s="41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</row>
    <row r="495" spans="1:60" ht="16">
      <c r="A495" s="41"/>
      <c r="B495" s="41"/>
      <c r="C495" s="41"/>
      <c r="D495" s="42"/>
      <c r="E495" s="43"/>
      <c r="F495" s="43"/>
      <c r="G495" s="43"/>
      <c r="H495" s="41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</row>
    <row r="496" spans="1:60" ht="16">
      <c r="A496" s="41"/>
      <c r="B496" s="41"/>
      <c r="C496" s="41"/>
      <c r="D496" s="42"/>
      <c r="E496" s="43"/>
      <c r="F496" s="43"/>
      <c r="G496" s="43"/>
      <c r="H496" s="41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</row>
    <row r="497" spans="1:60" ht="16">
      <c r="A497" s="41"/>
      <c r="B497" s="41"/>
      <c r="C497" s="41"/>
      <c r="D497" s="42"/>
      <c r="E497" s="43"/>
      <c r="F497" s="43"/>
      <c r="G497" s="43"/>
      <c r="H497" s="41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</row>
    <row r="498" spans="1:60" ht="16">
      <c r="A498" s="41"/>
      <c r="B498" s="41"/>
      <c r="C498" s="41"/>
      <c r="D498" s="42"/>
      <c r="E498" s="43"/>
      <c r="F498" s="43"/>
      <c r="G498" s="43"/>
      <c r="H498" s="41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</row>
    <row r="499" spans="1:60" ht="16">
      <c r="A499" s="41"/>
      <c r="B499" s="41"/>
      <c r="C499" s="41"/>
      <c r="D499" s="42"/>
      <c r="E499" s="43"/>
      <c r="F499" s="43"/>
      <c r="G499" s="43"/>
      <c r="H499" s="41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</row>
    <row r="500" spans="1:60" ht="16">
      <c r="A500" s="41"/>
      <c r="B500" s="41"/>
      <c r="C500" s="41"/>
      <c r="D500" s="42"/>
      <c r="E500" s="43"/>
      <c r="F500" s="43"/>
      <c r="G500" s="43"/>
      <c r="H500" s="41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</row>
    <row r="501" spans="1:60" ht="16">
      <c r="A501" s="41"/>
      <c r="B501" s="41"/>
      <c r="C501" s="41"/>
      <c r="D501" s="42"/>
      <c r="E501" s="43"/>
      <c r="F501" s="43"/>
      <c r="G501" s="43"/>
      <c r="H501" s="41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</row>
    <row r="502" spans="1:60" ht="16">
      <c r="A502" s="41"/>
      <c r="B502" s="41"/>
      <c r="C502" s="41"/>
      <c r="D502" s="42"/>
      <c r="E502" s="43"/>
      <c r="F502" s="43"/>
      <c r="G502" s="43"/>
      <c r="H502" s="41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</row>
    <row r="503" spans="1:60" ht="16">
      <c r="A503" s="41"/>
      <c r="B503" s="41"/>
      <c r="C503" s="41"/>
      <c r="D503" s="42"/>
      <c r="E503" s="43"/>
      <c r="F503" s="43"/>
      <c r="G503" s="43"/>
      <c r="H503" s="41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</row>
    <row r="504" spans="1:60" ht="16">
      <c r="A504" s="41"/>
      <c r="B504" s="41"/>
      <c r="C504" s="41"/>
      <c r="D504" s="42"/>
      <c r="E504" s="43"/>
      <c r="F504" s="43"/>
      <c r="G504" s="43"/>
      <c r="H504" s="41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</row>
    <row r="505" spans="1:60" ht="16">
      <c r="A505" s="41"/>
      <c r="B505" s="41"/>
      <c r="C505" s="41"/>
      <c r="D505" s="42"/>
      <c r="E505" s="43"/>
      <c r="F505" s="43"/>
      <c r="G505" s="43"/>
      <c r="H505" s="41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</row>
    <row r="506" spans="1:60" ht="16">
      <c r="A506" s="41"/>
      <c r="B506" s="41"/>
      <c r="C506" s="41"/>
      <c r="D506" s="42"/>
      <c r="E506" s="43"/>
      <c r="F506" s="43"/>
      <c r="G506" s="43"/>
      <c r="H506" s="41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</row>
    <row r="507" spans="1:60" ht="16">
      <c r="A507" s="41"/>
      <c r="B507" s="41"/>
      <c r="C507" s="41"/>
      <c r="D507" s="42"/>
      <c r="E507" s="43"/>
      <c r="F507" s="43"/>
      <c r="G507" s="43"/>
      <c r="H507" s="41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</row>
    <row r="508" spans="1:60" ht="16">
      <c r="A508" s="41"/>
      <c r="B508" s="41"/>
      <c r="C508" s="41"/>
      <c r="D508" s="42"/>
      <c r="E508" s="43"/>
      <c r="F508" s="43"/>
      <c r="G508" s="43"/>
      <c r="H508" s="41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</row>
    <row r="509" spans="1:60" ht="16">
      <c r="A509" s="41"/>
      <c r="B509" s="41"/>
      <c r="C509" s="41"/>
      <c r="D509" s="42"/>
      <c r="E509" s="43"/>
      <c r="F509" s="43"/>
      <c r="G509" s="43"/>
      <c r="H509" s="41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</row>
    <row r="510" spans="1:60" ht="16">
      <c r="A510" s="41"/>
      <c r="B510" s="41"/>
      <c r="C510" s="41"/>
      <c r="D510" s="42"/>
      <c r="E510" s="43"/>
      <c r="F510" s="43"/>
      <c r="G510" s="43"/>
      <c r="H510" s="41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</row>
    <row r="511" spans="1:60" ht="16">
      <c r="A511" s="41"/>
      <c r="B511" s="41"/>
      <c r="C511" s="41"/>
      <c r="D511" s="42"/>
      <c r="E511" s="43"/>
      <c r="F511" s="43"/>
      <c r="G511" s="43"/>
      <c r="H511" s="41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</row>
    <row r="512" spans="1:60" ht="16">
      <c r="A512" s="41"/>
      <c r="B512" s="41"/>
      <c r="C512" s="41"/>
      <c r="D512" s="42"/>
      <c r="E512" s="43"/>
      <c r="F512" s="43"/>
      <c r="G512" s="43"/>
      <c r="H512" s="41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</row>
    <row r="513" spans="1:60" ht="16">
      <c r="A513" s="41"/>
      <c r="B513" s="41"/>
      <c r="C513" s="41"/>
      <c r="D513" s="42"/>
      <c r="E513" s="43"/>
      <c r="F513" s="43"/>
      <c r="G513" s="43"/>
      <c r="H513" s="41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</row>
    <row r="514" spans="1:60" ht="16">
      <c r="A514" s="41"/>
      <c r="B514" s="41"/>
      <c r="C514" s="41"/>
      <c r="D514" s="42"/>
      <c r="E514" s="43"/>
      <c r="F514" s="43"/>
      <c r="G514" s="43"/>
      <c r="H514" s="41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</row>
    <row r="515" spans="1:60" ht="16">
      <c r="A515" s="41"/>
      <c r="B515" s="41"/>
      <c r="C515" s="41"/>
      <c r="D515" s="42"/>
      <c r="E515" s="43"/>
      <c r="F515" s="43"/>
      <c r="G515" s="43"/>
      <c r="H515" s="41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</row>
    <row r="516" spans="1:60" ht="16">
      <c r="A516" s="41"/>
      <c r="B516" s="41"/>
      <c r="C516" s="41"/>
      <c r="D516" s="42"/>
      <c r="E516" s="43"/>
      <c r="F516" s="43"/>
      <c r="G516" s="43"/>
      <c r="H516" s="41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</row>
    <row r="517" spans="1:60" ht="16">
      <c r="A517" s="41"/>
      <c r="B517" s="41"/>
      <c r="C517" s="41"/>
      <c r="D517" s="42"/>
      <c r="E517" s="43"/>
      <c r="F517" s="43"/>
      <c r="G517" s="43"/>
      <c r="H517" s="41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</row>
    <row r="518" spans="1:60" ht="16">
      <c r="A518" s="41"/>
      <c r="B518" s="41"/>
      <c r="C518" s="41"/>
      <c r="D518" s="42"/>
      <c r="E518" s="43"/>
      <c r="F518" s="43"/>
      <c r="G518" s="43"/>
      <c r="H518" s="41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</row>
    <row r="519" spans="1:60" ht="16">
      <c r="A519" s="41"/>
      <c r="B519" s="41"/>
      <c r="C519" s="41"/>
      <c r="D519" s="42"/>
      <c r="E519" s="43"/>
      <c r="F519" s="43"/>
      <c r="G519" s="43"/>
      <c r="H519" s="41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</row>
    <row r="520" spans="1:60" ht="16">
      <c r="A520" s="41"/>
      <c r="B520" s="41"/>
      <c r="C520" s="41"/>
      <c r="D520" s="42"/>
      <c r="E520" s="43"/>
      <c r="F520" s="43"/>
      <c r="G520" s="43"/>
      <c r="H520" s="41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</row>
    <row r="521" spans="1:60" ht="16">
      <c r="A521" s="41"/>
      <c r="B521" s="41"/>
      <c r="C521" s="41"/>
      <c r="D521" s="42"/>
      <c r="E521" s="43"/>
      <c r="F521" s="43"/>
      <c r="G521" s="43"/>
      <c r="H521" s="41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</row>
    <row r="522" spans="1:60" ht="16">
      <c r="A522" s="41"/>
      <c r="B522" s="41"/>
      <c r="C522" s="41"/>
      <c r="D522" s="42"/>
      <c r="E522" s="43"/>
      <c r="F522" s="43"/>
      <c r="G522" s="43"/>
      <c r="H522" s="41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</row>
    <row r="523" spans="1:60" ht="16">
      <c r="A523" s="41"/>
      <c r="B523" s="41"/>
      <c r="C523" s="41"/>
      <c r="D523" s="42"/>
      <c r="E523" s="43"/>
      <c r="F523" s="43"/>
      <c r="G523" s="43"/>
      <c r="H523" s="41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</row>
    <row r="524" spans="1:60" ht="16">
      <c r="A524" s="41"/>
      <c r="B524" s="41"/>
      <c r="C524" s="41"/>
      <c r="D524" s="42"/>
      <c r="E524" s="43"/>
      <c r="F524" s="43"/>
      <c r="G524" s="43"/>
      <c r="H524" s="41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</row>
    <row r="525" spans="1:60" ht="16">
      <c r="A525" s="41"/>
      <c r="B525" s="41"/>
      <c r="C525" s="41"/>
      <c r="D525" s="42"/>
      <c r="E525" s="43"/>
      <c r="F525" s="43"/>
      <c r="G525" s="43"/>
      <c r="H525" s="41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</row>
    <row r="526" spans="1:60" ht="16">
      <c r="A526" s="41"/>
      <c r="B526" s="41"/>
      <c r="C526" s="41"/>
      <c r="D526" s="42"/>
      <c r="E526" s="43"/>
      <c r="F526" s="43"/>
      <c r="G526" s="43"/>
      <c r="H526" s="41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</row>
    <row r="527" spans="1:60" ht="16">
      <c r="A527" s="41"/>
      <c r="B527" s="41"/>
      <c r="C527" s="41"/>
      <c r="D527" s="42"/>
      <c r="E527" s="43"/>
      <c r="F527" s="43"/>
      <c r="G527" s="43"/>
      <c r="H527" s="41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</row>
    <row r="528" spans="1:60" ht="16">
      <c r="A528" s="41"/>
      <c r="B528" s="41"/>
      <c r="C528" s="41"/>
      <c r="D528" s="42"/>
      <c r="E528" s="43"/>
      <c r="F528" s="43"/>
      <c r="G528" s="43"/>
      <c r="H528" s="41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</row>
    <row r="529" spans="1:60" ht="16">
      <c r="A529" s="41"/>
      <c r="B529" s="41"/>
      <c r="C529" s="41"/>
      <c r="D529" s="42"/>
      <c r="E529" s="43"/>
      <c r="F529" s="43"/>
      <c r="G529" s="43"/>
      <c r="H529" s="41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</row>
    <row r="530" spans="1:60" ht="16">
      <c r="A530" s="41"/>
      <c r="B530" s="41"/>
      <c r="C530" s="41"/>
      <c r="D530" s="42"/>
      <c r="E530" s="43"/>
      <c r="F530" s="43"/>
      <c r="G530" s="43"/>
      <c r="H530" s="41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</row>
    <row r="531" spans="1:60" ht="16">
      <c r="A531" s="41"/>
      <c r="B531" s="41"/>
      <c r="C531" s="41"/>
      <c r="D531" s="42"/>
      <c r="E531" s="43"/>
      <c r="F531" s="43"/>
      <c r="G531" s="43"/>
      <c r="H531" s="41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</row>
    <row r="532" spans="1:60" ht="16">
      <c r="A532" s="41"/>
      <c r="B532" s="41"/>
      <c r="C532" s="41"/>
      <c r="D532" s="42"/>
      <c r="E532" s="43"/>
      <c r="F532" s="43"/>
      <c r="G532" s="43"/>
      <c r="H532" s="41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</row>
    <row r="533" spans="1:60" ht="16">
      <c r="A533" s="41"/>
      <c r="B533" s="41"/>
      <c r="C533" s="41"/>
      <c r="D533" s="42"/>
      <c r="E533" s="43"/>
      <c r="F533" s="43"/>
      <c r="G533" s="43"/>
      <c r="H533" s="41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</row>
    <row r="534" spans="1:60" ht="16">
      <c r="A534" s="41"/>
      <c r="B534" s="41"/>
      <c r="C534" s="41"/>
      <c r="D534" s="42"/>
      <c r="E534" s="43"/>
      <c r="F534" s="43"/>
      <c r="G534" s="43"/>
      <c r="H534" s="41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</row>
    <row r="535" spans="1:60" ht="16">
      <c r="A535" s="41"/>
      <c r="B535" s="41"/>
      <c r="C535" s="41"/>
      <c r="D535" s="42"/>
      <c r="E535" s="43"/>
      <c r="F535" s="43"/>
      <c r="G535" s="43"/>
      <c r="H535" s="41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</row>
    <row r="536" spans="1:60" ht="16">
      <c r="A536" s="41"/>
      <c r="B536" s="41"/>
      <c r="C536" s="41"/>
      <c r="D536" s="42"/>
      <c r="E536" s="43"/>
      <c r="F536" s="43"/>
      <c r="G536" s="43"/>
      <c r="H536" s="41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</row>
    <row r="537" spans="1:60" ht="16">
      <c r="A537" s="41"/>
      <c r="B537" s="41"/>
      <c r="C537" s="41"/>
      <c r="D537" s="42"/>
      <c r="E537" s="43"/>
      <c r="F537" s="43"/>
      <c r="G537" s="43"/>
      <c r="H537" s="41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</row>
    <row r="538" spans="1:60" ht="16">
      <c r="A538" s="41"/>
      <c r="B538" s="41"/>
      <c r="C538" s="41"/>
      <c r="D538" s="42"/>
      <c r="E538" s="43"/>
      <c r="F538" s="43"/>
      <c r="G538" s="43"/>
      <c r="H538" s="41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</row>
    <row r="539" spans="1:60" ht="16">
      <c r="A539" s="41"/>
      <c r="B539" s="41"/>
      <c r="C539" s="41"/>
      <c r="D539" s="42"/>
      <c r="E539" s="43"/>
      <c r="F539" s="43"/>
      <c r="G539" s="43"/>
      <c r="H539" s="41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</row>
    <row r="540" spans="1:60" ht="16">
      <c r="A540" s="41"/>
      <c r="B540" s="41"/>
      <c r="C540" s="41"/>
      <c r="D540" s="42"/>
      <c r="E540" s="43"/>
      <c r="F540" s="43"/>
      <c r="G540" s="43"/>
      <c r="H540" s="41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</row>
    <row r="541" spans="1:60" ht="16">
      <c r="A541" s="41"/>
      <c r="B541" s="41"/>
      <c r="C541" s="41"/>
      <c r="D541" s="42"/>
      <c r="E541" s="43"/>
      <c r="F541" s="43"/>
      <c r="G541" s="43"/>
      <c r="H541" s="41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</row>
    <row r="542" spans="1:60" ht="16">
      <c r="A542" s="41"/>
      <c r="B542" s="41"/>
      <c r="C542" s="41"/>
      <c r="D542" s="42"/>
      <c r="E542" s="43"/>
      <c r="F542" s="43"/>
      <c r="G542" s="43"/>
      <c r="H542" s="41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</row>
    <row r="543" spans="1:60" ht="16">
      <c r="A543" s="41"/>
      <c r="B543" s="41"/>
      <c r="C543" s="41"/>
      <c r="D543" s="42"/>
      <c r="E543" s="43"/>
      <c r="F543" s="43"/>
      <c r="G543" s="43"/>
      <c r="H543" s="41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</row>
    <row r="544" spans="1:60" ht="16">
      <c r="A544" s="41"/>
      <c r="B544" s="41"/>
      <c r="C544" s="41"/>
      <c r="D544" s="42"/>
      <c r="E544" s="43"/>
      <c r="F544" s="43"/>
      <c r="G544" s="43"/>
      <c r="H544" s="41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</row>
    <row r="545" spans="1:60" ht="16">
      <c r="A545" s="41"/>
      <c r="B545" s="41"/>
      <c r="C545" s="41"/>
      <c r="D545" s="42"/>
      <c r="E545" s="43"/>
      <c r="F545" s="43"/>
      <c r="G545" s="43"/>
      <c r="H545" s="41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</row>
    <row r="546" spans="1:60" ht="16">
      <c r="A546" s="41"/>
      <c r="B546" s="41"/>
      <c r="C546" s="41"/>
      <c r="D546" s="42"/>
      <c r="E546" s="43"/>
      <c r="F546" s="43"/>
      <c r="G546" s="43"/>
      <c r="H546" s="41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</row>
    <row r="547" spans="1:60" ht="16">
      <c r="A547" s="41"/>
      <c r="B547" s="41"/>
      <c r="C547" s="41"/>
      <c r="D547" s="42"/>
      <c r="E547" s="43"/>
      <c r="F547" s="43"/>
      <c r="G547" s="43"/>
      <c r="H547" s="41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</row>
    <row r="548" spans="1:60" ht="16">
      <c r="A548" s="41"/>
      <c r="B548" s="41"/>
      <c r="C548" s="41"/>
      <c r="D548" s="42"/>
      <c r="E548" s="43"/>
      <c r="F548" s="43"/>
      <c r="G548" s="43"/>
      <c r="H548" s="41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</row>
    <row r="549" spans="1:60" ht="16">
      <c r="A549" s="41"/>
      <c r="B549" s="41"/>
      <c r="C549" s="41"/>
      <c r="D549" s="42"/>
      <c r="E549" s="43"/>
      <c r="F549" s="43"/>
      <c r="G549" s="43"/>
      <c r="H549" s="41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</row>
    <row r="550" spans="1:60" ht="16">
      <c r="A550" s="41"/>
      <c r="B550" s="41"/>
      <c r="C550" s="41"/>
      <c r="D550" s="42"/>
      <c r="E550" s="43"/>
      <c r="F550" s="43"/>
      <c r="G550" s="43"/>
      <c r="H550" s="41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</row>
    <row r="551" spans="1:60" ht="16">
      <c r="A551" s="41"/>
      <c r="B551" s="41"/>
      <c r="C551" s="41"/>
      <c r="D551" s="42"/>
      <c r="E551" s="43"/>
      <c r="F551" s="43"/>
      <c r="G551" s="43"/>
      <c r="H551" s="41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</row>
    <row r="552" spans="1:60" ht="16">
      <c r="A552" s="41"/>
      <c r="B552" s="41"/>
      <c r="C552" s="41"/>
      <c r="D552" s="42"/>
      <c r="E552" s="43"/>
      <c r="F552" s="43"/>
      <c r="G552" s="43"/>
      <c r="H552" s="41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</row>
    <row r="553" spans="1:60" ht="16">
      <c r="A553" s="41"/>
      <c r="B553" s="41"/>
      <c r="C553" s="41"/>
      <c r="D553" s="42"/>
      <c r="E553" s="43"/>
      <c r="F553" s="43"/>
      <c r="G553" s="43"/>
      <c r="H553" s="41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</row>
    <row r="554" spans="1:60" ht="16">
      <c r="A554" s="41"/>
      <c r="B554" s="41"/>
      <c r="C554" s="41"/>
      <c r="D554" s="42"/>
      <c r="E554" s="43"/>
      <c r="F554" s="43"/>
      <c r="G554" s="43"/>
      <c r="H554" s="41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</row>
    <row r="555" spans="1:60" ht="16">
      <c r="A555" s="41"/>
      <c r="B555" s="41"/>
      <c r="C555" s="41"/>
      <c r="D555" s="42"/>
      <c r="E555" s="43"/>
      <c r="F555" s="43"/>
      <c r="G555" s="43"/>
      <c r="H555" s="41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</row>
    <row r="556" spans="1:60" ht="16">
      <c r="A556" s="41"/>
      <c r="B556" s="41"/>
      <c r="C556" s="41"/>
      <c r="D556" s="42"/>
      <c r="E556" s="43"/>
      <c r="F556" s="43"/>
      <c r="G556" s="43"/>
      <c r="H556" s="41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</row>
    <row r="557" spans="1:60" ht="16">
      <c r="A557" s="41"/>
      <c r="B557" s="41"/>
      <c r="C557" s="41"/>
      <c r="D557" s="42"/>
      <c r="E557" s="43"/>
      <c r="F557" s="43"/>
      <c r="G557" s="43"/>
      <c r="H557" s="41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</row>
    <row r="558" spans="1:60" ht="16">
      <c r="A558" s="41"/>
      <c r="B558" s="41"/>
      <c r="C558" s="41"/>
      <c r="D558" s="42"/>
      <c r="E558" s="43"/>
      <c r="F558" s="43"/>
      <c r="G558" s="43"/>
      <c r="H558" s="41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</row>
    <row r="559" spans="1:60" ht="16">
      <c r="A559" s="41"/>
      <c r="B559" s="41"/>
      <c r="C559" s="41"/>
      <c r="D559" s="42"/>
      <c r="E559" s="43"/>
      <c r="F559" s="43"/>
      <c r="G559" s="43"/>
      <c r="H559" s="41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</row>
    <row r="560" spans="1:60" ht="16">
      <c r="A560" s="41"/>
      <c r="B560" s="41"/>
      <c r="C560" s="41"/>
      <c r="D560" s="42"/>
      <c r="E560" s="43"/>
      <c r="F560" s="43"/>
      <c r="G560" s="43"/>
      <c r="H560" s="41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</row>
    <row r="561" spans="1:60" ht="16">
      <c r="A561" s="41"/>
      <c r="B561" s="41"/>
      <c r="C561" s="41"/>
      <c r="D561" s="42"/>
      <c r="E561" s="43"/>
      <c r="F561" s="43"/>
      <c r="G561" s="43"/>
      <c r="H561" s="41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</row>
    <row r="562" spans="1:60" ht="16">
      <c r="A562" s="41"/>
      <c r="B562" s="41"/>
      <c r="C562" s="41"/>
      <c r="D562" s="42"/>
      <c r="E562" s="43"/>
      <c r="F562" s="43"/>
      <c r="G562" s="43"/>
      <c r="H562" s="41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</row>
    <row r="563" spans="1:60" ht="16">
      <c r="A563" s="41"/>
      <c r="B563" s="41"/>
      <c r="C563" s="41"/>
      <c r="D563" s="42"/>
      <c r="E563" s="43"/>
      <c r="F563" s="43"/>
      <c r="G563" s="43"/>
      <c r="H563" s="41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</row>
    <row r="564" spans="1:60" ht="16">
      <c r="A564" s="41"/>
      <c r="B564" s="41"/>
      <c r="C564" s="41"/>
      <c r="D564" s="42"/>
      <c r="E564" s="43"/>
      <c r="F564" s="43"/>
      <c r="G564" s="43"/>
      <c r="H564" s="41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</row>
    <row r="565" spans="1:60" ht="16">
      <c r="A565" s="41"/>
      <c r="B565" s="41"/>
      <c r="C565" s="41"/>
      <c r="D565" s="42"/>
      <c r="E565" s="43"/>
      <c r="F565" s="43"/>
      <c r="G565" s="43"/>
      <c r="H565" s="41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</row>
    <row r="566" spans="1:60" ht="16">
      <c r="A566" s="41"/>
      <c r="B566" s="41"/>
      <c r="C566" s="41"/>
      <c r="D566" s="42"/>
      <c r="E566" s="43"/>
      <c r="F566" s="43"/>
      <c r="G566" s="43"/>
      <c r="H566" s="41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</row>
    <row r="567" spans="1:60" ht="16">
      <c r="A567" s="41"/>
      <c r="B567" s="41"/>
      <c r="C567" s="41"/>
      <c r="D567" s="42"/>
      <c r="E567" s="43"/>
      <c r="F567" s="43"/>
      <c r="G567" s="43"/>
      <c r="H567" s="41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</row>
    <row r="568" spans="1:60" ht="16">
      <c r="A568" s="41"/>
      <c r="B568" s="41"/>
      <c r="C568" s="41"/>
      <c r="D568" s="42"/>
      <c r="E568" s="43"/>
      <c r="F568" s="43"/>
      <c r="G568" s="43"/>
      <c r="H568" s="41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</row>
    <row r="569" spans="1:60" ht="16">
      <c r="A569" s="41"/>
      <c r="B569" s="41"/>
      <c r="C569" s="41"/>
      <c r="D569" s="42"/>
      <c r="E569" s="43"/>
      <c r="F569" s="43"/>
      <c r="G569" s="43"/>
      <c r="H569" s="41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</row>
    <row r="570" spans="1:60" ht="16">
      <c r="A570" s="41"/>
      <c r="B570" s="41"/>
      <c r="C570" s="41"/>
      <c r="D570" s="42"/>
      <c r="E570" s="43"/>
      <c r="F570" s="43"/>
      <c r="G570" s="43"/>
      <c r="H570" s="41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</row>
    <row r="571" spans="1:60" ht="16">
      <c r="A571" s="41"/>
      <c r="B571" s="41"/>
      <c r="C571" s="41"/>
      <c r="D571" s="42"/>
      <c r="E571" s="43"/>
      <c r="F571" s="43"/>
      <c r="G571" s="43"/>
      <c r="H571" s="41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</row>
    <row r="572" spans="1:60" ht="16">
      <c r="A572" s="41"/>
      <c r="B572" s="41"/>
      <c r="C572" s="41"/>
      <c r="D572" s="42"/>
      <c r="E572" s="43"/>
      <c r="F572" s="43"/>
      <c r="G572" s="43"/>
      <c r="H572" s="41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</row>
    <row r="573" spans="1:60" ht="16">
      <c r="A573" s="41"/>
      <c r="B573" s="41"/>
      <c r="C573" s="41"/>
      <c r="D573" s="42"/>
      <c r="E573" s="43"/>
      <c r="F573" s="43"/>
      <c r="G573" s="43"/>
      <c r="H573" s="41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</row>
    <row r="574" spans="1:60" ht="16">
      <c r="A574" s="41"/>
      <c r="B574" s="41"/>
      <c r="C574" s="41"/>
      <c r="D574" s="42"/>
      <c r="E574" s="43"/>
      <c r="F574" s="43"/>
      <c r="G574" s="43"/>
      <c r="H574" s="41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</row>
    <row r="575" spans="1:60" ht="16">
      <c r="A575" s="41"/>
      <c r="B575" s="41"/>
      <c r="C575" s="41"/>
      <c r="D575" s="42"/>
      <c r="E575" s="43"/>
      <c r="F575" s="43"/>
      <c r="G575" s="43"/>
      <c r="H575" s="41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</row>
    <row r="576" spans="1:60" ht="16">
      <c r="A576" s="41"/>
      <c r="B576" s="41"/>
      <c r="C576" s="41"/>
      <c r="D576" s="42"/>
      <c r="E576" s="43"/>
      <c r="F576" s="43"/>
      <c r="G576" s="43"/>
      <c r="H576" s="41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</row>
    <row r="577" spans="1:60" ht="16">
      <c r="A577" s="41"/>
      <c r="B577" s="41"/>
      <c r="C577" s="41"/>
      <c r="D577" s="42"/>
      <c r="E577" s="43"/>
      <c r="F577" s="43"/>
      <c r="G577" s="43"/>
      <c r="H577" s="41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</row>
    <row r="578" spans="1:60" ht="16">
      <c r="A578" s="41"/>
      <c r="B578" s="41"/>
      <c r="C578" s="41"/>
      <c r="D578" s="42"/>
      <c r="E578" s="43"/>
      <c r="F578" s="43"/>
      <c r="G578" s="43"/>
      <c r="H578" s="41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</row>
    <row r="579" spans="1:60" ht="16">
      <c r="A579" s="41"/>
      <c r="B579" s="41"/>
      <c r="C579" s="41"/>
      <c r="D579" s="42"/>
      <c r="E579" s="43"/>
      <c r="F579" s="43"/>
      <c r="G579" s="43"/>
      <c r="H579" s="41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</row>
    <row r="580" spans="1:60" ht="16">
      <c r="A580" s="41"/>
      <c r="B580" s="41"/>
      <c r="C580" s="41"/>
      <c r="D580" s="42"/>
      <c r="E580" s="43"/>
      <c r="F580" s="43"/>
      <c r="G580" s="43"/>
      <c r="H580" s="41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</row>
    <row r="581" spans="1:60" ht="16">
      <c r="A581" s="41"/>
      <c r="B581" s="41"/>
      <c r="C581" s="41"/>
      <c r="D581" s="42"/>
      <c r="E581" s="43"/>
      <c r="F581" s="43"/>
      <c r="G581" s="43"/>
      <c r="H581" s="41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</row>
    <row r="582" spans="1:60" ht="16">
      <c r="A582" s="41"/>
      <c r="B582" s="41"/>
      <c r="C582" s="41"/>
      <c r="D582" s="42"/>
      <c r="E582" s="43"/>
      <c r="F582" s="43"/>
      <c r="G582" s="43"/>
      <c r="H582" s="41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</row>
    <row r="583" spans="1:60" ht="16">
      <c r="A583" s="41"/>
      <c r="B583" s="41"/>
      <c r="C583" s="41"/>
      <c r="D583" s="42"/>
      <c r="E583" s="43"/>
      <c r="F583" s="43"/>
      <c r="G583" s="43"/>
      <c r="H583" s="41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</row>
    <row r="584" spans="1:60" ht="16">
      <c r="A584" s="41"/>
      <c r="B584" s="41"/>
      <c r="C584" s="41"/>
      <c r="D584" s="42"/>
      <c r="E584" s="43"/>
      <c r="F584" s="43"/>
      <c r="G584" s="43"/>
      <c r="H584" s="41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</row>
    <row r="585" spans="1:60" ht="16">
      <c r="A585" s="41"/>
      <c r="B585" s="41"/>
      <c r="C585" s="41"/>
      <c r="D585" s="42"/>
      <c r="E585" s="43"/>
      <c r="F585" s="43"/>
      <c r="G585" s="43"/>
      <c r="H585" s="41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</row>
    <row r="586" spans="1:60" ht="16">
      <c r="A586" s="41"/>
      <c r="B586" s="41"/>
      <c r="C586" s="41"/>
      <c r="D586" s="42"/>
      <c r="E586" s="43"/>
      <c r="F586" s="43"/>
      <c r="G586" s="43"/>
      <c r="H586" s="41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</row>
    <row r="587" spans="1:60" ht="16">
      <c r="A587" s="41"/>
      <c r="B587" s="41"/>
      <c r="C587" s="41"/>
      <c r="D587" s="42"/>
      <c r="E587" s="43"/>
      <c r="F587" s="43"/>
      <c r="G587" s="43"/>
      <c r="H587" s="41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</row>
    <row r="588" spans="1:60" ht="16">
      <c r="A588" s="41"/>
      <c r="B588" s="41"/>
      <c r="C588" s="41"/>
      <c r="D588" s="42"/>
      <c r="E588" s="43"/>
      <c r="F588" s="43"/>
      <c r="G588" s="43"/>
      <c r="H588" s="41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</row>
    <row r="589" spans="1:60" ht="16">
      <c r="A589" s="41"/>
      <c r="B589" s="41"/>
      <c r="C589" s="41"/>
      <c r="D589" s="42"/>
      <c r="E589" s="43"/>
      <c r="F589" s="43"/>
      <c r="G589" s="43"/>
      <c r="H589" s="41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</row>
    <row r="590" spans="1:60" ht="16">
      <c r="A590" s="41"/>
      <c r="B590" s="41"/>
      <c r="C590" s="41"/>
      <c r="D590" s="42"/>
      <c r="E590" s="43"/>
      <c r="F590" s="43"/>
      <c r="G590" s="43"/>
      <c r="H590" s="41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</row>
    <row r="591" spans="1:60" ht="16">
      <c r="A591" s="41"/>
      <c r="B591" s="41"/>
      <c r="C591" s="41"/>
      <c r="D591" s="42"/>
      <c r="E591" s="43"/>
      <c r="F591" s="43"/>
      <c r="G591" s="43"/>
      <c r="H591" s="41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</row>
    <row r="592" spans="1:60" ht="16">
      <c r="A592" s="41"/>
      <c r="B592" s="41"/>
      <c r="C592" s="41"/>
      <c r="D592" s="42"/>
      <c r="E592" s="43"/>
      <c r="F592" s="43"/>
      <c r="G592" s="43"/>
      <c r="H592" s="41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</row>
    <row r="593" spans="1:60" ht="16">
      <c r="A593" s="41"/>
      <c r="B593" s="41"/>
      <c r="C593" s="41"/>
      <c r="D593" s="42"/>
      <c r="E593" s="43"/>
      <c r="F593" s="43"/>
      <c r="G593" s="43"/>
      <c r="H593" s="41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</row>
    <row r="594" spans="1:60" ht="16">
      <c r="A594" s="41"/>
      <c r="B594" s="41"/>
      <c r="C594" s="41"/>
      <c r="D594" s="42"/>
      <c r="E594" s="43"/>
      <c r="F594" s="43"/>
      <c r="G594" s="43"/>
      <c r="H594" s="41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</row>
    <row r="595" spans="1:60" ht="16">
      <c r="A595" s="41"/>
      <c r="B595" s="41"/>
      <c r="C595" s="41"/>
      <c r="D595" s="42"/>
      <c r="E595" s="43"/>
      <c r="F595" s="43"/>
      <c r="G595" s="43"/>
      <c r="H595" s="41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</row>
    <row r="596" spans="1:60" ht="16">
      <c r="A596" s="41"/>
      <c r="B596" s="41"/>
      <c r="C596" s="41"/>
      <c r="D596" s="42"/>
      <c r="E596" s="43"/>
      <c r="F596" s="43"/>
      <c r="G596" s="43"/>
      <c r="H596" s="41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</row>
    <row r="597" spans="1:60" ht="16">
      <c r="A597" s="41"/>
      <c r="B597" s="41"/>
      <c r="C597" s="41"/>
      <c r="D597" s="42"/>
      <c r="E597" s="43"/>
      <c r="F597" s="43"/>
      <c r="G597" s="43"/>
      <c r="H597" s="41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</row>
    <row r="598" spans="1:60" ht="16">
      <c r="A598" s="41"/>
      <c r="B598" s="41"/>
      <c r="C598" s="41"/>
      <c r="D598" s="42"/>
      <c r="E598" s="43"/>
      <c r="F598" s="43"/>
      <c r="G598" s="43"/>
      <c r="H598" s="41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</row>
    <row r="599" spans="1:60" ht="16">
      <c r="A599" s="41"/>
      <c r="B599" s="41"/>
      <c r="C599" s="41"/>
      <c r="D599" s="42"/>
      <c r="E599" s="43"/>
      <c r="F599" s="43"/>
      <c r="G599" s="43"/>
      <c r="H599" s="41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</row>
    <row r="600" spans="1:60" ht="16">
      <c r="A600" s="41"/>
      <c r="B600" s="41"/>
      <c r="C600" s="41"/>
      <c r="D600" s="42"/>
      <c r="E600" s="43"/>
      <c r="F600" s="43"/>
      <c r="G600" s="43"/>
      <c r="H600" s="41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</row>
    <row r="601" spans="1:60" ht="16">
      <c r="A601" s="41"/>
      <c r="B601" s="41"/>
      <c r="C601" s="41"/>
      <c r="D601" s="42"/>
      <c r="E601" s="43"/>
      <c r="F601" s="43"/>
      <c r="G601" s="43"/>
      <c r="H601" s="41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</row>
    <row r="602" spans="1:60" ht="16">
      <c r="A602" s="41"/>
      <c r="B602" s="41"/>
      <c r="C602" s="41"/>
      <c r="D602" s="42"/>
      <c r="E602" s="43"/>
      <c r="F602" s="43"/>
      <c r="G602" s="43"/>
      <c r="H602" s="41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</row>
    <row r="603" spans="1:60" ht="16">
      <c r="A603" s="41"/>
      <c r="B603" s="41"/>
      <c r="C603" s="41"/>
      <c r="D603" s="42"/>
      <c r="E603" s="43"/>
      <c r="F603" s="43"/>
      <c r="G603" s="43"/>
      <c r="H603" s="41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</row>
    <row r="604" spans="1:60" ht="16">
      <c r="A604" s="41"/>
      <c r="B604" s="41"/>
      <c r="C604" s="41"/>
      <c r="D604" s="42"/>
      <c r="E604" s="43"/>
      <c r="F604" s="43"/>
      <c r="G604" s="43"/>
      <c r="H604" s="41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</row>
    <row r="605" spans="1:60" ht="16">
      <c r="A605" s="41"/>
      <c r="B605" s="41"/>
      <c r="C605" s="41"/>
      <c r="D605" s="42"/>
      <c r="E605" s="43"/>
      <c r="F605" s="43"/>
      <c r="G605" s="43"/>
      <c r="H605" s="41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</row>
    <row r="606" spans="1:60" ht="16">
      <c r="A606" s="41"/>
      <c r="B606" s="41"/>
      <c r="C606" s="41"/>
      <c r="D606" s="42"/>
      <c r="E606" s="43"/>
      <c r="F606" s="43"/>
      <c r="G606" s="43"/>
      <c r="H606" s="41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</row>
    <row r="607" spans="1:60" ht="16">
      <c r="A607" s="41"/>
      <c r="B607" s="41"/>
      <c r="C607" s="41"/>
      <c r="D607" s="42"/>
      <c r="E607" s="43"/>
      <c r="F607" s="43"/>
      <c r="G607" s="43"/>
      <c r="H607" s="41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</row>
    <row r="608" spans="1:60" ht="16">
      <c r="A608" s="41"/>
      <c r="B608" s="41"/>
      <c r="C608" s="41"/>
      <c r="D608" s="42"/>
      <c r="E608" s="43"/>
      <c r="F608" s="43"/>
      <c r="G608" s="43"/>
      <c r="H608" s="41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</row>
    <row r="609" spans="1:60" ht="16">
      <c r="A609" s="41"/>
      <c r="B609" s="41"/>
      <c r="C609" s="41"/>
      <c r="D609" s="42"/>
      <c r="E609" s="43"/>
      <c r="F609" s="43"/>
      <c r="G609" s="43"/>
      <c r="H609" s="41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</row>
    <row r="610" spans="1:60" ht="16">
      <c r="A610" s="41"/>
      <c r="B610" s="41"/>
      <c r="C610" s="41"/>
      <c r="D610" s="42"/>
      <c r="E610" s="43"/>
      <c r="F610" s="43"/>
      <c r="G610" s="43"/>
      <c r="H610" s="41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</row>
    <row r="611" spans="1:60" ht="16">
      <c r="A611" s="41"/>
      <c r="B611" s="41"/>
      <c r="C611" s="41"/>
      <c r="D611" s="42"/>
      <c r="E611" s="43"/>
      <c r="F611" s="43"/>
      <c r="G611" s="43"/>
      <c r="H611" s="41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</row>
    <row r="612" spans="1:60" ht="16">
      <c r="A612" s="41"/>
      <c r="B612" s="41"/>
      <c r="C612" s="41"/>
      <c r="D612" s="42"/>
      <c r="E612" s="43"/>
      <c r="F612" s="43"/>
      <c r="G612" s="43"/>
      <c r="H612" s="41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</row>
    <row r="613" spans="1:60" ht="16">
      <c r="A613" s="41"/>
      <c r="B613" s="41"/>
      <c r="C613" s="41"/>
      <c r="D613" s="42"/>
      <c r="E613" s="43"/>
      <c r="F613" s="43"/>
      <c r="G613" s="43"/>
      <c r="H613" s="41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</row>
    <row r="614" spans="1:60" ht="16">
      <c r="A614" s="41"/>
      <c r="B614" s="41"/>
      <c r="C614" s="41"/>
      <c r="D614" s="42"/>
      <c r="E614" s="43"/>
      <c r="F614" s="43"/>
      <c r="G614" s="43"/>
      <c r="H614" s="41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</row>
    <row r="615" spans="1:60" ht="16">
      <c r="A615" s="41"/>
      <c r="B615" s="41"/>
      <c r="C615" s="41"/>
      <c r="D615" s="42"/>
      <c r="E615" s="43"/>
      <c r="F615" s="43"/>
      <c r="G615" s="43"/>
      <c r="H615" s="41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</row>
    <row r="616" spans="1:60" ht="16">
      <c r="A616" s="41"/>
      <c r="B616" s="41"/>
      <c r="C616" s="41"/>
      <c r="D616" s="42"/>
      <c r="E616" s="43"/>
      <c r="F616" s="43"/>
      <c r="G616" s="43"/>
      <c r="H616" s="41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</row>
    <row r="617" spans="1:60" ht="16">
      <c r="A617" s="41"/>
      <c r="B617" s="41"/>
      <c r="C617" s="41"/>
      <c r="D617" s="42"/>
      <c r="E617" s="43"/>
      <c r="F617" s="43"/>
      <c r="G617" s="43"/>
      <c r="H617" s="41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</row>
    <row r="618" spans="1:60" ht="16">
      <c r="A618" s="41"/>
      <c r="B618" s="41"/>
      <c r="C618" s="41"/>
      <c r="D618" s="42"/>
      <c r="E618" s="43"/>
      <c r="F618" s="43"/>
      <c r="G618" s="43"/>
      <c r="H618" s="41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</row>
    <row r="619" spans="1:60" ht="16">
      <c r="A619" s="41"/>
      <c r="B619" s="41"/>
      <c r="C619" s="41"/>
      <c r="D619" s="42"/>
      <c r="E619" s="43"/>
      <c r="F619" s="43"/>
      <c r="G619" s="43"/>
      <c r="H619" s="41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</row>
    <row r="620" spans="1:60" ht="16">
      <c r="A620" s="41"/>
      <c r="B620" s="41"/>
      <c r="C620" s="41"/>
      <c r="D620" s="42"/>
      <c r="E620" s="43"/>
      <c r="F620" s="43"/>
      <c r="G620" s="43"/>
      <c r="H620" s="41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</row>
    <row r="621" spans="1:60" ht="16">
      <c r="A621" s="41"/>
      <c r="B621" s="41"/>
      <c r="C621" s="41"/>
      <c r="D621" s="42"/>
      <c r="E621" s="43"/>
      <c r="F621" s="43"/>
      <c r="G621" s="43"/>
      <c r="H621" s="41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</row>
    <row r="622" spans="1:60" ht="16">
      <c r="A622" s="41"/>
      <c r="B622" s="41"/>
      <c r="C622" s="41"/>
      <c r="D622" s="42"/>
      <c r="E622" s="43"/>
      <c r="F622" s="43"/>
      <c r="G622" s="43"/>
      <c r="H622" s="41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</row>
    <row r="623" spans="1:60" ht="16">
      <c r="A623" s="41"/>
      <c r="B623" s="41"/>
      <c r="C623" s="41"/>
      <c r="D623" s="42"/>
      <c r="E623" s="43"/>
      <c r="F623" s="43"/>
      <c r="G623" s="43"/>
      <c r="H623" s="41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</row>
    <row r="624" spans="1:60" ht="16">
      <c r="A624" s="41"/>
      <c r="B624" s="41"/>
      <c r="C624" s="41"/>
      <c r="D624" s="42"/>
      <c r="E624" s="43"/>
      <c r="F624" s="43"/>
      <c r="G624" s="43"/>
      <c r="H624" s="41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</row>
    <row r="625" spans="1:60" ht="16">
      <c r="A625" s="41"/>
      <c r="B625" s="41"/>
      <c r="C625" s="41"/>
      <c r="D625" s="42"/>
      <c r="E625" s="43"/>
      <c r="F625" s="43"/>
      <c r="G625" s="43"/>
      <c r="H625" s="41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</row>
    <row r="626" spans="1:60" ht="16">
      <c r="A626" s="41"/>
      <c r="B626" s="41"/>
      <c r="C626" s="41"/>
      <c r="D626" s="42"/>
      <c r="E626" s="43"/>
      <c r="F626" s="43"/>
      <c r="G626" s="43"/>
      <c r="H626" s="41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</row>
    <row r="627" spans="1:60" ht="16">
      <c r="A627" s="41"/>
      <c r="B627" s="41"/>
      <c r="C627" s="41"/>
      <c r="D627" s="42"/>
      <c r="E627" s="43"/>
      <c r="F627" s="43"/>
      <c r="G627" s="43"/>
      <c r="H627" s="41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</row>
    <row r="628" spans="1:60" ht="16">
      <c r="A628" s="41"/>
      <c r="B628" s="41"/>
      <c r="C628" s="41"/>
      <c r="D628" s="42"/>
      <c r="E628" s="43"/>
      <c r="F628" s="43"/>
      <c r="G628" s="43"/>
      <c r="H628" s="41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</row>
    <row r="629" spans="1:60" ht="16">
      <c r="A629" s="41"/>
      <c r="B629" s="41"/>
      <c r="C629" s="41"/>
      <c r="D629" s="42"/>
      <c r="E629" s="43"/>
      <c r="F629" s="43"/>
      <c r="G629" s="43"/>
      <c r="H629" s="41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</row>
    <row r="630" spans="1:60" ht="16">
      <c r="A630" s="41"/>
      <c r="B630" s="41"/>
      <c r="C630" s="41"/>
      <c r="D630" s="42"/>
      <c r="E630" s="43"/>
      <c r="F630" s="43"/>
      <c r="G630" s="43"/>
      <c r="H630" s="41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</row>
    <row r="631" spans="1:60" ht="16">
      <c r="A631" s="41"/>
      <c r="B631" s="41"/>
      <c r="C631" s="41"/>
      <c r="D631" s="42"/>
      <c r="E631" s="43"/>
      <c r="F631" s="43"/>
      <c r="G631" s="43"/>
      <c r="H631" s="41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</row>
    <row r="632" spans="1:60" ht="16">
      <c r="A632" s="41"/>
      <c r="B632" s="41"/>
      <c r="C632" s="41"/>
      <c r="D632" s="42"/>
      <c r="E632" s="43"/>
      <c r="F632" s="43"/>
      <c r="G632" s="43"/>
      <c r="H632" s="41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</row>
    <row r="633" spans="1:60" ht="16">
      <c r="A633" s="41"/>
      <c r="B633" s="41"/>
      <c r="C633" s="41"/>
      <c r="D633" s="42"/>
      <c r="E633" s="43"/>
      <c r="F633" s="43"/>
      <c r="G633" s="43"/>
      <c r="H633" s="41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</row>
    <row r="634" spans="1:60" ht="16">
      <c r="A634" s="41"/>
      <c r="B634" s="41"/>
      <c r="C634" s="41"/>
      <c r="D634" s="42"/>
      <c r="E634" s="43"/>
      <c r="F634" s="43"/>
      <c r="G634" s="43"/>
      <c r="H634" s="41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</row>
    <row r="635" spans="1:60" ht="16">
      <c r="A635" s="41"/>
      <c r="B635" s="41"/>
      <c r="C635" s="41"/>
      <c r="D635" s="42"/>
      <c r="E635" s="43"/>
      <c r="F635" s="43"/>
      <c r="G635" s="43"/>
      <c r="H635" s="41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</row>
    <row r="636" spans="1:60" ht="16">
      <c r="A636" s="41"/>
      <c r="B636" s="41"/>
      <c r="C636" s="41"/>
      <c r="D636" s="42"/>
      <c r="E636" s="43"/>
      <c r="F636" s="43"/>
      <c r="G636" s="43"/>
      <c r="H636" s="41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</row>
    <row r="637" spans="1:60" ht="16">
      <c r="A637" s="41"/>
      <c r="B637" s="41"/>
      <c r="C637" s="41"/>
      <c r="D637" s="42"/>
      <c r="E637" s="43"/>
      <c r="F637" s="43"/>
      <c r="G637" s="43"/>
      <c r="H637" s="41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</row>
    <row r="638" spans="1:60" ht="16">
      <c r="A638" s="41"/>
      <c r="B638" s="41"/>
      <c r="C638" s="41"/>
      <c r="D638" s="42"/>
      <c r="E638" s="43"/>
      <c r="F638" s="43"/>
      <c r="G638" s="43"/>
      <c r="H638" s="41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</row>
    <row r="639" spans="1:60" ht="16">
      <c r="A639" s="41"/>
      <c r="B639" s="41"/>
      <c r="C639" s="41"/>
      <c r="D639" s="42"/>
      <c r="E639" s="43"/>
      <c r="F639" s="43"/>
      <c r="G639" s="43"/>
      <c r="H639" s="41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</row>
    <row r="640" spans="1:60" ht="16">
      <c r="A640" s="41"/>
      <c r="B640" s="41"/>
      <c r="C640" s="41"/>
      <c r="D640" s="42"/>
      <c r="E640" s="43"/>
      <c r="F640" s="43"/>
      <c r="G640" s="43"/>
      <c r="H640" s="41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</row>
    <row r="641" spans="1:60" ht="16">
      <c r="A641" s="41"/>
      <c r="B641" s="41"/>
      <c r="C641" s="41"/>
      <c r="D641" s="42"/>
      <c r="E641" s="43"/>
      <c r="F641" s="43"/>
      <c r="G641" s="43"/>
      <c r="H641" s="41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</row>
    <row r="642" spans="1:60" ht="16">
      <c r="A642" s="41"/>
      <c r="B642" s="41"/>
      <c r="C642" s="41"/>
      <c r="D642" s="42"/>
      <c r="E642" s="43"/>
      <c r="F642" s="43"/>
      <c r="G642" s="43"/>
      <c r="H642" s="41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</row>
    <row r="643" spans="1:60" ht="16">
      <c r="A643" s="41"/>
      <c r="B643" s="41"/>
      <c r="C643" s="41"/>
      <c r="D643" s="42"/>
      <c r="E643" s="43"/>
      <c r="F643" s="43"/>
      <c r="G643" s="43"/>
      <c r="H643" s="41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</row>
    <row r="644" spans="1:60" ht="16">
      <c r="A644" s="41"/>
      <c r="B644" s="41"/>
      <c r="C644" s="41"/>
      <c r="D644" s="42"/>
      <c r="E644" s="43"/>
      <c r="F644" s="43"/>
      <c r="G644" s="43"/>
      <c r="H644" s="41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</row>
    <row r="645" spans="1:60" ht="16">
      <c r="A645" s="41"/>
      <c r="B645" s="41"/>
      <c r="C645" s="41"/>
      <c r="D645" s="42"/>
      <c r="E645" s="43"/>
      <c r="F645" s="43"/>
      <c r="G645" s="43"/>
      <c r="H645" s="41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</row>
    <row r="646" spans="1:60" ht="16">
      <c r="A646" s="41"/>
      <c r="B646" s="41"/>
      <c r="C646" s="41"/>
      <c r="D646" s="42"/>
      <c r="E646" s="43"/>
      <c r="F646" s="43"/>
      <c r="G646" s="43"/>
      <c r="H646" s="41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</row>
    <row r="647" spans="1:60" ht="16">
      <c r="A647" s="41"/>
      <c r="B647" s="41"/>
      <c r="C647" s="41"/>
      <c r="D647" s="42"/>
      <c r="E647" s="43"/>
      <c r="F647" s="43"/>
      <c r="G647" s="43"/>
      <c r="H647" s="41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</row>
    <row r="648" spans="1:60" ht="16">
      <c r="A648" s="41"/>
      <c r="B648" s="41"/>
      <c r="C648" s="41"/>
      <c r="D648" s="42"/>
      <c r="E648" s="43"/>
      <c r="F648" s="43"/>
      <c r="G648" s="43"/>
      <c r="H648" s="41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</row>
    <row r="649" spans="1:60" ht="16">
      <c r="A649" s="41"/>
      <c r="B649" s="41"/>
      <c r="C649" s="41"/>
      <c r="D649" s="42"/>
      <c r="E649" s="43"/>
      <c r="F649" s="43"/>
      <c r="G649" s="43"/>
      <c r="H649" s="41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</row>
    <row r="650" spans="1:60" ht="16">
      <c r="A650" s="41"/>
      <c r="B650" s="41"/>
      <c r="C650" s="41"/>
      <c r="D650" s="42"/>
      <c r="E650" s="43"/>
      <c r="F650" s="43"/>
      <c r="G650" s="43"/>
      <c r="H650" s="41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</row>
    <row r="651" spans="1:60" ht="16">
      <c r="A651" s="41"/>
      <c r="B651" s="41"/>
      <c r="C651" s="41"/>
      <c r="D651" s="42"/>
      <c r="E651" s="43"/>
      <c r="F651" s="43"/>
      <c r="G651" s="43"/>
      <c r="H651" s="41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</row>
    <row r="652" spans="1:60" ht="16">
      <c r="A652" s="41"/>
      <c r="B652" s="41"/>
      <c r="C652" s="41"/>
      <c r="D652" s="42"/>
      <c r="E652" s="43"/>
      <c r="F652" s="43"/>
      <c r="G652" s="43"/>
      <c r="H652" s="41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</row>
    <row r="653" spans="1:60" ht="16">
      <c r="A653" s="41"/>
      <c r="B653" s="41"/>
      <c r="C653" s="41"/>
      <c r="D653" s="42"/>
      <c r="E653" s="43"/>
      <c r="F653" s="43"/>
      <c r="G653" s="43"/>
      <c r="H653" s="41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</row>
    <row r="654" spans="1:60" ht="16">
      <c r="A654" s="41"/>
      <c r="B654" s="41"/>
      <c r="C654" s="41"/>
      <c r="D654" s="42"/>
      <c r="E654" s="43"/>
      <c r="F654" s="43"/>
      <c r="G654" s="43"/>
      <c r="H654" s="41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</row>
    <row r="655" spans="1:60" ht="16">
      <c r="A655" s="41"/>
      <c r="B655" s="41"/>
      <c r="C655" s="41"/>
      <c r="D655" s="42"/>
      <c r="E655" s="43"/>
      <c r="F655" s="43"/>
      <c r="G655" s="43"/>
      <c r="H655" s="41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</row>
    <row r="656" spans="1:60" ht="16">
      <c r="A656" s="41"/>
      <c r="B656" s="41"/>
      <c r="C656" s="41"/>
      <c r="D656" s="42"/>
      <c r="E656" s="43"/>
      <c r="F656" s="43"/>
      <c r="G656" s="43"/>
      <c r="H656" s="41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</row>
    <row r="657" spans="1:60" ht="16">
      <c r="A657" s="41"/>
      <c r="B657" s="41"/>
      <c r="C657" s="41"/>
      <c r="D657" s="42"/>
      <c r="E657" s="43"/>
      <c r="F657" s="43"/>
      <c r="G657" s="43"/>
      <c r="H657" s="41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</row>
    <row r="658" spans="1:60" ht="16">
      <c r="A658" s="41"/>
      <c r="B658" s="41"/>
      <c r="C658" s="41"/>
      <c r="D658" s="42"/>
      <c r="E658" s="43"/>
      <c r="F658" s="43"/>
      <c r="G658" s="43"/>
      <c r="H658" s="41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</row>
    <row r="659" spans="1:60" ht="16">
      <c r="A659" s="41"/>
      <c r="B659" s="41"/>
      <c r="C659" s="41"/>
      <c r="D659" s="42"/>
      <c r="E659" s="43"/>
      <c r="F659" s="43"/>
      <c r="G659" s="43"/>
      <c r="H659" s="41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</row>
    <row r="660" spans="1:60" ht="16">
      <c r="A660" s="41"/>
      <c r="B660" s="41"/>
      <c r="C660" s="41"/>
      <c r="D660" s="42"/>
      <c r="E660" s="43"/>
      <c r="F660" s="43"/>
      <c r="G660" s="43"/>
      <c r="H660" s="41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</row>
    <row r="661" spans="1:60" ht="16">
      <c r="A661" s="41"/>
      <c r="B661" s="41"/>
      <c r="C661" s="41"/>
      <c r="D661" s="42"/>
      <c r="E661" s="43"/>
      <c r="F661" s="43"/>
      <c r="G661" s="43"/>
      <c r="H661" s="41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</row>
    <row r="662" spans="1:60" ht="16">
      <c r="A662" s="41"/>
      <c r="B662" s="41"/>
      <c r="C662" s="41"/>
      <c r="D662" s="42"/>
      <c r="E662" s="43"/>
      <c r="F662" s="43"/>
      <c r="G662" s="43"/>
      <c r="H662" s="41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</row>
    <row r="663" spans="1:60" ht="16">
      <c r="A663" s="41"/>
      <c r="B663" s="41"/>
      <c r="C663" s="41"/>
      <c r="D663" s="42"/>
      <c r="E663" s="43"/>
      <c r="F663" s="43"/>
      <c r="G663" s="43"/>
      <c r="H663" s="41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</row>
    <row r="664" spans="1:60" ht="16">
      <c r="A664" s="41"/>
      <c r="B664" s="41"/>
      <c r="C664" s="41"/>
      <c r="D664" s="42"/>
      <c r="E664" s="43"/>
      <c r="F664" s="43"/>
      <c r="G664" s="43"/>
      <c r="H664" s="41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</row>
    <row r="665" spans="1:60" ht="16">
      <c r="A665" s="41"/>
      <c r="B665" s="41"/>
      <c r="C665" s="41"/>
      <c r="D665" s="42"/>
      <c r="E665" s="43"/>
      <c r="F665" s="43"/>
      <c r="G665" s="43"/>
      <c r="H665" s="41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</row>
    <row r="666" spans="1:60" ht="16">
      <c r="A666" s="41"/>
      <c r="B666" s="41"/>
      <c r="C666" s="41"/>
      <c r="D666" s="42"/>
      <c r="E666" s="43"/>
      <c r="F666" s="43"/>
      <c r="G666" s="43"/>
      <c r="H666" s="41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</row>
    <row r="667" spans="1:60" ht="16">
      <c r="A667" s="41"/>
      <c r="B667" s="41"/>
      <c r="C667" s="41"/>
      <c r="D667" s="42"/>
      <c r="E667" s="43"/>
      <c r="F667" s="43"/>
      <c r="G667" s="43"/>
      <c r="H667" s="41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</row>
    <row r="668" spans="1:60" ht="16">
      <c r="A668" s="41"/>
      <c r="B668" s="41"/>
      <c r="C668" s="41"/>
      <c r="D668" s="42"/>
      <c r="E668" s="43"/>
      <c r="F668" s="43"/>
      <c r="G668" s="43"/>
      <c r="H668" s="41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</row>
    <row r="669" spans="1:60" ht="16">
      <c r="A669" s="41"/>
      <c r="B669" s="41"/>
      <c r="C669" s="41"/>
      <c r="D669" s="42"/>
      <c r="E669" s="43"/>
      <c r="F669" s="43"/>
      <c r="G669" s="43"/>
      <c r="H669" s="41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</row>
    <row r="670" spans="1:60" ht="16">
      <c r="A670" s="41"/>
      <c r="B670" s="41"/>
      <c r="C670" s="41"/>
      <c r="D670" s="42"/>
      <c r="E670" s="43"/>
      <c r="F670" s="43"/>
      <c r="G670" s="43"/>
      <c r="H670" s="41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</row>
    <row r="671" spans="1:60" ht="16">
      <c r="A671" s="41"/>
      <c r="B671" s="41"/>
      <c r="C671" s="41"/>
      <c r="D671" s="42"/>
      <c r="E671" s="43"/>
      <c r="F671" s="43"/>
      <c r="G671" s="43"/>
      <c r="H671" s="41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</row>
    <row r="672" spans="1:60" ht="16">
      <c r="A672" s="41"/>
      <c r="B672" s="41"/>
      <c r="C672" s="41"/>
      <c r="D672" s="42"/>
      <c r="E672" s="43"/>
      <c r="F672" s="43"/>
      <c r="G672" s="43"/>
      <c r="H672" s="41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</row>
    <row r="673" spans="1:60" ht="16">
      <c r="A673" s="41"/>
      <c r="B673" s="41"/>
      <c r="C673" s="41"/>
      <c r="D673" s="42"/>
      <c r="E673" s="43"/>
      <c r="F673" s="43"/>
      <c r="G673" s="43"/>
      <c r="H673" s="41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</row>
    <row r="674" spans="1:60" ht="16">
      <c r="A674" s="41"/>
      <c r="B674" s="41"/>
      <c r="C674" s="41"/>
      <c r="D674" s="42"/>
      <c r="E674" s="43"/>
      <c r="F674" s="43"/>
      <c r="G674" s="43"/>
      <c r="H674" s="41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</row>
    <row r="675" spans="1:60" ht="16">
      <c r="A675" s="41"/>
      <c r="B675" s="41"/>
      <c r="C675" s="41"/>
      <c r="D675" s="42"/>
      <c r="E675" s="43"/>
      <c r="F675" s="43"/>
      <c r="G675" s="43"/>
      <c r="H675" s="41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</row>
    <row r="676" spans="1:60" ht="16">
      <c r="A676" s="41"/>
      <c r="B676" s="41"/>
      <c r="C676" s="41"/>
      <c r="D676" s="42"/>
      <c r="E676" s="43"/>
      <c r="F676" s="43"/>
      <c r="G676" s="43"/>
      <c r="H676" s="41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</row>
    <row r="677" spans="1:60" ht="16">
      <c r="A677" s="41"/>
      <c r="B677" s="41"/>
      <c r="C677" s="41"/>
      <c r="D677" s="42"/>
      <c r="E677" s="43"/>
      <c r="F677" s="43"/>
      <c r="G677" s="43"/>
      <c r="H677" s="41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</row>
    <row r="678" spans="1:60" ht="16">
      <c r="A678" s="41"/>
      <c r="B678" s="41"/>
      <c r="C678" s="41"/>
      <c r="D678" s="42"/>
      <c r="E678" s="43"/>
      <c r="F678" s="43"/>
      <c r="G678" s="43"/>
      <c r="H678" s="41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</row>
    <row r="679" spans="1:60" ht="16">
      <c r="A679" s="41"/>
      <c r="B679" s="41"/>
      <c r="C679" s="41"/>
      <c r="D679" s="42"/>
      <c r="E679" s="43"/>
      <c r="F679" s="43"/>
      <c r="G679" s="43"/>
      <c r="H679" s="41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</row>
    <row r="680" spans="1:60" ht="16">
      <c r="A680" s="41"/>
      <c r="B680" s="41"/>
      <c r="C680" s="41"/>
      <c r="D680" s="42"/>
      <c r="E680" s="43"/>
      <c r="F680" s="43"/>
      <c r="G680" s="43"/>
      <c r="H680" s="41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</row>
    <row r="681" spans="1:60" ht="16">
      <c r="A681" s="41"/>
      <c r="B681" s="41"/>
      <c r="C681" s="41"/>
      <c r="D681" s="42"/>
      <c r="E681" s="43"/>
      <c r="F681" s="43"/>
      <c r="G681" s="43"/>
      <c r="H681" s="41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</row>
    <row r="682" spans="1:60" ht="16">
      <c r="A682" s="41"/>
      <c r="B682" s="41"/>
      <c r="C682" s="41"/>
      <c r="D682" s="42"/>
      <c r="E682" s="43"/>
      <c r="F682" s="43"/>
      <c r="G682" s="43"/>
      <c r="H682" s="41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</row>
    <row r="683" spans="1:60" ht="16">
      <c r="A683" s="41"/>
      <c r="B683" s="41"/>
      <c r="C683" s="41"/>
      <c r="D683" s="42"/>
      <c r="E683" s="43"/>
      <c r="F683" s="43"/>
      <c r="G683" s="43"/>
      <c r="H683" s="41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</row>
    <row r="684" spans="1:60" ht="16">
      <c r="A684" s="41"/>
      <c r="B684" s="41"/>
      <c r="C684" s="41"/>
      <c r="D684" s="42"/>
      <c r="E684" s="43"/>
      <c r="F684" s="43"/>
      <c r="G684" s="43"/>
      <c r="H684" s="41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</row>
    <row r="685" spans="1:60" ht="16">
      <c r="A685" s="41"/>
      <c r="B685" s="41"/>
      <c r="C685" s="41"/>
      <c r="D685" s="42"/>
      <c r="E685" s="43"/>
      <c r="F685" s="43"/>
      <c r="G685" s="43"/>
      <c r="H685" s="41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</row>
    <row r="686" spans="1:60" ht="16">
      <c r="A686" s="41"/>
      <c r="B686" s="41"/>
      <c r="C686" s="41"/>
      <c r="D686" s="42"/>
      <c r="E686" s="43"/>
      <c r="F686" s="43"/>
      <c r="G686" s="43"/>
      <c r="H686" s="41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</row>
    <row r="687" spans="1:60" ht="16">
      <c r="A687" s="41"/>
      <c r="B687" s="41"/>
      <c r="C687" s="41"/>
      <c r="D687" s="42"/>
      <c r="E687" s="43"/>
      <c r="F687" s="43"/>
      <c r="G687" s="43"/>
      <c r="H687" s="41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</row>
    <row r="688" spans="1:60" ht="16">
      <c r="A688" s="41"/>
      <c r="B688" s="41"/>
      <c r="C688" s="41"/>
      <c r="D688" s="42"/>
      <c r="E688" s="43"/>
      <c r="F688" s="43"/>
      <c r="G688" s="43"/>
      <c r="H688" s="41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</row>
    <row r="689" spans="1:60" ht="16">
      <c r="A689" s="41"/>
      <c r="B689" s="41"/>
      <c r="C689" s="41"/>
      <c r="D689" s="42"/>
      <c r="E689" s="43"/>
      <c r="F689" s="43"/>
      <c r="G689" s="43"/>
      <c r="H689" s="41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</row>
    <row r="690" spans="1:60" ht="16">
      <c r="A690" s="41"/>
      <c r="B690" s="41"/>
      <c r="C690" s="41"/>
      <c r="D690" s="42"/>
      <c r="E690" s="43"/>
      <c r="F690" s="43"/>
      <c r="G690" s="43"/>
      <c r="H690" s="41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</row>
    <row r="691" spans="1:60" ht="16">
      <c r="A691" s="41"/>
      <c r="B691" s="41"/>
      <c r="C691" s="41"/>
      <c r="D691" s="42"/>
      <c r="E691" s="43"/>
      <c r="F691" s="43"/>
      <c r="G691" s="43"/>
      <c r="H691" s="41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</row>
    <row r="692" spans="1:60" ht="16">
      <c r="A692" s="41"/>
      <c r="B692" s="41"/>
      <c r="C692" s="41"/>
      <c r="D692" s="42"/>
      <c r="E692" s="43"/>
      <c r="F692" s="43"/>
      <c r="G692" s="43"/>
      <c r="H692" s="41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</row>
    <row r="693" spans="1:60" ht="16">
      <c r="A693" s="41"/>
      <c r="B693" s="41"/>
      <c r="C693" s="41"/>
      <c r="D693" s="42"/>
      <c r="E693" s="43"/>
      <c r="F693" s="43"/>
      <c r="G693" s="43"/>
      <c r="H693" s="41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</row>
    <row r="694" spans="1:60" ht="16">
      <c r="A694" s="41"/>
      <c r="B694" s="41"/>
      <c r="C694" s="41"/>
      <c r="D694" s="42"/>
      <c r="E694" s="43"/>
      <c r="F694" s="43"/>
      <c r="G694" s="43"/>
      <c r="H694" s="41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</row>
    <row r="695" spans="1:60" ht="16">
      <c r="A695" s="41"/>
      <c r="B695" s="41"/>
      <c r="C695" s="41"/>
      <c r="D695" s="42"/>
      <c r="E695" s="43"/>
      <c r="F695" s="43"/>
      <c r="G695" s="43"/>
      <c r="H695" s="41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</row>
    <row r="696" spans="1:60" ht="16">
      <c r="A696" s="41"/>
      <c r="B696" s="41"/>
      <c r="C696" s="41"/>
      <c r="D696" s="42"/>
      <c r="E696" s="43"/>
      <c r="F696" s="43"/>
      <c r="G696" s="43"/>
      <c r="H696" s="41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</row>
    <row r="697" spans="1:60" ht="16">
      <c r="A697" s="41"/>
      <c r="B697" s="41"/>
      <c r="C697" s="41"/>
      <c r="D697" s="42"/>
      <c r="E697" s="43"/>
      <c r="F697" s="43"/>
      <c r="G697" s="43"/>
      <c r="H697" s="41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</row>
    <row r="698" spans="1:60" ht="16">
      <c r="A698" s="41"/>
      <c r="B698" s="41"/>
      <c r="C698" s="41"/>
      <c r="D698" s="42"/>
      <c r="E698" s="43"/>
      <c r="F698" s="43"/>
      <c r="G698" s="43"/>
      <c r="H698" s="41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</row>
    <row r="699" spans="1:60" ht="16">
      <c r="A699" s="41"/>
      <c r="B699" s="41"/>
      <c r="C699" s="41"/>
      <c r="D699" s="42"/>
      <c r="E699" s="43"/>
      <c r="F699" s="43"/>
      <c r="G699" s="43"/>
      <c r="H699" s="41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</row>
    <row r="700" spans="1:60" ht="16">
      <c r="A700" s="41"/>
      <c r="B700" s="41"/>
      <c r="C700" s="41"/>
      <c r="D700" s="42"/>
      <c r="E700" s="43"/>
      <c r="F700" s="43"/>
      <c r="G700" s="43"/>
      <c r="H700" s="41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</row>
    <row r="701" spans="1:60" ht="16">
      <c r="A701" s="41"/>
      <c r="B701" s="41"/>
      <c r="C701" s="41"/>
      <c r="D701" s="42"/>
      <c r="E701" s="43"/>
      <c r="F701" s="43"/>
      <c r="G701" s="43"/>
      <c r="H701" s="41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</row>
    <row r="702" spans="1:60" ht="16">
      <c r="A702" s="41"/>
      <c r="B702" s="41"/>
      <c r="C702" s="41"/>
      <c r="D702" s="42"/>
      <c r="E702" s="43"/>
      <c r="F702" s="43"/>
      <c r="G702" s="43"/>
      <c r="H702" s="41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</row>
    <row r="703" spans="1:60" ht="16">
      <c r="A703" s="41"/>
      <c r="B703" s="41"/>
      <c r="C703" s="41"/>
      <c r="D703" s="42"/>
      <c r="E703" s="43"/>
      <c r="F703" s="43"/>
      <c r="G703" s="43"/>
      <c r="H703" s="41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</row>
    <row r="704" spans="1:60" ht="16">
      <c r="A704" s="41"/>
      <c r="B704" s="41"/>
      <c r="C704" s="41"/>
      <c r="D704" s="42"/>
      <c r="E704" s="43"/>
      <c r="F704" s="43"/>
      <c r="G704" s="43"/>
      <c r="H704" s="41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</row>
    <row r="705" spans="1:60" ht="16">
      <c r="A705" s="41"/>
      <c r="B705" s="41"/>
      <c r="C705" s="41"/>
      <c r="D705" s="42"/>
      <c r="E705" s="43"/>
      <c r="F705" s="43"/>
      <c r="G705" s="43"/>
      <c r="H705" s="41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</row>
    <row r="706" spans="1:60" ht="16">
      <c r="A706" s="41"/>
      <c r="B706" s="41"/>
      <c r="C706" s="41"/>
      <c r="D706" s="42"/>
      <c r="E706" s="43"/>
      <c r="F706" s="43"/>
      <c r="G706" s="43"/>
      <c r="H706" s="41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</row>
    <row r="707" spans="1:60" ht="16">
      <c r="A707" s="41"/>
      <c r="B707" s="41"/>
      <c r="C707" s="41"/>
      <c r="D707" s="42"/>
      <c r="E707" s="43"/>
      <c r="F707" s="43"/>
      <c r="G707" s="43"/>
      <c r="H707" s="41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</row>
    <row r="708" spans="1:60" ht="16">
      <c r="A708" s="41"/>
      <c r="B708" s="41"/>
      <c r="C708" s="41"/>
      <c r="D708" s="42"/>
      <c r="E708" s="43"/>
      <c r="F708" s="43"/>
      <c r="G708" s="43"/>
      <c r="H708" s="41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</row>
    <row r="709" spans="1:60" ht="16">
      <c r="A709" s="41"/>
      <c r="B709" s="41"/>
      <c r="C709" s="41"/>
      <c r="D709" s="42"/>
      <c r="E709" s="43"/>
      <c r="F709" s="43"/>
      <c r="G709" s="43"/>
      <c r="H709" s="41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</row>
    <row r="710" spans="1:60" ht="16">
      <c r="A710" s="41"/>
      <c r="B710" s="41"/>
      <c r="C710" s="41"/>
      <c r="D710" s="42"/>
      <c r="E710" s="43"/>
      <c r="F710" s="43"/>
      <c r="G710" s="43"/>
      <c r="H710" s="41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</row>
    <row r="711" spans="1:60" ht="16">
      <c r="A711" s="41"/>
      <c r="B711" s="41"/>
      <c r="C711" s="41"/>
      <c r="D711" s="42"/>
      <c r="E711" s="43"/>
      <c r="F711" s="43"/>
      <c r="G711" s="43"/>
      <c r="H711" s="41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</row>
    <row r="712" spans="1:60" ht="16">
      <c r="A712" s="41"/>
      <c r="B712" s="41"/>
      <c r="C712" s="41"/>
      <c r="D712" s="42"/>
      <c r="E712" s="43"/>
      <c r="F712" s="43"/>
      <c r="G712" s="43"/>
      <c r="H712" s="41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</row>
    <row r="713" spans="1:60" ht="16">
      <c r="A713" s="41"/>
      <c r="B713" s="41"/>
      <c r="C713" s="41"/>
      <c r="D713" s="42"/>
      <c r="E713" s="43"/>
      <c r="F713" s="43"/>
      <c r="G713" s="43"/>
      <c r="H713" s="41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</row>
    <row r="714" spans="1:60" ht="16">
      <c r="A714" s="41"/>
      <c r="B714" s="41"/>
      <c r="C714" s="41"/>
      <c r="D714" s="42"/>
      <c r="E714" s="43"/>
      <c r="F714" s="43"/>
      <c r="G714" s="43"/>
      <c r="H714" s="41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</row>
    <row r="715" spans="1:60" ht="16">
      <c r="A715" s="41"/>
      <c r="B715" s="41"/>
      <c r="C715" s="41"/>
      <c r="D715" s="42"/>
      <c r="E715" s="43"/>
      <c r="F715" s="43"/>
      <c r="G715" s="43"/>
      <c r="H715" s="41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</row>
    <row r="716" spans="1:60" ht="16">
      <c r="A716" s="41"/>
      <c r="B716" s="41"/>
      <c r="C716" s="41"/>
      <c r="D716" s="42"/>
      <c r="E716" s="43"/>
      <c r="F716" s="43"/>
      <c r="G716" s="43"/>
      <c r="H716" s="41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</row>
    <row r="717" spans="1:60" ht="16">
      <c r="A717" s="41"/>
      <c r="B717" s="41"/>
      <c r="C717" s="41"/>
      <c r="D717" s="42"/>
      <c r="E717" s="43"/>
      <c r="F717" s="43"/>
      <c r="G717" s="43"/>
      <c r="H717" s="41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</row>
    <row r="718" spans="1:60" ht="16">
      <c r="A718" s="41"/>
      <c r="B718" s="41"/>
      <c r="C718" s="41"/>
      <c r="D718" s="42"/>
      <c r="E718" s="43"/>
      <c r="F718" s="43"/>
      <c r="G718" s="43"/>
      <c r="H718" s="41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</row>
    <row r="719" spans="1:60" ht="16">
      <c r="A719" s="41"/>
      <c r="B719" s="41"/>
      <c r="C719" s="41"/>
      <c r="D719" s="42"/>
      <c r="E719" s="43"/>
      <c r="F719" s="43"/>
      <c r="G719" s="43"/>
      <c r="H719" s="41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</row>
    <row r="720" spans="1:60" ht="16">
      <c r="A720" s="41"/>
      <c r="B720" s="41"/>
      <c r="C720" s="41"/>
      <c r="D720" s="42"/>
      <c r="E720" s="43"/>
      <c r="F720" s="43"/>
      <c r="G720" s="43"/>
      <c r="H720" s="41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</row>
    <row r="721" spans="1:60" ht="16">
      <c r="A721" s="41"/>
      <c r="B721" s="41"/>
      <c r="C721" s="41"/>
      <c r="D721" s="42"/>
      <c r="E721" s="43"/>
      <c r="F721" s="43"/>
      <c r="G721" s="43"/>
      <c r="H721" s="41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</row>
    <row r="722" spans="1:60" ht="16">
      <c r="A722" s="41"/>
      <c r="B722" s="41"/>
      <c r="C722" s="41"/>
      <c r="D722" s="42"/>
      <c r="E722" s="43"/>
      <c r="F722" s="43"/>
      <c r="G722" s="43"/>
      <c r="H722" s="41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</row>
    <row r="723" spans="1:60" ht="16">
      <c r="A723" s="41"/>
      <c r="B723" s="41"/>
      <c r="C723" s="41"/>
      <c r="D723" s="42"/>
      <c r="E723" s="43"/>
      <c r="F723" s="43"/>
      <c r="G723" s="43"/>
      <c r="H723" s="41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</row>
    <row r="724" spans="1:60" ht="16">
      <c r="A724" s="41"/>
      <c r="B724" s="41"/>
      <c r="C724" s="41"/>
      <c r="D724" s="42"/>
      <c r="E724" s="43"/>
      <c r="F724" s="43"/>
      <c r="G724" s="43"/>
      <c r="H724" s="41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</row>
    <row r="725" spans="1:60" ht="16">
      <c r="A725" s="41"/>
      <c r="B725" s="41"/>
      <c r="C725" s="41"/>
      <c r="D725" s="42"/>
      <c r="E725" s="43"/>
      <c r="F725" s="43"/>
      <c r="G725" s="43"/>
      <c r="H725" s="41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</row>
    <row r="726" spans="1:60" ht="16">
      <c r="A726" s="41"/>
      <c r="B726" s="41"/>
      <c r="C726" s="41"/>
      <c r="D726" s="42"/>
      <c r="E726" s="43"/>
      <c r="F726" s="43"/>
      <c r="G726" s="43"/>
      <c r="H726" s="41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</row>
    <row r="727" spans="1:60" ht="16">
      <c r="A727" s="41"/>
      <c r="B727" s="41"/>
      <c r="C727" s="41"/>
      <c r="D727" s="42"/>
      <c r="E727" s="43"/>
      <c r="F727" s="43"/>
      <c r="G727" s="43"/>
      <c r="H727" s="41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</row>
    <row r="728" spans="1:60" ht="16">
      <c r="A728" s="41"/>
      <c r="B728" s="41"/>
      <c r="C728" s="41"/>
      <c r="D728" s="42"/>
      <c r="E728" s="43"/>
      <c r="F728" s="43"/>
      <c r="G728" s="43"/>
      <c r="H728" s="41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</row>
    <row r="729" spans="1:60" ht="16">
      <c r="A729" s="41"/>
      <c r="B729" s="41"/>
      <c r="C729" s="41"/>
      <c r="D729" s="42"/>
      <c r="E729" s="43"/>
      <c r="F729" s="43"/>
      <c r="G729" s="43"/>
      <c r="H729" s="41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</row>
    <row r="730" spans="1:60" ht="16">
      <c r="A730" s="41"/>
      <c r="B730" s="41"/>
      <c r="C730" s="41"/>
      <c r="D730" s="42"/>
      <c r="E730" s="43"/>
      <c r="F730" s="43"/>
      <c r="G730" s="43"/>
      <c r="H730" s="41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</row>
    <row r="731" spans="1:60" ht="16">
      <c r="A731" s="41"/>
      <c r="B731" s="41"/>
      <c r="C731" s="41"/>
      <c r="D731" s="42"/>
      <c r="E731" s="43"/>
      <c r="F731" s="43"/>
      <c r="G731" s="43"/>
      <c r="H731" s="41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</row>
    <row r="732" spans="1:60" ht="16">
      <c r="A732" s="41"/>
      <c r="B732" s="41"/>
      <c r="C732" s="41"/>
      <c r="D732" s="42"/>
      <c r="E732" s="43"/>
      <c r="F732" s="43"/>
      <c r="G732" s="43"/>
      <c r="H732" s="41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</row>
    <row r="733" spans="1:60" ht="16">
      <c r="A733" s="41"/>
      <c r="B733" s="41"/>
      <c r="C733" s="41"/>
      <c r="D733" s="42"/>
      <c r="E733" s="43"/>
      <c r="F733" s="43"/>
      <c r="G733" s="43"/>
      <c r="H733" s="41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</row>
    <row r="734" spans="1:60" ht="16">
      <c r="A734" s="41"/>
      <c r="B734" s="41"/>
      <c r="C734" s="41"/>
      <c r="D734" s="42"/>
      <c r="E734" s="43"/>
      <c r="F734" s="43"/>
      <c r="G734" s="43"/>
      <c r="H734" s="41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</row>
    <row r="735" spans="1:60" ht="16">
      <c r="A735" s="41"/>
      <c r="B735" s="41"/>
      <c r="C735" s="41"/>
      <c r="D735" s="42"/>
      <c r="E735" s="43"/>
      <c r="F735" s="43"/>
      <c r="G735" s="43"/>
      <c r="H735" s="41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</row>
    <row r="736" spans="1:60" ht="16">
      <c r="A736" s="41"/>
      <c r="B736" s="41"/>
      <c r="C736" s="41"/>
      <c r="D736" s="42"/>
      <c r="E736" s="43"/>
      <c r="F736" s="43"/>
      <c r="G736" s="43"/>
      <c r="H736" s="41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</row>
    <row r="737" spans="1:60" ht="16">
      <c r="A737" s="41"/>
      <c r="B737" s="41"/>
      <c r="C737" s="41"/>
      <c r="D737" s="42"/>
      <c r="E737" s="43"/>
      <c r="F737" s="43"/>
      <c r="G737" s="43"/>
      <c r="H737" s="41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</row>
    <row r="738" spans="1:60" ht="16">
      <c r="A738" s="41"/>
      <c r="B738" s="41"/>
      <c r="C738" s="41"/>
      <c r="D738" s="42"/>
      <c r="E738" s="43"/>
      <c r="F738" s="43"/>
      <c r="G738" s="43"/>
      <c r="H738" s="41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</row>
    <row r="739" spans="1:60" ht="16">
      <c r="A739" s="41"/>
      <c r="B739" s="41"/>
      <c r="C739" s="41"/>
      <c r="D739" s="42"/>
      <c r="E739" s="43"/>
      <c r="F739" s="43"/>
      <c r="G739" s="43"/>
      <c r="H739" s="41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</row>
    <row r="740" spans="1:60" ht="16">
      <c r="A740" s="41"/>
      <c r="B740" s="41"/>
      <c r="C740" s="41"/>
      <c r="D740" s="42"/>
      <c r="E740" s="43"/>
      <c r="F740" s="43"/>
      <c r="G740" s="43"/>
      <c r="H740" s="41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</row>
    <row r="741" spans="1:60" ht="16">
      <c r="A741" s="41"/>
      <c r="B741" s="41"/>
      <c r="C741" s="41"/>
      <c r="D741" s="42"/>
      <c r="E741" s="43"/>
      <c r="F741" s="43"/>
      <c r="G741" s="43"/>
      <c r="H741" s="41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</row>
    <row r="742" spans="1:60" ht="16">
      <c r="A742" s="41"/>
      <c r="B742" s="41"/>
      <c r="C742" s="41"/>
      <c r="D742" s="42"/>
      <c r="E742" s="43"/>
      <c r="F742" s="43"/>
      <c r="G742" s="43"/>
      <c r="H742" s="41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</row>
    <row r="743" spans="1:60" ht="16">
      <c r="A743" s="41"/>
      <c r="B743" s="41"/>
      <c r="C743" s="41"/>
      <c r="D743" s="42"/>
      <c r="E743" s="43"/>
      <c r="F743" s="43"/>
      <c r="G743" s="43"/>
      <c r="H743" s="41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</row>
    <row r="744" spans="1:60" ht="16">
      <c r="A744" s="41"/>
      <c r="B744" s="41"/>
      <c r="C744" s="41"/>
      <c r="D744" s="42"/>
      <c r="E744" s="43"/>
      <c r="F744" s="43"/>
      <c r="G744" s="43"/>
      <c r="H744" s="41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</row>
    <row r="745" spans="1:60" ht="16">
      <c r="A745" s="41"/>
      <c r="B745" s="41"/>
      <c r="C745" s="41"/>
      <c r="D745" s="42"/>
      <c r="E745" s="43"/>
      <c r="F745" s="43"/>
      <c r="G745" s="43"/>
      <c r="H745" s="41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</row>
    <row r="746" spans="1:60" ht="16">
      <c r="A746" s="41"/>
      <c r="B746" s="41"/>
      <c r="C746" s="41"/>
      <c r="D746" s="42"/>
      <c r="E746" s="43"/>
      <c r="F746" s="43"/>
      <c r="G746" s="43"/>
      <c r="H746" s="41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</row>
    <row r="747" spans="1:60" ht="16">
      <c r="A747" s="41"/>
      <c r="B747" s="41"/>
      <c r="C747" s="41"/>
      <c r="D747" s="42"/>
      <c r="E747" s="43"/>
      <c r="F747" s="43"/>
      <c r="G747" s="43"/>
      <c r="H747" s="41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</row>
    <row r="748" spans="1:60" ht="16">
      <c r="A748" s="41"/>
      <c r="B748" s="41"/>
      <c r="C748" s="41"/>
      <c r="D748" s="42"/>
      <c r="E748" s="43"/>
      <c r="F748" s="43"/>
      <c r="G748" s="43"/>
      <c r="H748" s="41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</row>
    <row r="749" spans="1:60" ht="16">
      <c r="A749" s="41"/>
      <c r="B749" s="41"/>
      <c r="C749" s="41"/>
      <c r="D749" s="42"/>
      <c r="E749" s="43"/>
      <c r="F749" s="43"/>
      <c r="G749" s="43"/>
      <c r="H749" s="41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</row>
    <row r="750" spans="1:60" ht="16">
      <c r="A750" s="41"/>
      <c r="B750" s="41"/>
      <c r="C750" s="41"/>
      <c r="D750" s="42"/>
      <c r="E750" s="43"/>
      <c r="F750" s="43"/>
      <c r="G750" s="43"/>
      <c r="H750" s="41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</row>
    <row r="751" spans="1:60" ht="16">
      <c r="A751" s="41"/>
      <c r="B751" s="41"/>
      <c r="C751" s="41"/>
      <c r="D751" s="42"/>
      <c r="E751" s="43"/>
      <c r="F751" s="43"/>
      <c r="G751" s="43"/>
      <c r="H751" s="41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</row>
    <row r="752" spans="1:60" ht="16">
      <c r="A752" s="41"/>
      <c r="B752" s="41"/>
      <c r="C752" s="41"/>
      <c r="D752" s="42"/>
      <c r="E752" s="43"/>
      <c r="F752" s="43"/>
      <c r="G752" s="43"/>
      <c r="H752" s="41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</row>
    <row r="753" spans="1:60" ht="16">
      <c r="A753" s="41"/>
      <c r="B753" s="41"/>
      <c r="C753" s="41"/>
      <c r="D753" s="42"/>
      <c r="E753" s="43"/>
      <c r="F753" s="43"/>
      <c r="G753" s="43"/>
      <c r="H753" s="41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</row>
    <row r="754" spans="1:60" ht="16">
      <c r="A754" s="41"/>
      <c r="B754" s="41"/>
      <c r="C754" s="41"/>
      <c r="D754" s="42"/>
      <c r="E754" s="43"/>
      <c r="F754" s="43"/>
      <c r="G754" s="43"/>
      <c r="H754" s="41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</row>
    <row r="755" spans="1:60" ht="16">
      <c r="A755" s="41"/>
      <c r="B755" s="41"/>
      <c r="C755" s="41"/>
      <c r="D755" s="42"/>
      <c r="E755" s="43"/>
      <c r="F755" s="43"/>
      <c r="G755" s="43"/>
      <c r="H755" s="41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</row>
    <row r="756" spans="1:60" ht="16">
      <c r="A756" s="41"/>
      <c r="B756" s="41"/>
      <c r="C756" s="41"/>
      <c r="D756" s="42"/>
      <c r="E756" s="43"/>
      <c r="F756" s="43"/>
      <c r="G756" s="43"/>
      <c r="H756" s="41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</row>
    <row r="757" spans="1:60" ht="16">
      <c r="A757" s="41"/>
      <c r="B757" s="41"/>
      <c r="C757" s="41"/>
      <c r="D757" s="42"/>
      <c r="E757" s="43"/>
      <c r="F757" s="43"/>
      <c r="G757" s="43"/>
      <c r="H757" s="41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</row>
    <row r="758" spans="1:60" ht="16">
      <c r="A758" s="41"/>
      <c r="B758" s="41"/>
      <c r="C758" s="41"/>
      <c r="D758" s="42"/>
      <c r="E758" s="43"/>
      <c r="F758" s="43"/>
      <c r="G758" s="43"/>
      <c r="H758" s="41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</row>
    <row r="759" spans="1:60" ht="16">
      <c r="A759" s="41"/>
      <c r="B759" s="41"/>
      <c r="C759" s="41"/>
      <c r="D759" s="42"/>
      <c r="E759" s="43"/>
      <c r="F759" s="43"/>
      <c r="G759" s="43"/>
      <c r="H759" s="41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</row>
    <row r="760" spans="1:60" ht="16">
      <c r="A760" s="41"/>
      <c r="B760" s="41"/>
      <c r="C760" s="41"/>
      <c r="D760" s="42"/>
      <c r="E760" s="43"/>
      <c r="F760" s="43"/>
      <c r="G760" s="43"/>
      <c r="H760" s="41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</row>
    <row r="761" spans="1:60" ht="16">
      <c r="A761" s="41"/>
      <c r="B761" s="41"/>
      <c r="C761" s="41"/>
      <c r="D761" s="42"/>
      <c r="E761" s="43"/>
      <c r="F761" s="43"/>
      <c r="G761" s="43"/>
      <c r="H761" s="41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</row>
    <row r="762" spans="1:60" ht="16">
      <c r="A762" s="41"/>
      <c r="B762" s="41"/>
      <c r="C762" s="41"/>
      <c r="D762" s="42"/>
      <c r="E762" s="43"/>
      <c r="F762" s="43"/>
      <c r="G762" s="43"/>
      <c r="H762" s="41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</row>
    <row r="763" spans="1:60" ht="16">
      <c r="A763" s="41"/>
      <c r="B763" s="41"/>
      <c r="C763" s="41"/>
      <c r="D763" s="42"/>
      <c r="E763" s="43"/>
      <c r="F763" s="43"/>
      <c r="G763" s="43"/>
      <c r="H763" s="41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</row>
    <row r="764" spans="1:60" ht="16">
      <c r="A764" s="41"/>
      <c r="B764" s="41"/>
      <c r="C764" s="41"/>
      <c r="D764" s="42"/>
      <c r="E764" s="43"/>
      <c r="F764" s="43"/>
      <c r="G764" s="43"/>
      <c r="H764" s="41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</row>
    <row r="765" spans="1:60" ht="16">
      <c r="A765" s="41"/>
      <c r="B765" s="41"/>
      <c r="C765" s="41"/>
      <c r="D765" s="42"/>
      <c r="E765" s="43"/>
      <c r="F765" s="43"/>
      <c r="G765" s="43"/>
      <c r="H765" s="41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</row>
    <row r="766" spans="1:60" ht="16">
      <c r="A766" s="41"/>
      <c r="B766" s="41"/>
      <c r="C766" s="41"/>
      <c r="D766" s="42"/>
      <c r="E766" s="43"/>
      <c r="F766" s="43"/>
      <c r="G766" s="43"/>
      <c r="H766" s="41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</row>
    <row r="767" spans="1:60" ht="16">
      <c r="A767" s="41"/>
      <c r="B767" s="41"/>
      <c r="C767" s="41"/>
      <c r="D767" s="42"/>
      <c r="E767" s="43"/>
      <c r="F767" s="43"/>
      <c r="G767" s="43"/>
      <c r="H767" s="41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</row>
    <row r="768" spans="1:60" ht="16">
      <c r="A768" s="41"/>
      <c r="B768" s="41"/>
      <c r="C768" s="41"/>
      <c r="D768" s="42"/>
      <c r="E768" s="43"/>
      <c r="F768" s="43"/>
      <c r="G768" s="43"/>
      <c r="H768" s="41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</row>
    <row r="769" spans="1:60" ht="16">
      <c r="A769" s="41"/>
      <c r="B769" s="41"/>
      <c r="C769" s="41"/>
      <c r="D769" s="42"/>
      <c r="E769" s="43"/>
      <c r="F769" s="43"/>
      <c r="G769" s="43"/>
      <c r="H769" s="41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</row>
    <row r="770" spans="1:60" ht="16">
      <c r="A770" s="41"/>
      <c r="B770" s="41"/>
      <c r="C770" s="41"/>
      <c r="D770" s="42"/>
      <c r="E770" s="43"/>
      <c r="F770" s="43"/>
      <c r="G770" s="43"/>
      <c r="H770" s="41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</row>
    <row r="771" spans="1:60" ht="16">
      <c r="A771" s="41"/>
      <c r="B771" s="41"/>
      <c r="C771" s="41"/>
      <c r="D771" s="42"/>
      <c r="E771" s="43"/>
      <c r="F771" s="43"/>
      <c r="G771" s="43"/>
      <c r="H771" s="41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</row>
    <row r="772" spans="1:60" ht="16">
      <c r="A772" s="41"/>
      <c r="B772" s="41"/>
      <c r="C772" s="41"/>
      <c r="D772" s="42"/>
      <c r="E772" s="43"/>
      <c r="F772" s="43"/>
      <c r="G772" s="43"/>
      <c r="H772" s="41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</row>
    <row r="773" spans="1:60" ht="16">
      <c r="A773" s="41"/>
      <c r="B773" s="41"/>
      <c r="C773" s="41"/>
      <c r="D773" s="42"/>
      <c r="E773" s="43"/>
      <c r="F773" s="43"/>
      <c r="G773" s="43"/>
      <c r="H773" s="41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</row>
    <row r="774" spans="1:60" ht="16">
      <c r="A774" s="41"/>
      <c r="B774" s="41"/>
      <c r="C774" s="41"/>
      <c r="D774" s="42"/>
      <c r="E774" s="43"/>
      <c r="F774" s="43"/>
      <c r="G774" s="43"/>
      <c r="H774" s="41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</row>
    <row r="775" spans="1:60" ht="16">
      <c r="A775" s="41"/>
      <c r="B775" s="41"/>
      <c r="C775" s="41"/>
      <c r="D775" s="42"/>
      <c r="E775" s="43"/>
      <c r="F775" s="43"/>
      <c r="G775" s="43"/>
      <c r="H775" s="41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</row>
    <row r="776" spans="1:60" ht="16">
      <c r="A776" s="41"/>
      <c r="B776" s="41"/>
      <c r="C776" s="41"/>
      <c r="D776" s="42"/>
      <c r="E776" s="43"/>
      <c r="F776" s="43"/>
      <c r="G776" s="43"/>
      <c r="H776" s="41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</row>
    <row r="777" spans="1:60" ht="16">
      <c r="A777" s="41"/>
      <c r="B777" s="41"/>
      <c r="C777" s="41"/>
      <c r="D777" s="42"/>
      <c r="E777" s="43"/>
      <c r="F777" s="43"/>
      <c r="G777" s="43"/>
      <c r="H777" s="41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</row>
    <row r="778" spans="1:60" ht="16">
      <c r="A778" s="41"/>
      <c r="B778" s="41"/>
      <c r="C778" s="41"/>
      <c r="D778" s="42"/>
      <c r="E778" s="43"/>
      <c r="F778" s="43"/>
      <c r="G778" s="43"/>
      <c r="H778" s="41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</row>
    <row r="779" spans="1:60" ht="16">
      <c r="A779" s="41"/>
      <c r="B779" s="41"/>
      <c r="C779" s="41"/>
      <c r="D779" s="42"/>
      <c r="E779" s="43"/>
      <c r="F779" s="43"/>
      <c r="G779" s="43"/>
      <c r="H779" s="41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</row>
    <row r="780" spans="1:60" ht="16">
      <c r="A780" s="41"/>
      <c r="B780" s="41"/>
      <c r="C780" s="41"/>
      <c r="D780" s="42"/>
      <c r="E780" s="43"/>
      <c r="F780" s="43"/>
      <c r="G780" s="43"/>
      <c r="H780" s="41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</row>
    <row r="781" spans="1:60" ht="16">
      <c r="A781" s="41"/>
      <c r="B781" s="41"/>
      <c r="C781" s="41"/>
      <c r="D781" s="42"/>
      <c r="E781" s="43"/>
      <c r="F781" s="43"/>
      <c r="G781" s="43"/>
      <c r="H781" s="41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</row>
    <row r="782" spans="1:60" ht="16">
      <c r="A782" s="41"/>
      <c r="B782" s="41"/>
      <c r="C782" s="41"/>
      <c r="D782" s="42"/>
      <c r="E782" s="43"/>
      <c r="F782" s="43"/>
      <c r="G782" s="43"/>
      <c r="H782" s="41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</row>
    <row r="783" spans="1:60" ht="16">
      <c r="A783" s="41"/>
      <c r="B783" s="41"/>
      <c r="C783" s="41"/>
      <c r="D783" s="42"/>
      <c r="E783" s="43"/>
      <c r="F783" s="43"/>
      <c r="G783" s="43"/>
      <c r="H783" s="41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</row>
    <row r="784" spans="1:60" ht="16">
      <c r="A784" s="41"/>
      <c r="B784" s="41"/>
      <c r="C784" s="41"/>
      <c r="D784" s="42"/>
      <c r="E784" s="43"/>
      <c r="F784" s="43"/>
      <c r="G784" s="43"/>
      <c r="H784" s="41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</row>
    <row r="785" spans="1:60" ht="16">
      <c r="A785" s="41"/>
      <c r="B785" s="41"/>
      <c r="C785" s="41"/>
      <c r="D785" s="42"/>
      <c r="E785" s="43"/>
      <c r="F785" s="43"/>
      <c r="G785" s="43"/>
      <c r="H785" s="41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</row>
    <row r="786" spans="1:60" ht="16">
      <c r="A786" s="41"/>
      <c r="B786" s="41"/>
      <c r="C786" s="41"/>
      <c r="D786" s="42"/>
      <c r="E786" s="43"/>
      <c r="F786" s="43"/>
      <c r="G786" s="43"/>
      <c r="H786" s="41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</row>
    <row r="787" spans="1:60" ht="16">
      <c r="A787" s="41"/>
      <c r="B787" s="41"/>
      <c r="C787" s="41"/>
      <c r="D787" s="42"/>
      <c r="E787" s="43"/>
      <c r="F787" s="43"/>
      <c r="G787" s="43"/>
      <c r="H787" s="41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</row>
    <row r="788" spans="1:60" ht="16">
      <c r="A788" s="41"/>
      <c r="B788" s="41"/>
      <c r="C788" s="41"/>
      <c r="D788" s="42"/>
      <c r="E788" s="43"/>
      <c r="F788" s="43"/>
      <c r="G788" s="43"/>
      <c r="H788" s="41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</row>
    <row r="789" spans="1:60" ht="16">
      <c r="A789" s="41"/>
      <c r="B789" s="41"/>
      <c r="C789" s="41"/>
      <c r="D789" s="42"/>
      <c r="E789" s="43"/>
      <c r="F789" s="43"/>
      <c r="G789" s="43"/>
      <c r="H789" s="41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</row>
    <row r="790" spans="1:60" ht="16">
      <c r="A790" s="41"/>
      <c r="B790" s="41"/>
      <c r="C790" s="41"/>
      <c r="D790" s="42"/>
      <c r="E790" s="43"/>
      <c r="F790" s="43"/>
      <c r="G790" s="43"/>
      <c r="H790" s="41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</row>
    <row r="791" spans="1:60" ht="16">
      <c r="A791" s="41"/>
      <c r="B791" s="41"/>
      <c r="C791" s="41"/>
      <c r="D791" s="42"/>
      <c r="E791" s="43"/>
      <c r="F791" s="43"/>
      <c r="G791" s="43"/>
      <c r="H791" s="41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</row>
    <row r="792" spans="1:60" ht="16">
      <c r="A792" s="41"/>
      <c r="B792" s="41"/>
      <c r="C792" s="41"/>
      <c r="D792" s="42"/>
      <c r="E792" s="43"/>
      <c r="F792" s="43"/>
      <c r="G792" s="43"/>
      <c r="H792" s="41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</row>
    <row r="793" spans="1:60" ht="16">
      <c r="A793" s="41"/>
      <c r="B793" s="41"/>
      <c r="C793" s="41"/>
      <c r="D793" s="42"/>
      <c r="E793" s="43"/>
      <c r="F793" s="43"/>
      <c r="G793" s="43"/>
      <c r="H793" s="41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</row>
    <row r="794" spans="1:60" ht="16">
      <c r="A794" s="41"/>
      <c r="B794" s="41"/>
      <c r="C794" s="41"/>
      <c r="D794" s="42"/>
      <c r="E794" s="43"/>
      <c r="F794" s="43"/>
      <c r="G794" s="43"/>
      <c r="H794" s="41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</row>
    <row r="795" spans="1:60" ht="16">
      <c r="A795" s="41"/>
      <c r="B795" s="41"/>
      <c r="C795" s="41"/>
      <c r="D795" s="42"/>
      <c r="E795" s="43"/>
      <c r="F795" s="43"/>
      <c r="G795" s="43"/>
      <c r="H795" s="41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</row>
    <row r="796" spans="1:60" ht="16">
      <c r="A796" s="41"/>
      <c r="B796" s="41"/>
      <c r="C796" s="41"/>
      <c r="D796" s="42"/>
      <c r="E796" s="43"/>
      <c r="F796" s="43"/>
      <c r="G796" s="43"/>
      <c r="H796" s="41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</row>
    <row r="797" spans="1:60" ht="16">
      <c r="A797" s="41"/>
      <c r="B797" s="41"/>
      <c r="C797" s="41"/>
      <c r="D797" s="42"/>
      <c r="E797" s="43"/>
      <c r="F797" s="43"/>
      <c r="G797" s="43"/>
      <c r="H797" s="41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</row>
    <row r="798" spans="1:60" ht="16">
      <c r="A798" s="41"/>
      <c r="B798" s="41"/>
      <c r="C798" s="41"/>
      <c r="D798" s="42"/>
      <c r="E798" s="43"/>
      <c r="F798" s="43"/>
      <c r="G798" s="43"/>
      <c r="H798" s="41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</row>
    <row r="799" spans="1:60" ht="16">
      <c r="A799" s="41"/>
      <c r="B799" s="41"/>
      <c r="C799" s="41"/>
      <c r="D799" s="42"/>
      <c r="E799" s="43"/>
      <c r="F799" s="43"/>
      <c r="G799" s="43"/>
      <c r="H799" s="41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</row>
    <row r="800" spans="1:60" ht="16">
      <c r="A800" s="41"/>
      <c r="B800" s="41"/>
      <c r="C800" s="41"/>
      <c r="D800" s="42"/>
      <c r="E800" s="43"/>
      <c r="F800" s="43"/>
      <c r="G800" s="43"/>
      <c r="H800" s="41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</row>
    <row r="801" spans="1:60" ht="16">
      <c r="A801" s="41"/>
      <c r="B801" s="41"/>
      <c r="C801" s="41"/>
      <c r="D801" s="42"/>
      <c r="E801" s="43"/>
      <c r="F801" s="43"/>
      <c r="G801" s="43"/>
      <c r="H801" s="41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</row>
    <row r="802" spans="1:60" ht="16">
      <c r="A802" s="41"/>
      <c r="B802" s="41"/>
      <c r="C802" s="41"/>
      <c r="D802" s="42"/>
      <c r="E802" s="43"/>
      <c r="F802" s="43"/>
      <c r="G802" s="43"/>
      <c r="H802" s="41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</row>
    <row r="803" spans="1:60" ht="16">
      <c r="A803" s="41"/>
      <c r="B803" s="41"/>
      <c r="C803" s="41"/>
      <c r="D803" s="42"/>
      <c r="E803" s="43"/>
      <c r="F803" s="43"/>
      <c r="G803" s="43"/>
      <c r="H803" s="41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</row>
    <row r="804" spans="1:60" ht="16">
      <c r="A804" s="41"/>
      <c r="B804" s="41"/>
      <c r="C804" s="41"/>
      <c r="D804" s="42"/>
      <c r="E804" s="43"/>
      <c r="F804" s="43"/>
      <c r="G804" s="43"/>
      <c r="H804" s="41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</row>
    <row r="805" spans="1:60" ht="16">
      <c r="A805" s="41"/>
      <c r="B805" s="41"/>
      <c r="C805" s="41"/>
      <c r="D805" s="42"/>
      <c r="E805" s="43"/>
      <c r="F805" s="43"/>
      <c r="G805" s="43"/>
      <c r="H805" s="41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</row>
    <row r="806" spans="1:60" ht="16">
      <c r="A806" s="41"/>
      <c r="B806" s="41"/>
      <c r="C806" s="41"/>
      <c r="D806" s="42"/>
      <c r="E806" s="43"/>
      <c r="F806" s="43"/>
      <c r="G806" s="43"/>
      <c r="H806" s="41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</row>
    <row r="807" spans="1:60" ht="16">
      <c r="A807" s="41"/>
      <c r="B807" s="41"/>
      <c r="C807" s="41"/>
      <c r="D807" s="42"/>
      <c r="E807" s="43"/>
      <c r="F807" s="43"/>
      <c r="G807" s="43"/>
      <c r="H807" s="41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</row>
    <row r="808" spans="1:60" ht="16">
      <c r="A808" s="41"/>
      <c r="B808" s="41"/>
      <c r="C808" s="41"/>
      <c r="D808" s="42"/>
      <c r="E808" s="43"/>
      <c r="F808" s="43"/>
      <c r="G808" s="43"/>
      <c r="H808" s="41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</row>
    <row r="809" spans="1:60" ht="16">
      <c r="A809" s="41"/>
      <c r="B809" s="41"/>
      <c r="C809" s="41"/>
      <c r="D809" s="42"/>
      <c r="E809" s="43"/>
      <c r="F809" s="43"/>
      <c r="G809" s="43"/>
      <c r="H809" s="41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</row>
    <row r="810" spans="1:60" ht="16">
      <c r="A810" s="41"/>
      <c r="B810" s="41"/>
      <c r="C810" s="41"/>
      <c r="D810" s="42"/>
      <c r="E810" s="43"/>
      <c r="F810" s="43"/>
      <c r="G810" s="43"/>
      <c r="H810" s="41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</row>
    <row r="811" spans="1:60" ht="16">
      <c r="A811" s="41"/>
      <c r="B811" s="41"/>
      <c r="C811" s="41"/>
      <c r="D811" s="42"/>
      <c r="E811" s="43"/>
      <c r="F811" s="43"/>
      <c r="G811" s="43"/>
      <c r="H811" s="41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</row>
    <row r="812" spans="1:60" ht="16">
      <c r="A812" s="41"/>
      <c r="B812" s="41"/>
      <c r="C812" s="41"/>
      <c r="D812" s="42"/>
      <c r="E812" s="43"/>
      <c r="F812" s="43"/>
      <c r="G812" s="43"/>
      <c r="H812" s="41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</row>
    <row r="813" spans="1:60" ht="16">
      <c r="A813" s="41"/>
      <c r="B813" s="41"/>
      <c r="C813" s="41"/>
      <c r="D813" s="42"/>
      <c r="E813" s="43"/>
      <c r="F813" s="43"/>
      <c r="G813" s="43"/>
      <c r="H813" s="41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</row>
    <row r="814" spans="1:60" ht="16">
      <c r="A814" s="41"/>
      <c r="B814" s="41"/>
      <c r="C814" s="41"/>
      <c r="D814" s="42"/>
      <c r="E814" s="43"/>
      <c r="F814" s="43"/>
      <c r="G814" s="43"/>
      <c r="H814" s="41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</row>
    <row r="815" spans="1:60" ht="16">
      <c r="A815" s="41"/>
      <c r="B815" s="41"/>
      <c r="C815" s="41"/>
      <c r="D815" s="42"/>
      <c r="E815" s="43"/>
      <c r="F815" s="43"/>
      <c r="G815" s="43"/>
      <c r="H815" s="41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</row>
    <row r="816" spans="1:60" ht="16">
      <c r="A816" s="41"/>
      <c r="B816" s="41"/>
      <c r="C816" s="41"/>
      <c r="D816" s="42"/>
      <c r="E816" s="43"/>
      <c r="F816" s="43"/>
      <c r="G816" s="43"/>
      <c r="H816" s="41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</row>
    <row r="817" spans="1:60" ht="16">
      <c r="A817" s="41"/>
      <c r="B817" s="41"/>
      <c r="C817" s="41"/>
      <c r="D817" s="42"/>
      <c r="E817" s="43"/>
      <c r="F817" s="43"/>
      <c r="G817" s="43"/>
      <c r="H817" s="41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</row>
    <row r="818" spans="1:60" ht="16">
      <c r="A818" s="41"/>
      <c r="B818" s="41"/>
      <c r="C818" s="41"/>
      <c r="D818" s="42"/>
      <c r="E818" s="43"/>
      <c r="F818" s="43"/>
      <c r="G818" s="43"/>
      <c r="H818" s="41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</row>
    <row r="819" spans="1:60" ht="16">
      <c r="A819" s="41"/>
      <c r="B819" s="41"/>
      <c r="C819" s="41"/>
      <c r="D819" s="42"/>
      <c r="E819" s="43"/>
      <c r="F819" s="43"/>
      <c r="G819" s="43"/>
      <c r="H819" s="41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</row>
    <row r="820" spans="1:60" ht="16">
      <c r="A820" s="41"/>
      <c r="B820" s="41"/>
      <c r="C820" s="41"/>
      <c r="D820" s="42"/>
      <c r="E820" s="43"/>
      <c r="F820" s="43"/>
      <c r="G820" s="43"/>
      <c r="H820" s="41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</row>
    <row r="821" spans="1:60" ht="16">
      <c r="A821" s="41"/>
      <c r="B821" s="41"/>
      <c r="C821" s="41"/>
      <c r="D821" s="42"/>
      <c r="E821" s="43"/>
      <c r="F821" s="43"/>
      <c r="G821" s="43"/>
      <c r="H821" s="41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</row>
    <row r="822" spans="1:60" ht="16">
      <c r="A822" s="41"/>
      <c r="B822" s="41"/>
      <c r="C822" s="41"/>
      <c r="D822" s="42"/>
      <c r="E822" s="43"/>
      <c r="F822" s="43"/>
      <c r="G822" s="43"/>
      <c r="H822" s="41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</row>
    <row r="823" spans="1:60" ht="16">
      <c r="A823" s="41"/>
      <c r="B823" s="41"/>
      <c r="C823" s="41"/>
      <c r="D823" s="42"/>
      <c r="E823" s="43"/>
      <c r="F823" s="43"/>
      <c r="G823" s="43"/>
      <c r="H823" s="41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</row>
    <row r="824" spans="1:60" ht="16">
      <c r="A824" s="41"/>
      <c r="B824" s="41"/>
      <c r="C824" s="41"/>
      <c r="D824" s="42"/>
      <c r="E824" s="43"/>
      <c r="F824" s="43"/>
      <c r="G824" s="43"/>
      <c r="H824" s="41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</row>
    <row r="825" spans="1:60" ht="16">
      <c r="A825" s="41"/>
      <c r="B825" s="41"/>
      <c r="C825" s="41"/>
      <c r="D825" s="42"/>
      <c r="E825" s="43"/>
      <c r="F825" s="43"/>
      <c r="G825" s="43"/>
      <c r="H825" s="41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</row>
    <row r="826" spans="1:60" ht="16">
      <c r="A826" s="41"/>
      <c r="B826" s="41"/>
      <c r="C826" s="41"/>
      <c r="D826" s="42"/>
      <c r="E826" s="43"/>
      <c r="F826" s="43"/>
      <c r="G826" s="43"/>
      <c r="H826" s="41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</row>
    <row r="827" spans="1:60" ht="16">
      <c r="A827" s="41"/>
      <c r="B827" s="41"/>
      <c r="C827" s="41"/>
      <c r="D827" s="42"/>
      <c r="E827" s="43"/>
      <c r="F827" s="43"/>
      <c r="G827" s="43"/>
      <c r="H827" s="41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</row>
    <row r="828" spans="1:60" ht="16">
      <c r="A828" s="41"/>
      <c r="B828" s="41"/>
      <c r="C828" s="41"/>
      <c r="D828" s="42"/>
      <c r="E828" s="43"/>
      <c r="F828" s="43"/>
      <c r="G828" s="43"/>
      <c r="H828" s="41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</row>
    <row r="829" spans="1:60" ht="16">
      <c r="A829" s="41"/>
      <c r="B829" s="41"/>
      <c r="C829" s="41"/>
      <c r="D829" s="42"/>
      <c r="E829" s="43"/>
      <c r="F829" s="43"/>
      <c r="G829" s="43"/>
      <c r="H829" s="41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</row>
    <row r="830" spans="1:60" ht="16">
      <c r="A830" s="41"/>
      <c r="B830" s="41"/>
      <c r="C830" s="41"/>
      <c r="D830" s="42"/>
      <c r="E830" s="43"/>
      <c r="F830" s="43"/>
      <c r="G830" s="43"/>
      <c r="H830" s="41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</row>
    <row r="831" spans="1:60" ht="16">
      <c r="A831" s="41"/>
      <c r="B831" s="41"/>
      <c r="C831" s="41"/>
      <c r="D831" s="42"/>
      <c r="E831" s="43"/>
      <c r="F831" s="43"/>
      <c r="G831" s="43"/>
      <c r="H831" s="41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</row>
    <row r="832" spans="1:60" ht="16">
      <c r="A832" s="41"/>
      <c r="B832" s="41"/>
      <c r="C832" s="41"/>
      <c r="D832" s="42"/>
      <c r="E832" s="43"/>
      <c r="F832" s="43"/>
      <c r="G832" s="43"/>
      <c r="H832" s="41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</row>
    <row r="833" spans="1:60" ht="16">
      <c r="A833" s="41"/>
      <c r="B833" s="41"/>
      <c r="C833" s="41"/>
      <c r="D833" s="42"/>
      <c r="E833" s="43"/>
      <c r="F833" s="43"/>
      <c r="G833" s="43"/>
      <c r="H833" s="41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</row>
    <row r="834" spans="1:60" ht="16">
      <c r="A834" s="41"/>
      <c r="B834" s="41"/>
      <c r="C834" s="41"/>
      <c r="D834" s="42"/>
      <c r="E834" s="43"/>
      <c r="F834" s="43"/>
      <c r="G834" s="43"/>
      <c r="H834" s="41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</row>
    <row r="835" spans="1:60" ht="16">
      <c r="A835" s="41"/>
      <c r="B835" s="41"/>
      <c r="C835" s="41"/>
      <c r="D835" s="42"/>
      <c r="E835" s="43"/>
      <c r="F835" s="43"/>
      <c r="G835" s="43"/>
      <c r="H835" s="41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</row>
    <row r="836" spans="1:60" ht="16">
      <c r="A836" s="41"/>
      <c r="B836" s="41"/>
      <c r="C836" s="41"/>
      <c r="D836" s="42"/>
      <c r="E836" s="43"/>
      <c r="F836" s="43"/>
      <c r="G836" s="43"/>
      <c r="H836" s="41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</row>
    <row r="837" spans="1:60" ht="16">
      <c r="A837" s="41"/>
      <c r="B837" s="41"/>
      <c r="C837" s="41"/>
      <c r="D837" s="42"/>
      <c r="E837" s="43"/>
      <c r="F837" s="43"/>
      <c r="G837" s="43"/>
      <c r="H837" s="41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</row>
    <row r="838" spans="1:60" ht="16">
      <c r="A838" s="41"/>
      <c r="B838" s="41"/>
      <c r="C838" s="41"/>
      <c r="D838" s="42"/>
      <c r="E838" s="43"/>
      <c r="F838" s="43"/>
      <c r="G838" s="43"/>
      <c r="H838" s="41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</row>
    <row r="839" spans="1:60" ht="16">
      <c r="A839" s="41"/>
      <c r="B839" s="41"/>
      <c r="C839" s="41"/>
      <c r="D839" s="42"/>
      <c r="E839" s="43"/>
      <c r="F839" s="43"/>
      <c r="G839" s="43"/>
      <c r="H839" s="41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</row>
    <row r="840" spans="1:60" ht="16">
      <c r="A840" s="41"/>
      <c r="B840" s="41"/>
      <c r="C840" s="41"/>
      <c r="D840" s="42"/>
      <c r="E840" s="43"/>
      <c r="F840" s="43"/>
      <c r="G840" s="43"/>
      <c r="H840" s="41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</row>
    <row r="841" spans="1:60" ht="16">
      <c r="A841" s="41"/>
      <c r="B841" s="41"/>
      <c r="C841" s="41"/>
      <c r="D841" s="42"/>
      <c r="E841" s="43"/>
      <c r="F841" s="43"/>
      <c r="G841" s="43"/>
      <c r="H841" s="41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</row>
    <row r="842" spans="1:60" ht="16">
      <c r="A842" s="41"/>
      <c r="B842" s="41"/>
      <c r="C842" s="41"/>
      <c r="D842" s="42"/>
      <c r="E842" s="43"/>
      <c r="F842" s="43"/>
      <c r="G842" s="43"/>
      <c r="H842" s="41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</row>
    <row r="843" spans="1:60" ht="16">
      <c r="A843" s="41"/>
      <c r="B843" s="41"/>
      <c r="C843" s="41"/>
      <c r="D843" s="42"/>
      <c r="E843" s="43"/>
      <c r="F843" s="43"/>
      <c r="G843" s="43"/>
      <c r="H843" s="41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</row>
    <row r="844" spans="1:60" ht="16">
      <c r="A844" s="41"/>
      <c r="B844" s="41"/>
      <c r="C844" s="41"/>
      <c r="D844" s="42"/>
      <c r="E844" s="43"/>
      <c r="F844" s="43"/>
      <c r="G844" s="43"/>
      <c r="H844" s="41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</row>
    <row r="845" spans="1:60" ht="16">
      <c r="A845" s="41"/>
      <c r="B845" s="41"/>
      <c r="C845" s="41"/>
      <c r="D845" s="42"/>
      <c r="E845" s="43"/>
      <c r="F845" s="43"/>
      <c r="G845" s="43"/>
      <c r="H845" s="41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</row>
    <row r="846" spans="1:60" ht="16">
      <c r="A846" s="41"/>
      <c r="B846" s="41"/>
      <c r="C846" s="41"/>
      <c r="D846" s="42"/>
      <c r="E846" s="43"/>
      <c r="F846" s="43"/>
      <c r="G846" s="43"/>
      <c r="H846" s="41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</row>
    <row r="847" spans="1:60" ht="16">
      <c r="A847" s="41"/>
      <c r="B847" s="41"/>
      <c r="C847" s="41"/>
      <c r="D847" s="42"/>
      <c r="E847" s="43"/>
      <c r="F847" s="43"/>
      <c r="G847" s="43"/>
      <c r="H847" s="41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</row>
    <row r="848" spans="1:60" ht="16">
      <c r="A848" s="41"/>
      <c r="B848" s="41"/>
      <c r="C848" s="41"/>
      <c r="D848" s="42"/>
      <c r="E848" s="43"/>
      <c r="F848" s="43"/>
      <c r="G848" s="43"/>
      <c r="H848" s="41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</row>
    <row r="849" spans="1:60" ht="16">
      <c r="A849" s="41"/>
      <c r="B849" s="41"/>
      <c r="C849" s="41"/>
      <c r="D849" s="42"/>
      <c r="E849" s="43"/>
      <c r="F849" s="43"/>
      <c r="G849" s="43"/>
      <c r="H849" s="41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</row>
    <row r="850" spans="1:60" ht="16">
      <c r="A850" s="41"/>
      <c r="B850" s="41"/>
      <c r="C850" s="41"/>
      <c r="D850" s="42"/>
      <c r="E850" s="43"/>
      <c r="F850" s="43"/>
      <c r="G850" s="43"/>
      <c r="H850" s="41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</row>
    <row r="851" spans="1:60" ht="16">
      <c r="A851" s="41"/>
      <c r="B851" s="41"/>
      <c r="C851" s="41"/>
      <c r="D851" s="42"/>
      <c r="E851" s="43"/>
      <c r="F851" s="43"/>
      <c r="G851" s="43"/>
      <c r="H851" s="41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</row>
    <row r="852" spans="1:60" ht="16">
      <c r="A852" s="41"/>
      <c r="B852" s="41"/>
      <c r="C852" s="41"/>
      <c r="D852" s="42"/>
      <c r="E852" s="43"/>
      <c r="F852" s="43"/>
      <c r="G852" s="43"/>
      <c r="H852" s="41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</row>
    <row r="853" spans="1:60" ht="16">
      <c r="A853" s="41"/>
      <c r="B853" s="41"/>
      <c r="C853" s="41"/>
      <c r="D853" s="42"/>
      <c r="E853" s="43"/>
      <c r="F853" s="43"/>
      <c r="G853" s="43"/>
      <c r="H853" s="41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</row>
    <row r="854" spans="1:60" ht="16">
      <c r="A854" s="41"/>
      <c r="B854" s="41"/>
      <c r="C854" s="41"/>
      <c r="D854" s="42"/>
      <c r="E854" s="43"/>
      <c r="F854" s="43"/>
      <c r="G854" s="43"/>
      <c r="H854" s="41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</row>
    <row r="855" spans="1:60" ht="16">
      <c r="A855" s="41"/>
      <c r="B855" s="41"/>
      <c r="C855" s="41"/>
      <c r="D855" s="42"/>
      <c r="E855" s="43"/>
      <c r="F855" s="43"/>
      <c r="G855" s="43"/>
      <c r="H855" s="41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</row>
    <row r="856" spans="1:60" ht="16">
      <c r="A856" s="41"/>
      <c r="B856" s="41"/>
      <c r="C856" s="41"/>
      <c r="D856" s="42"/>
      <c r="E856" s="43"/>
      <c r="F856" s="43"/>
      <c r="G856" s="43"/>
      <c r="H856" s="41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</row>
    <row r="857" spans="1:60" ht="16">
      <c r="A857" s="41"/>
      <c r="B857" s="41"/>
      <c r="C857" s="41"/>
      <c r="D857" s="42"/>
      <c r="E857" s="43"/>
      <c r="F857" s="43"/>
      <c r="G857" s="43"/>
      <c r="H857" s="41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</row>
    <row r="858" spans="1:60" ht="16">
      <c r="A858" s="41"/>
      <c r="B858" s="41"/>
      <c r="C858" s="41"/>
      <c r="D858" s="42"/>
      <c r="E858" s="43"/>
      <c r="F858" s="43"/>
      <c r="G858" s="43"/>
      <c r="H858" s="41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</row>
    <row r="859" spans="1:60" ht="16">
      <c r="A859" s="41"/>
      <c r="B859" s="41"/>
      <c r="C859" s="41"/>
      <c r="D859" s="42"/>
      <c r="E859" s="43"/>
      <c r="F859" s="43"/>
      <c r="G859" s="43"/>
      <c r="H859" s="41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</row>
    <row r="860" spans="1:60" ht="16">
      <c r="A860" s="41"/>
      <c r="B860" s="41"/>
      <c r="C860" s="41"/>
      <c r="D860" s="42"/>
      <c r="E860" s="43"/>
      <c r="F860" s="43"/>
      <c r="G860" s="43"/>
      <c r="H860" s="41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</row>
    <row r="861" spans="1:60" ht="16">
      <c r="A861" s="41"/>
      <c r="B861" s="41"/>
      <c r="C861" s="41"/>
      <c r="D861" s="42"/>
      <c r="E861" s="43"/>
      <c r="F861" s="43"/>
      <c r="G861" s="43"/>
      <c r="H861" s="41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</row>
    <row r="862" spans="1:60" ht="16">
      <c r="A862" s="41"/>
      <c r="B862" s="41"/>
      <c r="C862" s="41"/>
      <c r="D862" s="42"/>
      <c r="E862" s="43"/>
      <c r="F862" s="43"/>
      <c r="G862" s="43"/>
      <c r="H862" s="41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</row>
    <row r="863" spans="1:60" ht="16">
      <c r="A863" s="41"/>
      <c r="B863" s="41"/>
      <c r="C863" s="41"/>
      <c r="D863" s="42"/>
      <c r="E863" s="43"/>
      <c r="F863" s="43"/>
      <c r="G863" s="43"/>
      <c r="H863" s="41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</row>
    <row r="864" spans="1:60" ht="16">
      <c r="A864" s="41"/>
      <c r="B864" s="41"/>
      <c r="C864" s="41"/>
      <c r="D864" s="42"/>
      <c r="E864" s="43"/>
      <c r="F864" s="43"/>
      <c r="G864" s="43"/>
      <c r="H864" s="41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</row>
    <row r="865" spans="1:60" ht="16">
      <c r="A865" s="41"/>
      <c r="B865" s="41"/>
      <c r="C865" s="41"/>
      <c r="D865" s="42"/>
      <c r="E865" s="43"/>
      <c r="F865" s="43"/>
      <c r="G865" s="43"/>
      <c r="H865" s="41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</row>
    <row r="866" spans="1:60" ht="16">
      <c r="A866" s="41"/>
      <c r="B866" s="41"/>
      <c r="C866" s="41"/>
      <c r="D866" s="42"/>
      <c r="E866" s="43"/>
      <c r="F866" s="43"/>
      <c r="G866" s="43"/>
      <c r="H866" s="41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</row>
    <row r="867" spans="1:60" ht="16">
      <c r="A867" s="41"/>
      <c r="B867" s="41"/>
      <c r="C867" s="41"/>
      <c r="D867" s="42"/>
      <c r="E867" s="43"/>
      <c r="F867" s="43"/>
      <c r="G867" s="43"/>
      <c r="H867" s="41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</row>
    <row r="868" spans="1:60" ht="16">
      <c r="A868" s="41"/>
      <c r="B868" s="41"/>
      <c r="C868" s="41"/>
      <c r="D868" s="42"/>
      <c r="E868" s="43"/>
      <c r="F868" s="43"/>
      <c r="G868" s="43"/>
      <c r="H868" s="41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</row>
    <row r="869" spans="1:60" ht="16">
      <c r="A869" s="41"/>
      <c r="B869" s="41"/>
      <c r="C869" s="41"/>
      <c r="D869" s="42"/>
      <c r="E869" s="43"/>
      <c r="F869" s="43"/>
      <c r="G869" s="43"/>
      <c r="H869" s="41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</row>
    <row r="870" spans="1:60" ht="16">
      <c r="A870" s="41"/>
      <c r="B870" s="41"/>
      <c r="C870" s="41"/>
      <c r="D870" s="42"/>
      <c r="E870" s="43"/>
      <c r="F870" s="43"/>
      <c r="G870" s="43"/>
      <c r="H870" s="41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</row>
    <row r="871" spans="1:60" ht="16">
      <c r="A871" s="41"/>
      <c r="B871" s="41"/>
      <c r="C871" s="41"/>
      <c r="D871" s="42"/>
      <c r="E871" s="43"/>
      <c r="F871" s="43"/>
      <c r="G871" s="43"/>
      <c r="H871" s="41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</row>
    <row r="872" spans="1:60" ht="16">
      <c r="A872" s="41"/>
      <c r="B872" s="41"/>
      <c r="C872" s="41"/>
      <c r="D872" s="42"/>
      <c r="E872" s="43"/>
      <c r="F872" s="43"/>
      <c r="G872" s="43"/>
      <c r="H872" s="41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</row>
    <row r="873" spans="1:60" ht="16">
      <c r="A873" s="41"/>
      <c r="B873" s="41"/>
      <c r="C873" s="41"/>
      <c r="D873" s="42"/>
      <c r="E873" s="43"/>
      <c r="F873" s="43"/>
      <c r="G873" s="43"/>
      <c r="H873" s="41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</row>
    <row r="874" spans="1:60" ht="16">
      <c r="A874" s="41"/>
      <c r="B874" s="41"/>
      <c r="C874" s="41"/>
      <c r="D874" s="42"/>
      <c r="E874" s="43"/>
      <c r="F874" s="43"/>
      <c r="G874" s="43"/>
      <c r="H874" s="41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</row>
    <row r="875" spans="1:60" ht="16">
      <c r="A875" s="41"/>
      <c r="B875" s="41"/>
      <c r="C875" s="41"/>
      <c r="D875" s="42"/>
      <c r="E875" s="43"/>
      <c r="F875" s="43"/>
      <c r="G875" s="43"/>
      <c r="H875" s="41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</row>
    <row r="876" spans="1:60" ht="16">
      <c r="A876" s="41"/>
      <c r="B876" s="41"/>
      <c r="C876" s="41"/>
      <c r="D876" s="42"/>
      <c r="E876" s="43"/>
      <c r="F876" s="43"/>
      <c r="G876" s="43"/>
      <c r="H876" s="41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</row>
    <row r="877" spans="1:60" ht="16">
      <c r="A877" s="41"/>
      <c r="B877" s="41"/>
      <c r="C877" s="41"/>
      <c r="D877" s="42"/>
      <c r="E877" s="43"/>
      <c r="F877" s="43"/>
      <c r="G877" s="43"/>
      <c r="H877" s="41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</row>
    <row r="878" spans="1:60" ht="16">
      <c r="A878" s="41"/>
      <c r="B878" s="41"/>
      <c r="C878" s="41"/>
      <c r="D878" s="42"/>
      <c r="E878" s="43"/>
      <c r="F878" s="43"/>
      <c r="G878" s="43"/>
      <c r="H878" s="41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</row>
    <row r="879" spans="1:60" ht="16">
      <c r="A879" s="41"/>
      <c r="B879" s="41"/>
      <c r="C879" s="41"/>
      <c r="D879" s="42"/>
      <c r="E879" s="43"/>
      <c r="F879" s="43"/>
      <c r="G879" s="43"/>
      <c r="H879" s="41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</row>
    <row r="880" spans="1:60" ht="16">
      <c r="A880" s="41"/>
      <c r="B880" s="41"/>
      <c r="C880" s="41"/>
      <c r="D880" s="42"/>
      <c r="E880" s="43"/>
      <c r="F880" s="43"/>
      <c r="G880" s="43"/>
      <c r="H880" s="41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</row>
    <row r="881" spans="1:60" ht="16">
      <c r="A881" s="41"/>
      <c r="B881" s="41"/>
      <c r="C881" s="41"/>
      <c r="D881" s="42"/>
      <c r="E881" s="43"/>
      <c r="F881" s="43"/>
      <c r="G881" s="43"/>
      <c r="H881" s="41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</row>
    <row r="882" spans="1:60" ht="16">
      <c r="A882" s="41"/>
      <c r="B882" s="41"/>
      <c r="C882" s="41"/>
      <c r="D882" s="42"/>
      <c r="E882" s="43"/>
      <c r="F882" s="43"/>
      <c r="G882" s="43"/>
      <c r="H882" s="41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</row>
    <row r="883" spans="1:60" ht="16">
      <c r="A883" s="41"/>
      <c r="B883" s="41"/>
      <c r="C883" s="41"/>
      <c r="D883" s="42"/>
      <c r="E883" s="43"/>
      <c r="F883" s="43"/>
      <c r="G883" s="43"/>
      <c r="H883" s="41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</row>
    <row r="884" spans="1:60" ht="16">
      <c r="A884" s="41"/>
      <c r="B884" s="41"/>
      <c r="C884" s="41"/>
      <c r="D884" s="42"/>
      <c r="E884" s="43"/>
      <c r="F884" s="43"/>
      <c r="G884" s="43"/>
      <c r="H884" s="41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</row>
    <row r="885" spans="1:60" ht="16">
      <c r="A885" s="41"/>
      <c r="B885" s="41"/>
      <c r="C885" s="41"/>
      <c r="D885" s="42"/>
      <c r="E885" s="43"/>
      <c r="F885" s="43"/>
      <c r="G885" s="43"/>
      <c r="H885" s="41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</row>
    <row r="886" spans="1:60" ht="16">
      <c r="A886" s="41"/>
      <c r="B886" s="41"/>
      <c r="C886" s="41"/>
      <c r="D886" s="42"/>
      <c r="E886" s="43"/>
      <c r="F886" s="43"/>
      <c r="G886" s="43"/>
      <c r="H886" s="41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</row>
    <row r="887" spans="1:60" ht="16">
      <c r="A887" s="41"/>
      <c r="B887" s="41"/>
      <c r="C887" s="41"/>
      <c r="D887" s="42"/>
      <c r="E887" s="43"/>
      <c r="F887" s="43"/>
      <c r="G887" s="43"/>
      <c r="H887" s="41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</row>
    <row r="888" spans="1:60" ht="16">
      <c r="A888" s="41"/>
      <c r="B888" s="41"/>
      <c r="C888" s="41"/>
      <c r="D888" s="42"/>
      <c r="E888" s="43"/>
      <c r="F888" s="43"/>
      <c r="G888" s="43"/>
      <c r="H888" s="41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</row>
    <row r="889" spans="1:60" ht="16">
      <c r="A889" s="41"/>
      <c r="B889" s="41"/>
      <c r="C889" s="41"/>
      <c r="D889" s="42"/>
      <c r="E889" s="43"/>
      <c r="F889" s="43"/>
      <c r="G889" s="43"/>
      <c r="H889" s="41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</row>
    <row r="890" spans="1:60" ht="16">
      <c r="A890" s="41"/>
      <c r="B890" s="41"/>
      <c r="C890" s="41"/>
      <c r="D890" s="42"/>
      <c r="E890" s="43"/>
      <c r="F890" s="43"/>
      <c r="G890" s="43"/>
      <c r="H890" s="41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</row>
    <row r="891" spans="1:60" ht="16">
      <c r="A891" s="41"/>
      <c r="B891" s="41"/>
      <c r="C891" s="41"/>
      <c r="D891" s="42"/>
      <c r="E891" s="43"/>
      <c r="F891" s="43"/>
      <c r="G891" s="43"/>
      <c r="H891" s="41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</row>
    <row r="892" spans="1:60" ht="16">
      <c r="A892" s="41"/>
      <c r="B892" s="41"/>
      <c r="C892" s="41"/>
      <c r="D892" s="42"/>
      <c r="E892" s="43"/>
      <c r="F892" s="43"/>
      <c r="G892" s="43"/>
      <c r="H892" s="41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</row>
    <row r="893" spans="1:60" ht="16">
      <c r="A893" s="41"/>
      <c r="B893" s="41"/>
      <c r="C893" s="41"/>
      <c r="D893" s="42"/>
      <c r="E893" s="43"/>
      <c r="F893" s="43"/>
      <c r="G893" s="43"/>
      <c r="H893" s="41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</row>
    <row r="894" spans="1:60" ht="16">
      <c r="A894" s="41"/>
      <c r="B894" s="41"/>
      <c r="C894" s="41"/>
      <c r="D894" s="42"/>
      <c r="E894" s="43"/>
      <c r="F894" s="43"/>
      <c r="G894" s="43"/>
      <c r="H894" s="41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</row>
    <row r="895" spans="1:60" ht="16">
      <c r="A895" s="41"/>
      <c r="B895" s="41"/>
      <c r="C895" s="41"/>
      <c r="D895" s="42"/>
      <c r="E895" s="43"/>
      <c r="F895" s="43"/>
      <c r="G895" s="43"/>
      <c r="H895" s="41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</row>
    <row r="896" spans="1:60" ht="16">
      <c r="A896" s="41"/>
      <c r="B896" s="41"/>
      <c r="C896" s="41"/>
      <c r="D896" s="42"/>
      <c r="E896" s="43"/>
      <c r="F896" s="43"/>
      <c r="G896" s="43"/>
      <c r="H896" s="41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</row>
    <row r="897" spans="1:60" ht="16">
      <c r="A897" s="41"/>
      <c r="B897" s="41"/>
      <c r="C897" s="41"/>
      <c r="D897" s="42"/>
      <c r="E897" s="43"/>
      <c r="F897" s="43"/>
      <c r="G897" s="43"/>
      <c r="H897" s="41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</row>
    <row r="898" spans="1:60" ht="16">
      <c r="A898" s="41"/>
      <c r="B898" s="41"/>
      <c r="C898" s="41"/>
      <c r="D898" s="42"/>
      <c r="E898" s="43"/>
      <c r="F898" s="43"/>
      <c r="G898" s="43"/>
      <c r="H898" s="41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</row>
    <row r="899" spans="1:60" ht="16">
      <c r="A899" s="41"/>
      <c r="B899" s="41"/>
      <c r="C899" s="41"/>
      <c r="D899" s="42"/>
      <c r="E899" s="43"/>
      <c r="F899" s="43"/>
      <c r="G899" s="43"/>
      <c r="H899" s="41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</row>
    <row r="900" spans="1:60" ht="16">
      <c r="A900" s="41"/>
      <c r="B900" s="41"/>
      <c r="C900" s="41"/>
      <c r="D900" s="42"/>
      <c r="E900" s="43"/>
      <c r="F900" s="43"/>
      <c r="G900" s="43"/>
      <c r="H900" s="41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</row>
    <row r="901" spans="1:60" ht="16">
      <c r="A901" s="41"/>
      <c r="B901" s="41"/>
      <c r="C901" s="41"/>
      <c r="D901" s="42"/>
      <c r="E901" s="43"/>
      <c r="F901" s="43"/>
      <c r="G901" s="43"/>
      <c r="H901" s="41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</row>
    <row r="902" spans="1:60" ht="16">
      <c r="A902" s="41"/>
      <c r="B902" s="41"/>
      <c r="C902" s="41"/>
      <c r="D902" s="42"/>
      <c r="E902" s="43"/>
      <c r="F902" s="43"/>
      <c r="G902" s="43"/>
      <c r="H902" s="41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</row>
    <row r="903" spans="1:60" ht="16">
      <c r="A903" s="41"/>
      <c r="B903" s="41"/>
      <c r="C903" s="41"/>
      <c r="D903" s="42"/>
      <c r="E903" s="43"/>
      <c r="F903" s="43"/>
      <c r="G903" s="43"/>
      <c r="H903" s="41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</row>
    <row r="904" spans="1:60" ht="16">
      <c r="A904" s="41"/>
      <c r="B904" s="41"/>
      <c r="C904" s="41"/>
      <c r="D904" s="42"/>
      <c r="E904" s="43"/>
      <c r="F904" s="43"/>
      <c r="G904" s="43"/>
      <c r="H904" s="41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</row>
    <row r="905" spans="1:60" ht="16">
      <c r="A905" s="41"/>
      <c r="B905" s="41"/>
      <c r="C905" s="41"/>
      <c r="D905" s="42"/>
      <c r="E905" s="43"/>
      <c r="F905" s="43"/>
      <c r="G905" s="43"/>
      <c r="H905" s="41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</row>
    <row r="906" spans="1:60" ht="16">
      <c r="A906" s="41"/>
      <c r="B906" s="41"/>
      <c r="C906" s="41"/>
      <c r="D906" s="42"/>
      <c r="E906" s="43"/>
      <c r="F906" s="43"/>
      <c r="G906" s="43"/>
      <c r="H906" s="41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</row>
    <row r="907" spans="1:60" ht="16">
      <c r="A907" s="41"/>
      <c r="B907" s="41"/>
      <c r="C907" s="41"/>
      <c r="D907" s="42"/>
      <c r="E907" s="43"/>
      <c r="F907" s="43"/>
      <c r="G907" s="43"/>
      <c r="H907" s="41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</row>
    <row r="908" spans="1:60" ht="16">
      <c r="A908" s="41"/>
      <c r="B908" s="41"/>
      <c r="C908" s="41"/>
      <c r="D908" s="42"/>
      <c r="E908" s="43"/>
      <c r="F908" s="43"/>
      <c r="G908" s="43"/>
      <c r="H908" s="41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</row>
    <row r="909" spans="1:60" ht="16">
      <c r="A909" s="41"/>
      <c r="B909" s="41"/>
      <c r="C909" s="41"/>
      <c r="D909" s="42"/>
      <c r="E909" s="43"/>
      <c r="F909" s="43"/>
      <c r="G909" s="43"/>
      <c r="H909" s="41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</row>
    <row r="910" spans="1:60" ht="16">
      <c r="A910" s="41"/>
      <c r="B910" s="41"/>
      <c r="C910" s="41"/>
      <c r="D910" s="42"/>
      <c r="E910" s="43"/>
      <c r="F910" s="43"/>
      <c r="G910" s="43"/>
      <c r="H910" s="41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</row>
    <row r="911" spans="1:60" ht="16">
      <c r="A911" s="41"/>
      <c r="B911" s="41"/>
      <c r="C911" s="41"/>
      <c r="D911" s="42"/>
      <c r="E911" s="43"/>
      <c r="F911" s="43"/>
      <c r="G911" s="43"/>
      <c r="H911" s="41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</row>
    <row r="912" spans="1:60" ht="16">
      <c r="A912" s="41"/>
      <c r="B912" s="41"/>
      <c r="C912" s="41"/>
      <c r="D912" s="42"/>
      <c r="E912" s="43"/>
      <c r="F912" s="43"/>
      <c r="G912" s="43"/>
      <c r="H912" s="41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</row>
    <row r="913" spans="1:60" ht="16">
      <c r="A913" s="41"/>
      <c r="B913" s="41"/>
      <c r="C913" s="41"/>
      <c r="D913" s="42"/>
      <c r="E913" s="43"/>
      <c r="F913" s="43"/>
      <c r="G913" s="43"/>
      <c r="H913" s="41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</row>
    <row r="914" spans="1:60" ht="16">
      <c r="A914" s="41"/>
      <c r="B914" s="41"/>
      <c r="C914" s="41"/>
      <c r="D914" s="42"/>
      <c r="E914" s="43"/>
      <c r="F914" s="43"/>
      <c r="G914" s="43"/>
      <c r="H914" s="41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</row>
    <row r="915" spans="1:60" ht="16">
      <c r="A915" s="41"/>
      <c r="B915" s="41"/>
      <c r="C915" s="41"/>
      <c r="D915" s="42"/>
      <c r="E915" s="43"/>
      <c r="F915" s="43"/>
      <c r="G915" s="43"/>
      <c r="H915" s="41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</row>
    <row r="916" spans="1:60" ht="16">
      <c r="A916" s="41"/>
      <c r="B916" s="41"/>
      <c r="C916" s="41"/>
      <c r="D916" s="42"/>
      <c r="E916" s="43"/>
      <c r="F916" s="43"/>
      <c r="G916" s="43"/>
      <c r="H916" s="41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</row>
    <row r="917" spans="1:60" ht="16">
      <c r="A917" s="41"/>
      <c r="B917" s="41"/>
      <c r="C917" s="41"/>
      <c r="D917" s="42"/>
      <c r="E917" s="43"/>
      <c r="F917" s="43"/>
      <c r="G917" s="43"/>
      <c r="H917" s="41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</row>
    <row r="918" spans="1:60" ht="16">
      <c r="A918" s="41"/>
      <c r="B918" s="41"/>
      <c r="C918" s="41"/>
      <c r="D918" s="42"/>
      <c r="E918" s="43"/>
      <c r="F918" s="43"/>
      <c r="G918" s="43"/>
      <c r="H918" s="41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</row>
    <row r="919" spans="1:60" ht="16">
      <c r="A919" s="41"/>
      <c r="B919" s="41"/>
      <c r="C919" s="41"/>
      <c r="D919" s="42"/>
      <c r="E919" s="43"/>
      <c r="F919" s="43"/>
      <c r="G919" s="43"/>
      <c r="H919" s="41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</row>
    <row r="920" spans="1:60" ht="16">
      <c r="A920" s="41"/>
      <c r="B920" s="41"/>
      <c r="C920" s="41"/>
      <c r="D920" s="42"/>
      <c r="E920" s="43"/>
      <c r="F920" s="43"/>
      <c r="G920" s="43"/>
      <c r="H920" s="41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</row>
    <row r="921" spans="1:60" ht="16">
      <c r="A921" s="41"/>
      <c r="B921" s="41"/>
      <c r="C921" s="41"/>
      <c r="D921" s="42"/>
      <c r="E921" s="43"/>
      <c r="F921" s="43"/>
      <c r="G921" s="43"/>
      <c r="H921" s="41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</row>
    <row r="922" spans="1:60" ht="16">
      <c r="A922" s="41"/>
      <c r="B922" s="41"/>
      <c r="C922" s="41"/>
      <c r="D922" s="42"/>
      <c r="E922" s="43"/>
      <c r="F922" s="43"/>
      <c r="G922" s="43"/>
      <c r="H922" s="41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</row>
    <row r="923" spans="1:60" ht="16">
      <c r="A923" s="41"/>
      <c r="B923" s="41"/>
      <c r="C923" s="41"/>
      <c r="D923" s="42"/>
      <c r="E923" s="43"/>
      <c r="F923" s="43"/>
      <c r="G923" s="43"/>
      <c r="H923" s="41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</row>
    <row r="924" spans="1:60" ht="16">
      <c r="A924" s="41"/>
      <c r="B924" s="41"/>
      <c r="C924" s="41"/>
      <c r="D924" s="42"/>
      <c r="E924" s="43"/>
      <c r="F924" s="43"/>
      <c r="G924" s="43"/>
      <c r="H924" s="41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</row>
    <row r="925" spans="1:60" ht="16">
      <c r="A925" s="41"/>
      <c r="B925" s="41"/>
      <c r="C925" s="41"/>
      <c r="D925" s="42"/>
      <c r="E925" s="43"/>
      <c r="F925" s="43"/>
      <c r="G925" s="43"/>
      <c r="H925" s="41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</row>
    <row r="926" spans="1:60" ht="16">
      <c r="A926" s="41"/>
      <c r="B926" s="41"/>
      <c r="C926" s="41"/>
      <c r="D926" s="42"/>
      <c r="E926" s="43"/>
      <c r="F926" s="43"/>
      <c r="G926" s="43"/>
      <c r="H926" s="41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</row>
    <row r="927" spans="1:60" ht="16">
      <c r="A927" s="41"/>
      <c r="B927" s="41"/>
      <c r="C927" s="41"/>
      <c r="D927" s="42"/>
      <c r="E927" s="43"/>
      <c r="F927" s="43"/>
      <c r="G927" s="43"/>
      <c r="H927" s="41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</row>
    <row r="928" spans="1:60" ht="16">
      <c r="A928" s="41"/>
      <c r="B928" s="41"/>
      <c r="C928" s="41"/>
      <c r="D928" s="42"/>
      <c r="E928" s="43"/>
      <c r="F928" s="43"/>
      <c r="G928" s="43"/>
      <c r="H928" s="41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</row>
    <row r="929" spans="1:60" ht="16">
      <c r="A929" s="41"/>
      <c r="B929" s="41"/>
      <c r="C929" s="41"/>
      <c r="D929" s="42"/>
      <c r="E929" s="43"/>
      <c r="F929" s="43"/>
      <c r="G929" s="43"/>
      <c r="H929" s="41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</row>
    <row r="930" spans="1:60" ht="16">
      <c r="A930" s="41"/>
      <c r="B930" s="41"/>
      <c r="C930" s="41"/>
      <c r="D930" s="42"/>
      <c r="E930" s="43"/>
      <c r="F930" s="43"/>
      <c r="G930" s="43"/>
      <c r="H930" s="41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</row>
    <row r="931" spans="1:60" ht="16">
      <c r="A931" s="41"/>
      <c r="B931" s="41"/>
      <c r="C931" s="41"/>
      <c r="D931" s="42"/>
      <c r="E931" s="43"/>
      <c r="F931" s="43"/>
      <c r="G931" s="43"/>
      <c r="H931" s="41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</row>
    <row r="932" spans="1:60" ht="16">
      <c r="A932" s="41"/>
      <c r="B932" s="41"/>
      <c r="C932" s="41"/>
      <c r="D932" s="42"/>
      <c r="E932" s="43"/>
      <c r="F932" s="43"/>
      <c r="G932" s="43"/>
      <c r="H932" s="41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</row>
    <row r="933" spans="1:60" ht="16">
      <c r="A933" s="41"/>
      <c r="B933" s="41"/>
      <c r="C933" s="41"/>
      <c r="D933" s="42"/>
      <c r="E933" s="43"/>
      <c r="F933" s="43"/>
      <c r="G933" s="43"/>
      <c r="H933" s="41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</row>
    <row r="934" spans="1:60" ht="16">
      <c r="A934" s="41"/>
      <c r="B934" s="41"/>
      <c r="C934" s="41"/>
      <c r="D934" s="42"/>
      <c r="E934" s="43"/>
      <c r="F934" s="43"/>
      <c r="G934" s="43"/>
      <c r="H934" s="41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</row>
    <row r="935" spans="1:60" ht="16">
      <c r="A935" s="41"/>
      <c r="B935" s="41"/>
      <c r="C935" s="41"/>
      <c r="D935" s="42"/>
      <c r="E935" s="43"/>
      <c r="F935" s="43"/>
      <c r="G935" s="43"/>
      <c r="H935" s="41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</row>
    <row r="936" spans="1:60" ht="16">
      <c r="A936" s="41"/>
      <c r="B936" s="41"/>
      <c r="C936" s="41"/>
      <c r="D936" s="42"/>
      <c r="E936" s="43"/>
      <c r="F936" s="43"/>
      <c r="G936" s="43"/>
      <c r="H936" s="41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</row>
    <row r="937" spans="1:60" ht="16">
      <c r="A937" s="41"/>
      <c r="B937" s="41"/>
      <c r="C937" s="41"/>
      <c r="D937" s="42"/>
      <c r="E937" s="43"/>
      <c r="F937" s="43"/>
      <c r="G937" s="43"/>
      <c r="H937" s="41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</row>
    <row r="938" spans="1:60" ht="16">
      <c r="A938" s="41"/>
      <c r="B938" s="41"/>
      <c r="C938" s="41"/>
      <c r="D938" s="42"/>
      <c r="E938" s="43"/>
      <c r="F938" s="43"/>
      <c r="G938" s="43"/>
      <c r="H938" s="41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</row>
    <row r="939" spans="1:60" ht="16">
      <c r="A939" s="41"/>
      <c r="B939" s="41"/>
      <c r="C939" s="41"/>
      <c r="D939" s="42"/>
      <c r="E939" s="43"/>
      <c r="F939" s="43"/>
      <c r="G939" s="43"/>
      <c r="H939" s="41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</row>
    <row r="940" spans="1:60" ht="16">
      <c r="A940" s="41"/>
      <c r="B940" s="41"/>
      <c r="C940" s="41"/>
      <c r="D940" s="42"/>
      <c r="E940" s="43"/>
      <c r="F940" s="43"/>
      <c r="G940" s="43"/>
      <c r="H940" s="41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</row>
    <row r="941" spans="1:60" ht="16">
      <c r="A941" s="41"/>
      <c r="B941" s="41"/>
      <c r="C941" s="41"/>
      <c r="D941" s="42"/>
      <c r="E941" s="43"/>
      <c r="F941" s="43"/>
      <c r="G941" s="43"/>
      <c r="H941" s="41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</row>
    <row r="942" spans="1:60" ht="16">
      <c r="A942" s="41"/>
      <c r="B942" s="41"/>
      <c r="C942" s="41"/>
      <c r="D942" s="42"/>
      <c r="E942" s="43"/>
      <c r="F942" s="43"/>
      <c r="G942" s="43"/>
      <c r="H942" s="41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</row>
    <row r="943" spans="1:60" ht="16">
      <c r="A943" s="41"/>
      <c r="B943" s="41"/>
      <c r="C943" s="41"/>
      <c r="D943" s="42"/>
      <c r="E943" s="43"/>
      <c r="F943" s="43"/>
      <c r="G943" s="43"/>
      <c r="H943" s="41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</row>
    <row r="944" spans="1:60" ht="16">
      <c r="A944" s="41"/>
      <c r="B944" s="41"/>
      <c r="C944" s="41"/>
      <c r="D944" s="42"/>
      <c r="E944" s="43"/>
      <c r="F944" s="43"/>
      <c r="G944" s="43"/>
      <c r="H944" s="41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</row>
    <row r="945" spans="1:60" ht="16">
      <c r="A945" s="41"/>
      <c r="B945" s="41"/>
      <c r="C945" s="41"/>
      <c r="D945" s="42"/>
      <c r="E945" s="43"/>
      <c r="F945" s="43"/>
      <c r="G945" s="43"/>
      <c r="H945" s="41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</row>
    <row r="946" spans="1:60" ht="16">
      <c r="A946" s="41"/>
      <c r="B946" s="41"/>
      <c r="C946" s="41"/>
      <c r="D946" s="42"/>
      <c r="E946" s="43"/>
      <c r="F946" s="43"/>
      <c r="G946" s="43"/>
      <c r="H946" s="41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</row>
    <row r="947" spans="1:60" ht="16">
      <c r="A947" s="41"/>
      <c r="B947" s="41"/>
      <c r="C947" s="41"/>
      <c r="D947" s="42"/>
      <c r="E947" s="43"/>
      <c r="F947" s="43"/>
      <c r="G947" s="43"/>
      <c r="H947" s="41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</row>
    <row r="948" spans="1:60" ht="16">
      <c r="A948" s="41"/>
      <c r="B948" s="41"/>
      <c r="C948" s="41"/>
      <c r="D948" s="42"/>
      <c r="E948" s="43"/>
      <c r="F948" s="43"/>
      <c r="G948" s="43"/>
      <c r="H948" s="41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</row>
    <row r="949" spans="1:60" ht="16">
      <c r="A949" s="41"/>
      <c r="B949" s="41"/>
      <c r="C949" s="41"/>
      <c r="D949" s="42"/>
      <c r="E949" s="43"/>
      <c r="F949" s="43"/>
      <c r="G949" s="43"/>
      <c r="H949" s="41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</row>
    <row r="950" spans="1:60" ht="16">
      <c r="A950" s="41"/>
      <c r="B950" s="41"/>
      <c r="C950" s="41"/>
      <c r="D950" s="42"/>
      <c r="E950" s="43"/>
      <c r="F950" s="43"/>
      <c r="G950" s="43"/>
      <c r="H950" s="41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</row>
    <row r="951" spans="1:60" ht="16">
      <c r="A951" s="41"/>
      <c r="B951" s="41"/>
      <c r="C951" s="41"/>
      <c r="D951" s="42"/>
      <c r="E951" s="43"/>
      <c r="F951" s="43"/>
      <c r="G951" s="43"/>
      <c r="H951" s="41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</row>
    <row r="952" spans="1:60" ht="16">
      <c r="A952" s="41"/>
      <c r="B952" s="41"/>
      <c r="C952" s="41"/>
      <c r="D952" s="42"/>
      <c r="E952" s="43"/>
      <c r="F952" s="43"/>
      <c r="G952" s="43"/>
      <c r="H952" s="41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</row>
    <row r="953" spans="1:60" ht="16">
      <c r="A953" s="41"/>
      <c r="B953" s="41"/>
      <c r="C953" s="41"/>
      <c r="D953" s="42"/>
      <c r="E953" s="43"/>
      <c r="F953" s="43"/>
      <c r="G953" s="43"/>
      <c r="H953" s="41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</row>
    <row r="954" spans="1:60" ht="16">
      <c r="A954" s="41"/>
      <c r="B954" s="41"/>
      <c r="C954" s="41"/>
      <c r="D954" s="42"/>
      <c r="E954" s="43"/>
      <c r="F954" s="43"/>
      <c r="G954" s="43"/>
      <c r="H954" s="41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</row>
    <row r="955" spans="1:60" ht="16">
      <c r="A955" s="41"/>
      <c r="B955" s="41"/>
      <c r="C955" s="41"/>
      <c r="D955" s="42"/>
      <c r="E955" s="43"/>
      <c r="F955" s="43"/>
      <c r="G955" s="43"/>
      <c r="H955" s="41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</row>
    <row r="956" spans="1:60" ht="16">
      <c r="A956" s="41"/>
      <c r="B956" s="41"/>
      <c r="C956" s="41"/>
      <c r="D956" s="42"/>
      <c r="E956" s="43"/>
      <c r="F956" s="43"/>
      <c r="G956" s="43"/>
      <c r="H956" s="41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</row>
    <row r="957" spans="1:60" ht="16">
      <c r="A957" s="41"/>
      <c r="B957" s="41"/>
      <c r="C957" s="41"/>
      <c r="D957" s="42"/>
      <c r="E957" s="43"/>
      <c r="F957" s="43"/>
      <c r="G957" s="43"/>
      <c r="H957" s="41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</row>
    <row r="958" spans="1:60" ht="16">
      <c r="A958" s="41"/>
      <c r="B958" s="41"/>
      <c r="C958" s="41"/>
      <c r="D958" s="42"/>
      <c r="E958" s="43"/>
      <c r="F958" s="43"/>
      <c r="G958" s="43"/>
      <c r="H958" s="41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</row>
    <row r="959" spans="1:60" ht="16">
      <c r="A959" s="41"/>
      <c r="B959" s="41"/>
      <c r="C959" s="41"/>
      <c r="D959" s="42"/>
      <c r="E959" s="43"/>
      <c r="F959" s="43"/>
      <c r="G959" s="43"/>
      <c r="H959" s="41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</row>
    <row r="960" spans="1:60" ht="16">
      <c r="A960" s="41"/>
      <c r="B960" s="41"/>
      <c r="C960" s="41"/>
      <c r="D960" s="42"/>
      <c r="E960" s="43"/>
      <c r="F960" s="43"/>
      <c r="G960" s="43"/>
      <c r="H960" s="41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</row>
    <row r="961" spans="1:60" ht="16">
      <c r="A961" s="41"/>
      <c r="B961" s="41"/>
      <c r="C961" s="41"/>
      <c r="D961" s="42"/>
      <c r="E961" s="43"/>
      <c r="F961" s="43"/>
      <c r="G961" s="43"/>
      <c r="H961" s="41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</row>
    <row r="962" spans="1:60" ht="16">
      <c r="A962" s="41"/>
      <c r="B962" s="41"/>
      <c r="C962" s="41"/>
      <c r="D962" s="42"/>
      <c r="E962" s="43"/>
      <c r="F962" s="43"/>
      <c r="G962" s="43"/>
      <c r="H962" s="41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</row>
    <row r="963" spans="1:60" ht="16">
      <c r="A963" s="41"/>
      <c r="B963" s="41"/>
      <c r="C963" s="41"/>
      <c r="D963" s="42"/>
      <c r="E963" s="43"/>
      <c r="F963" s="43"/>
      <c r="G963" s="43"/>
      <c r="H963" s="41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</row>
    <row r="964" spans="1:60" ht="16">
      <c r="A964" s="41"/>
      <c r="B964" s="41"/>
      <c r="C964" s="41"/>
      <c r="D964" s="42"/>
      <c r="E964" s="43"/>
      <c r="F964" s="43"/>
      <c r="G964" s="43"/>
      <c r="H964" s="41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</row>
    <row r="965" spans="1:60" ht="16">
      <c r="A965" s="41"/>
      <c r="B965" s="41"/>
      <c r="C965" s="41"/>
      <c r="D965" s="42"/>
      <c r="E965" s="43"/>
      <c r="F965" s="43"/>
      <c r="G965" s="43"/>
      <c r="H965" s="41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</row>
    <row r="966" spans="1:60" ht="16">
      <c r="A966" s="41"/>
      <c r="B966" s="41"/>
      <c r="C966" s="41"/>
      <c r="D966" s="42"/>
      <c r="E966" s="43"/>
      <c r="F966" s="43"/>
      <c r="G966" s="43"/>
      <c r="H966" s="41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</row>
    <row r="967" spans="1:60" ht="16">
      <c r="A967" s="41"/>
      <c r="B967" s="41"/>
      <c r="C967" s="41"/>
      <c r="D967" s="42"/>
      <c r="E967" s="43"/>
      <c r="F967" s="43"/>
      <c r="G967" s="43"/>
      <c r="H967" s="41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</row>
    <row r="968" spans="1:60" ht="16">
      <c r="A968" s="41"/>
      <c r="B968" s="41"/>
      <c r="C968" s="41"/>
      <c r="D968" s="42"/>
      <c r="E968" s="43"/>
      <c r="F968" s="43"/>
      <c r="G968" s="43"/>
      <c r="H968" s="41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</row>
    <row r="969" spans="1:60" ht="16">
      <c r="A969" s="41"/>
      <c r="B969" s="41"/>
      <c r="C969" s="41"/>
      <c r="D969" s="42"/>
      <c r="E969" s="43"/>
      <c r="F969" s="43"/>
      <c r="G969" s="43"/>
      <c r="H969" s="41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</row>
    <row r="970" spans="1:60" ht="16">
      <c r="A970" s="41"/>
      <c r="B970" s="41"/>
      <c r="C970" s="41"/>
      <c r="D970" s="42"/>
      <c r="E970" s="43"/>
      <c r="F970" s="43"/>
      <c r="G970" s="43"/>
      <c r="H970" s="41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</row>
    <row r="971" spans="1:60" ht="16">
      <c r="A971" s="41"/>
      <c r="B971" s="41"/>
      <c r="C971" s="41"/>
      <c r="D971" s="42"/>
      <c r="E971" s="43"/>
      <c r="F971" s="43"/>
      <c r="G971" s="43"/>
      <c r="H971" s="41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</row>
    <row r="972" spans="1:60" ht="16">
      <c r="A972" s="41"/>
      <c r="B972" s="41"/>
      <c r="C972" s="41"/>
      <c r="D972" s="42"/>
      <c r="E972" s="43"/>
      <c r="F972" s="43"/>
      <c r="G972" s="43"/>
      <c r="H972" s="41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</row>
    <row r="973" spans="1:60" ht="16">
      <c r="A973" s="41"/>
      <c r="B973" s="41"/>
      <c r="C973" s="41"/>
      <c r="D973" s="42"/>
      <c r="E973" s="43"/>
      <c r="F973" s="43"/>
      <c r="G973" s="43"/>
      <c r="H973" s="41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</row>
    <row r="974" spans="1:60" ht="16">
      <c r="A974" s="41"/>
      <c r="B974" s="41"/>
      <c r="C974" s="41"/>
      <c r="D974" s="42"/>
      <c r="E974" s="43"/>
      <c r="F974" s="43"/>
      <c r="G974" s="43"/>
      <c r="H974" s="41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</row>
    <row r="975" spans="1:60" ht="16">
      <c r="A975" s="41"/>
      <c r="B975" s="41"/>
      <c r="C975" s="41"/>
      <c r="D975" s="42"/>
      <c r="E975" s="43"/>
      <c r="F975" s="43"/>
      <c r="G975" s="43"/>
      <c r="H975" s="41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</row>
    <row r="976" spans="1:60" ht="16">
      <c r="A976" s="41"/>
      <c r="B976" s="41"/>
      <c r="C976" s="41"/>
      <c r="D976" s="42"/>
      <c r="E976" s="43"/>
      <c r="F976" s="43"/>
      <c r="G976" s="43"/>
      <c r="H976" s="41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</row>
    <row r="977" spans="1:60" ht="16">
      <c r="A977" s="41"/>
      <c r="B977" s="41"/>
      <c r="C977" s="41"/>
      <c r="D977" s="42"/>
      <c r="E977" s="43"/>
      <c r="F977" s="43"/>
      <c r="G977" s="43"/>
      <c r="H977" s="41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</row>
    <row r="978" spans="1:60" ht="16">
      <c r="A978" s="41"/>
      <c r="B978" s="41"/>
      <c r="C978" s="41"/>
      <c r="D978" s="42"/>
      <c r="E978" s="43"/>
      <c r="F978" s="43"/>
      <c r="G978" s="43"/>
      <c r="H978" s="41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</row>
    <row r="979" spans="1:60" ht="16">
      <c r="A979" s="41"/>
      <c r="B979" s="41"/>
      <c r="C979" s="41"/>
      <c r="D979" s="42"/>
      <c r="E979" s="43"/>
      <c r="F979" s="43"/>
      <c r="G979" s="43"/>
      <c r="H979" s="41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</row>
    <row r="980" spans="1:60" ht="16">
      <c r="A980" s="41"/>
      <c r="B980" s="41"/>
      <c r="C980" s="41"/>
      <c r="D980" s="42"/>
      <c r="E980" s="43"/>
      <c r="F980" s="43"/>
      <c r="G980" s="43"/>
      <c r="H980" s="41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</row>
    <row r="981" spans="1:60" ht="16">
      <c r="A981" s="41"/>
      <c r="B981" s="41"/>
      <c r="C981" s="41"/>
      <c r="D981" s="42"/>
      <c r="E981" s="43"/>
      <c r="F981" s="43"/>
      <c r="G981" s="43"/>
      <c r="H981" s="41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</row>
    <row r="982" spans="1:60" ht="16">
      <c r="A982" s="41"/>
      <c r="B982" s="41"/>
      <c r="C982" s="41"/>
      <c r="D982" s="42"/>
      <c r="E982" s="43"/>
      <c r="F982" s="43"/>
      <c r="G982" s="43"/>
      <c r="H982" s="41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</row>
    <row r="983" spans="1:60" ht="16">
      <c r="A983" s="41"/>
      <c r="B983" s="41"/>
      <c r="C983" s="41"/>
      <c r="D983" s="42"/>
      <c r="E983" s="43"/>
      <c r="F983" s="43"/>
      <c r="G983" s="43"/>
      <c r="H983" s="41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</row>
    <row r="984" spans="1:60" ht="16">
      <c r="A984" s="41"/>
      <c r="B984" s="41"/>
      <c r="C984" s="41"/>
      <c r="D984" s="42"/>
      <c r="E984" s="43"/>
      <c r="F984" s="43"/>
      <c r="G984" s="43"/>
      <c r="H984" s="41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</row>
    <row r="985" spans="1:60" ht="16">
      <c r="A985" s="41"/>
      <c r="B985" s="41"/>
      <c r="C985" s="41"/>
      <c r="D985" s="42"/>
      <c r="E985" s="43"/>
      <c r="F985" s="43"/>
      <c r="G985" s="43"/>
      <c r="H985" s="41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</row>
    <row r="986" spans="1:60" ht="16">
      <c r="A986" s="41"/>
      <c r="B986" s="41"/>
      <c r="C986" s="41"/>
      <c r="D986" s="42"/>
      <c r="E986" s="43"/>
      <c r="F986" s="43"/>
      <c r="G986" s="43"/>
      <c r="H986" s="41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</row>
    <row r="987" spans="1:60" ht="16">
      <c r="A987" s="41"/>
      <c r="B987" s="41"/>
      <c r="C987" s="41"/>
      <c r="D987" s="42"/>
      <c r="E987" s="43"/>
      <c r="F987" s="43"/>
      <c r="G987" s="43"/>
      <c r="H987" s="41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</row>
    <row r="988" spans="1:60" ht="16">
      <c r="A988" s="41"/>
      <c r="B988" s="41"/>
      <c r="C988" s="41"/>
      <c r="D988" s="42"/>
      <c r="E988" s="43"/>
      <c r="F988" s="43"/>
      <c r="G988" s="43"/>
      <c r="H988" s="41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</row>
    <row r="989" spans="1:60" ht="16">
      <c r="A989" s="41"/>
      <c r="B989" s="41"/>
      <c r="C989" s="41"/>
      <c r="D989" s="42"/>
      <c r="E989" s="43"/>
      <c r="F989" s="43"/>
      <c r="G989" s="43"/>
      <c r="H989" s="41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</row>
    <row r="990" spans="1:60" ht="16">
      <c r="A990" s="41"/>
      <c r="B990" s="41"/>
      <c r="C990" s="41"/>
      <c r="D990" s="42"/>
      <c r="E990" s="43"/>
      <c r="F990" s="43"/>
      <c r="G990" s="43"/>
      <c r="H990" s="41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</row>
    <row r="991" spans="1:60" ht="16">
      <c r="A991" s="41"/>
      <c r="B991" s="41"/>
      <c r="C991" s="41"/>
      <c r="D991" s="42"/>
      <c r="E991" s="43"/>
      <c r="F991" s="43"/>
      <c r="G991" s="43"/>
      <c r="H991" s="41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</row>
    <row r="992" spans="1:60" ht="16">
      <c r="A992" s="41"/>
      <c r="B992" s="41"/>
      <c r="C992" s="41"/>
      <c r="D992" s="42"/>
      <c r="E992" s="43"/>
      <c r="F992" s="43"/>
      <c r="G992" s="43"/>
      <c r="H992" s="41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</row>
    <row r="993" spans="1:60" ht="16">
      <c r="A993" s="41"/>
      <c r="B993" s="41"/>
      <c r="C993" s="41"/>
      <c r="D993" s="42"/>
      <c r="E993" s="43"/>
      <c r="F993" s="43"/>
      <c r="G993" s="43"/>
      <c r="H993" s="41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</row>
    <row r="994" spans="1:60" ht="16">
      <c r="A994" s="41"/>
      <c r="B994" s="41"/>
      <c r="C994" s="41"/>
      <c r="D994" s="42"/>
      <c r="E994" s="43"/>
      <c r="F994" s="43"/>
      <c r="G994" s="43"/>
      <c r="H994" s="41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</row>
    <row r="995" spans="1:60" ht="16">
      <c r="A995" s="41"/>
      <c r="B995" s="41"/>
      <c r="C995" s="41"/>
      <c r="D995" s="42"/>
      <c r="E995" s="43"/>
      <c r="F995" s="43"/>
      <c r="G995" s="43"/>
      <c r="H995" s="41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</row>
    <row r="996" spans="1:60" ht="16">
      <c r="A996" s="41"/>
      <c r="B996" s="41"/>
      <c r="C996" s="41"/>
      <c r="D996" s="42"/>
      <c r="E996" s="43"/>
      <c r="F996" s="43"/>
      <c r="G996" s="43"/>
      <c r="H996" s="41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</row>
    <row r="997" spans="1:60" ht="16">
      <c r="A997" s="41"/>
      <c r="B997" s="41"/>
      <c r="C997" s="41"/>
      <c r="D997" s="42"/>
      <c r="E997" s="43"/>
      <c r="F997" s="43"/>
      <c r="G997" s="43"/>
      <c r="H997" s="41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</row>
    <row r="998" spans="1:60" ht="16">
      <c r="A998" s="41"/>
      <c r="B998" s="41"/>
      <c r="C998" s="41"/>
      <c r="D998" s="42"/>
      <c r="E998" s="43"/>
      <c r="F998" s="43"/>
      <c r="G998" s="43"/>
      <c r="H998" s="41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</row>
    <row r="999" spans="1:60" ht="16">
      <c r="A999" s="41"/>
      <c r="B999" s="41"/>
      <c r="C999" s="41"/>
      <c r="D999" s="42"/>
      <c r="E999" s="43"/>
      <c r="F999" s="43"/>
      <c r="G999" s="43"/>
      <c r="H999" s="41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</row>
    <row r="1000" spans="1:60" ht="16">
      <c r="A1000" s="41"/>
      <c r="B1000" s="41"/>
      <c r="C1000" s="41"/>
      <c r="D1000" s="42"/>
      <c r="E1000" s="43"/>
      <c r="F1000" s="43"/>
      <c r="G1000" s="43"/>
      <c r="H1000" s="41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</row>
    <row r="1001" spans="1:60" ht="16">
      <c r="A1001" s="41"/>
      <c r="B1001" s="41"/>
      <c r="C1001" s="41"/>
      <c r="D1001" s="42"/>
      <c r="E1001" s="43"/>
      <c r="F1001" s="43"/>
      <c r="G1001" s="43"/>
      <c r="H1001" s="41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</row>
    <row r="1002" spans="1:60" ht="16">
      <c r="A1002" s="41"/>
      <c r="B1002" s="41"/>
      <c r="C1002" s="41"/>
      <c r="D1002" s="42"/>
      <c r="E1002" s="43"/>
      <c r="F1002" s="43"/>
      <c r="G1002" s="43"/>
      <c r="H1002" s="41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</row>
    <row r="1003" spans="1:60" ht="16">
      <c r="A1003" s="41"/>
      <c r="B1003" s="41"/>
      <c r="C1003" s="41"/>
      <c r="D1003" s="42"/>
      <c r="E1003" s="43"/>
      <c r="F1003" s="43"/>
      <c r="G1003" s="43"/>
      <c r="H1003" s="41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</row>
    <row r="1004" spans="1:60" ht="16">
      <c r="A1004" s="41"/>
      <c r="B1004" s="41"/>
      <c r="C1004" s="41"/>
      <c r="D1004" s="42"/>
      <c r="E1004" s="43"/>
      <c r="F1004" s="43"/>
      <c r="G1004" s="43"/>
      <c r="H1004" s="41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</row>
    <row r="1005" spans="1:60" ht="16">
      <c r="A1005" s="41"/>
      <c r="B1005" s="41"/>
      <c r="C1005" s="41"/>
      <c r="D1005" s="42"/>
      <c r="E1005" s="43"/>
      <c r="F1005" s="43"/>
      <c r="G1005" s="43"/>
      <c r="H1005" s="41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</row>
    <row r="1006" spans="1:60" ht="16">
      <c r="A1006" s="41"/>
      <c r="B1006" s="41"/>
      <c r="C1006" s="41"/>
      <c r="D1006" s="42"/>
      <c r="E1006" s="43"/>
      <c r="F1006" s="43"/>
      <c r="G1006" s="43"/>
      <c r="H1006" s="41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</row>
    <row r="1007" spans="1:60" ht="16">
      <c r="A1007" s="41"/>
      <c r="B1007" s="41"/>
      <c r="C1007" s="41"/>
      <c r="D1007" s="42"/>
      <c r="E1007" s="43"/>
      <c r="F1007" s="43"/>
      <c r="G1007" s="43"/>
      <c r="H1007" s="41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</row>
    <row r="1008" spans="1:60" ht="16">
      <c r="A1008" s="41"/>
      <c r="B1008" s="41"/>
      <c r="C1008" s="41"/>
      <c r="D1008" s="42"/>
      <c r="E1008" s="43"/>
      <c r="F1008" s="43"/>
      <c r="G1008" s="43"/>
      <c r="H1008" s="41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</row>
    <row r="1009" spans="1:60" ht="16">
      <c r="A1009" s="41"/>
      <c r="B1009" s="41"/>
      <c r="C1009" s="41"/>
      <c r="D1009" s="42"/>
      <c r="E1009" s="43"/>
      <c r="F1009" s="43"/>
      <c r="G1009" s="43"/>
      <c r="H1009" s="41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</row>
    <row r="1010" spans="1:60" ht="16">
      <c r="A1010" s="41"/>
      <c r="B1010" s="41"/>
      <c r="C1010" s="41"/>
      <c r="D1010" s="42"/>
      <c r="E1010" s="43"/>
      <c r="F1010" s="43"/>
      <c r="G1010" s="43"/>
      <c r="H1010" s="41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</row>
    <row r="1011" spans="1:60" ht="16">
      <c r="A1011" s="41"/>
      <c r="B1011" s="41"/>
      <c r="C1011" s="41"/>
      <c r="D1011" s="42"/>
      <c r="E1011" s="43"/>
      <c r="F1011" s="43"/>
      <c r="G1011" s="43"/>
      <c r="H1011" s="41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</row>
    <row r="1012" spans="1:60" ht="16">
      <c r="A1012" s="41"/>
      <c r="B1012" s="41"/>
      <c r="C1012" s="41"/>
      <c r="D1012" s="42"/>
      <c r="E1012" s="43"/>
      <c r="F1012" s="43"/>
      <c r="G1012" s="43"/>
      <c r="H1012" s="41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</row>
    <row r="1013" spans="1:60" ht="16">
      <c r="A1013" s="41"/>
      <c r="B1013" s="41"/>
      <c r="C1013" s="41"/>
      <c r="D1013" s="42"/>
      <c r="E1013" s="43"/>
      <c r="F1013" s="43"/>
      <c r="G1013" s="43"/>
      <c r="H1013" s="41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</row>
    <row r="1014" spans="1:60" ht="16">
      <c r="A1014" s="41"/>
      <c r="B1014" s="41"/>
      <c r="C1014" s="41"/>
      <c r="D1014" s="42"/>
      <c r="E1014" s="43"/>
      <c r="F1014" s="43"/>
      <c r="G1014" s="43"/>
      <c r="H1014" s="41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</row>
    <row r="1015" spans="1:60" ht="16">
      <c r="A1015" s="41"/>
      <c r="B1015" s="41"/>
      <c r="C1015" s="41"/>
      <c r="D1015" s="42"/>
      <c r="E1015" s="43"/>
      <c r="F1015" s="43"/>
      <c r="G1015" s="43"/>
      <c r="H1015" s="41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</row>
    <row r="1016" spans="1:60" ht="16">
      <c r="A1016" s="41"/>
      <c r="B1016" s="41"/>
      <c r="C1016" s="41"/>
      <c r="D1016" s="42"/>
      <c r="E1016" s="43"/>
      <c r="F1016" s="43"/>
      <c r="G1016" s="43"/>
      <c r="H1016" s="41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</row>
    <row r="1017" spans="1:60" ht="16">
      <c r="A1017" s="41"/>
      <c r="B1017" s="41"/>
      <c r="C1017" s="41"/>
      <c r="D1017" s="42"/>
      <c r="E1017" s="43"/>
      <c r="F1017" s="43"/>
      <c r="G1017" s="43"/>
      <c r="H1017" s="41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</row>
    <row r="1018" spans="1:60" ht="16">
      <c r="A1018" s="41"/>
      <c r="B1018" s="41"/>
      <c r="C1018" s="41"/>
      <c r="D1018" s="42"/>
      <c r="E1018" s="43"/>
      <c r="F1018" s="43"/>
      <c r="G1018" s="43"/>
      <c r="H1018" s="41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</row>
    <row r="1019" spans="1:60" ht="16">
      <c r="A1019" s="41"/>
      <c r="B1019" s="41"/>
      <c r="C1019" s="41"/>
      <c r="D1019" s="42"/>
      <c r="E1019" s="43"/>
      <c r="F1019" s="43"/>
      <c r="G1019" s="43"/>
      <c r="H1019" s="41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</row>
    <row r="1020" spans="1:60" ht="16">
      <c r="A1020" s="41"/>
      <c r="B1020" s="41"/>
      <c r="C1020" s="41"/>
      <c r="D1020" s="42"/>
      <c r="E1020" s="43"/>
      <c r="F1020" s="43"/>
      <c r="G1020" s="43"/>
      <c r="H1020" s="41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</row>
    <row r="1021" spans="1:60" ht="16">
      <c r="A1021" s="41"/>
      <c r="B1021" s="41"/>
      <c r="C1021" s="41"/>
      <c r="D1021" s="42"/>
      <c r="E1021" s="43"/>
      <c r="F1021" s="43"/>
      <c r="G1021" s="43"/>
      <c r="H1021" s="41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</row>
    <row r="1022" spans="1:60" ht="16">
      <c r="A1022" s="41"/>
      <c r="B1022" s="41"/>
      <c r="C1022" s="41"/>
      <c r="D1022" s="42"/>
      <c r="E1022" s="43"/>
      <c r="F1022" s="43"/>
      <c r="G1022" s="43"/>
      <c r="H1022" s="41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</row>
    <row r="1023" spans="1:60" ht="16">
      <c r="A1023" s="41"/>
      <c r="B1023" s="41"/>
      <c r="C1023" s="41"/>
      <c r="D1023" s="42"/>
      <c r="E1023" s="43"/>
      <c r="F1023" s="43"/>
      <c r="G1023" s="43"/>
      <c r="H1023" s="41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</row>
    <row r="1024" spans="1:60" ht="16">
      <c r="A1024" s="41"/>
      <c r="B1024" s="41"/>
      <c r="C1024" s="41"/>
      <c r="D1024" s="42"/>
      <c r="E1024" s="43"/>
      <c r="F1024" s="43"/>
      <c r="G1024" s="43"/>
      <c r="H1024" s="41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</row>
    <row r="1025" spans="1:60" ht="16">
      <c r="A1025" s="41"/>
      <c r="B1025" s="41"/>
      <c r="C1025" s="41"/>
      <c r="D1025" s="42"/>
      <c r="E1025" s="43"/>
      <c r="F1025" s="43"/>
      <c r="G1025" s="43"/>
      <c r="H1025" s="41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</row>
    <row r="1026" spans="1:60" ht="16">
      <c r="A1026" s="41"/>
      <c r="B1026" s="41"/>
      <c r="C1026" s="41"/>
      <c r="D1026" s="42"/>
      <c r="E1026" s="43"/>
      <c r="F1026" s="43"/>
      <c r="G1026" s="43"/>
      <c r="H1026" s="41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</row>
    <row r="1027" spans="1:60" ht="16">
      <c r="A1027" s="41"/>
      <c r="B1027" s="41"/>
      <c r="C1027" s="41"/>
      <c r="D1027" s="42"/>
      <c r="E1027" s="43"/>
      <c r="F1027" s="43"/>
      <c r="G1027" s="43"/>
      <c r="H1027" s="41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</row>
    <row r="1028" spans="1:60" ht="16">
      <c r="A1028" s="41"/>
      <c r="B1028" s="41"/>
      <c r="C1028" s="41"/>
      <c r="D1028" s="42"/>
      <c r="E1028" s="43"/>
      <c r="F1028" s="43"/>
      <c r="G1028" s="43"/>
      <c r="H1028" s="41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</row>
    <row r="1029" spans="1:60" ht="16">
      <c r="A1029" s="41"/>
      <c r="B1029" s="41"/>
      <c r="C1029" s="41"/>
      <c r="D1029" s="42"/>
      <c r="E1029" s="43"/>
      <c r="F1029" s="43"/>
      <c r="G1029" s="43"/>
      <c r="H1029" s="41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</row>
    <row r="1030" spans="1:60" ht="16">
      <c r="A1030" s="41"/>
      <c r="B1030" s="41"/>
      <c r="C1030" s="41"/>
      <c r="D1030" s="42"/>
      <c r="E1030" s="43"/>
      <c r="F1030" s="43"/>
      <c r="G1030" s="43"/>
      <c r="H1030" s="41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</row>
    <row r="1031" spans="1:60" ht="16">
      <c r="A1031" s="41"/>
      <c r="B1031" s="41"/>
      <c r="C1031" s="41"/>
      <c r="D1031" s="42"/>
      <c r="E1031" s="43"/>
      <c r="F1031" s="43"/>
      <c r="G1031" s="43"/>
      <c r="H1031" s="41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</row>
    <row r="1032" spans="1:60" ht="16">
      <c r="A1032" s="41"/>
      <c r="B1032" s="41"/>
      <c r="C1032" s="41"/>
      <c r="D1032" s="42"/>
      <c r="E1032" s="43"/>
      <c r="F1032" s="43"/>
      <c r="G1032" s="43"/>
      <c r="H1032" s="41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</row>
    <row r="1033" spans="1:60" ht="16">
      <c r="A1033" s="41"/>
      <c r="B1033" s="41"/>
      <c r="C1033" s="41"/>
      <c r="D1033" s="42"/>
      <c r="E1033" s="43"/>
      <c r="F1033" s="43"/>
      <c r="G1033" s="43"/>
      <c r="H1033" s="41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</row>
    <row r="1034" spans="1:60" ht="16">
      <c r="A1034" s="41"/>
      <c r="B1034" s="41"/>
      <c r="C1034" s="41"/>
      <c r="D1034" s="42"/>
      <c r="E1034" s="43"/>
      <c r="F1034" s="43"/>
      <c r="G1034" s="43"/>
      <c r="H1034" s="41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</row>
    <row r="1035" spans="1:60" ht="16">
      <c r="A1035" s="41"/>
      <c r="B1035" s="41"/>
      <c r="C1035" s="41"/>
      <c r="D1035" s="42"/>
      <c r="E1035" s="43"/>
      <c r="F1035" s="43"/>
      <c r="G1035" s="43"/>
      <c r="H1035" s="41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</row>
    <row r="1036" spans="1:60" ht="16">
      <c r="A1036" s="41"/>
      <c r="B1036" s="41"/>
      <c r="C1036" s="41"/>
      <c r="D1036" s="42"/>
      <c r="E1036" s="43"/>
      <c r="F1036" s="43"/>
      <c r="G1036" s="43"/>
      <c r="H1036" s="41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</row>
    <row r="1037" spans="1:60" ht="16">
      <c r="A1037" s="41"/>
      <c r="B1037" s="41"/>
      <c r="C1037" s="41"/>
      <c r="D1037" s="42"/>
      <c r="E1037" s="43"/>
      <c r="F1037" s="43"/>
      <c r="G1037" s="43"/>
      <c r="H1037" s="41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</row>
    <row r="1038" spans="1:60" ht="16">
      <c r="A1038" s="41"/>
      <c r="B1038" s="41"/>
      <c r="C1038" s="41"/>
      <c r="D1038" s="42"/>
      <c r="E1038" s="43"/>
      <c r="F1038" s="43"/>
      <c r="G1038" s="43"/>
      <c r="H1038" s="41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</row>
    <row r="1039" spans="1:60" ht="16">
      <c r="A1039" s="41"/>
      <c r="B1039" s="41"/>
      <c r="C1039" s="41"/>
      <c r="D1039" s="42"/>
      <c r="E1039" s="43"/>
      <c r="F1039" s="43"/>
      <c r="G1039" s="43"/>
      <c r="H1039" s="41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</row>
    <row r="1040" spans="1:60" ht="16">
      <c r="A1040" s="41"/>
      <c r="B1040" s="41"/>
      <c r="C1040" s="41"/>
      <c r="D1040" s="42"/>
      <c r="E1040" s="43"/>
      <c r="F1040" s="43"/>
      <c r="G1040" s="43"/>
      <c r="H1040" s="41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</row>
    <row r="1041" spans="1:60" ht="16">
      <c r="A1041" s="41"/>
      <c r="B1041" s="41"/>
      <c r="C1041" s="41"/>
      <c r="D1041" s="42"/>
      <c r="E1041" s="43"/>
      <c r="F1041" s="43"/>
      <c r="G1041" s="43"/>
      <c r="H1041" s="41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</row>
    <row r="1042" spans="1:60" ht="16">
      <c r="A1042" s="41"/>
      <c r="B1042" s="41"/>
      <c r="C1042" s="41"/>
      <c r="D1042" s="42"/>
      <c r="E1042" s="43"/>
      <c r="F1042" s="43"/>
      <c r="G1042" s="43"/>
      <c r="H1042" s="41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</row>
    <row r="1043" spans="1:60" ht="16">
      <c r="A1043" s="41"/>
      <c r="B1043" s="41"/>
      <c r="C1043" s="41"/>
      <c r="D1043" s="42"/>
      <c r="E1043" s="43"/>
      <c r="F1043" s="43"/>
      <c r="G1043" s="43"/>
      <c r="H1043" s="41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</row>
    <row r="1044" spans="1:60" ht="16">
      <c r="A1044" s="41"/>
      <c r="B1044" s="41"/>
      <c r="C1044" s="41"/>
      <c r="D1044" s="42"/>
      <c r="E1044" s="43"/>
      <c r="F1044" s="43"/>
      <c r="G1044" s="43"/>
      <c r="H1044" s="41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</row>
    <row r="1045" spans="1:60" ht="16">
      <c r="A1045" s="41"/>
      <c r="B1045" s="41"/>
      <c r="C1045" s="41"/>
      <c r="D1045" s="42"/>
      <c r="E1045" s="43"/>
      <c r="F1045" s="43"/>
      <c r="G1045" s="43"/>
      <c r="H1045" s="41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</row>
    <row r="1046" spans="1:60" ht="16">
      <c r="A1046" s="41"/>
      <c r="B1046" s="41"/>
      <c r="C1046" s="41"/>
      <c r="D1046" s="42"/>
      <c r="E1046" s="43"/>
      <c r="F1046" s="43"/>
      <c r="G1046" s="43"/>
      <c r="H1046" s="41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</row>
    <row r="1047" spans="1:60" ht="16">
      <c r="A1047" s="41"/>
      <c r="B1047" s="41"/>
      <c r="C1047" s="41"/>
      <c r="D1047" s="42"/>
      <c r="E1047" s="43"/>
      <c r="F1047" s="43"/>
      <c r="G1047" s="43"/>
      <c r="H1047" s="41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</row>
    <row r="1048" spans="1:60" ht="16">
      <c r="A1048" s="41"/>
      <c r="B1048" s="41"/>
      <c r="C1048" s="41"/>
      <c r="D1048" s="42"/>
      <c r="E1048" s="43"/>
      <c r="F1048" s="43"/>
      <c r="G1048" s="43"/>
      <c r="H1048" s="41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</row>
    <row r="1049" spans="1:60" ht="16">
      <c r="A1049" s="41"/>
      <c r="B1049" s="41"/>
      <c r="C1049" s="41"/>
      <c r="D1049" s="42"/>
      <c r="E1049" s="43"/>
      <c r="F1049" s="43"/>
      <c r="G1049" s="43"/>
      <c r="H1049" s="41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</row>
    <row r="1050" spans="1:60" ht="16">
      <c r="A1050" s="41"/>
      <c r="B1050" s="41"/>
      <c r="C1050" s="41"/>
      <c r="D1050" s="42"/>
      <c r="E1050" s="43"/>
      <c r="F1050" s="43"/>
      <c r="G1050" s="43"/>
      <c r="H1050" s="41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</row>
    <row r="1051" spans="1:60" ht="16">
      <c r="A1051" s="41"/>
      <c r="B1051" s="41"/>
      <c r="C1051" s="41"/>
      <c r="D1051" s="42"/>
      <c r="E1051" s="43"/>
      <c r="F1051" s="43"/>
      <c r="G1051" s="43"/>
      <c r="H1051" s="41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</row>
    <row r="1052" spans="1:60" ht="16">
      <c r="A1052" s="41"/>
      <c r="B1052" s="41"/>
      <c r="C1052" s="41"/>
      <c r="D1052" s="42"/>
      <c r="E1052" s="43"/>
      <c r="F1052" s="43"/>
      <c r="G1052" s="43"/>
      <c r="H1052" s="41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</row>
    <row r="1053" spans="1:60" ht="16">
      <c r="A1053" s="41"/>
      <c r="B1053" s="41"/>
      <c r="C1053" s="41"/>
      <c r="D1053" s="42"/>
      <c r="E1053" s="43"/>
      <c r="F1053" s="43"/>
      <c r="G1053" s="43"/>
      <c r="H1053" s="41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</row>
    <row r="1054" spans="1:60" ht="16">
      <c r="A1054" s="41"/>
      <c r="B1054" s="41"/>
      <c r="C1054" s="41"/>
      <c r="D1054" s="42"/>
      <c r="E1054" s="43"/>
      <c r="F1054" s="43"/>
      <c r="G1054" s="43"/>
      <c r="H1054" s="41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</row>
    <row r="1055" spans="1:60" ht="16">
      <c r="A1055" s="41"/>
      <c r="B1055" s="41"/>
      <c r="C1055" s="41"/>
      <c r="D1055" s="42"/>
      <c r="E1055" s="43"/>
      <c r="F1055" s="43"/>
      <c r="G1055" s="43"/>
      <c r="H1055" s="41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</row>
    <row r="1056" spans="1:60" ht="16">
      <c r="A1056" s="41"/>
      <c r="B1056" s="41"/>
      <c r="C1056" s="41"/>
      <c r="D1056" s="42"/>
      <c r="E1056" s="43"/>
      <c r="F1056" s="43"/>
      <c r="G1056" s="43"/>
      <c r="H1056" s="41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</row>
    <row r="1057" spans="1:60" ht="16">
      <c r="A1057" s="41"/>
      <c r="B1057" s="41"/>
      <c r="C1057" s="41"/>
      <c r="D1057" s="42"/>
      <c r="E1057" s="43"/>
      <c r="F1057" s="43"/>
      <c r="G1057" s="43"/>
      <c r="H1057" s="41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</row>
    <row r="1058" spans="1:60" ht="16">
      <c r="A1058" s="41"/>
      <c r="B1058" s="41"/>
      <c r="C1058" s="41"/>
      <c r="D1058" s="42"/>
      <c r="E1058" s="43"/>
      <c r="F1058" s="43"/>
      <c r="G1058" s="43"/>
      <c r="H1058" s="41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</row>
    <row r="1059" spans="1:60" ht="16">
      <c r="A1059" s="41"/>
      <c r="B1059" s="41"/>
      <c r="C1059" s="41"/>
      <c r="D1059" s="42"/>
      <c r="E1059" s="43"/>
      <c r="F1059" s="43"/>
      <c r="G1059" s="43"/>
      <c r="H1059" s="41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</row>
    <row r="1060" spans="1:60" ht="16">
      <c r="A1060" s="41"/>
      <c r="B1060" s="41"/>
      <c r="C1060" s="41"/>
      <c r="D1060" s="42"/>
      <c r="E1060" s="43"/>
      <c r="F1060" s="43"/>
      <c r="G1060" s="43"/>
      <c r="H1060" s="41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</row>
    <row r="1061" spans="1:60" ht="16">
      <c r="A1061" s="41"/>
      <c r="B1061" s="41"/>
      <c r="C1061" s="41"/>
      <c r="D1061" s="42"/>
      <c r="E1061" s="43"/>
      <c r="F1061" s="43"/>
      <c r="G1061" s="43"/>
      <c r="H1061" s="41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</row>
    <row r="1062" spans="1:60" ht="16">
      <c r="A1062" s="41"/>
      <c r="B1062" s="41"/>
      <c r="C1062" s="41"/>
      <c r="D1062" s="42"/>
      <c r="E1062" s="43"/>
      <c r="F1062" s="43"/>
      <c r="G1062" s="43"/>
      <c r="H1062" s="41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</row>
    <row r="1063" spans="1:60" ht="16">
      <c r="A1063" s="41"/>
      <c r="B1063" s="41"/>
      <c r="C1063" s="41"/>
      <c r="D1063" s="42"/>
      <c r="E1063" s="43"/>
      <c r="F1063" s="43"/>
      <c r="G1063" s="43"/>
      <c r="H1063" s="41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</row>
    <row r="1064" spans="1:60" ht="16">
      <c r="A1064" s="41"/>
      <c r="B1064" s="41"/>
      <c r="C1064" s="41"/>
      <c r="D1064" s="42"/>
      <c r="E1064" s="43"/>
      <c r="F1064" s="43"/>
      <c r="G1064" s="43"/>
      <c r="H1064" s="41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</row>
    <row r="1065" spans="1:60" ht="16">
      <c r="A1065" s="41"/>
      <c r="B1065" s="41"/>
      <c r="C1065" s="41"/>
      <c r="D1065" s="42"/>
      <c r="E1065" s="43"/>
      <c r="F1065" s="43"/>
      <c r="G1065" s="43"/>
      <c r="H1065" s="41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</row>
    <row r="1066" spans="1:60" ht="16">
      <c r="A1066" s="41"/>
      <c r="B1066" s="41"/>
      <c r="C1066" s="41"/>
      <c r="D1066" s="42"/>
      <c r="E1066" s="43"/>
      <c r="F1066" s="43"/>
      <c r="G1066" s="43"/>
      <c r="H1066" s="41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</row>
    <row r="1067" spans="1:60" ht="16">
      <c r="A1067" s="41"/>
      <c r="B1067" s="41"/>
      <c r="C1067" s="41"/>
      <c r="D1067" s="42"/>
      <c r="E1067" s="43"/>
      <c r="F1067" s="43"/>
      <c r="G1067" s="43"/>
      <c r="H1067" s="41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</row>
    <row r="1068" spans="1:60" ht="16">
      <c r="A1068" s="41"/>
      <c r="B1068" s="41"/>
      <c r="C1068" s="41"/>
      <c r="D1068" s="42"/>
      <c r="E1068" s="43"/>
      <c r="F1068" s="43"/>
      <c r="G1068" s="43"/>
      <c r="H1068" s="41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</row>
    <row r="1069" spans="1:60" ht="16">
      <c r="A1069" s="41"/>
      <c r="B1069" s="41"/>
      <c r="C1069" s="41"/>
      <c r="D1069" s="42"/>
      <c r="E1069" s="43"/>
      <c r="F1069" s="43"/>
      <c r="G1069" s="43"/>
      <c r="H1069" s="41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</row>
    <row r="1070" spans="1:60" ht="16">
      <c r="A1070" s="41"/>
      <c r="B1070" s="41"/>
      <c r="C1070" s="41"/>
      <c r="D1070" s="42"/>
      <c r="E1070" s="43"/>
      <c r="F1070" s="43"/>
      <c r="G1070" s="43"/>
      <c r="H1070" s="41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</row>
    <row r="1071" spans="1:60" ht="16">
      <c r="A1071" s="41"/>
      <c r="B1071" s="41"/>
      <c r="C1071" s="41"/>
      <c r="D1071" s="42"/>
      <c r="E1071" s="43"/>
      <c r="F1071" s="43"/>
      <c r="G1071" s="43"/>
      <c r="H1071" s="41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</row>
    <row r="1072" spans="1:60" ht="16">
      <c r="A1072" s="41"/>
      <c r="B1072" s="41"/>
      <c r="C1072" s="41"/>
      <c r="D1072" s="42"/>
      <c r="E1072" s="43"/>
      <c r="F1072" s="43"/>
      <c r="G1072" s="43"/>
      <c r="H1072" s="41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</row>
    <row r="1073" spans="1:60" ht="16">
      <c r="A1073" s="41"/>
      <c r="B1073" s="41"/>
      <c r="C1073" s="41"/>
      <c r="D1073" s="42"/>
      <c r="E1073" s="43"/>
      <c r="F1073" s="43"/>
      <c r="G1073" s="43"/>
      <c r="H1073" s="41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</row>
    <row r="1074" spans="1:60" ht="16">
      <c r="A1074" s="41"/>
      <c r="B1074" s="41"/>
      <c r="C1074" s="41"/>
      <c r="D1074" s="42"/>
      <c r="E1074" s="43"/>
      <c r="F1074" s="43"/>
      <c r="G1074" s="43"/>
      <c r="H1074" s="41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</row>
    <row r="1075" spans="1:60" ht="16">
      <c r="A1075" s="41"/>
      <c r="B1075" s="41"/>
      <c r="C1075" s="41"/>
      <c r="D1075" s="42"/>
      <c r="E1075" s="43"/>
      <c r="F1075" s="43"/>
      <c r="G1075" s="43"/>
      <c r="H1075" s="41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</row>
    <row r="1076" spans="1:60" ht="16">
      <c r="A1076" s="41"/>
      <c r="B1076" s="41"/>
      <c r="C1076" s="41"/>
      <c r="D1076" s="42"/>
      <c r="E1076" s="43"/>
      <c r="F1076" s="43"/>
      <c r="G1076" s="43"/>
      <c r="H1076" s="41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</row>
    <row r="1077" spans="1:60" ht="16">
      <c r="A1077" s="41"/>
      <c r="B1077" s="41"/>
      <c r="C1077" s="41"/>
      <c r="D1077" s="42"/>
      <c r="E1077" s="43"/>
      <c r="F1077" s="43"/>
      <c r="G1077" s="43"/>
      <c r="H1077" s="41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</row>
    <row r="1078" spans="1:60" ht="16">
      <c r="A1078" s="41"/>
      <c r="B1078" s="41"/>
      <c r="C1078" s="41"/>
      <c r="D1078" s="42"/>
      <c r="E1078" s="43"/>
      <c r="F1078" s="43"/>
      <c r="G1078" s="43"/>
      <c r="H1078" s="41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</row>
    <row r="1079" spans="1:60" ht="16">
      <c r="A1079" s="41"/>
      <c r="B1079" s="41"/>
      <c r="C1079" s="41"/>
      <c r="D1079" s="42"/>
      <c r="E1079" s="43"/>
      <c r="F1079" s="43"/>
      <c r="G1079" s="43"/>
      <c r="H1079" s="41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</row>
    <row r="1080" spans="1:60" ht="16">
      <c r="A1080" s="41"/>
      <c r="B1080" s="41"/>
      <c r="C1080" s="41"/>
      <c r="D1080" s="42"/>
      <c r="E1080" s="43"/>
      <c r="F1080" s="43"/>
      <c r="G1080" s="43"/>
      <c r="H1080" s="41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</row>
    <row r="1081" spans="1:60" ht="16">
      <c r="A1081" s="41"/>
      <c r="B1081" s="41"/>
      <c r="C1081" s="41"/>
      <c r="D1081" s="42"/>
      <c r="E1081" s="43"/>
      <c r="F1081" s="43"/>
      <c r="G1081" s="43"/>
      <c r="H1081" s="41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</row>
    <row r="1082" spans="1:60" ht="16">
      <c r="A1082" s="41"/>
      <c r="B1082" s="41"/>
      <c r="C1082" s="41"/>
      <c r="D1082" s="42"/>
      <c r="E1082" s="43"/>
      <c r="F1082" s="43"/>
      <c r="G1082" s="43"/>
      <c r="H1082" s="41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</row>
    <row r="1083" spans="1:60" ht="16">
      <c r="A1083" s="41"/>
      <c r="B1083" s="41"/>
      <c r="C1083" s="41"/>
      <c r="D1083" s="42"/>
      <c r="E1083" s="43"/>
      <c r="F1083" s="43"/>
      <c r="G1083" s="43"/>
      <c r="H1083" s="41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</row>
    <row r="1084" spans="1:60" ht="16">
      <c r="A1084" s="41"/>
      <c r="B1084" s="41"/>
      <c r="C1084" s="41"/>
      <c r="D1084" s="42"/>
      <c r="E1084" s="43"/>
      <c r="F1084" s="43"/>
      <c r="G1084" s="43"/>
      <c r="H1084" s="41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</row>
    <row r="1085" spans="1:60" ht="16">
      <c r="A1085" s="41"/>
      <c r="B1085" s="41"/>
      <c r="C1085" s="41"/>
      <c r="D1085" s="42"/>
      <c r="E1085" s="43"/>
      <c r="F1085" s="43"/>
      <c r="G1085" s="43"/>
      <c r="H1085" s="41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</row>
    <row r="1086" spans="1:60" ht="16">
      <c r="A1086" s="41"/>
      <c r="B1086" s="41"/>
      <c r="C1086" s="41"/>
      <c r="D1086" s="42"/>
      <c r="E1086" s="43"/>
      <c r="F1086" s="43"/>
      <c r="G1086" s="43"/>
      <c r="H1086" s="41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</row>
    <row r="1087" spans="1:60" ht="16">
      <c r="A1087" s="41"/>
      <c r="B1087" s="41"/>
      <c r="C1087" s="41"/>
      <c r="D1087" s="42"/>
      <c r="E1087" s="43"/>
      <c r="F1087" s="43"/>
      <c r="G1087" s="43"/>
      <c r="H1087" s="41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</row>
    <row r="1088" spans="1:60" ht="16">
      <c r="A1088" s="41"/>
      <c r="B1088" s="41"/>
      <c r="C1088" s="41"/>
      <c r="D1088" s="42"/>
      <c r="E1088" s="43"/>
      <c r="F1088" s="43"/>
      <c r="G1088" s="43"/>
      <c r="H1088" s="41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</row>
    <row r="1089" spans="1:60" ht="16">
      <c r="A1089" s="41"/>
      <c r="B1089" s="41"/>
      <c r="C1089" s="41"/>
      <c r="D1089" s="42"/>
      <c r="E1089" s="43"/>
      <c r="F1089" s="43"/>
      <c r="G1089" s="43"/>
      <c r="H1089" s="41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</row>
    <row r="1090" spans="1:60" ht="16">
      <c r="A1090" s="41"/>
      <c r="B1090" s="41"/>
      <c r="C1090" s="41"/>
      <c r="D1090" s="42"/>
      <c r="E1090" s="43"/>
      <c r="F1090" s="43"/>
      <c r="G1090" s="43"/>
      <c r="H1090" s="41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</row>
    <row r="1091" spans="1:60" ht="16">
      <c r="A1091" s="41"/>
      <c r="B1091" s="41"/>
      <c r="C1091" s="41"/>
      <c r="D1091" s="42"/>
      <c r="E1091" s="43"/>
      <c r="F1091" s="43"/>
      <c r="G1091" s="43"/>
      <c r="H1091" s="41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</row>
    <row r="1092" spans="1:60" ht="16">
      <c r="A1092" s="41"/>
      <c r="B1092" s="41"/>
      <c r="C1092" s="41"/>
      <c r="D1092" s="42"/>
      <c r="E1092" s="43"/>
      <c r="F1092" s="43"/>
      <c r="G1092" s="43"/>
      <c r="H1092" s="41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</row>
    <row r="1093" spans="1:60" ht="16">
      <c r="A1093" s="41"/>
      <c r="B1093" s="41"/>
      <c r="C1093" s="41"/>
      <c r="D1093" s="42"/>
      <c r="E1093" s="43"/>
      <c r="F1093" s="43"/>
      <c r="G1093" s="43"/>
      <c r="H1093" s="41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</row>
    <row r="1094" spans="1:60" ht="16">
      <c r="A1094" s="41"/>
      <c r="B1094" s="41"/>
      <c r="C1094" s="41"/>
      <c r="D1094" s="42"/>
      <c r="E1094" s="43"/>
      <c r="F1094" s="43"/>
      <c r="G1094" s="43"/>
      <c r="H1094" s="41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</row>
    <row r="1095" spans="1:60" ht="16">
      <c r="A1095" s="41"/>
      <c r="B1095" s="41"/>
      <c r="C1095" s="41"/>
      <c r="D1095" s="42"/>
      <c r="E1095" s="43"/>
      <c r="F1095" s="43"/>
      <c r="G1095" s="43"/>
      <c r="H1095" s="41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</row>
    <row r="1096" spans="1:60" ht="16">
      <c r="A1096" s="41"/>
      <c r="B1096" s="41"/>
      <c r="C1096" s="41"/>
      <c r="D1096" s="42"/>
      <c r="E1096" s="43"/>
      <c r="F1096" s="43"/>
      <c r="G1096" s="43"/>
      <c r="H1096" s="41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</row>
    <row r="1097" spans="1:60" ht="16">
      <c r="A1097" s="41"/>
      <c r="B1097" s="41"/>
      <c r="C1097" s="41"/>
      <c r="D1097" s="42"/>
      <c r="E1097" s="43"/>
      <c r="F1097" s="43"/>
      <c r="G1097" s="43"/>
      <c r="H1097" s="41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</row>
    <row r="1098" spans="1:60" ht="16">
      <c r="A1098" s="41"/>
      <c r="B1098" s="41"/>
      <c r="C1098" s="41"/>
      <c r="D1098" s="42"/>
      <c r="E1098" s="43"/>
      <c r="F1098" s="43"/>
      <c r="G1098" s="43"/>
      <c r="H1098" s="41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</row>
    <row r="1099" spans="1:60" ht="16">
      <c r="A1099" s="41"/>
      <c r="B1099" s="41"/>
      <c r="C1099" s="41"/>
      <c r="D1099" s="42"/>
      <c r="E1099" s="43"/>
      <c r="F1099" s="43"/>
      <c r="G1099" s="43"/>
      <c r="H1099" s="41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</row>
    <row r="1100" spans="1:60" ht="16">
      <c r="A1100" s="41"/>
      <c r="B1100" s="41"/>
      <c r="C1100" s="41"/>
      <c r="D1100" s="42"/>
      <c r="E1100" s="43"/>
      <c r="F1100" s="43"/>
      <c r="G1100" s="43"/>
      <c r="H1100" s="41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</row>
    <row r="1101" spans="1:60" ht="16">
      <c r="A1101" s="41"/>
      <c r="B1101" s="41"/>
      <c r="C1101" s="41"/>
      <c r="D1101" s="42"/>
      <c r="E1101" s="43"/>
      <c r="F1101" s="43"/>
      <c r="G1101" s="43"/>
      <c r="H1101" s="41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</row>
    <row r="1102" spans="1:60" ht="16">
      <c r="A1102" s="41"/>
      <c r="B1102" s="41"/>
      <c r="C1102" s="41"/>
      <c r="D1102" s="42"/>
      <c r="E1102" s="43"/>
      <c r="F1102" s="43"/>
      <c r="G1102" s="43"/>
      <c r="H1102" s="41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</row>
    <row r="1103" spans="1:60" ht="16">
      <c r="A1103" s="41"/>
      <c r="B1103" s="41"/>
      <c r="C1103" s="41"/>
      <c r="D1103" s="42"/>
      <c r="E1103" s="43"/>
      <c r="F1103" s="43"/>
      <c r="G1103" s="43"/>
      <c r="H1103" s="41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</row>
    <row r="1104" spans="1:60" ht="16">
      <c r="A1104" s="41"/>
      <c r="B1104" s="41"/>
      <c r="C1104" s="41"/>
      <c r="D1104" s="42"/>
      <c r="E1104" s="43"/>
      <c r="F1104" s="43"/>
      <c r="G1104" s="43"/>
      <c r="H1104" s="41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</row>
    <row r="1105" spans="1:60" ht="16">
      <c r="A1105" s="41"/>
      <c r="B1105" s="41"/>
      <c r="C1105" s="41"/>
      <c r="D1105" s="42"/>
      <c r="E1105" s="43"/>
      <c r="F1105" s="43"/>
      <c r="G1105" s="43"/>
      <c r="H1105" s="41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</row>
    <row r="1106" spans="1:60" ht="16">
      <c r="A1106" s="41"/>
      <c r="B1106" s="41"/>
      <c r="C1106" s="41"/>
      <c r="D1106" s="42"/>
      <c r="E1106" s="43"/>
      <c r="F1106" s="43"/>
      <c r="G1106" s="43"/>
      <c r="H1106" s="41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</row>
    <row r="1107" spans="1:60" ht="16">
      <c r="A1107" s="41"/>
      <c r="B1107" s="41"/>
      <c r="C1107" s="41"/>
      <c r="D1107" s="42"/>
      <c r="E1107" s="43"/>
      <c r="F1107" s="43"/>
      <c r="G1107" s="43"/>
      <c r="H1107" s="41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</row>
    <row r="1108" spans="1:60" ht="16">
      <c r="A1108" s="41"/>
      <c r="B1108" s="41"/>
      <c r="C1108" s="41"/>
      <c r="D1108" s="42"/>
      <c r="E1108" s="43"/>
      <c r="F1108" s="43"/>
      <c r="G1108" s="43"/>
      <c r="H1108" s="41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</row>
    <row r="1109" spans="1:60" ht="16">
      <c r="A1109" s="41"/>
      <c r="B1109" s="41"/>
      <c r="C1109" s="41"/>
      <c r="D1109" s="42"/>
      <c r="E1109" s="43"/>
      <c r="F1109" s="43"/>
      <c r="G1109" s="43"/>
      <c r="H1109" s="41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</row>
    <row r="1110" spans="1:60" ht="16">
      <c r="A1110" s="41"/>
      <c r="B1110" s="41"/>
      <c r="C1110" s="41"/>
      <c r="D1110" s="42"/>
      <c r="E1110" s="43"/>
      <c r="F1110" s="43"/>
      <c r="G1110" s="43"/>
      <c r="H1110" s="41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</row>
    <row r="1111" spans="1:60" ht="16">
      <c r="A1111" s="41"/>
      <c r="B1111" s="41"/>
      <c r="C1111" s="41"/>
      <c r="D1111" s="42"/>
      <c r="E1111" s="43"/>
      <c r="F1111" s="43"/>
      <c r="G1111" s="43"/>
      <c r="H1111" s="41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</row>
    <row r="1112" spans="1:60" ht="16">
      <c r="A1112" s="41"/>
      <c r="B1112" s="41"/>
      <c r="C1112" s="41"/>
      <c r="D1112" s="42"/>
      <c r="E1112" s="43"/>
      <c r="F1112" s="43"/>
      <c r="G1112" s="43"/>
      <c r="H1112" s="41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</row>
    <row r="1113" spans="1:60" ht="16">
      <c r="A1113" s="41"/>
      <c r="B1113" s="41"/>
      <c r="C1113" s="41"/>
      <c r="D1113" s="42"/>
      <c r="E1113" s="43"/>
      <c r="F1113" s="43"/>
      <c r="G1113" s="43"/>
      <c r="H1113" s="41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</row>
    <row r="1114" spans="1:60" ht="16">
      <c r="A1114" s="41"/>
      <c r="B1114" s="41"/>
      <c r="C1114" s="41"/>
      <c r="D1114" s="42"/>
      <c r="E1114" s="43"/>
      <c r="F1114" s="43"/>
      <c r="G1114" s="43"/>
      <c r="H1114" s="41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</row>
    <row r="1115" spans="1:60" ht="16">
      <c r="A1115" s="41"/>
      <c r="B1115" s="41"/>
      <c r="C1115" s="41"/>
      <c r="D1115" s="42"/>
      <c r="E1115" s="43"/>
      <c r="F1115" s="43"/>
      <c r="G1115" s="43"/>
      <c r="H1115" s="41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</row>
    <row r="1116" spans="1:60" ht="16">
      <c r="A1116" s="41"/>
      <c r="B1116" s="41"/>
      <c r="C1116" s="41"/>
      <c r="D1116" s="42"/>
      <c r="E1116" s="43"/>
      <c r="F1116" s="43"/>
      <c r="G1116" s="43"/>
      <c r="H1116" s="41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</row>
    <row r="1117" spans="1:60" ht="16">
      <c r="A1117" s="41"/>
      <c r="B1117" s="41"/>
      <c r="C1117" s="41"/>
      <c r="D1117" s="42"/>
      <c r="E1117" s="43"/>
      <c r="F1117" s="43"/>
      <c r="G1117" s="43"/>
      <c r="H1117" s="41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</row>
    <row r="1118" spans="1:60" ht="16">
      <c r="A1118" s="41"/>
      <c r="B1118" s="41"/>
      <c r="C1118" s="41"/>
      <c r="D1118" s="42"/>
      <c r="E1118" s="43"/>
      <c r="F1118" s="43"/>
      <c r="G1118" s="43"/>
      <c r="H1118" s="41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</row>
    <row r="1119" spans="1:60" ht="16">
      <c r="A1119" s="41"/>
      <c r="B1119" s="41"/>
      <c r="C1119" s="41"/>
      <c r="D1119" s="42"/>
      <c r="E1119" s="43"/>
      <c r="F1119" s="43"/>
      <c r="G1119" s="43"/>
      <c r="H1119" s="41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</row>
    <row r="1120" spans="1:60" ht="16">
      <c r="A1120" s="41"/>
      <c r="B1120" s="41"/>
      <c r="C1120" s="41"/>
      <c r="D1120" s="42"/>
      <c r="E1120" s="43"/>
      <c r="F1120" s="43"/>
      <c r="G1120" s="43"/>
      <c r="H1120" s="41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</row>
    <row r="1121" spans="1:60" ht="16">
      <c r="A1121" s="41"/>
      <c r="B1121" s="41"/>
      <c r="C1121" s="41"/>
      <c r="D1121" s="42"/>
      <c r="E1121" s="43"/>
      <c r="F1121" s="43"/>
      <c r="G1121" s="43"/>
      <c r="H1121" s="41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</row>
    <row r="1122" spans="1:60" ht="16">
      <c r="A1122" s="41"/>
      <c r="B1122" s="41"/>
      <c r="C1122" s="41"/>
      <c r="D1122" s="42"/>
      <c r="E1122" s="43"/>
      <c r="F1122" s="43"/>
      <c r="G1122" s="43"/>
      <c r="H1122" s="41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</row>
    <row r="1123" spans="1:60" ht="16">
      <c r="A1123" s="41"/>
      <c r="B1123" s="41"/>
      <c r="C1123" s="41"/>
      <c r="D1123" s="42"/>
      <c r="E1123" s="43"/>
      <c r="F1123" s="43"/>
      <c r="G1123" s="43"/>
      <c r="H1123" s="41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</row>
    <row r="1124" spans="1:60" ht="16">
      <c r="A1124" s="41"/>
      <c r="B1124" s="41"/>
      <c r="C1124" s="41"/>
      <c r="D1124" s="42"/>
      <c r="E1124" s="43"/>
      <c r="F1124" s="43"/>
      <c r="G1124" s="43"/>
      <c r="H1124" s="41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</row>
    <row r="1125" spans="1:60" ht="16">
      <c r="A1125" s="41"/>
      <c r="B1125" s="41"/>
      <c r="C1125" s="41"/>
      <c r="D1125" s="42"/>
      <c r="E1125" s="43"/>
      <c r="F1125" s="43"/>
      <c r="G1125" s="43"/>
      <c r="H1125" s="41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</row>
    <row r="1126" spans="1:60" ht="16">
      <c r="A1126" s="41"/>
      <c r="B1126" s="41"/>
      <c r="C1126" s="41"/>
      <c r="D1126" s="42"/>
      <c r="E1126" s="43"/>
      <c r="F1126" s="43"/>
      <c r="G1126" s="43"/>
      <c r="H1126" s="41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</row>
    <row r="1127" spans="1:60" ht="16">
      <c r="A1127" s="41"/>
      <c r="B1127" s="41"/>
      <c r="C1127" s="41"/>
      <c r="D1127" s="42"/>
      <c r="E1127" s="43"/>
      <c r="F1127" s="43"/>
      <c r="G1127" s="43"/>
      <c r="H1127" s="41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</row>
    <row r="1128" spans="1:60" ht="16">
      <c r="A1128" s="41"/>
      <c r="B1128" s="41"/>
      <c r="C1128" s="41"/>
      <c r="D1128" s="42"/>
      <c r="E1128" s="43"/>
      <c r="F1128" s="43"/>
      <c r="G1128" s="43"/>
      <c r="H1128" s="41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</row>
    <row r="1129" spans="1:60" ht="16">
      <c r="A1129" s="41"/>
      <c r="B1129" s="41"/>
      <c r="C1129" s="41"/>
      <c r="D1129" s="42"/>
      <c r="E1129" s="43"/>
      <c r="F1129" s="43"/>
      <c r="G1129" s="43"/>
      <c r="H1129" s="41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</row>
    <row r="1130" spans="1:60" ht="16">
      <c r="A1130" s="41"/>
      <c r="B1130" s="41"/>
      <c r="C1130" s="41"/>
      <c r="D1130" s="42"/>
      <c r="E1130" s="43"/>
      <c r="F1130" s="43"/>
      <c r="G1130" s="43"/>
      <c r="H1130" s="41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</row>
    <row r="1131" spans="1:60" ht="16">
      <c r="A1131" s="41"/>
      <c r="B1131" s="41"/>
      <c r="C1131" s="41"/>
      <c r="D1131" s="42"/>
      <c r="E1131" s="43"/>
      <c r="F1131" s="43"/>
      <c r="G1131" s="43"/>
      <c r="H1131" s="41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</row>
    <row r="1132" spans="1:60" ht="16">
      <c r="A1132" s="41"/>
      <c r="B1132" s="41"/>
      <c r="C1132" s="41"/>
      <c r="D1132" s="42"/>
      <c r="E1132" s="43"/>
      <c r="F1132" s="43"/>
      <c r="G1132" s="43"/>
      <c r="H1132" s="41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</row>
    <row r="1133" spans="1:60" ht="16">
      <c r="A1133" s="41"/>
      <c r="B1133" s="41"/>
      <c r="C1133" s="41"/>
      <c r="D1133" s="42"/>
      <c r="E1133" s="43"/>
      <c r="F1133" s="43"/>
      <c r="G1133" s="43"/>
      <c r="H1133" s="41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</row>
    <row r="1134" spans="1:60" ht="16">
      <c r="A1134" s="41"/>
      <c r="B1134" s="41"/>
      <c r="C1134" s="41"/>
      <c r="D1134" s="42"/>
      <c r="E1134" s="43"/>
      <c r="F1134" s="43"/>
      <c r="G1134" s="43"/>
      <c r="H1134" s="41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</row>
    <row r="1135" spans="1:60" ht="16">
      <c r="A1135" s="41"/>
      <c r="B1135" s="41"/>
      <c r="C1135" s="41"/>
      <c r="D1135" s="42"/>
      <c r="E1135" s="43"/>
      <c r="F1135" s="43"/>
      <c r="G1135" s="43"/>
      <c r="H1135" s="41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</row>
    <row r="1136" spans="1:60" ht="16">
      <c r="A1136" s="41"/>
      <c r="B1136" s="41"/>
      <c r="C1136" s="41"/>
      <c r="D1136" s="42"/>
      <c r="E1136" s="43"/>
      <c r="F1136" s="43"/>
      <c r="G1136" s="43"/>
      <c r="H1136" s="41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</row>
    <row r="1137" spans="1:60" ht="16">
      <c r="A1137" s="41"/>
      <c r="B1137" s="41"/>
      <c r="C1137" s="41"/>
      <c r="D1137" s="42"/>
      <c r="E1137" s="43"/>
      <c r="F1137" s="43"/>
      <c r="G1137" s="43"/>
      <c r="H1137" s="41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</row>
    <row r="1138" spans="1:60" ht="16">
      <c r="A1138" s="41"/>
      <c r="B1138" s="41"/>
      <c r="C1138" s="41"/>
      <c r="D1138" s="42"/>
      <c r="E1138" s="43"/>
      <c r="F1138" s="43"/>
      <c r="G1138" s="43"/>
      <c r="H1138" s="41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</row>
    <row r="1139" spans="1:60" ht="16">
      <c r="A1139" s="41"/>
      <c r="B1139" s="41"/>
      <c r="C1139" s="41"/>
      <c r="D1139" s="42"/>
      <c r="E1139" s="43"/>
      <c r="F1139" s="43"/>
      <c r="G1139" s="43"/>
      <c r="H1139" s="41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</row>
    <row r="1140" spans="1:60" ht="16">
      <c r="A1140" s="41"/>
      <c r="B1140" s="41"/>
      <c r="C1140" s="41"/>
      <c r="D1140" s="42"/>
      <c r="E1140" s="43"/>
      <c r="F1140" s="43"/>
      <c r="G1140" s="43"/>
      <c r="H1140" s="41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</row>
    <row r="1141" spans="1:60" ht="16">
      <c r="A1141" s="41"/>
      <c r="B1141" s="41"/>
      <c r="C1141" s="41"/>
      <c r="D1141" s="42"/>
      <c r="E1141" s="43"/>
      <c r="F1141" s="43"/>
      <c r="G1141" s="43"/>
      <c r="H1141" s="41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</row>
    <row r="1142" spans="1:60" ht="16">
      <c r="A1142" s="41"/>
      <c r="B1142" s="41"/>
      <c r="C1142" s="41"/>
      <c r="D1142" s="42"/>
      <c r="E1142" s="43"/>
      <c r="F1142" s="43"/>
      <c r="G1142" s="43"/>
      <c r="H1142" s="41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</row>
    <row r="1143" spans="1:60" ht="16">
      <c r="A1143" s="41"/>
      <c r="B1143" s="41"/>
      <c r="C1143" s="41"/>
      <c r="D1143" s="42"/>
      <c r="E1143" s="43"/>
      <c r="F1143" s="43"/>
      <c r="G1143" s="43"/>
      <c r="H1143" s="41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</row>
    <row r="1144" spans="1:60" ht="16">
      <c r="A1144" s="41"/>
      <c r="B1144" s="41"/>
      <c r="C1144" s="41"/>
      <c r="D1144" s="42"/>
      <c r="E1144" s="43"/>
      <c r="F1144" s="43"/>
      <c r="G1144" s="43"/>
      <c r="H1144" s="41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</row>
    <row r="1145" spans="1:60" ht="16">
      <c r="A1145" s="41"/>
      <c r="B1145" s="41"/>
      <c r="C1145" s="41"/>
      <c r="D1145" s="42"/>
      <c r="E1145" s="43"/>
      <c r="F1145" s="43"/>
      <c r="G1145" s="43"/>
      <c r="H1145" s="41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</row>
    <row r="1146" spans="1:60" ht="16">
      <c r="A1146" s="41"/>
      <c r="B1146" s="41"/>
      <c r="C1146" s="41"/>
      <c r="D1146" s="42"/>
      <c r="E1146" s="43"/>
      <c r="F1146" s="43"/>
      <c r="G1146" s="43"/>
      <c r="H1146" s="41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</row>
    <row r="1147" spans="1:60" ht="16">
      <c r="A1147" s="41"/>
      <c r="B1147" s="41"/>
      <c r="C1147" s="41"/>
      <c r="D1147" s="42"/>
      <c r="E1147" s="43"/>
      <c r="F1147" s="43"/>
      <c r="G1147" s="43"/>
      <c r="H1147" s="41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</row>
    <row r="1148" spans="1:60" ht="16">
      <c r="A1148" s="41"/>
      <c r="B1148" s="41"/>
      <c r="C1148" s="41"/>
      <c r="D1148" s="42"/>
      <c r="E1148" s="43"/>
      <c r="F1148" s="43"/>
      <c r="G1148" s="43"/>
      <c r="H1148" s="41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</row>
    <row r="1149" spans="1:60" ht="16">
      <c r="A1149" s="41"/>
      <c r="B1149" s="41"/>
      <c r="C1149" s="41"/>
      <c r="D1149" s="42"/>
      <c r="E1149" s="43"/>
      <c r="F1149" s="43"/>
      <c r="G1149" s="43"/>
      <c r="H1149" s="41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</row>
    <row r="1150" spans="1:60" ht="16">
      <c r="A1150" s="41"/>
      <c r="B1150" s="41"/>
      <c r="C1150" s="41"/>
      <c r="D1150" s="42"/>
      <c r="E1150" s="43"/>
      <c r="F1150" s="43"/>
      <c r="G1150" s="43"/>
      <c r="H1150" s="41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</row>
    <row r="1151" spans="1:60" ht="16">
      <c r="A1151" s="41"/>
      <c r="B1151" s="41"/>
      <c r="C1151" s="41"/>
      <c r="D1151" s="42"/>
      <c r="E1151" s="43"/>
      <c r="F1151" s="43"/>
      <c r="G1151" s="43"/>
      <c r="H1151" s="41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</row>
    <row r="1152" spans="1:60" ht="16">
      <c r="A1152" s="41"/>
      <c r="B1152" s="41"/>
      <c r="C1152" s="41"/>
      <c r="D1152" s="42"/>
      <c r="E1152" s="43"/>
      <c r="F1152" s="43"/>
      <c r="G1152" s="43"/>
      <c r="H1152" s="41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</row>
    <row r="1153" spans="1:60" ht="16">
      <c r="A1153" s="41"/>
      <c r="B1153" s="41"/>
      <c r="C1153" s="41"/>
      <c r="D1153" s="42"/>
      <c r="E1153" s="43"/>
      <c r="F1153" s="43"/>
      <c r="G1153" s="43"/>
      <c r="H1153" s="41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</row>
    <row r="1154" spans="1:60" ht="16">
      <c r="A1154" s="41"/>
      <c r="B1154" s="41"/>
      <c r="C1154" s="41"/>
      <c r="D1154" s="42"/>
      <c r="E1154" s="43"/>
      <c r="F1154" s="43"/>
      <c r="G1154" s="43"/>
      <c r="H1154" s="41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</row>
    <row r="1155" spans="1:60" ht="16">
      <c r="A1155" s="41"/>
      <c r="B1155" s="41"/>
      <c r="C1155" s="41"/>
      <c r="D1155" s="42"/>
      <c r="E1155" s="43"/>
      <c r="F1155" s="43"/>
      <c r="G1155" s="43"/>
      <c r="H1155" s="41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</row>
    <row r="1156" spans="1:60" ht="16">
      <c r="A1156" s="41"/>
      <c r="B1156" s="41"/>
      <c r="C1156" s="41"/>
      <c r="D1156" s="42"/>
      <c r="E1156" s="43"/>
      <c r="F1156" s="43"/>
      <c r="G1156" s="43"/>
      <c r="H1156" s="41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</row>
    <row r="1157" spans="1:60" ht="16">
      <c r="A1157" s="41"/>
      <c r="B1157" s="41"/>
      <c r="C1157" s="41"/>
      <c r="D1157" s="42"/>
      <c r="E1157" s="43"/>
      <c r="F1157" s="43"/>
      <c r="G1157" s="43"/>
      <c r="H1157" s="41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</row>
    <row r="1158" spans="1:60" ht="16">
      <c r="A1158" s="41"/>
      <c r="B1158" s="41"/>
      <c r="C1158" s="41"/>
      <c r="D1158" s="42"/>
      <c r="E1158" s="43"/>
      <c r="F1158" s="43"/>
      <c r="G1158" s="43"/>
      <c r="H1158" s="41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</row>
    <row r="1159" spans="1:60" ht="16">
      <c r="A1159" s="41"/>
      <c r="B1159" s="41"/>
      <c r="C1159" s="41"/>
      <c r="D1159" s="42"/>
      <c r="E1159" s="43"/>
      <c r="F1159" s="43"/>
      <c r="G1159" s="43"/>
      <c r="H1159" s="41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</row>
    <row r="1160" spans="1:60" ht="16">
      <c r="A1160" s="41"/>
      <c r="B1160" s="41"/>
      <c r="C1160" s="41"/>
      <c r="D1160" s="42"/>
      <c r="E1160" s="43"/>
      <c r="F1160" s="43"/>
      <c r="G1160" s="43"/>
      <c r="H1160" s="41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</row>
    <row r="1161" spans="1:60" ht="16">
      <c r="A1161" s="41"/>
      <c r="B1161" s="41"/>
      <c r="C1161" s="41"/>
      <c r="D1161" s="42"/>
      <c r="E1161" s="43"/>
      <c r="F1161" s="43"/>
      <c r="G1161" s="43"/>
      <c r="H1161" s="41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</row>
    <row r="1162" spans="1:60" ht="16">
      <c r="A1162" s="41"/>
      <c r="B1162" s="41"/>
      <c r="C1162" s="41"/>
      <c r="D1162" s="42"/>
      <c r="E1162" s="43"/>
      <c r="F1162" s="43"/>
      <c r="G1162" s="43"/>
      <c r="H1162" s="41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</row>
    <row r="1163" spans="1:60" ht="16">
      <c r="A1163" s="41"/>
      <c r="B1163" s="41"/>
      <c r="C1163" s="41"/>
      <c r="D1163" s="42"/>
      <c r="E1163" s="43"/>
      <c r="F1163" s="43"/>
      <c r="G1163" s="43"/>
      <c r="H1163" s="41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</row>
    <row r="1164" spans="1:60" ht="16">
      <c r="A1164" s="41"/>
      <c r="B1164" s="41"/>
      <c r="C1164" s="41"/>
      <c r="D1164" s="42"/>
      <c r="E1164" s="43"/>
      <c r="F1164" s="43"/>
      <c r="G1164" s="43"/>
      <c r="H1164" s="41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</row>
    <row r="1165" spans="1:60" ht="16">
      <c r="A1165" s="41"/>
      <c r="B1165" s="41"/>
      <c r="C1165" s="41"/>
      <c r="D1165" s="42"/>
      <c r="E1165" s="43"/>
      <c r="F1165" s="43"/>
      <c r="G1165" s="43"/>
      <c r="H1165" s="41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</row>
    <row r="1166" spans="1:60" ht="16">
      <c r="A1166" s="41"/>
      <c r="B1166" s="41"/>
      <c r="C1166" s="41"/>
      <c r="D1166" s="42"/>
      <c r="E1166" s="43"/>
      <c r="F1166" s="43"/>
      <c r="G1166" s="43"/>
      <c r="H1166" s="41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</row>
    <row r="1167" spans="1:60" ht="16">
      <c r="A1167" s="41"/>
      <c r="B1167" s="41"/>
      <c r="C1167" s="41"/>
      <c r="D1167" s="42"/>
      <c r="E1167" s="43"/>
      <c r="F1167" s="43"/>
      <c r="G1167" s="43"/>
      <c r="H1167" s="41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</row>
    <row r="1168" spans="1:60" ht="16">
      <c r="A1168" s="41"/>
      <c r="B1168" s="41"/>
      <c r="C1168" s="41"/>
      <c r="D1168" s="42"/>
      <c r="E1168" s="43"/>
      <c r="F1168" s="43"/>
      <c r="G1168" s="43"/>
      <c r="H1168" s="41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</row>
    <row r="1169" spans="1:60" ht="16">
      <c r="A1169" s="41"/>
      <c r="B1169" s="41"/>
      <c r="C1169" s="41"/>
      <c r="D1169" s="42"/>
      <c r="E1169" s="43"/>
      <c r="F1169" s="43"/>
      <c r="G1169" s="43"/>
      <c r="H1169" s="41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</row>
    <row r="1170" spans="1:60" ht="16">
      <c r="A1170" s="41"/>
      <c r="B1170" s="41"/>
      <c r="C1170" s="41"/>
      <c r="D1170" s="42"/>
      <c r="E1170" s="43"/>
      <c r="F1170" s="43"/>
      <c r="G1170" s="43"/>
      <c r="H1170" s="41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</row>
    <row r="1171" spans="1:60" ht="16">
      <c r="A1171" s="41"/>
      <c r="B1171" s="41"/>
      <c r="C1171" s="41"/>
      <c r="D1171" s="42"/>
      <c r="E1171" s="43"/>
      <c r="F1171" s="43"/>
      <c r="G1171" s="43"/>
      <c r="H1171" s="41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</row>
    <row r="1172" spans="1:60" ht="16">
      <c r="A1172" s="41"/>
      <c r="B1172" s="41"/>
      <c r="C1172" s="41"/>
      <c r="D1172" s="42"/>
      <c r="E1172" s="43"/>
      <c r="F1172" s="43"/>
      <c r="G1172" s="43"/>
      <c r="H1172" s="41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</row>
    <row r="1173" spans="1:60" ht="16">
      <c r="A1173" s="41"/>
      <c r="B1173" s="41"/>
      <c r="C1173" s="41"/>
      <c r="D1173" s="42"/>
      <c r="E1173" s="43"/>
      <c r="F1173" s="43"/>
      <c r="G1173" s="43"/>
      <c r="H1173" s="41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</row>
    <row r="1174" spans="1:60" ht="16">
      <c r="A1174" s="41"/>
      <c r="B1174" s="41"/>
      <c r="C1174" s="41"/>
      <c r="D1174" s="42"/>
      <c r="E1174" s="43"/>
      <c r="F1174" s="43"/>
      <c r="G1174" s="43"/>
      <c r="H1174" s="41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</row>
    <row r="1175" spans="1:60" ht="16">
      <c r="A1175" s="41"/>
      <c r="B1175" s="41"/>
      <c r="C1175" s="41"/>
      <c r="D1175" s="42"/>
      <c r="E1175" s="43"/>
      <c r="F1175" s="43"/>
      <c r="G1175" s="43"/>
      <c r="H1175" s="41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</row>
    <row r="1176" spans="1:60" ht="16">
      <c r="A1176" s="41"/>
      <c r="B1176" s="41"/>
      <c r="C1176" s="41"/>
      <c r="D1176" s="42"/>
      <c r="E1176" s="43"/>
      <c r="F1176" s="43"/>
      <c r="G1176" s="43"/>
      <c r="H1176" s="41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</row>
    <row r="1177" spans="1:60" ht="16">
      <c r="A1177" s="41"/>
      <c r="B1177" s="41"/>
      <c r="C1177" s="41"/>
      <c r="D1177" s="42"/>
      <c r="E1177" s="43"/>
      <c r="F1177" s="43"/>
      <c r="G1177" s="43"/>
      <c r="H1177" s="41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</row>
    <row r="1178" spans="1:60" ht="16">
      <c r="A1178" s="41"/>
      <c r="B1178" s="41"/>
      <c r="C1178" s="41"/>
      <c r="D1178" s="42"/>
      <c r="E1178" s="43"/>
      <c r="F1178" s="43"/>
      <c r="G1178" s="43"/>
      <c r="H1178" s="41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</row>
    <row r="1179" spans="1:60" ht="16">
      <c r="A1179" s="41"/>
      <c r="B1179" s="41"/>
      <c r="C1179" s="41"/>
      <c r="D1179" s="42"/>
      <c r="E1179" s="43"/>
      <c r="F1179" s="43"/>
      <c r="G1179" s="43"/>
      <c r="H1179" s="41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</row>
    <row r="1180" spans="1:60" ht="16">
      <c r="A1180" s="41"/>
      <c r="B1180" s="41"/>
      <c r="C1180" s="41"/>
      <c r="D1180" s="42"/>
      <c r="E1180" s="43"/>
      <c r="F1180" s="43"/>
      <c r="G1180" s="43"/>
      <c r="H1180" s="41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</row>
    <row r="1181" spans="1:60" ht="16">
      <c r="A1181" s="41"/>
      <c r="B1181" s="41"/>
      <c r="C1181" s="41"/>
      <c r="D1181" s="42"/>
      <c r="E1181" s="43"/>
      <c r="F1181" s="43"/>
      <c r="G1181" s="43"/>
      <c r="H1181" s="41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</row>
    <row r="1182" spans="1:60" ht="16">
      <c r="A1182" s="41"/>
      <c r="B1182" s="41"/>
      <c r="C1182" s="41"/>
      <c r="D1182" s="42"/>
      <c r="E1182" s="43"/>
      <c r="F1182" s="43"/>
      <c r="G1182" s="43"/>
      <c r="H1182" s="41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</row>
    <row r="1183" spans="1:60" ht="16">
      <c r="A1183" s="41"/>
      <c r="B1183" s="41"/>
      <c r="C1183" s="41"/>
      <c r="D1183" s="42"/>
      <c r="E1183" s="43"/>
      <c r="F1183" s="43"/>
      <c r="G1183" s="43"/>
      <c r="H1183" s="41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</row>
    <row r="1184" spans="1:60" ht="16">
      <c r="A1184" s="41"/>
      <c r="B1184" s="41"/>
      <c r="C1184" s="41"/>
      <c r="D1184" s="42"/>
      <c r="E1184" s="43"/>
      <c r="F1184" s="43"/>
      <c r="G1184" s="43"/>
      <c r="H1184" s="41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</row>
    <row r="1185" spans="1:60" ht="16">
      <c r="A1185" s="41"/>
      <c r="B1185" s="41"/>
      <c r="C1185" s="41"/>
      <c r="D1185" s="42"/>
      <c r="E1185" s="43"/>
      <c r="F1185" s="43"/>
      <c r="G1185" s="43"/>
      <c r="H1185" s="41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</row>
    <row r="1186" spans="1:60" ht="16">
      <c r="A1186" s="41"/>
      <c r="B1186" s="41"/>
      <c r="C1186" s="41"/>
      <c r="D1186" s="42"/>
      <c r="E1186" s="43"/>
      <c r="F1186" s="43"/>
      <c r="G1186" s="43"/>
      <c r="H1186" s="41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</row>
    <row r="1187" spans="1:60" ht="16">
      <c r="A1187" s="41"/>
      <c r="B1187" s="41"/>
      <c r="C1187" s="41"/>
      <c r="D1187" s="42"/>
      <c r="E1187" s="43"/>
      <c r="F1187" s="43"/>
      <c r="G1187" s="43"/>
      <c r="H1187" s="41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6"/>
      <c r="AA1187" s="46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</row>
    <row r="1188" spans="1:60" ht="16">
      <c r="A1188" s="41"/>
      <c r="B1188" s="41"/>
      <c r="C1188" s="41"/>
      <c r="D1188" s="42"/>
      <c r="E1188" s="43"/>
      <c r="F1188" s="43"/>
      <c r="G1188" s="43"/>
      <c r="H1188" s="41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</row>
    <row r="1189" spans="1:60" ht="16">
      <c r="A1189" s="41"/>
      <c r="B1189" s="41"/>
      <c r="C1189" s="41"/>
      <c r="D1189" s="42"/>
      <c r="E1189" s="43"/>
      <c r="F1189" s="43"/>
      <c r="G1189" s="43"/>
      <c r="H1189" s="41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</row>
    <row r="1190" spans="1:60" ht="16">
      <c r="A1190" s="41"/>
      <c r="B1190" s="41"/>
      <c r="C1190" s="41"/>
      <c r="D1190" s="42"/>
      <c r="E1190" s="43"/>
      <c r="F1190" s="43"/>
      <c r="G1190" s="43"/>
      <c r="H1190" s="41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</row>
    <row r="1191" spans="1:60" ht="16">
      <c r="A1191" s="41"/>
      <c r="B1191" s="41"/>
      <c r="C1191" s="41"/>
      <c r="D1191" s="42"/>
      <c r="E1191" s="43"/>
      <c r="F1191" s="43"/>
      <c r="G1191" s="43"/>
      <c r="H1191" s="41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</row>
    <row r="1192" spans="1:60" ht="16">
      <c r="A1192" s="41"/>
      <c r="B1192" s="41"/>
      <c r="C1192" s="41"/>
      <c r="D1192" s="42"/>
      <c r="E1192" s="43"/>
      <c r="F1192" s="43"/>
      <c r="G1192" s="43"/>
      <c r="H1192" s="41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</row>
    <row r="1193" spans="1:60" ht="16">
      <c r="A1193" s="41"/>
      <c r="B1193" s="41"/>
      <c r="C1193" s="41"/>
      <c r="D1193" s="42"/>
      <c r="E1193" s="43"/>
      <c r="F1193" s="43"/>
      <c r="G1193" s="43"/>
      <c r="H1193" s="41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</row>
    <row r="1194" spans="1:60" ht="16">
      <c r="A1194" s="41"/>
      <c r="B1194" s="41"/>
      <c r="C1194" s="41"/>
      <c r="D1194" s="42"/>
      <c r="E1194" s="43"/>
      <c r="F1194" s="43"/>
      <c r="G1194" s="43"/>
      <c r="H1194" s="41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</row>
    <row r="1195" spans="1:60" ht="16">
      <c r="A1195" s="41"/>
      <c r="B1195" s="41"/>
      <c r="C1195" s="41"/>
      <c r="D1195" s="42"/>
      <c r="E1195" s="43"/>
      <c r="F1195" s="43"/>
      <c r="G1195" s="43"/>
      <c r="H1195" s="41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</row>
    <row r="1196" spans="1:60" ht="16">
      <c r="A1196" s="41"/>
      <c r="B1196" s="41"/>
      <c r="C1196" s="41"/>
      <c r="D1196" s="42"/>
      <c r="E1196" s="43"/>
      <c r="F1196" s="43"/>
      <c r="G1196" s="43"/>
      <c r="H1196" s="41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</row>
    <row r="1197" spans="1:60" ht="16">
      <c r="A1197" s="41"/>
      <c r="B1197" s="41"/>
      <c r="C1197" s="41"/>
      <c r="D1197" s="42"/>
      <c r="E1197" s="43"/>
      <c r="F1197" s="43"/>
      <c r="G1197" s="43"/>
      <c r="H1197" s="41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</row>
    <row r="1198" spans="1:60" ht="16">
      <c r="A1198" s="41"/>
      <c r="B1198" s="41"/>
      <c r="C1198" s="41"/>
      <c r="D1198" s="42"/>
      <c r="E1198" s="43"/>
      <c r="F1198" s="43"/>
      <c r="G1198" s="43"/>
      <c r="H1198" s="41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</row>
    <row r="1199" spans="1:60" ht="16">
      <c r="A1199" s="41"/>
      <c r="B1199" s="41"/>
      <c r="C1199" s="41"/>
      <c r="D1199" s="42"/>
      <c r="E1199" s="43"/>
      <c r="F1199" s="43"/>
      <c r="G1199" s="43"/>
      <c r="H1199" s="41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</row>
    <row r="1200" spans="1:60" ht="16">
      <c r="A1200" s="41"/>
      <c r="B1200" s="41"/>
      <c r="C1200" s="41"/>
      <c r="D1200" s="42"/>
      <c r="E1200" s="43"/>
      <c r="F1200" s="43"/>
      <c r="G1200" s="43"/>
      <c r="H1200" s="41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</row>
    <row r="1201" spans="1:60" ht="16">
      <c r="A1201" s="41"/>
      <c r="B1201" s="41"/>
      <c r="C1201" s="41"/>
      <c r="D1201" s="42"/>
      <c r="E1201" s="43"/>
      <c r="F1201" s="43"/>
      <c r="G1201" s="43"/>
      <c r="H1201" s="41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</row>
    <row r="1202" spans="1:60" ht="16">
      <c r="A1202" s="41"/>
      <c r="B1202" s="41"/>
      <c r="C1202" s="41"/>
      <c r="D1202" s="42"/>
      <c r="E1202" s="43"/>
      <c r="F1202" s="43"/>
      <c r="G1202" s="43"/>
      <c r="H1202" s="41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</row>
    <row r="1203" spans="1:60" ht="16">
      <c r="A1203" s="41"/>
      <c r="B1203" s="41"/>
      <c r="C1203" s="41"/>
      <c r="D1203" s="42"/>
      <c r="E1203" s="43"/>
      <c r="F1203" s="43"/>
      <c r="G1203" s="43"/>
      <c r="H1203" s="41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</row>
    <row r="1204" spans="1:60" ht="16">
      <c r="A1204" s="41"/>
      <c r="B1204" s="41"/>
      <c r="C1204" s="41"/>
      <c r="D1204" s="42"/>
      <c r="E1204" s="43"/>
      <c r="F1204" s="43"/>
      <c r="G1204" s="43"/>
      <c r="H1204" s="41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</row>
    <row r="1205" spans="1:60" ht="16">
      <c r="A1205" s="41"/>
      <c r="B1205" s="41"/>
      <c r="C1205" s="41"/>
      <c r="D1205" s="42"/>
      <c r="E1205" s="43"/>
      <c r="F1205" s="43"/>
      <c r="G1205" s="43"/>
      <c r="H1205" s="41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</row>
    <row r="1206" spans="1:60" ht="16">
      <c r="A1206" s="41"/>
      <c r="B1206" s="41"/>
      <c r="C1206" s="41"/>
      <c r="D1206" s="42"/>
      <c r="E1206" s="43"/>
      <c r="F1206" s="43"/>
      <c r="G1206" s="43"/>
      <c r="H1206" s="41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</row>
    <row r="1207" spans="1:60" ht="16">
      <c r="A1207" s="41"/>
      <c r="B1207" s="41"/>
      <c r="C1207" s="41"/>
      <c r="D1207" s="42"/>
      <c r="E1207" s="43"/>
      <c r="F1207" s="43"/>
      <c r="G1207" s="43"/>
      <c r="H1207" s="41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</row>
    <row r="1208" spans="1:60" ht="16">
      <c r="A1208" s="41"/>
      <c r="B1208" s="41"/>
      <c r="C1208" s="41"/>
      <c r="D1208" s="42"/>
      <c r="E1208" s="43"/>
      <c r="F1208" s="43"/>
      <c r="G1208" s="43"/>
      <c r="H1208" s="41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</row>
    <row r="1209" spans="1:60" ht="16">
      <c r="A1209" s="41"/>
      <c r="B1209" s="41"/>
      <c r="C1209" s="41"/>
      <c r="D1209" s="42"/>
      <c r="E1209" s="43"/>
      <c r="F1209" s="43"/>
      <c r="G1209" s="43"/>
      <c r="H1209" s="41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</row>
    <row r="1210" spans="1:60" ht="16">
      <c r="A1210" s="41"/>
      <c r="B1210" s="41"/>
      <c r="C1210" s="41"/>
      <c r="D1210" s="42"/>
      <c r="E1210" s="43"/>
      <c r="F1210" s="43"/>
      <c r="G1210" s="43"/>
      <c r="H1210" s="41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</row>
    <row r="1211" spans="1:60" ht="16">
      <c r="A1211" s="41"/>
      <c r="B1211" s="41"/>
      <c r="C1211" s="41"/>
      <c r="D1211" s="42"/>
      <c r="E1211" s="43"/>
      <c r="F1211" s="43"/>
      <c r="G1211" s="43"/>
      <c r="H1211" s="41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</row>
    <row r="1212" spans="1:60" ht="16">
      <c r="A1212" s="41"/>
      <c r="B1212" s="41"/>
      <c r="C1212" s="41"/>
      <c r="D1212" s="42"/>
      <c r="E1212" s="43"/>
      <c r="F1212" s="43"/>
      <c r="G1212" s="43"/>
      <c r="H1212" s="41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</row>
    <row r="1213" spans="1:60" ht="16">
      <c r="A1213" s="41"/>
      <c r="B1213" s="41"/>
      <c r="C1213" s="41"/>
      <c r="D1213" s="42"/>
      <c r="E1213" s="43"/>
      <c r="F1213" s="43"/>
      <c r="G1213" s="43"/>
      <c r="H1213" s="41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</row>
    <row r="1214" spans="1:60" ht="16">
      <c r="A1214" s="41"/>
      <c r="B1214" s="41"/>
      <c r="C1214" s="41"/>
      <c r="D1214" s="42"/>
      <c r="E1214" s="43"/>
      <c r="F1214" s="43"/>
      <c r="G1214" s="43"/>
      <c r="H1214" s="41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</row>
    <row r="1215" spans="1:60" ht="16">
      <c r="A1215" s="41"/>
      <c r="B1215" s="41"/>
      <c r="C1215" s="41"/>
      <c r="D1215" s="42"/>
      <c r="E1215" s="43"/>
      <c r="F1215" s="43"/>
      <c r="G1215" s="43"/>
      <c r="H1215" s="41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</row>
    <row r="1216" spans="1:60" ht="16">
      <c r="A1216" s="41"/>
      <c r="B1216" s="41"/>
      <c r="C1216" s="41"/>
      <c r="D1216" s="42"/>
      <c r="E1216" s="43"/>
      <c r="F1216" s="43"/>
      <c r="G1216" s="43"/>
      <c r="H1216" s="41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</row>
    <row r="1217" spans="1:60" ht="16">
      <c r="A1217" s="41"/>
      <c r="B1217" s="41"/>
      <c r="C1217" s="41"/>
      <c r="D1217" s="42"/>
      <c r="E1217" s="43"/>
      <c r="F1217" s="43"/>
      <c r="G1217" s="43"/>
      <c r="H1217" s="41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</row>
    <row r="1218" spans="1:60" ht="16">
      <c r="A1218" s="41"/>
      <c r="B1218" s="41"/>
      <c r="C1218" s="41"/>
      <c r="D1218" s="42"/>
      <c r="E1218" s="43"/>
      <c r="F1218" s="43"/>
      <c r="G1218" s="43"/>
      <c r="H1218" s="41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</row>
    <row r="1219" spans="1:60" ht="16">
      <c r="A1219" s="41"/>
      <c r="B1219" s="41"/>
      <c r="C1219" s="41"/>
      <c r="D1219" s="42"/>
      <c r="E1219" s="43"/>
      <c r="F1219" s="43"/>
      <c r="G1219" s="43"/>
      <c r="H1219" s="41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</row>
    <row r="1220" spans="1:60" ht="16">
      <c r="A1220" s="41"/>
      <c r="B1220" s="41"/>
      <c r="C1220" s="41"/>
      <c r="D1220" s="42"/>
      <c r="E1220" s="43"/>
      <c r="F1220" s="43"/>
      <c r="G1220" s="43"/>
      <c r="H1220" s="41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</row>
    <row r="1221" spans="1:60" ht="16">
      <c r="A1221" s="41"/>
      <c r="B1221" s="41"/>
      <c r="C1221" s="41"/>
      <c r="D1221" s="42"/>
      <c r="E1221" s="43"/>
      <c r="F1221" s="43"/>
      <c r="G1221" s="43"/>
      <c r="H1221" s="41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</row>
    <row r="1222" spans="1:60" ht="16">
      <c r="A1222" s="41"/>
      <c r="B1222" s="41"/>
      <c r="C1222" s="41"/>
      <c r="D1222" s="42"/>
      <c r="E1222" s="43"/>
      <c r="F1222" s="43"/>
      <c r="G1222" s="43"/>
      <c r="H1222" s="41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</row>
    <row r="1223" spans="1:60" ht="16">
      <c r="A1223" s="41"/>
      <c r="B1223" s="41"/>
      <c r="C1223" s="41"/>
      <c r="D1223" s="42"/>
      <c r="E1223" s="43"/>
      <c r="F1223" s="43"/>
      <c r="G1223" s="43"/>
      <c r="H1223" s="41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6"/>
      <c r="AA1223" s="46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</row>
    <row r="1224" spans="1:60" ht="16">
      <c r="A1224" s="41"/>
      <c r="B1224" s="41"/>
      <c r="C1224" s="41"/>
      <c r="D1224" s="42"/>
      <c r="E1224" s="43"/>
      <c r="F1224" s="43"/>
      <c r="G1224" s="43"/>
      <c r="H1224" s="41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</row>
    <row r="1225" spans="1:60" ht="16">
      <c r="A1225" s="41"/>
      <c r="B1225" s="41"/>
      <c r="C1225" s="41"/>
      <c r="D1225" s="42"/>
      <c r="E1225" s="43"/>
      <c r="F1225" s="43"/>
      <c r="G1225" s="43"/>
      <c r="H1225" s="41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</row>
    <row r="1226" spans="1:60" ht="16">
      <c r="A1226" s="41"/>
      <c r="B1226" s="41"/>
      <c r="C1226" s="41"/>
      <c r="D1226" s="42"/>
      <c r="E1226" s="43"/>
      <c r="F1226" s="43"/>
      <c r="G1226" s="43"/>
      <c r="H1226" s="41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</row>
    <row r="1227" spans="1:60" ht="16">
      <c r="A1227" s="41"/>
      <c r="B1227" s="41"/>
      <c r="C1227" s="41"/>
      <c r="D1227" s="42"/>
      <c r="E1227" s="43"/>
      <c r="F1227" s="43"/>
      <c r="G1227" s="43"/>
      <c r="H1227" s="41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</row>
    <row r="1228" spans="1:60" ht="16">
      <c r="A1228" s="41"/>
      <c r="B1228" s="41"/>
      <c r="C1228" s="41"/>
      <c r="D1228" s="42"/>
      <c r="E1228" s="43"/>
      <c r="F1228" s="43"/>
      <c r="G1228" s="43"/>
      <c r="H1228" s="41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</row>
    <row r="1229" spans="1:60" ht="16">
      <c r="A1229" s="41"/>
      <c r="B1229" s="41"/>
      <c r="C1229" s="41"/>
      <c r="D1229" s="42"/>
      <c r="E1229" s="43"/>
      <c r="F1229" s="43"/>
      <c r="G1229" s="43"/>
      <c r="H1229" s="41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</row>
    <row r="1230" spans="1:60" ht="16">
      <c r="A1230" s="41"/>
      <c r="B1230" s="41"/>
      <c r="C1230" s="41"/>
      <c r="D1230" s="42"/>
      <c r="E1230" s="43"/>
      <c r="F1230" s="43"/>
      <c r="G1230" s="43"/>
      <c r="H1230" s="41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</row>
    <row r="1231" spans="1:60" ht="16">
      <c r="A1231" s="41"/>
      <c r="B1231" s="41"/>
      <c r="C1231" s="41"/>
      <c r="D1231" s="42"/>
      <c r="E1231" s="43"/>
      <c r="F1231" s="43"/>
      <c r="G1231" s="43"/>
      <c r="H1231" s="41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</row>
    <row r="1232" spans="1:60" ht="16">
      <c r="A1232" s="41"/>
      <c r="B1232" s="41"/>
      <c r="C1232" s="41"/>
      <c r="D1232" s="42"/>
      <c r="E1232" s="43"/>
      <c r="F1232" s="43"/>
      <c r="G1232" s="43"/>
      <c r="H1232" s="41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</row>
    <row r="1233" spans="1:60" ht="16">
      <c r="A1233" s="41"/>
      <c r="B1233" s="41"/>
      <c r="C1233" s="41"/>
      <c r="D1233" s="42"/>
      <c r="E1233" s="43"/>
      <c r="F1233" s="43"/>
      <c r="G1233" s="43"/>
      <c r="H1233" s="41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</row>
    <row r="1234" spans="1:60" ht="16">
      <c r="A1234" s="41"/>
      <c r="B1234" s="41"/>
      <c r="C1234" s="41"/>
      <c r="D1234" s="42"/>
      <c r="E1234" s="43"/>
      <c r="F1234" s="43"/>
      <c r="G1234" s="43"/>
      <c r="H1234" s="41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</row>
    <row r="1235" spans="1:60" ht="16">
      <c r="A1235" s="41"/>
      <c r="B1235" s="41"/>
      <c r="C1235" s="41"/>
      <c r="D1235" s="42"/>
      <c r="E1235" s="43"/>
      <c r="F1235" s="43"/>
      <c r="G1235" s="43"/>
      <c r="H1235" s="41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</row>
    <row r="1236" spans="1:60" ht="16">
      <c r="A1236" s="41"/>
      <c r="B1236" s="41"/>
      <c r="C1236" s="41"/>
      <c r="D1236" s="42"/>
      <c r="E1236" s="43"/>
      <c r="F1236" s="43"/>
      <c r="G1236" s="43"/>
      <c r="H1236" s="41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</row>
    <row r="1237" spans="1:60" ht="16">
      <c r="A1237" s="41"/>
      <c r="B1237" s="41"/>
      <c r="C1237" s="41"/>
      <c r="D1237" s="42"/>
      <c r="E1237" s="43"/>
      <c r="F1237" s="43"/>
      <c r="G1237" s="43"/>
      <c r="H1237" s="41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</row>
    <row r="1238" spans="1:60" ht="16">
      <c r="A1238" s="41"/>
      <c r="B1238" s="41"/>
      <c r="C1238" s="41"/>
      <c r="D1238" s="42"/>
      <c r="E1238" s="43"/>
      <c r="F1238" s="43"/>
      <c r="G1238" s="43"/>
      <c r="H1238" s="41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</row>
    <row r="1239" spans="1:60" ht="16">
      <c r="A1239" s="41"/>
      <c r="B1239" s="41"/>
      <c r="C1239" s="41"/>
      <c r="D1239" s="42"/>
      <c r="E1239" s="43"/>
      <c r="F1239" s="43"/>
      <c r="G1239" s="43"/>
      <c r="H1239" s="41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</row>
    <row r="1240" spans="1:60" ht="16">
      <c r="A1240" s="41"/>
      <c r="B1240" s="41"/>
      <c r="C1240" s="41"/>
      <c r="D1240" s="42"/>
      <c r="E1240" s="43"/>
      <c r="F1240" s="43"/>
      <c r="G1240" s="43"/>
      <c r="H1240" s="41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</row>
    <row r="1241" spans="1:60" ht="16">
      <c r="A1241" s="41"/>
      <c r="B1241" s="41"/>
      <c r="C1241" s="41"/>
      <c r="D1241" s="42"/>
      <c r="E1241" s="43"/>
      <c r="F1241" s="43"/>
      <c r="G1241" s="43"/>
      <c r="H1241" s="41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</row>
    <row r="1242" spans="1:60" ht="16">
      <c r="A1242" s="41"/>
      <c r="B1242" s="41"/>
      <c r="C1242" s="41"/>
      <c r="D1242" s="42"/>
      <c r="E1242" s="43"/>
      <c r="F1242" s="43"/>
      <c r="G1242" s="43"/>
      <c r="H1242" s="41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</row>
    <row r="1243" spans="1:60" ht="16">
      <c r="A1243" s="41"/>
      <c r="B1243" s="41"/>
      <c r="C1243" s="41"/>
      <c r="D1243" s="42"/>
      <c r="E1243" s="43"/>
      <c r="F1243" s="43"/>
      <c r="G1243" s="43"/>
      <c r="H1243" s="41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</row>
    <row r="1244" spans="1:60" ht="16">
      <c r="A1244" s="41"/>
      <c r="B1244" s="41"/>
      <c r="C1244" s="41"/>
      <c r="D1244" s="42"/>
      <c r="E1244" s="43"/>
      <c r="F1244" s="43"/>
      <c r="G1244" s="43"/>
      <c r="H1244" s="41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</row>
    <row r="1245" spans="1:60" ht="16">
      <c r="A1245" s="41"/>
      <c r="B1245" s="41"/>
      <c r="C1245" s="41"/>
      <c r="D1245" s="42"/>
      <c r="E1245" s="43"/>
      <c r="F1245" s="43"/>
      <c r="G1245" s="43"/>
      <c r="H1245" s="41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</row>
    <row r="1246" spans="1:60" ht="16">
      <c r="A1246" s="41"/>
      <c r="B1246" s="41"/>
      <c r="C1246" s="41"/>
      <c r="D1246" s="42"/>
      <c r="E1246" s="43"/>
      <c r="F1246" s="43"/>
      <c r="G1246" s="43"/>
      <c r="H1246" s="41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</row>
    <row r="1247" spans="1:60" ht="16">
      <c r="A1247" s="41"/>
      <c r="B1247" s="41"/>
      <c r="C1247" s="41"/>
      <c r="D1247" s="42"/>
      <c r="E1247" s="43"/>
      <c r="F1247" s="43"/>
      <c r="G1247" s="43"/>
      <c r="H1247" s="41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</row>
    <row r="1248" spans="1:60" ht="16">
      <c r="A1248" s="41"/>
      <c r="B1248" s="41"/>
      <c r="C1248" s="41"/>
      <c r="D1248" s="42"/>
      <c r="E1248" s="43"/>
      <c r="F1248" s="43"/>
      <c r="G1248" s="43"/>
      <c r="H1248" s="41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</row>
    <row r="1249" spans="1:60" ht="16">
      <c r="A1249" s="41"/>
      <c r="B1249" s="41"/>
      <c r="C1249" s="41"/>
      <c r="D1249" s="42"/>
      <c r="E1249" s="43"/>
      <c r="F1249" s="43"/>
      <c r="G1249" s="43"/>
      <c r="H1249" s="41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</row>
    <row r="1250" spans="1:60" ht="16">
      <c r="A1250" s="41"/>
      <c r="B1250" s="41"/>
      <c r="C1250" s="41"/>
      <c r="D1250" s="42"/>
      <c r="E1250" s="43"/>
      <c r="F1250" s="43"/>
      <c r="G1250" s="43"/>
      <c r="H1250" s="41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</row>
    <row r="1251" spans="1:60" ht="16">
      <c r="A1251" s="41"/>
      <c r="B1251" s="41"/>
      <c r="C1251" s="41"/>
      <c r="D1251" s="42"/>
      <c r="E1251" s="43"/>
      <c r="F1251" s="43"/>
      <c r="G1251" s="43"/>
      <c r="H1251" s="41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</row>
    <row r="1252" spans="1:60" ht="16">
      <c r="A1252" s="41"/>
      <c r="B1252" s="41"/>
      <c r="C1252" s="41"/>
      <c r="D1252" s="42"/>
      <c r="E1252" s="43"/>
      <c r="F1252" s="43"/>
      <c r="G1252" s="43"/>
      <c r="H1252" s="41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</row>
    <row r="1253" spans="1:60" ht="16">
      <c r="A1253" s="41"/>
      <c r="B1253" s="41"/>
      <c r="C1253" s="41"/>
      <c r="D1253" s="42"/>
      <c r="E1253" s="43"/>
      <c r="F1253" s="43"/>
      <c r="G1253" s="43"/>
      <c r="H1253" s="41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</row>
    <row r="1254" spans="1:60" ht="16">
      <c r="A1254" s="41"/>
      <c r="B1254" s="41"/>
      <c r="C1254" s="41"/>
      <c r="D1254" s="42"/>
      <c r="E1254" s="43"/>
      <c r="F1254" s="43"/>
      <c r="G1254" s="43"/>
      <c r="H1254" s="41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</row>
    <row r="1255" spans="1:60" ht="16">
      <c r="A1255" s="41"/>
      <c r="B1255" s="41"/>
      <c r="C1255" s="41"/>
      <c r="D1255" s="42"/>
      <c r="E1255" s="43"/>
      <c r="F1255" s="43"/>
      <c r="G1255" s="43"/>
      <c r="H1255" s="41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</row>
    <row r="1256" spans="1:60" ht="16">
      <c r="A1256" s="41"/>
      <c r="B1256" s="41"/>
      <c r="C1256" s="41"/>
      <c r="D1256" s="42"/>
      <c r="E1256" s="43"/>
      <c r="F1256" s="43"/>
      <c r="G1256" s="43"/>
      <c r="H1256" s="41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</row>
    <row r="1257" spans="1:60" ht="16">
      <c r="A1257" s="41"/>
      <c r="B1257" s="41"/>
      <c r="C1257" s="41"/>
      <c r="D1257" s="42"/>
      <c r="E1257" s="43"/>
      <c r="F1257" s="43"/>
      <c r="G1257" s="43"/>
      <c r="H1257" s="41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</row>
    <row r="1258" spans="1:60" ht="16">
      <c r="A1258" s="41"/>
      <c r="B1258" s="41"/>
      <c r="C1258" s="41"/>
      <c r="D1258" s="42"/>
      <c r="E1258" s="43"/>
      <c r="F1258" s="43"/>
      <c r="G1258" s="43"/>
      <c r="H1258" s="41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</row>
    <row r="1259" spans="1:60" ht="16">
      <c r="A1259" s="41"/>
      <c r="B1259" s="41"/>
      <c r="C1259" s="41"/>
      <c r="D1259" s="42"/>
      <c r="E1259" s="43"/>
      <c r="F1259" s="43"/>
      <c r="G1259" s="43"/>
      <c r="H1259" s="41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</row>
    <row r="1260" spans="1:60" ht="16">
      <c r="A1260" s="41"/>
      <c r="B1260" s="41"/>
      <c r="C1260" s="41"/>
      <c r="D1260" s="42"/>
      <c r="E1260" s="43"/>
      <c r="F1260" s="43"/>
      <c r="G1260" s="43"/>
      <c r="H1260" s="41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</row>
    <row r="1261" spans="1:60" ht="16">
      <c r="A1261" s="41"/>
      <c r="B1261" s="41"/>
      <c r="C1261" s="41"/>
      <c r="D1261" s="42"/>
      <c r="E1261" s="43"/>
      <c r="F1261" s="43"/>
      <c r="G1261" s="43"/>
      <c r="H1261" s="41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</row>
    <row r="1262" spans="1:60" ht="16">
      <c r="A1262" s="41"/>
      <c r="B1262" s="41"/>
      <c r="C1262" s="41"/>
      <c r="D1262" s="42"/>
      <c r="E1262" s="43"/>
      <c r="F1262" s="43"/>
      <c r="G1262" s="43"/>
      <c r="H1262" s="41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</row>
    <row r="1263" spans="1:60" ht="16">
      <c r="A1263" s="41"/>
      <c r="B1263" s="41"/>
      <c r="C1263" s="41"/>
      <c r="D1263" s="42"/>
      <c r="E1263" s="43"/>
      <c r="F1263" s="43"/>
      <c r="G1263" s="43"/>
      <c r="H1263" s="41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</row>
    <row r="1264" spans="1:60" ht="16">
      <c r="A1264" s="41"/>
      <c r="B1264" s="41"/>
      <c r="C1264" s="41"/>
      <c r="D1264" s="42"/>
      <c r="E1264" s="43"/>
      <c r="F1264" s="43"/>
      <c r="G1264" s="43"/>
      <c r="H1264" s="41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</row>
    <row r="1265" spans="1:60" ht="16">
      <c r="A1265" s="41"/>
      <c r="B1265" s="41"/>
      <c r="C1265" s="41"/>
      <c r="D1265" s="42"/>
      <c r="E1265" s="43"/>
      <c r="F1265" s="43"/>
      <c r="G1265" s="43"/>
      <c r="H1265" s="41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</row>
    <row r="1266" spans="1:60" ht="16">
      <c r="A1266" s="41"/>
      <c r="B1266" s="41"/>
      <c r="C1266" s="41"/>
      <c r="D1266" s="42"/>
      <c r="E1266" s="43"/>
      <c r="F1266" s="43"/>
      <c r="G1266" s="43"/>
      <c r="H1266" s="41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</row>
    <row r="1267" spans="1:60" ht="16">
      <c r="A1267" s="41"/>
      <c r="B1267" s="41"/>
      <c r="C1267" s="41"/>
      <c r="D1267" s="42"/>
      <c r="E1267" s="43"/>
      <c r="F1267" s="43"/>
      <c r="G1267" s="43"/>
      <c r="H1267" s="41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</row>
    <row r="1268" spans="1:60" ht="16">
      <c r="A1268" s="41"/>
      <c r="B1268" s="41"/>
      <c r="C1268" s="41"/>
      <c r="D1268" s="42"/>
      <c r="E1268" s="43"/>
      <c r="F1268" s="43"/>
      <c r="G1268" s="43"/>
      <c r="H1268" s="41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</row>
    <row r="1269" spans="1:60" ht="16">
      <c r="A1269" s="41"/>
      <c r="B1269" s="41"/>
      <c r="C1269" s="41"/>
      <c r="D1269" s="42"/>
      <c r="E1269" s="43"/>
      <c r="F1269" s="43"/>
      <c r="G1269" s="43"/>
      <c r="H1269" s="41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</row>
    <row r="1270" spans="1:60" ht="16">
      <c r="A1270" s="41"/>
      <c r="B1270" s="41"/>
      <c r="C1270" s="41"/>
      <c r="D1270" s="42"/>
      <c r="E1270" s="43"/>
      <c r="F1270" s="43"/>
      <c r="G1270" s="43"/>
      <c r="H1270" s="41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</row>
    <row r="1271" spans="1:60" ht="16">
      <c r="A1271" s="41"/>
      <c r="B1271" s="41"/>
      <c r="C1271" s="41"/>
      <c r="D1271" s="42"/>
      <c r="E1271" s="43"/>
      <c r="F1271" s="43"/>
      <c r="G1271" s="43"/>
      <c r="H1271" s="41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</row>
    <row r="1272" spans="1:60" ht="16">
      <c r="A1272" s="41"/>
      <c r="B1272" s="41"/>
      <c r="C1272" s="41"/>
      <c r="D1272" s="42"/>
      <c r="E1272" s="43"/>
      <c r="F1272" s="43"/>
      <c r="G1272" s="43"/>
      <c r="H1272" s="41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</row>
    <row r="1273" spans="1:60" ht="16">
      <c r="A1273" s="41"/>
      <c r="B1273" s="41"/>
      <c r="C1273" s="41"/>
      <c r="D1273" s="42"/>
      <c r="E1273" s="43"/>
      <c r="F1273" s="43"/>
      <c r="G1273" s="43"/>
      <c r="H1273" s="41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</row>
    <row r="1274" spans="1:60" ht="16">
      <c r="A1274" s="41"/>
      <c r="B1274" s="41"/>
      <c r="C1274" s="41"/>
      <c r="D1274" s="42"/>
      <c r="E1274" s="43"/>
      <c r="F1274" s="43"/>
      <c r="G1274" s="43"/>
      <c r="H1274" s="41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</row>
    <row r="1275" spans="1:60" ht="16">
      <c r="A1275" s="41"/>
      <c r="B1275" s="41"/>
      <c r="C1275" s="41"/>
      <c r="D1275" s="42"/>
      <c r="E1275" s="43"/>
      <c r="F1275" s="43"/>
      <c r="G1275" s="43"/>
      <c r="H1275" s="41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</row>
    <row r="1276" spans="1:60" ht="16">
      <c r="A1276" s="41"/>
      <c r="B1276" s="41"/>
      <c r="C1276" s="41"/>
      <c r="D1276" s="42"/>
      <c r="E1276" s="43"/>
      <c r="F1276" s="43"/>
      <c r="G1276" s="43"/>
      <c r="H1276" s="41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</row>
    <row r="1277" spans="1:60" ht="16">
      <c r="A1277" s="41"/>
      <c r="B1277" s="41"/>
      <c r="C1277" s="41"/>
      <c r="D1277" s="42"/>
      <c r="E1277" s="43"/>
      <c r="F1277" s="43"/>
      <c r="G1277" s="43"/>
      <c r="H1277" s="41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</row>
    <row r="1278" spans="1:60" ht="16">
      <c r="A1278" s="41"/>
      <c r="B1278" s="41"/>
      <c r="C1278" s="41"/>
      <c r="D1278" s="42"/>
      <c r="E1278" s="43"/>
      <c r="F1278" s="43"/>
      <c r="G1278" s="43"/>
      <c r="H1278" s="41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</row>
    <row r="1279" spans="1:60" ht="16">
      <c r="A1279" s="41"/>
      <c r="B1279" s="41"/>
      <c r="C1279" s="41"/>
      <c r="D1279" s="42"/>
      <c r="E1279" s="43"/>
      <c r="F1279" s="43"/>
      <c r="G1279" s="43"/>
      <c r="H1279" s="41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</row>
    <row r="1280" spans="1:60" ht="16">
      <c r="A1280" s="41"/>
      <c r="B1280" s="41"/>
      <c r="C1280" s="41"/>
      <c r="D1280" s="42"/>
      <c r="E1280" s="43"/>
      <c r="F1280" s="43"/>
      <c r="G1280" s="43"/>
      <c r="H1280" s="41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</row>
    <row r="1281" spans="1:60" ht="16">
      <c r="A1281" s="41"/>
      <c r="B1281" s="41"/>
      <c r="C1281" s="41"/>
      <c r="D1281" s="42"/>
      <c r="E1281" s="43"/>
      <c r="F1281" s="43"/>
      <c r="G1281" s="43"/>
      <c r="H1281" s="41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</row>
    <row r="1282" spans="1:60" ht="16">
      <c r="A1282" s="41"/>
      <c r="B1282" s="41"/>
      <c r="C1282" s="41"/>
      <c r="D1282" s="42"/>
      <c r="E1282" s="43"/>
      <c r="F1282" s="43"/>
      <c r="G1282" s="43"/>
      <c r="H1282" s="41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</row>
    <row r="1283" spans="1:60" ht="16">
      <c r="A1283" s="41"/>
      <c r="B1283" s="41"/>
      <c r="C1283" s="41"/>
      <c r="D1283" s="42"/>
      <c r="E1283" s="43"/>
      <c r="F1283" s="43"/>
      <c r="G1283" s="43"/>
      <c r="H1283" s="41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</row>
    <row r="1284" spans="1:60" ht="16">
      <c r="A1284" s="41"/>
      <c r="B1284" s="41"/>
      <c r="C1284" s="41"/>
      <c r="D1284" s="42"/>
      <c r="E1284" s="43"/>
      <c r="F1284" s="43"/>
      <c r="G1284" s="43"/>
      <c r="H1284" s="41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</row>
    <row r="1285" spans="1:60" ht="16">
      <c r="A1285" s="41"/>
      <c r="B1285" s="41"/>
      <c r="C1285" s="41"/>
      <c r="D1285" s="42"/>
      <c r="E1285" s="43"/>
      <c r="F1285" s="43"/>
      <c r="G1285" s="43"/>
      <c r="H1285" s="41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</row>
    <row r="1286" spans="1:60" ht="16">
      <c r="A1286" s="41"/>
      <c r="B1286" s="41"/>
      <c r="C1286" s="41"/>
      <c r="D1286" s="42"/>
      <c r="E1286" s="43"/>
      <c r="F1286" s="43"/>
      <c r="G1286" s="43"/>
      <c r="H1286" s="41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</row>
    <row r="1287" spans="1:60" ht="16">
      <c r="A1287" s="41"/>
      <c r="B1287" s="41"/>
      <c r="C1287" s="41"/>
      <c r="D1287" s="42"/>
      <c r="E1287" s="43"/>
      <c r="F1287" s="43"/>
      <c r="G1287" s="43"/>
      <c r="H1287" s="41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</row>
    <row r="1288" spans="1:60" ht="16">
      <c r="A1288" s="41"/>
      <c r="B1288" s="41"/>
      <c r="C1288" s="41"/>
      <c r="D1288" s="42"/>
      <c r="E1288" s="43"/>
      <c r="F1288" s="43"/>
      <c r="G1288" s="43"/>
      <c r="H1288" s="41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</row>
    <row r="1289" spans="1:60" ht="16">
      <c r="A1289" s="41"/>
      <c r="B1289" s="41"/>
      <c r="C1289" s="41"/>
      <c r="D1289" s="42"/>
      <c r="E1289" s="43"/>
      <c r="F1289" s="43"/>
      <c r="G1289" s="43"/>
      <c r="H1289" s="41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</row>
    <row r="1290" spans="1:60" ht="16">
      <c r="A1290" s="41"/>
      <c r="B1290" s="41"/>
      <c r="C1290" s="41"/>
      <c r="D1290" s="42"/>
      <c r="E1290" s="43"/>
      <c r="F1290" s="43"/>
      <c r="G1290" s="43"/>
      <c r="H1290" s="41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</row>
    <row r="1291" spans="1:60" ht="16">
      <c r="A1291" s="41"/>
      <c r="B1291" s="41"/>
      <c r="C1291" s="41"/>
      <c r="D1291" s="42"/>
      <c r="E1291" s="43"/>
      <c r="F1291" s="43"/>
      <c r="G1291" s="43"/>
      <c r="H1291" s="41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</row>
    <row r="1292" spans="1:60" ht="16">
      <c r="A1292" s="41"/>
      <c r="B1292" s="41"/>
      <c r="C1292" s="41"/>
      <c r="D1292" s="42"/>
      <c r="E1292" s="43"/>
      <c r="F1292" s="43"/>
      <c r="G1292" s="43"/>
      <c r="H1292" s="41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</row>
    <row r="1293" spans="1:60" ht="16">
      <c r="A1293" s="41"/>
      <c r="B1293" s="41"/>
      <c r="C1293" s="41"/>
      <c r="D1293" s="42"/>
      <c r="E1293" s="43"/>
      <c r="F1293" s="43"/>
      <c r="G1293" s="43"/>
      <c r="H1293" s="41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</row>
    <row r="1294" spans="1:60" ht="16">
      <c r="A1294" s="41"/>
      <c r="B1294" s="41"/>
      <c r="C1294" s="41"/>
      <c r="D1294" s="42"/>
      <c r="E1294" s="43"/>
      <c r="F1294" s="43"/>
      <c r="G1294" s="43"/>
      <c r="H1294" s="41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</row>
    <row r="1295" spans="1:60" ht="16">
      <c r="A1295" s="41"/>
      <c r="B1295" s="41"/>
      <c r="C1295" s="41"/>
      <c r="D1295" s="42"/>
      <c r="E1295" s="43"/>
      <c r="F1295" s="43"/>
      <c r="G1295" s="43"/>
      <c r="H1295" s="41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</row>
    <row r="1296" spans="1:60" ht="16">
      <c r="A1296" s="41"/>
      <c r="B1296" s="41"/>
      <c r="C1296" s="41"/>
      <c r="D1296" s="42"/>
      <c r="E1296" s="43"/>
      <c r="F1296" s="43"/>
      <c r="G1296" s="43"/>
      <c r="H1296" s="41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</row>
    <row r="1297" spans="1:60" ht="16">
      <c r="A1297" s="41"/>
      <c r="B1297" s="41"/>
      <c r="C1297" s="41"/>
      <c r="D1297" s="42"/>
      <c r="E1297" s="43"/>
      <c r="F1297" s="43"/>
      <c r="G1297" s="43"/>
      <c r="H1297" s="41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</row>
    <row r="1298" spans="1:60" ht="16">
      <c r="A1298" s="41"/>
      <c r="B1298" s="41"/>
      <c r="C1298" s="41"/>
      <c r="D1298" s="42"/>
      <c r="E1298" s="43"/>
      <c r="F1298" s="43"/>
      <c r="G1298" s="43"/>
      <c r="H1298" s="41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</row>
    <row r="1299" spans="1:60" ht="16">
      <c r="A1299" s="41"/>
      <c r="B1299" s="41"/>
      <c r="C1299" s="41"/>
      <c r="D1299" s="42"/>
      <c r="E1299" s="43"/>
      <c r="F1299" s="43"/>
      <c r="G1299" s="43"/>
      <c r="H1299" s="41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</row>
    <row r="1300" spans="1:60" ht="16">
      <c r="A1300" s="41"/>
      <c r="B1300" s="41"/>
      <c r="C1300" s="41"/>
      <c r="D1300" s="42"/>
      <c r="E1300" s="43"/>
      <c r="F1300" s="43"/>
      <c r="G1300" s="43"/>
      <c r="H1300" s="41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</row>
    <row r="1301" spans="1:60" ht="16">
      <c r="A1301" s="41"/>
      <c r="B1301" s="41"/>
      <c r="C1301" s="41"/>
      <c r="D1301" s="42"/>
      <c r="E1301" s="43"/>
      <c r="F1301" s="43"/>
      <c r="G1301" s="43"/>
      <c r="H1301" s="41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</row>
    <row r="1302" spans="1:60" ht="16">
      <c r="A1302" s="41"/>
      <c r="B1302" s="41"/>
      <c r="C1302" s="41"/>
      <c r="D1302" s="42"/>
      <c r="E1302" s="43"/>
      <c r="F1302" s="43"/>
      <c r="G1302" s="43"/>
      <c r="H1302" s="41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</row>
    <row r="1303" spans="1:60" ht="16">
      <c r="A1303" s="41"/>
      <c r="B1303" s="41"/>
      <c r="C1303" s="41"/>
      <c r="D1303" s="42"/>
      <c r="E1303" s="43"/>
      <c r="F1303" s="43"/>
      <c r="G1303" s="43"/>
      <c r="H1303" s="41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</row>
    <row r="1304" spans="1:60" ht="16">
      <c r="A1304" s="41"/>
      <c r="B1304" s="41"/>
      <c r="C1304" s="41"/>
      <c r="D1304" s="42"/>
      <c r="E1304" s="43"/>
      <c r="F1304" s="43"/>
      <c r="G1304" s="43"/>
      <c r="H1304" s="41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</row>
    <row r="1305" spans="1:60" ht="16">
      <c r="A1305" s="41"/>
      <c r="B1305" s="41"/>
      <c r="C1305" s="41"/>
      <c r="D1305" s="42"/>
      <c r="E1305" s="43"/>
      <c r="F1305" s="43"/>
      <c r="G1305" s="43"/>
      <c r="H1305" s="41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</row>
    <row r="1306" spans="1:60" ht="16">
      <c r="A1306" s="41"/>
      <c r="B1306" s="41"/>
      <c r="C1306" s="41"/>
      <c r="D1306" s="42"/>
      <c r="E1306" s="43"/>
      <c r="F1306" s="43"/>
      <c r="G1306" s="43"/>
      <c r="H1306" s="41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</row>
    <row r="1307" spans="1:60" ht="16">
      <c r="A1307" s="41"/>
      <c r="B1307" s="41"/>
      <c r="C1307" s="41"/>
      <c r="D1307" s="42"/>
      <c r="E1307" s="43"/>
      <c r="F1307" s="43"/>
      <c r="G1307" s="43"/>
      <c r="H1307" s="41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</row>
    <row r="1308" spans="1:60" ht="16">
      <c r="A1308" s="41"/>
      <c r="B1308" s="41"/>
      <c r="C1308" s="41"/>
      <c r="D1308" s="42"/>
      <c r="E1308" s="43"/>
      <c r="F1308" s="43"/>
      <c r="G1308" s="43"/>
      <c r="H1308" s="41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</row>
    <row r="1309" spans="1:60" ht="16">
      <c r="A1309" s="41"/>
      <c r="B1309" s="41"/>
      <c r="C1309" s="41"/>
      <c r="D1309" s="42"/>
      <c r="E1309" s="43"/>
      <c r="F1309" s="43"/>
      <c r="G1309" s="43"/>
      <c r="H1309" s="41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</row>
    <row r="1310" spans="1:60" ht="16">
      <c r="A1310" s="41"/>
      <c r="B1310" s="41"/>
      <c r="C1310" s="41"/>
      <c r="D1310" s="42"/>
      <c r="E1310" s="43"/>
      <c r="F1310" s="43"/>
      <c r="G1310" s="43"/>
      <c r="H1310" s="41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</row>
    <row r="1311" spans="1:60" ht="16">
      <c r="A1311" s="41"/>
      <c r="B1311" s="41"/>
      <c r="C1311" s="41"/>
      <c r="D1311" s="42"/>
      <c r="E1311" s="43"/>
      <c r="F1311" s="43"/>
      <c r="G1311" s="43"/>
      <c r="H1311" s="41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</row>
    <row r="1312" spans="1:60" ht="16">
      <c r="A1312" s="41"/>
      <c r="B1312" s="41"/>
      <c r="C1312" s="41"/>
      <c r="D1312" s="42"/>
      <c r="E1312" s="43"/>
      <c r="F1312" s="43"/>
      <c r="G1312" s="43"/>
      <c r="H1312" s="41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</row>
    <row r="1313" spans="1:60" ht="16">
      <c r="A1313" s="41"/>
      <c r="B1313" s="41"/>
      <c r="C1313" s="41"/>
      <c r="D1313" s="42"/>
      <c r="E1313" s="43"/>
      <c r="F1313" s="43"/>
      <c r="G1313" s="43"/>
      <c r="H1313" s="41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</row>
    <row r="1314" spans="1:60" ht="16">
      <c r="A1314" s="41"/>
      <c r="B1314" s="41"/>
      <c r="C1314" s="41"/>
      <c r="D1314" s="42"/>
      <c r="E1314" s="43"/>
      <c r="F1314" s="43"/>
      <c r="G1314" s="43"/>
      <c r="H1314" s="41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</row>
    <row r="1315" spans="1:60" ht="16">
      <c r="A1315" s="41"/>
      <c r="B1315" s="41"/>
      <c r="C1315" s="41"/>
      <c r="D1315" s="42"/>
      <c r="E1315" s="43"/>
      <c r="F1315" s="43"/>
      <c r="G1315" s="43"/>
      <c r="H1315" s="41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</row>
    <row r="1316" spans="1:60" ht="16">
      <c r="A1316" s="41"/>
      <c r="B1316" s="41"/>
      <c r="C1316" s="41"/>
      <c r="D1316" s="42"/>
      <c r="E1316" s="43"/>
      <c r="F1316" s="43"/>
      <c r="G1316" s="43"/>
      <c r="H1316" s="41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</row>
    <row r="1317" spans="1:60" ht="16">
      <c r="A1317" s="41"/>
      <c r="B1317" s="41"/>
      <c r="C1317" s="41"/>
      <c r="D1317" s="42"/>
      <c r="E1317" s="43"/>
      <c r="F1317" s="43"/>
      <c r="G1317" s="43"/>
      <c r="H1317" s="41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</row>
    <row r="1318" spans="1:60" ht="16">
      <c r="A1318" s="41"/>
      <c r="B1318" s="41"/>
      <c r="C1318" s="41"/>
      <c r="D1318" s="42"/>
      <c r="E1318" s="43"/>
      <c r="F1318" s="43"/>
      <c r="G1318" s="43"/>
      <c r="H1318" s="41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</row>
    <row r="1319" spans="1:60" ht="16">
      <c r="A1319" s="41"/>
      <c r="B1319" s="41"/>
      <c r="C1319" s="41"/>
      <c r="D1319" s="42"/>
      <c r="E1319" s="43"/>
      <c r="F1319" s="43"/>
      <c r="G1319" s="43"/>
      <c r="H1319" s="41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</row>
    <row r="1320" spans="1:60" ht="16">
      <c r="A1320" s="41"/>
      <c r="B1320" s="41"/>
      <c r="C1320" s="41"/>
      <c r="D1320" s="42"/>
      <c r="E1320" s="43"/>
      <c r="F1320" s="43"/>
      <c r="G1320" s="43"/>
      <c r="H1320" s="41"/>
      <c r="I1320" s="43"/>
      <c r="J1320" s="43"/>
      <c r="K1320" s="43"/>
      <c r="L1320" s="43"/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</row>
    <row r="1321" spans="1:60" ht="16">
      <c r="A1321" s="41"/>
      <c r="B1321" s="41"/>
      <c r="C1321" s="41"/>
      <c r="D1321" s="42"/>
      <c r="E1321" s="43"/>
      <c r="F1321" s="43"/>
      <c r="G1321" s="43"/>
      <c r="H1321" s="41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</row>
    <row r="1322" spans="1:60" ht="16">
      <c r="A1322" s="41"/>
      <c r="B1322" s="41"/>
      <c r="C1322" s="41"/>
      <c r="D1322" s="42"/>
      <c r="E1322" s="43"/>
      <c r="F1322" s="43"/>
      <c r="G1322" s="43"/>
      <c r="H1322" s="41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</row>
    <row r="1323" spans="1:60" ht="16">
      <c r="A1323" s="41"/>
      <c r="B1323" s="41"/>
      <c r="C1323" s="41"/>
      <c r="D1323" s="42"/>
      <c r="E1323" s="43"/>
      <c r="F1323" s="43"/>
      <c r="G1323" s="43"/>
      <c r="H1323" s="41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</row>
    <row r="1324" spans="1:60" ht="16">
      <c r="A1324" s="41"/>
      <c r="B1324" s="41"/>
      <c r="C1324" s="41"/>
      <c r="D1324" s="42"/>
      <c r="E1324" s="43"/>
      <c r="F1324" s="43"/>
      <c r="G1324" s="43"/>
      <c r="H1324" s="41"/>
      <c r="I1324" s="43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</row>
    <row r="1325" spans="1:60" ht="16">
      <c r="A1325" s="41"/>
      <c r="B1325" s="41"/>
      <c r="C1325" s="41"/>
      <c r="D1325" s="42"/>
      <c r="E1325" s="43"/>
      <c r="F1325" s="43"/>
      <c r="G1325" s="43"/>
      <c r="H1325" s="41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</row>
    <row r="1326" spans="1:60" ht="16">
      <c r="A1326" s="41"/>
      <c r="B1326" s="41"/>
      <c r="C1326" s="41"/>
      <c r="D1326" s="42"/>
      <c r="E1326" s="43"/>
      <c r="F1326" s="43"/>
      <c r="G1326" s="43"/>
      <c r="H1326" s="41"/>
      <c r="I1326" s="43"/>
      <c r="J1326" s="43"/>
      <c r="K1326" s="43"/>
      <c r="L1326" s="43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</row>
    <row r="1327" spans="1:60" ht="16">
      <c r="A1327" s="41"/>
      <c r="B1327" s="41"/>
      <c r="C1327" s="41"/>
      <c r="D1327" s="42"/>
      <c r="E1327" s="43"/>
      <c r="F1327" s="43"/>
      <c r="G1327" s="43"/>
      <c r="H1327" s="41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</row>
    <row r="1328" spans="1:60" ht="16">
      <c r="A1328" s="41"/>
      <c r="B1328" s="41"/>
      <c r="C1328" s="41"/>
      <c r="D1328" s="42"/>
      <c r="E1328" s="43"/>
      <c r="F1328" s="43"/>
      <c r="G1328" s="43"/>
      <c r="H1328" s="41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</row>
    <row r="1329" spans="1:60" ht="16">
      <c r="A1329" s="41"/>
      <c r="B1329" s="41"/>
      <c r="C1329" s="41"/>
      <c r="D1329" s="42"/>
      <c r="E1329" s="43"/>
      <c r="F1329" s="43"/>
      <c r="G1329" s="43"/>
      <c r="H1329" s="41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</row>
    <row r="1330" spans="1:60" ht="16">
      <c r="A1330" s="41"/>
      <c r="B1330" s="41"/>
      <c r="C1330" s="41"/>
      <c r="D1330" s="42"/>
      <c r="E1330" s="43"/>
      <c r="F1330" s="43"/>
      <c r="G1330" s="43"/>
      <c r="H1330" s="41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</row>
    <row r="1331" spans="1:60" ht="16">
      <c r="A1331" s="41"/>
      <c r="B1331" s="41"/>
      <c r="C1331" s="41"/>
      <c r="D1331" s="42"/>
      <c r="E1331" s="43"/>
      <c r="F1331" s="43"/>
      <c r="G1331" s="43"/>
      <c r="H1331" s="41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</row>
    <row r="1332" spans="1:60" ht="16">
      <c r="A1332" s="41"/>
      <c r="B1332" s="41"/>
      <c r="C1332" s="41"/>
      <c r="D1332" s="42"/>
      <c r="E1332" s="43"/>
      <c r="F1332" s="43"/>
      <c r="G1332" s="43"/>
      <c r="H1332" s="41"/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43"/>
      <c r="U1332" s="43"/>
      <c r="V1332" s="43"/>
      <c r="W1332" s="43"/>
      <c r="X1332" s="43"/>
      <c r="Y1332" s="43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</row>
    <row r="1333" spans="1:60" ht="16">
      <c r="A1333" s="41"/>
      <c r="B1333" s="41"/>
      <c r="C1333" s="41"/>
      <c r="D1333" s="42"/>
      <c r="E1333" s="43"/>
      <c r="F1333" s="43"/>
      <c r="G1333" s="43"/>
      <c r="H1333" s="41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</row>
    <row r="1334" spans="1:60" ht="16">
      <c r="A1334" s="41"/>
      <c r="B1334" s="41"/>
      <c r="C1334" s="41"/>
      <c r="D1334" s="42"/>
      <c r="E1334" s="43"/>
      <c r="F1334" s="43"/>
      <c r="G1334" s="43"/>
      <c r="H1334" s="41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</row>
    <row r="1335" spans="1:60" ht="16">
      <c r="A1335" s="41"/>
      <c r="B1335" s="41"/>
      <c r="C1335" s="41"/>
      <c r="D1335" s="42"/>
      <c r="E1335" s="43"/>
      <c r="F1335" s="43"/>
      <c r="G1335" s="43"/>
      <c r="H1335" s="41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</row>
    <row r="1336" spans="1:60" ht="16">
      <c r="A1336" s="41"/>
      <c r="B1336" s="41"/>
      <c r="C1336" s="41"/>
      <c r="D1336" s="42"/>
      <c r="E1336" s="43"/>
      <c r="F1336" s="43"/>
      <c r="G1336" s="43"/>
      <c r="H1336" s="41"/>
      <c r="I1336" s="43"/>
      <c r="J1336" s="43"/>
      <c r="K1336" s="43"/>
      <c r="L1336" s="43"/>
      <c r="M1336" s="43"/>
      <c r="N1336" s="43"/>
      <c r="O1336" s="43"/>
      <c r="P1336" s="43"/>
      <c r="Q1336" s="43"/>
      <c r="R1336" s="43"/>
      <c r="S1336" s="43"/>
      <c r="T1336" s="43"/>
      <c r="U1336" s="43"/>
      <c r="V1336" s="43"/>
      <c r="W1336" s="43"/>
      <c r="X1336" s="43"/>
      <c r="Y1336" s="43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</row>
    <row r="1337" spans="1:60" ht="16">
      <c r="A1337" s="41"/>
      <c r="B1337" s="41"/>
      <c r="C1337" s="41"/>
      <c r="D1337" s="42"/>
      <c r="E1337" s="43"/>
      <c r="F1337" s="43"/>
      <c r="G1337" s="43"/>
      <c r="H1337" s="41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  <c r="U1337" s="43"/>
      <c r="V1337" s="43"/>
      <c r="W1337" s="43"/>
      <c r="X1337" s="43"/>
      <c r="Y1337" s="43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</row>
    <row r="1338" spans="1:60" ht="16">
      <c r="A1338" s="41"/>
      <c r="B1338" s="41"/>
      <c r="C1338" s="41"/>
      <c r="D1338" s="42"/>
      <c r="E1338" s="43"/>
      <c r="F1338" s="43"/>
      <c r="G1338" s="43"/>
      <c r="H1338" s="41"/>
      <c r="I1338" s="43"/>
      <c r="J1338" s="43"/>
      <c r="K1338" s="43"/>
      <c r="L1338" s="43"/>
      <c r="M1338" s="43"/>
      <c r="N1338" s="43"/>
      <c r="O1338" s="43"/>
      <c r="P1338" s="43"/>
      <c r="Q1338" s="43"/>
      <c r="R1338" s="43"/>
      <c r="S1338" s="43"/>
      <c r="T1338" s="43"/>
      <c r="U1338" s="43"/>
      <c r="V1338" s="43"/>
      <c r="W1338" s="43"/>
      <c r="X1338" s="43"/>
      <c r="Y1338" s="43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</row>
    <row r="1339" spans="1:60" ht="16">
      <c r="A1339" s="41"/>
      <c r="B1339" s="41"/>
      <c r="C1339" s="41"/>
      <c r="D1339" s="42"/>
      <c r="E1339" s="43"/>
      <c r="F1339" s="43"/>
      <c r="G1339" s="43"/>
      <c r="H1339" s="41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</row>
    <row r="1340" spans="1:60" ht="16">
      <c r="A1340" s="41"/>
      <c r="B1340" s="41"/>
      <c r="C1340" s="41"/>
      <c r="D1340" s="42"/>
      <c r="E1340" s="43"/>
      <c r="F1340" s="43"/>
      <c r="G1340" s="43"/>
      <c r="H1340" s="41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</row>
    <row r="1341" spans="1:60" ht="16">
      <c r="A1341" s="41"/>
      <c r="B1341" s="41"/>
      <c r="C1341" s="41"/>
      <c r="D1341" s="42"/>
      <c r="E1341" s="43"/>
      <c r="F1341" s="43"/>
      <c r="G1341" s="43"/>
      <c r="H1341" s="41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</row>
    <row r="1342" spans="1:60" ht="16">
      <c r="A1342" s="41"/>
      <c r="B1342" s="41"/>
      <c r="C1342" s="41"/>
      <c r="D1342" s="42"/>
      <c r="E1342" s="43"/>
      <c r="F1342" s="43"/>
      <c r="G1342" s="43"/>
      <c r="H1342" s="41"/>
      <c r="I1342" s="43"/>
      <c r="J1342" s="43"/>
      <c r="K1342" s="43"/>
      <c r="L1342" s="43"/>
      <c r="M1342" s="43"/>
      <c r="N1342" s="43"/>
      <c r="O1342" s="43"/>
      <c r="P1342" s="43"/>
      <c r="Q1342" s="43"/>
      <c r="R1342" s="43"/>
      <c r="S1342" s="43"/>
      <c r="T1342" s="43"/>
      <c r="U1342" s="43"/>
      <c r="V1342" s="43"/>
      <c r="W1342" s="43"/>
      <c r="X1342" s="43"/>
      <c r="Y1342" s="43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</row>
    <row r="1343" spans="1:60" ht="16">
      <c r="A1343" s="41"/>
      <c r="B1343" s="41"/>
      <c r="C1343" s="41"/>
      <c r="D1343" s="42"/>
      <c r="E1343" s="43"/>
      <c r="F1343" s="43"/>
      <c r="G1343" s="43"/>
      <c r="H1343" s="41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</row>
    <row r="1344" spans="1:60" ht="16">
      <c r="A1344" s="41"/>
      <c r="B1344" s="41"/>
      <c r="C1344" s="41"/>
      <c r="D1344" s="42"/>
      <c r="E1344" s="43"/>
      <c r="F1344" s="43"/>
      <c r="G1344" s="43"/>
      <c r="H1344" s="41"/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</row>
    <row r="1345" spans="1:60" ht="16">
      <c r="A1345" s="41"/>
      <c r="B1345" s="41"/>
      <c r="C1345" s="41"/>
      <c r="D1345" s="42"/>
      <c r="E1345" s="43"/>
      <c r="F1345" s="43"/>
      <c r="G1345" s="43"/>
      <c r="H1345" s="41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</row>
    <row r="1346" spans="1:60" ht="16">
      <c r="A1346" s="41"/>
      <c r="B1346" s="41"/>
      <c r="C1346" s="41"/>
      <c r="D1346" s="42"/>
      <c r="E1346" s="43"/>
      <c r="F1346" s="43"/>
      <c r="G1346" s="43"/>
      <c r="H1346" s="41"/>
      <c r="I1346" s="43"/>
      <c r="J1346" s="43"/>
      <c r="K1346" s="43"/>
      <c r="L1346" s="43"/>
      <c r="M1346" s="43"/>
      <c r="N1346" s="43"/>
      <c r="O1346" s="43"/>
      <c r="P1346" s="43"/>
      <c r="Q1346" s="43"/>
      <c r="R1346" s="43"/>
      <c r="S1346" s="43"/>
      <c r="T1346" s="43"/>
      <c r="U1346" s="43"/>
      <c r="V1346" s="43"/>
      <c r="W1346" s="43"/>
      <c r="X1346" s="43"/>
      <c r="Y1346" s="43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</row>
    <row r="1347" spans="1:60" ht="16">
      <c r="A1347" s="41"/>
      <c r="B1347" s="41"/>
      <c r="C1347" s="41"/>
      <c r="D1347" s="42"/>
      <c r="E1347" s="43"/>
      <c r="F1347" s="43"/>
      <c r="G1347" s="43"/>
      <c r="H1347" s="41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</row>
    <row r="1348" spans="1:60" ht="16">
      <c r="A1348" s="41"/>
      <c r="B1348" s="41"/>
      <c r="C1348" s="41"/>
      <c r="D1348" s="42"/>
      <c r="E1348" s="43"/>
      <c r="F1348" s="43"/>
      <c r="G1348" s="43"/>
      <c r="H1348" s="41"/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</row>
    <row r="1349" spans="1:60" ht="16">
      <c r="A1349" s="41"/>
      <c r="B1349" s="41"/>
      <c r="C1349" s="41"/>
      <c r="D1349" s="42"/>
      <c r="E1349" s="43"/>
      <c r="F1349" s="43"/>
      <c r="G1349" s="43"/>
      <c r="H1349" s="41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  <c r="U1349" s="43"/>
      <c r="V1349" s="43"/>
      <c r="W1349" s="43"/>
      <c r="X1349" s="43"/>
      <c r="Y1349" s="43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</row>
    <row r="1350" spans="1:60" ht="16">
      <c r="A1350" s="41"/>
      <c r="B1350" s="41"/>
      <c r="C1350" s="41"/>
      <c r="D1350" s="42"/>
      <c r="E1350" s="43"/>
      <c r="F1350" s="43"/>
      <c r="G1350" s="43"/>
      <c r="H1350" s="41"/>
      <c r="I1350" s="43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43"/>
      <c r="U1350" s="43"/>
      <c r="V1350" s="43"/>
      <c r="W1350" s="43"/>
      <c r="X1350" s="43"/>
      <c r="Y1350" s="43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</row>
    <row r="1351" spans="1:60" ht="16">
      <c r="A1351" s="41"/>
      <c r="B1351" s="41"/>
      <c r="C1351" s="41"/>
      <c r="D1351" s="42"/>
      <c r="E1351" s="43"/>
      <c r="F1351" s="43"/>
      <c r="G1351" s="43"/>
      <c r="H1351" s="41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</row>
    <row r="1352" spans="1:60" ht="16">
      <c r="A1352" s="41"/>
      <c r="B1352" s="41"/>
      <c r="C1352" s="41"/>
      <c r="D1352" s="42"/>
      <c r="E1352" s="43"/>
      <c r="F1352" s="43"/>
      <c r="G1352" s="43"/>
      <c r="H1352" s="41"/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43"/>
      <c r="U1352" s="43"/>
      <c r="V1352" s="43"/>
      <c r="W1352" s="43"/>
      <c r="X1352" s="43"/>
      <c r="Y1352" s="43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</row>
    <row r="1353" spans="1:60" ht="16">
      <c r="A1353" s="41"/>
      <c r="B1353" s="41"/>
      <c r="C1353" s="41"/>
      <c r="D1353" s="42"/>
      <c r="E1353" s="43"/>
      <c r="F1353" s="43"/>
      <c r="G1353" s="43"/>
      <c r="H1353" s="41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  <c r="U1353" s="43"/>
      <c r="V1353" s="43"/>
      <c r="W1353" s="43"/>
      <c r="X1353" s="43"/>
      <c r="Y1353" s="43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</row>
    <row r="1354" spans="1:60" ht="16">
      <c r="A1354" s="41"/>
      <c r="B1354" s="41"/>
      <c r="C1354" s="41"/>
      <c r="D1354" s="42"/>
      <c r="E1354" s="43"/>
      <c r="F1354" s="43"/>
      <c r="G1354" s="43"/>
      <c r="H1354" s="41"/>
      <c r="I1354" s="43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</row>
    <row r="1355" spans="1:60" ht="16">
      <c r="A1355" s="41"/>
      <c r="B1355" s="41"/>
      <c r="C1355" s="41"/>
      <c r="D1355" s="42"/>
      <c r="E1355" s="43"/>
      <c r="F1355" s="43"/>
      <c r="G1355" s="43"/>
      <c r="H1355" s="41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</row>
    <row r="1356" spans="1:60" ht="16">
      <c r="A1356" s="41"/>
      <c r="B1356" s="41"/>
      <c r="C1356" s="41"/>
      <c r="D1356" s="42"/>
      <c r="E1356" s="43"/>
      <c r="F1356" s="43"/>
      <c r="G1356" s="43"/>
      <c r="H1356" s="41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</row>
    <row r="1357" spans="1:60" ht="16">
      <c r="A1357" s="41"/>
      <c r="B1357" s="41"/>
      <c r="C1357" s="41"/>
      <c r="D1357" s="42"/>
      <c r="E1357" s="43"/>
      <c r="F1357" s="43"/>
      <c r="G1357" s="43"/>
      <c r="H1357" s="41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</row>
    <row r="1358" spans="1:60" ht="16">
      <c r="A1358" s="41"/>
      <c r="B1358" s="41"/>
      <c r="C1358" s="41"/>
      <c r="D1358" s="42"/>
      <c r="E1358" s="43"/>
      <c r="F1358" s="43"/>
      <c r="G1358" s="43"/>
      <c r="H1358" s="41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</row>
    <row r="1359" spans="1:60" ht="16">
      <c r="A1359" s="41"/>
      <c r="B1359" s="41"/>
      <c r="C1359" s="41"/>
      <c r="D1359" s="42"/>
      <c r="E1359" s="43"/>
      <c r="F1359" s="43"/>
      <c r="G1359" s="43"/>
      <c r="H1359" s="41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3"/>
      <c r="U1359" s="43"/>
      <c r="V1359" s="43"/>
      <c r="W1359" s="43"/>
      <c r="X1359" s="43"/>
      <c r="Y1359" s="43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</row>
    <row r="1360" spans="1:60" ht="16">
      <c r="A1360" s="41"/>
      <c r="B1360" s="41"/>
      <c r="C1360" s="41"/>
      <c r="D1360" s="42"/>
      <c r="E1360" s="43"/>
      <c r="F1360" s="43"/>
      <c r="G1360" s="43"/>
      <c r="H1360" s="41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</row>
    <row r="1361" spans="1:60" ht="16">
      <c r="A1361" s="41"/>
      <c r="B1361" s="41"/>
      <c r="C1361" s="41"/>
      <c r="D1361" s="42"/>
      <c r="E1361" s="43"/>
      <c r="F1361" s="43"/>
      <c r="G1361" s="43"/>
      <c r="H1361" s="41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</row>
    <row r="1362" spans="1:60" ht="16">
      <c r="A1362" s="41"/>
      <c r="B1362" s="41"/>
      <c r="C1362" s="41"/>
      <c r="D1362" s="42"/>
      <c r="E1362" s="43"/>
      <c r="F1362" s="43"/>
      <c r="G1362" s="43"/>
      <c r="H1362" s="41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43"/>
      <c r="U1362" s="43"/>
      <c r="V1362" s="43"/>
      <c r="W1362" s="43"/>
      <c r="X1362" s="43"/>
      <c r="Y1362" s="43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</row>
    <row r="1363" spans="1:60" ht="16">
      <c r="A1363" s="41"/>
      <c r="B1363" s="41"/>
      <c r="C1363" s="41"/>
      <c r="D1363" s="42"/>
      <c r="E1363" s="43"/>
      <c r="F1363" s="43"/>
      <c r="G1363" s="43"/>
      <c r="H1363" s="41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</row>
    <row r="1364" spans="1:60" ht="16">
      <c r="A1364" s="41"/>
      <c r="B1364" s="41"/>
      <c r="C1364" s="41"/>
      <c r="D1364" s="42"/>
      <c r="E1364" s="43"/>
      <c r="F1364" s="43"/>
      <c r="G1364" s="43"/>
      <c r="H1364" s="41"/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43"/>
      <c r="U1364" s="43"/>
      <c r="V1364" s="43"/>
      <c r="W1364" s="43"/>
      <c r="X1364" s="43"/>
      <c r="Y1364" s="43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</row>
    <row r="1365" spans="1:60" ht="16">
      <c r="A1365" s="41"/>
      <c r="B1365" s="41"/>
      <c r="C1365" s="41"/>
      <c r="D1365" s="42"/>
      <c r="E1365" s="43"/>
      <c r="F1365" s="43"/>
      <c r="G1365" s="43"/>
      <c r="H1365" s="41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</row>
    <row r="1366" spans="1:60" ht="16">
      <c r="A1366" s="41"/>
      <c r="B1366" s="41"/>
      <c r="C1366" s="41"/>
      <c r="D1366" s="42"/>
      <c r="E1366" s="43"/>
      <c r="F1366" s="43"/>
      <c r="G1366" s="43"/>
      <c r="H1366" s="41"/>
      <c r="I1366" s="43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</row>
    <row r="1367" spans="1:60" ht="16">
      <c r="A1367" s="41"/>
      <c r="B1367" s="41"/>
      <c r="C1367" s="41"/>
      <c r="D1367" s="42"/>
      <c r="E1367" s="43"/>
      <c r="F1367" s="43"/>
      <c r="G1367" s="43"/>
      <c r="H1367" s="41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</row>
    <row r="1368" spans="1:60" ht="16">
      <c r="A1368" s="41"/>
      <c r="B1368" s="41"/>
      <c r="C1368" s="41"/>
      <c r="D1368" s="42"/>
      <c r="E1368" s="43"/>
      <c r="F1368" s="43"/>
      <c r="G1368" s="43"/>
      <c r="H1368" s="41"/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</row>
    <row r="1369" spans="1:60" ht="16">
      <c r="A1369" s="41"/>
      <c r="B1369" s="41"/>
      <c r="C1369" s="41"/>
      <c r="D1369" s="42"/>
      <c r="E1369" s="43"/>
      <c r="F1369" s="43"/>
      <c r="G1369" s="43"/>
      <c r="H1369" s="41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3"/>
      <c r="U1369" s="43"/>
      <c r="V1369" s="43"/>
      <c r="W1369" s="43"/>
      <c r="X1369" s="43"/>
      <c r="Y1369" s="43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</row>
    <row r="1370" spans="1:60" ht="16">
      <c r="A1370" s="41"/>
      <c r="B1370" s="41"/>
      <c r="C1370" s="41"/>
      <c r="D1370" s="42"/>
      <c r="E1370" s="43"/>
      <c r="F1370" s="43"/>
      <c r="G1370" s="43"/>
      <c r="H1370" s="41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</row>
    <row r="1371" spans="1:60" ht="16">
      <c r="A1371" s="41"/>
      <c r="B1371" s="41"/>
      <c r="C1371" s="41"/>
      <c r="D1371" s="42"/>
      <c r="E1371" s="43"/>
      <c r="F1371" s="43"/>
      <c r="G1371" s="43"/>
      <c r="H1371" s="41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</row>
    <row r="1372" spans="1:60" ht="16">
      <c r="A1372" s="41"/>
      <c r="B1372" s="41"/>
      <c r="C1372" s="41"/>
      <c r="D1372" s="42"/>
      <c r="E1372" s="43"/>
      <c r="F1372" s="43"/>
      <c r="G1372" s="43"/>
      <c r="H1372" s="41"/>
      <c r="I1372" s="43"/>
      <c r="J1372" s="43"/>
      <c r="K1372" s="43"/>
      <c r="L1372" s="43"/>
      <c r="M1372" s="43"/>
      <c r="N1372" s="43"/>
      <c r="O1372" s="43"/>
      <c r="P1372" s="43"/>
      <c r="Q1372" s="43"/>
      <c r="R1372" s="43"/>
      <c r="S1372" s="43"/>
      <c r="T1372" s="43"/>
      <c r="U1372" s="43"/>
      <c r="V1372" s="43"/>
      <c r="W1372" s="43"/>
      <c r="X1372" s="43"/>
      <c r="Y1372" s="43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</row>
    <row r="1373" spans="1:60" ht="16">
      <c r="A1373" s="41"/>
      <c r="B1373" s="41"/>
      <c r="C1373" s="41"/>
      <c r="D1373" s="42"/>
      <c r="E1373" s="43"/>
      <c r="F1373" s="43"/>
      <c r="G1373" s="43"/>
      <c r="H1373" s="41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</row>
    <row r="1374" spans="1:60" ht="16">
      <c r="A1374" s="41"/>
      <c r="B1374" s="41"/>
      <c r="C1374" s="41"/>
      <c r="D1374" s="42"/>
      <c r="E1374" s="43"/>
      <c r="F1374" s="43"/>
      <c r="G1374" s="43"/>
      <c r="H1374" s="41"/>
      <c r="I1374" s="43"/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  <c r="T1374" s="43"/>
      <c r="U1374" s="43"/>
      <c r="V1374" s="43"/>
      <c r="W1374" s="43"/>
      <c r="X1374" s="43"/>
      <c r="Y1374" s="43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</row>
    <row r="1375" spans="1:60" ht="16">
      <c r="A1375" s="41"/>
      <c r="B1375" s="41"/>
      <c r="C1375" s="41"/>
      <c r="D1375" s="42"/>
      <c r="E1375" s="43"/>
      <c r="F1375" s="43"/>
      <c r="G1375" s="43"/>
      <c r="H1375" s="41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3"/>
      <c r="U1375" s="43"/>
      <c r="V1375" s="43"/>
      <c r="W1375" s="43"/>
      <c r="X1375" s="43"/>
      <c r="Y1375" s="43"/>
      <c r="Z1375" s="46"/>
      <c r="AA1375" s="46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</row>
    <row r="1376" spans="1:60" ht="16">
      <c r="A1376" s="41"/>
      <c r="B1376" s="41"/>
      <c r="C1376" s="41"/>
      <c r="D1376" s="42"/>
      <c r="E1376" s="43"/>
      <c r="F1376" s="43"/>
      <c r="G1376" s="43"/>
      <c r="H1376" s="41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43"/>
      <c r="U1376" s="43"/>
      <c r="V1376" s="43"/>
      <c r="W1376" s="43"/>
      <c r="X1376" s="43"/>
      <c r="Y1376" s="43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</row>
    <row r="1377" spans="1:60" ht="16">
      <c r="A1377" s="41"/>
      <c r="B1377" s="41"/>
      <c r="C1377" s="41"/>
      <c r="D1377" s="42"/>
      <c r="E1377" s="43"/>
      <c r="F1377" s="43"/>
      <c r="G1377" s="43"/>
      <c r="H1377" s="41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</row>
    <row r="1378" spans="1:60" ht="16">
      <c r="A1378" s="41"/>
      <c r="B1378" s="41"/>
      <c r="C1378" s="41"/>
      <c r="D1378" s="42"/>
      <c r="E1378" s="43"/>
      <c r="F1378" s="43"/>
      <c r="G1378" s="43"/>
      <c r="H1378" s="41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</row>
    <row r="1379" spans="1:60" ht="16">
      <c r="A1379" s="41"/>
      <c r="B1379" s="41"/>
      <c r="C1379" s="41"/>
      <c r="D1379" s="42"/>
      <c r="E1379" s="43"/>
      <c r="F1379" s="43"/>
      <c r="G1379" s="43"/>
      <c r="H1379" s="41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</row>
    <row r="1380" spans="1:60" ht="16">
      <c r="A1380" s="41"/>
      <c r="B1380" s="41"/>
      <c r="C1380" s="41"/>
      <c r="D1380" s="42"/>
      <c r="E1380" s="43"/>
      <c r="F1380" s="43"/>
      <c r="G1380" s="43"/>
      <c r="H1380" s="41"/>
      <c r="I1380" s="43"/>
      <c r="J1380" s="43"/>
      <c r="K1380" s="43"/>
      <c r="L1380" s="43"/>
      <c r="M1380" s="43"/>
      <c r="N1380" s="43"/>
      <c r="O1380" s="43"/>
      <c r="P1380" s="43"/>
      <c r="Q1380" s="43"/>
      <c r="R1380" s="43"/>
      <c r="S1380" s="43"/>
      <c r="T1380" s="43"/>
      <c r="U1380" s="43"/>
      <c r="V1380" s="43"/>
      <c r="W1380" s="43"/>
      <c r="X1380" s="43"/>
      <c r="Y1380" s="43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</row>
    <row r="1381" spans="1:60" ht="16">
      <c r="A1381" s="41"/>
      <c r="B1381" s="41"/>
      <c r="C1381" s="41"/>
      <c r="D1381" s="42"/>
      <c r="E1381" s="43"/>
      <c r="F1381" s="43"/>
      <c r="G1381" s="43"/>
      <c r="H1381" s="41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3"/>
      <c r="U1381" s="43"/>
      <c r="V1381" s="43"/>
      <c r="W1381" s="43"/>
      <c r="X1381" s="43"/>
      <c r="Y1381" s="43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</row>
    <row r="1382" spans="1:60" ht="16">
      <c r="A1382" s="41"/>
      <c r="B1382" s="41"/>
      <c r="C1382" s="41"/>
      <c r="D1382" s="42"/>
      <c r="E1382" s="43"/>
      <c r="F1382" s="43"/>
      <c r="G1382" s="43"/>
      <c r="H1382" s="41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43"/>
      <c r="U1382" s="43"/>
      <c r="V1382" s="43"/>
      <c r="W1382" s="43"/>
      <c r="X1382" s="43"/>
      <c r="Y1382" s="43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</row>
    <row r="1383" spans="1:60" ht="16">
      <c r="A1383" s="41"/>
      <c r="B1383" s="41"/>
      <c r="C1383" s="41"/>
      <c r="D1383" s="42"/>
      <c r="E1383" s="43"/>
      <c r="F1383" s="43"/>
      <c r="G1383" s="43"/>
      <c r="H1383" s="41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</row>
    <row r="1384" spans="1:60" ht="16">
      <c r="A1384" s="41"/>
      <c r="B1384" s="41"/>
      <c r="C1384" s="41"/>
      <c r="D1384" s="42"/>
      <c r="E1384" s="43"/>
      <c r="F1384" s="43"/>
      <c r="G1384" s="43"/>
      <c r="H1384" s="41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43"/>
      <c r="U1384" s="43"/>
      <c r="V1384" s="43"/>
      <c r="W1384" s="43"/>
      <c r="X1384" s="43"/>
      <c r="Y1384" s="43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</row>
    <row r="1385" spans="1:60" ht="16">
      <c r="A1385" s="41"/>
      <c r="B1385" s="41"/>
      <c r="C1385" s="41"/>
      <c r="D1385" s="42"/>
      <c r="E1385" s="43"/>
      <c r="F1385" s="43"/>
      <c r="G1385" s="43"/>
      <c r="H1385" s="41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</row>
    <row r="1386" spans="1:60" ht="16">
      <c r="A1386" s="41"/>
      <c r="B1386" s="41"/>
      <c r="C1386" s="41"/>
      <c r="D1386" s="42"/>
      <c r="E1386" s="43"/>
      <c r="F1386" s="43"/>
      <c r="G1386" s="43"/>
      <c r="H1386" s="41"/>
      <c r="I1386" s="43"/>
      <c r="J1386" s="43"/>
      <c r="K1386" s="43"/>
      <c r="L1386" s="43"/>
      <c r="M1386" s="43"/>
      <c r="N1386" s="43"/>
      <c r="O1386" s="43"/>
      <c r="P1386" s="43"/>
      <c r="Q1386" s="43"/>
      <c r="R1386" s="43"/>
      <c r="S1386" s="43"/>
      <c r="T1386" s="43"/>
      <c r="U1386" s="43"/>
      <c r="V1386" s="43"/>
      <c r="W1386" s="43"/>
      <c r="X1386" s="43"/>
      <c r="Y1386" s="43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</row>
    <row r="1387" spans="1:60" ht="16">
      <c r="A1387" s="41"/>
      <c r="B1387" s="41"/>
      <c r="C1387" s="41"/>
      <c r="D1387" s="42"/>
      <c r="E1387" s="43"/>
      <c r="F1387" s="43"/>
      <c r="G1387" s="43"/>
      <c r="H1387" s="41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</row>
    <row r="1388" spans="1:60" ht="16">
      <c r="A1388" s="41"/>
      <c r="B1388" s="41"/>
      <c r="C1388" s="41"/>
      <c r="D1388" s="42"/>
      <c r="E1388" s="43"/>
      <c r="F1388" s="43"/>
      <c r="G1388" s="43"/>
      <c r="H1388" s="41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</row>
    <row r="1389" spans="1:60" ht="16">
      <c r="A1389" s="41"/>
      <c r="B1389" s="41"/>
      <c r="C1389" s="41"/>
      <c r="D1389" s="42"/>
      <c r="E1389" s="43"/>
      <c r="F1389" s="43"/>
      <c r="G1389" s="43"/>
      <c r="H1389" s="41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</row>
    <row r="1390" spans="1:60" ht="16">
      <c r="A1390" s="41"/>
      <c r="B1390" s="41"/>
      <c r="C1390" s="41"/>
      <c r="D1390" s="42"/>
      <c r="E1390" s="43"/>
      <c r="F1390" s="43"/>
      <c r="G1390" s="43"/>
      <c r="H1390" s="41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</row>
    <row r="1391" spans="1:60" ht="16">
      <c r="A1391" s="41"/>
      <c r="B1391" s="41"/>
      <c r="C1391" s="41"/>
      <c r="D1391" s="42"/>
      <c r="E1391" s="43"/>
      <c r="F1391" s="43"/>
      <c r="G1391" s="43"/>
      <c r="H1391" s="41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  <c r="U1391" s="43"/>
      <c r="V1391" s="43"/>
      <c r="W1391" s="43"/>
      <c r="X1391" s="43"/>
      <c r="Y1391" s="43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</row>
    <row r="1392" spans="1:60" ht="16">
      <c r="A1392" s="41"/>
      <c r="B1392" s="41"/>
      <c r="C1392" s="41"/>
      <c r="D1392" s="42"/>
      <c r="E1392" s="43"/>
      <c r="F1392" s="43"/>
      <c r="G1392" s="43"/>
      <c r="H1392" s="41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</row>
    <row r="1393" spans="1:60" ht="16">
      <c r="A1393" s="41"/>
      <c r="B1393" s="41"/>
      <c r="C1393" s="41"/>
      <c r="D1393" s="42"/>
      <c r="E1393" s="43"/>
      <c r="F1393" s="43"/>
      <c r="G1393" s="43"/>
      <c r="H1393" s="41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</row>
    <row r="1394" spans="1:60" ht="16">
      <c r="A1394" s="41"/>
      <c r="B1394" s="41"/>
      <c r="C1394" s="41"/>
      <c r="D1394" s="42"/>
      <c r="E1394" s="43"/>
      <c r="F1394" s="43"/>
      <c r="G1394" s="43"/>
      <c r="H1394" s="41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  <c r="U1394" s="43"/>
      <c r="V1394" s="43"/>
      <c r="W1394" s="43"/>
      <c r="X1394" s="43"/>
      <c r="Y1394" s="43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</row>
    <row r="1395" spans="1:60" ht="16">
      <c r="A1395" s="41"/>
      <c r="B1395" s="41"/>
      <c r="C1395" s="41"/>
      <c r="D1395" s="42"/>
      <c r="E1395" s="43"/>
      <c r="F1395" s="43"/>
      <c r="G1395" s="43"/>
      <c r="H1395" s="41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</row>
    <row r="1396" spans="1:60" ht="16">
      <c r="A1396" s="41"/>
      <c r="B1396" s="41"/>
      <c r="C1396" s="41"/>
      <c r="D1396" s="42"/>
      <c r="E1396" s="43"/>
      <c r="F1396" s="43"/>
      <c r="G1396" s="43"/>
      <c r="H1396" s="41"/>
      <c r="I1396" s="43"/>
      <c r="J1396" s="43"/>
      <c r="K1396" s="43"/>
      <c r="L1396" s="43"/>
      <c r="M1396" s="43"/>
      <c r="N1396" s="43"/>
      <c r="O1396" s="43"/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</row>
    <row r="1397" spans="1:60" ht="16">
      <c r="A1397" s="41"/>
      <c r="B1397" s="41"/>
      <c r="C1397" s="41"/>
      <c r="D1397" s="42"/>
      <c r="E1397" s="43"/>
      <c r="F1397" s="43"/>
      <c r="G1397" s="43"/>
      <c r="H1397" s="41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  <c r="U1397" s="43"/>
      <c r="V1397" s="43"/>
      <c r="W1397" s="43"/>
      <c r="X1397" s="43"/>
      <c r="Y1397" s="43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</row>
    <row r="1398" spans="1:60" ht="16">
      <c r="A1398" s="41"/>
      <c r="B1398" s="41"/>
      <c r="C1398" s="41"/>
      <c r="D1398" s="42"/>
      <c r="E1398" s="43"/>
      <c r="F1398" s="43"/>
      <c r="G1398" s="43"/>
      <c r="H1398" s="41"/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43"/>
      <c r="U1398" s="43"/>
      <c r="V1398" s="43"/>
      <c r="W1398" s="43"/>
      <c r="X1398" s="43"/>
      <c r="Y1398" s="43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</row>
    <row r="1399" spans="1:60" ht="16">
      <c r="A1399" s="41"/>
      <c r="B1399" s="41"/>
      <c r="C1399" s="41"/>
      <c r="D1399" s="42"/>
      <c r="E1399" s="43"/>
      <c r="F1399" s="43"/>
      <c r="G1399" s="43"/>
      <c r="H1399" s="41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</row>
    <row r="1400" spans="1:60" ht="16">
      <c r="A1400" s="41"/>
      <c r="B1400" s="41"/>
      <c r="C1400" s="41"/>
      <c r="D1400" s="42"/>
      <c r="E1400" s="43"/>
      <c r="F1400" s="43"/>
      <c r="G1400" s="43"/>
      <c r="H1400" s="41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</row>
    <row r="1401" spans="1:60" ht="16">
      <c r="A1401" s="41"/>
      <c r="B1401" s="41"/>
      <c r="C1401" s="41"/>
      <c r="D1401" s="42"/>
      <c r="E1401" s="43"/>
      <c r="F1401" s="43"/>
      <c r="G1401" s="43"/>
      <c r="H1401" s="41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</row>
    <row r="1402" spans="1:60" ht="16">
      <c r="A1402" s="41"/>
      <c r="B1402" s="41"/>
      <c r="C1402" s="41"/>
      <c r="D1402" s="42"/>
      <c r="E1402" s="43"/>
      <c r="F1402" s="43"/>
      <c r="G1402" s="43"/>
      <c r="H1402" s="41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</row>
    <row r="1403" spans="1:60" ht="16">
      <c r="A1403" s="41"/>
      <c r="B1403" s="41"/>
      <c r="C1403" s="41"/>
      <c r="D1403" s="42"/>
      <c r="E1403" s="43"/>
      <c r="F1403" s="43"/>
      <c r="G1403" s="43"/>
      <c r="H1403" s="41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  <c r="U1403" s="43"/>
      <c r="V1403" s="43"/>
      <c r="W1403" s="43"/>
      <c r="X1403" s="43"/>
      <c r="Y1403" s="43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</row>
    <row r="1404" spans="1:60" ht="16">
      <c r="A1404" s="41"/>
      <c r="B1404" s="41"/>
      <c r="C1404" s="41"/>
      <c r="D1404" s="42"/>
      <c r="E1404" s="43"/>
      <c r="F1404" s="43"/>
      <c r="G1404" s="43"/>
      <c r="H1404" s="41"/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</row>
    <row r="1405" spans="1:60" ht="16">
      <c r="A1405" s="41"/>
      <c r="B1405" s="41"/>
      <c r="C1405" s="41"/>
      <c r="D1405" s="42"/>
      <c r="E1405" s="43"/>
      <c r="F1405" s="43"/>
      <c r="G1405" s="43"/>
      <c r="H1405" s="41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</row>
    <row r="1406" spans="1:60" ht="16">
      <c r="A1406" s="41"/>
      <c r="B1406" s="41"/>
      <c r="C1406" s="41"/>
      <c r="D1406" s="42"/>
      <c r="E1406" s="43"/>
      <c r="F1406" s="43"/>
      <c r="G1406" s="43"/>
      <c r="H1406" s="41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43"/>
      <c r="U1406" s="43"/>
      <c r="V1406" s="43"/>
      <c r="W1406" s="43"/>
      <c r="X1406" s="43"/>
      <c r="Y1406" s="43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</row>
    <row r="1407" spans="1:60" ht="16">
      <c r="A1407" s="41"/>
      <c r="B1407" s="41"/>
      <c r="C1407" s="41"/>
      <c r="D1407" s="42"/>
      <c r="E1407" s="43"/>
      <c r="F1407" s="43"/>
      <c r="G1407" s="43"/>
      <c r="H1407" s="41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</row>
    <row r="1408" spans="1:60" ht="16">
      <c r="A1408" s="41"/>
      <c r="B1408" s="41"/>
      <c r="C1408" s="41"/>
      <c r="D1408" s="42"/>
      <c r="E1408" s="43"/>
      <c r="F1408" s="43"/>
      <c r="G1408" s="43"/>
      <c r="H1408" s="41"/>
      <c r="I1408" s="43"/>
      <c r="J1408" s="43"/>
      <c r="K1408" s="43"/>
      <c r="L1408" s="43"/>
      <c r="M1408" s="43"/>
      <c r="N1408" s="43"/>
      <c r="O1408" s="43"/>
      <c r="P1408" s="43"/>
      <c r="Q1408" s="43"/>
      <c r="R1408" s="43"/>
      <c r="S1408" s="43"/>
      <c r="T1408" s="43"/>
      <c r="U1408" s="43"/>
      <c r="V1408" s="43"/>
      <c r="W1408" s="43"/>
      <c r="X1408" s="43"/>
      <c r="Y1408" s="43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</row>
    <row r="1409" spans="1:60" ht="16">
      <c r="A1409" s="41"/>
      <c r="B1409" s="41"/>
      <c r="C1409" s="41"/>
      <c r="D1409" s="42"/>
      <c r="E1409" s="43"/>
      <c r="F1409" s="43"/>
      <c r="G1409" s="43"/>
      <c r="H1409" s="41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</row>
    <row r="1410" spans="1:60" ht="16">
      <c r="A1410" s="41"/>
      <c r="B1410" s="41"/>
      <c r="C1410" s="41"/>
      <c r="D1410" s="42"/>
      <c r="E1410" s="43"/>
      <c r="F1410" s="43"/>
      <c r="G1410" s="43"/>
      <c r="H1410" s="41"/>
      <c r="I1410" s="43"/>
      <c r="J1410" s="43"/>
      <c r="K1410" s="43"/>
      <c r="L1410" s="43"/>
      <c r="M1410" s="43"/>
      <c r="N1410" s="43"/>
      <c r="O1410" s="43"/>
      <c r="P1410" s="43"/>
      <c r="Q1410" s="43"/>
      <c r="R1410" s="43"/>
      <c r="S1410" s="43"/>
      <c r="T1410" s="43"/>
      <c r="U1410" s="43"/>
      <c r="V1410" s="43"/>
      <c r="W1410" s="43"/>
      <c r="X1410" s="43"/>
      <c r="Y1410" s="43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</row>
    <row r="1411" spans="1:60" ht="16">
      <c r="A1411" s="41"/>
      <c r="B1411" s="41"/>
      <c r="C1411" s="41"/>
      <c r="D1411" s="42"/>
      <c r="E1411" s="43"/>
      <c r="F1411" s="43"/>
      <c r="G1411" s="43"/>
      <c r="H1411" s="41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</row>
    <row r="1412" spans="1:60" ht="16">
      <c r="A1412" s="41"/>
      <c r="B1412" s="41"/>
      <c r="C1412" s="41"/>
      <c r="D1412" s="42"/>
      <c r="E1412" s="43"/>
      <c r="F1412" s="43"/>
      <c r="G1412" s="43"/>
      <c r="H1412" s="41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43"/>
      <c r="U1412" s="43"/>
      <c r="V1412" s="43"/>
      <c r="W1412" s="43"/>
      <c r="X1412" s="43"/>
      <c r="Y1412" s="43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</row>
    <row r="1413" spans="1:60" ht="16">
      <c r="A1413" s="41"/>
      <c r="B1413" s="41"/>
      <c r="C1413" s="41"/>
      <c r="D1413" s="42"/>
      <c r="E1413" s="43"/>
      <c r="F1413" s="43"/>
      <c r="G1413" s="43"/>
      <c r="H1413" s="41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  <c r="U1413" s="43"/>
      <c r="V1413" s="43"/>
      <c r="W1413" s="43"/>
      <c r="X1413" s="43"/>
      <c r="Y1413" s="43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</row>
    <row r="1414" spans="1:60" ht="16">
      <c r="A1414" s="41"/>
      <c r="B1414" s="41"/>
      <c r="C1414" s="41"/>
      <c r="D1414" s="42"/>
      <c r="E1414" s="43"/>
      <c r="F1414" s="43"/>
      <c r="G1414" s="43"/>
      <c r="H1414" s="41"/>
      <c r="I1414" s="43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</row>
    <row r="1415" spans="1:60" ht="16">
      <c r="A1415" s="41"/>
      <c r="B1415" s="41"/>
      <c r="C1415" s="41"/>
      <c r="D1415" s="42"/>
      <c r="E1415" s="43"/>
      <c r="F1415" s="43"/>
      <c r="G1415" s="43"/>
      <c r="H1415" s="41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</row>
    <row r="1416" spans="1:60" ht="16">
      <c r="A1416" s="41"/>
      <c r="B1416" s="41"/>
      <c r="C1416" s="41"/>
      <c r="D1416" s="42"/>
      <c r="E1416" s="43"/>
      <c r="F1416" s="43"/>
      <c r="G1416" s="43"/>
      <c r="H1416" s="41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  <c r="S1416" s="43"/>
      <c r="T1416" s="43"/>
      <c r="U1416" s="43"/>
      <c r="V1416" s="43"/>
      <c r="W1416" s="43"/>
      <c r="X1416" s="43"/>
      <c r="Y1416" s="43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</row>
    <row r="1417" spans="1:60" ht="16">
      <c r="A1417" s="41"/>
      <c r="B1417" s="41"/>
      <c r="C1417" s="41"/>
      <c r="D1417" s="42"/>
      <c r="E1417" s="43"/>
      <c r="F1417" s="43"/>
      <c r="G1417" s="43"/>
      <c r="H1417" s="41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3"/>
      <c r="U1417" s="43"/>
      <c r="V1417" s="43"/>
      <c r="W1417" s="43"/>
      <c r="X1417" s="43"/>
      <c r="Y1417" s="43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</row>
    <row r="1418" spans="1:60" ht="16">
      <c r="A1418" s="41"/>
      <c r="B1418" s="41"/>
      <c r="C1418" s="41"/>
      <c r="D1418" s="42"/>
      <c r="E1418" s="43"/>
      <c r="F1418" s="43"/>
      <c r="G1418" s="43"/>
      <c r="H1418" s="41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43"/>
      <c r="U1418" s="43"/>
      <c r="V1418" s="43"/>
      <c r="W1418" s="43"/>
      <c r="X1418" s="43"/>
      <c r="Y1418" s="43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</row>
    <row r="1419" spans="1:60" ht="16">
      <c r="A1419" s="41"/>
      <c r="B1419" s="41"/>
      <c r="C1419" s="41"/>
      <c r="D1419" s="42"/>
      <c r="E1419" s="43"/>
      <c r="F1419" s="43"/>
      <c r="G1419" s="43"/>
      <c r="H1419" s="41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  <c r="U1419" s="43"/>
      <c r="V1419" s="43"/>
      <c r="W1419" s="43"/>
      <c r="X1419" s="43"/>
      <c r="Y1419" s="43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</row>
    <row r="1420" spans="1:60" ht="16">
      <c r="A1420" s="41"/>
      <c r="B1420" s="41"/>
      <c r="C1420" s="41"/>
      <c r="D1420" s="42"/>
      <c r="E1420" s="43"/>
      <c r="F1420" s="43"/>
      <c r="G1420" s="43"/>
      <c r="H1420" s="41"/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</row>
    <row r="1421" spans="1:60" ht="16">
      <c r="A1421" s="41"/>
      <c r="B1421" s="41"/>
      <c r="C1421" s="41"/>
      <c r="D1421" s="42"/>
      <c r="E1421" s="43"/>
      <c r="F1421" s="43"/>
      <c r="G1421" s="43"/>
      <c r="H1421" s="41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</row>
    <row r="1422" spans="1:60" ht="16">
      <c r="A1422" s="41"/>
      <c r="B1422" s="41"/>
      <c r="C1422" s="41"/>
      <c r="D1422" s="42"/>
      <c r="E1422" s="43"/>
      <c r="F1422" s="43"/>
      <c r="G1422" s="43"/>
      <c r="H1422" s="41"/>
      <c r="I1422" s="43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3"/>
      <c r="X1422" s="43"/>
      <c r="Y1422" s="43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</row>
    <row r="1423" spans="1:60" ht="16">
      <c r="A1423" s="41"/>
      <c r="B1423" s="41"/>
      <c r="C1423" s="41"/>
      <c r="D1423" s="42"/>
      <c r="E1423" s="43"/>
      <c r="F1423" s="43"/>
      <c r="G1423" s="43"/>
      <c r="H1423" s="41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  <c r="U1423" s="43"/>
      <c r="V1423" s="43"/>
      <c r="W1423" s="43"/>
      <c r="X1423" s="43"/>
      <c r="Y1423" s="43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</row>
    <row r="1424" spans="1:60" ht="16">
      <c r="A1424" s="41"/>
      <c r="B1424" s="41"/>
      <c r="C1424" s="41"/>
      <c r="D1424" s="42"/>
      <c r="E1424" s="43"/>
      <c r="F1424" s="43"/>
      <c r="G1424" s="43"/>
      <c r="H1424" s="41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43"/>
      <c r="U1424" s="43"/>
      <c r="V1424" s="43"/>
      <c r="W1424" s="43"/>
      <c r="X1424" s="43"/>
      <c r="Y1424" s="43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</row>
    <row r="1425" spans="1:60" ht="16">
      <c r="A1425" s="41"/>
      <c r="B1425" s="41"/>
      <c r="C1425" s="41"/>
      <c r="D1425" s="42"/>
      <c r="E1425" s="43"/>
      <c r="F1425" s="43"/>
      <c r="G1425" s="43"/>
      <c r="H1425" s="41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3"/>
      <c r="U1425" s="43"/>
      <c r="V1425" s="43"/>
      <c r="W1425" s="43"/>
      <c r="X1425" s="43"/>
      <c r="Y1425" s="43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</row>
    <row r="1426" spans="1:60" ht="16">
      <c r="A1426" s="41"/>
      <c r="B1426" s="41"/>
      <c r="C1426" s="41"/>
      <c r="D1426" s="42"/>
      <c r="E1426" s="43"/>
      <c r="F1426" s="43"/>
      <c r="G1426" s="43"/>
      <c r="H1426" s="41"/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43"/>
      <c r="U1426" s="43"/>
      <c r="V1426" s="43"/>
      <c r="W1426" s="43"/>
      <c r="X1426" s="43"/>
      <c r="Y1426" s="43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</row>
    <row r="1427" spans="1:60" ht="16">
      <c r="A1427" s="41"/>
      <c r="B1427" s="41"/>
      <c r="C1427" s="41"/>
      <c r="D1427" s="42"/>
      <c r="E1427" s="43"/>
      <c r="F1427" s="43"/>
      <c r="G1427" s="43"/>
      <c r="H1427" s="41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</row>
    <row r="1428" spans="1:60" ht="16">
      <c r="A1428" s="41"/>
      <c r="B1428" s="41"/>
      <c r="C1428" s="41"/>
      <c r="D1428" s="42"/>
      <c r="E1428" s="43"/>
      <c r="F1428" s="43"/>
      <c r="G1428" s="43"/>
      <c r="H1428" s="41"/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43"/>
      <c r="U1428" s="43"/>
      <c r="V1428" s="43"/>
      <c r="W1428" s="43"/>
      <c r="X1428" s="43"/>
      <c r="Y1428" s="43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</row>
    <row r="1429" spans="1:60" ht="16">
      <c r="A1429" s="41"/>
      <c r="B1429" s="41"/>
      <c r="C1429" s="41"/>
      <c r="D1429" s="42"/>
      <c r="E1429" s="43"/>
      <c r="F1429" s="43"/>
      <c r="G1429" s="43"/>
      <c r="H1429" s="41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</row>
    <row r="1430" spans="1:60" ht="16">
      <c r="A1430" s="41"/>
      <c r="B1430" s="41"/>
      <c r="C1430" s="41"/>
      <c r="D1430" s="42"/>
      <c r="E1430" s="43"/>
      <c r="F1430" s="43"/>
      <c r="G1430" s="43"/>
      <c r="H1430" s="41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</row>
    <row r="1431" spans="1:60" ht="16">
      <c r="A1431" s="41"/>
      <c r="B1431" s="41"/>
      <c r="C1431" s="41"/>
      <c r="D1431" s="42"/>
      <c r="E1431" s="43"/>
      <c r="F1431" s="43"/>
      <c r="G1431" s="43"/>
      <c r="H1431" s="41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3"/>
      <c r="U1431" s="43"/>
      <c r="V1431" s="43"/>
      <c r="W1431" s="43"/>
      <c r="X1431" s="43"/>
      <c r="Y1431" s="43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</row>
    <row r="1432" spans="1:60" ht="16">
      <c r="A1432" s="41"/>
      <c r="B1432" s="41"/>
      <c r="C1432" s="41"/>
      <c r="D1432" s="42"/>
      <c r="E1432" s="43"/>
      <c r="F1432" s="43"/>
      <c r="G1432" s="43"/>
      <c r="H1432" s="41"/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43"/>
      <c r="U1432" s="43"/>
      <c r="V1432" s="43"/>
      <c r="W1432" s="43"/>
      <c r="X1432" s="43"/>
      <c r="Y1432" s="43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</row>
    <row r="1433" spans="1:60" ht="16">
      <c r="A1433" s="41"/>
      <c r="B1433" s="41"/>
      <c r="C1433" s="41"/>
      <c r="D1433" s="42"/>
      <c r="E1433" s="43"/>
      <c r="F1433" s="43"/>
      <c r="G1433" s="43"/>
      <c r="H1433" s="41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</row>
    <row r="1434" spans="1:60" ht="16">
      <c r="A1434" s="41"/>
      <c r="B1434" s="41"/>
      <c r="C1434" s="41"/>
      <c r="D1434" s="42"/>
      <c r="E1434" s="43"/>
      <c r="F1434" s="43"/>
      <c r="G1434" s="43"/>
      <c r="H1434" s="41"/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</row>
    <row r="1435" spans="1:60" ht="16">
      <c r="A1435" s="41"/>
      <c r="B1435" s="41"/>
      <c r="C1435" s="41"/>
      <c r="D1435" s="42"/>
      <c r="E1435" s="43"/>
      <c r="F1435" s="43"/>
      <c r="G1435" s="43"/>
      <c r="H1435" s="41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</row>
    <row r="1436" spans="1:60" ht="16">
      <c r="A1436" s="41"/>
      <c r="B1436" s="41"/>
      <c r="C1436" s="41"/>
      <c r="D1436" s="42"/>
      <c r="E1436" s="43"/>
      <c r="F1436" s="43"/>
      <c r="G1436" s="43"/>
      <c r="H1436" s="41"/>
      <c r="I1436" s="43"/>
      <c r="J1436" s="43"/>
      <c r="K1436" s="43"/>
      <c r="L1436" s="43"/>
      <c r="M1436" s="43"/>
      <c r="N1436" s="43"/>
      <c r="O1436" s="43"/>
      <c r="P1436" s="43"/>
      <c r="Q1436" s="43"/>
      <c r="R1436" s="43"/>
      <c r="S1436" s="43"/>
      <c r="T1436" s="43"/>
      <c r="U1436" s="43"/>
      <c r="V1436" s="43"/>
      <c r="W1436" s="43"/>
      <c r="X1436" s="43"/>
      <c r="Y1436" s="43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</row>
    <row r="1437" spans="1:60" ht="16">
      <c r="A1437" s="41"/>
      <c r="B1437" s="41"/>
      <c r="C1437" s="41"/>
      <c r="D1437" s="42"/>
      <c r="E1437" s="43"/>
      <c r="F1437" s="43"/>
      <c r="G1437" s="43"/>
      <c r="H1437" s="41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</row>
    <row r="1438" spans="1:60" ht="16">
      <c r="A1438" s="41"/>
      <c r="B1438" s="41"/>
      <c r="C1438" s="41"/>
      <c r="D1438" s="42"/>
      <c r="E1438" s="43"/>
      <c r="F1438" s="43"/>
      <c r="G1438" s="43"/>
      <c r="H1438" s="41"/>
      <c r="I1438" s="43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</row>
    <row r="1439" spans="1:60" ht="16">
      <c r="A1439" s="41"/>
      <c r="B1439" s="41"/>
      <c r="C1439" s="41"/>
      <c r="D1439" s="42"/>
      <c r="E1439" s="43"/>
      <c r="F1439" s="43"/>
      <c r="G1439" s="43"/>
      <c r="H1439" s="41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</row>
    <row r="1440" spans="1:60" ht="16">
      <c r="A1440" s="41"/>
      <c r="B1440" s="41"/>
      <c r="C1440" s="41"/>
      <c r="D1440" s="42"/>
      <c r="E1440" s="43"/>
      <c r="F1440" s="43"/>
      <c r="G1440" s="43"/>
      <c r="H1440" s="41"/>
      <c r="I1440" s="43"/>
      <c r="J1440" s="43"/>
      <c r="K1440" s="43"/>
      <c r="L1440" s="43"/>
      <c r="M1440" s="43"/>
      <c r="N1440" s="43"/>
      <c r="O1440" s="43"/>
      <c r="P1440" s="43"/>
      <c r="Q1440" s="43"/>
      <c r="R1440" s="43"/>
      <c r="S1440" s="43"/>
      <c r="T1440" s="43"/>
      <c r="U1440" s="43"/>
      <c r="V1440" s="43"/>
      <c r="W1440" s="43"/>
      <c r="X1440" s="43"/>
      <c r="Y1440" s="43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</row>
    <row r="1441" spans="1:60" ht="16">
      <c r="A1441" s="41"/>
      <c r="B1441" s="41"/>
      <c r="C1441" s="41"/>
      <c r="D1441" s="42"/>
      <c r="E1441" s="43"/>
      <c r="F1441" s="43"/>
      <c r="G1441" s="43"/>
      <c r="H1441" s="41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3"/>
      <c r="U1441" s="43"/>
      <c r="V1441" s="43"/>
      <c r="W1441" s="43"/>
      <c r="X1441" s="43"/>
      <c r="Y1441" s="43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</row>
    <row r="1442" spans="1:60" ht="16">
      <c r="A1442" s="41"/>
      <c r="B1442" s="41"/>
      <c r="C1442" s="41"/>
      <c r="D1442" s="42"/>
      <c r="E1442" s="43"/>
      <c r="F1442" s="43"/>
      <c r="G1442" s="43"/>
      <c r="H1442" s="41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43"/>
      <c r="U1442" s="43"/>
      <c r="V1442" s="43"/>
      <c r="W1442" s="43"/>
      <c r="X1442" s="43"/>
      <c r="Y1442" s="43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</row>
    <row r="1443" spans="1:60" ht="16">
      <c r="A1443" s="41"/>
      <c r="B1443" s="41"/>
      <c r="C1443" s="41"/>
      <c r="D1443" s="42"/>
      <c r="E1443" s="43"/>
      <c r="F1443" s="43"/>
      <c r="G1443" s="43"/>
      <c r="H1443" s="41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</row>
    <row r="1444" spans="1:60" ht="16">
      <c r="A1444" s="41"/>
      <c r="B1444" s="41"/>
      <c r="C1444" s="41"/>
      <c r="D1444" s="42"/>
      <c r="E1444" s="43"/>
      <c r="F1444" s="43"/>
      <c r="G1444" s="43"/>
      <c r="H1444" s="41"/>
      <c r="I1444" s="43"/>
      <c r="J1444" s="43"/>
      <c r="K1444" s="43"/>
      <c r="L1444" s="43"/>
      <c r="M1444" s="43"/>
      <c r="N1444" s="43"/>
      <c r="O1444" s="43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</row>
    <row r="1445" spans="1:60" ht="16">
      <c r="A1445" s="41"/>
      <c r="B1445" s="41"/>
      <c r="C1445" s="41"/>
      <c r="D1445" s="42"/>
      <c r="E1445" s="43"/>
      <c r="F1445" s="43"/>
      <c r="G1445" s="43"/>
      <c r="H1445" s="41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</row>
    <row r="1446" spans="1:60" ht="16">
      <c r="A1446" s="41"/>
      <c r="B1446" s="41"/>
      <c r="C1446" s="41"/>
      <c r="D1446" s="42"/>
      <c r="E1446" s="43"/>
      <c r="F1446" s="43"/>
      <c r="G1446" s="43"/>
      <c r="H1446" s="41"/>
      <c r="I1446" s="43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43"/>
      <c r="U1446" s="43"/>
      <c r="V1446" s="43"/>
      <c r="W1446" s="43"/>
      <c r="X1446" s="43"/>
      <c r="Y1446" s="43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</row>
    <row r="1447" spans="1:60" ht="16">
      <c r="A1447" s="41"/>
      <c r="B1447" s="41"/>
      <c r="C1447" s="41"/>
      <c r="D1447" s="42"/>
      <c r="E1447" s="43"/>
      <c r="F1447" s="43"/>
      <c r="G1447" s="43"/>
      <c r="H1447" s="41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3"/>
      <c r="U1447" s="43"/>
      <c r="V1447" s="43"/>
      <c r="W1447" s="43"/>
      <c r="X1447" s="43"/>
      <c r="Y1447" s="43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</row>
    <row r="1448" spans="1:60" ht="16">
      <c r="A1448" s="41"/>
      <c r="B1448" s="41"/>
      <c r="C1448" s="41"/>
      <c r="D1448" s="42"/>
      <c r="E1448" s="43"/>
      <c r="F1448" s="43"/>
      <c r="G1448" s="43"/>
      <c r="H1448" s="41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43"/>
      <c r="U1448" s="43"/>
      <c r="V1448" s="43"/>
      <c r="W1448" s="43"/>
      <c r="X1448" s="43"/>
      <c r="Y1448" s="43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</row>
    <row r="1449" spans="1:60" ht="16">
      <c r="A1449" s="41"/>
      <c r="B1449" s="41"/>
      <c r="C1449" s="41"/>
      <c r="D1449" s="42"/>
      <c r="E1449" s="43"/>
      <c r="F1449" s="43"/>
      <c r="G1449" s="43"/>
      <c r="H1449" s="41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</row>
    <row r="1450" spans="1:60" ht="16">
      <c r="A1450" s="41"/>
      <c r="B1450" s="41"/>
      <c r="C1450" s="41"/>
      <c r="D1450" s="42"/>
      <c r="E1450" s="43"/>
      <c r="F1450" s="43"/>
      <c r="G1450" s="43"/>
      <c r="H1450" s="41"/>
      <c r="I1450" s="43"/>
      <c r="J1450" s="43"/>
      <c r="K1450" s="43"/>
      <c r="L1450" s="43"/>
      <c r="M1450" s="43"/>
      <c r="N1450" s="43"/>
      <c r="O1450" s="43"/>
      <c r="P1450" s="43"/>
      <c r="Q1450" s="43"/>
      <c r="R1450" s="43"/>
      <c r="S1450" s="43"/>
      <c r="T1450" s="43"/>
      <c r="U1450" s="43"/>
      <c r="V1450" s="43"/>
      <c r="W1450" s="43"/>
      <c r="X1450" s="43"/>
      <c r="Y1450" s="43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</row>
    <row r="1451" spans="1:60" ht="16">
      <c r="A1451" s="41"/>
      <c r="B1451" s="41"/>
      <c r="C1451" s="41"/>
      <c r="D1451" s="42"/>
      <c r="E1451" s="43"/>
      <c r="F1451" s="43"/>
      <c r="G1451" s="43"/>
      <c r="H1451" s="41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</row>
    <row r="1452" spans="1:60" ht="16">
      <c r="A1452" s="41"/>
      <c r="B1452" s="41"/>
      <c r="C1452" s="41"/>
      <c r="D1452" s="42"/>
      <c r="E1452" s="43"/>
      <c r="F1452" s="43"/>
      <c r="G1452" s="43"/>
      <c r="H1452" s="41"/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</row>
    <row r="1453" spans="1:60" ht="16">
      <c r="A1453" s="41"/>
      <c r="B1453" s="41"/>
      <c r="C1453" s="41"/>
      <c r="D1453" s="42"/>
      <c r="E1453" s="43"/>
      <c r="F1453" s="43"/>
      <c r="G1453" s="43"/>
      <c r="H1453" s="41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  <c r="U1453" s="43"/>
      <c r="V1453" s="43"/>
      <c r="W1453" s="43"/>
      <c r="X1453" s="43"/>
      <c r="Y1453" s="43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</row>
    <row r="1454" spans="1:60" ht="16">
      <c r="A1454" s="41"/>
      <c r="B1454" s="41"/>
      <c r="C1454" s="41"/>
      <c r="D1454" s="42"/>
      <c r="E1454" s="43"/>
      <c r="F1454" s="43"/>
      <c r="G1454" s="43"/>
      <c r="H1454" s="41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3"/>
      <c r="W1454" s="43"/>
      <c r="X1454" s="43"/>
      <c r="Y1454" s="43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</row>
    <row r="1455" spans="1:60" ht="16">
      <c r="A1455" s="41"/>
      <c r="B1455" s="41"/>
      <c r="C1455" s="41"/>
      <c r="D1455" s="42"/>
      <c r="E1455" s="43"/>
      <c r="F1455" s="43"/>
      <c r="G1455" s="43"/>
      <c r="H1455" s="41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</row>
    <row r="1456" spans="1:60" ht="16">
      <c r="A1456" s="41"/>
      <c r="B1456" s="41"/>
      <c r="C1456" s="41"/>
      <c r="D1456" s="42"/>
      <c r="E1456" s="43"/>
      <c r="F1456" s="43"/>
      <c r="G1456" s="43"/>
      <c r="H1456" s="41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43"/>
      <c r="U1456" s="43"/>
      <c r="V1456" s="43"/>
      <c r="W1456" s="43"/>
      <c r="X1456" s="43"/>
      <c r="Y1456" s="43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</row>
    <row r="1457" spans="1:60" ht="16">
      <c r="A1457" s="41"/>
      <c r="B1457" s="41"/>
      <c r="C1457" s="41"/>
      <c r="D1457" s="42"/>
      <c r="E1457" s="43"/>
      <c r="F1457" s="43"/>
      <c r="G1457" s="43"/>
      <c r="H1457" s="41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</row>
    <row r="1458" spans="1:60" ht="16">
      <c r="A1458" s="41"/>
      <c r="B1458" s="41"/>
      <c r="C1458" s="41"/>
      <c r="D1458" s="42"/>
      <c r="E1458" s="43"/>
      <c r="F1458" s="43"/>
      <c r="G1458" s="43"/>
      <c r="H1458" s="41"/>
      <c r="I1458" s="43"/>
      <c r="J1458" s="43"/>
      <c r="K1458" s="43"/>
      <c r="L1458" s="43"/>
      <c r="M1458" s="43"/>
      <c r="N1458" s="43"/>
      <c r="O1458" s="43"/>
      <c r="P1458" s="43"/>
      <c r="Q1458" s="43"/>
      <c r="R1458" s="43"/>
      <c r="S1458" s="43"/>
      <c r="T1458" s="43"/>
      <c r="U1458" s="43"/>
      <c r="V1458" s="43"/>
      <c r="W1458" s="43"/>
      <c r="X1458" s="43"/>
      <c r="Y1458" s="43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</row>
    <row r="1459" spans="1:60" ht="16">
      <c r="A1459" s="41"/>
      <c r="B1459" s="41"/>
      <c r="C1459" s="41"/>
      <c r="D1459" s="42"/>
      <c r="E1459" s="43"/>
      <c r="F1459" s="43"/>
      <c r="G1459" s="43"/>
      <c r="H1459" s="41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</row>
    <row r="1460" spans="1:60" ht="16">
      <c r="A1460" s="41"/>
      <c r="B1460" s="41"/>
      <c r="C1460" s="41"/>
      <c r="D1460" s="42"/>
      <c r="E1460" s="43"/>
      <c r="F1460" s="43"/>
      <c r="G1460" s="43"/>
      <c r="H1460" s="41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3"/>
      <c r="W1460" s="43"/>
      <c r="X1460" s="43"/>
      <c r="Y1460" s="43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</row>
    <row r="1461" spans="1:60" ht="16">
      <c r="A1461" s="41"/>
      <c r="B1461" s="41"/>
      <c r="C1461" s="41"/>
      <c r="D1461" s="42"/>
      <c r="E1461" s="43"/>
      <c r="F1461" s="43"/>
      <c r="G1461" s="43"/>
      <c r="H1461" s="41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</row>
    <row r="1462" spans="1:60" ht="16">
      <c r="A1462" s="41"/>
      <c r="B1462" s="41"/>
      <c r="C1462" s="41"/>
      <c r="D1462" s="42"/>
      <c r="E1462" s="43"/>
      <c r="F1462" s="43"/>
      <c r="G1462" s="43"/>
      <c r="H1462" s="41"/>
      <c r="I1462" s="43"/>
      <c r="J1462" s="43"/>
      <c r="K1462" s="43"/>
      <c r="L1462" s="43"/>
      <c r="M1462" s="43"/>
      <c r="N1462" s="43"/>
      <c r="O1462" s="43"/>
      <c r="P1462" s="43"/>
      <c r="Q1462" s="43"/>
      <c r="R1462" s="43"/>
      <c r="S1462" s="43"/>
      <c r="T1462" s="43"/>
      <c r="U1462" s="43"/>
      <c r="V1462" s="43"/>
      <c r="W1462" s="43"/>
      <c r="X1462" s="43"/>
      <c r="Y1462" s="43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</row>
    <row r="1463" spans="1:60" ht="16">
      <c r="A1463" s="41"/>
      <c r="B1463" s="41"/>
      <c r="C1463" s="41"/>
      <c r="D1463" s="42"/>
      <c r="E1463" s="43"/>
      <c r="F1463" s="43"/>
      <c r="G1463" s="43"/>
      <c r="H1463" s="41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  <c r="U1463" s="43"/>
      <c r="V1463" s="43"/>
      <c r="W1463" s="43"/>
      <c r="X1463" s="43"/>
      <c r="Y1463" s="43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</row>
    <row r="1464" spans="1:60" ht="16">
      <c r="A1464" s="41"/>
      <c r="B1464" s="41"/>
      <c r="C1464" s="41"/>
      <c r="D1464" s="42"/>
      <c r="E1464" s="43"/>
      <c r="F1464" s="43"/>
      <c r="G1464" s="43"/>
      <c r="H1464" s="41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  <c r="T1464" s="43"/>
      <c r="U1464" s="43"/>
      <c r="V1464" s="43"/>
      <c r="W1464" s="43"/>
      <c r="X1464" s="43"/>
      <c r="Y1464" s="43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</row>
    <row r="1465" spans="1:60" ht="16">
      <c r="A1465" s="41"/>
      <c r="B1465" s="41"/>
      <c r="C1465" s="41"/>
      <c r="D1465" s="42"/>
      <c r="E1465" s="43"/>
      <c r="F1465" s="43"/>
      <c r="G1465" s="43"/>
      <c r="H1465" s="41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</row>
    <row r="1466" spans="1:60" ht="16">
      <c r="A1466" s="41"/>
      <c r="B1466" s="41"/>
      <c r="C1466" s="41"/>
      <c r="D1466" s="42"/>
      <c r="E1466" s="43"/>
      <c r="F1466" s="43"/>
      <c r="G1466" s="43"/>
      <c r="H1466" s="41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43"/>
      <c r="U1466" s="43"/>
      <c r="V1466" s="43"/>
      <c r="W1466" s="43"/>
      <c r="X1466" s="43"/>
      <c r="Y1466" s="43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</row>
    <row r="1467" spans="1:60" ht="16">
      <c r="A1467" s="41"/>
      <c r="B1467" s="41"/>
      <c r="C1467" s="41"/>
      <c r="D1467" s="42"/>
      <c r="E1467" s="43"/>
      <c r="F1467" s="43"/>
      <c r="G1467" s="43"/>
      <c r="H1467" s="41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  <c r="U1467" s="43"/>
      <c r="V1467" s="43"/>
      <c r="W1467" s="43"/>
      <c r="X1467" s="43"/>
      <c r="Y1467" s="43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</row>
    <row r="1468" spans="1:60" ht="16">
      <c r="A1468" s="41"/>
      <c r="B1468" s="41"/>
      <c r="C1468" s="41"/>
      <c r="D1468" s="42"/>
      <c r="E1468" s="43"/>
      <c r="F1468" s="43"/>
      <c r="G1468" s="43"/>
      <c r="H1468" s="41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</row>
    <row r="1469" spans="1:60" ht="16">
      <c r="A1469" s="41"/>
      <c r="B1469" s="41"/>
      <c r="C1469" s="41"/>
      <c r="D1469" s="42"/>
      <c r="E1469" s="43"/>
      <c r="F1469" s="43"/>
      <c r="G1469" s="43"/>
      <c r="H1469" s="41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  <c r="U1469" s="43"/>
      <c r="V1469" s="43"/>
      <c r="W1469" s="43"/>
      <c r="X1469" s="43"/>
      <c r="Y1469" s="43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</row>
    <row r="1470" spans="1:60" ht="16">
      <c r="A1470" s="41"/>
      <c r="B1470" s="41"/>
      <c r="C1470" s="41"/>
      <c r="D1470" s="42"/>
      <c r="E1470" s="43"/>
      <c r="F1470" s="43"/>
      <c r="G1470" s="43"/>
      <c r="H1470" s="41"/>
      <c r="I1470" s="43"/>
      <c r="J1470" s="43"/>
      <c r="K1470" s="43"/>
      <c r="L1470" s="43"/>
      <c r="M1470" s="43"/>
      <c r="N1470" s="43"/>
      <c r="O1470" s="43"/>
      <c r="P1470" s="43"/>
      <c r="Q1470" s="43"/>
      <c r="R1470" s="43"/>
      <c r="S1470" s="43"/>
      <c r="T1470" s="43"/>
      <c r="U1470" s="43"/>
      <c r="V1470" s="43"/>
      <c r="W1470" s="43"/>
      <c r="X1470" s="43"/>
      <c r="Y1470" s="43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</row>
    <row r="1471" spans="1:60" ht="16">
      <c r="A1471" s="41"/>
      <c r="B1471" s="41"/>
      <c r="C1471" s="41"/>
      <c r="D1471" s="42"/>
      <c r="E1471" s="43"/>
      <c r="F1471" s="43"/>
      <c r="G1471" s="43"/>
      <c r="H1471" s="41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</row>
    <row r="1472" spans="1:60" ht="16">
      <c r="A1472" s="41"/>
      <c r="B1472" s="41"/>
      <c r="C1472" s="41"/>
      <c r="D1472" s="42"/>
      <c r="E1472" s="43"/>
      <c r="F1472" s="43"/>
      <c r="G1472" s="43"/>
      <c r="H1472" s="41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</row>
    <row r="1473" spans="1:60" ht="16">
      <c r="A1473" s="41"/>
      <c r="B1473" s="41"/>
      <c r="C1473" s="41"/>
      <c r="D1473" s="42"/>
      <c r="E1473" s="43"/>
      <c r="F1473" s="43"/>
      <c r="G1473" s="43"/>
      <c r="H1473" s="41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  <c r="U1473" s="43"/>
      <c r="V1473" s="43"/>
      <c r="W1473" s="43"/>
      <c r="X1473" s="43"/>
      <c r="Y1473" s="43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</row>
    <row r="1474" spans="1:60" ht="16">
      <c r="A1474" s="41"/>
      <c r="B1474" s="41"/>
      <c r="C1474" s="41"/>
      <c r="D1474" s="42"/>
      <c r="E1474" s="43"/>
      <c r="F1474" s="43"/>
      <c r="G1474" s="43"/>
      <c r="H1474" s="41"/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43"/>
      <c r="U1474" s="43"/>
      <c r="V1474" s="43"/>
      <c r="W1474" s="43"/>
      <c r="X1474" s="43"/>
      <c r="Y1474" s="43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</row>
    <row r="1475" spans="1:60" ht="16">
      <c r="A1475" s="41"/>
      <c r="B1475" s="41"/>
      <c r="C1475" s="41"/>
      <c r="D1475" s="42"/>
      <c r="E1475" s="43"/>
      <c r="F1475" s="43"/>
      <c r="G1475" s="43"/>
      <c r="H1475" s="41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</row>
    <row r="1476" spans="1:60" ht="16">
      <c r="A1476" s="41"/>
      <c r="B1476" s="41"/>
      <c r="C1476" s="41"/>
      <c r="D1476" s="42"/>
      <c r="E1476" s="43"/>
      <c r="F1476" s="43"/>
      <c r="G1476" s="43"/>
      <c r="H1476" s="41"/>
      <c r="I1476" s="43"/>
      <c r="J1476" s="43"/>
      <c r="K1476" s="43"/>
      <c r="L1476" s="43"/>
      <c r="M1476" s="43"/>
      <c r="N1476" s="43"/>
      <c r="O1476" s="43"/>
      <c r="P1476" s="43"/>
      <c r="Q1476" s="43"/>
      <c r="R1476" s="43"/>
      <c r="S1476" s="43"/>
      <c r="T1476" s="43"/>
      <c r="U1476" s="43"/>
      <c r="V1476" s="43"/>
      <c r="W1476" s="43"/>
      <c r="X1476" s="43"/>
      <c r="Y1476" s="43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</row>
    <row r="1477" spans="1:60" ht="16">
      <c r="A1477" s="41"/>
      <c r="B1477" s="41"/>
      <c r="C1477" s="41"/>
      <c r="D1477" s="42"/>
      <c r="E1477" s="43"/>
      <c r="F1477" s="43"/>
      <c r="G1477" s="43"/>
      <c r="H1477" s="41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</row>
    <row r="1478" spans="1:60" ht="16">
      <c r="A1478" s="41"/>
      <c r="B1478" s="41"/>
      <c r="C1478" s="41"/>
      <c r="D1478" s="42"/>
      <c r="E1478" s="43"/>
      <c r="F1478" s="43"/>
      <c r="G1478" s="43"/>
      <c r="H1478" s="41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3"/>
      <c r="W1478" s="43"/>
      <c r="X1478" s="43"/>
      <c r="Y1478" s="43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</row>
    <row r="1479" spans="1:60" ht="16">
      <c r="A1479" s="41"/>
      <c r="B1479" s="41"/>
      <c r="C1479" s="41"/>
      <c r="D1479" s="42"/>
      <c r="E1479" s="43"/>
      <c r="F1479" s="43"/>
      <c r="G1479" s="43"/>
      <c r="H1479" s="41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</row>
    <row r="1480" spans="1:60" ht="16">
      <c r="A1480" s="41"/>
      <c r="B1480" s="41"/>
      <c r="C1480" s="41"/>
      <c r="D1480" s="42"/>
      <c r="E1480" s="43"/>
      <c r="F1480" s="43"/>
      <c r="G1480" s="43"/>
      <c r="H1480" s="41"/>
      <c r="I1480" s="43"/>
      <c r="J1480" s="43"/>
      <c r="K1480" s="43"/>
      <c r="L1480" s="43"/>
      <c r="M1480" s="43"/>
      <c r="N1480" s="43"/>
      <c r="O1480" s="43"/>
      <c r="P1480" s="43"/>
      <c r="Q1480" s="43"/>
      <c r="R1480" s="43"/>
      <c r="S1480" s="43"/>
      <c r="T1480" s="43"/>
      <c r="U1480" s="43"/>
      <c r="V1480" s="43"/>
      <c r="W1480" s="43"/>
      <c r="X1480" s="43"/>
      <c r="Y1480" s="43"/>
      <c r="Z1480" s="46"/>
      <c r="AA1480" s="46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</row>
    <row r="1481" spans="1:60" ht="16">
      <c r="A1481" s="41"/>
      <c r="B1481" s="41"/>
      <c r="C1481" s="41"/>
      <c r="D1481" s="42"/>
      <c r="E1481" s="43"/>
      <c r="F1481" s="43"/>
      <c r="G1481" s="43"/>
      <c r="H1481" s="41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</row>
    <row r="1482" spans="1:60" ht="16">
      <c r="A1482" s="41"/>
      <c r="B1482" s="41"/>
      <c r="C1482" s="41"/>
      <c r="D1482" s="42"/>
      <c r="E1482" s="43"/>
      <c r="F1482" s="43"/>
      <c r="G1482" s="43"/>
      <c r="H1482" s="41"/>
      <c r="I1482" s="43"/>
      <c r="J1482" s="43"/>
      <c r="K1482" s="43"/>
      <c r="L1482" s="43"/>
      <c r="M1482" s="43"/>
      <c r="N1482" s="43"/>
      <c r="O1482" s="43"/>
      <c r="P1482" s="43"/>
      <c r="Q1482" s="43"/>
      <c r="R1482" s="43"/>
      <c r="S1482" s="43"/>
      <c r="T1482" s="43"/>
      <c r="U1482" s="43"/>
      <c r="V1482" s="43"/>
      <c r="W1482" s="43"/>
      <c r="X1482" s="43"/>
      <c r="Y1482" s="43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</row>
    <row r="1483" spans="1:60" ht="16">
      <c r="A1483" s="41"/>
      <c r="B1483" s="41"/>
      <c r="C1483" s="41"/>
      <c r="D1483" s="42"/>
      <c r="E1483" s="43"/>
      <c r="F1483" s="43"/>
      <c r="G1483" s="43"/>
      <c r="H1483" s="41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3"/>
      <c r="U1483" s="43"/>
      <c r="V1483" s="43"/>
      <c r="W1483" s="43"/>
      <c r="X1483" s="43"/>
      <c r="Y1483" s="43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</row>
    <row r="1484" spans="1:60" ht="16">
      <c r="A1484" s="41"/>
      <c r="B1484" s="41"/>
      <c r="C1484" s="41"/>
      <c r="D1484" s="42"/>
      <c r="E1484" s="43"/>
      <c r="F1484" s="43"/>
      <c r="G1484" s="43"/>
      <c r="H1484" s="41"/>
      <c r="I1484" s="43"/>
      <c r="J1484" s="43"/>
      <c r="K1484" s="43"/>
      <c r="L1484" s="43"/>
      <c r="M1484" s="43"/>
      <c r="N1484" s="43"/>
      <c r="O1484" s="43"/>
      <c r="P1484" s="43"/>
      <c r="Q1484" s="43"/>
      <c r="R1484" s="43"/>
      <c r="S1484" s="43"/>
      <c r="T1484" s="43"/>
      <c r="U1484" s="43"/>
      <c r="V1484" s="43"/>
      <c r="W1484" s="43"/>
      <c r="X1484" s="43"/>
      <c r="Y1484" s="43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</row>
    <row r="1485" spans="1:60" ht="16">
      <c r="A1485" s="41"/>
      <c r="B1485" s="41"/>
      <c r="C1485" s="41"/>
      <c r="D1485" s="42"/>
      <c r="E1485" s="43"/>
      <c r="F1485" s="43"/>
      <c r="G1485" s="43"/>
      <c r="H1485" s="41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43"/>
      <c r="U1485" s="43"/>
      <c r="V1485" s="43"/>
      <c r="W1485" s="43"/>
      <c r="X1485" s="43"/>
      <c r="Y1485" s="43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</row>
    <row r="1486" spans="1:60" ht="16">
      <c r="A1486" s="41"/>
      <c r="B1486" s="41"/>
      <c r="C1486" s="41"/>
      <c r="D1486" s="42"/>
      <c r="E1486" s="43"/>
      <c r="F1486" s="43"/>
      <c r="G1486" s="43"/>
      <c r="H1486" s="41"/>
      <c r="I1486" s="43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</row>
    <row r="1487" spans="1:60" ht="16">
      <c r="A1487" s="41"/>
      <c r="B1487" s="41"/>
      <c r="C1487" s="41"/>
      <c r="D1487" s="42"/>
      <c r="E1487" s="43"/>
      <c r="F1487" s="43"/>
      <c r="G1487" s="43"/>
      <c r="H1487" s="41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3"/>
      <c r="W1487" s="43"/>
      <c r="X1487" s="43"/>
      <c r="Y1487" s="43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</row>
    <row r="1488" spans="1:60" ht="16">
      <c r="A1488" s="41"/>
      <c r="B1488" s="41"/>
      <c r="C1488" s="41"/>
      <c r="D1488" s="42"/>
      <c r="E1488" s="43"/>
      <c r="F1488" s="43"/>
      <c r="G1488" s="43"/>
      <c r="H1488" s="41"/>
      <c r="I1488" s="43"/>
      <c r="J1488" s="43"/>
      <c r="K1488" s="43"/>
      <c r="L1488" s="43"/>
      <c r="M1488" s="43"/>
      <c r="N1488" s="43"/>
      <c r="O1488" s="43"/>
      <c r="P1488" s="43"/>
      <c r="Q1488" s="43"/>
      <c r="R1488" s="43"/>
      <c r="S1488" s="43"/>
      <c r="T1488" s="43"/>
      <c r="U1488" s="43"/>
      <c r="V1488" s="43"/>
      <c r="W1488" s="43"/>
      <c r="X1488" s="43"/>
      <c r="Y1488" s="43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</row>
    <row r="1489" spans="1:60" ht="16">
      <c r="A1489" s="41"/>
      <c r="B1489" s="41"/>
      <c r="C1489" s="41"/>
      <c r="D1489" s="42"/>
      <c r="E1489" s="43"/>
      <c r="F1489" s="43"/>
      <c r="G1489" s="43"/>
      <c r="H1489" s="41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</row>
    <row r="1490" spans="1:60" ht="16">
      <c r="A1490" s="41"/>
      <c r="B1490" s="41"/>
      <c r="C1490" s="41"/>
      <c r="D1490" s="42"/>
      <c r="E1490" s="43"/>
      <c r="F1490" s="43"/>
      <c r="G1490" s="43"/>
      <c r="H1490" s="41"/>
      <c r="I1490" s="43"/>
      <c r="J1490" s="43"/>
      <c r="K1490" s="43"/>
      <c r="L1490" s="43"/>
      <c r="M1490" s="43"/>
      <c r="N1490" s="43"/>
      <c r="O1490" s="43"/>
      <c r="P1490" s="43"/>
      <c r="Q1490" s="43"/>
      <c r="R1490" s="43"/>
      <c r="S1490" s="43"/>
      <c r="T1490" s="43"/>
      <c r="U1490" s="43"/>
      <c r="V1490" s="43"/>
      <c r="W1490" s="43"/>
      <c r="X1490" s="43"/>
      <c r="Y1490" s="43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</row>
    <row r="1491" spans="1:60" ht="16">
      <c r="A1491" s="41"/>
      <c r="B1491" s="41"/>
      <c r="C1491" s="41"/>
      <c r="D1491" s="42"/>
      <c r="E1491" s="43"/>
      <c r="F1491" s="43"/>
      <c r="G1491" s="43"/>
      <c r="H1491" s="41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</row>
    <row r="1492" spans="1:60" ht="16">
      <c r="A1492" s="41"/>
      <c r="B1492" s="41"/>
      <c r="C1492" s="41"/>
      <c r="D1492" s="42"/>
      <c r="E1492" s="43"/>
      <c r="F1492" s="43"/>
      <c r="G1492" s="43"/>
      <c r="H1492" s="41"/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43"/>
      <c r="U1492" s="43"/>
      <c r="V1492" s="43"/>
      <c r="W1492" s="43"/>
      <c r="X1492" s="43"/>
      <c r="Y1492" s="43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</row>
    <row r="1493" spans="1:60" ht="16">
      <c r="A1493" s="41"/>
      <c r="B1493" s="41"/>
      <c r="C1493" s="41"/>
      <c r="D1493" s="42"/>
      <c r="E1493" s="43"/>
      <c r="F1493" s="43"/>
      <c r="G1493" s="43"/>
      <c r="H1493" s="41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3"/>
      <c r="U1493" s="43"/>
      <c r="V1493" s="43"/>
      <c r="W1493" s="43"/>
      <c r="X1493" s="43"/>
      <c r="Y1493" s="43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</row>
    <row r="1494" spans="1:60" ht="16">
      <c r="A1494" s="41"/>
      <c r="B1494" s="41"/>
      <c r="C1494" s="41"/>
      <c r="D1494" s="42"/>
      <c r="E1494" s="43"/>
      <c r="F1494" s="43"/>
      <c r="G1494" s="43"/>
      <c r="H1494" s="41"/>
      <c r="I1494" s="43"/>
      <c r="J1494" s="43"/>
      <c r="K1494" s="43"/>
      <c r="L1494" s="43"/>
      <c r="M1494" s="43"/>
      <c r="N1494" s="43"/>
      <c r="O1494" s="43"/>
      <c r="P1494" s="43"/>
      <c r="Q1494" s="43"/>
      <c r="R1494" s="43"/>
      <c r="S1494" s="43"/>
      <c r="T1494" s="43"/>
      <c r="U1494" s="43"/>
      <c r="V1494" s="43"/>
      <c r="W1494" s="43"/>
      <c r="X1494" s="43"/>
      <c r="Y1494" s="43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</row>
    <row r="1495" spans="1:60" ht="16">
      <c r="A1495" s="41"/>
      <c r="B1495" s="41"/>
      <c r="C1495" s="41"/>
      <c r="D1495" s="42"/>
      <c r="E1495" s="43"/>
      <c r="F1495" s="43"/>
      <c r="G1495" s="43"/>
      <c r="H1495" s="41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43"/>
      <c r="U1495" s="43"/>
      <c r="V1495" s="43"/>
      <c r="W1495" s="43"/>
      <c r="X1495" s="43"/>
      <c r="Y1495" s="43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</row>
    <row r="1496" spans="1:60" ht="16">
      <c r="A1496" s="41"/>
      <c r="B1496" s="41"/>
      <c r="C1496" s="41"/>
      <c r="D1496" s="42"/>
      <c r="E1496" s="43"/>
      <c r="F1496" s="43"/>
      <c r="G1496" s="43"/>
      <c r="H1496" s="41"/>
      <c r="I1496" s="43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43"/>
      <c r="U1496" s="43"/>
      <c r="V1496" s="43"/>
      <c r="W1496" s="43"/>
      <c r="X1496" s="43"/>
      <c r="Y1496" s="43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</row>
    <row r="1497" spans="1:60" ht="16">
      <c r="A1497" s="41"/>
      <c r="B1497" s="41"/>
      <c r="C1497" s="41"/>
      <c r="D1497" s="42"/>
      <c r="E1497" s="43"/>
      <c r="F1497" s="43"/>
      <c r="G1497" s="43"/>
      <c r="H1497" s="41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</row>
    <row r="1498" spans="1:60" ht="16">
      <c r="A1498" s="41"/>
      <c r="B1498" s="41"/>
      <c r="C1498" s="41"/>
      <c r="D1498" s="42"/>
      <c r="E1498" s="43"/>
      <c r="F1498" s="43"/>
      <c r="G1498" s="43"/>
      <c r="H1498" s="41"/>
      <c r="I1498" s="43"/>
      <c r="J1498" s="43"/>
      <c r="K1498" s="43"/>
      <c r="L1498" s="43"/>
      <c r="M1498" s="43"/>
      <c r="N1498" s="43"/>
      <c r="O1498" s="43"/>
      <c r="P1498" s="43"/>
      <c r="Q1498" s="43"/>
      <c r="R1498" s="43"/>
      <c r="S1498" s="43"/>
      <c r="T1498" s="43"/>
      <c r="U1498" s="43"/>
      <c r="V1498" s="43"/>
      <c r="W1498" s="43"/>
      <c r="X1498" s="43"/>
      <c r="Y1498" s="43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</row>
    <row r="1499" spans="1:60" ht="16">
      <c r="A1499" s="41"/>
      <c r="B1499" s="41"/>
      <c r="C1499" s="41"/>
      <c r="D1499" s="42"/>
      <c r="E1499" s="43"/>
      <c r="F1499" s="43"/>
      <c r="G1499" s="43"/>
      <c r="H1499" s="41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3"/>
      <c r="W1499" s="43"/>
      <c r="X1499" s="43"/>
      <c r="Y1499" s="43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</row>
    <row r="1500" spans="1:60" ht="16">
      <c r="A1500" s="41"/>
      <c r="B1500" s="41"/>
      <c r="C1500" s="41"/>
      <c r="D1500" s="42"/>
      <c r="E1500" s="43"/>
      <c r="F1500" s="43"/>
      <c r="G1500" s="43"/>
      <c r="H1500" s="41"/>
      <c r="I1500" s="43"/>
      <c r="J1500" s="43"/>
      <c r="K1500" s="43"/>
      <c r="L1500" s="43"/>
      <c r="M1500" s="43"/>
      <c r="N1500" s="43"/>
      <c r="O1500" s="43"/>
      <c r="P1500" s="43"/>
      <c r="Q1500" s="43"/>
      <c r="R1500" s="43"/>
      <c r="S1500" s="43"/>
      <c r="T1500" s="43"/>
      <c r="U1500" s="43"/>
      <c r="V1500" s="43"/>
      <c r="W1500" s="43"/>
      <c r="X1500" s="43"/>
      <c r="Y1500" s="43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</row>
    <row r="1501" spans="1:60" ht="16">
      <c r="A1501" s="41"/>
      <c r="B1501" s="41"/>
      <c r="C1501" s="41"/>
      <c r="D1501" s="42"/>
      <c r="E1501" s="43"/>
      <c r="F1501" s="43"/>
      <c r="G1501" s="43"/>
      <c r="H1501" s="41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</row>
    <row r="1502" spans="1:60" ht="16">
      <c r="A1502" s="41"/>
      <c r="B1502" s="41"/>
      <c r="C1502" s="41"/>
      <c r="D1502" s="42"/>
      <c r="E1502" s="43"/>
      <c r="F1502" s="43"/>
      <c r="G1502" s="43"/>
      <c r="H1502" s="41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</row>
    <row r="1503" spans="1:60" ht="16">
      <c r="A1503" s="41"/>
      <c r="B1503" s="41"/>
      <c r="C1503" s="41"/>
      <c r="D1503" s="42"/>
      <c r="E1503" s="43"/>
      <c r="F1503" s="43"/>
      <c r="G1503" s="43"/>
      <c r="H1503" s="41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</row>
    <row r="1504" spans="1:60" ht="16">
      <c r="A1504" s="41"/>
      <c r="B1504" s="41"/>
      <c r="C1504" s="41"/>
      <c r="D1504" s="42"/>
      <c r="E1504" s="43"/>
      <c r="F1504" s="43"/>
      <c r="G1504" s="43"/>
      <c r="H1504" s="41"/>
      <c r="I1504" s="43"/>
      <c r="J1504" s="43"/>
      <c r="K1504" s="43"/>
      <c r="L1504" s="43"/>
      <c r="M1504" s="43"/>
      <c r="N1504" s="43"/>
      <c r="O1504" s="43"/>
      <c r="P1504" s="43"/>
      <c r="Q1504" s="43"/>
      <c r="R1504" s="43"/>
      <c r="S1504" s="43"/>
      <c r="T1504" s="43"/>
      <c r="U1504" s="43"/>
      <c r="V1504" s="43"/>
      <c r="W1504" s="43"/>
      <c r="X1504" s="43"/>
      <c r="Y1504" s="43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</row>
    <row r="1505" spans="1:60" ht="16">
      <c r="A1505" s="41"/>
      <c r="B1505" s="41"/>
      <c r="C1505" s="41"/>
      <c r="D1505" s="42"/>
      <c r="E1505" s="43"/>
      <c r="F1505" s="43"/>
      <c r="G1505" s="43"/>
      <c r="H1505" s="41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</row>
    <row r="1506" spans="1:60" ht="16">
      <c r="A1506" s="41"/>
      <c r="B1506" s="41"/>
      <c r="C1506" s="41"/>
      <c r="D1506" s="42"/>
      <c r="E1506" s="43"/>
      <c r="F1506" s="43"/>
      <c r="G1506" s="43"/>
      <c r="H1506" s="41"/>
      <c r="I1506" s="43"/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  <c r="T1506" s="43"/>
      <c r="U1506" s="43"/>
      <c r="V1506" s="43"/>
      <c r="W1506" s="43"/>
      <c r="X1506" s="43"/>
      <c r="Y1506" s="43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</row>
    <row r="1507" spans="1:60" ht="16">
      <c r="A1507" s="41"/>
      <c r="B1507" s="41"/>
      <c r="C1507" s="41"/>
      <c r="D1507" s="42"/>
      <c r="E1507" s="43"/>
      <c r="F1507" s="43"/>
      <c r="G1507" s="43"/>
      <c r="H1507" s="41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43"/>
      <c r="U1507" s="43"/>
      <c r="V1507" s="43"/>
      <c r="W1507" s="43"/>
      <c r="X1507" s="43"/>
      <c r="Y1507" s="43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</row>
    <row r="1508" spans="1:60" ht="16">
      <c r="A1508" s="41"/>
      <c r="B1508" s="41"/>
      <c r="C1508" s="41"/>
      <c r="D1508" s="42"/>
      <c r="E1508" s="43"/>
      <c r="F1508" s="43"/>
      <c r="G1508" s="43"/>
      <c r="H1508" s="41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  <c r="S1508" s="43"/>
      <c r="T1508" s="43"/>
      <c r="U1508" s="43"/>
      <c r="V1508" s="43"/>
      <c r="W1508" s="43"/>
      <c r="X1508" s="43"/>
      <c r="Y1508" s="43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</row>
    <row r="1509" spans="1:60" ht="16">
      <c r="A1509" s="41"/>
      <c r="B1509" s="41"/>
      <c r="C1509" s="41"/>
      <c r="D1509" s="42"/>
      <c r="E1509" s="43"/>
      <c r="F1509" s="43"/>
      <c r="G1509" s="43"/>
      <c r="H1509" s="41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</row>
    <row r="1510" spans="1:60" ht="16">
      <c r="A1510" s="41"/>
      <c r="B1510" s="41"/>
      <c r="C1510" s="41"/>
      <c r="D1510" s="42"/>
      <c r="E1510" s="43"/>
      <c r="F1510" s="43"/>
      <c r="G1510" s="43"/>
      <c r="H1510" s="41"/>
      <c r="I1510" s="43"/>
      <c r="J1510" s="43"/>
      <c r="K1510" s="43"/>
      <c r="L1510" s="43"/>
      <c r="M1510" s="43"/>
      <c r="N1510" s="43"/>
      <c r="O1510" s="43"/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</row>
    <row r="1511" spans="1:60" ht="16">
      <c r="A1511" s="41"/>
      <c r="B1511" s="41"/>
      <c r="C1511" s="41"/>
      <c r="D1511" s="42"/>
      <c r="E1511" s="43"/>
      <c r="F1511" s="43"/>
      <c r="G1511" s="43"/>
      <c r="H1511" s="41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</row>
    <row r="1512" spans="1:60" ht="16">
      <c r="A1512" s="41"/>
      <c r="B1512" s="41"/>
      <c r="C1512" s="41"/>
      <c r="D1512" s="42"/>
      <c r="E1512" s="43"/>
      <c r="F1512" s="43"/>
      <c r="G1512" s="43"/>
      <c r="H1512" s="41"/>
      <c r="I1512" s="43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43"/>
      <c r="U1512" s="43"/>
      <c r="V1512" s="43"/>
      <c r="W1512" s="43"/>
      <c r="X1512" s="43"/>
      <c r="Y1512" s="43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</row>
    <row r="1513" spans="1:60" ht="16">
      <c r="A1513" s="41"/>
      <c r="B1513" s="41"/>
      <c r="C1513" s="41"/>
      <c r="D1513" s="42"/>
      <c r="E1513" s="43"/>
      <c r="F1513" s="43"/>
      <c r="G1513" s="43"/>
      <c r="H1513" s="41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</row>
    <row r="1514" spans="1:60" ht="16">
      <c r="A1514" s="41"/>
      <c r="B1514" s="41"/>
      <c r="C1514" s="41"/>
      <c r="D1514" s="42"/>
      <c r="E1514" s="43"/>
      <c r="F1514" s="43"/>
      <c r="G1514" s="43"/>
      <c r="H1514" s="41"/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43"/>
      <c r="U1514" s="43"/>
      <c r="V1514" s="43"/>
      <c r="W1514" s="43"/>
      <c r="X1514" s="43"/>
      <c r="Y1514" s="43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</row>
    <row r="1515" spans="1:60" ht="16">
      <c r="A1515" s="41"/>
      <c r="B1515" s="41"/>
      <c r="C1515" s="41"/>
      <c r="D1515" s="42"/>
      <c r="E1515" s="43"/>
      <c r="F1515" s="43"/>
      <c r="G1515" s="43"/>
      <c r="H1515" s="41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43"/>
      <c r="U1515" s="43"/>
      <c r="V1515" s="43"/>
      <c r="W1515" s="43"/>
      <c r="X1515" s="43"/>
      <c r="Y1515" s="43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</row>
    <row r="1516" spans="1:60" ht="16">
      <c r="A1516" s="41"/>
      <c r="B1516" s="41"/>
      <c r="C1516" s="41"/>
      <c r="D1516" s="42"/>
      <c r="E1516" s="43"/>
      <c r="F1516" s="43"/>
      <c r="G1516" s="43"/>
      <c r="H1516" s="41"/>
      <c r="I1516" s="43"/>
      <c r="J1516" s="43"/>
      <c r="K1516" s="43"/>
      <c r="L1516" s="43"/>
      <c r="M1516" s="43"/>
      <c r="N1516" s="43"/>
      <c r="O1516" s="43"/>
      <c r="P1516" s="43"/>
      <c r="Q1516" s="43"/>
      <c r="R1516" s="43"/>
      <c r="S1516" s="43"/>
      <c r="T1516" s="43"/>
      <c r="U1516" s="43"/>
      <c r="V1516" s="43"/>
      <c r="W1516" s="43"/>
      <c r="X1516" s="43"/>
      <c r="Y1516" s="43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</row>
    <row r="1517" spans="1:60" ht="16">
      <c r="A1517" s="41"/>
      <c r="B1517" s="41"/>
      <c r="C1517" s="41"/>
      <c r="D1517" s="42"/>
      <c r="E1517" s="43"/>
      <c r="F1517" s="43"/>
      <c r="G1517" s="43"/>
      <c r="H1517" s="41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3"/>
      <c r="U1517" s="43"/>
      <c r="V1517" s="43"/>
      <c r="W1517" s="43"/>
      <c r="X1517" s="43"/>
      <c r="Y1517" s="43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</row>
    <row r="1518" spans="1:60" ht="16">
      <c r="A1518" s="41"/>
      <c r="B1518" s="41"/>
      <c r="C1518" s="41"/>
      <c r="D1518" s="42"/>
      <c r="E1518" s="43"/>
      <c r="F1518" s="43"/>
      <c r="G1518" s="43"/>
      <c r="H1518" s="41"/>
      <c r="I1518" s="43"/>
      <c r="J1518" s="43"/>
      <c r="K1518" s="43"/>
      <c r="L1518" s="43"/>
      <c r="M1518" s="43"/>
      <c r="N1518" s="43"/>
      <c r="O1518" s="43"/>
      <c r="P1518" s="43"/>
      <c r="Q1518" s="43"/>
      <c r="R1518" s="43"/>
      <c r="S1518" s="43"/>
      <c r="T1518" s="43"/>
      <c r="U1518" s="43"/>
      <c r="V1518" s="43"/>
      <c r="W1518" s="43"/>
      <c r="X1518" s="43"/>
      <c r="Y1518" s="43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</row>
    <row r="1519" spans="1:60" ht="16">
      <c r="A1519" s="41"/>
      <c r="B1519" s="41"/>
      <c r="C1519" s="41"/>
      <c r="D1519" s="42"/>
      <c r="E1519" s="43"/>
      <c r="F1519" s="43"/>
      <c r="G1519" s="43"/>
      <c r="H1519" s="41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3"/>
      <c r="U1519" s="43"/>
      <c r="V1519" s="43"/>
      <c r="W1519" s="43"/>
      <c r="X1519" s="43"/>
      <c r="Y1519" s="43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</row>
    <row r="1520" spans="1:60" ht="16">
      <c r="A1520" s="41"/>
      <c r="B1520" s="41"/>
      <c r="C1520" s="41"/>
      <c r="D1520" s="42"/>
      <c r="E1520" s="43"/>
      <c r="F1520" s="43"/>
      <c r="G1520" s="43"/>
      <c r="H1520" s="41"/>
      <c r="I1520" s="43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43"/>
      <c r="U1520" s="43"/>
      <c r="V1520" s="43"/>
      <c r="W1520" s="43"/>
      <c r="X1520" s="43"/>
      <c r="Y1520" s="43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</row>
    <row r="1521" spans="1:60" ht="16">
      <c r="A1521" s="41"/>
      <c r="B1521" s="41"/>
      <c r="C1521" s="41"/>
      <c r="D1521" s="42"/>
      <c r="E1521" s="43"/>
      <c r="F1521" s="43"/>
      <c r="G1521" s="43"/>
      <c r="H1521" s="41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</row>
    <row r="1522" spans="1:60" ht="16">
      <c r="A1522" s="41"/>
      <c r="B1522" s="41"/>
      <c r="C1522" s="41"/>
      <c r="D1522" s="42"/>
      <c r="E1522" s="43"/>
      <c r="F1522" s="43"/>
      <c r="G1522" s="43"/>
      <c r="H1522" s="41"/>
      <c r="I1522" s="43"/>
      <c r="J1522" s="43"/>
      <c r="K1522" s="43"/>
      <c r="L1522" s="43"/>
      <c r="M1522" s="43"/>
      <c r="N1522" s="43"/>
      <c r="O1522" s="43"/>
      <c r="P1522" s="43"/>
      <c r="Q1522" s="43"/>
      <c r="R1522" s="43"/>
      <c r="S1522" s="43"/>
      <c r="T1522" s="43"/>
      <c r="U1522" s="43"/>
      <c r="V1522" s="43"/>
      <c r="W1522" s="43"/>
      <c r="X1522" s="43"/>
      <c r="Y1522" s="43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</row>
    <row r="1523" spans="1:60" ht="16">
      <c r="A1523" s="41"/>
      <c r="B1523" s="41"/>
      <c r="C1523" s="41"/>
      <c r="D1523" s="42"/>
      <c r="E1523" s="43"/>
      <c r="F1523" s="43"/>
      <c r="G1523" s="43"/>
      <c r="H1523" s="41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6"/>
      <c r="AA1523" s="46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</row>
    <row r="1524" spans="1:60" ht="16">
      <c r="A1524" s="41"/>
      <c r="B1524" s="41"/>
      <c r="C1524" s="41"/>
      <c r="D1524" s="42"/>
      <c r="E1524" s="43"/>
      <c r="F1524" s="43"/>
      <c r="G1524" s="43"/>
      <c r="H1524" s="41"/>
      <c r="I1524" s="43"/>
      <c r="J1524" s="43"/>
      <c r="K1524" s="43"/>
      <c r="L1524" s="43"/>
      <c r="M1524" s="43"/>
      <c r="N1524" s="43"/>
      <c r="O1524" s="43"/>
      <c r="P1524" s="43"/>
      <c r="Q1524" s="43"/>
      <c r="R1524" s="43"/>
      <c r="S1524" s="43"/>
      <c r="T1524" s="43"/>
      <c r="U1524" s="43"/>
      <c r="V1524" s="43"/>
      <c r="W1524" s="43"/>
      <c r="X1524" s="43"/>
      <c r="Y1524" s="43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</row>
    <row r="1525" spans="1:60" ht="16">
      <c r="A1525" s="41"/>
      <c r="B1525" s="41"/>
      <c r="C1525" s="41"/>
      <c r="D1525" s="42"/>
      <c r="E1525" s="43"/>
      <c r="F1525" s="43"/>
      <c r="G1525" s="43"/>
      <c r="H1525" s="41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</row>
    <row r="1526" spans="1:60" ht="16">
      <c r="A1526" s="41"/>
      <c r="B1526" s="41"/>
      <c r="C1526" s="41"/>
      <c r="D1526" s="42"/>
      <c r="E1526" s="43"/>
      <c r="F1526" s="43"/>
      <c r="G1526" s="43"/>
      <c r="H1526" s="41"/>
      <c r="I1526" s="43"/>
      <c r="J1526" s="43"/>
      <c r="K1526" s="43"/>
      <c r="L1526" s="43"/>
      <c r="M1526" s="43"/>
      <c r="N1526" s="43"/>
      <c r="O1526" s="43"/>
      <c r="P1526" s="43"/>
      <c r="Q1526" s="43"/>
      <c r="R1526" s="43"/>
      <c r="S1526" s="43"/>
      <c r="T1526" s="43"/>
      <c r="U1526" s="43"/>
      <c r="V1526" s="43"/>
      <c r="W1526" s="43"/>
      <c r="X1526" s="43"/>
      <c r="Y1526" s="43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</row>
    <row r="1527" spans="1:60" ht="16">
      <c r="A1527" s="41"/>
      <c r="B1527" s="41"/>
      <c r="C1527" s="41"/>
      <c r="D1527" s="42"/>
      <c r="E1527" s="43"/>
      <c r="F1527" s="43"/>
      <c r="G1527" s="43"/>
      <c r="H1527" s="41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</row>
    <row r="1528" spans="1:60" ht="16">
      <c r="A1528" s="41"/>
      <c r="B1528" s="41"/>
      <c r="C1528" s="41"/>
      <c r="D1528" s="42"/>
      <c r="E1528" s="43"/>
      <c r="F1528" s="43"/>
      <c r="G1528" s="43"/>
      <c r="H1528" s="41"/>
      <c r="I1528" s="43"/>
      <c r="J1528" s="43"/>
      <c r="K1528" s="43"/>
      <c r="L1528" s="43"/>
      <c r="M1528" s="43"/>
      <c r="N1528" s="43"/>
      <c r="O1528" s="43"/>
      <c r="P1528" s="43"/>
      <c r="Q1528" s="43"/>
      <c r="R1528" s="43"/>
      <c r="S1528" s="43"/>
      <c r="T1528" s="43"/>
      <c r="U1528" s="43"/>
      <c r="V1528" s="43"/>
      <c r="W1528" s="43"/>
      <c r="X1528" s="43"/>
      <c r="Y1528" s="43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</row>
    <row r="1529" spans="1:60" ht="16">
      <c r="A1529" s="41"/>
      <c r="B1529" s="41"/>
      <c r="C1529" s="41"/>
      <c r="D1529" s="42"/>
      <c r="E1529" s="43"/>
      <c r="F1529" s="43"/>
      <c r="G1529" s="43"/>
      <c r="H1529" s="41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3"/>
      <c r="U1529" s="43"/>
      <c r="V1529" s="43"/>
      <c r="W1529" s="43"/>
      <c r="X1529" s="43"/>
      <c r="Y1529" s="43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</row>
    <row r="1530" spans="1:60" ht="16">
      <c r="A1530" s="41"/>
      <c r="B1530" s="41"/>
      <c r="C1530" s="41"/>
      <c r="D1530" s="42"/>
      <c r="E1530" s="43"/>
      <c r="F1530" s="43"/>
      <c r="G1530" s="43"/>
      <c r="H1530" s="41"/>
      <c r="I1530" s="43"/>
      <c r="J1530" s="43"/>
      <c r="K1530" s="43"/>
      <c r="L1530" s="43"/>
      <c r="M1530" s="43"/>
      <c r="N1530" s="43"/>
      <c r="O1530" s="43"/>
      <c r="P1530" s="43"/>
      <c r="Q1530" s="43"/>
      <c r="R1530" s="43"/>
      <c r="S1530" s="43"/>
      <c r="T1530" s="43"/>
      <c r="U1530" s="43"/>
      <c r="V1530" s="43"/>
      <c r="W1530" s="43"/>
      <c r="X1530" s="43"/>
      <c r="Y1530" s="43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</row>
    <row r="1531" spans="1:60" ht="16">
      <c r="A1531" s="41"/>
      <c r="B1531" s="41"/>
      <c r="C1531" s="41"/>
      <c r="D1531" s="42"/>
      <c r="E1531" s="43"/>
      <c r="F1531" s="43"/>
      <c r="G1531" s="43"/>
      <c r="H1531" s="41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</row>
    <row r="1532" spans="1:60" ht="16">
      <c r="A1532" s="41"/>
      <c r="B1532" s="41"/>
      <c r="C1532" s="41"/>
      <c r="D1532" s="42"/>
      <c r="E1532" s="43"/>
      <c r="F1532" s="43"/>
      <c r="G1532" s="43"/>
      <c r="H1532" s="41"/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43"/>
      <c r="U1532" s="43"/>
      <c r="V1532" s="43"/>
      <c r="W1532" s="43"/>
      <c r="X1532" s="43"/>
      <c r="Y1532" s="43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</row>
    <row r="1533" spans="1:60" ht="16">
      <c r="A1533" s="41"/>
      <c r="B1533" s="41"/>
      <c r="C1533" s="41"/>
      <c r="D1533" s="42"/>
      <c r="E1533" s="43"/>
      <c r="F1533" s="43"/>
      <c r="G1533" s="43"/>
      <c r="H1533" s="41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3"/>
      <c r="U1533" s="43"/>
      <c r="V1533" s="43"/>
      <c r="W1533" s="43"/>
      <c r="X1533" s="43"/>
      <c r="Y1533" s="43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</row>
    <row r="1534" spans="1:60" ht="16">
      <c r="A1534" s="41"/>
      <c r="B1534" s="41"/>
      <c r="C1534" s="41"/>
      <c r="D1534" s="42"/>
      <c r="E1534" s="43"/>
      <c r="F1534" s="43"/>
      <c r="G1534" s="43"/>
      <c r="H1534" s="41"/>
      <c r="I1534" s="43"/>
      <c r="J1534" s="43"/>
      <c r="K1534" s="43"/>
      <c r="L1534" s="43"/>
      <c r="M1534" s="43"/>
      <c r="N1534" s="43"/>
      <c r="O1534" s="43"/>
      <c r="P1534" s="43"/>
      <c r="Q1534" s="43"/>
      <c r="R1534" s="43"/>
      <c r="S1534" s="43"/>
      <c r="T1534" s="43"/>
      <c r="U1534" s="43"/>
      <c r="V1534" s="43"/>
      <c r="W1534" s="43"/>
      <c r="X1534" s="43"/>
      <c r="Y1534" s="43"/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</row>
    <row r="1535" spans="1:60" ht="16">
      <c r="A1535" s="41"/>
      <c r="B1535" s="41"/>
      <c r="C1535" s="41"/>
      <c r="D1535" s="42"/>
      <c r="E1535" s="43"/>
      <c r="F1535" s="43"/>
      <c r="G1535" s="43"/>
      <c r="H1535" s="41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3"/>
      <c r="W1535" s="43"/>
      <c r="X1535" s="43"/>
      <c r="Y1535" s="43"/>
      <c r="Z1535" s="46"/>
      <c r="AA1535" s="46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</row>
    <row r="1536" spans="1:60" ht="16">
      <c r="A1536" s="41"/>
      <c r="B1536" s="41"/>
      <c r="C1536" s="41"/>
      <c r="D1536" s="42"/>
      <c r="E1536" s="43"/>
      <c r="F1536" s="43"/>
      <c r="G1536" s="43"/>
      <c r="H1536" s="41"/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43"/>
      <c r="U1536" s="43"/>
      <c r="V1536" s="43"/>
      <c r="W1536" s="43"/>
      <c r="X1536" s="43"/>
      <c r="Y1536" s="43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</row>
    <row r="1537" spans="1:60" ht="16">
      <c r="A1537" s="41"/>
      <c r="B1537" s="41"/>
      <c r="C1537" s="41"/>
      <c r="D1537" s="42"/>
      <c r="E1537" s="43"/>
      <c r="F1537" s="43"/>
      <c r="G1537" s="43"/>
      <c r="H1537" s="41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</row>
    <row r="1538" spans="1:60" ht="16">
      <c r="A1538" s="41"/>
      <c r="B1538" s="41"/>
      <c r="C1538" s="41"/>
      <c r="D1538" s="42"/>
      <c r="E1538" s="43"/>
      <c r="F1538" s="43"/>
      <c r="G1538" s="43"/>
      <c r="H1538" s="41"/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43"/>
      <c r="U1538" s="43"/>
      <c r="V1538" s="43"/>
      <c r="W1538" s="43"/>
      <c r="X1538" s="43"/>
      <c r="Y1538" s="43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</row>
    <row r="1539" spans="1:60" ht="16">
      <c r="A1539" s="41"/>
      <c r="B1539" s="41"/>
      <c r="C1539" s="41"/>
      <c r="D1539" s="42"/>
      <c r="E1539" s="43"/>
      <c r="F1539" s="43"/>
      <c r="G1539" s="43"/>
      <c r="H1539" s="41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3"/>
      <c r="U1539" s="43"/>
      <c r="V1539" s="43"/>
      <c r="W1539" s="43"/>
      <c r="X1539" s="43"/>
      <c r="Y1539" s="43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</row>
    <row r="1540" spans="1:60" ht="16">
      <c r="A1540" s="41"/>
      <c r="B1540" s="41"/>
      <c r="C1540" s="41"/>
      <c r="D1540" s="42"/>
      <c r="E1540" s="43"/>
      <c r="F1540" s="43"/>
      <c r="G1540" s="43"/>
      <c r="H1540" s="41"/>
      <c r="I1540" s="43"/>
      <c r="J1540" s="43"/>
      <c r="K1540" s="43"/>
      <c r="L1540" s="43"/>
      <c r="M1540" s="43"/>
      <c r="N1540" s="43"/>
      <c r="O1540" s="43"/>
      <c r="P1540" s="43"/>
      <c r="Q1540" s="43"/>
      <c r="R1540" s="43"/>
      <c r="S1540" s="43"/>
      <c r="T1540" s="43"/>
      <c r="U1540" s="43"/>
      <c r="V1540" s="43"/>
      <c r="W1540" s="43"/>
      <c r="X1540" s="43"/>
      <c r="Y1540" s="43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</row>
    <row r="1541" spans="1:60" ht="16">
      <c r="A1541" s="41"/>
      <c r="B1541" s="41"/>
      <c r="C1541" s="41"/>
      <c r="D1541" s="42"/>
      <c r="E1541" s="43"/>
      <c r="F1541" s="43"/>
      <c r="G1541" s="43"/>
      <c r="H1541" s="41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3"/>
      <c r="U1541" s="43"/>
      <c r="V1541" s="43"/>
      <c r="W1541" s="43"/>
      <c r="X1541" s="43"/>
      <c r="Y1541" s="43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</row>
    <row r="1542" spans="1:60" ht="16">
      <c r="A1542" s="41"/>
      <c r="B1542" s="41"/>
      <c r="C1542" s="41"/>
      <c r="D1542" s="42"/>
      <c r="E1542" s="43"/>
      <c r="F1542" s="43"/>
      <c r="G1542" s="43"/>
      <c r="H1542" s="41"/>
      <c r="I1542" s="43"/>
      <c r="J1542" s="43"/>
      <c r="K1542" s="43"/>
      <c r="L1542" s="43"/>
      <c r="M1542" s="43"/>
      <c r="N1542" s="43"/>
      <c r="O1542" s="43"/>
      <c r="P1542" s="43"/>
      <c r="Q1542" s="43"/>
      <c r="R1542" s="43"/>
      <c r="S1542" s="43"/>
      <c r="T1542" s="43"/>
      <c r="U1542" s="43"/>
      <c r="V1542" s="43"/>
      <c r="W1542" s="43"/>
      <c r="X1542" s="43"/>
      <c r="Y1542" s="43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</row>
    <row r="1543" spans="1:60" ht="16">
      <c r="A1543" s="41"/>
      <c r="B1543" s="41"/>
      <c r="C1543" s="41"/>
      <c r="D1543" s="42"/>
      <c r="E1543" s="43"/>
      <c r="F1543" s="43"/>
      <c r="G1543" s="43"/>
      <c r="H1543" s="41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</row>
    <row r="1544" spans="1:60" ht="16">
      <c r="A1544" s="41"/>
      <c r="B1544" s="41"/>
      <c r="C1544" s="41"/>
      <c r="D1544" s="42"/>
      <c r="E1544" s="43"/>
      <c r="F1544" s="43"/>
      <c r="G1544" s="43"/>
      <c r="H1544" s="41"/>
      <c r="I1544" s="43"/>
      <c r="J1544" s="43"/>
      <c r="K1544" s="43"/>
      <c r="L1544" s="43"/>
      <c r="M1544" s="43"/>
      <c r="N1544" s="43"/>
      <c r="O1544" s="43"/>
      <c r="P1544" s="43"/>
      <c r="Q1544" s="43"/>
      <c r="R1544" s="43"/>
      <c r="S1544" s="43"/>
      <c r="T1544" s="43"/>
      <c r="U1544" s="43"/>
      <c r="V1544" s="43"/>
      <c r="W1544" s="43"/>
      <c r="X1544" s="43"/>
      <c r="Y1544" s="43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</row>
    <row r="1545" spans="1:60" ht="16">
      <c r="A1545" s="41"/>
      <c r="B1545" s="41"/>
      <c r="C1545" s="41"/>
      <c r="D1545" s="42"/>
      <c r="E1545" s="43"/>
      <c r="F1545" s="43"/>
      <c r="G1545" s="43"/>
      <c r="H1545" s="41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3"/>
      <c r="U1545" s="43"/>
      <c r="V1545" s="43"/>
      <c r="W1545" s="43"/>
      <c r="X1545" s="43"/>
      <c r="Y1545" s="43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</row>
    <row r="1546" spans="1:60" ht="16">
      <c r="A1546" s="41"/>
      <c r="B1546" s="41"/>
      <c r="C1546" s="41"/>
      <c r="D1546" s="42"/>
      <c r="E1546" s="43"/>
      <c r="F1546" s="43"/>
      <c r="G1546" s="43"/>
      <c r="H1546" s="41"/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</row>
    <row r="1547" spans="1:60" ht="16">
      <c r="A1547" s="41"/>
      <c r="B1547" s="41"/>
      <c r="C1547" s="41"/>
      <c r="D1547" s="42"/>
      <c r="E1547" s="43"/>
      <c r="F1547" s="43"/>
      <c r="G1547" s="43"/>
      <c r="H1547" s="41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</row>
    <row r="1548" spans="1:60" ht="16">
      <c r="A1548" s="41"/>
      <c r="B1548" s="41"/>
      <c r="C1548" s="41"/>
      <c r="D1548" s="42"/>
      <c r="E1548" s="43"/>
      <c r="F1548" s="43"/>
      <c r="G1548" s="43"/>
      <c r="H1548" s="41"/>
      <c r="I1548" s="43"/>
      <c r="J1548" s="43"/>
      <c r="K1548" s="43"/>
      <c r="L1548" s="43"/>
      <c r="M1548" s="43"/>
      <c r="N1548" s="43"/>
      <c r="O1548" s="43"/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</row>
    <row r="1549" spans="1:60" ht="16">
      <c r="A1549" s="41"/>
      <c r="B1549" s="41"/>
      <c r="C1549" s="41"/>
      <c r="D1549" s="42"/>
      <c r="E1549" s="43"/>
      <c r="F1549" s="43"/>
      <c r="G1549" s="43"/>
      <c r="H1549" s="41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3"/>
      <c r="U1549" s="43"/>
      <c r="V1549" s="43"/>
      <c r="W1549" s="43"/>
      <c r="X1549" s="43"/>
      <c r="Y1549" s="43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</row>
    <row r="1550" spans="1:60" ht="16">
      <c r="A1550" s="41"/>
      <c r="B1550" s="41"/>
      <c r="C1550" s="41"/>
      <c r="D1550" s="42"/>
      <c r="E1550" s="43"/>
      <c r="F1550" s="43"/>
      <c r="G1550" s="43"/>
      <c r="H1550" s="41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43"/>
      <c r="U1550" s="43"/>
      <c r="V1550" s="43"/>
      <c r="W1550" s="43"/>
      <c r="X1550" s="43"/>
      <c r="Y1550" s="43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</row>
    <row r="1551" spans="1:60" ht="16">
      <c r="A1551" s="41"/>
      <c r="B1551" s="41"/>
      <c r="C1551" s="41"/>
      <c r="D1551" s="42"/>
      <c r="E1551" s="43"/>
      <c r="F1551" s="43"/>
      <c r="G1551" s="43"/>
      <c r="H1551" s="41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43"/>
      <c r="U1551" s="43"/>
      <c r="V1551" s="43"/>
      <c r="W1551" s="43"/>
      <c r="X1551" s="43"/>
      <c r="Y1551" s="43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</row>
    <row r="1552" spans="1:60" ht="16">
      <c r="A1552" s="41"/>
      <c r="B1552" s="41"/>
      <c r="C1552" s="41"/>
      <c r="D1552" s="42"/>
      <c r="E1552" s="43"/>
      <c r="F1552" s="43"/>
      <c r="G1552" s="43"/>
      <c r="H1552" s="41"/>
      <c r="I1552" s="43"/>
      <c r="J1552" s="43"/>
      <c r="K1552" s="43"/>
      <c r="L1552" s="43"/>
      <c r="M1552" s="43"/>
      <c r="N1552" s="43"/>
      <c r="O1552" s="43"/>
      <c r="P1552" s="43"/>
      <c r="Q1552" s="43"/>
      <c r="R1552" s="43"/>
      <c r="S1552" s="43"/>
      <c r="T1552" s="43"/>
      <c r="U1552" s="43"/>
      <c r="V1552" s="43"/>
      <c r="W1552" s="43"/>
      <c r="X1552" s="43"/>
      <c r="Y1552" s="43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</row>
    <row r="1553" spans="1:60" ht="16">
      <c r="A1553" s="41"/>
      <c r="B1553" s="41"/>
      <c r="C1553" s="41"/>
      <c r="D1553" s="42"/>
      <c r="E1553" s="43"/>
      <c r="F1553" s="43"/>
      <c r="G1553" s="43"/>
      <c r="H1553" s="41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</row>
    <row r="1554" spans="1:60" ht="16">
      <c r="A1554" s="41"/>
      <c r="B1554" s="41"/>
      <c r="C1554" s="41"/>
      <c r="D1554" s="42"/>
      <c r="E1554" s="43"/>
      <c r="F1554" s="43"/>
      <c r="G1554" s="43"/>
      <c r="H1554" s="41"/>
      <c r="I1554" s="43"/>
      <c r="J1554" s="43"/>
      <c r="K1554" s="43"/>
      <c r="L1554" s="43"/>
      <c r="M1554" s="43"/>
      <c r="N1554" s="43"/>
      <c r="O1554" s="43"/>
      <c r="P1554" s="43"/>
      <c r="Q1554" s="43"/>
      <c r="R1554" s="43"/>
      <c r="S1554" s="43"/>
      <c r="T1554" s="43"/>
      <c r="U1554" s="43"/>
      <c r="V1554" s="43"/>
      <c r="W1554" s="43"/>
      <c r="X1554" s="43"/>
      <c r="Y1554" s="43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</row>
    <row r="1555" spans="1:60" ht="16">
      <c r="A1555" s="41"/>
      <c r="B1555" s="41"/>
      <c r="C1555" s="41"/>
      <c r="D1555" s="42"/>
      <c r="E1555" s="43"/>
      <c r="F1555" s="43"/>
      <c r="G1555" s="43"/>
      <c r="H1555" s="41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</row>
    <row r="1556" spans="1:60" ht="16">
      <c r="A1556" s="41"/>
      <c r="B1556" s="41"/>
      <c r="C1556" s="41"/>
      <c r="D1556" s="42"/>
      <c r="E1556" s="43"/>
      <c r="F1556" s="43"/>
      <c r="G1556" s="43"/>
      <c r="H1556" s="41"/>
      <c r="I1556" s="43"/>
      <c r="J1556" s="43"/>
      <c r="K1556" s="43"/>
      <c r="L1556" s="43"/>
      <c r="M1556" s="43"/>
      <c r="N1556" s="43"/>
      <c r="O1556" s="43"/>
      <c r="P1556" s="43"/>
      <c r="Q1556" s="43"/>
      <c r="R1556" s="43"/>
      <c r="S1556" s="43"/>
      <c r="T1556" s="43"/>
      <c r="U1556" s="43"/>
      <c r="V1556" s="43"/>
      <c r="W1556" s="43"/>
      <c r="X1556" s="43"/>
      <c r="Y1556" s="43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</row>
    <row r="1557" spans="1:60" ht="16">
      <c r="A1557" s="41"/>
      <c r="B1557" s="41"/>
      <c r="C1557" s="41"/>
      <c r="D1557" s="42"/>
      <c r="E1557" s="43"/>
      <c r="F1557" s="43"/>
      <c r="G1557" s="43"/>
      <c r="H1557" s="41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3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</row>
    <row r="1558" spans="1:60" ht="16">
      <c r="A1558" s="41"/>
      <c r="B1558" s="41"/>
      <c r="C1558" s="41"/>
      <c r="D1558" s="42"/>
      <c r="E1558" s="43"/>
      <c r="F1558" s="43"/>
      <c r="G1558" s="43"/>
      <c r="H1558" s="41"/>
      <c r="I1558" s="43"/>
      <c r="J1558" s="43"/>
      <c r="K1558" s="43"/>
      <c r="L1558" s="43"/>
      <c r="M1558" s="43"/>
      <c r="N1558" s="43"/>
      <c r="O1558" s="43"/>
      <c r="P1558" s="43"/>
      <c r="Q1558" s="43"/>
      <c r="R1558" s="43"/>
      <c r="S1558" s="43"/>
      <c r="T1558" s="43"/>
      <c r="U1558" s="43"/>
      <c r="V1558" s="43"/>
      <c r="W1558" s="43"/>
      <c r="X1558" s="43"/>
      <c r="Y1558" s="43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</row>
    <row r="1559" spans="1:60" ht="16">
      <c r="A1559" s="41"/>
      <c r="B1559" s="41"/>
      <c r="C1559" s="41"/>
      <c r="D1559" s="42"/>
      <c r="E1559" s="43"/>
      <c r="F1559" s="43"/>
      <c r="G1559" s="43"/>
      <c r="H1559" s="41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</row>
    <row r="1560" spans="1:60" ht="16">
      <c r="A1560" s="41"/>
      <c r="B1560" s="41"/>
      <c r="C1560" s="41"/>
      <c r="D1560" s="42"/>
      <c r="E1560" s="43"/>
      <c r="F1560" s="43"/>
      <c r="G1560" s="43"/>
      <c r="H1560" s="41"/>
      <c r="I1560" s="43"/>
      <c r="J1560" s="43"/>
      <c r="K1560" s="43"/>
      <c r="L1560" s="43"/>
      <c r="M1560" s="43"/>
      <c r="N1560" s="43"/>
      <c r="O1560" s="43"/>
      <c r="P1560" s="43"/>
      <c r="Q1560" s="43"/>
      <c r="R1560" s="43"/>
      <c r="S1560" s="43"/>
      <c r="T1560" s="43"/>
      <c r="U1560" s="43"/>
      <c r="V1560" s="43"/>
      <c r="W1560" s="43"/>
      <c r="X1560" s="43"/>
      <c r="Y1560" s="43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</row>
    <row r="1561" spans="1:60" ht="16">
      <c r="A1561" s="41"/>
      <c r="B1561" s="41"/>
      <c r="C1561" s="41"/>
      <c r="D1561" s="42"/>
      <c r="E1561" s="43"/>
      <c r="F1561" s="43"/>
      <c r="G1561" s="43"/>
      <c r="H1561" s="41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43"/>
      <c r="U1561" s="43"/>
      <c r="V1561" s="43"/>
      <c r="W1561" s="43"/>
      <c r="X1561" s="43"/>
      <c r="Y1561" s="43"/>
      <c r="Z1561" s="46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</row>
    <row r="1562" spans="1:60" ht="16">
      <c r="A1562" s="41"/>
      <c r="B1562" s="41"/>
      <c r="C1562" s="41"/>
      <c r="D1562" s="42"/>
      <c r="E1562" s="43"/>
      <c r="F1562" s="43"/>
      <c r="G1562" s="43"/>
      <c r="H1562" s="41"/>
      <c r="I1562" s="43"/>
      <c r="J1562" s="43"/>
      <c r="K1562" s="43"/>
      <c r="L1562" s="43"/>
      <c r="M1562" s="43"/>
      <c r="N1562" s="43"/>
      <c r="O1562" s="43"/>
      <c r="P1562" s="43"/>
      <c r="Q1562" s="43"/>
      <c r="R1562" s="43"/>
      <c r="S1562" s="43"/>
      <c r="T1562" s="43"/>
      <c r="U1562" s="43"/>
      <c r="V1562" s="43"/>
      <c r="W1562" s="43"/>
      <c r="X1562" s="43"/>
      <c r="Y1562" s="43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</row>
    <row r="1563" spans="1:60" ht="16">
      <c r="A1563" s="41"/>
      <c r="B1563" s="41"/>
      <c r="C1563" s="41"/>
      <c r="D1563" s="42"/>
      <c r="E1563" s="43"/>
      <c r="F1563" s="43"/>
      <c r="G1563" s="43"/>
      <c r="H1563" s="41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</row>
    <row r="1564" spans="1:60" ht="16">
      <c r="A1564" s="41"/>
      <c r="B1564" s="41"/>
      <c r="C1564" s="41"/>
      <c r="D1564" s="42"/>
      <c r="E1564" s="43"/>
      <c r="F1564" s="43"/>
      <c r="G1564" s="43"/>
      <c r="H1564" s="41"/>
      <c r="I1564" s="43"/>
      <c r="J1564" s="43"/>
      <c r="K1564" s="43"/>
      <c r="L1564" s="43"/>
      <c r="M1564" s="43"/>
      <c r="N1564" s="43"/>
      <c r="O1564" s="43"/>
      <c r="P1564" s="43"/>
      <c r="Q1564" s="43"/>
      <c r="R1564" s="43"/>
      <c r="S1564" s="43"/>
      <c r="T1564" s="43"/>
      <c r="U1564" s="43"/>
      <c r="V1564" s="43"/>
      <c r="W1564" s="43"/>
      <c r="X1564" s="43"/>
      <c r="Y1564" s="43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</row>
    <row r="1565" spans="1:60" ht="16">
      <c r="A1565" s="41"/>
      <c r="B1565" s="41"/>
      <c r="C1565" s="41"/>
      <c r="D1565" s="42"/>
      <c r="E1565" s="43"/>
      <c r="F1565" s="43"/>
      <c r="G1565" s="43"/>
      <c r="H1565" s="41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3"/>
      <c r="W1565" s="43"/>
      <c r="X1565" s="43"/>
      <c r="Y1565" s="43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</row>
    <row r="1566" spans="1:60" ht="16">
      <c r="A1566" s="41"/>
      <c r="B1566" s="41"/>
      <c r="C1566" s="41"/>
      <c r="D1566" s="42"/>
      <c r="E1566" s="43"/>
      <c r="F1566" s="43"/>
      <c r="G1566" s="43"/>
      <c r="H1566" s="41"/>
      <c r="I1566" s="43"/>
      <c r="J1566" s="43"/>
      <c r="K1566" s="43"/>
      <c r="L1566" s="43"/>
      <c r="M1566" s="43"/>
      <c r="N1566" s="43"/>
      <c r="O1566" s="43"/>
      <c r="P1566" s="43"/>
      <c r="Q1566" s="43"/>
      <c r="R1566" s="43"/>
      <c r="S1566" s="43"/>
      <c r="T1566" s="43"/>
      <c r="U1566" s="43"/>
      <c r="V1566" s="43"/>
      <c r="W1566" s="43"/>
      <c r="X1566" s="43"/>
      <c r="Y1566" s="43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</row>
    <row r="1567" spans="1:60" ht="16">
      <c r="A1567" s="41"/>
      <c r="B1567" s="41"/>
      <c r="C1567" s="41"/>
      <c r="D1567" s="42"/>
      <c r="E1567" s="43"/>
      <c r="F1567" s="43"/>
      <c r="G1567" s="43"/>
      <c r="H1567" s="41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</row>
    <row r="1568" spans="1:60" ht="16">
      <c r="A1568" s="41"/>
      <c r="B1568" s="41"/>
      <c r="C1568" s="41"/>
      <c r="D1568" s="42"/>
      <c r="E1568" s="43"/>
      <c r="F1568" s="43"/>
      <c r="G1568" s="43"/>
      <c r="H1568" s="41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43"/>
      <c r="U1568" s="43"/>
      <c r="V1568" s="43"/>
      <c r="W1568" s="43"/>
      <c r="X1568" s="43"/>
      <c r="Y1568" s="43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</row>
    <row r="1569" spans="1:60" ht="16">
      <c r="A1569" s="41"/>
      <c r="B1569" s="41"/>
      <c r="C1569" s="41"/>
      <c r="D1569" s="42"/>
      <c r="E1569" s="43"/>
      <c r="F1569" s="43"/>
      <c r="G1569" s="43"/>
      <c r="H1569" s="41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</row>
    <row r="1570" spans="1:60" ht="16">
      <c r="A1570" s="41"/>
      <c r="B1570" s="41"/>
      <c r="C1570" s="41"/>
      <c r="D1570" s="42"/>
      <c r="E1570" s="43"/>
      <c r="F1570" s="43"/>
      <c r="G1570" s="43"/>
      <c r="H1570" s="41"/>
      <c r="I1570" s="43"/>
      <c r="J1570" s="43"/>
      <c r="K1570" s="43"/>
      <c r="L1570" s="43"/>
      <c r="M1570" s="43"/>
      <c r="N1570" s="43"/>
      <c r="O1570" s="43"/>
      <c r="P1570" s="43"/>
      <c r="Q1570" s="43"/>
      <c r="R1570" s="43"/>
      <c r="S1570" s="43"/>
      <c r="T1570" s="43"/>
      <c r="U1570" s="43"/>
      <c r="V1570" s="43"/>
      <c r="W1570" s="43"/>
      <c r="X1570" s="43"/>
      <c r="Y1570" s="43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</row>
    <row r="1571" spans="1:60" ht="16">
      <c r="A1571" s="41"/>
      <c r="B1571" s="41"/>
      <c r="C1571" s="41"/>
      <c r="D1571" s="42"/>
      <c r="E1571" s="43"/>
      <c r="F1571" s="43"/>
      <c r="G1571" s="43"/>
      <c r="H1571" s="41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</row>
    <row r="1572" spans="1:60" ht="16">
      <c r="A1572" s="41"/>
      <c r="B1572" s="41"/>
      <c r="C1572" s="41"/>
      <c r="D1572" s="42"/>
      <c r="E1572" s="43"/>
      <c r="F1572" s="43"/>
      <c r="G1572" s="43"/>
      <c r="H1572" s="41"/>
      <c r="I1572" s="43"/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  <c r="T1572" s="43"/>
      <c r="U1572" s="43"/>
      <c r="V1572" s="43"/>
      <c r="W1572" s="43"/>
      <c r="X1572" s="43"/>
      <c r="Y1572" s="43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</row>
    <row r="1573" spans="1:60" ht="16">
      <c r="A1573" s="41"/>
      <c r="B1573" s="41"/>
      <c r="C1573" s="41"/>
      <c r="D1573" s="42"/>
      <c r="E1573" s="43"/>
      <c r="F1573" s="43"/>
      <c r="G1573" s="43"/>
      <c r="H1573" s="41"/>
      <c r="I1573" s="43"/>
      <c r="J1573" s="43"/>
      <c r="K1573" s="43"/>
      <c r="L1573" s="43"/>
      <c r="M1573" s="43"/>
      <c r="N1573" s="43"/>
      <c r="O1573" s="43"/>
      <c r="P1573" s="43"/>
      <c r="Q1573" s="43"/>
      <c r="R1573" s="43"/>
      <c r="S1573" s="43"/>
      <c r="T1573" s="43"/>
      <c r="U1573" s="43"/>
      <c r="V1573" s="43"/>
      <c r="W1573" s="43"/>
      <c r="X1573" s="43"/>
      <c r="Y1573" s="43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</row>
    <row r="1574" spans="1:60" ht="16">
      <c r="A1574" s="41"/>
      <c r="B1574" s="41"/>
      <c r="C1574" s="41"/>
      <c r="D1574" s="42"/>
      <c r="E1574" s="43"/>
      <c r="F1574" s="43"/>
      <c r="G1574" s="43"/>
      <c r="H1574" s="41"/>
      <c r="I1574" s="43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3"/>
      <c r="W1574" s="43"/>
      <c r="X1574" s="43"/>
      <c r="Y1574" s="43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</row>
    <row r="1575" spans="1:60" ht="16">
      <c r="A1575" s="41"/>
      <c r="B1575" s="41"/>
      <c r="C1575" s="41"/>
      <c r="D1575" s="42"/>
      <c r="E1575" s="43"/>
      <c r="F1575" s="43"/>
      <c r="G1575" s="43"/>
      <c r="H1575" s="41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3"/>
      <c r="U1575" s="43"/>
      <c r="V1575" s="43"/>
      <c r="W1575" s="43"/>
      <c r="X1575" s="43"/>
      <c r="Y1575" s="43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</row>
    <row r="1576" spans="1:60" ht="16">
      <c r="A1576" s="41"/>
      <c r="B1576" s="41"/>
      <c r="C1576" s="41"/>
      <c r="D1576" s="42"/>
      <c r="E1576" s="43"/>
      <c r="F1576" s="43"/>
      <c r="G1576" s="43"/>
      <c r="H1576" s="41"/>
      <c r="I1576" s="43"/>
      <c r="J1576" s="43"/>
      <c r="K1576" s="43"/>
      <c r="L1576" s="43"/>
      <c r="M1576" s="43"/>
      <c r="N1576" s="43"/>
      <c r="O1576" s="43"/>
      <c r="P1576" s="43"/>
      <c r="Q1576" s="43"/>
      <c r="R1576" s="43"/>
      <c r="S1576" s="43"/>
      <c r="T1576" s="43"/>
      <c r="U1576" s="43"/>
      <c r="V1576" s="43"/>
      <c r="W1576" s="43"/>
      <c r="X1576" s="43"/>
      <c r="Y1576" s="43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</row>
    <row r="1577" spans="1:60" ht="16">
      <c r="A1577" s="41"/>
      <c r="B1577" s="41"/>
      <c r="C1577" s="41"/>
      <c r="D1577" s="42"/>
      <c r="E1577" s="43"/>
      <c r="F1577" s="43"/>
      <c r="G1577" s="43"/>
      <c r="H1577" s="41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</row>
    <row r="1578" spans="1:60" ht="16">
      <c r="A1578" s="41"/>
      <c r="B1578" s="41"/>
      <c r="C1578" s="41"/>
      <c r="D1578" s="42"/>
      <c r="E1578" s="43"/>
      <c r="F1578" s="43"/>
      <c r="G1578" s="43"/>
      <c r="H1578" s="41"/>
      <c r="I1578" s="43"/>
      <c r="J1578" s="43"/>
      <c r="K1578" s="43"/>
      <c r="L1578" s="43"/>
      <c r="M1578" s="43"/>
      <c r="N1578" s="43"/>
      <c r="O1578" s="43"/>
      <c r="P1578" s="43"/>
      <c r="Q1578" s="43"/>
      <c r="R1578" s="43"/>
      <c r="S1578" s="43"/>
      <c r="T1578" s="43"/>
      <c r="U1578" s="43"/>
      <c r="V1578" s="43"/>
      <c r="W1578" s="43"/>
      <c r="X1578" s="43"/>
      <c r="Y1578" s="43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</row>
    <row r="1579" spans="1:60" ht="16">
      <c r="A1579" s="41"/>
      <c r="B1579" s="41"/>
      <c r="C1579" s="41"/>
      <c r="D1579" s="42"/>
      <c r="E1579" s="43"/>
      <c r="F1579" s="43"/>
      <c r="G1579" s="43"/>
      <c r="H1579" s="41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3"/>
      <c r="U1579" s="43"/>
      <c r="V1579" s="43"/>
      <c r="W1579" s="43"/>
      <c r="X1579" s="43"/>
      <c r="Y1579" s="43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</row>
    <row r="1580" spans="1:60" ht="16">
      <c r="A1580" s="41"/>
      <c r="B1580" s="41"/>
      <c r="C1580" s="41"/>
      <c r="D1580" s="42"/>
      <c r="E1580" s="43"/>
      <c r="F1580" s="43"/>
      <c r="G1580" s="43"/>
      <c r="H1580" s="41"/>
      <c r="I1580" s="43"/>
      <c r="J1580" s="43"/>
      <c r="K1580" s="43"/>
      <c r="L1580" s="43"/>
      <c r="M1580" s="43"/>
      <c r="N1580" s="43"/>
      <c r="O1580" s="43"/>
      <c r="P1580" s="43"/>
      <c r="Q1580" s="43"/>
      <c r="R1580" s="43"/>
      <c r="S1580" s="43"/>
      <c r="T1580" s="43"/>
      <c r="U1580" s="43"/>
      <c r="V1580" s="43"/>
      <c r="W1580" s="43"/>
      <c r="X1580" s="43"/>
      <c r="Y1580" s="43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</row>
    <row r="1581" spans="1:60" ht="16">
      <c r="A1581" s="41"/>
      <c r="B1581" s="41"/>
      <c r="C1581" s="41"/>
      <c r="D1581" s="42"/>
      <c r="E1581" s="43"/>
      <c r="F1581" s="43"/>
      <c r="G1581" s="43"/>
      <c r="H1581" s="41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3"/>
      <c r="U1581" s="43"/>
      <c r="V1581" s="43"/>
      <c r="W1581" s="43"/>
      <c r="X1581" s="43"/>
      <c r="Y1581" s="43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</row>
    <row r="1582" spans="1:60" ht="16">
      <c r="A1582" s="41"/>
      <c r="B1582" s="41"/>
      <c r="C1582" s="41"/>
      <c r="D1582" s="42"/>
      <c r="E1582" s="43"/>
      <c r="F1582" s="43"/>
      <c r="G1582" s="43"/>
      <c r="H1582" s="41"/>
      <c r="I1582" s="43"/>
      <c r="J1582" s="43"/>
      <c r="K1582" s="43"/>
      <c r="L1582" s="43"/>
      <c r="M1582" s="43"/>
      <c r="N1582" s="43"/>
      <c r="O1582" s="43"/>
      <c r="P1582" s="43"/>
      <c r="Q1582" s="43"/>
      <c r="R1582" s="43"/>
      <c r="S1582" s="43"/>
      <c r="T1582" s="43"/>
      <c r="U1582" s="43"/>
      <c r="V1582" s="43"/>
      <c r="W1582" s="43"/>
      <c r="X1582" s="43"/>
      <c r="Y1582" s="43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</row>
    <row r="1583" spans="1:60" ht="16">
      <c r="A1583" s="41"/>
      <c r="B1583" s="41"/>
      <c r="C1583" s="41"/>
      <c r="D1583" s="42"/>
      <c r="E1583" s="43"/>
      <c r="F1583" s="43"/>
      <c r="G1583" s="43"/>
      <c r="H1583" s="41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3"/>
      <c r="U1583" s="43"/>
      <c r="V1583" s="43"/>
      <c r="W1583" s="43"/>
      <c r="X1583" s="43"/>
      <c r="Y1583" s="43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</row>
    <row r="1584" spans="1:60" ht="16">
      <c r="A1584" s="41"/>
      <c r="B1584" s="41"/>
      <c r="C1584" s="41"/>
      <c r="D1584" s="42"/>
      <c r="E1584" s="43"/>
      <c r="F1584" s="43"/>
      <c r="G1584" s="43"/>
      <c r="H1584" s="41"/>
      <c r="I1584" s="43"/>
      <c r="J1584" s="43"/>
      <c r="K1584" s="43"/>
      <c r="L1584" s="43"/>
      <c r="M1584" s="43"/>
      <c r="N1584" s="43"/>
      <c r="O1584" s="43"/>
      <c r="P1584" s="43"/>
      <c r="Q1584" s="43"/>
      <c r="R1584" s="43"/>
      <c r="S1584" s="43"/>
      <c r="T1584" s="43"/>
      <c r="U1584" s="43"/>
      <c r="V1584" s="43"/>
      <c r="W1584" s="43"/>
      <c r="X1584" s="43"/>
      <c r="Y1584" s="43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</row>
    <row r="1585" spans="1:60" ht="16">
      <c r="A1585" s="41"/>
      <c r="B1585" s="41"/>
      <c r="C1585" s="41"/>
      <c r="D1585" s="42"/>
      <c r="E1585" s="43"/>
      <c r="F1585" s="43"/>
      <c r="G1585" s="43"/>
      <c r="H1585" s="41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</row>
    <row r="1586" spans="1:60" ht="16">
      <c r="A1586" s="41"/>
      <c r="B1586" s="41"/>
      <c r="C1586" s="41"/>
      <c r="D1586" s="42"/>
      <c r="E1586" s="43"/>
      <c r="F1586" s="43"/>
      <c r="G1586" s="43"/>
      <c r="H1586" s="41"/>
      <c r="I1586" s="43"/>
      <c r="J1586" s="43"/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</row>
    <row r="1587" spans="1:60" ht="16">
      <c r="A1587" s="41"/>
      <c r="B1587" s="41"/>
      <c r="C1587" s="41"/>
      <c r="D1587" s="42"/>
      <c r="E1587" s="43"/>
      <c r="F1587" s="43"/>
      <c r="G1587" s="43"/>
      <c r="H1587" s="41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</row>
    <row r="1588" spans="1:60" ht="16">
      <c r="A1588" s="41"/>
      <c r="B1588" s="41"/>
      <c r="C1588" s="41"/>
      <c r="D1588" s="42"/>
      <c r="E1588" s="43"/>
      <c r="F1588" s="43"/>
      <c r="G1588" s="43"/>
      <c r="H1588" s="41"/>
      <c r="I1588" s="43"/>
      <c r="J1588" s="43"/>
      <c r="K1588" s="43"/>
      <c r="L1588" s="43"/>
      <c r="M1588" s="43"/>
      <c r="N1588" s="43"/>
      <c r="O1588" s="43"/>
      <c r="P1588" s="43"/>
      <c r="Q1588" s="43"/>
      <c r="R1588" s="43"/>
      <c r="S1588" s="43"/>
      <c r="T1588" s="43"/>
      <c r="U1588" s="43"/>
      <c r="V1588" s="43"/>
      <c r="W1588" s="43"/>
      <c r="X1588" s="43"/>
      <c r="Y1588" s="43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</row>
    <row r="1589" spans="1:60" ht="16">
      <c r="A1589" s="41"/>
      <c r="B1589" s="41"/>
      <c r="C1589" s="41"/>
      <c r="D1589" s="42"/>
      <c r="E1589" s="43"/>
      <c r="F1589" s="43"/>
      <c r="G1589" s="43"/>
      <c r="H1589" s="41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3"/>
      <c r="U1589" s="43"/>
      <c r="V1589" s="43"/>
      <c r="W1589" s="43"/>
      <c r="X1589" s="43"/>
      <c r="Y1589" s="43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</row>
    <row r="1590" spans="1:60" ht="16">
      <c r="A1590" s="41"/>
      <c r="B1590" s="41"/>
      <c r="C1590" s="41"/>
      <c r="D1590" s="42"/>
      <c r="E1590" s="43"/>
      <c r="F1590" s="43"/>
      <c r="G1590" s="43"/>
      <c r="H1590" s="41"/>
      <c r="I1590" s="43"/>
      <c r="J1590" s="43"/>
      <c r="K1590" s="43"/>
      <c r="L1590" s="43"/>
      <c r="M1590" s="43"/>
      <c r="N1590" s="43"/>
      <c r="O1590" s="43"/>
      <c r="P1590" s="43"/>
      <c r="Q1590" s="43"/>
      <c r="R1590" s="43"/>
      <c r="S1590" s="43"/>
      <c r="T1590" s="43"/>
      <c r="U1590" s="43"/>
      <c r="V1590" s="43"/>
      <c r="W1590" s="43"/>
      <c r="X1590" s="43"/>
      <c r="Y1590" s="43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</row>
    <row r="1591" spans="1:60" ht="16">
      <c r="A1591" s="41"/>
      <c r="B1591" s="41"/>
      <c r="C1591" s="41"/>
      <c r="D1591" s="42"/>
      <c r="E1591" s="43"/>
      <c r="F1591" s="43"/>
      <c r="G1591" s="43"/>
      <c r="H1591" s="41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3"/>
      <c r="U1591" s="43"/>
      <c r="V1591" s="43"/>
      <c r="W1591" s="43"/>
      <c r="X1591" s="43"/>
      <c r="Y1591" s="43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</row>
    <row r="1592" spans="1:60" ht="16">
      <c r="A1592" s="41"/>
      <c r="B1592" s="41"/>
      <c r="C1592" s="41"/>
      <c r="D1592" s="42"/>
      <c r="E1592" s="43"/>
      <c r="F1592" s="43"/>
      <c r="G1592" s="43"/>
      <c r="H1592" s="41"/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3"/>
      <c r="W1592" s="43"/>
      <c r="X1592" s="43"/>
      <c r="Y1592" s="43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</row>
    <row r="1593" spans="1:60" ht="16">
      <c r="A1593" s="41"/>
      <c r="B1593" s="41"/>
      <c r="C1593" s="41"/>
      <c r="D1593" s="42"/>
      <c r="E1593" s="43"/>
      <c r="F1593" s="43"/>
      <c r="G1593" s="43"/>
      <c r="H1593" s="41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</row>
    <row r="1594" spans="1:60" ht="16">
      <c r="A1594" s="41"/>
      <c r="B1594" s="41"/>
      <c r="C1594" s="41"/>
      <c r="D1594" s="42"/>
      <c r="E1594" s="43"/>
      <c r="F1594" s="43"/>
      <c r="G1594" s="43"/>
      <c r="H1594" s="41"/>
      <c r="I1594" s="43"/>
      <c r="J1594" s="43"/>
      <c r="K1594" s="43"/>
      <c r="L1594" s="43"/>
      <c r="M1594" s="43"/>
      <c r="N1594" s="43"/>
      <c r="O1594" s="43"/>
      <c r="P1594" s="43"/>
      <c r="Q1594" s="43"/>
      <c r="R1594" s="43"/>
      <c r="S1594" s="43"/>
      <c r="T1594" s="43"/>
      <c r="U1594" s="43"/>
      <c r="V1594" s="43"/>
      <c r="W1594" s="43"/>
      <c r="X1594" s="43"/>
      <c r="Y1594" s="43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</row>
    <row r="1595" spans="1:60" ht="16">
      <c r="A1595" s="41"/>
      <c r="B1595" s="41"/>
      <c r="C1595" s="41"/>
      <c r="D1595" s="42"/>
      <c r="E1595" s="43"/>
      <c r="F1595" s="43"/>
      <c r="G1595" s="43"/>
      <c r="H1595" s="41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3"/>
      <c r="U1595" s="43"/>
      <c r="V1595" s="43"/>
      <c r="W1595" s="43"/>
      <c r="X1595" s="43"/>
      <c r="Y1595" s="43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</row>
    <row r="1596" spans="1:60" ht="16">
      <c r="A1596" s="41"/>
      <c r="B1596" s="41"/>
      <c r="C1596" s="41"/>
      <c r="D1596" s="42"/>
      <c r="E1596" s="43"/>
      <c r="F1596" s="43"/>
      <c r="G1596" s="43"/>
      <c r="H1596" s="41"/>
      <c r="I1596" s="43"/>
      <c r="J1596" s="43"/>
      <c r="K1596" s="43"/>
      <c r="L1596" s="43"/>
      <c r="M1596" s="43"/>
      <c r="N1596" s="43"/>
      <c r="O1596" s="43"/>
      <c r="P1596" s="43"/>
      <c r="Q1596" s="43"/>
      <c r="R1596" s="43"/>
      <c r="S1596" s="43"/>
      <c r="T1596" s="43"/>
      <c r="U1596" s="43"/>
      <c r="V1596" s="43"/>
      <c r="W1596" s="43"/>
      <c r="X1596" s="43"/>
      <c r="Y1596" s="43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</row>
    <row r="1597" spans="1:60" ht="16">
      <c r="A1597" s="41"/>
      <c r="B1597" s="41"/>
      <c r="C1597" s="41"/>
      <c r="D1597" s="42"/>
      <c r="E1597" s="43"/>
      <c r="F1597" s="43"/>
      <c r="G1597" s="43"/>
      <c r="H1597" s="41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</row>
    <row r="1598" spans="1:60" ht="16">
      <c r="A1598" s="41"/>
      <c r="B1598" s="41"/>
      <c r="C1598" s="41"/>
      <c r="D1598" s="42"/>
      <c r="E1598" s="43"/>
      <c r="F1598" s="43"/>
      <c r="G1598" s="43"/>
      <c r="H1598" s="41"/>
      <c r="I1598" s="43"/>
      <c r="J1598" s="43"/>
      <c r="K1598" s="43"/>
      <c r="L1598" s="43"/>
      <c r="M1598" s="43"/>
      <c r="N1598" s="43"/>
      <c r="O1598" s="43"/>
      <c r="P1598" s="43"/>
      <c r="Q1598" s="43"/>
      <c r="R1598" s="43"/>
      <c r="S1598" s="43"/>
      <c r="T1598" s="43"/>
      <c r="U1598" s="43"/>
      <c r="V1598" s="43"/>
      <c r="W1598" s="43"/>
      <c r="X1598" s="43"/>
      <c r="Y1598" s="43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</row>
    <row r="1599" spans="1:60" ht="16">
      <c r="A1599" s="41"/>
      <c r="B1599" s="41"/>
      <c r="C1599" s="41"/>
      <c r="D1599" s="42"/>
      <c r="E1599" s="43"/>
      <c r="F1599" s="43"/>
      <c r="G1599" s="43"/>
      <c r="H1599" s="41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3"/>
      <c r="U1599" s="43"/>
      <c r="V1599" s="43"/>
      <c r="W1599" s="43"/>
      <c r="X1599" s="43"/>
      <c r="Y1599" s="43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</row>
    <row r="1600" spans="1:60" ht="16">
      <c r="A1600" s="41"/>
      <c r="B1600" s="41"/>
      <c r="C1600" s="41"/>
      <c r="D1600" s="42"/>
      <c r="E1600" s="43"/>
      <c r="F1600" s="43"/>
      <c r="G1600" s="43"/>
      <c r="H1600" s="41"/>
      <c r="I1600" s="43"/>
      <c r="J1600" s="43"/>
      <c r="K1600" s="43"/>
      <c r="L1600" s="43"/>
      <c r="M1600" s="43"/>
      <c r="N1600" s="43"/>
      <c r="O1600" s="43"/>
      <c r="P1600" s="43"/>
      <c r="Q1600" s="43"/>
      <c r="R1600" s="43"/>
      <c r="S1600" s="43"/>
      <c r="T1600" s="43"/>
      <c r="U1600" s="43"/>
      <c r="V1600" s="43"/>
      <c r="W1600" s="43"/>
      <c r="X1600" s="43"/>
      <c r="Y1600" s="43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</row>
    <row r="1601" spans="1:60" ht="16">
      <c r="A1601" s="41"/>
      <c r="B1601" s="41"/>
      <c r="C1601" s="41"/>
      <c r="D1601" s="42"/>
      <c r="E1601" s="43"/>
      <c r="F1601" s="43"/>
      <c r="G1601" s="43"/>
      <c r="H1601" s="41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</row>
    <row r="1602" spans="1:60" ht="16">
      <c r="A1602" s="41"/>
      <c r="B1602" s="41"/>
      <c r="C1602" s="41"/>
      <c r="D1602" s="42"/>
      <c r="E1602" s="43"/>
      <c r="F1602" s="43"/>
      <c r="G1602" s="43"/>
      <c r="H1602" s="41"/>
      <c r="I1602" s="43"/>
      <c r="J1602" s="43"/>
      <c r="K1602" s="43"/>
      <c r="L1602" s="43"/>
      <c r="M1602" s="43"/>
      <c r="N1602" s="43"/>
      <c r="O1602" s="43"/>
      <c r="P1602" s="43"/>
      <c r="Q1602" s="43"/>
      <c r="R1602" s="43"/>
      <c r="S1602" s="43"/>
      <c r="T1602" s="43"/>
      <c r="U1602" s="43"/>
      <c r="V1602" s="43"/>
      <c r="W1602" s="43"/>
      <c r="X1602" s="43"/>
      <c r="Y1602" s="43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</row>
    <row r="1603" spans="1:60" ht="16">
      <c r="A1603" s="41"/>
      <c r="B1603" s="41"/>
      <c r="C1603" s="41"/>
      <c r="D1603" s="42"/>
      <c r="E1603" s="43"/>
      <c r="F1603" s="43"/>
      <c r="G1603" s="43"/>
      <c r="H1603" s="41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</row>
    <row r="1604" spans="1:60" ht="16">
      <c r="A1604" s="41"/>
      <c r="B1604" s="41"/>
      <c r="C1604" s="41"/>
      <c r="D1604" s="42"/>
      <c r="E1604" s="43"/>
      <c r="F1604" s="43"/>
      <c r="G1604" s="43"/>
      <c r="H1604" s="41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</row>
    <row r="1605" spans="1:60" ht="16">
      <c r="A1605" s="41"/>
      <c r="B1605" s="41"/>
      <c r="C1605" s="41"/>
      <c r="D1605" s="42"/>
      <c r="E1605" s="43"/>
      <c r="F1605" s="43"/>
      <c r="G1605" s="43"/>
      <c r="H1605" s="41"/>
      <c r="I1605" s="43"/>
      <c r="J1605" s="43"/>
      <c r="K1605" s="43"/>
      <c r="L1605" s="43"/>
      <c r="M1605" s="43"/>
      <c r="N1605" s="43"/>
      <c r="O1605" s="43"/>
      <c r="P1605" s="43"/>
      <c r="Q1605" s="43"/>
      <c r="R1605" s="43"/>
      <c r="S1605" s="43"/>
      <c r="T1605" s="43"/>
      <c r="U1605" s="43"/>
      <c r="V1605" s="43"/>
      <c r="W1605" s="43"/>
      <c r="X1605" s="43"/>
      <c r="Y1605" s="43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</row>
    <row r="1606" spans="1:60" ht="16">
      <c r="A1606" s="41"/>
      <c r="B1606" s="41"/>
      <c r="C1606" s="41"/>
      <c r="D1606" s="42"/>
      <c r="E1606" s="43"/>
      <c r="F1606" s="43"/>
      <c r="G1606" s="43"/>
      <c r="H1606" s="41"/>
      <c r="I1606" s="43"/>
      <c r="J1606" s="43"/>
      <c r="K1606" s="43"/>
      <c r="L1606" s="43"/>
      <c r="M1606" s="43"/>
      <c r="N1606" s="43"/>
      <c r="O1606" s="43"/>
      <c r="P1606" s="43"/>
      <c r="Q1606" s="43"/>
      <c r="R1606" s="43"/>
      <c r="S1606" s="43"/>
      <c r="T1606" s="43"/>
      <c r="U1606" s="43"/>
      <c r="V1606" s="43"/>
      <c r="W1606" s="43"/>
      <c r="X1606" s="43"/>
      <c r="Y1606" s="43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</row>
    <row r="1607" spans="1:60" ht="16">
      <c r="A1607" s="41"/>
      <c r="B1607" s="41"/>
      <c r="C1607" s="41"/>
      <c r="D1607" s="42"/>
      <c r="E1607" s="43"/>
      <c r="F1607" s="43"/>
      <c r="G1607" s="43"/>
      <c r="H1607" s="41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3"/>
      <c r="W1607" s="43"/>
      <c r="X1607" s="43"/>
      <c r="Y1607" s="43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</row>
    <row r="1608" spans="1:60" ht="16">
      <c r="A1608" s="41"/>
      <c r="B1608" s="41"/>
      <c r="C1608" s="41"/>
      <c r="D1608" s="42"/>
      <c r="E1608" s="43"/>
      <c r="F1608" s="43"/>
      <c r="G1608" s="43"/>
      <c r="H1608" s="41"/>
      <c r="I1608" s="43"/>
      <c r="J1608" s="43"/>
      <c r="K1608" s="43"/>
      <c r="L1608" s="43"/>
      <c r="M1608" s="43"/>
      <c r="N1608" s="43"/>
      <c r="O1608" s="43"/>
      <c r="P1608" s="43"/>
      <c r="Q1608" s="43"/>
      <c r="R1608" s="43"/>
      <c r="S1608" s="43"/>
      <c r="T1608" s="43"/>
      <c r="U1608" s="43"/>
      <c r="V1608" s="43"/>
      <c r="W1608" s="43"/>
      <c r="X1608" s="43"/>
      <c r="Y1608" s="43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</row>
    <row r="1609" spans="1:60" ht="16">
      <c r="A1609" s="41"/>
      <c r="B1609" s="41"/>
      <c r="C1609" s="41"/>
      <c r="D1609" s="42"/>
      <c r="E1609" s="43"/>
      <c r="F1609" s="43"/>
      <c r="G1609" s="43"/>
      <c r="H1609" s="41"/>
      <c r="I1609" s="43"/>
      <c r="J1609" s="43"/>
      <c r="K1609" s="43"/>
      <c r="L1609" s="43"/>
      <c r="M1609" s="43"/>
      <c r="N1609" s="43"/>
      <c r="O1609" s="43"/>
      <c r="P1609" s="43"/>
      <c r="Q1609" s="43"/>
      <c r="R1609" s="43"/>
      <c r="S1609" s="43"/>
      <c r="T1609" s="43"/>
      <c r="U1609" s="43"/>
      <c r="V1609" s="43"/>
      <c r="W1609" s="43"/>
      <c r="X1609" s="43"/>
      <c r="Y1609" s="43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</row>
    <row r="1610" spans="1:60" ht="16">
      <c r="A1610" s="41"/>
      <c r="B1610" s="41"/>
      <c r="C1610" s="41"/>
      <c r="D1610" s="42"/>
      <c r="E1610" s="43"/>
      <c r="F1610" s="43"/>
      <c r="G1610" s="43"/>
      <c r="H1610" s="41"/>
      <c r="I1610" s="43"/>
      <c r="J1610" s="43"/>
      <c r="K1610" s="43"/>
      <c r="L1610" s="43"/>
      <c r="M1610" s="43"/>
      <c r="N1610" s="43"/>
      <c r="O1610" s="43"/>
      <c r="P1610" s="43"/>
      <c r="Q1610" s="43"/>
      <c r="R1610" s="43"/>
      <c r="S1610" s="43"/>
      <c r="T1610" s="43"/>
      <c r="U1610" s="43"/>
      <c r="V1610" s="43"/>
      <c r="W1610" s="43"/>
      <c r="X1610" s="43"/>
      <c r="Y1610" s="43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</row>
    <row r="1611" spans="1:60" ht="16">
      <c r="A1611" s="41"/>
      <c r="B1611" s="41"/>
      <c r="C1611" s="41"/>
      <c r="D1611" s="42"/>
      <c r="E1611" s="43"/>
      <c r="F1611" s="43"/>
      <c r="G1611" s="43"/>
      <c r="H1611" s="41"/>
      <c r="I1611" s="43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3"/>
      <c r="U1611" s="43"/>
      <c r="V1611" s="43"/>
      <c r="W1611" s="43"/>
      <c r="X1611" s="43"/>
      <c r="Y1611" s="43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</row>
    <row r="1612" spans="1:60" ht="16">
      <c r="A1612" s="41"/>
      <c r="B1612" s="41"/>
      <c r="C1612" s="41"/>
      <c r="D1612" s="42"/>
      <c r="E1612" s="43"/>
      <c r="F1612" s="43"/>
      <c r="G1612" s="43"/>
      <c r="H1612" s="41"/>
      <c r="I1612" s="43"/>
      <c r="J1612" s="43"/>
      <c r="K1612" s="43"/>
      <c r="L1612" s="43"/>
      <c r="M1612" s="43"/>
      <c r="N1612" s="43"/>
      <c r="O1612" s="43"/>
      <c r="P1612" s="43"/>
      <c r="Q1612" s="43"/>
      <c r="R1612" s="43"/>
      <c r="S1612" s="43"/>
      <c r="T1612" s="43"/>
      <c r="U1612" s="43"/>
      <c r="V1612" s="43"/>
      <c r="W1612" s="43"/>
      <c r="X1612" s="43"/>
      <c r="Y1612" s="43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</row>
    <row r="1613" spans="1:60" ht="16">
      <c r="A1613" s="41"/>
      <c r="B1613" s="41"/>
      <c r="C1613" s="41"/>
      <c r="D1613" s="42"/>
      <c r="E1613" s="43"/>
      <c r="F1613" s="43"/>
      <c r="G1613" s="43"/>
      <c r="H1613" s="41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</row>
    <row r="1614" spans="1:60" ht="16">
      <c r="A1614" s="41"/>
      <c r="B1614" s="41"/>
      <c r="C1614" s="41"/>
      <c r="D1614" s="42"/>
      <c r="E1614" s="43"/>
      <c r="F1614" s="43"/>
      <c r="G1614" s="43"/>
      <c r="H1614" s="41"/>
      <c r="I1614" s="43"/>
      <c r="J1614" s="43"/>
      <c r="K1614" s="43"/>
      <c r="L1614" s="43"/>
      <c r="M1614" s="43"/>
      <c r="N1614" s="43"/>
      <c r="O1614" s="43"/>
      <c r="P1614" s="43"/>
      <c r="Q1614" s="43"/>
      <c r="R1614" s="43"/>
      <c r="S1614" s="43"/>
      <c r="T1614" s="43"/>
      <c r="U1614" s="43"/>
      <c r="V1614" s="43"/>
      <c r="W1614" s="43"/>
      <c r="X1614" s="43"/>
      <c r="Y1614" s="43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</row>
    <row r="1615" spans="1:60" ht="16">
      <c r="A1615" s="41"/>
      <c r="B1615" s="41"/>
      <c r="C1615" s="41"/>
      <c r="D1615" s="42"/>
      <c r="E1615" s="43"/>
      <c r="F1615" s="43"/>
      <c r="G1615" s="43"/>
      <c r="H1615" s="41"/>
      <c r="I1615" s="43"/>
      <c r="J1615" s="43"/>
      <c r="K1615" s="43"/>
      <c r="L1615" s="43"/>
      <c r="M1615" s="43"/>
      <c r="N1615" s="43"/>
      <c r="O1615" s="43"/>
      <c r="P1615" s="43"/>
      <c r="Q1615" s="43"/>
      <c r="R1615" s="43"/>
      <c r="S1615" s="43"/>
      <c r="T1615" s="43"/>
      <c r="U1615" s="43"/>
      <c r="V1615" s="43"/>
      <c r="W1615" s="43"/>
      <c r="X1615" s="43"/>
      <c r="Y1615" s="43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</row>
    <row r="1616" spans="1:60" ht="16">
      <c r="A1616" s="41"/>
      <c r="B1616" s="41"/>
      <c r="C1616" s="41"/>
      <c r="D1616" s="42"/>
      <c r="E1616" s="43"/>
      <c r="F1616" s="43"/>
      <c r="G1616" s="43"/>
      <c r="H1616" s="41"/>
      <c r="I1616" s="43"/>
      <c r="J1616" s="43"/>
      <c r="K1616" s="43"/>
      <c r="L1616" s="43"/>
      <c r="M1616" s="43"/>
      <c r="N1616" s="43"/>
      <c r="O1616" s="43"/>
      <c r="P1616" s="43"/>
      <c r="Q1616" s="43"/>
      <c r="R1616" s="43"/>
      <c r="S1616" s="43"/>
      <c r="T1616" s="43"/>
      <c r="U1616" s="43"/>
      <c r="V1616" s="43"/>
      <c r="W1616" s="43"/>
      <c r="X1616" s="43"/>
      <c r="Y1616" s="43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</row>
    <row r="1617" spans="1:60" ht="16">
      <c r="A1617" s="41"/>
      <c r="B1617" s="41"/>
      <c r="C1617" s="41"/>
      <c r="D1617" s="42"/>
      <c r="E1617" s="43"/>
      <c r="F1617" s="43"/>
      <c r="G1617" s="43"/>
      <c r="H1617" s="41"/>
      <c r="I1617" s="43"/>
      <c r="J1617" s="43"/>
      <c r="K1617" s="43"/>
      <c r="L1617" s="43"/>
      <c r="M1617" s="43"/>
      <c r="N1617" s="43"/>
      <c r="O1617" s="43"/>
      <c r="P1617" s="43"/>
      <c r="Q1617" s="43"/>
      <c r="R1617" s="43"/>
      <c r="S1617" s="43"/>
      <c r="T1617" s="43"/>
      <c r="U1617" s="43"/>
      <c r="V1617" s="43"/>
      <c r="W1617" s="43"/>
      <c r="X1617" s="43"/>
      <c r="Y1617" s="43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</row>
    <row r="1618" spans="1:60" ht="16">
      <c r="A1618" s="41"/>
      <c r="B1618" s="41"/>
      <c r="C1618" s="41"/>
      <c r="D1618" s="42"/>
      <c r="E1618" s="43"/>
      <c r="F1618" s="43"/>
      <c r="G1618" s="43"/>
      <c r="H1618" s="41"/>
      <c r="I1618" s="43"/>
      <c r="J1618" s="43"/>
      <c r="K1618" s="43"/>
      <c r="L1618" s="43"/>
      <c r="M1618" s="43"/>
      <c r="N1618" s="43"/>
      <c r="O1618" s="43"/>
      <c r="P1618" s="43"/>
      <c r="Q1618" s="43"/>
      <c r="R1618" s="43"/>
      <c r="S1618" s="43"/>
      <c r="T1618" s="43"/>
      <c r="U1618" s="43"/>
      <c r="V1618" s="43"/>
      <c r="W1618" s="43"/>
      <c r="X1618" s="43"/>
      <c r="Y1618" s="43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</row>
    <row r="1619" spans="1:60" ht="16">
      <c r="A1619" s="41"/>
      <c r="B1619" s="41"/>
      <c r="C1619" s="41"/>
      <c r="D1619" s="42"/>
      <c r="E1619" s="43"/>
      <c r="F1619" s="43"/>
      <c r="G1619" s="43"/>
      <c r="H1619" s="41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3"/>
      <c r="U1619" s="43"/>
      <c r="V1619" s="43"/>
      <c r="W1619" s="43"/>
      <c r="X1619" s="43"/>
      <c r="Y1619" s="43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</row>
    <row r="1620" spans="1:60" ht="16">
      <c r="A1620" s="41"/>
      <c r="B1620" s="41"/>
      <c r="C1620" s="41"/>
      <c r="D1620" s="42"/>
      <c r="E1620" s="43"/>
      <c r="F1620" s="43"/>
      <c r="G1620" s="43"/>
      <c r="H1620" s="41"/>
      <c r="I1620" s="43"/>
      <c r="J1620" s="43"/>
      <c r="K1620" s="43"/>
      <c r="L1620" s="43"/>
      <c r="M1620" s="43"/>
      <c r="N1620" s="43"/>
      <c r="O1620" s="43"/>
      <c r="P1620" s="43"/>
      <c r="Q1620" s="43"/>
      <c r="R1620" s="43"/>
      <c r="S1620" s="43"/>
      <c r="T1620" s="43"/>
      <c r="U1620" s="43"/>
      <c r="V1620" s="43"/>
      <c r="W1620" s="43"/>
      <c r="X1620" s="43"/>
      <c r="Y1620" s="43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</row>
    <row r="1621" spans="1:60" ht="16">
      <c r="A1621" s="41"/>
      <c r="B1621" s="41"/>
      <c r="C1621" s="41"/>
      <c r="D1621" s="42"/>
      <c r="E1621" s="43"/>
      <c r="F1621" s="43"/>
      <c r="G1621" s="43"/>
      <c r="H1621" s="41"/>
      <c r="I1621" s="43"/>
      <c r="J1621" s="43"/>
      <c r="K1621" s="43"/>
      <c r="L1621" s="43"/>
      <c r="M1621" s="43"/>
      <c r="N1621" s="43"/>
      <c r="O1621" s="43"/>
      <c r="P1621" s="43"/>
      <c r="Q1621" s="43"/>
      <c r="R1621" s="43"/>
      <c r="S1621" s="43"/>
      <c r="T1621" s="43"/>
      <c r="U1621" s="43"/>
      <c r="V1621" s="43"/>
      <c r="W1621" s="43"/>
      <c r="X1621" s="43"/>
      <c r="Y1621" s="43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</row>
    <row r="1622" spans="1:60" ht="16">
      <c r="A1622" s="41"/>
      <c r="B1622" s="41"/>
      <c r="C1622" s="41"/>
      <c r="D1622" s="42"/>
      <c r="E1622" s="43"/>
      <c r="F1622" s="43"/>
      <c r="G1622" s="43"/>
      <c r="H1622" s="41"/>
      <c r="I1622" s="43"/>
      <c r="J1622" s="43"/>
      <c r="K1622" s="43"/>
      <c r="L1622" s="43"/>
      <c r="M1622" s="43"/>
      <c r="N1622" s="43"/>
      <c r="O1622" s="43"/>
      <c r="P1622" s="43"/>
      <c r="Q1622" s="43"/>
      <c r="R1622" s="43"/>
      <c r="S1622" s="43"/>
      <c r="T1622" s="43"/>
      <c r="U1622" s="43"/>
      <c r="V1622" s="43"/>
      <c r="W1622" s="43"/>
      <c r="X1622" s="43"/>
      <c r="Y1622" s="43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</row>
    <row r="1623" spans="1:60" ht="16">
      <c r="A1623" s="41"/>
      <c r="B1623" s="41"/>
      <c r="C1623" s="41"/>
      <c r="D1623" s="42"/>
      <c r="E1623" s="43"/>
      <c r="F1623" s="43"/>
      <c r="G1623" s="43"/>
      <c r="H1623" s="41"/>
      <c r="I1623" s="43"/>
      <c r="J1623" s="43"/>
      <c r="K1623" s="43"/>
      <c r="L1623" s="43"/>
      <c r="M1623" s="43"/>
      <c r="N1623" s="43"/>
      <c r="O1623" s="43"/>
      <c r="P1623" s="43"/>
      <c r="Q1623" s="43"/>
      <c r="R1623" s="43"/>
      <c r="S1623" s="43"/>
      <c r="T1623" s="43"/>
      <c r="U1623" s="43"/>
      <c r="V1623" s="43"/>
      <c r="W1623" s="43"/>
      <c r="X1623" s="43"/>
      <c r="Y1623" s="43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</row>
    <row r="1624" spans="1:60" ht="16">
      <c r="A1624" s="41"/>
      <c r="B1624" s="41"/>
      <c r="C1624" s="41"/>
      <c r="D1624" s="42"/>
      <c r="E1624" s="43"/>
      <c r="F1624" s="43"/>
      <c r="G1624" s="43"/>
      <c r="H1624" s="41"/>
      <c r="I1624" s="43"/>
      <c r="J1624" s="43"/>
      <c r="K1624" s="43"/>
      <c r="L1624" s="43"/>
      <c r="M1624" s="43"/>
      <c r="N1624" s="43"/>
      <c r="O1624" s="43"/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</row>
    <row r="1625" spans="1:60" ht="16">
      <c r="A1625" s="41"/>
      <c r="B1625" s="41"/>
      <c r="C1625" s="41"/>
      <c r="D1625" s="42"/>
      <c r="E1625" s="43"/>
      <c r="F1625" s="43"/>
      <c r="G1625" s="43"/>
      <c r="H1625" s="41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</row>
    <row r="1626" spans="1:60" ht="16">
      <c r="A1626" s="41"/>
      <c r="B1626" s="41"/>
      <c r="C1626" s="41"/>
      <c r="D1626" s="42"/>
      <c r="E1626" s="43"/>
      <c r="F1626" s="43"/>
      <c r="G1626" s="43"/>
      <c r="H1626" s="41"/>
      <c r="I1626" s="43"/>
      <c r="J1626" s="43"/>
      <c r="K1626" s="43"/>
      <c r="L1626" s="43"/>
      <c r="M1626" s="43"/>
      <c r="N1626" s="43"/>
      <c r="O1626" s="43"/>
      <c r="P1626" s="43"/>
      <c r="Q1626" s="43"/>
      <c r="R1626" s="43"/>
      <c r="S1626" s="43"/>
      <c r="T1626" s="43"/>
      <c r="U1626" s="43"/>
      <c r="V1626" s="43"/>
      <c r="W1626" s="43"/>
      <c r="X1626" s="43"/>
      <c r="Y1626" s="43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</row>
    <row r="1627" spans="1:60" ht="16">
      <c r="A1627" s="41"/>
      <c r="B1627" s="41"/>
      <c r="C1627" s="41"/>
      <c r="D1627" s="42"/>
      <c r="E1627" s="43"/>
      <c r="F1627" s="43"/>
      <c r="G1627" s="43"/>
      <c r="H1627" s="41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</row>
    <row r="1628" spans="1:60" ht="16">
      <c r="A1628" s="41"/>
      <c r="B1628" s="41"/>
      <c r="C1628" s="41"/>
      <c r="D1628" s="42"/>
      <c r="E1628" s="43"/>
      <c r="F1628" s="43"/>
      <c r="G1628" s="43"/>
      <c r="H1628" s="41"/>
      <c r="I1628" s="43"/>
      <c r="J1628" s="43"/>
      <c r="K1628" s="43"/>
      <c r="L1628" s="43"/>
      <c r="M1628" s="43"/>
      <c r="N1628" s="43"/>
      <c r="O1628" s="43"/>
      <c r="P1628" s="43"/>
      <c r="Q1628" s="43"/>
      <c r="R1628" s="43"/>
      <c r="S1628" s="43"/>
      <c r="T1628" s="43"/>
      <c r="U1628" s="43"/>
      <c r="V1628" s="43"/>
      <c r="W1628" s="43"/>
      <c r="X1628" s="43"/>
      <c r="Y1628" s="43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</row>
    <row r="1629" spans="1:60" ht="16">
      <c r="A1629" s="41"/>
      <c r="B1629" s="41"/>
      <c r="C1629" s="41"/>
      <c r="D1629" s="42"/>
      <c r="E1629" s="43"/>
      <c r="F1629" s="43"/>
      <c r="G1629" s="43"/>
      <c r="H1629" s="41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</row>
    <row r="1630" spans="1:60" ht="16">
      <c r="A1630" s="41"/>
      <c r="B1630" s="41"/>
      <c r="C1630" s="41"/>
      <c r="D1630" s="42"/>
      <c r="E1630" s="43"/>
      <c r="F1630" s="43"/>
      <c r="G1630" s="43"/>
      <c r="H1630" s="41"/>
      <c r="I1630" s="43"/>
      <c r="J1630" s="43"/>
      <c r="K1630" s="43"/>
      <c r="L1630" s="43"/>
      <c r="M1630" s="43"/>
      <c r="N1630" s="43"/>
      <c r="O1630" s="43"/>
      <c r="P1630" s="43"/>
      <c r="Q1630" s="43"/>
      <c r="R1630" s="43"/>
      <c r="S1630" s="43"/>
      <c r="T1630" s="43"/>
      <c r="U1630" s="43"/>
      <c r="V1630" s="43"/>
      <c r="W1630" s="43"/>
      <c r="X1630" s="43"/>
      <c r="Y1630" s="43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</row>
    <row r="1631" spans="1:60" ht="16">
      <c r="A1631" s="41"/>
      <c r="B1631" s="41"/>
      <c r="C1631" s="41"/>
      <c r="D1631" s="42"/>
      <c r="E1631" s="43"/>
      <c r="F1631" s="43"/>
      <c r="G1631" s="43"/>
      <c r="H1631" s="41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3"/>
      <c r="W1631" s="43"/>
      <c r="X1631" s="43"/>
      <c r="Y1631" s="43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</row>
    <row r="1632" spans="1:60" ht="16">
      <c r="A1632" s="41"/>
      <c r="B1632" s="41"/>
      <c r="C1632" s="41"/>
      <c r="D1632" s="42"/>
      <c r="E1632" s="43"/>
      <c r="F1632" s="43"/>
      <c r="G1632" s="43"/>
      <c r="H1632" s="41"/>
      <c r="I1632" s="43"/>
      <c r="J1632" s="43"/>
      <c r="K1632" s="43"/>
      <c r="L1632" s="43"/>
      <c r="M1632" s="43"/>
      <c r="N1632" s="43"/>
      <c r="O1632" s="43"/>
      <c r="P1632" s="43"/>
      <c r="Q1632" s="43"/>
      <c r="R1632" s="43"/>
      <c r="S1632" s="43"/>
      <c r="T1632" s="43"/>
      <c r="U1632" s="43"/>
      <c r="V1632" s="43"/>
      <c r="W1632" s="43"/>
      <c r="X1632" s="43"/>
      <c r="Y1632" s="43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</row>
    <row r="1633" spans="1:60" ht="16">
      <c r="A1633" s="41"/>
      <c r="B1633" s="41"/>
      <c r="C1633" s="41"/>
      <c r="D1633" s="42"/>
      <c r="E1633" s="43"/>
      <c r="F1633" s="43"/>
      <c r="G1633" s="43"/>
      <c r="H1633" s="41"/>
      <c r="I1633" s="43"/>
      <c r="J1633" s="43"/>
      <c r="K1633" s="43"/>
      <c r="L1633" s="43"/>
      <c r="M1633" s="43"/>
      <c r="N1633" s="43"/>
      <c r="O1633" s="43"/>
      <c r="P1633" s="43"/>
      <c r="Q1633" s="43"/>
      <c r="R1633" s="43"/>
      <c r="S1633" s="43"/>
      <c r="T1633" s="43"/>
      <c r="U1633" s="43"/>
      <c r="V1633" s="43"/>
      <c r="W1633" s="43"/>
      <c r="X1633" s="43"/>
      <c r="Y1633" s="43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</row>
    <row r="1634" spans="1:60" ht="16">
      <c r="A1634" s="41"/>
      <c r="B1634" s="41"/>
      <c r="C1634" s="41"/>
      <c r="D1634" s="42"/>
      <c r="E1634" s="43"/>
      <c r="F1634" s="43"/>
      <c r="G1634" s="43"/>
      <c r="H1634" s="41"/>
      <c r="I1634" s="43"/>
      <c r="J1634" s="43"/>
      <c r="K1634" s="43"/>
      <c r="L1634" s="43"/>
      <c r="M1634" s="43"/>
      <c r="N1634" s="43"/>
      <c r="O1634" s="43"/>
      <c r="P1634" s="43"/>
      <c r="Q1634" s="43"/>
      <c r="R1634" s="43"/>
      <c r="S1634" s="43"/>
      <c r="T1634" s="43"/>
      <c r="U1634" s="43"/>
      <c r="V1634" s="43"/>
      <c r="W1634" s="43"/>
      <c r="X1634" s="43"/>
      <c r="Y1634" s="43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</row>
    <row r="1635" spans="1:60" ht="16">
      <c r="A1635" s="41"/>
      <c r="B1635" s="41"/>
      <c r="C1635" s="41"/>
      <c r="D1635" s="42"/>
      <c r="E1635" s="43"/>
      <c r="F1635" s="43"/>
      <c r="G1635" s="43"/>
      <c r="H1635" s="41"/>
      <c r="I1635" s="43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3"/>
      <c r="U1635" s="43"/>
      <c r="V1635" s="43"/>
      <c r="W1635" s="43"/>
      <c r="X1635" s="43"/>
      <c r="Y1635" s="43"/>
      <c r="Z1635" s="46"/>
      <c r="AA1635" s="4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</row>
    <row r="1636" spans="1:60" ht="16">
      <c r="A1636" s="41"/>
      <c r="B1636" s="41"/>
      <c r="C1636" s="41"/>
      <c r="D1636" s="42"/>
      <c r="E1636" s="43"/>
      <c r="F1636" s="43"/>
      <c r="G1636" s="43"/>
      <c r="H1636" s="41"/>
      <c r="I1636" s="43"/>
      <c r="J1636" s="43"/>
      <c r="K1636" s="43"/>
      <c r="L1636" s="43"/>
      <c r="M1636" s="43"/>
      <c r="N1636" s="43"/>
      <c r="O1636" s="43"/>
      <c r="P1636" s="43"/>
      <c r="Q1636" s="43"/>
      <c r="R1636" s="43"/>
      <c r="S1636" s="43"/>
      <c r="T1636" s="43"/>
      <c r="U1636" s="43"/>
      <c r="V1636" s="43"/>
      <c r="W1636" s="43"/>
      <c r="X1636" s="43"/>
      <c r="Y1636" s="43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</row>
    <row r="1637" spans="1:60" ht="16">
      <c r="A1637" s="41"/>
      <c r="B1637" s="41"/>
      <c r="C1637" s="41"/>
      <c r="D1637" s="42"/>
      <c r="E1637" s="43"/>
      <c r="F1637" s="43"/>
      <c r="G1637" s="43"/>
      <c r="H1637" s="41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3"/>
      <c r="U1637" s="43"/>
      <c r="V1637" s="43"/>
      <c r="W1637" s="43"/>
      <c r="X1637" s="43"/>
      <c r="Y1637" s="43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</row>
    <row r="1638" spans="1:60" ht="16">
      <c r="A1638" s="41"/>
      <c r="B1638" s="41"/>
      <c r="C1638" s="41"/>
      <c r="D1638" s="42"/>
      <c r="E1638" s="43"/>
      <c r="F1638" s="43"/>
      <c r="G1638" s="43"/>
      <c r="H1638" s="41"/>
      <c r="I1638" s="43"/>
      <c r="J1638" s="43"/>
      <c r="K1638" s="43"/>
      <c r="L1638" s="43"/>
      <c r="M1638" s="43"/>
      <c r="N1638" s="43"/>
      <c r="O1638" s="43"/>
      <c r="P1638" s="43"/>
      <c r="Q1638" s="43"/>
      <c r="R1638" s="43"/>
      <c r="S1638" s="43"/>
      <c r="T1638" s="43"/>
      <c r="U1638" s="43"/>
      <c r="V1638" s="43"/>
      <c r="W1638" s="43"/>
      <c r="X1638" s="43"/>
      <c r="Y1638" s="43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</row>
    <row r="1639" spans="1:60" ht="16">
      <c r="A1639" s="41"/>
      <c r="B1639" s="41"/>
      <c r="C1639" s="41"/>
      <c r="D1639" s="42"/>
      <c r="E1639" s="43"/>
      <c r="F1639" s="43"/>
      <c r="G1639" s="43"/>
      <c r="H1639" s="41"/>
      <c r="I1639" s="43"/>
      <c r="J1639" s="43"/>
      <c r="K1639" s="43"/>
      <c r="L1639" s="43"/>
      <c r="M1639" s="43"/>
      <c r="N1639" s="43"/>
      <c r="O1639" s="43"/>
      <c r="P1639" s="43"/>
      <c r="Q1639" s="43"/>
      <c r="R1639" s="43"/>
      <c r="S1639" s="43"/>
      <c r="T1639" s="43"/>
      <c r="U1639" s="43"/>
      <c r="V1639" s="43"/>
      <c r="W1639" s="43"/>
      <c r="X1639" s="43"/>
      <c r="Y1639" s="43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</row>
    <row r="1640" spans="1:60" ht="16">
      <c r="A1640" s="41"/>
      <c r="B1640" s="41"/>
      <c r="C1640" s="41"/>
      <c r="D1640" s="42"/>
      <c r="E1640" s="43"/>
      <c r="F1640" s="43"/>
      <c r="G1640" s="43"/>
      <c r="H1640" s="41"/>
      <c r="I1640" s="43"/>
      <c r="J1640" s="43"/>
      <c r="K1640" s="43"/>
      <c r="L1640" s="43"/>
      <c r="M1640" s="43"/>
      <c r="N1640" s="43"/>
      <c r="O1640" s="43"/>
      <c r="P1640" s="43"/>
      <c r="Q1640" s="43"/>
      <c r="R1640" s="43"/>
      <c r="S1640" s="43"/>
      <c r="T1640" s="43"/>
      <c r="U1640" s="43"/>
      <c r="V1640" s="43"/>
      <c r="W1640" s="43"/>
      <c r="X1640" s="43"/>
      <c r="Y1640" s="43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</row>
    <row r="1641" spans="1:60" ht="16">
      <c r="A1641" s="41"/>
      <c r="B1641" s="41"/>
      <c r="C1641" s="41"/>
      <c r="D1641" s="42"/>
      <c r="E1641" s="43"/>
      <c r="F1641" s="43"/>
      <c r="G1641" s="43"/>
      <c r="H1641" s="41"/>
      <c r="I1641" s="43"/>
      <c r="J1641" s="43"/>
      <c r="K1641" s="43"/>
      <c r="L1641" s="43"/>
      <c r="M1641" s="43"/>
      <c r="N1641" s="43"/>
      <c r="O1641" s="43"/>
      <c r="P1641" s="43"/>
      <c r="Q1641" s="43"/>
      <c r="R1641" s="43"/>
      <c r="S1641" s="43"/>
      <c r="T1641" s="43"/>
      <c r="U1641" s="43"/>
      <c r="V1641" s="43"/>
      <c r="W1641" s="43"/>
      <c r="X1641" s="43"/>
      <c r="Y1641" s="43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</row>
    <row r="1642" spans="1:60" ht="16">
      <c r="A1642" s="41"/>
      <c r="B1642" s="41"/>
      <c r="C1642" s="41"/>
      <c r="D1642" s="42"/>
      <c r="E1642" s="43"/>
      <c r="F1642" s="43"/>
      <c r="G1642" s="43"/>
      <c r="H1642" s="41"/>
      <c r="I1642" s="43"/>
      <c r="J1642" s="43"/>
      <c r="K1642" s="43"/>
      <c r="L1642" s="43"/>
      <c r="M1642" s="43"/>
      <c r="N1642" s="43"/>
      <c r="O1642" s="43"/>
      <c r="P1642" s="43"/>
      <c r="Q1642" s="43"/>
      <c r="R1642" s="43"/>
      <c r="S1642" s="43"/>
      <c r="T1642" s="43"/>
      <c r="U1642" s="43"/>
      <c r="V1642" s="43"/>
      <c r="W1642" s="43"/>
      <c r="X1642" s="43"/>
      <c r="Y1642" s="43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</row>
    <row r="1643" spans="1:60" ht="16">
      <c r="A1643" s="41"/>
      <c r="B1643" s="41"/>
      <c r="C1643" s="41"/>
      <c r="D1643" s="42"/>
      <c r="E1643" s="43"/>
      <c r="F1643" s="43"/>
      <c r="G1643" s="43"/>
      <c r="H1643" s="41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3"/>
      <c r="U1643" s="43"/>
      <c r="V1643" s="43"/>
      <c r="W1643" s="43"/>
      <c r="X1643" s="43"/>
      <c r="Y1643" s="43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</row>
    <row r="1644" spans="1:60" ht="16">
      <c r="A1644" s="41"/>
      <c r="B1644" s="41"/>
      <c r="C1644" s="41"/>
      <c r="D1644" s="42"/>
      <c r="E1644" s="43"/>
      <c r="F1644" s="43"/>
      <c r="G1644" s="43"/>
      <c r="H1644" s="41"/>
      <c r="I1644" s="43"/>
      <c r="J1644" s="43"/>
      <c r="K1644" s="43"/>
      <c r="L1644" s="43"/>
      <c r="M1644" s="43"/>
      <c r="N1644" s="43"/>
      <c r="O1644" s="43"/>
      <c r="P1644" s="43"/>
      <c r="Q1644" s="43"/>
      <c r="R1644" s="43"/>
      <c r="S1644" s="43"/>
      <c r="T1644" s="43"/>
      <c r="U1644" s="43"/>
      <c r="V1644" s="43"/>
      <c r="W1644" s="43"/>
      <c r="X1644" s="43"/>
      <c r="Y1644" s="43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</row>
    <row r="1645" spans="1:60" ht="16">
      <c r="A1645" s="41"/>
      <c r="B1645" s="41"/>
      <c r="C1645" s="41"/>
      <c r="D1645" s="42"/>
      <c r="E1645" s="43"/>
      <c r="F1645" s="43"/>
      <c r="G1645" s="43"/>
      <c r="H1645" s="41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</row>
    <row r="1646" spans="1:60" ht="16">
      <c r="A1646" s="41"/>
      <c r="B1646" s="41"/>
      <c r="C1646" s="41"/>
      <c r="D1646" s="42"/>
      <c r="E1646" s="43"/>
      <c r="F1646" s="43"/>
      <c r="G1646" s="43"/>
      <c r="H1646" s="41"/>
      <c r="I1646" s="43"/>
      <c r="J1646" s="43"/>
      <c r="K1646" s="43"/>
      <c r="L1646" s="43"/>
      <c r="M1646" s="43"/>
      <c r="N1646" s="43"/>
      <c r="O1646" s="43"/>
      <c r="P1646" s="43"/>
      <c r="Q1646" s="43"/>
      <c r="R1646" s="43"/>
      <c r="S1646" s="43"/>
      <c r="T1646" s="43"/>
      <c r="U1646" s="43"/>
      <c r="V1646" s="43"/>
      <c r="W1646" s="43"/>
      <c r="X1646" s="43"/>
      <c r="Y1646" s="43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</row>
    <row r="1647" spans="1:60" ht="16">
      <c r="A1647" s="41"/>
      <c r="B1647" s="41"/>
      <c r="C1647" s="41"/>
      <c r="D1647" s="42"/>
      <c r="E1647" s="43"/>
      <c r="F1647" s="43"/>
      <c r="G1647" s="43"/>
      <c r="H1647" s="41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</row>
    <row r="1648" spans="1:60" ht="16">
      <c r="A1648" s="41"/>
      <c r="B1648" s="41"/>
      <c r="C1648" s="41"/>
      <c r="D1648" s="42"/>
      <c r="E1648" s="43"/>
      <c r="F1648" s="43"/>
      <c r="G1648" s="43"/>
      <c r="H1648" s="41"/>
      <c r="I1648" s="43"/>
      <c r="J1648" s="43"/>
      <c r="K1648" s="43"/>
      <c r="L1648" s="43"/>
      <c r="M1648" s="43"/>
      <c r="N1648" s="43"/>
      <c r="O1648" s="43"/>
      <c r="P1648" s="43"/>
      <c r="Q1648" s="43"/>
      <c r="R1648" s="43"/>
      <c r="S1648" s="43"/>
      <c r="T1648" s="43"/>
      <c r="U1648" s="43"/>
      <c r="V1648" s="43"/>
      <c r="W1648" s="43"/>
      <c r="X1648" s="43"/>
      <c r="Y1648" s="43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</row>
    <row r="1649" spans="1:60" ht="16">
      <c r="A1649" s="41"/>
      <c r="B1649" s="41"/>
      <c r="C1649" s="41"/>
      <c r="D1649" s="42"/>
      <c r="E1649" s="43"/>
      <c r="F1649" s="43"/>
      <c r="G1649" s="43"/>
      <c r="H1649" s="41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</row>
    <row r="1650" spans="1:60" ht="16">
      <c r="A1650" s="41"/>
      <c r="B1650" s="41"/>
      <c r="C1650" s="41"/>
      <c r="D1650" s="42"/>
      <c r="E1650" s="43"/>
      <c r="F1650" s="43"/>
      <c r="G1650" s="43"/>
      <c r="H1650" s="41"/>
      <c r="I1650" s="43"/>
      <c r="J1650" s="43"/>
      <c r="K1650" s="43"/>
      <c r="L1650" s="43"/>
      <c r="M1650" s="43"/>
      <c r="N1650" s="43"/>
      <c r="O1650" s="43"/>
      <c r="P1650" s="43"/>
      <c r="Q1650" s="43"/>
      <c r="R1650" s="43"/>
      <c r="S1650" s="43"/>
      <c r="T1650" s="43"/>
      <c r="U1650" s="43"/>
      <c r="V1650" s="43"/>
      <c r="W1650" s="43"/>
      <c r="X1650" s="43"/>
      <c r="Y1650" s="43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</row>
    <row r="1651" spans="1:60" ht="16">
      <c r="A1651" s="41"/>
      <c r="B1651" s="41"/>
      <c r="C1651" s="41"/>
      <c r="D1651" s="42"/>
      <c r="E1651" s="43"/>
      <c r="F1651" s="43"/>
      <c r="G1651" s="43"/>
      <c r="H1651" s="41"/>
      <c r="I1651" s="43"/>
      <c r="J1651" s="43"/>
      <c r="K1651" s="43"/>
      <c r="L1651" s="43"/>
      <c r="M1651" s="43"/>
      <c r="N1651" s="43"/>
      <c r="O1651" s="43"/>
      <c r="P1651" s="43"/>
      <c r="Q1651" s="43"/>
      <c r="R1651" s="43"/>
      <c r="S1651" s="43"/>
      <c r="T1651" s="43"/>
      <c r="U1651" s="43"/>
      <c r="V1651" s="43"/>
      <c r="W1651" s="43"/>
      <c r="X1651" s="43"/>
      <c r="Y1651" s="43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</row>
    <row r="1652" spans="1:60" ht="16">
      <c r="A1652" s="41"/>
      <c r="B1652" s="41"/>
      <c r="C1652" s="41"/>
      <c r="D1652" s="42"/>
      <c r="E1652" s="43"/>
      <c r="F1652" s="43"/>
      <c r="G1652" s="43"/>
      <c r="H1652" s="41"/>
      <c r="I1652" s="43"/>
      <c r="J1652" s="43"/>
      <c r="K1652" s="43"/>
      <c r="L1652" s="43"/>
      <c r="M1652" s="43"/>
      <c r="N1652" s="43"/>
      <c r="O1652" s="43"/>
      <c r="P1652" s="43"/>
      <c r="Q1652" s="43"/>
      <c r="R1652" s="43"/>
      <c r="S1652" s="43"/>
      <c r="T1652" s="43"/>
      <c r="U1652" s="43"/>
      <c r="V1652" s="43"/>
      <c r="W1652" s="43"/>
      <c r="X1652" s="43"/>
      <c r="Y1652" s="43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</row>
    <row r="1653" spans="1:60" ht="16">
      <c r="A1653" s="41"/>
      <c r="B1653" s="41"/>
      <c r="C1653" s="41"/>
      <c r="D1653" s="42"/>
      <c r="E1653" s="43"/>
      <c r="F1653" s="43"/>
      <c r="G1653" s="43"/>
      <c r="H1653" s="41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</row>
    <row r="1654" spans="1:60" ht="16">
      <c r="A1654" s="41"/>
      <c r="B1654" s="41"/>
      <c r="C1654" s="41"/>
      <c r="D1654" s="42"/>
      <c r="E1654" s="43"/>
      <c r="F1654" s="43"/>
      <c r="G1654" s="43"/>
      <c r="H1654" s="41"/>
      <c r="I1654" s="43"/>
      <c r="J1654" s="43"/>
      <c r="K1654" s="43"/>
      <c r="L1654" s="43"/>
      <c r="M1654" s="43"/>
      <c r="N1654" s="43"/>
      <c r="O1654" s="43"/>
      <c r="P1654" s="43"/>
      <c r="Q1654" s="43"/>
      <c r="R1654" s="43"/>
      <c r="S1654" s="43"/>
      <c r="T1654" s="43"/>
      <c r="U1654" s="43"/>
      <c r="V1654" s="43"/>
      <c r="W1654" s="43"/>
      <c r="X1654" s="43"/>
      <c r="Y1654" s="43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</row>
    <row r="1655" spans="1:60" ht="16">
      <c r="A1655" s="41"/>
      <c r="B1655" s="41"/>
      <c r="C1655" s="41"/>
      <c r="D1655" s="42"/>
      <c r="E1655" s="43"/>
      <c r="F1655" s="43"/>
      <c r="G1655" s="43"/>
      <c r="H1655" s="41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  <c r="U1655" s="43"/>
      <c r="V1655" s="43"/>
      <c r="W1655" s="43"/>
      <c r="X1655" s="43"/>
      <c r="Y1655" s="43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</row>
    <row r="1656" spans="1:60" ht="16">
      <c r="A1656" s="41"/>
      <c r="B1656" s="41"/>
      <c r="C1656" s="41"/>
      <c r="D1656" s="42"/>
      <c r="E1656" s="43"/>
      <c r="F1656" s="43"/>
      <c r="G1656" s="43"/>
      <c r="H1656" s="41"/>
      <c r="I1656" s="43"/>
      <c r="J1656" s="43"/>
      <c r="K1656" s="43"/>
      <c r="L1656" s="43"/>
      <c r="M1656" s="43"/>
      <c r="N1656" s="43"/>
      <c r="O1656" s="43"/>
      <c r="P1656" s="43"/>
      <c r="Q1656" s="43"/>
      <c r="R1656" s="43"/>
      <c r="S1656" s="43"/>
      <c r="T1656" s="43"/>
      <c r="U1656" s="43"/>
      <c r="V1656" s="43"/>
      <c r="W1656" s="43"/>
      <c r="X1656" s="43"/>
      <c r="Y1656" s="43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</row>
    <row r="1657" spans="1:60" ht="16">
      <c r="A1657" s="41"/>
      <c r="B1657" s="41"/>
      <c r="C1657" s="41"/>
      <c r="D1657" s="42"/>
      <c r="E1657" s="43"/>
      <c r="F1657" s="43"/>
      <c r="G1657" s="43"/>
      <c r="H1657" s="41"/>
      <c r="I1657" s="43"/>
      <c r="J1657" s="43"/>
      <c r="K1657" s="43"/>
      <c r="L1657" s="43"/>
      <c r="M1657" s="43"/>
      <c r="N1657" s="43"/>
      <c r="O1657" s="43"/>
      <c r="P1657" s="43"/>
      <c r="Q1657" s="43"/>
      <c r="R1657" s="43"/>
      <c r="S1657" s="43"/>
      <c r="T1657" s="43"/>
      <c r="U1657" s="43"/>
      <c r="V1657" s="43"/>
      <c r="W1657" s="43"/>
      <c r="X1657" s="43"/>
      <c r="Y1657" s="43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</row>
    <row r="1658" spans="1:60" ht="16">
      <c r="A1658" s="41"/>
      <c r="B1658" s="41"/>
      <c r="C1658" s="41"/>
      <c r="D1658" s="42"/>
      <c r="E1658" s="43"/>
      <c r="F1658" s="43"/>
      <c r="G1658" s="43"/>
      <c r="H1658" s="41"/>
      <c r="I1658" s="43"/>
      <c r="J1658" s="43"/>
      <c r="K1658" s="43"/>
      <c r="L1658" s="43"/>
      <c r="M1658" s="43"/>
      <c r="N1658" s="43"/>
      <c r="O1658" s="43"/>
      <c r="P1658" s="43"/>
      <c r="Q1658" s="43"/>
      <c r="R1658" s="43"/>
      <c r="S1658" s="43"/>
      <c r="T1658" s="43"/>
      <c r="U1658" s="43"/>
      <c r="V1658" s="43"/>
      <c r="W1658" s="43"/>
      <c r="X1658" s="43"/>
      <c r="Y1658" s="43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</row>
    <row r="1659" spans="1:60" ht="16">
      <c r="A1659" s="41"/>
      <c r="B1659" s="41"/>
      <c r="C1659" s="41"/>
      <c r="D1659" s="42"/>
      <c r="E1659" s="43"/>
      <c r="F1659" s="43"/>
      <c r="G1659" s="43"/>
      <c r="H1659" s="41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3"/>
      <c r="U1659" s="43"/>
      <c r="V1659" s="43"/>
      <c r="W1659" s="43"/>
      <c r="X1659" s="43"/>
      <c r="Y1659" s="43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</row>
    <row r="1660" spans="1:60" ht="16">
      <c r="A1660" s="41"/>
      <c r="B1660" s="41"/>
      <c r="C1660" s="41"/>
      <c r="D1660" s="42"/>
      <c r="E1660" s="43"/>
      <c r="F1660" s="43"/>
      <c r="G1660" s="43"/>
      <c r="H1660" s="41"/>
      <c r="I1660" s="43"/>
      <c r="J1660" s="43"/>
      <c r="K1660" s="43"/>
      <c r="L1660" s="43"/>
      <c r="M1660" s="43"/>
      <c r="N1660" s="43"/>
      <c r="O1660" s="43"/>
      <c r="P1660" s="43"/>
      <c r="Q1660" s="43"/>
      <c r="R1660" s="43"/>
      <c r="S1660" s="43"/>
      <c r="T1660" s="43"/>
      <c r="U1660" s="43"/>
      <c r="V1660" s="43"/>
      <c r="W1660" s="43"/>
      <c r="X1660" s="43"/>
      <c r="Y1660" s="43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</row>
    <row r="1661" spans="1:60" ht="16">
      <c r="A1661" s="41"/>
      <c r="B1661" s="41"/>
      <c r="C1661" s="41"/>
      <c r="D1661" s="42"/>
      <c r="E1661" s="43"/>
      <c r="F1661" s="43"/>
      <c r="G1661" s="43"/>
      <c r="H1661" s="41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3"/>
      <c r="W1661" s="43"/>
      <c r="X1661" s="43"/>
      <c r="Y1661" s="43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</row>
    <row r="1662" spans="1:60" ht="16">
      <c r="A1662" s="41"/>
      <c r="B1662" s="41"/>
      <c r="C1662" s="41"/>
      <c r="D1662" s="42"/>
      <c r="E1662" s="43"/>
      <c r="F1662" s="43"/>
      <c r="G1662" s="43"/>
      <c r="H1662" s="41"/>
      <c r="I1662" s="43"/>
      <c r="J1662" s="43"/>
      <c r="K1662" s="43"/>
      <c r="L1662" s="43"/>
      <c r="M1662" s="43"/>
      <c r="N1662" s="43"/>
      <c r="O1662" s="43"/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</row>
    <row r="1663" spans="1:60" ht="16">
      <c r="A1663" s="41"/>
      <c r="B1663" s="41"/>
      <c r="C1663" s="41"/>
      <c r="D1663" s="42"/>
      <c r="E1663" s="43"/>
      <c r="F1663" s="43"/>
      <c r="G1663" s="43"/>
      <c r="H1663" s="41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</row>
    <row r="1664" spans="1:60" ht="16">
      <c r="A1664" s="41"/>
      <c r="B1664" s="41"/>
      <c r="C1664" s="41"/>
      <c r="D1664" s="42"/>
      <c r="E1664" s="43"/>
      <c r="F1664" s="43"/>
      <c r="G1664" s="43"/>
      <c r="H1664" s="41"/>
      <c r="I1664" s="43"/>
      <c r="J1664" s="43"/>
      <c r="K1664" s="43"/>
      <c r="L1664" s="43"/>
      <c r="M1664" s="43"/>
      <c r="N1664" s="43"/>
      <c r="O1664" s="43"/>
      <c r="P1664" s="43"/>
      <c r="Q1664" s="43"/>
      <c r="R1664" s="43"/>
      <c r="S1664" s="43"/>
      <c r="T1664" s="43"/>
      <c r="U1664" s="43"/>
      <c r="V1664" s="43"/>
      <c r="W1664" s="43"/>
      <c r="X1664" s="43"/>
      <c r="Y1664" s="43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</row>
    <row r="1665" spans="1:60" ht="16">
      <c r="A1665" s="41"/>
      <c r="B1665" s="41"/>
      <c r="C1665" s="41"/>
      <c r="D1665" s="42"/>
      <c r="E1665" s="43"/>
      <c r="F1665" s="43"/>
      <c r="G1665" s="43"/>
      <c r="H1665" s="41"/>
      <c r="I1665" s="43"/>
      <c r="J1665" s="43"/>
      <c r="K1665" s="43"/>
      <c r="L1665" s="43"/>
      <c r="M1665" s="43"/>
      <c r="N1665" s="43"/>
      <c r="O1665" s="43"/>
      <c r="P1665" s="43"/>
      <c r="Q1665" s="43"/>
      <c r="R1665" s="43"/>
      <c r="S1665" s="43"/>
      <c r="T1665" s="43"/>
      <c r="U1665" s="43"/>
      <c r="V1665" s="43"/>
      <c r="W1665" s="43"/>
      <c r="X1665" s="43"/>
      <c r="Y1665" s="43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</row>
    <row r="1666" spans="1:60" ht="16">
      <c r="A1666" s="41"/>
      <c r="B1666" s="41"/>
      <c r="C1666" s="41"/>
      <c r="D1666" s="42"/>
      <c r="E1666" s="43"/>
      <c r="F1666" s="43"/>
      <c r="G1666" s="43"/>
      <c r="H1666" s="41"/>
      <c r="I1666" s="43"/>
      <c r="J1666" s="43"/>
      <c r="K1666" s="43"/>
      <c r="L1666" s="43"/>
      <c r="M1666" s="43"/>
      <c r="N1666" s="43"/>
      <c r="O1666" s="43"/>
      <c r="P1666" s="43"/>
      <c r="Q1666" s="43"/>
      <c r="R1666" s="43"/>
      <c r="S1666" s="43"/>
      <c r="T1666" s="43"/>
      <c r="U1666" s="43"/>
      <c r="V1666" s="43"/>
      <c r="W1666" s="43"/>
      <c r="X1666" s="43"/>
      <c r="Y1666" s="43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</row>
    <row r="1667" spans="1:60" ht="16">
      <c r="A1667" s="41"/>
      <c r="B1667" s="41"/>
      <c r="C1667" s="41"/>
      <c r="D1667" s="42"/>
      <c r="E1667" s="43"/>
      <c r="F1667" s="43"/>
      <c r="G1667" s="43"/>
      <c r="H1667" s="41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  <c r="U1667" s="43"/>
      <c r="V1667" s="43"/>
      <c r="W1667" s="43"/>
      <c r="X1667" s="43"/>
      <c r="Y1667" s="43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</row>
    <row r="1668" spans="1:60" ht="16">
      <c r="A1668" s="41"/>
      <c r="B1668" s="41"/>
      <c r="C1668" s="41"/>
      <c r="D1668" s="42"/>
      <c r="E1668" s="43"/>
      <c r="F1668" s="43"/>
      <c r="G1668" s="43"/>
      <c r="H1668" s="41"/>
      <c r="I1668" s="43"/>
      <c r="J1668" s="43"/>
      <c r="K1668" s="43"/>
      <c r="L1668" s="43"/>
      <c r="M1668" s="43"/>
      <c r="N1668" s="43"/>
      <c r="O1668" s="43"/>
      <c r="P1668" s="43"/>
      <c r="Q1668" s="43"/>
      <c r="R1668" s="43"/>
      <c r="S1668" s="43"/>
      <c r="T1668" s="43"/>
      <c r="U1668" s="43"/>
      <c r="V1668" s="43"/>
      <c r="W1668" s="43"/>
      <c r="X1668" s="43"/>
      <c r="Y1668" s="43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</row>
    <row r="1669" spans="1:60" ht="16">
      <c r="A1669" s="41"/>
      <c r="B1669" s="41"/>
      <c r="C1669" s="41"/>
      <c r="D1669" s="42"/>
      <c r="E1669" s="43"/>
      <c r="F1669" s="43"/>
      <c r="G1669" s="43"/>
      <c r="H1669" s="41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</row>
    <row r="1670" spans="1:60" ht="16">
      <c r="A1670" s="41"/>
      <c r="B1670" s="41"/>
      <c r="C1670" s="41"/>
      <c r="D1670" s="42"/>
      <c r="E1670" s="43"/>
      <c r="F1670" s="43"/>
      <c r="G1670" s="43"/>
      <c r="H1670" s="41"/>
      <c r="I1670" s="43"/>
      <c r="J1670" s="43"/>
      <c r="K1670" s="43"/>
      <c r="L1670" s="43"/>
      <c r="M1670" s="43"/>
      <c r="N1670" s="43"/>
      <c r="O1670" s="43"/>
      <c r="P1670" s="43"/>
      <c r="Q1670" s="43"/>
      <c r="R1670" s="43"/>
      <c r="S1670" s="43"/>
      <c r="T1670" s="43"/>
      <c r="U1670" s="43"/>
      <c r="V1670" s="43"/>
      <c r="W1670" s="43"/>
      <c r="X1670" s="43"/>
      <c r="Y1670" s="43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</row>
    <row r="1671" spans="1:60" ht="16">
      <c r="A1671" s="41"/>
      <c r="B1671" s="41"/>
      <c r="C1671" s="41"/>
      <c r="D1671" s="42"/>
      <c r="E1671" s="43"/>
      <c r="F1671" s="43"/>
      <c r="G1671" s="43"/>
      <c r="H1671" s="41"/>
      <c r="I1671" s="43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3"/>
      <c r="U1671" s="43"/>
      <c r="V1671" s="43"/>
      <c r="W1671" s="43"/>
      <c r="X1671" s="43"/>
      <c r="Y1671" s="43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</row>
    <row r="1672" spans="1:60" ht="16">
      <c r="A1672" s="41"/>
      <c r="B1672" s="41"/>
      <c r="C1672" s="41"/>
      <c r="D1672" s="42"/>
      <c r="E1672" s="43"/>
      <c r="F1672" s="43"/>
      <c r="G1672" s="43"/>
      <c r="H1672" s="41"/>
      <c r="I1672" s="43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</row>
    <row r="1673" spans="1:60" ht="16">
      <c r="A1673" s="41"/>
      <c r="B1673" s="41"/>
      <c r="C1673" s="41"/>
      <c r="D1673" s="42"/>
      <c r="E1673" s="43"/>
      <c r="F1673" s="43"/>
      <c r="G1673" s="43"/>
      <c r="H1673" s="41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  <c r="U1673" s="43"/>
      <c r="V1673" s="43"/>
      <c r="W1673" s="43"/>
      <c r="X1673" s="43"/>
      <c r="Y1673" s="43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</row>
    <row r="1674" spans="1:60" ht="16">
      <c r="A1674" s="41"/>
      <c r="B1674" s="41"/>
      <c r="C1674" s="41"/>
      <c r="D1674" s="42"/>
      <c r="E1674" s="43"/>
      <c r="F1674" s="43"/>
      <c r="G1674" s="43"/>
      <c r="H1674" s="41"/>
      <c r="I1674" s="43"/>
      <c r="J1674" s="43"/>
      <c r="K1674" s="43"/>
      <c r="L1674" s="43"/>
      <c r="M1674" s="43"/>
      <c r="N1674" s="43"/>
      <c r="O1674" s="43"/>
      <c r="P1674" s="43"/>
      <c r="Q1674" s="43"/>
      <c r="R1674" s="43"/>
      <c r="S1674" s="43"/>
      <c r="T1674" s="43"/>
      <c r="U1674" s="43"/>
      <c r="V1674" s="43"/>
      <c r="W1674" s="43"/>
      <c r="X1674" s="43"/>
      <c r="Y1674" s="43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</row>
    <row r="1675" spans="1:60" ht="16">
      <c r="A1675" s="41"/>
      <c r="B1675" s="41"/>
      <c r="C1675" s="41"/>
      <c r="D1675" s="42"/>
      <c r="E1675" s="43"/>
      <c r="F1675" s="43"/>
      <c r="G1675" s="43"/>
      <c r="H1675" s="41"/>
      <c r="I1675" s="43"/>
      <c r="J1675" s="43"/>
      <c r="K1675" s="43"/>
      <c r="L1675" s="43"/>
      <c r="M1675" s="43"/>
      <c r="N1675" s="43"/>
      <c r="O1675" s="43"/>
      <c r="P1675" s="43"/>
      <c r="Q1675" s="43"/>
      <c r="R1675" s="43"/>
      <c r="S1675" s="43"/>
      <c r="T1675" s="43"/>
      <c r="U1675" s="43"/>
      <c r="V1675" s="43"/>
      <c r="W1675" s="43"/>
      <c r="X1675" s="43"/>
      <c r="Y1675" s="43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</row>
    <row r="1676" spans="1:60" ht="16">
      <c r="A1676" s="41"/>
      <c r="B1676" s="41"/>
      <c r="C1676" s="41"/>
      <c r="D1676" s="42"/>
      <c r="E1676" s="43"/>
      <c r="F1676" s="43"/>
      <c r="G1676" s="43"/>
      <c r="H1676" s="41"/>
      <c r="I1676" s="43"/>
      <c r="J1676" s="43"/>
      <c r="K1676" s="43"/>
      <c r="L1676" s="43"/>
      <c r="M1676" s="43"/>
      <c r="N1676" s="43"/>
      <c r="O1676" s="43"/>
      <c r="P1676" s="43"/>
      <c r="Q1676" s="43"/>
      <c r="R1676" s="43"/>
      <c r="S1676" s="43"/>
      <c r="T1676" s="43"/>
      <c r="U1676" s="43"/>
      <c r="V1676" s="43"/>
      <c r="W1676" s="43"/>
      <c r="X1676" s="43"/>
      <c r="Y1676" s="43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</row>
    <row r="1677" spans="1:60" ht="16">
      <c r="A1677" s="41"/>
      <c r="B1677" s="41"/>
      <c r="C1677" s="41"/>
      <c r="D1677" s="42"/>
      <c r="E1677" s="43"/>
      <c r="F1677" s="43"/>
      <c r="G1677" s="43"/>
      <c r="H1677" s="41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</row>
    <row r="1678" spans="1:60" ht="16">
      <c r="A1678" s="41"/>
      <c r="B1678" s="41"/>
      <c r="C1678" s="41"/>
      <c r="D1678" s="42"/>
      <c r="E1678" s="43"/>
      <c r="F1678" s="43"/>
      <c r="G1678" s="43"/>
      <c r="H1678" s="41"/>
      <c r="I1678" s="43"/>
      <c r="J1678" s="43"/>
      <c r="K1678" s="43"/>
      <c r="L1678" s="43"/>
      <c r="M1678" s="43"/>
      <c r="N1678" s="43"/>
      <c r="O1678" s="43"/>
      <c r="P1678" s="43"/>
      <c r="Q1678" s="43"/>
      <c r="R1678" s="43"/>
      <c r="S1678" s="43"/>
      <c r="T1678" s="43"/>
      <c r="U1678" s="43"/>
      <c r="V1678" s="43"/>
      <c r="W1678" s="43"/>
      <c r="X1678" s="43"/>
      <c r="Y1678" s="43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</row>
    <row r="1679" spans="1:60" ht="16">
      <c r="A1679" s="41"/>
      <c r="B1679" s="41"/>
      <c r="C1679" s="41"/>
      <c r="D1679" s="42"/>
      <c r="E1679" s="43"/>
      <c r="F1679" s="43"/>
      <c r="G1679" s="43"/>
      <c r="H1679" s="41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</row>
    <row r="1680" spans="1:60" ht="16">
      <c r="A1680" s="41"/>
      <c r="B1680" s="41"/>
      <c r="C1680" s="41"/>
      <c r="D1680" s="42"/>
      <c r="E1680" s="43"/>
      <c r="F1680" s="43"/>
      <c r="G1680" s="43"/>
      <c r="H1680" s="41"/>
      <c r="I1680" s="43"/>
      <c r="J1680" s="43"/>
      <c r="K1680" s="43"/>
      <c r="L1680" s="43"/>
      <c r="M1680" s="43"/>
      <c r="N1680" s="43"/>
      <c r="O1680" s="43"/>
      <c r="P1680" s="43"/>
      <c r="Q1680" s="43"/>
      <c r="R1680" s="43"/>
      <c r="S1680" s="43"/>
      <c r="T1680" s="43"/>
      <c r="U1680" s="43"/>
      <c r="V1680" s="43"/>
      <c r="W1680" s="43"/>
      <c r="X1680" s="43"/>
      <c r="Y1680" s="43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</row>
    <row r="1681" spans="1:60" ht="16">
      <c r="A1681" s="41"/>
      <c r="B1681" s="41"/>
      <c r="C1681" s="41"/>
      <c r="D1681" s="42"/>
      <c r="E1681" s="43"/>
      <c r="F1681" s="43"/>
      <c r="G1681" s="43"/>
      <c r="H1681" s="41"/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3"/>
      <c r="U1681" s="43"/>
      <c r="V1681" s="43"/>
      <c r="W1681" s="43"/>
      <c r="X1681" s="43"/>
      <c r="Y1681" s="43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</row>
    <row r="1682" spans="1:60" ht="16">
      <c r="A1682" s="41"/>
      <c r="B1682" s="41"/>
      <c r="C1682" s="41"/>
      <c r="D1682" s="42"/>
      <c r="E1682" s="43"/>
      <c r="F1682" s="43"/>
      <c r="G1682" s="43"/>
      <c r="H1682" s="41"/>
      <c r="I1682" s="43"/>
      <c r="J1682" s="43"/>
      <c r="K1682" s="43"/>
      <c r="L1682" s="43"/>
      <c r="M1682" s="43"/>
      <c r="N1682" s="43"/>
      <c r="O1682" s="43"/>
      <c r="P1682" s="43"/>
      <c r="Q1682" s="43"/>
      <c r="R1682" s="43"/>
      <c r="S1682" s="43"/>
      <c r="T1682" s="43"/>
      <c r="U1682" s="43"/>
      <c r="V1682" s="43"/>
      <c r="W1682" s="43"/>
      <c r="X1682" s="43"/>
      <c r="Y1682" s="43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</row>
    <row r="1683" spans="1:60" ht="16">
      <c r="A1683" s="41"/>
      <c r="B1683" s="41"/>
      <c r="C1683" s="41"/>
      <c r="D1683" s="42"/>
      <c r="E1683" s="43"/>
      <c r="F1683" s="43"/>
      <c r="G1683" s="43"/>
      <c r="H1683" s="41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3"/>
      <c r="U1683" s="43"/>
      <c r="V1683" s="43"/>
      <c r="W1683" s="43"/>
      <c r="X1683" s="43"/>
      <c r="Y1683" s="43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</row>
    <row r="1684" spans="1:60" ht="16">
      <c r="A1684" s="41"/>
      <c r="B1684" s="41"/>
      <c r="C1684" s="41"/>
      <c r="D1684" s="42"/>
      <c r="E1684" s="43"/>
      <c r="F1684" s="43"/>
      <c r="G1684" s="43"/>
      <c r="H1684" s="41"/>
      <c r="I1684" s="43"/>
      <c r="J1684" s="43"/>
      <c r="K1684" s="43"/>
      <c r="L1684" s="43"/>
      <c r="M1684" s="43"/>
      <c r="N1684" s="43"/>
      <c r="O1684" s="43"/>
      <c r="P1684" s="43"/>
      <c r="Q1684" s="43"/>
      <c r="R1684" s="43"/>
      <c r="S1684" s="43"/>
      <c r="T1684" s="43"/>
      <c r="U1684" s="43"/>
      <c r="V1684" s="43"/>
      <c r="W1684" s="43"/>
      <c r="X1684" s="43"/>
      <c r="Y1684" s="43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</row>
    <row r="1685" spans="1:60" ht="16">
      <c r="A1685" s="41"/>
      <c r="B1685" s="41"/>
      <c r="C1685" s="41"/>
      <c r="D1685" s="42"/>
      <c r="E1685" s="43"/>
      <c r="F1685" s="43"/>
      <c r="G1685" s="43"/>
      <c r="H1685" s="41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3"/>
      <c r="W1685" s="43"/>
      <c r="X1685" s="43"/>
      <c r="Y1685" s="43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</row>
    <row r="1686" spans="1:60" ht="16">
      <c r="A1686" s="41"/>
      <c r="B1686" s="41"/>
      <c r="C1686" s="41"/>
      <c r="D1686" s="42"/>
      <c r="E1686" s="43"/>
      <c r="F1686" s="43"/>
      <c r="G1686" s="43"/>
      <c r="H1686" s="41"/>
      <c r="I1686" s="43"/>
      <c r="J1686" s="43"/>
      <c r="K1686" s="43"/>
      <c r="L1686" s="43"/>
      <c r="M1686" s="43"/>
      <c r="N1686" s="43"/>
      <c r="O1686" s="43"/>
      <c r="P1686" s="43"/>
      <c r="Q1686" s="43"/>
      <c r="R1686" s="43"/>
      <c r="S1686" s="43"/>
      <c r="T1686" s="43"/>
      <c r="U1686" s="43"/>
      <c r="V1686" s="43"/>
      <c r="W1686" s="43"/>
      <c r="X1686" s="43"/>
      <c r="Y1686" s="43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</row>
    <row r="1687" spans="1:60" ht="16">
      <c r="A1687" s="41"/>
      <c r="B1687" s="41"/>
      <c r="C1687" s="41"/>
      <c r="D1687" s="42"/>
      <c r="E1687" s="43"/>
      <c r="F1687" s="43"/>
      <c r="G1687" s="43"/>
      <c r="H1687" s="41"/>
      <c r="I1687" s="43"/>
      <c r="J1687" s="43"/>
      <c r="K1687" s="43"/>
      <c r="L1687" s="43"/>
      <c r="M1687" s="43"/>
      <c r="N1687" s="43"/>
      <c r="O1687" s="43"/>
      <c r="P1687" s="43"/>
      <c r="Q1687" s="43"/>
      <c r="R1687" s="43"/>
      <c r="S1687" s="43"/>
      <c r="T1687" s="43"/>
      <c r="U1687" s="43"/>
      <c r="V1687" s="43"/>
      <c r="W1687" s="43"/>
      <c r="X1687" s="43"/>
      <c r="Y1687" s="43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</row>
    <row r="1688" spans="1:60" ht="16">
      <c r="A1688" s="41"/>
      <c r="B1688" s="41"/>
      <c r="C1688" s="41"/>
      <c r="D1688" s="42"/>
      <c r="E1688" s="43"/>
      <c r="F1688" s="43"/>
      <c r="G1688" s="43"/>
      <c r="H1688" s="41"/>
      <c r="I1688" s="43"/>
      <c r="J1688" s="43"/>
      <c r="K1688" s="43"/>
      <c r="L1688" s="43"/>
      <c r="M1688" s="43"/>
      <c r="N1688" s="43"/>
      <c r="O1688" s="43"/>
      <c r="P1688" s="43"/>
      <c r="Q1688" s="43"/>
      <c r="R1688" s="43"/>
      <c r="S1688" s="43"/>
      <c r="T1688" s="43"/>
      <c r="U1688" s="43"/>
      <c r="V1688" s="43"/>
      <c r="W1688" s="43"/>
      <c r="X1688" s="43"/>
      <c r="Y1688" s="43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</row>
    <row r="1689" spans="1:60" ht="16">
      <c r="A1689" s="41"/>
      <c r="B1689" s="41"/>
      <c r="C1689" s="41"/>
      <c r="D1689" s="42"/>
      <c r="E1689" s="43"/>
      <c r="F1689" s="43"/>
      <c r="G1689" s="43"/>
      <c r="H1689" s="41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</row>
    <row r="1690" spans="1:60" ht="16">
      <c r="A1690" s="41"/>
      <c r="B1690" s="41"/>
      <c r="C1690" s="41"/>
      <c r="D1690" s="42"/>
      <c r="E1690" s="43"/>
      <c r="F1690" s="43"/>
      <c r="G1690" s="43"/>
      <c r="H1690" s="41"/>
      <c r="I1690" s="43"/>
      <c r="J1690" s="43"/>
      <c r="K1690" s="43"/>
      <c r="L1690" s="43"/>
      <c r="M1690" s="43"/>
      <c r="N1690" s="43"/>
      <c r="O1690" s="43"/>
      <c r="P1690" s="43"/>
      <c r="Q1690" s="43"/>
      <c r="R1690" s="43"/>
      <c r="S1690" s="43"/>
      <c r="T1690" s="43"/>
      <c r="U1690" s="43"/>
      <c r="V1690" s="43"/>
      <c r="W1690" s="43"/>
      <c r="X1690" s="43"/>
      <c r="Y1690" s="43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</row>
    <row r="1691" spans="1:60" ht="16">
      <c r="A1691" s="41"/>
      <c r="B1691" s="41"/>
      <c r="C1691" s="41"/>
      <c r="D1691" s="42"/>
      <c r="E1691" s="43"/>
      <c r="F1691" s="43"/>
      <c r="G1691" s="43"/>
      <c r="H1691" s="41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</row>
    <row r="1692" spans="1:60" ht="16">
      <c r="A1692" s="41"/>
      <c r="B1692" s="41"/>
      <c r="C1692" s="41"/>
      <c r="D1692" s="42"/>
      <c r="E1692" s="43"/>
      <c r="F1692" s="43"/>
      <c r="G1692" s="43"/>
      <c r="H1692" s="41"/>
      <c r="I1692" s="43"/>
      <c r="J1692" s="43"/>
      <c r="K1692" s="43"/>
      <c r="L1692" s="43"/>
      <c r="M1692" s="43"/>
      <c r="N1692" s="43"/>
      <c r="O1692" s="43"/>
      <c r="P1692" s="43"/>
      <c r="Q1692" s="43"/>
      <c r="R1692" s="43"/>
      <c r="S1692" s="43"/>
      <c r="T1692" s="43"/>
      <c r="U1692" s="43"/>
      <c r="V1692" s="43"/>
      <c r="W1692" s="43"/>
      <c r="X1692" s="43"/>
      <c r="Y1692" s="43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</row>
    <row r="1693" spans="1:60" ht="16">
      <c r="A1693" s="41"/>
      <c r="B1693" s="41"/>
      <c r="C1693" s="41"/>
      <c r="D1693" s="42"/>
      <c r="E1693" s="43"/>
      <c r="F1693" s="43"/>
      <c r="G1693" s="43"/>
      <c r="H1693" s="41"/>
      <c r="I1693" s="43"/>
      <c r="J1693" s="43"/>
      <c r="K1693" s="43"/>
      <c r="L1693" s="43"/>
      <c r="M1693" s="43"/>
      <c r="N1693" s="43"/>
      <c r="O1693" s="43"/>
      <c r="P1693" s="43"/>
      <c r="Q1693" s="43"/>
      <c r="R1693" s="43"/>
      <c r="S1693" s="43"/>
      <c r="T1693" s="43"/>
      <c r="U1693" s="43"/>
      <c r="V1693" s="43"/>
      <c r="W1693" s="43"/>
      <c r="X1693" s="43"/>
      <c r="Y1693" s="43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</row>
    <row r="1694" spans="1:60" ht="16">
      <c r="A1694" s="41"/>
      <c r="B1694" s="41"/>
      <c r="C1694" s="41"/>
      <c r="D1694" s="42"/>
      <c r="E1694" s="43"/>
      <c r="F1694" s="43"/>
      <c r="G1694" s="43"/>
      <c r="H1694" s="41"/>
      <c r="I1694" s="43"/>
      <c r="J1694" s="43"/>
      <c r="K1694" s="43"/>
      <c r="L1694" s="43"/>
      <c r="M1694" s="43"/>
      <c r="N1694" s="43"/>
      <c r="O1694" s="43"/>
      <c r="P1694" s="43"/>
      <c r="Q1694" s="43"/>
      <c r="R1694" s="43"/>
      <c r="S1694" s="43"/>
      <c r="T1694" s="43"/>
      <c r="U1694" s="43"/>
      <c r="V1694" s="43"/>
      <c r="W1694" s="43"/>
      <c r="X1694" s="43"/>
      <c r="Y1694" s="43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</row>
    <row r="1695" spans="1:60" ht="16">
      <c r="A1695" s="41"/>
      <c r="B1695" s="41"/>
      <c r="C1695" s="41"/>
      <c r="D1695" s="42"/>
      <c r="E1695" s="43"/>
      <c r="F1695" s="43"/>
      <c r="G1695" s="43"/>
      <c r="H1695" s="41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</row>
    <row r="1696" spans="1:60" ht="16">
      <c r="A1696" s="41"/>
      <c r="B1696" s="41"/>
      <c r="C1696" s="41"/>
      <c r="D1696" s="42"/>
      <c r="E1696" s="43"/>
      <c r="F1696" s="43"/>
      <c r="G1696" s="43"/>
      <c r="H1696" s="41"/>
      <c r="I1696" s="43"/>
      <c r="J1696" s="43"/>
      <c r="K1696" s="43"/>
      <c r="L1696" s="43"/>
      <c r="M1696" s="43"/>
      <c r="N1696" s="43"/>
      <c r="O1696" s="43"/>
      <c r="P1696" s="43"/>
      <c r="Q1696" s="43"/>
      <c r="R1696" s="43"/>
      <c r="S1696" s="43"/>
      <c r="T1696" s="43"/>
      <c r="U1696" s="43"/>
      <c r="V1696" s="43"/>
      <c r="W1696" s="43"/>
      <c r="X1696" s="43"/>
      <c r="Y1696" s="43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</row>
    <row r="1697" spans="1:60" ht="16">
      <c r="A1697" s="41"/>
      <c r="B1697" s="41"/>
      <c r="C1697" s="41"/>
      <c r="D1697" s="42"/>
      <c r="E1697" s="43"/>
      <c r="F1697" s="43"/>
      <c r="G1697" s="43"/>
      <c r="H1697" s="41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</row>
    <row r="1698" spans="1:60" ht="16">
      <c r="A1698" s="41"/>
      <c r="B1698" s="41"/>
      <c r="C1698" s="41"/>
      <c r="D1698" s="42"/>
      <c r="E1698" s="43"/>
      <c r="F1698" s="43"/>
      <c r="G1698" s="43"/>
      <c r="H1698" s="41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</row>
    <row r="1699" spans="1:60" ht="16">
      <c r="A1699" s="41"/>
      <c r="B1699" s="41"/>
      <c r="C1699" s="41"/>
      <c r="D1699" s="42"/>
      <c r="E1699" s="43"/>
      <c r="F1699" s="43"/>
      <c r="G1699" s="43"/>
      <c r="H1699" s="41"/>
      <c r="I1699" s="43"/>
      <c r="J1699" s="43"/>
      <c r="K1699" s="43"/>
      <c r="L1699" s="43"/>
      <c r="M1699" s="43"/>
      <c r="N1699" s="43"/>
      <c r="O1699" s="43"/>
      <c r="P1699" s="43"/>
      <c r="Q1699" s="43"/>
      <c r="R1699" s="43"/>
      <c r="S1699" s="43"/>
      <c r="T1699" s="43"/>
      <c r="U1699" s="43"/>
      <c r="V1699" s="43"/>
      <c r="W1699" s="43"/>
      <c r="X1699" s="43"/>
      <c r="Y1699" s="43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</row>
    <row r="1700" spans="1:60" ht="16">
      <c r="A1700" s="41"/>
      <c r="B1700" s="41"/>
      <c r="C1700" s="41"/>
      <c r="D1700" s="42"/>
      <c r="E1700" s="43"/>
      <c r="F1700" s="43"/>
      <c r="G1700" s="43"/>
      <c r="H1700" s="41"/>
      <c r="I1700" s="43"/>
      <c r="J1700" s="43"/>
      <c r="K1700" s="43"/>
      <c r="L1700" s="43"/>
      <c r="M1700" s="43"/>
      <c r="N1700" s="43"/>
      <c r="O1700" s="43"/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</row>
    <row r="1701" spans="1:60" ht="16">
      <c r="A1701" s="41"/>
      <c r="B1701" s="41"/>
      <c r="C1701" s="41"/>
      <c r="D1701" s="42"/>
      <c r="E1701" s="43"/>
      <c r="F1701" s="43"/>
      <c r="G1701" s="43"/>
      <c r="H1701" s="41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3"/>
      <c r="U1701" s="43"/>
      <c r="V1701" s="43"/>
      <c r="W1701" s="43"/>
      <c r="X1701" s="43"/>
      <c r="Y1701" s="43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</row>
    <row r="1702" spans="1:60" ht="16">
      <c r="A1702" s="41"/>
      <c r="B1702" s="41"/>
      <c r="C1702" s="41"/>
      <c r="D1702" s="42"/>
      <c r="E1702" s="43"/>
      <c r="F1702" s="43"/>
      <c r="G1702" s="43"/>
      <c r="H1702" s="41"/>
      <c r="I1702" s="43"/>
      <c r="J1702" s="43"/>
      <c r="K1702" s="43"/>
      <c r="L1702" s="43"/>
      <c r="M1702" s="43"/>
      <c r="N1702" s="43"/>
      <c r="O1702" s="43"/>
      <c r="P1702" s="43"/>
      <c r="Q1702" s="43"/>
      <c r="R1702" s="43"/>
      <c r="S1702" s="43"/>
      <c r="T1702" s="43"/>
      <c r="U1702" s="43"/>
      <c r="V1702" s="43"/>
      <c r="W1702" s="43"/>
      <c r="X1702" s="43"/>
      <c r="Y1702" s="43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</row>
    <row r="1703" spans="1:60" ht="16">
      <c r="A1703" s="41"/>
      <c r="B1703" s="41"/>
      <c r="C1703" s="41"/>
      <c r="D1703" s="42"/>
      <c r="E1703" s="43"/>
      <c r="F1703" s="43"/>
      <c r="G1703" s="43"/>
      <c r="H1703" s="41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</row>
    <row r="1704" spans="1:60" ht="16">
      <c r="A1704" s="41"/>
      <c r="B1704" s="41"/>
      <c r="C1704" s="41"/>
      <c r="D1704" s="42"/>
      <c r="E1704" s="43"/>
      <c r="F1704" s="43"/>
      <c r="G1704" s="43"/>
      <c r="H1704" s="41"/>
      <c r="I1704" s="43"/>
      <c r="J1704" s="43"/>
      <c r="K1704" s="43"/>
      <c r="L1704" s="43"/>
      <c r="M1704" s="43"/>
      <c r="N1704" s="43"/>
      <c r="O1704" s="43"/>
      <c r="P1704" s="43"/>
      <c r="Q1704" s="43"/>
      <c r="R1704" s="43"/>
      <c r="S1704" s="43"/>
      <c r="T1704" s="43"/>
      <c r="U1704" s="43"/>
      <c r="V1704" s="43"/>
      <c r="W1704" s="43"/>
      <c r="X1704" s="43"/>
      <c r="Y1704" s="43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</row>
    <row r="1705" spans="1:60" ht="16">
      <c r="A1705" s="41"/>
      <c r="B1705" s="41"/>
      <c r="C1705" s="41"/>
      <c r="D1705" s="42"/>
      <c r="E1705" s="43"/>
      <c r="F1705" s="43"/>
      <c r="G1705" s="43"/>
      <c r="H1705" s="41"/>
      <c r="I1705" s="43"/>
      <c r="J1705" s="43"/>
      <c r="K1705" s="43"/>
      <c r="L1705" s="43"/>
      <c r="M1705" s="43"/>
      <c r="N1705" s="43"/>
      <c r="O1705" s="43"/>
      <c r="P1705" s="43"/>
      <c r="Q1705" s="43"/>
      <c r="R1705" s="43"/>
      <c r="S1705" s="43"/>
      <c r="T1705" s="43"/>
      <c r="U1705" s="43"/>
      <c r="V1705" s="43"/>
      <c r="W1705" s="43"/>
      <c r="X1705" s="43"/>
      <c r="Y1705" s="43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</row>
    <row r="1706" spans="1:60" ht="16">
      <c r="A1706" s="41"/>
      <c r="B1706" s="41"/>
      <c r="C1706" s="41"/>
      <c r="D1706" s="42"/>
      <c r="E1706" s="43"/>
      <c r="F1706" s="43"/>
      <c r="G1706" s="43"/>
      <c r="H1706" s="41"/>
      <c r="I1706" s="43"/>
      <c r="J1706" s="43"/>
      <c r="K1706" s="43"/>
      <c r="L1706" s="43"/>
      <c r="M1706" s="43"/>
      <c r="N1706" s="43"/>
      <c r="O1706" s="43"/>
      <c r="P1706" s="43"/>
      <c r="Q1706" s="43"/>
      <c r="R1706" s="43"/>
      <c r="S1706" s="43"/>
      <c r="T1706" s="43"/>
      <c r="U1706" s="43"/>
      <c r="V1706" s="43"/>
      <c r="W1706" s="43"/>
      <c r="X1706" s="43"/>
      <c r="Y1706" s="43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</row>
    <row r="1707" spans="1:60" ht="16">
      <c r="A1707" s="41"/>
      <c r="B1707" s="41"/>
      <c r="C1707" s="41"/>
      <c r="D1707" s="42"/>
      <c r="E1707" s="43"/>
      <c r="F1707" s="43"/>
      <c r="G1707" s="43"/>
      <c r="H1707" s="41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</row>
    <row r="1708" spans="1:60" ht="16">
      <c r="A1708" s="41"/>
      <c r="B1708" s="41"/>
      <c r="C1708" s="41"/>
      <c r="D1708" s="42"/>
      <c r="E1708" s="43"/>
      <c r="F1708" s="43"/>
      <c r="G1708" s="43"/>
      <c r="H1708" s="41"/>
      <c r="I1708" s="43"/>
      <c r="J1708" s="43"/>
      <c r="K1708" s="43"/>
      <c r="L1708" s="43"/>
      <c r="M1708" s="43"/>
      <c r="N1708" s="43"/>
      <c r="O1708" s="43"/>
      <c r="P1708" s="43"/>
      <c r="Q1708" s="43"/>
      <c r="R1708" s="43"/>
      <c r="S1708" s="43"/>
      <c r="T1708" s="43"/>
      <c r="U1708" s="43"/>
      <c r="V1708" s="43"/>
      <c r="W1708" s="43"/>
      <c r="X1708" s="43"/>
      <c r="Y1708" s="43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</row>
    <row r="1709" spans="1:60" ht="16">
      <c r="A1709" s="41"/>
      <c r="B1709" s="41"/>
      <c r="C1709" s="41"/>
      <c r="D1709" s="42"/>
      <c r="E1709" s="43"/>
      <c r="F1709" s="43"/>
      <c r="G1709" s="43"/>
      <c r="H1709" s="41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3"/>
      <c r="W1709" s="43"/>
      <c r="X1709" s="43"/>
      <c r="Y1709" s="43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</row>
    <row r="1710" spans="1:60" ht="16">
      <c r="A1710" s="41"/>
      <c r="B1710" s="41"/>
      <c r="C1710" s="41"/>
      <c r="D1710" s="42"/>
      <c r="E1710" s="43"/>
      <c r="F1710" s="43"/>
      <c r="G1710" s="43"/>
      <c r="H1710" s="41"/>
      <c r="I1710" s="43"/>
      <c r="J1710" s="43"/>
      <c r="K1710" s="43"/>
      <c r="L1710" s="43"/>
      <c r="M1710" s="43"/>
      <c r="N1710" s="43"/>
      <c r="O1710" s="43"/>
      <c r="P1710" s="43"/>
      <c r="Q1710" s="43"/>
      <c r="R1710" s="43"/>
      <c r="S1710" s="43"/>
      <c r="T1710" s="43"/>
      <c r="U1710" s="43"/>
      <c r="V1710" s="43"/>
      <c r="W1710" s="43"/>
      <c r="X1710" s="43"/>
      <c r="Y1710" s="43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</row>
    <row r="1711" spans="1:60" ht="16">
      <c r="A1711" s="41"/>
      <c r="B1711" s="41"/>
      <c r="C1711" s="41"/>
      <c r="D1711" s="42"/>
      <c r="E1711" s="43"/>
      <c r="F1711" s="43"/>
      <c r="G1711" s="43"/>
      <c r="H1711" s="41"/>
      <c r="I1711" s="43"/>
      <c r="J1711" s="43"/>
      <c r="K1711" s="43"/>
      <c r="L1711" s="43"/>
      <c r="M1711" s="43"/>
      <c r="N1711" s="43"/>
      <c r="O1711" s="43"/>
      <c r="P1711" s="43"/>
      <c r="Q1711" s="43"/>
      <c r="R1711" s="43"/>
      <c r="S1711" s="43"/>
      <c r="T1711" s="43"/>
      <c r="U1711" s="43"/>
      <c r="V1711" s="43"/>
      <c r="W1711" s="43"/>
      <c r="X1711" s="43"/>
      <c r="Y1711" s="43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</row>
    <row r="1712" spans="1:60" ht="16">
      <c r="A1712" s="41"/>
      <c r="B1712" s="41"/>
      <c r="C1712" s="41"/>
      <c r="D1712" s="42"/>
      <c r="E1712" s="43"/>
      <c r="F1712" s="43"/>
      <c r="G1712" s="43"/>
      <c r="H1712" s="41"/>
      <c r="I1712" s="43"/>
      <c r="J1712" s="43"/>
      <c r="K1712" s="43"/>
      <c r="L1712" s="43"/>
      <c r="M1712" s="43"/>
      <c r="N1712" s="43"/>
      <c r="O1712" s="43"/>
      <c r="P1712" s="43"/>
      <c r="Q1712" s="43"/>
      <c r="R1712" s="43"/>
      <c r="S1712" s="43"/>
      <c r="T1712" s="43"/>
      <c r="U1712" s="43"/>
      <c r="V1712" s="43"/>
      <c r="W1712" s="43"/>
      <c r="X1712" s="43"/>
      <c r="Y1712" s="43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</row>
    <row r="1713" spans="1:60" ht="16">
      <c r="A1713" s="41"/>
      <c r="B1713" s="41"/>
      <c r="C1713" s="41"/>
      <c r="D1713" s="42"/>
      <c r="E1713" s="43"/>
      <c r="F1713" s="43"/>
      <c r="G1713" s="43"/>
      <c r="H1713" s="41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</row>
    <row r="1714" spans="1:60" ht="16">
      <c r="A1714" s="41"/>
      <c r="B1714" s="41"/>
      <c r="C1714" s="41"/>
      <c r="D1714" s="42"/>
      <c r="E1714" s="43"/>
      <c r="F1714" s="43"/>
      <c r="G1714" s="43"/>
      <c r="H1714" s="41"/>
      <c r="I1714" s="43"/>
      <c r="J1714" s="43"/>
      <c r="K1714" s="43"/>
      <c r="L1714" s="43"/>
      <c r="M1714" s="43"/>
      <c r="N1714" s="43"/>
      <c r="O1714" s="43"/>
      <c r="P1714" s="43"/>
      <c r="Q1714" s="43"/>
      <c r="R1714" s="43"/>
      <c r="S1714" s="43"/>
      <c r="T1714" s="43"/>
      <c r="U1714" s="43"/>
      <c r="V1714" s="43"/>
      <c r="W1714" s="43"/>
      <c r="X1714" s="43"/>
      <c r="Y1714" s="43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</row>
    <row r="1715" spans="1:60" ht="16">
      <c r="A1715" s="41"/>
      <c r="B1715" s="41"/>
      <c r="C1715" s="41"/>
      <c r="D1715" s="42"/>
      <c r="E1715" s="43"/>
      <c r="F1715" s="43"/>
      <c r="G1715" s="43"/>
      <c r="H1715" s="41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</row>
    <row r="1716" spans="1:60" ht="16">
      <c r="A1716" s="41"/>
      <c r="B1716" s="41"/>
      <c r="C1716" s="41"/>
      <c r="D1716" s="42"/>
      <c r="E1716" s="43"/>
      <c r="F1716" s="43"/>
      <c r="G1716" s="43"/>
      <c r="H1716" s="41"/>
      <c r="I1716" s="43"/>
      <c r="J1716" s="43"/>
      <c r="K1716" s="43"/>
      <c r="L1716" s="43"/>
      <c r="M1716" s="43"/>
      <c r="N1716" s="43"/>
      <c r="O1716" s="43"/>
      <c r="P1716" s="43"/>
      <c r="Q1716" s="43"/>
      <c r="R1716" s="43"/>
      <c r="S1716" s="43"/>
      <c r="T1716" s="43"/>
      <c r="U1716" s="43"/>
      <c r="V1716" s="43"/>
      <c r="W1716" s="43"/>
      <c r="X1716" s="43"/>
      <c r="Y1716" s="43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</row>
    <row r="1717" spans="1:60" ht="16">
      <c r="A1717" s="41"/>
      <c r="B1717" s="41"/>
      <c r="C1717" s="41"/>
      <c r="D1717" s="42"/>
      <c r="E1717" s="43"/>
      <c r="F1717" s="43"/>
      <c r="G1717" s="43"/>
      <c r="H1717" s="41"/>
      <c r="I1717" s="43"/>
      <c r="J1717" s="43"/>
      <c r="K1717" s="43"/>
      <c r="L1717" s="43"/>
      <c r="M1717" s="43"/>
      <c r="N1717" s="43"/>
      <c r="O1717" s="43"/>
      <c r="P1717" s="43"/>
      <c r="Q1717" s="43"/>
      <c r="R1717" s="43"/>
      <c r="S1717" s="43"/>
      <c r="T1717" s="43"/>
      <c r="U1717" s="43"/>
      <c r="V1717" s="43"/>
      <c r="W1717" s="43"/>
      <c r="X1717" s="43"/>
      <c r="Y1717" s="43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</row>
    <row r="1718" spans="1:60" ht="16">
      <c r="A1718" s="41"/>
      <c r="B1718" s="41"/>
      <c r="C1718" s="41"/>
      <c r="D1718" s="42"/>
      <c r="E1718" s="43"/>
      <c r="F1718" s="43"/>
      <c r="G1718" s="43"/>
      <c r="H1718" s="41"/>
      <c r="I1718" s="43"/>
      <c r="J1718" s="43"/>
      <c r="K1718" s="43"/>
      <c r="L1718" s="43"/>
      <c r="M1718" s="43"/>
      <c r="N1718" s="43"/>
      <c r="O1718" s="43"/>
      <c r="P1718" s="43"/>
      <c r="Q1718" s="43"/>
      <c r="R1718" s="43"/>
      <c r="S1718" s="43"/>
      <c r="T1718" s="43"/>
      <c r="U1718" s="43"/>
      <c r="V1718" s="43"/>
      <c r="W1718" s="43"/>
      <c r="X1718" s="43"/>
      <c r="Y1718" s="43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</row>
    <row r="1719" spans="1:60" ht="16">
      <c r="A1719" s="41"/>
      <c r="B1719" s="41"/>
      <c r="C1719" s="41"/>
      <c r="D1719" s="42"/>
      <c r="E1719" s="43"/>
      <c r="F1719" s="43"/>
      <c r="G1719" s="43"/>
      <c r="H1719" s="41"/>
      <c r="I1719" s="43"/>
      <c r="J1719" s="43"/>
      <c r="K1719" s="43"/>
      <c r="L1719" s="43"/>
      <c r="M1719" s="43"/>
      <c r="N1719" s="43"/>
      <c r="O1719" s="43"/>
      <c r="P1719" s="43"/>
      <c r="Q1719" s="43"/>
      <c r="R1719" s="43"/>
      <c r="S1719" s="43"/>
      <c r="T1719" s="43"/>
      <c r="U1719" s="43"/>
      <c r="V1719" s="43"/>
      <c r="W1719" s="43"/>
      <c r="X1719" s="43"/>
      <c r="Y1719" s="43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</row>
    <row r="1720" spans="1:60" ht="16">
      <c r="A1720" s="41"/>
      <c r="B1720" s="41"/>
      <c r="C1720" s="41"/>
      <c r="D1720" s="42"/>
      <c r="E1720" s="43"/>
      <c r="F1720" s="43"/>
      <c r="G1720" s="43"/>
      <c r="H1720" s="41"/>
      <c r="I1720" s="43"/>
      <c r="J1720" s="43"/>
      <c r="K1720" s="43"/>
      <c r="L1720" s="43"/>
      <c r="M1720" s="43"/>
      <c r="N1720" s="43"/>
      <c r="O1720" s="43"/>
      <c r="P1720" s="43"/>
      <c r="Q1720" s="43"/>
      <c r="R1720" s="43"/>
      <c r="S1720" s="43"/>
      <c r="T1720" s="43"/>
      <c r="U1720" s="43"/>
      <c r="V1720" s="43"/>
      <c r="W1720" s="43"/>
      <c r="X1720" s="43"/>
      <c r="Y1720" s="43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</row>
    <row r="1721" spans="1:60" ht="16">
      <c r="A1721" s="41"/>
      <c r="B1721" s="41"/>
      <c r="C1721" s="41"/>
      <c r="D1721" s="42"/>
      <c r="E1721" s="43"/>
      <c r="F1721" s="43"/>
      <c r="G1721" s="43"/>
      <c r="H1721" s="41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</row>
    <row r="1722" spans="1:60" ht="16">
      <c r="A1722" s="41"/>
      <c r="B1722" s="41"/>
      <c r="C1722" s="41"/>
      <c r="D1722" s="42"/>
      <c r="E1722" s="43"/>
      <c r="F1722" s="43"/>
      <c r="G1722" s="43"/>
      <c r="H1722" s="41"/>
      <c r="I1722" s="43"/>
      <c r="J1722" s="43"/>
      <c r="K1722" s="43"/>
      <c r="L1722" s="43"/>
      <c r="M1722" s="43"/>
      <c r="N1722" s="43"/>
      <c r="O1722" s="43"/>
      <c r="P1722" s="43"/>
      <c r="Q1722" s="43"/>
      <c r="R1722" s="43"/>
      <c r="S1722" s="43"/>
      <c r="T1722" s="43"/>
      <c r="U1722" s="43"/>
      <c r="V1722" s="43"/>
      <c r="W1722" s="43"/>
      <c r="X1722" s="43"/>
      <c r="Y1722" s="43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</row>
    <row r="1723" spans="1:60" ht="16">
      <c r="A1723" s="41"/>
      <c r="B1723" s="41"/>
      <c r="C1723" s="41"/>
      <c r="D1723" s="42"/>
      <c r="E1723" s="43"/>
      <c r="F1723" s="43"/>
      <c r="G1723" s="43"/>
      <c r="H1723" s="41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</row>
    <row r="1724" spans="1:60" ht="16">
      <c r="A1724" s="41"/>
      <c r="B1724" s="41"/>
      <c r="C1724" s="41"/>
      <c r="D1724" s="42"/>
      <c r="E1724" s="43"/>
      <c r="F1724" s="43"/>
      <c r="G1724" s="43"/>
      <c r="H1724" s="41"/>
      <c r="I1724" s="43"/>
      <c r="J1724" s="43"/>
      <c r="K1724" s="43"/>
      <c r="L1724" s="43"/>
      <c r="M1724" s="43"/>
      <c r="N1724" s="43"/>
      <c r="O1724" s="43"/>
      <c r="P1724" s="43"/>
      <c r="Q1724" s="43"/>
      <c r="R1724" s="43"/>
      <c r="S1724" s="43"/>
      <c r="T1724" s="43"/>
      <c r="U1724" s="43"/>
      <c r="V1724" s="43"/>
      <c r="W1724" s="43"/>
      <c r="X1724" s="43"/>
      <c r="Y1724" s="43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</row>
    <row r="1725" spans="1:60" ht="16">
      <c r="A1725" s="41"/>
      <c r="B1725" s="41"/>
      <c r="C1725" s="41"/>
      <c r="D1725" s="42"/>
      <c r="E1725" s="43"/>
      <c r="F1725" s="43"/>
      <c r="G1725" s="43"/>
      <c r="H1725" s="41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3"/>
      <c r="U1725" s="43"/>
      <c r="V1725" s="43"/>
      <c r="W1725" s="43"/>
      <c r="X1725" s="43"/>
      <c r="Y1725" s="43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</row>
    <row r="1726" spans="1:60" ht="16">
      <c r="A1726" s="41"/>
      <c r="B1726" s="41"/>
      <c r="C1726" s="41"/>
      <c r="D1726" s="42"/>
      <c r="E1726" s="43"/>
      <c r="F1726" s="43"/>
      <c r="G1726" s="43"/>
      <c r="H1726" s="41"/>
      <c r="I1726" s="43"/>
      <c r="J1726" s="43"/>
      <c r="K1726" s="43"/>
      <c r="L1726" s="43"/>
      <c r="M1726" s="43"/>
      <c r="N1726" s="43"/>
      <c r="O1726" s="43"/>
      <c r="P1726" s="43"/>
      <c r="Q1726" s="43"/>
      <c r="R1726" s="43"/>
      <c r="S1726" s="43"/>
      <c r="T1726" s="43"/>
      <c r="U1726" s="43"/>
      <c r="V1726" s="43"/>
      <c r="W1726" s="43"/>
      <c r="X1726" s="43"/>
      <c r="Y1726" s="43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</row>
    <row r="1727" spans="1:60" ht="16">
      <c r="A1727" s="41"/>
      <c r="B1727" s="41"/>
      <c r="C1727" s="41"/>
      <c r="D1727" s="42"/>
      <c r="E1727" s="43"/>
      <c r="F1727" s="43"/>
      <c r="G1727" s="43"/>
      <c r="H1727" s="41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</row>
    <row r="1728" spans="1:60" ht="16">
      <c r="A1728" s="41"/>
      <c r="B1728" s="41"/>
      <c r="C1728" s="41"/>
      <c r="D1728" s="42"/>
      <c r="E1728" s="43"/>
      <c r="F1728" s="43"/>
      <c r="G1728" s="43"/>
      <c r="H1728" s="41"/>
      <c r="I1728" s="43"/>
      <c r="J1728" s="43"/>
      <c r="K1728" s="43"/>
      <c r="L1728" s="43"/>
      <c r="M1728" s="43"/>
      <c r="N1728" s="43"/>
      <c r="O1728" s="43"/>
      <c r="P1728" s="43"/>
      <c r="Q1728" s="43"/>
      <c r="R1728" s="43"/>
      <c r="S1728" s="43"/>
      <c r="T1728" s="43"/>
      <c r="U1728" s="43"/>
      <c r="V1728" s="43"/>
      <c r="W1728" s="43"/>
      <c r="X1728" s="43"/>
      <c r="Y1728" s="43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</row>
    <row r="1729" spans="1:60" ht="16">
      <c r="A1729" s="41"/>
      <c r="B1729" s="41"/>
      <c r="C1729" s="41"/>
      <c r="D1729" s="42"/>
      <c r="E1729" s="43"/>
      <c r="F1729" s="43"/>
      <c r="G1729" s="43"/>
      <c r="H1729" s="41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3"/>
      <c r="U1729" s="43"/>
      <c r="V1729" s="43"/>
      <c r="W1729" s="43"/>
      <c r="X1729" s="43"/>
      <c r="Y1729" s="43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</row>
    <row r="1730" spans="1:60" ht="16">
      <c r="A1730" s="41"/>
      <c r="B1730" s="41"/>
      <c r="C1730" s="41"/>
      <c r="D1730" s="42"/>
      <c r="E1730" s="43"/>
      <c r="F1730" s="43"/>
      <c r="G1730" s="43"/>
      <c r="H1730" s="41"/>
      <c r="I1730" s="43"/>
      <c r="J1730" s="43"/>
      <c r="K1730" s="43"/>
      <c r="L1730" s="43"/>
      <c r="M1730" s="43"/>
      <c r="N1730" s="43"/>
      <c r="O1730" s="43"/>
      <c r="P1730" s="43"/>
      <c r="Q1730" s="43"/>
      <c r="R1730" s="43"/>
      <c r="S1730" s="43"/>
      <c r="T1730" s="43"/>
      <c r="U1730" s="43"/>
      <c r="V1730" s="43"/>
      <c r="W1730" s="43"/>
      <c r="X1730" s="43"/>
      <c r="Y1730" s="43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</row>
    <row r="1731" spans="1:60" ht="16">
      <c r="A1731" s="41"/>
      <c r="B1731" s="41"/>
      <c r="C1731" s="41"/>
      <c r="D1731" s="42"/>
      <c r="E1731" s="43"/>
      <c r="F1731" s="43"/>
      <c r="G1731" s="43"/>
      <c r="H1731" s="41"/>
      <c r="I1731" s="43"/>
      <c r="J1731" s="43"/>
      <c r="K1731" s="43"/>
      <c r="L1731" s="43"/>
      <c r="M1731" s="43"/>
      <c r="N1731" s="43"/>
      <c r="O1731" s="43"/>
      <c r="P1731" s="43"/>
      <c r="Q1731" s="43"/>
      <c r="R1731" s="43"/>
      <c r="S1731" s="43"/>
      <c r="T1731" s="43"/>
      <c r="U1731" s="43"/>
      <c r="V1731" s="43"/>
      <c r="W1731" s="43"/>
      <c r="X1731" s="43"/>
      <c r="Y1731" s="43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</row>
    <row r="1732" spans="1:60" ht="16">
      <c r="A1732" s="41"/>
      <c r="B1732" s="41"/>
      <c r="C1732" s="41"/>
      <c r="D1732" s="42"/>
      <c r="E1732" s="43"/>
      <c r="F1732" s="43"/>
      <c r="G1732" s="43"/>
      <c r="H1732" s="41"/>
      <c r="I1732" s="43"/>
      <c r="J1732" s="43"/>
      <c r="K1732" s="43"/>
      <c r="L1732" s="43"/>
      <c r="M1732" s="43"/>
      <c r="N1732" s="43"/>
      <c r="O1732" s="43"/>
      <c r="P1732" s="43"/>
      <c r="Q1732" s="43"/>
      <c r="R1732" s="43"/>
      <c r="S1732" s="43"/>
      <c r="T1732" s="43"/>
      <c r="U1732" s="43"/>
      <c r="V1732" s="43"/>
      <c r="W1732" s="43"/>
      <c r="X1732" s="43"/>
      <c r="Y1732" s="43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</row>
    <row r="1733" spans="1:60" ht="16">
      <c r="A1733" s="41"/>
      <c r="B1733" s="41"/>
      <c r="C1733" s="41"/>
      <c r="D1733" s="42"/>
      <c r="E1733" s="43"/>
      <c r="F1733" s="43"/>
      <c r="G1733" s="43"/>
      <c r="H1733" s="41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</row>
    <row r="1734" spans="1:60" ht="16">
      <c r="A1734" s="41"/>
      <c r="B1734" s="41"/>
      <c r="C1734" s="41"/>
      <c r="D1734" s="42"/>
      <c r="E1734" s="43"/>
      <c r="F1734" s="43"/>
      <c r="G1734" s="43"/>
      <c r="H1734" s="41"/>
      <c r="I1734" s="43"/>
      <c r="J1734" s="43"/>
      <c r="K1734" s="43"/>
      <c r="L1734" s="43"/>
      <c r="M1734" s="43"/>
      <c r="N1734" s="43"/>
      <c r="O1734" s="43"/>
      <c r="P1734" s="43"/>
      <c r="Q1734" s="43"/>
      <c r="R1734" s="43"/>
      <c r="S1734" s="43"/>
      <c r="T1734" s="43"/>
      <c r="U1734" s="43"/>
      <c r="V1734" s="43"/>
      <c r="W1734" s="43"/>
      <c r="X1734" s="43"/>
      <c r="Y1734" s="43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</row>
    <row r="1735" spans="1:60" ht="16">
      <c r="A1735" s="41"/>
      <c r="B1735" s="41"/>
      <c r="C1735" s="41"/>
      <c r="D1735" s="42"/>
      <c r="E1735" s="43"/>
      <c r="F1735" s="43"/>
      <c r="G1735" s="43"/>
      <c r="H1735" s="41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3"/>
      <c r="U1735" s="43"/>
      <c r="V1735" s="43"/>
      <c r="W1735" s="43"/>
      <c r="X1735" s="43"/>
      <c r="Y1735" s="43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</row>
    <row r="1736" spans="1:60" ht="16">
      <c r="A1736" s="41"/>
      <c r="B1736" s="41"/>
      <c r="C1736" s="41"/>
      <c r="D1736" s="42"/>
      <c r="E1736" s="43"/>
      <c r="F1736" s="43"/>
      <c r="G1736" s="43"/>
      <c r="H1736" s="41"/>
      <c r="I1736" s="43"/>
      <c r="J1736" s="43"/>
      <c r="K1736" s="43"/>
      <c r="L1736" s="43"/>
      <c r="M1736" s="43"/>
      <c r="N1736" s="43"/>
      <c r="O1736" s="43"/>
      <c r="P1736" s="43"/>
      <c r="Q1736" s="43"/>
      <c r="R1736" s="43"/>
      <c r="S1736" s="43"/>
      <c r="T1736" s="43"/>
      <c r="U1736" s="43"/>
      <c r="V1736" s="43"/>
      <c r="W1736" s="43"/>
      <c r="X1736" s="43"/>
      <c r="Y1736" s="43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</row>
    <row r="1737" spans="1:60" ht="16">
      <c r="A1737" s="41"/>
      <c r="B1737" s="41"/>
      <c r="C1737" s="41"/>
      <c r="D1737" s="42"/>
      <c r="E1737" s="43"/>
      <c r="F1737" s="43"/>
      <c r="G1737" s="43"/>
      <c r="H1737" s="41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3"/>
      <c r="U1737" s="43"/>
      <c r="V1737" s="43"/>
      <c r="W1737" s="43"/>
      <c r="X1737" s="43"/>
      <c r="Y1737" s="43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</row>
    <row r="1738" spans="1:60" ht="16">
      <c r="A1738" s="41"/>
      <c r="B1738" s="41"/>
      <c r="C1738" s="41"/>
      <c r="D1738" s="42"/>
      <c r="E1738" s="43"/>
      <c r="F1738" s="43"/>
      <c r="G1738" s="43"/>
      <c r="H1738" s="41"/>
      <c r="I1738" s="43"/>
      <c r="J1738" s="43"/>
      <c r="K1738" s="43"/>
      <c r="L1738" s="43"/>
      <c r="M1738" s="43"/>
      <c r="N1738" s="43"/>
      <c r="O1738" s="43"/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</row>
    <row r="1739" spans="1:60" ht="16">
      <c r="A1739" s="41"/>
      <c r="B1739" s="41"/>
      <c r="C1739" s="41"/>
      <c r="D1739" s="42"/>
      <c r="E1739" s="43"/>
      <c r="F1739" s="43"/>
      <c r="G1739" s="43"/>
      <c r="H1739" s="41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3"/>
      <c r="W1739" s="43"/>
      <c r="X1739" s="43"/>
      <c r="Y1739" s="43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</row>
    <row r="1740" spans="1:60" ht="16">
      <c r="A1740" s="41"/>
      <c r="B1740" s="41"/>
      <c r="C1740" s="41"/>
      <c r="D1740" s="42"/>
      <c r="E1740" s="43"/>
      <c r="F1740" s="43"/>
      <c r="G1740" s="43"/>
      <c r="H1740" s="41"/>
      <c r="I1740" s="43"/>
      <c r="J1740" s="43"/>
      <c r="K1740" s="43"/>
      <c r="L1740" s="43"/>
      <c r="M1740" s="43"/>
      <c r="N1740" s="43"/>
      <c r="O1740" s="43"/>
      <c r="P1740" s="43"/>
      <c r="Q1740" s="43"/>
      <c r="R1740" s="43"/>
      <c r="S1740" s="43"/>
      <c r="T1740" s="43"/>
      <c r="U1740" s="43"/>
      <c r="V1740" s="43"/>
      <c r="W1740" s="43"/>
      <c r="X1740" s="43"/>
      <c r="Y1740" s="43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</row>
    <row r="1741" spans="1:60" ht="16">
      <c r="A1741" s="41"/>
      <c r="B1741" s="41"/>
      <c r="C1741" s="41"/>
      <c r="D1741" s="42"/>
      <c r="E1741" s="43"/>
      <c r="F1741" s="43"/>
      <c r="G1741" s="43"/>
      <c r="H1741" s="41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3"/>
      <c r="U1741" s="43"/>
      <c r="V1741" s="43"/>
      <c r="W1741" s="43"/>
      <c r="X1741" s="43"/>
      <c r="Y1741" s="43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</row>
    <row r="1742" spans="1:60" ht="16">
      <c r="A1742" s="41"/>
      <c r="B1742" s="41"/>
      <c r="C1742" s="41"/>
      <c r="D1742" s="42"/>
      <c r="E1742" s="43"/>
      <c r="F1742" s="43"/>
      <c r="G1742" s="43"/>
      <c r="H1742" s="41"/>
      <c r="I1742" s="43"/>
      <c r="J1742" s="43"/>
      <c r="K1742" s="43"/>
      <c r="L1742" s="43"/>
      <c r="M1742" s="43"/>
      <c r="N1742" s="43"/>
      <c r="O1742" s="43"/>
      <c r="P1742" s="43"/>
      <c r="Q1742" s="43"/>
      <c r="R1742" s="43"/>
      <c r="S1742" s="43"/>
      <c r="T1742" s="43"/>
      <c r="U1742" s="43"/>
      <c r="V1742" s="43"/>
      <c r="W1742" s="43"/>
      <c r="X1742" s="43"/>
      <c r="Y1742" s="43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</row>
    <row r="1743" spans="1:60" ht="16">
      <c r="A1743" s="41"/>
      <c r="B1743" s="41"/>
      <c r="C1743" s="41"/>
      <c r="D1743" s="42"/>
      <c r="E1743" s="43"/>
      <c r="F1743" s="43"/>
      <c r="G1743" s="43"/>
      <c r="H1743" s="41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</row>
    <row r="1744" spans="1:60" ht="16">
      <c r="A1744" s="41"/>
      <c r="B1744" s="41"/>
      <c r="C1744" s="41"/>
      <c r="D1744" s="42"/>
      <c r="E1744" s="43"/>
      <c r="F1744" s="43"/>
      <c r="G1744" s="43"/>
      <c r="H1744" s="41"/>
      <c r="I1744" s="43"/>
      <c r="J1744" s="43"/>
      <c r="K1744" s="43"/>
      <c r="L1744" s="43"/>
      <c r="M1744" s="43"/>
      <c r="N1744" s="43"/>
      <c r="O1744" s="43"/>
      <c r="P1744" s="43"/>
      <c r="Q1744" s="43"/>
      <c r="R1744" s="43"/>
      <c r="S1744" s="43"/>
      <c r="T1744" s="43"/>
      <c r="U1744" s="43"/>
      <c r="V1744" s="43"/>
      <c r="W1744" s="43"/>
      <c r="X1744" s="43"/>
      <c r="Y1744" s="43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</row>
    <row r="1745" spans="1:60" ht="16">
      <c r="A1745" s="41"/>
      <c r="B1745" s="41"/>
      <c r="C1745" s="41"/>
      <c r="D1745" s="42"/>
      <c r="E1745" s="43"/>
      <c r="F1745" s="43"/>
      <c r="G1745" s="43"/>
      <c r="H1745" s="41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</row>
    <row r="1746" spans="1:60" ht="16">
      <c r="A1746" s="41"/>
      <c r="B1746" s="41"/>
      <c r="C1746" s="41"/>
      <c r="D1746" s="42"/>
      <c r="E1746" s="43"/>
      <c r="F1746" s="43"/>
      <c r="G1746" s="43"/>
      <c r="H1746" s="41"/>
      <c r="I1746" s="43"/>
      <c r="J1746" s="43"/>
      <c r="K1746" s="43"/>
      <c r="L1746" s="43"/>
      <c r="M1746" s="43"/>
      <c r="N1746" s="43"/>
      <c r="O1746" s="43"/>
      <c r="P1746" s="43"/>
      <c r="Q1746" s="43"/>
      <c r="R1746" s="43"/>
      <c r="S1746" s="43"/>
      <c r="T1746" s="43"/>
      <c r="U1746" s="43"/>
      <c r="V1746" s="43"/>
      <c r="W1746" s="43"/>
      <c r="X1746" s="43"/>
      <c r="Y1746" s="43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</row>
    <row r="1747" spans="1:60" ht="16">
      <c r="A1747" s="41"/>
      <c r="B1747" s="41"/>
      <c r="C1747" s="41"/>
      <c r="D1747" s="42"/>
      <c r="E1747" s="43"/>
      <c r="F1747" s="43"/>
      <c r="G1747" s="43"/>
      <c r="H1747" s="41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</row>
    <row r="1748" spans="1:60" ht="16">
      <c r="A1748" s="41"/>
      <c r="B1748" s="41"/>
      <c r="C1748" s="41"/>
      <c r="D1748" s="42"/>
      <c r="E1748" s="43"/>
      <c r="F1748" s="43"/>
      <c r="G1748" s="43"/>
      <c r="H1748" s="41"/>
      <c r="I1748" s="43"/>
      <c r="J1748" s="43"/>
      <c r="K1748" s="43"/>
      <c r="L1748" s="43"/>
      <c r="M1748" s="43"/>
      <c r="N1748" s="43"/>
      <c r="O1748" s="43"/>
      <c r="P1748" s="43"/>
      <c r="Q1748" s="43"/>
      <c r="R1748" s="43"/>
      <c r="S1748" s="43"/>
      <c r="T1748" s="43"/>
      <c r="U1748" s="43"/>
      <c r="V1748" s="43"/>
      <c r="W1748" s="43"/>
      <c r="X1748" s="43"/>
      <c r="Y1748" s="43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</row>
    <row r="1749" spans="1:60" ht="16">
      <c r="A1749" s="41"/>
      <c r="B1749" s="41"/>
      <c r="C1749" s="41"/>
      <c r="D1749" s="42"/>
      <c r="E1749" s="43"/>
      <c r="F1749" s="43"/>
      <c r="G1749" s="43"/>
      <c r="H1749" s="41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</row>
    <row r="1750" spans="1:60" ht="16">
      <c r="A1750" s="41"/>
      <c r="B1750" s="41"/>
      <c r="C1750" s="41"/>
      <c r="D1750" s="42"/>
      <c r="E1750" s="43"/>
      <c r="F1750" s="43"/>
      <c r="G1750" s="43"/>
      <c r="H1750" s="41"/>
      <c r="I1750" s="43"/>
      <c r="J1750" s="43"/>
      <c r="K1750" s="43"/>
      <c r="L1750" s="43"/>
      <c r="M1750" s="43"/>
      <c r="N1750" s="43"/>
      <c r="O1750" s="43"/>
      <c r="P1750" s="43"/>
      <c r="Q1750" s="43"/>
      <c r="R1750" s="43"/>
      <c r="S1750" s="43"/>
      <c r="T1750" s="43"/>
      <c r="U1750" s="43"/>
      <c r="V1750" s="43"/>
      <c r="W1750" s="43"/>
      <c r="X1750" s="43"/>
      <c r="Y1750" s="43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</row>
    <row r="1751" spans="1:60" ht="16">
      <c r="A1751" s="41"/>
      <c r="B1751" s="41"/>
      <c r="C1751" s="41"/>
      <c r="D1751" s="42"/>
      <c r="E1751" s="43"/>
      <c r="F1751" s="43"/>
      <c r="G1751" s="43"/>
      <c r="H1751" s="41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3"/>
      <c r="W1751" s="43"/>
      <c r="X1751" s="43"/>
      <c r="Y1751" s="43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</row>
    <row r="1752" spans="1:60" ht="16">
      <c r="A1752" s="41"/>
      <c r="B1752" s="41"/>
      <c r="C1752" s="41"/>
      <c r="D1752" s="42"/>
      <c r="E1752" s="43"/>
      <c r="F1752" s="43"/>
      <c r="G1752" s="43"/>
      <c r="H1752" s="41"/>
      <c r="I1752" s="43"/>
      <c r="J1752" s="43"/>
      <c r="K1752" s="43"/>
      <c r="L1752" s="43"/>
      <c r="M1752" s="43"/>
      <c r="N1752" s="43"/>
      <c r="O1752" s="43"/>
      <c r="P1752" s="43"/>
      <c r="Q1752" s="43"/>
      <c r="R1752" s="43"/>
      <c r="S1752" s="43"/>
      <c r="T1752" s="43"/>
      <c r="U1752" s="43"/>
      <c r="V1752" s="43"/>
      <c r="W1752" s="43"/>
      <c r="X1752" s="43"/>
      <c r="Y1752" s="43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</row>
    <row r="1753" spans="1:60" ht="16">
      <c r="A1753" s="41"/>
      <c r="B1753" s="41"/>
      <c r="C1753" s="41"/>
      <c r="D1753" s="42"/>
      <c r="E1753" s="43"/>
      <c r="F1753" s="43"/>
      <c r="G1753" s="43"/>
      <c r="H1753" s="41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3"/>
      <c r="U1753" s="43"/>
      <c r="V1753" s="43"/>
      <c r="W1753" s="43"/>
      <c r="X1753" s="43"/>
      <c r="Y1753" s="43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</row>
    <row r="1754" spans="1:60" ht="16">
      <c r="A1754" s="41"/>
      <c r="B1754" s="41"/>
      <c r="C1754" s="41"/>
      <c r="D1754" s="42"/>
      <c r="E1754" s="43"/>
      <c r="F1754" s="43"/>
      <c r="G1754" s="43"/>
      <c r="H1754" s="41"/>
      <c r="I1754" s="43"/>
      <c r="J1754" s="43"/>
      <c r="K1754" s="43"/>
      <c r="L1754" s="43"/>
      <c r="M1754" s="43"/>
      <c r="N1754" s="43"/>
      <c r="O1754" s="43"/>
      <c r="P1754" s="43"/>
      <c r="Q1754" s="43"/>
      <c r="R1754" s="43"/>
      <c r="S1754" s="43"/>
      <c r="T1754" s="43"/>
      <c r="U1754" s="43"/>
      <c r="V1754" s="43"/>
      <c r="W1754" s="43"/>
      <c r="X1754" s="43"/>
      <c r="Y1754" s="43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</row>
    <row r="1755" spans="1:60" ht="16">
      <c r="A1755" s="41"/>
      <c r="B1755" s="41"/>
      <c r="C1755" s="41"/>
      <c r="D1755" s="42"/>
      <c r="E1755" s="43"/>
      <c r="F1755" s="43"/>
      <c r="G1755" s="43"/>
      <c r="H1755" s="41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</row>
    <row r="1756" spans="1:60" ht="16">
      <c r="A1756" s="41"/>
      <c r="B1756" s="41"/>
      <c r="C1756" s="41"/>
      <c r="D1756" s="42"/>
      <c r="E1756" s="43"/>
      <c r="F1756" s="43"/>
      <c r="G1756" s="43"/>
      <c r="H1756" s="41"/>
      <c r="I1756" s="43"/>
      <c r="J1756" s="43"/>
      <c r="K1756" s="43"/>
      <c r="L1756" s="43"/>
      <c r="M1756" s="43"/>
      <c r="N1756" s="43"/>
      <c r="O1756" s="43"/>
      <c r="P1756" s="43"/>
      <c r="Q1756" s="43"/>
      <c r="R1756" s="43"/>
      <c r="S1756" s="43"/>
      <c r="T1756" s="43"/>
      <c r="U1756" s="43"/>
      <c r="V1756" s="43"/>
      <c r="W1756" s="43"/>
      <c r="X1756" s="43"/>
      <c r="Y1756" s="43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</row>
    <row r="1757" spans="1:60" ht="16">
      <c r="A1757" s="41"/>
      <c r="B1757" s="41"/>
      <c r="C1757" s="41"/>
      <c r="D1757" s="42"/>
      <c r="E1757" s="43"/>
      <c r="F1757" s="43"/>
      <c r="G1757" s="43"/>
      <c r="H1757" s="41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3"/>
      <c r="W1757" s="43"/>
      <c r="X1757" s="43"/>
      <c r="Y1757" s="43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</row>
    <row r="1758" spans="1:60" ht="16">
      <c r="A1758" s="41"/>
      <c r="B1758" s="41"/>
      <c r="C1758" s="41"/>
      <c r="D1758" s="42"/>
      <c r="E1758" s="43"/>
      <c r="F1758" s="43"/>
      <c r="G1758" s="43"/>
      <c r="H1758" s="41"/>
      <c r="I1758" s="43"/>
      <c r="J1758" s="43"/>
      <c r="K1758" s="43"/>
      <c r="L1758" s="43"/>
      <c r="M1758" s="43"/>
      <c r="N1758" s="43"/>
      <c r="O1758" s="43"/>
      <c r="P1758" s="43"/>
      <c r="Q1758" s="43"/>
      <c r="R1758" s="43"/>
      <c r="S1758" s="43"/>
      <c r="T1758" s="43"/>
      <c r="U1758" s="43"/>
      <c r="V1758" s="43"/>
      <c r="W1758" s="43"/>
      <c r="X1758" s="43"/>
      <c r="Y1758" s="43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</row>
    <row r="1759" spans="1:60" ht="16">
      <c r="A1759" s="41"/>
      <c r="B1759" s="41"/>
      <c r="C1759" s="41"/>
      <c r="D1759" s="42"/>
      <c r="E1759" s="43"/>
      <c r="F1759" s="43"/>
      <c r="G1759" s="43"/>
      <c r="H1759" s="41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3"/>
      <c r="U1759" s="43"/>
      <c r="V1759" s="43"/>
      <c r="W1759" s="43"/>
      <c r="X1759" s="43"/>
      <c r="Y1759" s="43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</row>
    <row r="1760" spans="1:60" ht="16">
      <c r="A1760" s="41"/>
      <c r="B1760" s="41"/>
      <c r="C1760" s="41"/>
      <c r="D1760" s="42"/>
      <c r="E1760" s="43"/>
      <c r="F1760" s="43"/>
      <c r="G1760" s="43"/>
      <c r="H1760" s="41"/>
      <c r="I1760" s="43"/>
      <c r="J1760" s="43"/>
      <c r="K1760" s="43"/>
      <c r="L1760" s="43"/>
      <c r="M1760" s="43"/>
      <c r="N1760" s="43"/>
      <c r="O1760" s="43"/>
      <c r="P1760" s="43"/>
      <c r="Q1760" s="43"/>
      <c r="R1760" s="43"/>
      <c r="S1760" s="43"/>
      <c r="T1760" s="43"/>
      <c r="U1760" s="43"/>
      <c r="V1760" s="43"/>
      <c r="W1760" s="43"/>
      <c r="X1760" s="43"/>
      <c r="Y1760" s="43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</row>
    <row r="1761" spans="1:60" ht="16">
      <c r="A1761" s="41"/>
      <c r="B1761" s="41"/>
      <c r="C1761" s="41"/>
      <c r="D1761" s="42"/>
      <c r="E1761" s="43"/>
      <c r="F1761" s="43"/>
      <c r="G1761" s="43"/>
      <c r="H1761" s="41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</row>
    <row r="1762" spans="1:60" ht="16">
      <c r="A1762" s="41"/>
      <c r="B1762" s="41"/>
      <c r="C1762" s="41"/>
      <c r="D1762" s="42"/>
      <c r="E1762" s="43"/>
      <c r="F1762" s="43"/>
      <c r="G1762" s="43"/>
      <c r="H1762" s="41"/>
      <c r="I1762" s="43"/>
      <c r="J1762" s="43"/>
      <c r="K1762" s="43"/>
      <c r="L1762" s="43"/>
      <c r="M1762" s="43"/>
      <c r="N1762" s="43"/>
      <c r="O1762" s="43"/>
      <c r="P1762" s="43"/>
      <c r="Q1762" s="43"/>
      <c r="R1762" s="43"/>
      <c r="S1762" s="43"/>
      <c r="T1762" s="43"/>
      <c r="U1762" s="43"/>
      <c r="V1762" s="43"/>
      <c r="W1762" s="43"/>
      <c r="X1762" s="43"/>
      <c r="Y1762" s="43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</row>
    <row r="1763" spans="1:60" ht="16">
      <c r="A1763" s="41"/>
      <c r="B1763" s="41"/>
      <c r="C1763" s="41"/>
      <c r="D1763" s="42"/>
      <c r="E1763" s="43"/>
      <c r="F1763" s="43"/>
      <c r="G1763" s="43"/>
      <c r="H1763" s="41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3"/>
      <c r="W1763" s="43"/>
      <c r="X1763" s="43"/>
      <c r="Y1763" s="43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</row>
    <row r="1764" spans="1:60" ht="16">
      <c r="A1764" s="41"/>
      <c r="B1764" s="41"/>
      <c r="C1764" s="41"/>
      <c r="D1764" s="42"/>
      <c r="E1764" s="43"/>
      <c r="F1764" s="43"/>
      <c r="G1764" s="43"/>
      <c r="H1764" s="41"/>
      <c r="I1764" s="43"/>
      <c r="J1764" s="43"/>
      <c r="K1764" s="43"/>
      <c r="L1764" s="43"/>
      <c r="M1764" s="43"/>
      <c r="N1764" s="43"/>
      <c r="O1764" s="43"/>
      <c r="P1764" s="43"/>
      <c r="Q1764" s="43"/>
      <c r="R1764" s="43"/>
      <c r="S1764" s="43"/>
      <c r="T1764" s="43"/>
      <c r="U1764" s="43"/>
      <c r="V1764" s="43"/>
      <c r="W1764" s="43"/>
      <c r="X1764" s="43"/>
      <c r="Y1764" s="43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</row>
    <row r="1765" spans="1:60" ht="16">
      <c r="A1765" s="41"/>
      <c r="B1765" s="41"/>
      <c r="C1765" s="41"/>
      <c r="D1765" s="42"/>
      <c r="E1765" s="43"/>
      <c r="F1765" s="43"/>
      <c r="G1765" s="43"/>
      <c r="H1765" s="41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</row>
    <row r="1766" spans="1:60" ht="16">
      <c r="A1766" s="41"/>
      <c r="B1766" s="41"/>
      <c r="C1766" s="41"/>
      <c r="D1766" s="42"/>
      <c r="E1766" s="43"/>
      <c r="F1766" s="43"/>
      <c r="G1766" s="43"/>
      <c r="H1766" s="41"/>
      <c r="I1766" s="43"/>
      <c r="J1766" s="43"/>
      <c r="K1766" s="43"/>
      <c r="L1766" s="43"/>
      <c r="M1766" s="43"/>
      <c r="N1766" s="43"/>
      <c r="O1766" s="43"/>
      <c r="P1766" s="43"/>
      <c r="Q1766" s="43"/>
      <c r="R1766" s="43"/>
      <c r="S1766" s="43"/>
      <c r="T1766" s="43"/>
      <c r="U1766" s="43"/>
      <c r="V1766" s="43"/>
      <c r="W1766" s="43"/>
      <c r="X1766" s="43"/>
      <c r="Y1766" s="43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</row>
    <row r="1767" spans="1:60" ht="16">
      <c r="A1767" s="41"/>
      <c r="B1767" s="41"/>
      <c r="C1767" s="41"/>
      <c r="D1767" s="42"/>
      <c r="E1767" s="43"/>
      <c r="F1767" s="43"/>
      <c r="G1767" s="43"/>
      <c r="H1767" s="41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3"/>
      <c r="U1767" s="43"/>
      <c r="V1767" s="43"/>
      <c r="W1767" s="43"/>
      <c r="X1767" s="43"/>
      <c r="Y1767" s="43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</row>
    <row r="1768" spans="1:60" ht="16">
      <c r="A1768" s="41"/>
      <c r="B1768" s="41"/>
      <c r="C1768" s="41"/>
      <c r="D1768" s="42"/>
      <c r="E1768" s="43"/>
      <c r="F1768" s="43"/>
      <c r="G1768" s="43"/>
      <c r="H1768" s="41"/>
      <c r="I1768" s="43"/>
      <c r="J1768" s="43"/>
      <c r="K1768" s="43"/>
      <c r="L1768" s="43"/>
      <c r="M1768" s="43"/>
      <c r="N1768" s="43"/>
      <c r="O1768" s="43"/>
      <c r="P1768" s="43"/>
      <c r="Q1768" s="43"/>
      <c r="R1768" s="43"/>
      <c r="S1768" s="43"/>
      <c r="T1768" s="43"/>
      <c r="U1768" s="43"/>
      <c r="V1768" s="43"/>
      <c r="W1768" s="43"/>
      <c r="X1768" s="43"/>
      <c r="Y1768" s="43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</row>
    <row r="1769" spans="1:60" ht="16">
      <c r="A1769" s="41"/>
      <c r="B1769" s="41"/>
      <c r="C1769" s="41"/>
      <c r="D1769" s="42"/>
      <c r="E1769" s="43"/>
      <c r="F1769" s="43"/>
      <c r="G1769" s="43"/>
      <c r="H1769" s="41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</row>
    <row r="1770" spans="1:60" ht="16">
      <c r="A1770" s="41"/>
      <c r="B1770" s="41"/>
      <c r="C1770" s="41"/>
      <c r="D1770" s="42"/>
      <c r="E1770" s="43"/>
      <c r="F1770" s="43"/>
      <c r="G1770" s="43"/>
      <c r="H1770" s="41"/>
      <c r="I1770" s="43"/>
      <c r="J1770" s="43"/>
      <c r="K1770" s="43"/>
      <c r="L1770" s="43"/>
      <c r="M1770" s="43"/>
      <c r="N1770" s="43"/>
      <c r="O1770" s="43"/>
      <c r="P1770" s="43"/>
      <c r="Q1770" s="43"/>
      <c r="R1770" s="43"/>
      <c r="S1770" s="43"/>
      <c r="T1770" s="43"/>
      <c r="U1770" s="43"/>
      <c r="V1770" s="43"/>
      <c r="W1770" s="43"/>
      <c r="X1770" s="43"/>
      <c r="Y1770" s="43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</row>
    <row r="1771" spans="1:60" ht="16">
      <c r="A1771" s="41"/>
      <c r="B1771" s="41"/>
      <c r="C1771" s="41"/>
      <c r="D1771" s="42"/>
      <c r="E1771" s="43"/>
      <c r="F1771" s="43"/>
      <c r="G1771" s="43"/>
      <c r="H1771" s="41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3"/>
      <c r="U1771" s="43"/>
      <c r="V1771" s="43"/>
      <c r="W1771" s="43"/>
      <c r="X1771" s="43"/>
      <c r="Y1771" s="43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</row>
    <row r="1772" spans="1:60" ht="16">
      <c r="A1772" s="41"/>
      <c r="B1772" s="41"/>
      <c r="C1772" s="41"/>
      <c r="D1772" s="42"/>
      <c r="E1772" s="43"/>
      <c r="F1772" s="43"/>
      <c r="G1772" s="43"/>
      <c r="H1772" s="41"/>
      <c r="I1772" s="43"/>
      <c r="J1772" s="43"/>
      <c r="K1772" s="43"/>
      <c r="L1772" s="43"/>
      <c r="M1772" s="43"/>
      <c r="N1772" s="43"/>
      <c r="O1772" s="43"/>
      <c r="P1772" s="43"/>
      <c r="Q1772" s="43"/>
      <c r="R1772" s="43"/>
      <c r="S1772" s="43"/>
      <c r="T1772" s="43"/>
      <c r="U1772" s="43"/>
      <c r="V1772" s="43"/>
      <c r="W1772" s="43"/>
      <c r="X1772" s="43"/>
      <c r="Y1772" s="43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</row>
    <row r="1773" spans="1:60" ht="16">
      <c r="A1773" s="41"/>
      <c r="B1773" s="41"/>
      <c r="C1773" s="41"/>
      <c r="D1773" s="42"/>
      <c r="E1773" s="43"/>
      <c r="F1773" s="43"/>
      <c r="G1773" s="43"/>
      <c r="H1773" s="41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</row>
    <row r="1774" spans="1:60" ht="16">
      <c r="A1774" s="41"/>
      <c r="B1774" s="41"/>
      <c r="C1774" s="41"/>
      <c r="D1774" s="42"/>
      <c r="E1774" s="43"/>
      <c r="F1774" s="43"/>
      <c r="G1774" s="43"/>
      <c r="H1774" s="41"/>
      <c r="I1774" s="43"/>
      <c r="J1774" s="43"/>
      <c r="K1774" s="43"/>
      <c r="L1774" s="43"/>
      <c r="M1774" s="43"/>
      <c r="N1774" s="43"/>
      <c r="O1774" s="43"/>
      <c r="P1774" s="43"/>
      <c r="Q1774" s="43"/>
      <c r="R1774" s="43"/>
      <c r="S1774" s="43"/>
      <c r="T1774" s="43"/>
      <c r="U1774" s="43"/>
      <c r="V1774" s="43"/>
      <c r="W1774" s="43"/>
      <c r="X1774" s="43"/>
      <c r="Y1774" s="43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</row>
    <row r="1775" spans="1:60" ht="16">
      <c r="A1775" s="41"/>
      <c r="B1775" s="41"/>
      <c r="C1775" s="41"/>
      <c r="D1775" s="42"/>
      <c r="E1775" s="43"/>
      <c r="F1775" s="43"/>
      <c r="G1775" s="43"/>
      <c r="H1775" s="41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  <c r="W1775" s="43"/>
      <c r="X1775" s="43"/>
      <c r="Y1775" s="43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</row>
    <row r="1776" spans="1:60" ht="16">
      <c r="A1776" s="41"/>
      <c r="B1776" s="41"/>
      <c r="C1776" s="41"/>
      <c r="D1776" s="42"/>
      <c r="E1776" s="43"/>
      <c r="F1776" s="43"/>
      <c r="G1776" s="43"/>
      <c r="H1776" s="41"/>
      <c r="I1776" s="43"/>
      <c r="J1776" s="43"/>
      <c r="K1776" s="43"/>
      <c r="L1776" s="43"/>
      <c r="M1776" s="43"/>
      <c r="N1776" s="43"/>
      <c r="O1776" s="43"/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</row>
    <row r="1777" spans="1:60" ht="16">
      <c r="A1777" s="41"/>
      <c r="B1777" s="41"/>
      <c r="C1777" s="41"/>
      <c r="D1777" s="42"/>
      <c r="E1777" s="43"/>
      <c r="F1777" s="43"/>
      <c r="G1777" s="43"/>
      <c r="H1777" s="41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3"/>
      <c r="U1777" s="43"/>
      <c r="V1777" s="43"/>
      <c r="W1777" s="43"/>
      <c r="X1777" s="43"/>
      <c r="Y1777" s="43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</row>
    <row r="1778" spans="1:60" ht="16">
      <c r="A1778" s="41"/>
      <c r="B1778" s="41"/>
      <c r="C1778" s="41"/>
      <c r="D1778" s="42"/>
      <c r="E1778" s="43"/>
      <c r="F1778" s="43"/>
      <c r="G1778" s="43"/>
      <c r="H1778" s="41"/>
      <c r="I1778" s="43"/>
      <c r="J1778" s="43"/>
      <c r="K1778" s="43"/>
      <c r="L1778" s="43"/>
      <c r="M1778" s="43"/>
      <c r="N1778" s="43"/>
      <c r="O1778" s="43"/>
      <c r="P1778" s="43"/>
      <c r="Q1778" s="43"/>
      <c r="R1778" s="43"/>
      <c r="S1778" s="43"/>
      <c r="T1778" s="43"/>
      <c r="U1778" s="43"/>
      <c r="V1778" s="43"/>
      <c r="W1778" s="43"/>
      <c r="X1778" s="43"/>
      <c r="Y1778" s="43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</row>
    <row r="1779" spans="1:60" ht="16">
      <c r="A1779" s="41"/>
      <c r="B1779" s="41"/>
      <c r="C1779" s="41"/>
      <c r="D1779" s="42"/>
      <c r="E1779" s="43"/>
      <c r="F1779" s="43"/>
      <c r="G1779" s="43"/>
      <c r="H1779" s="41"/>
      <c r="I1779" s="43"/>
      <c r="J1779" s="43"/>
      <c r="K1779" s="43"/>
      <c r="L1779" s="43"/>
      <c r="M1779" s="43"/>
      <c r="N1779" s="43"/>
      <c r="O1779" s="43"/>
      <c r="P1779" s="43"/>
      <c r="Q1779" s="43"/>
      <c r="R1779" s="43"/>
      <c r="S1779" s="43"/>
      <c r="T1779" s="43"/>
      <c r="U1779" s="43"/>
      <c r="V1779" s="43"/>
      <c r="W1779" s="43"/>
      <c r="X1779" s="43"/>
      <c r="Y1779" s="43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</row>
    <row r="1780" spans="1:60" ht="16">
      <c r="A1780" s="41"/>
      <c r="B1780" s="41"/>
      <c r="C1780" s="41"/>
      <c r="D1780" s="42"/>
      <c r="E1780" s="43"/>
      <c r="F1780" s="43"/>
      <c r="G1780" s="43"/>
      <c r="H1780" s="41"/>
      <c r="I1780" s="43"/>
      <c r="J1780" s="43"/>
      <c r="K1780" s="43"/>
      <c r="L1780" s="43"/>
      <c r="M1780" s="43"/>
      <c r="N1780" s="43"/>
      <c r="O1780" s="43"/>
      <c r="P1780" s="43"/>
      <c r="Q1780" s="43"/>
      <c r="R1780" s="43"/>
      <c r="S1780" s="43"/>
      <c r="T1780" s="43"/>
      <c r="U1780" s="43"/>
      <c r="V1780" s="43"/>
      <c r="W1780" s="43"/>
      <c r="X1780" s="43"/>
      <c r="Y1780" s="43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</row>
    <row r="1781" spans="1:60" ht="16">
      <c r="A1781" s="41"/>
      <c r="B1781" s="41"/>
      <c r="C1781" s="41"/>
      <c r="D1781" s="42"/>
      <c r="E1781" s="43"/>
      <c r="F1781" s="43"/>
      <c r="G1781" s="43"/>
      <c r="H1781" s="41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</row>
    <row r="1782" spans="1:60" ht="16">
      <c r="A1782" s="41"/>
      <c r="B1782" s="41"/>
      <c r="C1782" s="41"/>
      <c r="D1782" s="42"/>
      <c r="E1782" s="43"/>
      <c r="F1782" s="43"/>
      <c r="G1782" s="43"/>
      <c r="H1782" s="41"/>
      <c r="I1782" s="43"/>
      <c r="J1782" s="43"/>
      <c r="K1782" s="43"/>
      <c r="L1782" s="43"/>
      <c r="M1782" s="43"/>
      <c r="N1782" s="43"/>
      <c r="O1782" s="43"/>
      <c r="P1782" s="43"/>
      <c r="Q1782" s="43"/>
      <c r="R1782" s="43"/>
      <c r="S1782" s="43"/>
      <c r="T1782" s="43"/>
      <c r="U1782" s="43"/>
      <c r="V1782" s="43"/>
      <c r="W1782" s="43"/>
      <c r="X1782" s="43"/>
      <c r="Y1782" s="43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</row>
    <row r="1783" spans="1:60" ht="16">
      <c r="A1783" s="41"/>
      <c r="B1783" s="41"/>
      <c r="C1783" s="41"/>
      <c r="D1783" s="42"/>
      <c r="E1783" s="43"/>
      <c r="F1783" s="43"/>
      <c r="G1783" s="43"/>
      <c r="H1783" s="41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</row>
    <row r="1784" spans="1:60" ht="16">
      <c r="A1784" s="41"/>
      <c r="B1784" s="41"/>
      <c r="C1784" s="41"/>
      <c r="D1784" s="42"/>
      <c r="E1784" s="43"/>
      <c r="F1784" s="43"/>
      <c r="G1784" s="43"/>
      <c r="H1784" s="41"/>
      <c r="I1784" s="43"/>
      <c r="J1784" s="43"/>
      <c r="K1784" s="43"/>
      <c r="L1784" s="43"/>
      <c r="M1784" s="43"/>
      <c r="N1784" s="43"/>
      <c r="O1784" s="43"/>
      <c r="P1784" s="43"/>
      <c r="Q1784" s="43"/>
      <c r="R1784" s="43"/>
      <c r="S1784" s="43"/>
      <c r="T1784" s="43"/>
      <c r="U1784" s="43"/>
      <c r="V1784" s="43"/>
      <c r="W1784" s="43"/>
      <c r="X1784" s="43"/>
      <c r="Y1784" s="43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</row>
    <row r="1785" spans="1:60" ht="16">
      <c r="A1785" s="41"/>
      <c r="B1785" s="41"/>
      <c r="C1785" s="41"/>
      <c r="D1785" s="42"/>
      <c r="E1785" s="43"/>
      <c r="F1785" s="43"/>
      <c r="G1785" s="43"/>
      <c r="H1785" s="41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3"/>
      <c r="U1785" s="43"/>
      <c r="V1785" s="43"/>
      <c r="W1785" s="43"/>
      <c r="X1785" s="43"/>
      <c r="Y1785" s="43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</row>
    <row r="1786" spans="1:60" ht="16">
      <c r="A1786" s="41"/>
      <c r="B1786" s="41"/>
      <c r="C1786" s="41"/>
      <c r="D1786" s="42"/>
      <c r="E1786" s="43"/>
      <c r="F1786" s="43"/>
      <c r="G1786" s="43"/>
      <c r="H1786" s="41"/>
      <c r="I1786" s="43"/>
      <c r="J1786" s="43"/>
      <c r="K1786" s="43"/>
      <c r="L1786" s="43"/>
      <c r="M1786" s="43"/>
      <c r="N1786" s="43"/>
      <c r="O1786" s="43"/>
      <c r="P1786" s="43"/>
      <c r="Q1786" s="43"/>
      <c r="R1786" s="43"/>
      <c r="S1786" s="43"/>
      <c r="T1786" s="43"/>
      <c r="U1786" s="43"/>
      <c r="V1786" s="43"/>
      <c r="W1786" s="43"/>
      <c r="X1786" s="43"/>
      <c r="Y1786" s="43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</row>
    <row r="1787" spans="1:60" ht="16">
      <c r="A1787" s="41"/>
      <c r="B1787" s="41"/>
      <c r="C1787" s="41"/>
      <c r="D1787" s="42"/>
      <c r="E1787" s="43"/>
      <c r="F1787" s="43"/>
      <c r="G1787" s="43"/>
      <c r="H1787" s="41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3"/>
      <c r="U1787" s="43"/>
      <c r="V1787" s="43"/>
      <c r="W1787" s="43"/>
      <c r="X1787" s="43"/>
      <c r="Y1787" s="43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</row>
    <row r="1788" spans="1:60" ht="16">
      <c r="A1788" s="41"/>
      <c r="B1788" s="41"/>
      <c r="C1788" s="41"/>
      <c r="D1788" s="42"/>
      <c r="E1788" s="43"/>
      <c r="F1788" s="43"/>
      <c r="G1788" s="43"/>
      <c r="H1788" s="41"/>
      <c r="I1788" s="43"/>
      <c r="J1788" s="43"/>
      <c r="K1788" s="43"/>
      <c r="L1788" s="43"/>
      <c r="M1788" s="43"/>
      <c r="N1788" s="43"/>
      <c r="O1788" s="43"/>
      <c r="P1788" s="43"/>
      <c r="Q1788" s="43"/>
      <c r="R1788" s="43"/>
      <c r="S1788" s="43"/>
      <c r="T1788" s="43"/>
      <c r="U1788" s="43"/>
      <c r="V1788" s="43"/>
      <c r="W1788" s="43"/>
      <c r="X1788" s="43"/>
      <c r="Y1788" s="43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</row>
    <row r="1789" spans="1:60" ht="16">
      <c r="A1789" s="41"/>
      <c r="B1789" s="41"/>
      <c r="C1789" s="41"/>
      <c r="D1789" s="42"/>
      <c r="E1789" s="43"/>
      <c r="F1789" s="43"/>
      <c r="G1789" s="43"/>
      <c r="H1789" s="41"/>
      <c r="I1789" s="43"/>
      <c r="J1789" s="43"/>
      <c r="K1789" s="43"/>
      <c r="L1789" s="43"/>
      <c r="M1789" s="43"/>
      <c r="N1789" s="43"/>
      <c r="O1789" s="43"/>
      <c r="P1789" s="43"/>
      <c r="Q1789" s="43"/>
      <c r="R1789" s="43"/>
      <c r="S1789" s="43"/>
      <c r="T1789" s="43"/>
      <c r="U1789" s="43"/>
      <c r="V1789" s="43"/>
      <c r="W1789" s="43"/>
      <c r="X1789" s="43"/>
      <c r="Y1789" s="43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</row>
    <row r="1790" spans="1:60" ht="16">
      <c r="A1790" s="41"/>
      <c r="B1790" s="41"/>
      <c r="C1790" s="41"/>
      <c r="D1790" s="42"/>
      <c r="E1790" s="43"/>
      <c r="F1790" s="43"/>
      <c r="G1790" s="43"/>
      <c r="H1790" s="41"/>
      <c r="I1790" s="43"/>
      <c r="J1790" s="43"/>
      <c r="K1790" s="43"/>
      <c r="L1790" s="43"/>
      <c r="M1790" s="43"/>
      <c r="N1790" s="43"/>
      <c r="O1790" s="43"/>
      <c r="P1790" s="43"/>
      <c r="Q1790" s="43"/>
      <c r="R1790" s="43"/>
      <c r="S1790" s="43"/>
      <c r="T1790" s="43"/>
      <c r="U1790" s="43"/>
      <c r="V1790" s="43"/>
      <c r="W1790" s="43"/>
      <c r="X1790" s="43"/>
      <c r="Y1790" s="43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</row>
    <row r="1791" spans="1:60" ht="16">
      <c r="A1791" s="41"/>
      <c r="B1791" s="41"/>
      <c r="C1791" s="41"/>
      <c r="D1791" s="42"/>
      <c r="E1791" s="43"/>
      <c r="F1791" s="43"/>
      <c r="G1791" s="43"/>
      <c r="H1791" s="41"/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  <c r="W1791" s="43"/>
      <c r="X1791" s="43"/>
      <c r="Y1791" s="43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</row>
    <row r="1792" spans="1:60" ht="16">
      <c r="A1792" s="41"/>
      <c r="B1792" s="41"/>
      <c r="C1792" s="41"/>
      <c r="D1792" s="42"/>
      <c r="E1792" s="43"/>
      <c r="F1792" s="43"/>
      <c r="G1792" s="43"/>
      <c r="H1792" s="41"/>
      <c r="I1792" s="43"/>
      <c r="J1792" s="43"/>
      <c r="K1792" s="43"/>
      <c r="L1792" s="43"/>
      <c r="M1792" s="43"/>
      <c r="N1792" s="43"/>
      <c r="O1792" s="43"/>
      <c r="P1792" s="43"/>
      <c r="Q1792" s="43"/>
      <c r="R1792" s="43"/>
      <c r="S1792" s="43"/>
      <c r="T1792" s="43"/>
      <c r="U1792" s="43"/>
      <c r="V1792" s="43"/>
      <c r="W1792" s="43"/>
      <c r="X1792" s="43"/>
      <c r="Y1792" s="43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</row>
    <row r="1793" spans="1:60" ht="16">
      <c r="A1793" s="41"/>
      <c r="B1793" s="41"/>
      <c r="C1793" s="41"/>
      <c r="D1793" s="42"/>
      <c r="E1793" s="43"/>
      <c r="F1793" s="43"/>
      <c r="G1793" s="43"/>
      <c r="H1793" s="41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3"/>
      <c r="U1793" s="43"/>
      <c r="V1793" s="43"/>
      <c r="W1793" s="43"/>
      <c r="X1793" s="43"/>
      <c r="Y1793" s="43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</row>
    <row r="1794" spans="1:60" ht="16">
      <c r="A1794" s="41"/>
      <c r="B1794" s="41"/>
      <c r="C1794" s="41"/>
      <c r="D1794" s="42"/>
      <c r="E1794" s="43"/>
      <c r="F1794" s="43"/>
      <c r="G1794" s="43"/>
      <c r="H1794" s="41"/>
      <c r="I1794" s="43"/>
      <c r="J1794" s="43"/>
      <c r="K1794" s="43"/>
      <c r="L1794" s="43"/>
      <c r="M1794" s="43"/>
      <c r="N1794" s="43"/>
      <c r="O1794" s="43"/>
      <c r="P1794" s="43"/>
      <c r="Q1794" s="43"/>
      <c r="R1794" s="43"/>
      <c r="S1794" s="43"/>
      <c r="T1794" s="43"/>
      <c r="U1794" s="43"/>
      <c r="V1794" s="43"/>
      <c r="W1794" s="43"/>
      <c r="X1794" s="43"/>
      <c r="Y1794" s="43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</row>
    <row r="1795" spans="1:60" ht="16">
      <c r="A1795" s="41"/>
      <c r="B1795" s="41"/>
      <c r="C1795" s="41"/>
      <c r="D1795" s="42"/>
      <c r="E1795" s="43"/>
      <c r="F1795" s="43"/>
      <c r="G1795" s="43"/>
      <c r="H1795" s="41"/>
      <c r="I1795" s="43"/>
      <c r="J1795" s="43"/>
      <c r="K1795" s="43"/>
      <c r="L1795" s="43"/>
      <c r="M1795" s="43"/>
      <c r="N1795" s="43"/>
      <c r="O1795" s="43"/>
      <c r="P1795" s="43"/>
      <c r="Q1795" s="43"/>
      <c r="R1795" s="43"/>
      <c r="S1795" s="43"/>
      <c r="T1795" s="43"/>
      <c r="U1795" s="43"/>
      <c r="V1795" s="43"/>
      <c r="W1795" s="43"/>
      <c r="X1795" s="43"/>
      <c r="Y1795" s="43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</row>
    <row r="1796" spans="1:60" ht="16">
      <c r="A1796" s="41"/>
      <c r="B1796" s="41"/>
      <c r="C1796" s="41"/>
      <c r="D1796" s="42"/>
      <c r="E1796" s="43"/>
      <c r="F1796" s="43"/>
      <c r="G1796" s="43"/>
      <c r="H1796" s="41"/>
      <c r="I1796" s="43"/>
      <c r="J1796" s="43"/>
      <c r="K1796" s="43"/>
      <c r="L1796" s="43"/>
      <c r="M1796" s="43"/>
      <c r="N1796" s="43"/>
      <c r="O1796" s="43"/>
      <c r="P1796" s="43"/>
      <c r="Q1796" s="43"/>
      <c r="R1796" s="43"/>
      <c r="S1796" s="43"/>
      <c r="T1796" s="43"/>
      <c r="U1796" s="43"/>
      <c r="V1796" s="43"/>
      <c r="W1796" s="43"/>
      <c r="X1796" s="43"/>
      <c r="Y1796" s="43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</row>
    <row r="1797" spans="1:60" ht="16">
      <c r="A1797" s="41"/>
      <c r="B1797" s="41"/>
      <c r="C1797" s="41"/>
      <c r="D1797" s="42"/>
      <c r="E1797" s="43"/>
      <c r="F1797" s="43"/>
      <c r="G1797" s="43"/>
      <c r="H1797" s="41"/>
      <c r="I1797" s="43"/>
      <c r="J1797" s="43"/>
      <c r="K1797" s="43"/>
      <c r="L1797" s="43"/>
      <c r="M1797" s="43"/>
      <c r="N1797" s="43"/>
      <c r="O1797" s="43"/>
      <c r="P1797" s="43"/>
      <c r="Q1797" s="43"/>
      <c r="R1797" s="43"/>
      <c r="S1797" s="43"/>
      <c r="T1797" s="43"/>
      <c r="U1797" s="43"/>
      <c r="V1797" s="43"/>
      <c r="W1797" s="43"/>
      <c r="X1797" s="43"/>
      <c r="Y1797" s="43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</row>
    <row r="1798" spans="1:60" ht="16">
      <c r="A1798" s="41"/>
      <c r="B1798" s="41"/>
      <c r="C1798" s="41"/>
      <c r="D1798" s="42"/>
      <c r="E1798" s="43"/>
      <c r="F1798" s="43"/>
      <c r="G1798" s="43"/>
      <c r="H1798" s="41"/>
      <c r="I1798" s="43"/>
      <c r="J1798" s="43"/>
      <c r="K1798" s="43"/>
      <c r="L1798" s="43"/>
      <c r="M1798" s="43"/>
      <c r="N1798" s="43"/>
      <c r="O1798" s="43"/>
      <c r="P1798" s="43"/>
      <c r="Q1798" s="43"/>
      <c r="R1798" s="43"/>
      <c r="S1798" s="43"/>
      <c r="T1798" s="43"/>
      <c r="U1798" s="43"/>
      <c r="V1798" s="43"/>
      <c r="W1798" s="43"/>
      <c r="X1798" s="43"/>
      <c r="Y1798" s="43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</row>
    <row r="1799" spans="1:60" ht="16">
      <c r="A1799" s="41"/>
      <c r="B1799" s="41"/>
      <c r="C1799" s="41"/>
      <c r="D1799" s="42"/>
      <c r="E1799" s="43"/>
      <c r="F1799" s="43"/>
      <c r="G1799" s="43"/>
      <c r="H1799" s="41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3"/>
      <c r="U1799" s="43"/>
      <c r="V1799" s="43"/>
      <c r="W1799" s="43"/>
      <c r="X1799" s="43"/>
      <c r="Y1799" s="43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</row>
    <row r="1800" spans="1:60" ht="16">
      <c r="A1800" s="41"/>
      <c r="B1800" s="41"/>
      <c r="C1800" s="41"/>
      <c r="D1800" s="42"/>
      <c r="E1800" s="43"/>
      <c r="F1800" s="43"/>
      <c r="G1800" s="43"/>
      <c r="H1800" s="41"/>
      <c r="I1800" s="43"/>
      <c r="J1800" s="43"/>
      <c r="K1800" s="43"/>
      <c r="L1800" s="43"/>
      <c r="M1800" s="43"/>
      <c r="N1800" s="43"/>
      <c r="O1800" s="43"/>
      <c r="P1800" s="43"/>
      <c r="Q1800" s="43"/>
      <c r="R1800" s="43"/>
      <c r="S1800" s="43"/>
      <c r="T1800" s="43"/>
      <c r="U1800" s="43"/>
      <c r="V1800" s="43"/>
      <c r="W1800" s="43"/>
      <c r="X1800" s="43"/>
      <c r="Y1800" s="43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</row>
    <row r="1801" spans="1:60" ht="16">
      <c r="A1801" s="41"/>
      <c r="B1801" s="41"/>
      <c r="C1801" s="41"/>
      <c r="D1801" s="42"/>
      <c r="E1801" s="43"/>
      <c r="F1801" s="43"/>
      <c r="G1801" s="43"/>
      <c r="H1801" s="41"/>
      <c r="I1801" s="43"/>
      <c r="J1801" s="43"/>
      <c r="K1801" s="43"/>
      <c r="L1801" s="43"/>
      <c r="M1801" s="43"/>
      <c r="N1801" s="43"/>
      <c r="O1801" s="43"/>
      <c r="P1801" s="43"/>
      <c r="Q1801" s="43"/>
      <c r="R1801" s="43"/>
      <c r="S1801" s="43"/>
      <c r="T1801" s="43"/>
      <c r="U1801" s="43"/>
      <c r="V1801" s="43"/>
      <c r="W1801" s="43"/>
      <c r="X1801" s="43"/>
      <c r="Y1801" s="43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</row>
    <row r="1802" spans="1:60" ht="16">
      <c r="A1802" s="41"/>
      <c r="B1802" s="41"/>
      <c r="C1802" s="41"/>
      <c r="D1802" s="42"/>
      <c r="E1802" s="43"/>
      <c r="F1802" s="43"/>
      <c r="G1802" s="43"/>
      <c r="H1802" s="41"/>
      <c r="I1802" s="43"/>
      <c r="J1802" s="43"/>
      <c r="K1802" s="43"/>
      <c r="L1802" s="43"/>
      <c r="M1802" s="43"/>
      <c r="N1802" s="43"/>
      <c r="O1802" s="43"/>
      <c r="P1802" s="43"/>
      <c r="Q1802" s="43"/>
      <c r="R1802" s="43"/>
      <c r="S1802" s="43"/>
      <c r="T1802" s="43"/>
      <c r="U1802" s="43"/>
      <c r="V1802" s="43"/>
      <c r="W1802" s="43"/>
      <c r="X1802" s="43"/>
      <c r="Y1802" s="43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</row>
    <row r="1803" spans="1:60" ht="16">
      <c r="A1803" s="41"/>
      <c r="B1803" s="41"/>
      <c r="C1803" s="41"/>
      <c r="D1803" s="42"/>
      <c r="E1803" s="43"/>
      <c r="F1803" s="43"/>
      <c r="G1803" s="43"/>
      <c r="H1803" s="41"/>
      <c r="I1803" s="43"/>
      <c r="J1803" s="43"/>
      <c r="K1803" s="43"/>
      <c r="L1803" s="43"/>
      <c r="M1803" s="43"/>
      <c r="N1803" s="43"/>
      <c r="O1803" s="43"/>
      <c r="P1803" s="43"/>
      <c r="Q1803" s="43"/>
      <c r="R1803" s="43"/>
      <c r="S1803" s="43"/>
      <c r="T1803" s="43"/>
      <c r="U1803" s="43"/>
      <c r="V1803" s="43"/>
      <c r="W1803" s="43"/>
      <c r="X1803" s="43"/>
      <c r="Y1803" s="43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</row>
    <row r="1804" spans="1:60" ht="16">
      <c r="A1804" s="41"/>
      <c r="B1804" s="41"/>
      <c r="C1804" s="41"/>
      <c r="D1804" s="42"/>
      <c r="E1804" s="43"/>
      <c r="F1804" s="43"/>
      <c r="G1804" s="43"/>
      <c r="H1804" s="41"/>
      <c r="I1804" s="43"/>
      <c r="J1804" s="43"/>
      <c r="K1804" s="43"/>
      <c r="L1804" s="43"/>
      <c r="M1804" s="43"/>
      <c r="N1804" s="43"/>
      <c r="O1804" s="43"/>
      <c r="P1804" s="43"/>
      <c r="Q1804" s="43"/>
      <c r="R1804" s="43"/>
      <c r="S1804" s="43"/>
      <c r="T1804" s="43"/>
      <c r="U1804" s="43"/>
      <c r="V1804" s="43"/>
      <c r="W1804" s="43"/>
      <c r="X1804" s="43"/>
      <c r="Y1804" s="43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</row>
    <row r="1805" spans="1:60" ht="16">
      <c r="A1805" s="41"/>
      <c r="B1805" s="41"/>
      <c r="C1805" s="41"/>
      <c r="D1805" s="42"/>
      <c r="E1805" s="43"/>
      <c r="F1805" s="43"/>
      <c r="G1805" s="43"/>
      <c r="H1805" s="41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3"/>
      <c r="U1805" s="43"/>
      <c r="V1805" s="43"/>
      <c r="W1805" s="43"/>
      <c r="X1805" s="43"/>
      <c r="Y1805" s="43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</row>
    <row r="1806" spans="1:60" ht="16">
      <c r="A1806" s="41"/>
      <c r="B1806" s="41"/>
      <c r="C1806" s="41"/>
      <c r="D1806" s="42"/>
      <c r="E1806" s="43"/>
      <c r="F1806" s="43"/>
      <c r="G1806" s="43"/>
      <c r="H1806" s="41"/>
      <c r="I1806" s="43"/>
      <c r="J1806" s="43"/>
      <c r="K1806" s="43"/>
      <c r="L1806" s="43"/>
      <c r="M1806" s="43"/>
      <c r="N1806" s="43"/>
      <c r="O1806" s="43"/>
      <c r="P1806" s="43"/>
      <c r="Q1806" s="43"/>
      <c r="R1806" s="43"/>
      <c r="S1806" s="43"/>
      <c r="T1806" s="43"/>
      <c r="U1806" s="43"/>
      <c r="V1806" s="43"/>
      <c r="W1806" s="43"/>
      <c r="X1806" s="43"/>
      <c r="Y1806" s="43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</row>
    <row r="1807" spans="1:60" ht="16">
      <c r="A1807" s="41"/>
      <c r="B1807" s="41"/>
      <c r="C1807" s="41"/>
      <c r="D1807" s="42"/>
      <c r="E1807" s="43"/>
      <c r="F1807" s="43"/>
      <c r="G1807" s="43"/>
      <c r="H1807" s="41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</row>
    <row r="1808" spans="1:60" ht="16">
      <c r="A1808" s="41"/>
      <c r="B1808" s="41"/>
      <c r="C1808" s="41"/>
      <c r="D1808" s="42"/>
      <c r="E1808" s="43"/>
      <c r="F1808" s="43"/>
      <c r="G1808" s="43"/>
      <c r="H1808" s="41"/>
      <c r="I1808" s="43"/>
      <c r="J1808" s="43"/>
      <c r="K1808" s="43"/>
      <c r="L1808" s="43"/>
      <c r="M1808" s="43"/>
      <c r="N1808" s="43"/>
      <c r="O1808" s="43"/>
      <c r="P1808" s="43"/>
      <c r="Q1808" s="43"/>
      <c r="R1808" s="43"/>
      <c r="S1808" s="43"/>
      <c r="T1808" s="43"/>
      <c r="U1808" s="43"/>
      <c r="V1808" s="43"/>
      <c r="W1808" s="43"/>
      <c r="X1808" s="43"/>
      <c r="Y1808" s="43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</row>
    <row r="1809" spans="1:60" ht="16">
      <c r="A1809" s="41"/>
      <c r="B1809" s="41"/>
      <c r="C1809" s="41"/>
      <c r="D1809" s="42"/>
      <c r="E1809" s="43"/>
      <c r="F1809" s="43"/>
      <c r="G1809" s="43"/>
      <c r="H1809" s="41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3"/>
      <c r="U1809" s="43"/>
      <c r="V1809" s="43"/>
      <c r="W1809" s="43"/>
      <c r="X1809" s="43"/>
      <c r="Y1809" s="43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</row>
    <row r="1810" spans="1:60" ht="16">
      <c r="A1810" s="41"/>
      <c r="B1810" s="41"/>
      <c r="C1810" s="41"/>
      <c r="D1810" s="42"/>
      <c r="E1810" s="43"/>
      <c r="F1810" s="43"/>
      <c r="G1810" s="43"/>
      <c r="H1810" s="41"/>
      <c r="I1810" s="43"/>
      <c r="J1810" s="43"/>
      <c r="K1810" s="43"/>
      <c r="L1810" s="43"/>
      <c r="M1810" s="43"/>
      <c r="N1810" s="43"/>
      <c r="O1810" s="43"/>
      <c r="P1810" s="43"/>
      <c r="Q1810" s="43"/>
      <c r="R1810" s="43"/>
      <c r="S1810" s="43"/>
      <c r="T1810" s="43"/>
      <c r="U1810" s="43"/>
      <c r="V1810" s="43"/>
      <c r="W1810" s="43"/>
      <c r="X1810" s="43"/>
      <c r="Y1810" s="43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</row>
    <row r="1811" spans="1:60" ht="16">
      <c r="A1811" s="41"/>
      <c r="B1811" s="41"/>
      <c r="C1811" s="41"/>
      <c r="D1811" s="42"/>
      <c r="E1811" s="43"/>
      <c r="F1811" s="43"/>
      <c r="G1811" s="43"/>
      <c r="H1811" s="41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</row>
    <row r="1812" spans="1:60" ht="16">
      <c r="A1812" s="41"/>
      <c r="B1812" s="41"/>
      <c r="C1812" s="41"/>
      <c r="D1812" s="42"/>
      <c r="E1812" s="43"/>
      <c r="F1812" s="43"/>
      <c r="G1812" s="43"/>
      <c r="H1812" s="41"/>
      <c r="I1812" s="43"/>
      <c r="J1812" s="43"/>
      <c r="K1812" s="43"/>
      <c r="L1812" s="43"/>
      <c r="M1812" s="43"/>
      <c r="N1812" s="43"/>
      <c r="O1812" s="43"/>
      <c r="P1812" s="43"/>
      <c r="Q1812" s="43"/>
      <c r="R1812" s="43"/>
      <c r="S1812" s="43"/>
      <c r="T1812" s="43"/>
      <c r="U1812" s="43"/>
      <c r="V1812" s="43"/>
      <c r="W1812" s="43"/>
      <c r="X1812" s="43"/>
      <c r="Y1812" s="43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</row>
    <row r="1813" spans="1:60" ht="16">
      <c r="A1813" s="41"/>
      <c r="B1813" s="41"/>
      <c r="C1813" s="41"/>
      <c r="D1813" s="42"/>
      <c r="E1813" s="43"/>
      <c r="F1813" s="43"/>
      <c r="G1813" s="43"/>
      <c r="H1813" s="41"/>
      <c r="I1813" s="43"/>
      <c r="J1813" s="43"/>
      <c r="K1813" s="43"/>
      <c r="L1813" s="43"/>
      <c r="M1813" s="43"/>
      <c r="N1813" s="43"/>
      <c r="O1813" s="43"/>
      <c r="P1813" s="43"/>
      <c r="Q1813" s="43"/>
      <c r="R1813" s="43"/>
      <c r="S1813" s="43"/>
      <c r="T1813" s="43"/>
      <c r="U1813" s="43"/>
      <c r="V1813" s="43"/>
      <c r="W1813" s="43"/>
      <c r="X1813" s="43"/>
      <c r="Y1813" s="43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</row>
    <row r="1814" spans="1:60" ht="16">
      <c r="A1814" s="41"/>
      <c r="B1814" s="41"/>
      <c r="C1814" s="41"/>
      <c r="D1814" s="42"/>
      <c r="E1814" s="43"/>
      <c r="F1814" s="43"/>
      <c r="G1814" s="43"/>
      <c r="H1814" s="41"/>
      <c r="I1814" s="43"/>
      <c r="J1814" s="43"/>
      <c r="K1814" s="43"/>
      <c r="L1814" s="43"/>
      <c r="M1814" s="43"/>
      <c r="N1814" s="43"/>
      <c r="O1814" s="43"/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</row>
    <row r="1815" spans="1:60" ht="16">
      <c r="A1815" s="41"/>
      <c r="B1815" s="41"/>
      <c r="C1815" s="41"/>
      <c r="D1815" s="42"/>
      <c r="E1815" s="43"/>
      <c r="F1815" s="43"/>
      <c r="G1815" s="43"/>
      <c r="H1815" s="41"/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3"/>
      <c r="U1815" s="43"/>
      <c r="V1815" s="43"/>
      <c r="W1815" s="43"/>
      <c r="X1815" s="43"/>
      <c r="Y1815" s="43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</row>
    <row r="1816" spans="1:60" ht="16">
      <c r="A1816" s="41"/>
      <c r="B1816" s="41"/>
      <c r="C1816" s="41"/>
      <c r="D1816" s="42"/>
      <c r="E1816" s="43"/>
      <c r="F1816" s="43"/>
      <c r="G1816" s="43"/>
      <c r="H1816" s="41"/>
      <c r="I1816" s="43"/>
      <c r="J1816" s="43"/>
      <c r="K1816" s="43"/>
      <c r="L1816" s="43"/>
      <c r="M1816" s="43"/>
      <c r="N1816" s="43"/>
      <c r="O1816" s="43"/>
      <c r="P1816" s="43"/>
      <c r="Q1816" s="43"/>
      <c r="R1816" s="43"/>
      <c r="S1816" s="43"/>
      <c r="T1816" s="43"/>
      <c r="U1816" s="43"/>
      <c r="V1816" s="43"/>
      <c r="W1816" s="43"/>
      <c r="X1816" s="43"/>
      <c r="Y1816" s="43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</row>
    <row r="1817" spans="1:60" ht="16">
      <c r="A1817" s="41"/>
      <c r="B1817" s="41"/>
      <c r="C1817" s="41"/>
      <c r="D1817" s="42"/>
      <c r="E1817" s="43"/>
      <c r="F1817" s="43"/>
      <c r="G1817" s="43"/>
      <c r="H1817" s="41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3"/>
      <c r="U1817" s="43"/>
      <c r="V1817" s="43"/>
      <c r="W1817" s="43"/>
      <c r="X1817" s="43"/>
      <c r="Y1817" s="43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</row>
    <row r="1818" spans="1:60" ht="16">
      <c r="A1818" s="41"/>
      <c r="B1818" s="41"/>
      <c r="C1818" s="41"/>
      <c r="D1818" s="42"/>
      <c r="E1818" s="43"/>
      <c r="F1818" s="43"/>
      <c r="G1818" s="43"/>
      <c r="H1818" s="41"/>
      <c r="I1818" s="43"/>
      <c r="J1818" s="43"/>
      <c r="K1818" s="43"/>
      <c r="L1818" s="43"/>
      <c r="M1818" s="43"/>
      <c r="N1818" s="43"/>
      <c r="O1818" s="43"/>
      <c r="P1818" s="43"/>
      <c r="Q1818" s="43"/>
      <c r="R1818" s="43"/>
      <c r="S1818" s="43"/>
      <c r="T1818" s="43"/>
      <c r="U1818" s="43"/>
      <c r="V1818" s="43"/>
      <c r="W1818" s="43"/>
      <c r="X1818" s="43"/>
      <c r="Y1818" s="43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</row>
    <row r="1819" spans="1:60" ht="16">
      <c r="A1819" s="41"/>
      <c r="B1819" s="41"/>
      <c r="C1819" s="41"/>
      <c r="D1819" s="42"/>
      <c r="E1819" s="43"/>
      <c r="F1819" s="43"/>
      <c r="G1819" s="43"/>
      <c r="H1819" s="41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3"/>
      <c r="U1819" s="43"/>
      <c r="V1819" s="43"/>
      <c r="W1819" s="43"/>
      <c r="X1819" s="43"/>
      <c r="Y1819" s="43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</row>
    <row r="1820" spans="1:60" ht="16">
      <c r="A1820" s="41"/>
      <c r="B1820" s="41"/>
      <c r="C1820" s="41"/>
      <c r="D1820" s="42"/>
      <c r="E1820" s="43"/>
      <c r="F1820" s="43"/>
      <c r="G1820" s="43"/>
      <c r="H1820" s="41"/>
      <c r="I1820" s="43"/>
      <c r="J1820" s="43"/>
      <c r="K1820" s="43"/>
      <c r="L1820" s="43"/>
      <c r="M1820" s="43"/>
      <c r="N1820" s="43"/>
      <c r="O1820" s="43"/>
      <c r="P1820" s="43"/>
      <c r="Q1820" s="43"/>
      <c r="R1820" s="43"/>
      <c r="S1820" s="43"/>
      <c r="T1820" s="43"/>
      <c r="U1820" s="43"/>
      <c r="V1820" s="43"/>
      <c r="W1820" s="43"/>
      <c r="X1820" s="43"/>
      <c r="Y1820" s="43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</row>
    <row r="1821" spans="1:60" ht="16">
      <c r="A1821" s="41"/>
      <c r="B1821" s="41"/>
      <c r="C1821" s="41"/>
      <c r="D1821" s="42"/>
      <c r="E1821" s="43"/>
      <c r="F1821" s="43"/>
      <c r="G1821" s="43"/>
      <c r="H1821" s="41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3"/>
      <c r="U1821" s="43"/>
      <c r="V1821" s="43"/>
      <c r="W1821" s="43"/>
      <c r="X1821" s="43"/>
      <c r="Y1821" s="43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</row>
    <row r="1822" spans="1:60" ht="16">
      <c r="A1822" s="41"/>
      <c r="B1822" s="41"/>
      <c r="C1822" s="41"/>
      <c r="D1822" s="42"/>
      <c r="E1822" s="43"/>
      <c r="F1822" s="43"/>
      <c r="G1822" s="43"/>
      <c r="H1822" s="41"/>
      <c r="I1822" s="43"/>
      <c r="J1822" s="43"/>
      <c r="K1822" s="43"/>
      <c r="L1822" s="43"/>
      <c r="M1822" s="43"/>
      <c r="N1822" s="43"/>
      <c r="O1822" s="43"/>
      <c r="P1822" s="43"/>
      <c r="Q1822" s="43"/>
      <c r="R1822" s="43"/>
      <c r="S1822" s="43"/>
      <c r="T1822" s="43"/>
      <c r="U1822" s="43"/>
      <c r="V1822" s="43"/>
      <c r="W1822" s="43"/>
      <c r="X1822" s="43"/>
      <c r="Y1822" s="43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</row>
    <row r="1823" spans="1:60" ht="16">
      <c r="A1823" s="41"/>
      <c r="B1823" s="41"/>
      <c r="C1823" s="41"/>
      <c r="D1823" s="42"/>
      <c r="E1823" s="43"/>
      <c r="F1823" s="43"/>
      <c r="G1823" s="43"/>
      <c r="H1823" s="41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3"/>
      <c r="W1823" s="43"/>
      <c r="X1823" s="43"/>
      <c r="Y1823" s="43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</row>
    <row r="1824" spans="1:60" ht="16">
      <c r="A1824" s="41"/>
      <c r="B1824" s="41"/>
      <c r="C1824" s="41"/>
      <c r="D1824" s="42"/>
      <c r="E1824" s="43"/>
      <c r="F1824" s="43"/>
      <c r="G1824" s="43"/>
      <c r="H1824" s="41"/>
      <c r="I1824" s="43"/>
      <c r="J1824" s="43"/>
      <c r="K1824" s="43"/>
      <c r="L1824" s="43"/>
      <c r="M1824" s="43"/>
      <c r="N1824" s="43"/>
      <c r="O1824" s="43"/>
      <c r="P1824" s="43"/>
      <c r="Q1824" s="43"/>
      <c r="R1824" s="43"/>
      <c r="S1824" s="43"/>
      <c r="T1824" s="43"/>
      <c r="U1824" s="43"/>
      <c r="V1824" s="43"/>
      <c r="W1824" s="43"/>
      <c r="X1824" s="43"/>
      <c r="Y1824" s="43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</row>
    <row r="1825" spans="1:60" ht="16">
      <c r="A1825" s="41"/>
      <c r="B1825" s="41"/>
      <c r="C1825" s="41"/>
      <c r="D1825" s="42"/>
      <c r="E1825" s="43"/>
      <c r="F1825" s="43"/>
      <c r="G1825" s="43"/>
      <c r="H1825" s="41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</row>
    <row r="1826" spans="1:60" ht="16">
      <c r="A1826" s="41"/>
      <c r="B1826" s="41"/>
      <c r="C1826" s="41"/>
      <c r="D1826" s="42"/>
      <c r="E1826" s="43"/>
      <c r="F1826" s="43"/>
      <c r="G1826" s="43"/>
      <c r="H1826" s="41"/>
      <c r="I1826" s="43"/>
      <c r="J1826" s="43"/>
      <c r="K1826" s="43"/>
      <c r="L1826" s="43"/>
      <c r="M1826" s="43"/>
      <c r="N1826" s="43"/>
      <c r="O1826" s="43"/>
      <c r="P1826" s="43"/>
      <c r="Q1826" s="43"/>
      <c r="R1826" s="43"/>
      <c r="S1826" s="43"/>
      <c r="T1826" s="43"/>
      <c r="U1826" s="43"/>
      <c r="V1826" s="43"/>
      <c r="W1826" s="43"/>
      <c r="X1826" s="43"/>
      <c r="Y1826" s="43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</row>
    <row r="1827" spans="1:60" ht="16">
      <c r="A1827" s="41"/>
      <c r="B1827" s="41"/>
      <c r="C1827" s="41"/>
      <c r="D1827" s="42"/>
      <c r="E1827" s="43"/>
      <c r="F1827" s="43"/>
      <c r="G1827" s="43"/>
      <c r="H1827" s="41"/>
      <c r="I1827" s="43"/>
      <c r="J1827" s="43"/>
      <c r="K1827" s="43"/>
      <c r="L1827" s="43"/>
      <c r="M1827" s="43"/>
      <c r="N1827" s="43"/>
      <c r="O1827" s="43"/>
      <c r="P1827" s="43"/>
      <c r="Q1827" s="43"/>
      <c r="R1827" s="43"/>
      <c r="S1827" s="43"/>
      <c r="T1827" s="43"/>
      <c r="U1827" s="43"/>
      <c r="V1827" s="43"/>
      <c r="W1827" s="43"/>
      <c r="X1827" s="43"/>
      <c r="Y1827" s="43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</row>
    <row r="1828" spans="1:60" ht="16">
      <c r="A1828" s="41"/>
      <c r="B1828" s="41"/>
      <c r="C1828" s="41"/>
      <c r="D1828" s="42"/>
      <c r="E1828" s="43"/>
      <c r="F1828" s="43"/>
      <c r="G1828" s="43"/>
      <c r="H1828" s="41"/>
      <c r="I1828" s="43"/>
      <c r="J1828" s="43"/>
      <c r="K1828" s="43"/>
      <c r="L1828" s="43"/>
      <c r="M1828" s="43"/>
      <c r="N1828" s="43"/>
      <c r="O1828" s="43"/>
      <c r="P1828" s="43"/>
      <c r="Q1828" s="43"/>
      <c r="R1828" s="43"/>
      <c r="S1828" s="43"/>
      <c r="T1828" s="43"/>
      <c r="U1828" s="43"/>
      <c r="V1828" s="43"/>
      <c r="W1828" s="43"/>
      <c r="X1828" s="43"/>
      <c r="Y1828" s="43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</row>
    <row r="1829" spans="1:60" ht="16">
      <c r="A1829" s="41"/>
      <c r="B1829" s="41"/>
      <c r="C1829" s="41"/>
      <c r="D1829" s="42"/>
      <c r="E1829" s="43"/>
      <c r="F1829" s="43"/>
      <c r="G1829" s="43"/>
      <c r="H1829" s="41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3"/>
      <c r="U1829" s="43"/>
      <c r="V1829" s="43"/>
      <c r="W1829" s="43"/>
      <c r="X1829" s="43"/>
      <c r="Y1829" s="43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</row>
    <row r="1830" spans="1:60" ht="16">
      <c r="A1830" s="41"/>
      <c r="B1830" s="41"/>
      <c r="C1830" s="41"/>
      <c r="D1830" s="42"/>
      <c r="E1830" s="43"/>
      <c r="F1830" s="43"/>
      <c r="G1830" s="43"/>
      <c r="H1830" s="41"/>
      <c r="I1830" s="43"/>
      <c r="J1830" s="43"/>
      <c r="K1830" s="43"/>
      <c r="L1830" s="43"/>
      <c r="M1830" s="43"/>
      <c r="N1830" s="43"/>
      <c r="O1830" s="43"/>
      <c r="P1830" s="43"/>
      <c r="Q1830" s="43"/>
      <c r="R1830" s="43"/>
      <c r="S1830" s="43"/>
      <c r="T1830" s="43"/>
      <c r="U1830" s="43"/>
      <c r="V1830" s="43"/>
      <c r="W1830" s="43"/>
      <c r="X1830" s="43"/>
      <c r="Y1830" s="43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</row>
    <row r="1831" spans="1:60" ht="16">
      <c r="A1831" s="41"/>
      <c r="B1831" s="41"/>
      <c r="C1831" s="41"/>
      <c r="D1831" s="42"/>
      <c r="E1831" s="43"/>
      <c r="F1831" s="43"/>
      <c r="G1831" s="43"/>
      <c r="H1831" s="41"/>
      <c r="I1831" s="43"/>
      <c r="J1831" s="43"/>
      <c r="K1831" s="43"/>
      <c r="L1831" s="43"/>
      <c r="M1831" s="43"/>
      <c r="N1831" s="43"/>
      <c r="O1831" s="43"/>
      <c r="P1831" s="43"/>
      <c r="Q1831" s="43"/>
      <c r="R1831" s="43"/>
      <c r="S1831" s="43"/>
      <c r="T1831" s="43"/>
      <c r="U1831" s="43"/>
      <c r="V1831" s="43"/>
      <c r="W1831" s="43"/>
      <c r="X1831" s="43"/>
      <c r="Y1831" s="43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</row>
    <row r="1832" spans="1:60" ht="16">
      <c r="A1832" s="41"/>
      <c r="B1832" s="41"/>
      <c r="C1832" s="41"/>
      <c r="D1832" s="42"/>
      <c r="E1832" s="43"/>
      <c r="F1832" s="43"/>
      <c r="G1832" s="43"/>
      <c r="H1832" s="41"/>
      <c r="I1832" s="43"/>
      <c r="J1832" s="43"/>
      <c r="K1832" s="43"/>
      <c r="L1832" s="43"/>
      <c r="M1832" s="43"/>
      <c r="N1832" s="43"/>
      <c r="O1832" s="43"/>
      <c r="P1832" s="43"/>
      <c r="Q1832" s="43"/>
      <c r="R1832" s="43"/>
      <c r="S1832" s="43"/>
      <c r="T1832" s="43"/>
      <c r="U1832" s="43"/>
      <c r="V1832" s="43"/>
      <c r="W1832" s="43"/>
      <c r="X1832" s="43"/>
      <c r="Y1832" s="43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</row>
    <row r="1833" spans="1:60" ht="16">
      <c r="A1833" s="41"/>
      <c r="B1833" s="41"/>
      <c r="C1833" s="41"/>
      <c r="D1833" s="42"/>
      <c r="E1833" s="43"/>
      <c r="F1833" s="43"/>
      <c r="G1833" s="43"/>
      <c r="H1833" s="41"/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3"/>
      <c r="U1833" s="43"/>
      <c r="V1833" s="43"/>
      <c r="W1833" s="43"/>
      <c r="X1833" s="43"/>
      <c r="Y1833" s="43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</row>
    <row r="1834" spans="1:60" ht="16">
      <c r="A1834" s="41"/>
      <c r="B1834" s="41"/>
      <c r="C1834" s="41"/>
      <c r="D1834" s="42"/>
      <c r="E1834" s="43"/>
      <c r="F1834" s="43"/>
      <c r="G1834" s="43"/>
      <c r="H1834" s="41"/>
      <c r="I1834" s="43"/>
      <c r="J1834" s="43"/>
      <c r="K1834" s="43"/>
      <c r="L1834" s="43"/>
      <c r="M1834" s="43"/>
      <c r="N1834" s="43"/>
      <c r="O1834" s="43"/>
      <c r="P1834" s="43"/>
      <c r="Q1834" s="43"/>
      <c r="R1834" s="43"/>
      <c r="S1834" s="43"/>
      <c r="T1834" s="43"/>
      <c r="U1834" s="43"/>
      <c r="V1834" s="43"/>
      <c r="W1834" s="43"/>
      <c r="X1834" s="43"/>
      <c r="Y1834" s="43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</row>
    <row r="1835" spans="1:60" ht="16">
      <c r="A1835" s="41"/>
      <c r="B1835" s="41"/>
      <c r="C1835" s="41"/>
      <c r="D1835" s="42"/>
      <c r="E1835" s="43"/>
      <c r="F1835" s="43"/>
      <c r="G1835" s="43"/>
      <c r="H1835" s="41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3"/>
      <c r="U1835" s="43"/>
      <c r="V1835" s="43"/>
      <c r="W1835" s="43"/>
      <c r="X1835" s="43"/>
      <c r="Y1835" s="43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</row>
    <row r="1836" spans="1:60" ht="16">
      <c r="A1836" s="41"/>
      <c r="B1836" s="41"/>
      <c r="C1836" s="41"/>
      <c r="D1836" s="42"/>
      <c r="E1836" s="43"/>
      <c r="F1836" s="43"/>
      <c r="G1836" s="43"/>
      <c r="H1836" s="41"/>
      <c r="I1836" s="43"/>
      <c r="J1836" s="43"/>
      <c r="K1836" s="43"/>
      <c r="L1836" s="43"/>
      <c r="M1836" s="43"/>
      <c r="N1836" s="43"/>
      <c r="O1836" s="43"/>
      <c r="P1836" s="43"/>
      <c r="Q1836" s="43"/>
      <c r="R1836" s="43"/>
      <c r="S1836" s="43"/>
      <c r="T1836" s="43"/>
      <c r="U1836" s="43"/>
      <c r="V1836" s="43"/>
      <c r="W1836" s="43"/>
      <c r="X1836" s="43"/>
      <c r="Y1836" s="43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</row>
    <row r="1837" spans="1:60" ht="16">
      <c r="A1837" s="41"/>
      <c r="B1837" s="41"/>
      <c r="C1837" s="41"/>
      <c r="D1837" s="42"/>
      <c r="E1837" s="43"/>
      <c r="F1837" s="43"/>
      <c r="G1837" s="43"/>
      <c r="H1837" s="41"/>
      <c r="I1837" s="43"/>
      <c r="J1837" s="43"/>
      <c r="K1837" s="43"/>
      <c r="L1837" s="43"/>
      <c r="M1837" s="43"/>
      <c r="N1837" s="43"/>
      <c r="O1837" s="43"/>
      <c r="P1837" s="43"/>
      <c r="Q1837" s="43"/>
      <c r="R1837" s="43"/>
      <c r="S1837" s="43"/>
      <c r="T1837" s="43"/>
      <c r="U1837" s="43"/>
      <c r="V1837" s="43"/>
      <c r="W1837" s="43"/>
      <c r="X1837" s="43"/>
      <c r="Y1837" s="43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</row>
    <row r="1838" spans="1:60" ht="16">
      <c r="A1838" s="41"/>
      <c r="B1838" s="41"/>
      <c r="C1838" s="41"/>
      <c r="D1838" s="42"/>
      <c r="E1838" s="43"/>
      <c r="F1838" s="43"/>
      <c r="G1838" s="43"/>
      <c r="H1838" s="41"/>
      <c r="I1838" s="43"/>
      <c r="J1838" s="43"/>
      <c r="K1838" s="43"/>
      <c r="L1838" s="43"/>
      <c r="M1838" s="43"/>
      <c r="N1838" s="43"/>
      <c r="O1838" s="43"/>
      <c r="P1838" s="43"/>
      <c r="Q1838" s="43"/>
      <c r="R1838" s="43"/>
      <c r="S1838" s="43"/>
      <c r="T1838" s="43"/>
      <c r="U1838" s="43"/>
      <c r="V1838" s="43"/>
      <c r="W1838" s="43"/>
      <c r="X1838" s="43"/>
      <c r="Y1838" s="43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</row>
    <row r="1839" spans="1:60" ht="16">
      <c r="A1839" s="41"/>
      <c r="B1839" s="41"/>
      <c r="C1839" s="41"/>
      <c r="D1839" s="42"/>
      <c r="E1839" s="43"/>
      <c r="F1839" s="43"/>
      <c r="G1839" s="43"/>
      <c r="H1839" s="41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</row>
    <row r="1840" spans="1:60" ht="16">
      <c r="A1840" s="41"/>
      <c r="B1840" s="41"/>
      <c r="C1840" s="41"/>
      <c r="D1840" s="42"/>
      <c r="E1840" s="43"/>
      <c r="F1840" s="43"/>
      <c r="G1840" s="43"/>
      <c r="H1840" s="41"/>
      <c r="I1840" s="43"/>
      <c r="J1840" s="43"/>
      <c r="K1840" s="43"/>
      <c r="L1840" s="43"/>
      <c r="M1840" s="43"/>
      <c r="N1840" s="43"/>
      <c r="O1840" s="43"/>
      <c r="P1840" s="43"/>
      <c r="Q1840" s="43"/>
      <c r="R1840" s="43"/>
      <c r="S1840" s="43"/>
      <c r="T1840" s="43"/>
      <c r="U1840" s="43"/>
      <c r="V1840" s="43"/>
      <c r="W1840" s="43"/>
      <c r="X1840" s="43"/>
      <c r="Y1840" s="43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</row>
    <row r="1841" spans="1:60" ht="16">
      <c r="A1841" s="41"/>
      <c r="B1841" s="41"/>
      <c r="C1841" s="41"/>
      <c r="D1841" s="42"/>
      <c r="E1841" s="43"/>
      <c r="F1841" s="43"/>
      <c r="G1841" s="43"/>
      <c r="H1841" s="41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</row>
    <row r="1842" spans="1:60" ht="16">
      <c r="A1842" s="41"/>
      <c r="B1842" s="41"/>
      <c r="C1842" s="41"/>
      <c r="D1842" s="42"/>
      <c r="E1842" s="43"/>
      <c r="F1842" s="43"/>
      <c r="G1842" s="43"/>
      <c r="H1842" s="41"/>
      <c r="I1842" s="43"/>
      <c r="J1842" s="43"/>
      <c r="K1842" s="43"/>
      <c r="L1842" s="43"/>
      <c r="M1842" s="43"/>
      <c r="N1842" s="43"/>
      <c r="O1842" s="43"/>
      <c r="P1842" s="43"/>
      <c r="Q1842" s="43"/>
      <c r="R1842" s="43"/>
      <c r="S1842" s="43"/>
      <c r="T1842" s="43"/>
      <c r="U1842" s="43"/>
      <c r="V1842" s="43"/>
      <c r="W1842" s="43"/>
      <c r="X1842" s="43"/>
      <c r="Y1842" s="43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</row>
    <row r="1843" spans="1:60" ht="16">
      <c r="A1843" s="41"/>
      <c r="B1843" s="41"/>
      <c r="C1843" s="41"/>
      <c r="D1843" s="42"/>
      <c r="E1843" s="43"/>
      <c r="F1843" s="43"/>
      <c r="G1843" s="43"/>
      <c r="H1843" s="41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3"/>
      <c r="U1843" s="43"/>
      <c r="V1843" s="43"/>
      <c r="W1843" s="43"/>
      <c r="X1843" s="43"/>
      <c r="Y1843" s="43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</row>
    <row r="1844" spans="1:60" ht="16">
      <c r="A1844" s="41"/>
      <c r="B1844" s="41"/>
      <c r="C1844" s="41"/>
      <c r="D1844" s="42"/>
      <c r="E1844" s="43"/>
      <c r="F1844" s="43"/>
      <c r="G1844" s="43"/>
      <c r="H1844" s="41"/>
      <c r="I1844" s="43"/>
      <c r="J1844" s="43"/>
      <c r="K1844" s="43"/>
      <c r="L1844" s="43"/>
      <c r="M1844" s="43"/>
      <c r="N1844" s="43"/>
      <c r="O1844" s="43"/>
      <c r="P1844" s="43"/>
      <c r="Q1844" s="43"/>
      <c r="R1844" s="43"/>
      <c r="S1844" s="43"/>
      <c r="T1844" s="43"/>
      <c r="U1844" s="43"/>
      <c r="V1844" s="43"/>
      <c r="W1844" s="43"/>
      <c r="X1844" s="43"/>
      <c r="Y1844" s="43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</row>
    <row r="1845" spans="1:60" ht="16">
      <c r="A1845" s="41"/>
      <c r="B1845" s="41"/>
      <c r="C1845" s="41"/>
      <c r="D1845" s="42"/>
      <c r="E1845" s="43"/>
      <c r="F1845" s="43"/>
      <c r="G1845" s="43"/>
      <c r="H1845" s="41"/>
      <c r="I1845" s="43"/>
      <c r="J1845" s="43"/>
      <c r="K1845" s="43"/>
      <c r="L1845" s="43"/>
      <c r="M1845" s="43"/>
      <c r="N1845" s="43"/>
      <c r="O1845" s="43"/>
      <c r="P1845" s="43"/>
      <c r="Q1845" s="43"/>
      <c r="R1845" s="43"/>
      <c r="S1845" s="43"/>
      <c r="T1845" s="43"/>
      <c r="U1845" s="43"/>
      <c r="V1845" s="43"/>
      <c r="W1845" s="43"/>
      <c r="X1845" s="43"/>
      <c r="Y1845" s="43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</row>
    <row r="1846" spans="1:60" ht="16">
      <c r="A1846" s="41"/>
      <c r="B1846" s="41"/>
      <c r="C1846" s="41"/>
      <c r="D1846" s="42"/>
      <c r="E1846" s="43"/>
      <c r="F1846" s="43"/>
      <c r="G1846" s="43"/>
      <c r="H1846" s="41"/>
      <c r="I1846" s="43"/>
      <c r="J1846" s="43"/>
      <c r="K1846" s="43"/>
      <c r="L1846" s="43"/>
      <c r="M1846" s="43"/>
      <c r="N1846" s="43"/>
      <c r="O1846" s="43"/>
      <c r="P1846" s="43"/>
      <c r="Q1846" s="43"/>
      <c r="R1846" s="43"/>
      <c r="S1846" s="43"/>
      <c r="T1846" s="43"/>
      <c r="U1846" s="43"/>
      <c r="V1846" s="43"/>
      <c r="W1846" s="43"/>
      <c r="X1846" s="43"/>
      <c r="Y1846" s="43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</row>
    <row r="1847" spans="1:60" ht="16">
      <c r="A1847" s="41"/>
      <c r="B1847" s="41"/>
      <c r="C1847" s="41"/>
      <c r="D1847" s="42"/>
      <c r="E1847" s="43"/>
      <c r="F1847" s="43"/>
      <c r="G1847" s="43"/>
      <c r="H1847" s="41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</row>
    <row r="1848" spans="1:60" ht="16">
      <c r="A1848" s="41"/>
      <c r="B1848" s="41"/>
      <c r="C1848" s="41"/>
      <c r="D1848" s="42"/>
      <c r="E1848" s="43"/>
      <c r="F1848" s="43"/>
      <c r="G1848" s="43"/>
      <c r="H1848" s="41"/>
      <c r="I1848" s="43"/>
      <c r="J1848" s="43"/>
      <c r="K1848" s="43"/>
      <c r="L1848" s="43"/>
      <c r="M1848" s="43"/>
      <c r="N1848" s="43"/>
      <c r="O1848" s="43"/>
      <c r="P1848" s="43"/>
      <c r="Q1848" s="43"/>
      <c r="R1848" s="43"/>
      <c r="S1848" s="43"/>
      <c r="T1848" s="43"/>
      <c r="U1848" s="43"/>
      <c r="V1848" s="43"/>
      <c r="W1848" s="43"/>
      <c r="X1848" s="43"/>
      <c r="Y1848" s="43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</row>
    <row r="1849" spans="1:60" ht="16">
      <c r="A1849" s="41"/>
      <c r="B1849" s="41"/>
      <c r="C1849" s="41"/>
      <c r="D1849" s="42"/>
      <c r="E1849" s="43"/>
      <c r="F1849" s="43"/>
      <c r="G1849" s="43"/>
      <c r="H1849" s="41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</row>
    <row r="1850" spans="1:60" ht="16">
      <c r="A1850" s="41"/>
      <c r="B1850" s="41"/>
      <c r="C1850" s="41"/>
      <c r="D1850" s="42"/>
      <c r="E1850" s="43"/>
      <c r="F1850" s="43"/>
      <c r="G1850" s="43"/>
      <c r="H1850" s="41"/>
      <c r="I1850" s="43"/>
      <c r="J1850" s="43"/>
      <c r="K1850" s="43"/>
      <c r="L1850" s="43"/>
      <c r="M1850" s="43"/>
      <c r="N1850" s="43"/>
      <c r="O1850" s="43"/>
      <c r="P1850" s="43"/>
      <c r="Q1850" s="43"/>
      <c r="R1850" s="43"/>
      <c r="S1850" s="43"/>
      <c r="T1850" s="43"/>
      <c r="U1850" s="43"/>
      <c r="V1850" s="43"/>
      <c r="W1850" s="43"/>
      <c r="X1850" s="43"/>
      <c r="Y1850" s="43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</row>
    <row r="1851" spans="1:60" ht="16">
      <c r="A1851" s="41"/>
      <c r="B1851" s="41"/>
      <c r="C1851" s="41"/>
      <c r="D1851" s="42"/>
      <c r="E1851" s="43"/>
      <c r="F1851" s="43"/>
      <c r="G1851" s="43"/>
      <c r="H1851" s="41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3"/>
      <c r="U1851" s="43"/>
      <c r="V1851" s="43"/>
      <c r="W1851" s="43"/>
      <c r="X1851" s="43"/>
      <c r="Y1851" s="43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</row>
    <row r="1852" spans="1:60" ht="16">
      <c r="A1852" s="41"/>
      <c r="B1852" s="41"/>
      <c r="C1852" s="41"/>
      <c r="D1852" s="42"/>
      <c r="E1852" s="43"/>
      <c r="F1852" s="43"/>
      <c r="G1852" s="43"/>
      <c r="H1852" s="41"/>
      <c r="I1852" s="43"/>
      <c r="J1852" s="43"/>
      <c r="K1852" s="43"/>
      <c r="L1852" s="43"/>
      <c r="M1852" s="43"/>
      <c r="N1852" s="43"/>
      <c r="O1852" s="43"/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</row>
    <row r="1853" spans="1:60" ht="16">
      <c r="A1853" s="41"/>
      <c r="B1853" s="41"/>
      <c r="C1853" s="41"/>
      <c r="D1853" s="42"/>
      <c r="E1853" s="43"/>
      <c r="F1853" s="43"/>
      <c r="G1853" s="43"/>
      <c r="H1853" s="41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3"/>
      <c r="U1853" s="43"/>
      <c r="V1853" s="43"/>
      <c r="W1853" s="43"/>
      <c r="X1853" s="43"/>
      <c r="Y1853" s="43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</row>
    <row r="1854" spans="1:60" ht="16">
      <c r="A1854" s="41"/>
      <c r="B1854" s="41"/>
      <c r="C1854" s="41"/>
      <c r="D1854" s="42"/>
      <c r="E1854" s="43"/>
      <c r="F1854" s="43"/>
      <c r="G1854" s="43"/>
      <c r="H1854" s="41"/>
      <c r="I1854" s="43"/>
      <c r="J1854" s="43"/>
      <c r="K1854" s="43"/>
      <c r="L1854" s="43"/>
      <c r="M1854" s="43"/>
      <c r="N1854" s="43"/>
      <c r="O1854" s="43"/>
      <c r="P1854" s="43"/>
      <c r="Q1854" s="43"/>
      <c r="R1854" s="43"/>
      <c r="S1854" s="43"/>
      <c r="T1854" s="43"/>
      <c r="U1854" s="43"/>
      <c r="V1854" s="43"/>
      <c r="W1854" s="43"/>
      <c r="X1854" s="43"/>
      <c r="Y1854" s="43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</row>
    <row r="1855" spans="1:60" ht="16">
      <c r="A1855" s="41"/>
      <c r="B1855" s="41"/>
      <c r="C1855" s="41"/>
      <c r="D1855" s="42"/>
      <c r="E1855" s="43"/>
      <c r="F1855" s="43"/>
      <c r="G1855" s="43"/>
      <c r="H1855" s="41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3"/>
      <c r="U1855" s="43"/>
      <c r="V1855" s="43"/>
      <c r="W1855" s="43"/>
      <c r="X1855" s="43"/>
      <c r="Y1855" s="43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</row>
    <row r="1856" spans="1:60" ht="16">
      <c r="A1856" s="41"/>
      <c r="B1856" s="41"/>
      <c r="C1856" s="41"/>
      <c r="D1856" s="42"/>
      <c r="E1856" s="43"/>
      <c r="F1856" s="43"/>
      <c r="G1856" s="43"/>
      <c r="H1856" s="41"/>
      <c r="I1856" s="43"/>
      <c r="J1856" s="43"/>
      <c r="K1856" s="43"/>
      <c r="L1856" s="43"/>
      <c r="M1856" s="43"/>
      <c r="N1856" s="43"/>
      <c r="O1856" s="43"/>
      <c r="P1856" s="43"/>
      <c r="Q1856" s="43"/>
      <c r="R1856" s="43"/>
      <c r="S1856" s="43"/>
      <c r="T1856" s="43"/>
      <c r="U1856" s="43"/>
      <c r="V1856" s="43"/>
      <c r="W1856" s="43"/>
      <c r="X1856" s="43"/>
      <c r="Y1856" s="43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</row>
    <row r="1857" spans="1:60" ht="16">
      <c r="A1857" s="41"/>
      <c r="B1857" s="41"/>
      <c r="C1857" s="41"/>
      <c r="D1857" s="42"/>
      <c r="E1857" s="43"/>
      <c r="F1857" s="43"/>
      <c r="G1857" s="43"/>
      <c r="H1857" s="41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3"/>
      <c r="U1857" s="43"/>
      <c r="V1857" s="43"/>
      <c r="W1857" s="43"/>
      <c r="X1857" s="43"/>
      <c r="Y1857" s="43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</row>
    <row r="1858" spans="1:60" ht="16">
      <c r="A1858" s="41"/>
      <c r="B1858" s="41"/>
      <c r="C1858" s="41"/>
      <c r="D1858" s="42"/>
      <c r="E1858" s="43"/>
      <c r="F1858" s="43"/>
      <c r="G1858" s="43"/>
      <c r="H1858" s="41"/>
      <c r="I1858" s="43"/>
      <c r="J1858" s="43"/>
      <c r="K1858" s="43"/>
      <c r="L1858" s="43"/>
      <c r="M1858" s="43"/>
      <c r="N1858" s="43"/>
      <c r="O1858" s="43"/>
      <c r="P1858" s="43"/>
      <c r="Q1858" s="43"/>
      <c r="R1858" s="43"/>
      <c r="S1858" s="43"/>
      <c r="T1858" s="43"/>
      <c r="U1858" s="43"/>
      <c r="V1858" s="43"/>
      <c r="W1858" s="43"/>
      <c r="X1858" s="43"/>
      <c r="Y1858" s="43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</row>
    <row r="1859" spans="1:60" ht="16">
      <c r="A1859" s="41"/>
      <c r="B1859" s="41"/>
      <c r="C1859" s="41"/>
      <c r="D1859" s="42"/>
      <c r="E1859" s="43"/>
      <c r="F1859" s="43"/>
      <c r="G1859" s="43"/>
      <c r="H1859" s="41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  <c r="U1859" s="43"/>
      <c r="V1859" s="43"/>
      <c r="W1859" s="43"/>
      <c r="X1859" s="43"/>
      <c r="Y1859" s="43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</row>
    <row r="1860" spans="1:60" ht="16">
      <c r="A1860" s="41"/>
      <c r="B1860" s="41"/>
      <c r="C1860" s="41"/>
      <c r="D1860" s="42"/>
      <c r="E1860" s="43"/>
      <c r="F1860" s="43"/>
      <c r="G1860" s="43"/>
      <c r="H1860" s="41"/>
      <c r="I1860" s="43"/>
      <c r="J1860" s="43"/>
      <c r="K1860" s="43"/>
      <c r="L1860" s="43"/>
      <c r="M1860" s="43"/>
      <c r="N1860" s="43"/>
      <c r="O1860" s="43"/>
      <c r="P1860" s="43"/>
      <c r="Q1860" s="43"/>
      <c r="R1860" s="43"/>
      <c r="S1860" s="43"/>
      <c r="T1860" s="43"/>
      <c r="U1860" s="43"/>
      <c r="V1860" s="43"/>
      <c r="W1860" s="43"/>
      <c r="X1860" s="43"/>
      <c r="Y1860" s="43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</row>
    <row r="1861" spans="1:60" ht="16">
      <c r="A1861" s="41"/>
      <c r="B1861" s="41"/>
      <c r="C1861" s="41"/>
      <c r="D1861" s="42"/>
      <c r="E1861" s="43"/>
      <c r="F1861" s="43"/>
      <c r="G1861" s="43"/>
      <c r="H1861" s="41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3"/>
      <c r="U1861" s="43"/>
      <c r="V1861" s="43"/>
      <c r="W1861" s="43"/>
      <c r="X1861" s="43"/>
      <c r="Y1861" s="43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</row>
    <row r="1862" spans="1:60" ht="16">
      <c r="A1862" s="41"/>
      <c r="B1862" s="41"/>
      <c r="C1862" s="41"/>
      <c r="D1862" s="42"/>
      <c r="E1862" s="43"/>
      <c r="F1862" s="43"/>
      <c r="G1862" s="43"/>
      <c r="H1862" s="41"/>
      <c r="I1862" s="43"/>
      <c r="J1862" s="43"/>
      <c r="K1862" s="43"/>
      <c r="L1862" s="43"/>
      <c r="M1862" s="43"/>
      <c r="N1862" s="43"/>
      <c r="O1862" s="43"/>
      <c r="P1862" s="43"/>
      <c r="Q1862" s="43"/>
      <c r="R1862" s="43"/>
      <c r="S1862" s="43"/>
      <c r="T1862" s="43"/>
      <c r="U1862" s="43"/>
      <c r="V1862" s="43"/>
      <c r="W1862" s="43"/>
      <c r="X1862" s="43"/>
      <c r="Y1862" s="43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</row>
    <row r="1863" spans="1:60" ht="16">
      <c r="A1863" s="41"/>
      <c r="B1863" s="41"/>
      <c r="C1863" s="41"/>
      <c r="D1863" s="42"/>
      <c r="E1863" s="43"/>
      <c r="F1863" s="43"/>
      <c r="G1863" s="43"/>
      <c r="H1863" s="41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</row>
    <row r="1864" spans="1:60" ht="16">
      <c r="A1864" s="41"/>
      <c r="B1864" s="41"/>
      <c r="C1864" s="41"/>
      <c r="D1864" s="42"/>
      <c r="E1864" s="43"/>
      <c r="F1864" s="43"/>
      <c r="G1864" s="43"/>
      <c r="H1864" s="41"/>
      <c r="I1864" s="43"/>
      <c r="J1864" s="43"/>
      <c r="K1864" s="43"/>
      <c r="L1864" s="43"/>
      <c r="M1864" s="43"/>
      <c r="N1864" s="43"/>
      <c r="O1864" s="43"/>
      <c r="P1864" s="43"/>
      <c r="Q1864" s="43"/>
      <c r="R1864" s="43"/>
      <c r="S1864" s="43"/>
      <c r="T1864" s="43"/>
      <c r="U1864" s="43"/>
      <c r="V1864" s="43"/>
      <c r="W1864" s="43"/>
      <c r="X1864" s="43"/>
      <c r="Y1864" s="43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</row>
    <row r="1865" spans="1:60" ht="16">
      <c r="A1865" s="41"/>
      <c r="B1865" s="41"/>
      <c r="C1865" s="41"/>
      <c r="D1865" s="42"/>
      <c r="E1865" s="43"/>
      <c r="F1865" s="43"/>
      <c r="G1865" s="43"/>
      <c r="H1865" s="41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3"/>
      <c r="W1865" s="43"/>
      <c r="X1865" s="43"/>
      <c r="Y1865" s="43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</row>
    <row r="1866" spans="1:60" ht="16">
      <c r="A1866" s="41"/>
      <c r="B1866" s="41"/>
      <c r="C1866" s="41"/>
      <c r="D1866" s="42"/>
      <c r="E1866" s="43"/>
      <c r="F1866" s="43"/>
      <c r="G1866" s="43"/>
      <c r="H1866" s="41"/>
      <c r="I1866" s="43"/>
      <c r="J1866" s="43"/>
      <c r="K1866" s="43"/>
      <c r="L1866" s="43"/>
      <c r="M1866" s="43"/>
      <c r="N1866" s="43"/>
      <c r="O1866" s="43"/>
      <c r="P1866" s="43"/>
      <c r="Q1866" s="43"/>
      <c r="R1866" s="43"/>
      <c r="S1866" s="43"/>
      <c r="T1866" s="43"/>
      <c r="U1866" s="43"/>
      <c r="V1866" s="43"/>
      <c r="W1866" s="43"/>
      <c r="X1866" s="43"/>
      <c r="Y1866" s="43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</row>
    <row r="1867" spans="1:60" ht="16">
      <c r="A1867" s="41"/>
      <c r="B1867" s="41"/>
      <c r="C1867" s="41"/>
      <c r="D1867" s="42"/>
      <c r="E1867" s="43"/>
      <c r="F1867" s="43"/>
      <c r="G1867" s="43"/>
      <c r="H1867" s="41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</row>
    <row r="1868" spans="1:60" ht="16">
      <c r="A1868" s="41"/>
      <c r="B1868" s="41"/>
      <c r="C1868" s="41"/>
      <c r="D1868" s="42"/>
      <c r="E1868" s="43"/>
      <c r="F1868" s="43"/>
      <c r="G1868" s="43"/>
      <c r="H1868" s="41"/>
      <c r="I1868" s="43"/>
      <c r="J1868" s="43"/>
      <c r="K1868" s="43"/>
      <c r="L1868" s="43"/>
      <c r="M1868" s="43"/>
      <c r="N1868" s="43"/>
      <c r="O1868" s="43"/>
      <c r="P1868" s="43"/>
      <c r="Q1868" s="43"/>
      <c r="R1868" s="43"/>
      <c r="S1868" s="43"/>
      <c r="T1868" s="43"/>
      <c r="U1868" s="43"/>
      <c r="V1868" s="43"/>
      <c r="W1868" s="43"/>
      <c r="X1868" s="43"/>
      <c r="Y1868" s="43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</row>
    <row r="1869" spans="1:60" ht="16">
      <c r="A1869" s="41"/>
      <c r="B1869" s="41"/>
      <c r="C1869" s="41"/>
      <c r="D1869" s="42"/>
      <c r="E1869" s="43"/>
      <c r="F1869" s="43"/>
      <c r="G1869" s="43"/>
      <c r="H1869" s="41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</row>
    <row r="1870" spans="1:60" ht="16">
      <c r="A1870" s="41"/>
      <c r="B1870" s="41"/>
      <c r="C1870" s="41"/>
      <c r="D1870" s="42"/>
      <c r="E1870" s="43"/>
      <c r="F1870" s="43"/>
      <c r="G1870" s="43"/>
      <c r="H1870" s="41"/>
      <c r="I1870" s="43"/>
      <c r="J1870" s="43"/>
      <c r="K1870" s="43"/>
      <c r="L1870" s="43"/>
      <c r="M1870" s="43"/>
      <c r="N1870" s="43"/>
      <c r="O1870" s="43"/>
      <c r="P1870" s="43"/>
      <c r="Q1870" s="43"/>
      <c r="R1870" s="43"/>
      <c r="S1870" s="43"/>
      <c r="T1870" s="43"/>
      <c r="U1870" s="43"/>
      <c r="V1870" s="43"/>
      <c r="W1870" s="43"/>
      <c r="X1870" s="43"/>
      <c r="Y1870" s="43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</row>
    <row r="1871" spans="1:60" ht="16">
      <c r="A1871" s="41"/>
      <c r="B1871" s="41"/>
      <c r="C1871" s="41"/>
      <c r="D1871" s="42"/>
      <c r="E1871" s="43"/>
      <c r="F1871" s="43"/>
      <c r="G1871" s="43"/>
      <c r="H1871" s="41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</row>
    <row r="1872" spans="1:60" ht="16">
      <c r="A1872" s="41"/>
      <c r="B1872" s="41"/>
      <c r="C1872" s="41"/>
      <c r="D1872" s="42"/>
      <c r="E1872" s="43"/>
      <c r="F1872" s="43"/>
      <c r="G1872" s="43"/>
      <c r="H1872" s="41"/>
      <c r="I1872" s="43"/>
      <c r="J1872" s="43"/>
      <c r="K1872" s="43"/>
      <c r="L1872" s="43"/>
      <c r="M1872" s="43"/>
      <c r="N1872" s="43"/>
      <c r="O1872" s="43"/>
      <c r="P1872" s="43"/>
      <c r="Q1872" s="43"/>
      <c r="R1872" s="43"/>
      <c r="S1872" s="43"/>
      <c r="T1872" s="43"/>
      <c r="U1872" s="43"/>
      <c r="V1872" s="43"/>
      <c r="W1872" s="43"/>
      <c r="X1872" s="43"/>
      <c r="Y1872" s="43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</row>
    <row r="1873" spans="1:60" ht="16">
      <c r="A1873" s="41"/>
      <c r="B1873" s="41"/>
      <c r="C1873" s="41"/>
      <c r="D1873" s="42"/>
      <c r="E1873" s="43"/>
      <c r="F1873" s="43"/>
      <c r="G1873" s="43"/>
      <c r="H1873" s="41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</row>
    <row r="1874" spans="1:60" ht="16">
      <c r="A1874" s="41"/>
      <c r="B1874" s="41"/>
      <c r="C1874" s="41"/>
      <c r="D1874" s="42"/>
      <c r="E1874" s="43"/>
      <c r="F1874" s="43"/>
      <c r="G1874" s="43"/>
      <c r="H1874" s="41"/>
      <c r="I1874" s="43"/>
      <c r="J1874" s="43"/>
      <c r="K1874" s="43"/>
      <c r="L1874" s="43"/>
      <c r="M1874" s="43"/>
      <c r="N1874" s="43"/>
      <c r="O1874" s="43"/>
      <c r="P1874" s="43"/>
      <c r="Q1874" s="43"/>
      <c r="R1874" s="43"/>
      <c r="S1874" s="43"/>
      <c r="T1874" s="43"/>
      <c r="U1874" s="43"/>
      <c r="V1874" s="43"/>
      <c r="W1874" s="43"/>
      <c r="X1874" s="43"/>
      <c r="Y1874" s="43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</row>
    <row r="1875" spans="1:60" ht="16">
      <c r="A1875" s="41"/>
      <c r="B1875" s="41"/>
      <c r="C1875" s="41"/>
      <c r="D1875" s="42"/>
      <c r="E1875" s="43"/>
      <c r="F1875" s="43"/>
      <c r="G1875" s="43"/>
      <c r="H1875" s="41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3"/>
      <c r="U1875" s="43"/>
      <c r="V1875" s="43"/>
      <c r="W1875" s="43"/>
      <c r="X1875" s="43"/>
      <c r="Y1875" s="43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</row>
    <row r="1876" spans="1:60" ht="16">
      <c r="A1876" s="41"/>
      <c r="B1876" s="41"/>
      <c r="C1876" s="41"/>
      <c r="D1876" s="42"/>
      <c r="E1876" s="43"/>
      <c r="F1876" s="43"/>
      <c r="G1876" s="43"/>
      <c r="H1876" s="41"/>
      <c r="I1876" s="43"/>
      <c r="J1876" s="43"/>
      <c r="K1876" s="43"/>
      <c r="L1876" s="43"/>
      <c r="M1876" s="43"/>
      <c r="N1876" s="43"/>
      <c r="O1876" s="43"/>
      <c r="P1876" s="43"/>
      <c r="Q1876" s="43"/>
      <c r="R1876" s="43"/>
      <c r="S1876" s="43"/>
      <c r="T1876" s="43"/>
      <c r="U1876" s="43"/>
      <c r="V1876" s="43"/>
      <c r="W1876" s="43"/>
      <c r="X1876" s="43"/>
      <c r="Y1876" s="43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</row>
    <row r="1877" spans="1:60" ht="16">
      <c r="A1877" s="41"/>
      <c r="B1877" s="41"/>
      <c r="C1877" s="41"/>
      <c r="D1877" s="42"/>
      <c r="E1877" s="43"/>
      <c r="F1877" s="43"/>
      <c r="G1877" s="43"/>
      <c r="H1877" s="41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3"/>
      <c r="U1877" s="43"/>
      <c r="V1877" s="43"/>
      <c r="W1877" s="43"/>
      <c r="X1877" s="43"/>
      <c r="Y1877" s="43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</row>
    <row r="1878" spans="1:60" ht="16">
      <c r="A1878" s="41"/>
      <c r="B1878" s="41"/>
      <c r="C1878" s="41"/>
      <c r="D1878" s="42"/>
      <c r="E1878" s="43"/>
      <c r="F1878" s="43"/>
      <c r="G1878" s="43"/>
      <c r="H1878" s="41"/>
      <c r="I1878" s="43"/>
      <c r="J1878" s="43"/>
      <c r="K1878" s="43"/>
      <c r="L1878" s="43"/>
      <c r="M1878" s="43"/>
      <c r="N1878" s="43"/>
      <c r="O1878" s="43"/>
      <c r="P1878" s="43"/>
      <c r="Q1878" s="43"/>
      <c r="R1878" s="43"/>
      <c r="S1878" s="43"/>
      <c r="T1878" s="43"/>
      <c r="U1878" s="43"/>
      <c r="V1878" s="43"/>
      <c r="W1878" s="43"/>
      <c r="X1878" s="43"/>
      <c r="Y1878" s="43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</row>
    <row r="1879" spans="1:60" ht="16">
      <c r="A1879" s="41"/>
      <c r="B1879" s="41"/>
      <c r="C1879" s="41"/>
      <c r="D1879" s="42"/>
      <c r="E1879" s="43"/>
      <c r="F1879" s="43"/>
      <c r="G1879" s="43"/>
      <c r="H1879" s="41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</row>
    <row r="1880" spans="1:60" ht="16">
      <c r="A1880" s="41"/>
      <c r="B1880" s="41"/>
      <c r="C1880" s="41"/>
      <c r="D1880" s="42"/>
      <c r="E1880" s="43"/>
      <c r="F1880" s="43"/>
      <c r="G1880" s="43"/>
      <c r="H1880" s="41"/>
      <c r="I1880" s="43"/>
      <c r="J1880" s="43"/>
      <c r="K1880" s="43"/>
      <c r="L1880" s="43"/>
      <c r="M1880" s="43"/>
      <c r="N1880" s="43"/>
      <c r="O1880" s="43"/>
      <c r="P1880" s="43"/>
      <c r="Q1880" s="43"/>
      <c r="R1880" s="43"/>
      <c r="S1880" s="43"/>
      <c r="T1880" s="43"/>
      <c r="U1880" s="43"/>
      <c r="V1880" s="43"/>
      <c r="W1880" s="43"/>
      <c r="X1880" s="43"/>
      <c r="Y1880" s="43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</row>
    <row r="1881" spans="1:60" ht="16">
      <c r="A1881" s="41"/>
      <c r="B1881" s="41"/>
      <c r="C1881" s="41"/>
      <c r="D1881" s="42"/>
      <c r="E1881" s="43"/>
      <c r="F1881" s="43"/>
      <c r="G1881" s="43"/>
      <c r="H1881" s="41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</row>
    <row r="1882" spans="1:60" ht="16">
      <c r="A1882" s="41"/>
      <c r="B1882" s="41"/>
      <c r="C1882" s="41"/>
      <c r="D1882" s="42"/>
      <c r="E1882" s="43"/>
      <c r="F1882" s="43"/>
      <c r="G1882" s="43"/>
      <c r="H1882" s="41"/>
      <c r="I1882" s="43"/>
      <c r="J1882" s="43"/>
      <c r="K1882" s="43"/>
      <c r="L1882" s="43"/>
      <c r="M1882" s="43"/>
      <c r="N1882" s="43"/>
      <c r="O1882" s="43"/>
      <c r="P1882" s="43"/>
      <c r="Q1882" s="43"/>
      <c r="R1882" s="43"/>
      <c r="S1882" s="43"/>
      <c r="T1882" s="43"/>
      <c r="U1882" s="43"/>
      <c r="V1882" s="43"/>
      <c r="W1882" s="43"/>
      <c r="X1882" s="43"/>
      <c r="Y1882" s="43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</row>
    <row r="1883" spans="1:60" ht="16">
      <c r="A1883" s="41"/>
      <c r="B1883" s="41"/>
      <c r="C1883" s="41"/>
      <c r="D1883" s="42"/>
      <c r="E1883" s="43"/>
      <c r="F1883" s="43"/>
      <c r="G1883" s="43"/>
      <c r="H1883" s="41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3"/>
      <c r="W1883" s="43"/>
      <c r="X1883" s="43"/>
      <c r="Y1883" s="43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</row>
    <row r="1884" spans="1:60" ht="16">
      <c r="A1884" s="41"/>
      <c r="B1884" s="41"/>
      <c r="C1884" s="41"/>
      <c r="D1884" s="42"/>
      <c r="E1884" s="43"/>
      <c r="F1884" s="43"/>
      <c r="G1884" s="43"/>
      <c r="H1884" s="41"/>
      <c r="I1884" s="43"/>
      <c r="J1884" s="43"/>
      <c r="K1884" s="43"/>
      <c r="L1884" s="43"/>
      <c r="M1884" s="43"/>
      <c r="N1884" s="43"/>
      <c r="O1884" s="43"/>
      <c r="P1884" s="43"/>
      <c r="Q1884" s="43"/>
      <c r="R1884" s="43"/>
      <c r="S1884" s="43"/>
      <c r="T1884" s="43"/>
      <c r="U1884" s="43"/>
      <c r="V1884" s="43"/>
      <c r="W1884" s="43"/>
      <c r="X1884" s="43"/>
      <c r="Y1884" s="43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</row>
    <row r="1885" spans="1:60" ht="16">
      <c r="A1885" s="41"/>
      <c r="B1885" s="41"/>
      <c r="C1885" s="41"/>
      <c r="D1885" s="42"/>
      <c r="E1885" s="43"/>
      <c r="F1885" s="43"/>
      <c r="G1885" s="43"/>
      <c r="H1885" s="41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</row>
    <row r="1886" spans="1:60" ht="16">
      <c r="A1886" s="41"/>
      <c r="B1886" s="41"/>
      <c r="C1886" s="41"/>
      <c r="D1886" s="42"/>
      <c r="E1886" s="43"/>
      <c r="F1886" s="43"/>
      <c r="G1886" s="43"/>
      <c r="H1886" s="41"/>
      <c r="I1886" s="43"/>
      <c r="J1886" s="43"/>
      <c r="K1886" s="43"/>
      <c r="L1886" s="43"/>
      <c r="M1886" s="43"/>
      <c r="N1886" s="43"/>
      <c r="O1886" s="43"/>
      <c r="P1886" s="43"/>
      <c r="Q1886" s="43"/>
      <c r="R1886" s="43"/>
      <c r="S1886" s="43"/>
      <c r="T1886" s="43"/>
      <c r="U1886" s="43"/>
      <c r="V1886" s="43"/>
      <c r="W1886" s="43"/>
      <c r="X1886" s="43"/>
      <c r="Y1886" s="43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</row>
    <row r="1887" spans="1:60" ht="16">
      <c r="A1887" s="41"/>
      <c r="B1887" s="41"/>
      <c r="C1887" s="41"/>
      <c r="D1887" s="42"/>
      <c r="E1887" s="43"/>
      <c r="F1887" s="43"/>
      <c r="G1887" s="43"/>
      <c r="H1887" s="41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</row>
    <row r="1888" spans="1:60" ht="16">
      <c r="A1888" s="41"/>
      <c r="B1888" s="41"/>
      <c r="C1888" s="41"/>
      <c r="D1888" s="42"/>
      <c r="E1888" s="43"/>
      <c r="F1888" s="43"/>
      <c r="G1888" s="43"/>
      <c r="H1888" s="41"/>
      <c r="I1888" s="43"/>
      <c r="J1888" s="43"/>
      <c r="K1888" s="43"/>
      <c r="L1888" s="43"/>
      <c r="M1888" s="43"/>
      <c r="N1888" s="43"/>
      <c r="O1888" s="43"/>
      <c r="P1888" s="43"/>
      <c r="Q1888" s="43"/>
      <c r="R1888" s="43"/>
      <c r="S1888" s="43"/>
      <c r="T1888" s="43"/>
      <c r="U1888" s="43"/>
      <c r="V1888" s="43"/>
      <c r="W1888" s="43"/>
      <c r="X1888" s="43"/>
      <c r="Y1888" s="43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</row>
    <row r="1889" spans="1:60" ht="16">
      <c r="A1889" s="41"/>
      <c r="B1889" s="41"/>
      <c r="C1889" s="41"/>
      <c r="D1889" s="42"/>
      <c r="E1889" s="43"/>
      <c r="F1889" s="43"/>
      <c r="G1889" s="43"/>
      <c r="H1889" s="41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3"/>
      <c r="U1889" s="43"/>
      <c r="V1889" s="43"/>
      <c r="W1889" s="43"/>
      <c r="X1889" s="43"/>
      <c r="Y1889" s="43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</row>
    <row r="1890" spans="1:60" ht="16">
      <c r="A1890" s="41"/>
      <c r="B1890" s="41"/>
      <c r="C1890" s="41"/>
      <c r="D1890" s="42"/>
      <c r="E1890" s="43"/>
      <c r="F1890" s="43"/>
      <c r="G1890" s="43"/>
      <c r="H1890" s="41"/>
      <c r="I1890" s="43"/>
      <c r="J1890" s="43"/>
      <c r="K1890" s="43"/>
      <c r="L1890" s="43"/>
      <c r="M1890" s="43"/>
      <c r="N1890" s="43"/>
      <c r="O1890" s="43"/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</row>
    <row r="1891" spans="1:60" ht="16">
      <c r="A1891" s="41"/>
      <c r="B1891" s="41"/>
      <c r="C1891" s="41"/>
      <c r="D1891" s="42"/>
      <c r="E1891" s="43"/>
      <c r="F1891" s="43"/>
      <c r="G1891" s="43"/>
      <c r="H1891" s="41"/>
      <c r="I1891" s="43"/>
      <c r="J1891" s="43"/>
      <c r="K1891" s="43"/>
      <c r="L1891" s="43"/>
      <c r="M1891" s="43"/>
      <c r="N1891" s="43"/>
      <c r="O1891" s="43"/>
      <c r="P1891" s="43"/>
      <c r="Q1891" s="43"/>
      <c r="R1891" s="43"/>
      <c r="S1891" s="43"/>
      <c r="T1891" s="43"/>
      <c r="U1891" s="43"/>
      <c r="V1891" s="43"/>
      <c r="W1891" s="43"/>
      <c r="X1891" s="43"/>
      <c r="Y1891" s="43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</row>
    <row r="1892" spans="1:60" ht="16">
      <c r="A1892" s="41"/>
      <c r="B1892" s="41"/>
      <c r="C1892" s="41"/>
      <c r="D1892" s="42"/>
      <c r="E1892" s="43"/>
      <c r="F1892" s="43"/>
      <c r="G1892" s="43"/>
      <c r="H1892" s="41"/>
      <c r="I1892" s="43"/>
      <c r="J1892" s="43"/>
      <c r="K1892" s="43"/>
      <c r="L1892" s="43"/>
      <c r="M1892" s="43"/>
      <c r="N1892" s="43"/>
      <c r="O1892" s="43"/>
      <c r="P1892" s="43"/>
      <c r="Q1892" s="43"/>
      <c r="R1892" s="43"/>
      <c r="S1892" s="43"/>
      <c r="T1892" s="43"/>
      <c r="U1892" s="43"/>
      <c r="V1892" s="43"/>
      <c r="W1892" s="43"/>
      <c r="X1892" s="43"/>
      <c r="Y1892" s="43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</row>
    <row r="1893" spans="1:60" ht="16">
      <c r="A1893" s="41"/>
      <c r="B1893" s="41"/>
      <c r="C1893" s="41"/>
      <c r="D1893" s="42"/>
      <c r="E1893" s="43"/>
      <c r="F1893" s="43"/>
      <c r="G1893" s="43"/>
      <c r="H1893" s="41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</row>
    <row r="1894" spans="1:60" ht="16">
      <c r="A1894" s="41"/>
      <c r="B1894" s="41"/>
      <c r="C1894" s="41"/>
      <c r="D1894" s="42"/>
      <c r="E1894" s="43"/>
      <c r="F1894" s="43"/>
      <c r="G1894" s="43"/>
      <c r="H1894" s="41"/>
      <c r="I1894" s="43"/>
      <c r="J1894" s="43"/>
      <c r="K1894" s="43"/>
      <c r="L1894" s="43"/>
      <c r="M1894" s="43"/>
      <c r="N1894" s="43"/>
      <c r="O1894" s="43"/>
      <c r="P1894" s="43"/>
      <c r="Q1894" s="43"/>
      <c r="R1894" s="43"/>
      <c r="S1894" s="43"/>
      <c r="T1894" s="43"/>
      <c r="U1894" s="43"/>
      <c r="V1894" s="43"/>
      <c r="W1894" s="43"/>
      <c r="X1894" s="43"/>
      <c r="Y1894" s="43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</row>
    <row r="1895" spans="1:60" ht="16">
      <c r="A1895" s="41"/>
      <c r="B1895" s="41"/>
      <c r="C1895" s="41"/>
      <c r="D1895" s="42"/>
      <c r="E1895" s="43"/>
      <c r="F1895" s="43"/>
      <c r="G1895" s="43"/>
      <c r="H1895" s="41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</row>
    <row r="1896" spans="1:60" ht="16">
      <c r="A1896" s="41"/>
      <c r="B1896" s="41"/>
      <c r="C1896" s="41"/>
      <c r="D1896" s="42"/>
      <c r="E1896" s="43"/>
      <c r="F1896" s="43"/>
      <c r="G1896" s="43"/>
      <c r="H1896" s="41"/>
      <c r="I1896" s="43"/>
      <c r="J1896" s="43"/>
      <c r="K1896" s="43"/>
      <c r="L1896" s="43"/>
      <c r="M1896" s="43"/>
      <c r="N1896" s="43"/>
      <c r="O1896" s="43"/>
      <c r="P1896" s="43"/>
      <c r="Q1896" s="43"/>
      <c r="R1896" s="43"/>
      <c r="S1896" s="43"/>
      <c r="T1896" s="43"/>
      <c r="U1896" s="43"/>
      <c r="V1896" s="43"/>
      <c r="W1896" s="43"/>
      <c r="X1896" s="43"/>
      <c r="Y1896" s="43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</row>
    <row r="1897" spans="1:60" ht="16">
      <c r="A1897" s="41"/>
      <c r="B1897" s="41"/>
      <c r="C1897" s="41"/>
      <c r="D1897" s="42"/>
      <c r="E1897" s="43"/>
      <c r="F1897" s="43"/>
      <c r="G1897" s="43"/>
      <c r="H1897" s="41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</row>
    <row r="1898" spans="1:60" ht="16">
      <c r="A1898" s="41"/>
      <c r="B1898" s="41"/>
      <c r="C1898" s="41"/>
      <c r="D1898" s="42"/>
      <c r="E1898" s="43"/>
      <c r="F1898" s="43"/>
      <c r="G1898" s="43"/>
      <c r="H1898" s="41"/>
      <c r="I1898" s="43"/>
      <c r="J1898" s="43"/>
      <c r="K1898" s="43"/>
      <c r="L1898" s="43"/>
      <c r="M1898" s="43"/>
      <c r="N1898" s="43"/>
      <c r="O1898" s="43"/>
      <c r="P1898" s="43"/>
      <c r="Q1898" s="43"/>
      <c r="R1898" s="43"/>
      <c r="S1898" s="43"/>
      <c r="T1898" s="43"/>
      <c r="U1898" s="43"/>
      <c r="V1898" s="43"/>
      <c r="W1898" s="43"/>
      <c r="X1898" s="43"/>
      <c r="Y1898" s="43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</row>
    <row r="1899" spans="1:60" ht="16">
      <c r="A1899" s="41"/>
      <c r="B1899" s="41"/>
      <c r="C1899" s="41"/>
      <c r="D1899" s="42"/>
      <c r="E1899" s="43"/>
      <c r="F1899" s="43"/>
      <c r="G1899" s="43"/>
      <c r="H1899" s="41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</row>
    <row r="1900" spans="1:60" ht="16">
      <c r="A1900" s="41"/>
      <c r="B1900" s="41"/>
      <c r="C1900" s="41"/>
      <c r="D1900" s="42"/>
      <c r="E1900" s="43"/>
      <c r="F1900" s="43"/>
      <c r="G1900" s="43"/>
      <c r="H1900" s="41"/>
      <c r="I1900" s="43"/>
      <c r="J1900" s="43"/>
      <c r="K1900" s="43"/>
      <c r="L1900" s="43"/>
      <c r="M1900" s="43"/>
      <c r="N1900" s="43"/>
      <c r="O1900" s="43"/>
      <c r="P1900" s="43"/>
      <c r="Q1900" s="43"/>
      <c r="R1900" s="43"/>
      <c r="S1900" s="43"/>
      <c r="T1900" s="43"/>
      <c r="U1900" s="43"/>
      <c r="V1900" s="43"/>
      <c r="W1900" s="43"/>
      <c r="X1900" s="43"/>
      <c r="Y1900" s="43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</row>
    <row r="1901" spans="1:60" ht="16">
      <c r="A1901" s="41"/>
      <c r="B1901" s="41"/>
      <c r="C1901" s="41"/>
      <c r="D1901" s="42"/>
      <c r="E1901" s="43"/>
      <c r="F1901" s="43"/>
      <c r="G1901" s="43"/>
      <c r="H1901" s="41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3"/>
      <c r="U1901" s="43"/>
      <c r="V1901" s="43"/>
      <c r="W1901" s="43"/>
      <c r="X1901" s="43"/>
      <c r="Y1901" s="43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</row>
    <row r="1902" spans="1:60" ht="16">
      <c r="A1902" s="41"/>
      <c r="B1902" s="41"/>
      <c r="C1902" s="41"/>
      <c r="D1902" s="42"/>
      <c r="E1902" s="43"/>
      <c r="F1902" s="43"/>
      <c r="G1902" s="43"/>
      <c r="H1902" s="41"/>
      <c r="I1902" s="43"/>
      <c r="J1902" s="43"/>
      <c r="K1902" s="43"/>
      <c r="L1902" s="43"/>
      <c r="M1902" s="43"/>
      <c r="N1902" s="43"/>
      <c r="O1902" s="43"/>
      <c r="P1902" s="43"/>
      <c r="Q1902" s="43"/>
      <c r="R1902" s="43"/>
      <c r="S1902" s="43"/>
      <c r="T1902" s="43"/>
      <c r="U1902" s="43"/>
      <c r="V1902" s="43"/>
      <c r="W1902" s="43"/>
      <c r="X1902" s="43"/>
      <c r="Y1902" s="43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</row>
    <row r="1903" spans="1:60" ht="16">
      <c r="A1903" s="41"/>
      <c r="B1903" s="41"/>
      <c r="C1903" s="41"/>
      <c r="D1903" s="42"/>
      <c r="E1903" s="43"/>
      <c r="F1903" s="43"/>
      <c r="G1903" s="43"/>
      <c r="H1903" s="41"/>
      <c r="I1903" s="43"/>
      <c r="J1903" s="43"/>
      <c r="K1903" s="43"/>
      <c r="L1903" s="43"/>
      <c r="M1903" s="43"/>
      <c r="N1903" s="43"/>
      <c r="O1903" s="43"/>
      <c r="P1903" s="43"/>
      <c r="Q1903" s="43"/>
      <c r="R1903" s="43"/>
      <c r="S1903" s="43"/>
      <c r="T1903" s="43"/>
      <c r="U1903" s="43"/>
      <c r="V1903" s="43"/>
      <c r="W1903" s="43"/>
      <c r="X1903" s="43"/>
      <c r="Y1903" s="43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</row>
    <row r="1904" spans="1:60" ht="16">
      <c r="A1904" s="41"/>
      <c r="B1904" s="41"/>
      <c r="C1904" s="41"/>
      <c r="D1904" s="42"/>
      <c r="E1904" s="43"/>
      <c r="F1904" s="43"/>
      <c r="G1904" s="43"/>
      <c r="H1904" s="41"/>
      <c r="I1904" s="43"/>
      <c r="J1904" s="43"/>
      <c r="K1904" s="43"/>
      <c r="L1904" s="43"/>
      <c r="M1904" s="43"/>
      <c r="N1904" s="43"/>
      <c r="O1904" s="43"/>
      <c r="P1904" s="43"/>
      <c r="Q1904" s="43"/>
      <c r="R1904" s="43"/>
      <c r="S1904" s="43"/>
      <c r="T1904" s="43"/>
      <c r="U1904" s="43"/>
      <c r="V1904" s="43"/>
      <c r="W1904" s="43"/>
      <c r="X1904" s="43"/>
      <c r="Y1904" s="43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</row>
    <row r="1905" spans="1:60" ht="16">
      <c r="A1905" s="41"/>
      <c r="B1905" s="41"/>
      <c r="C1905" s="41"/>
      <c r="D1905" s="42"/>
      <c r="E1905" s="43"/>
      <c r="F1905" s="43"/>
      <c r="G1905" s="43"/>
      <c r="H1905" s="41"/>
      <c r="I1905" s="43"/>
      <c r="J1905" s="43"/>
      <c r="K1905" s="43"/>
      <c r="L1905" s="43"/>
      <c r="M1905" s="43"/>
      <c r="N1905" s="43"/>
      <c r="O1905" s="43"/>
      <c r="P1905" s="43"/>
      <c r="Q1905" s="43"/>
      <c r="R1905" s="43"/>
      <c r="S1905" s="43"/>
      <c r="T1905" s="43"/>
      <c r="U1905" s="43"/>
      <c r="V1905" s="43"/>
      <c r="W1905" s="43"/>
      <c r="X1905" s="43"/>
      <c r="Y1905" s="43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</row>
    <row r="1906" spans="1:60" ht="16">
      <c r="A1906" s="41"/>
      <c r="B1906" s="41"/>
      <c r="C1906" s="41"/>
      <c r="D1906" s="42"/>
      <c r="E1906" s="43"/>
      <c r="F1906" s="43"/>
      <c r="G1906" s="43"/>
      <c r="H1906" s="41"/>
      <c r="I1906" s="43"/>
      <c r="J1906" s="43"/>
      <c r="K1906" s="43"/>
      <c r="L1906" s="43"/>
      <c r="M1906" s="43"/>
      <c r="N1906" s="43"/>
      <c r="O1906" s="43"/>
      <c r="P1906" s="43"/>
      <c r="Q1906" s="43"/>
      <c r="R1906" s="43"/>
      <c r="S1906" s="43"/>
      <c r="T1906" s="43"/>
      <c r="U1906" s="43"/>
      <c r="V1906" s="43"/>
      <c r="W1906" s="43"/>
      <c r="X1906" s="43"/>
      <c r="Y1906" s="43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</row>
    <row r="1907" spans="1:60" ht="16">
      <c r="A1907" s="41"/>
      <c r="B1907" s="41"/>
      <c r="C1907" s="41"/>
      <c r="D1907" s="42"/>
      <c r="E1907" s="43"/>
      <c r="F1907" s="43"/>
      <c r="G1907" s="43"/>
      <c r="H1907" s="41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3"/>
      <c r="U1907" s="43"/>
      <c r="V1907" s="43"/>
      <c r="W1907" s="43"/>
      <c r="X1907" s="43"/>
      <c r="Y1907" s="43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</row>
    <row r="1908" spans="1:60" ht="16">
      <c r="A1908" s="41"/>
      <c r="B1908" s="41"/>
      <c r="C1908" s="41"/>
      <c r="D1908" s="42"/>
      <c r="E1908" s="43"/>
      <c r="F1908" s="43"/>
      <c r="G1908" s="43"/>
      <c r="H1908" s="41"/>
      <c r="I1908" s="43"/>
      <c r="J1908" s="43"/>
      <c r="K1908" s="43"/>
      <c r="L1908" s="43"/>
      <c r="M1908" s="43"/>
      <c r="N1908" s="43"/>
      <c r="O1908" s="43"/>
      <c r="P1908" s="43"/>
      <c r="Q1908" s="43"/>
      <c r="R1908" s="43"/>
      <c r="S1908" s="43"/>
      <c r="T1908" s="43"/>
      <c r="U1908" s="43"/>
      <c r="V1908" s="43"/>
      <c r="W1908" s="43"/>
      <c r="X1908" s="43"/>
      <c r="Y1908" s="43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</row>
    <row r="1909" spans="1:60" ht="16">
      <c r="A1909" s="41"/>
      <c r="B1909" s="41"/>
      <c r="C1909" s="41"/>
      <c r="D1909" s="42"/>
      <c r="E1909" s="43"/>
      <c r="F1909" s="43"/>
      <c r="G1909" s="43"/>
      <c r="H1909" s="41"/>
      <c r="I1909" s="43"/>
      <c r="J1909" s="43"/>
      <c r="K1909" s="43"/>
      <c r="L1909" s="43"/>
      <c r="M1909" s="43"/>
      <c r="N1909" s="43"/>
      <c r="O1909" s="43"/>
      <c r="P1909" s="43"/>
      <c r="Q1909" s="43"/>
      <c r="R1909" s="43"/>
      <c r="S1909" s="43"/>
      <c r="T1909" s="43"/>
      <c r="U1909" s="43"/>
      <c r="V1909" s="43"/>
      <c r="W1909" s="43"/>
      <c r="X1909" s="43"/>
      <c r="Y1909" s="43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</row>
    <row r="1910" spans="1:60" ht="16">
      <c r="A1910" s="41"/>
      <c r="B1910" s="41"/>
      <c r="C1910" s="41"/>
      <c r="D1910" s="42"/>
      <c r="E1910" s="43"/>
      <c r="F1910" s="43"/>
      <c r="G1910" s="43"/>
      <c r="H1910" s="41"/>
      <c r="I1910" s="43"/>
      <c r="J1910" s="43"/>
      <c r="K1910" s="43"/>
      <c r="L1910" s="43"/>
      <c r="M1910" s="43"/>
      <c r="N1910" s="43"/>
      <c r="O1910" s="43"/>
      <c r="P1910" s="43"/>
      <c r="Q1910" s="43"/>
      <c r="R1910" s="43"/>
      <c r="S1910" s="43"/>
      <c r="T1910" s="43"/>
      <c r="U1910" s="43"/>
      <c r="V1910" s="43"/>
      <c r="W1910" s="43"/>
      <c r="X1910" s="43"/>
      <c r="Y1910" s="43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</row>
    <row r="1911" spans="1:60" ht="16">
      <c r="A1911" s="41"/>
      <c r="B1911" s="41"/>
      <c r="C1911" s="41"/>
      <c r="D1911" s="42"/>
      <c r="E1911" s="43"/>
      <c r="F1911" s="43"/>
      <c r="G1911" s="43"/>
      <c r="H1911" s="41"/>
      <c r="I1911" s="43"/>
      <c r="J1911" s="43"/>
      <c r="K1911" s="43"/>
      <c r="L1911" s="43"/>
      <c r="M1911" s="43"/>
      <c r="N1911" s="43"/>
      <c r="O1911" s="43"/>
      <c r="P1911" s="43"/>
      <c r="Q1911" s="43"/>
      <c r="R1911" s="43"/>
      <c r="S1911" s="43"/>
      <c r="T1911" s="43"/>
      <c r="U1911" s="43"/>
      <c r="V1911" s="43"/>
      <c r="W1911" s="43"/>
      <c r="X1911" s="43"/>
      <c r="Y1911" s="43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</row>
    <row r="1912" spans="1:60" ht="16">
      <c r="A1912" s="41"/>
      <c r="B1912" s="41"/>
      <c r="C1912" s="41"/>
      <c r="D1912" s="42"/>
      <c r="E1912" s="43"/>
      <c r="F1912" s="43"/>
      <c r="G1912" s="43"/>
      <c r="H1912" s="41"/>
      <c r="I1912" s="43"/>
      <c r="J1912" s="43"/>
      <c r="K1912" s="43"/>
      <c r="L1912" s="43"/>
      <c r="M1912" s="43"/>
      <c r="N1912" s="43"/>
      <c r="O1912" s="43"/>
      <c r="P1912" s="43"/>
      <c r="Q1912" s="43"/>
      <c r="R1912" s="43"/>
      <c r="S1912" s="43"/>
      <c r="T1912" s="43"/>
      <c r="U1912" s="43"/>
      <c r="V1912" s="43"/>
      <c r="W1912" s="43"/>
      <c r="X1912" s="43"/>
      <c r="Y1912" s="43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</row>
    <row r="1913" spans="1:60" ht="16">
      <c r="A1913" s="41"/>
      <c r="B1913" s="41"/>
      <c r="C1913" s="41"/>
      <c r="D1913" s="42"/>
      <c r="E1913" s="43"/>
      <c r="F1913" s="43"/>
      <c r="G1913" s="43"/>
      <c r="H1913" s="41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3"/>
      <c r="U1913" s="43"/>
      <c r="V1913" s="43"/>
      <c r="W1913" s="43"/>
      <c r="X1913" s="43"/>
      <c r="Y1913" s="43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</row>
    <row r="1914" spans="1:60" ht="16">
      <c r="A1914" s="41"/>
      <c r="B1914" s="41"/>
      <c r="C1914" s="41"/>
      <c r="D1914" s="42"/>
      <c r="E1914" s="43"/>
      <c r="F1914" s="43"/>
      <c r="G1914" s="43"/>
      <c r="H1914" s="41"/>
      <c r="I1914" s="43"/>
      <c r="J1914" s="43"/>
      <c r="K1914" s="43"/>
      <c r="L1914" s="43"/>
      <c r="M1914" s="43"/>
      <c r="N1914" s="43"/>
      <c r="O1914" s="43"/>
      <c r="P1914" s="43"/>
      <c r="Q1914" s="43"/>
      <c r="R1914" s="43"/>
      <c r="S1914" s="43"/>
      <c r="T1914" s="43"/>
      <c r="U1914" s="43"/>
      <c r="V1914" s="43"/>
      <c r="W1914" s="43"/>
      <c r="X1914" s="43"/>
      <c r="Y1914" s="43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</row>
    <row r="1915" spans="1:60" ht="16">
      <c r="A1915" s="41"/>
      <c r="B1915" s="41"/>
      <c r="C1915" s="41"/>
      <c r="D1915" s="42"/>
      <c r="E1915" s="43"/>
      <c r="F1915" s="43"/>
      <c r="G1915" s="43"/>
      <c r="H1915" s="41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</row>
    <row r="1916" spans="1:60" ht="16">
      <c r="A1916" s="41"/>
      <c r="B1916" s="41"/>
      <c r="C1916" s="41"/>
      <c r="D1916" s="42"/>
      <c r="E1916" s="43"/>
      <c r="F1916" s="43"/>
      <c r="G1916" s="43"/>
      <c r="H1916" s="41"/>
      <c r="I1916" s="43"/>
      <c r="J1916" s="43"/>
      <c r="K1916" s="43"/>
      <c r="L1916" s="43"/>
      <c r="M1916" s="43"/>
      <c r="N1916" s="43"/>
      <c r="O1916" s="43"/>
      <c r="P1916" s="43"/>
      <c r="Q1916" s="43"/>
      <c r="R1916" s="43"/>
      <c r="S1916" s="43"/>
      <c r="T1916" s="43"/>
      <c r="U1916" s="43"/>
      <c r="V1916" s="43"/>
      <c r="W1916" s="43"/>
      <c r="X1916" s="43"/>
      <c r="Y1916" s="43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</row>
    <row r="1917" spans="1:60" ht="16">
      <c r="A1917" s="41"/>
      <c r="B1917" s="41"/>
      <c r="C1917" s="41"/>
      <c r="D1917" s="42"/>
      <c r="E1917" s="43"/>
      <c r="F1917" s="43"/>
      <c r="G1917" s="43"/>
      <c r="H1917" s="41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3"/>
      <c r="U1917" s="43"/>
      <c r="V1917" s="43"/>
      <c r="W1917" s="43"/>
      <c r="X1917" s="43"/>
      <c r="Y1917" s="43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</row>
    <row r="1918" spans="1:60" ht="16">
      <c r="A1918" s="41"/>
      <c r="B1918" s="41"/>
      <c r="C1918" s="41"/>
      <c r="D1918" s="42"/>
      <c r="E1918" s="43"/>
      <c r="F1918" s="43"/>
      <c r="G1918" s="43"/>
      <c r="H1918" s="41"/>
      <c r="I1918" s="43"/>
      <c r="J1918" s="43"/>
      <c r="K1918" s="43"/>
      <c r="L1918" s="43"/>
      <c r="M1918" s="43"/>
      <c r="N1918" s="43"/>
      <c r="O1918" s="43"/>
      <c r="P1918" s="43"/>
      <c r="Q1918" s="43"/>
      <c r="R1918" s="43"/>
      <c r="S1918" s="43"/>
      <c r="T1918" s="43"/>
      <c r="U1918" s="43"/>
      <c r="V1918" s="43"/>
      <c r="W1918" s="43"/>
      <c r="X1918" s="43"/>
      <c r="Y1918" s="43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</row>
    <row r="1919" spans="1:60" ht="16">
      <c r="A1919" s="41"/>
      <c r="B1919" s="41"/>
      <c r="C1919" s="41"/>
      <c r="D1919" s="42"/>
      <c r="E1919" s="43"/>
      <c r="F1919" s="43"/>
      <c r="G1919" s="43"/>
      <c r="H1919" s="41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3"/>
      <c r="U1919" s="43"/>
      <c r="V1919" s="43"/>
      <c r="W1919" s="43"/>
      <c r="X1919" s="43"/>
      <c r="Y1919" s="43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</row>
    <row r="1920" spans="1:60" ht="16">
      <c r="A1920" s="41"/>
      <c r="B1920" s="41"/>
      <c r="C1920" s="41"/>
      <c r="D1920" s="42"/>
      <c r="E1920" s="43"/>
      <c r="F1920" s="43"/>
      <c r="G1920" s="43"/>
      <c r="H1920" s="41"/>
      <c r="I1920" s="43"/>
      <c r="J1920" s="43"/>
      <c r="K1920" s="43"/>
      <c r="L1920" s="43"/>
      <c r="M1920" s="43"/>
      <c r="N1920" s="43"/>
      <c r="O1920" s="43"/>
      <c r="P1920" s="43"/>
      <c r="Q1920" s="43"/>
      <c r="R1920" s="43"/>
      <c r="S1920" s="43"/>
      <c r="T1920" s="43"/>
      <c r="U1920" s="43"/>
      <c r="V1920" s="43"/>
      <c r="W1920" s="43"/>
      <c r="X1920" s="43"/>
      <c r="Y1920" s="43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</row>
    <row r="1921" spans="1:60" ht="16">
      <c r="A1921" s="41"/>
      <c r="B1921" s="41"/>
      <c r="C1921" s="41"/>
      <c r="D1921" s="42"/>
      <c r="E1921" s="43"/>
      <c r="F1921" s="43"/>
      <c r="G1921" s="43"/>
      <c r="H1921" s="41"/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3"/>
      <c r="U1921" s="43"/>
      <c r="V1921" s="43"/>
      <c r="W1921" s="43"/>
      <c r="X1921" s="43"/>
      <c r="Y1921" s="43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</row>
    <row r="1922" spans="1:60" ht="16">
      <c r="A1922" s="41"/>
      <c r="B1922" s="41"/>
      <c r="C1922" s="41"/>
      <c r="D1922" s="42"/>
      <c r="E1922" s="43"/>
      <c r="F1922" s="43"/>
      <c r="G1922" s="43"/>
      <c r="H1922" s="41"/>
      <c r="I1922" s="43"/>
      <c r="J1922" s="43"/>
      <c r="K1922" s="43"/>
      <c r="L1922" s="43"/>
      <c r="M1922" s="43"/>
      <c r="N1922" s="43"/>
      <c r="O1922" s="43"/>
      <c r="P1922" s="43"/>
      <c r="Q1922" s="43"/>
      <c r="R1922" s="43"/>
      <c r="S1922" s="43"/>
      <c r="T1922" s="43"/>
      <c r="U1922" s="43"/>
      <c r="V1922" s="43"/>
      <c r="W1922" s="43"/>
      <c r="X1922" s="43"/>
      <c r="Y1922" s="43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</row>
    <row r="1923" spans="1:60" ht="16">
      <c r="A1923" s="41"/>
      <c r="B1923" s="41"/>
      <c r="C1923" s="41"/>
      <c r="D1923" s="42"/>
      <c r="E1923" s="43"/>
      <c r="F1923" s="43"/>
      <c r="G1923" s="43"/>
      <c r="H1923" s="41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</row>
    <row r="1924" spans="1:60" ht="16">
      <c r="A1924" s="41"/>
      <c r="B1924" s="41"/>
      <c r="C1924" s="41"/>
      <c r="D1924" s="42"/>
      <c r="E1924" s="43"/>
      <c r="F1924" s="43"/>
      <c r="G1924" s="43"/>
      <c r="H1924" s="41"/>
      <c r="I1924" s="43"/>
      <c r="J1924" s="43"/>
      <c r="K1924" s="43"/>
      <c r="L1924" s="43"/>
      <c r="M1924" s="43"/>
      <c r="N1924" s="43"/>
      <c r="O1924" s="43"/>
      <c r="P1924" s="43"/>
      <c r="Q1924" s="43"/>
      <c r="R1924" s="43"/>
      <c r="S1924" s="43"/>
      <c r="T1924" s="43"/>
      <c r="U1924" s="43"/>
      <c r="V1924" s="43"/>
      <c r="W1924" s="43"/>
      <c r="X1924" s="43"/>
      <c r="Y1924" s="43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</row>
    <row r="1925" spans="1:60" ht="16">
      <c r="A1925" s="41"/>
      <c r="B1925" s="41"/>
      <c r="C1925" s="41"/>
      <c r="D1925" s="42"/>
      <c r="E1925" s="43"/>
      <c r="F1925" s="43"/>
      <c r="G1925" s="43"/>
      <c r="H1925" s="41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</row>
    <row r="1926" spans="1:60" ht="16">
      <c r="A1926" s="41"/>
      <c r="B1926" s="41"/>
      <c r="C1926" s="41"/>
      <c r="D1926" s="42"/>
      <c r="E1926" s="43"/>
      <c r="F1926" s="43"/>
      <c r="G1926" s="43"/>
      <c r="H1926" s="41"/>
      <c r="I1926" s="43"/>
      <c r="J1926" s="43"/>
      <c r="K1926" s="43"/>
      <c r="L1926" s="43"/>
      <c r="M1926" s="43"/>
      <c r="N1926" s="43"/>
      <c r="O1926" s="43"/>
      <c r="P1926" s="43"/>
      <c r="Q1926" s="43"/>
      <c r="R1926" s="43"/>
      <c r="S1926" s="43"/>
      <c r="T1926" s="43"/>
      <c r="U1926" s="43"/>
      <c r="V1926" s="43"/>
      <c r="W1926" s="43"/>
      <c r="X1926" s="43"/>
      <c r="Y1926" s="43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</row>
    <row r="1927" spans="1:60" ht="16">
      <c r="A1927" s="41"/>
      <c r="B1927" s="41"/>
      <c r="C1927" s="41"/>
      <c r="D1927" s="42"/>
      <c r="E1927" s="43"/>
      <c r="F1927" s="43"/>
      <c r="G1927" s="43"/>
      <c r="H1927" s="41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</row>
    <row r="1928" spans="1:60" ht="16">
      <c r="A1928" s="41"/>
      <c r="B1928" s="41"/>
      <c r="C1928" s="41"/>
      <c r="D1928" s="42"/>
      <c r="E1928" s="43"/>
      <c r="F1928" s="43"/>
      <c r="G1928" s="43"/>
      <c r="H1928" s="41"/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</row>
    <row r="1929" spans="1:60" ht="16">
      <c r="A1929" s="41"/>
      <c r="B1929" s="41"/>
      <c r="C1929" s="41"/>
      <c r="D1929" s="42"/>
      <c r="E1929" s="43"/>
      <c r="F1929" s="43"/>
      <c r="G1929" s="43"/>
      <c r="H1929" s="41"/>
      <c r="I1929" s="43"/>
      <c r="J1929" s="43"/>
      <c r="K1929" s="43"/>
      <c r="L1929" s="43"/>
      <c r="M1929" s="43"/>
      <c r="N1929" s="43"/>
      <c r="O1929" s="43"/>
      <c r="P1929" s="43"/>
      <c r="Q1929" s="43"/>
      <c r="R1929" s="43"/>
      <c r="S1929" s="43"/>
      <c r="T1929" s="43"/>
      <c r="U1929" s="43"/>
      <c r="V1929" s="43"/>
      <c r="W1929" s="43"/>
      <c r="X1929" s="43"/>
      <c r="Y1929" s="43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</row>
    <row r="1930" spans="1:60" ht="16">
      <c r="A1930" s="41"/>
      <c r="B1930" s="41"/>
      <c r="C1930" s="41"/>
      <c r="D1930" s="42"/>
      <c r="E1930" s="43"/>
      <c r="F1930" s="43"/>
      <c r="G1930" s="43"/>
      <c r="H1930" s="41"/>
      <c r="I1930" s="43"/>
      <c r="J1930" s="43"/>
      <c r="K1930" s="43"/>
      <c r="L1930" s="43"/>
      <c r="M1930" s="43"/>
      <c r="N1930" s="43"/>
      <c r="O1930" s="43"/>
      <c r="P1930" s="43"/>
      <c r="Q1930" s="43"/>
      <c r="R1930" s="43"/>
      <c r="S1930" s="43"/>
      <c r="T1930" s="43"/>
      <c r="U1930" s="43"/>
      <c r="V1930" s="43"/>
      <c r="W1930" s="43"/>
      <c r="X1930" s="43"/>
      <c r="Y1930" s="43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</row>
    <row r="1931" spans="1:60" ht="16">
      <c r="A1931" s="41"/>
      <c r="B1931" s="41"/>
      <c r="C1931" s="41"/>
      <c r="D1931" s="42"/>
      <c r="E1931" s="43"/>
      <c r="F1931" s="43"/>
      <c r="G1931" s="43"/>
      <c r="H1931" s="41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3"/>
      <c r="U1931" s="43"/>
      <c r="V1931" s="43"/>
      <c r="W1931" s="43"/>
      <c r="X1931" s="43"/>
      <c r="Y1931" s="43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</row>
    <row r="1932" spans="1:60" ht="16">
      <c r="A1932" s="41"/>
      <c r="B1932" s="41"/>
      <c r="C1932" s="41"/>
      <c r="D1932" s="42"/>
      <c r="E1932" s="43"/>
      <c r="F1932" s="43"/>
      <c r="G1932" s="43"/>
      <c r="H1932" s="41"/>
      <c r="I1932" s="43"/>
      <c r="J1932" s="43"/>
      <c r="K1932" s="43"/>
      <c r="L1932" s="43"/>
      <c r="M1932" s="43"/>
      <c r="N1932" s="43"/>
      <c r="O1932" s="43"/>
      <c r="P1932" s="43"/>
      <c r="Q1932" s="43"/>
      <c r="R1932" s="43"/>
      <c r="S1932" s="43"/>
      <c r="T1932" s="43"/>
      <c r="U1932" s="43"/>
      <c r="V1932" s="43"/>
      <c r="W1932" s="43"/>
      <c r="X1932" s="43"/>
      <c r="Y1932" s="43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</row>
    <row r="1933" spans="1:60" ht="16">
      <c r="A1933" s="41"/>
      <c r="B1933" s="41"/>
      <c r="C1933" s="41"/>
      <c r="D1933" s="42"/>
      <c r="E1933" s="43"/>
      <c r="F1933" s="43"/>
      <c r="G1933" s="43"/>
      <c r="H1933" s="41"/>
      <c r="I1933" s="43"/>
      <c r="J1933" s="43"/>
      <c r="K1933" s="43"/>
      <c r="L1933" s="43"/>
      <c r="M1933" s="43"/>
      <c r="N1933" s="43"/>
      <c r="O1933" s="43"/>
      <c r="P1933" s="43"/>
      <c r="Q1933" s="43"/>
      <c r="R1933" s="43"/>
      <c r="S1933" s="43"/>
      <c r="T1933" s="43"/>
      <c r="U1933" s="43"/>
      <c r="V1933" s="43"/>
      <c r="W1933" s="43"/>
      <c r="X1933" s="43"/>
      <c r="Y1933" s="43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</row>
    <row r="1934" spans="1:60" ht="16">
      <c r="A1934" s="41"/>
      <c r="B1934" s="41"/>
      <c r="C1934" s="41"/>
      <c r="D1934" s="42"/>
      <c r="E1934" s="43"/>
      <c r="F1934" s="43"/>
      <c r="G1934" s="43"/>
      <c r="H1934" s="41"/>
      <c r="I1934" s="43"/>
      <c r="J1934" s="43"/>
      <c r="K1934" s="43"/>
      <c r="L1934" s="43"/>
      <c r="M1934" s="43"/>
      <c r="N1934" s="43"/>
      <c r="O1934" s="43"/>
      <c r="P1934" s="43"/>
      <c r="Q1934" s="43"/>
      <c r="R1934" s="43"/>
      <c r="S1934" s="43"/>
      <c r="T1934" s="43"/>
      <c r="U1934" s="43"/>
      <c r="V1934" s="43"/>
      <c r="W1934" s="43"/>
      <c r="X1934" s="43"/>
      <c r="Y1934" s="43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</row>
    <row r="1935" spans="1:60" ht="16">
      <c r="A1935" s="41"/>
      <c r="B1935" s="41"/>
      <c r="C1935" s="41"/>
      <c r="D1935" s="42"/>
      <c r="E1935" s="43"/>
      <c r="F1935" s="43"/>
      <c r="G1935" s="43"/>
      <c r="H1935" s="41"/>
      <c r="I1935" s="43"/>
      <c r="J1935" s="43"/>
      <c r="K1935" s="43"/>
      <c r="L1935" s="43"/>
      <c r="M1935" s="43"/>
      <c r="N1935" s="43"/>
      <c r="O1935" s="43"/>
      <c r="P1935" s="43"/>
      <c r="Q1935" s="43"/>
      <c r="R1935" s="43"/>
      <c r="S1935" s="43"/>
      <c r="T1935" s="43"/>
      <c r="U1935" s="43"/>
      <c r="V1935" s="43"/>
      <c r="W1935" s="43"/>
      <c r="X1935" s="43"/>
      <c r="Y1935" s="43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</row>
    <row r="1936" spans="1:60" ht="16">
      <c r="A1936" s="41"/>
      <c r="B1936" s="41"/>
      <c r="C1936" s="41"/>
      <c r="D1936" s="42"/>
      <c r="E1936" s="43"/>
      <c r="F1936" s="43"/>
      <c r="G1936" s="43"/>
      <c r="H1936" s="41"/>
      <c r="I1936" s="43"/>
      <c r="J1936" s="43"/>
      <c r="K1936" s="43"/>
      <c r="L1936" s="43"/>
      <c r="M1936" s="43"/>
      <c r="N1936" s="43"/>
      <c r="O1936" s="43"/>
      <c r="P1936" s="43"/>
      <c r="Q1936" s="43"/>
      <c r="R1936" s="43"/>
      <c r="S1936" s="43"/>
      <c r="T1936" s="43"/>
      <c r="U1936" s="43"/>
      <c r="V1936" s="43"/>
      <c r="W1936" s="43"/>
      <c r="X1936" s="43"/>
      <c r="Y1936" s="43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</row>
    <row r="1937" spans="1:60" ht="16">
      <c r="A1937" s="41"/>
      <c r="B1937" s="41"/>
      <c r="C1937" s="41"/>
      <c r="D1937" s="42"/>
      <c r="E1937" s="43"/>
      <c r="F1937" s="43"/>
      <c r="G1937" s="43"/>
      <c r="H1937" s="41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3"/>
      <c r="U1937" s="43"/>
      <c r="V1937" s="43"/>
      <c r="W1937" s="43"/>
      <c r="X1937" s="43"/>
      <c r="Y1937" s="43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</row>
    <row r="1938" spans="1:60" ht="16">
      <c r="A1938" s="41"/>
      <c r="B1938" s="41"/>
      <c r="C1938" s="41"/>
      <c r="D1938" s="42"/>
      <c r="E1938" s="43"/>
      <c r="F1938" s="43"/>
      <c r="G1938" s="43"/>
      <c r="H1938" s="41"/>
      <c r="I1938" s="43"/>
      <c r="J1938" s="43"/>
      <c r="K1938" s="43"/>
      <c r="L1938" s="43"/>
      <c r="M1938" s="43"/>
      <c r="N1938" s="43"/>
      <c r="O1938" s="43"/>
      <c r="P1938" s="43"/>
      <c r="Q1938" s="43"/>
      <c r="R1938" s="43"/>
      <c r="S1938" s="43"/>
      <c r="T1938" s="43"/>
      <c r="U1938" s="43"/>
      <c r="V1938" s="43"/>
      <c r="W1938" s="43"/>
      <c r="X1938" s="43"/>
      <c r="Y1938" s="43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</row>
    <row r="1939" spans="1:60" ht="16">
      <c r="A1939" s="41"/>
      <c r="B1939" s="41"/>
      <c r="C1939" s="41"/>
      <c r="D1939" s="42"/>
      <c r="E1939" s="43"/>
      <c r="F1939" s="43"/>
      <c r="G1939" s="43"/>
      <c r="H1939" s="41"/>
      <c r="I1939" s="43"/>
      <c r="J1939" s="43"/>
      <c r="K1939" s="43"/>
      <c r="L1939" s="43"/>
      <c r="M1939" s="43"/>
      <c r="N1939" s="43"/>
      <c r="O1939" s="43"/>
      <c r="P1939" s="43"/>
      <c r="Q1939" s="43"/>
      <c r="R1939" s="43"/>
      <c r="S1939" s="43"/>
      <c r="T1939" s="43"/>
      <c r="U1939" s="43"/>
      <c r="V1939" s="43"/>
      <c r="W1939" s="43"/>
      <c r="X1939" s="43"/>
      <c r="Y1939" s="43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</row>
    <row r="1940" spans="1:60" ht="16">
      <c r="A1940" s="41"/>
      <c r="B1940" s="41"/>
      <c r="C1940" s="41"/>
      <c r="D1940" s="42"/>
      <c r="E1940" s="43"/>
      <c r="F1940" s="43"/>
      <c r="G1940" s="43"/>
      <c r="H1940" s="41"/>
      <c r="I1940" s="43"/>
      <c r="J1940" s="43"/>
      <c r="K1940" s="43"/>
      <c r="L1940" s="43"/>
      <c r="M1940" s="43"/>
      <c r="N1940" s="43"/>
      <c r="O1940" s="43"/>
      <c r="P1940" s="43"/>
      <c r="Q1940" s="43"/>
      <c r="R1940" s="43"/>
      <c r="S1940" s="43"/>
      <c r="T1940" s="43"/>
      <c r="U1940" s="43"/>
      <c r="V1940" s="43"/>
      <c r="W1940" s="43"/>
      <c r="X1940" s="43"/>
      <c r="Y1940" s="43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</row>
    <row r="1941" spans="1:60" ht="16">
      <c r="A1941" s="41"/>
      <c r="B1941" s="41"/>
      <c r="C1941" s="41"/>
      <c r="D1941" s="42"/>
      <c r="E1941" s="43"/>
      <c r="F1941" s="43"/>
      <c r="G1941" s="43"/>
      <c r="H1941" s="41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3"/>
      <c r="U1941" s="43"/>
      <c r="V1941" s="43"/>
      <c r="W1941" s="43"/>
      <c r="X1941" s="43"/>
      <c r="Y1941" s="43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</row>
    <row r="1942" spans="1:60" ht="16">
      <c r="A1942" s="41"/>
      <c r="B1942" s="41"/>
      <c r="C1942" s="41"/>
      <c r="D1942" s="42"/>
      <c r="E1942" s="43"/>
      <c r="F1942" s="43"/>
      <c r="G1942" s="43"/>
      <c r="H1942" s="41"/>
      <c r="I1942" s="43"/>
      <c r="J1942" s="43"/>
      <c r="K1942" s="43"/>
      <c r="L1942" s="43"/>
      <c r="M1942" s="43"/>
      <c r="N1942" s="43"/>
      <c r="O1942" s="43"/>
      <c r="P1942" s="43"/>
      <c r="Q1942" s="43"/>
      <c r="R1942" s="43"/>
      <c r="S1942" s="43"/>
      <c r="T1942" s="43"/>
      <c r="U1942" s="43"/>
      <c r="V1942" s="43"/>
      <c r="W1942" s="43"/>
      <c r="X1942" s="43"/>
      <c r="Y1942" s="43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</row>
    <row r="1943" spans="1:60" ht="16">
      <c r="A1943" s="41"/>
      <c r="B1943" s="41"/>
      <c r="C1943" s="41"/>
      <c r="D1943" s="42"/>
      <c r="E1943" s="43"/>
      <c r="F1943" s="43"/>
      <c r="G1943" s="43"/>
      <c r="H1943" s="41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  <c r="U1943" s="43"/>
      <c r="V1943" s="43"/>
      <c r="W1943" s="43"/>
      <c r="X1943" s="43"/>
      <c r="Y1943" s="43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</row>
    <row r="1944" spans="1:60" ht="16">
      <c r="A1944" s="41"/>
      <c r="B1944" s="41"/>
      <c r="C1944" s="41"/>
      <c r="D1944" s="42"/>
      <c r="E1944" s="43"/>
      <c r="F1944" s="43"/>
      <c r="G1944" s="43"/>
      <c r="H1944" s="41"/>
      <c r="I1944" s="43"/>
      <c r="J1944" s="43"/>
      <c r="K1944" s="43"/>
      <c r="L1944" s="43"/>
      <c r="M1944" s="43"/>
      <c r="N1944" s="43"/>
      <c r="O1944" s="43"/>
      <c r="P1944" s="43"/>
      <c r="Q1944" s="43"/>
      <c r="R1944" s="43"/>
      <c r="S1944" s="43"/>
      <c r="T1944" s="43"/>
      <c r="U1944" s="43"/>
      <c r="V1944" s="43"/>
      <c r="W1944" s="43"/>
      <c r="X1944" s="43"/>
      <c r="Y1944" s="43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</row>
    <row r="1945" spans="1:60" ht="16">
      <c r="A1945" s="41"/>
      <c r="B1945" s="41"/>
      <c r="C1945" s="41"/>
      <c r="D1945" s="42"/>
      <c r="E1945" s="43"/>
      <c r="F1945" s="43"/>
      <c r="G1945" s="43"/>
      <c r="H1945" s="41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</row>
    <row r="1946" spans="1:60" ht="16">
      <c r="A1946" s="41"/>
      <c r="B1946" s="41"/>
      <c r="C1946" s="41"/>
      <c r="D1946" s="42"/>
      <c r="E1946" s="43"/>
      <c r="F1946" s="43"/>
      <c r="G1946" s="43"/>
      <c r="H1946" s="41"/>
      <c r="I1946" s="43"/>
      <c r="J1946" s="43"/>
      <c r="K1946" s="43"/>
      <c r="L1946" s="43"/>
      <c r="M1946" s="43"/>
      <c r="N1946" s="43"/>
      <c r="O1946" s="43"/>
      <c r="P1946" s="43"/>
      <c r="Q1946" s="43"/>
      <c r="R1946" s="43"/>
      <c r="S1946" s="43"/>
      <c r="T1946" s="43"/>
      <c r="U1946" s="43"/>
      <c r="V1946" s="43"/>
      <c r="W1946" s="43"/>
      <c r="X1946" s="43"/>
      <c r="Y1946" s="43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</row>
    <row r="1947" spans="1:60" ht="16">
      <c r="A1947" s="41"/>
      <c r="B1947" s="41"/>
      <c r="C1947" s="41"/>
      <c r="D1947" s="42"/>
      <c r="E1947" s="43"/>
      <c r="F1947" s="43"/>
      <c r="G1947" s="43"/>
      <c r="H1947" s="41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3"/>
      <c r="U1947" s="43"/>
      <c r="V1947" s="43"/>
      <c r="W1947" s="43"/>
      <c r="X1947" s="43"/>
      <c r="Y1947" s="43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</row>
    <row r="1948" spans="1:60" ht="16">
      <c r="A1948" s="41"/>
      <c r="B1948" s="41"/>
      <c r="C1948" s="41"/>
      <c r="D1948" s="42"/>
      <c r="E1948" s="43"/>
      <c r="F1948" s="43"/>
      <c r="G1948" s="43"/>
      <c r="H1948" s="41"/>
      <c r="I1948" s="43"/>
      <c r="J1948" s="43"/>
      <c r="K1948" s="43"/>
      <c r="L1948" s="43"/>
      <c r="M1948" s="43"/>
      <c r="N1948" s="43"/>
      <c r="O1948" s="43"/>
      <c r="P1948" s="43"/>
      <c r="Q1948" s="43"/>
      <c r="R1948" s="43"/>
      <c r="S1948" s="43"/>
      <c r="T1948" s="43"/>
      <c r="U1948" s="43"/>
      <c r="V1948" s="43"/>
      <c r="W1948" s="43"/>
      <c r="X1948" s="43"/>
      <c r="Y1948" s="43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</row>
    <row r="1949" spans="1:60" ht="16">
      <c r="A1949" s="41"/>
      <c r="B1949" s="41"/>
      <c r="C1949" s="41"/>
      <c r="D1949" s="42"/>
      <c r="E1949" s="43"/>
      <c r="F1949" s="43"/>
      <c r="G1949" s="43"/>
      <c r="H1949" s="41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  <c r="U1949" s="43"/>
      <c r="V1949" s="43"/>
      <c r="W1949" s="43"/>
      <c r="X1949" s="43"/>
      <c r="Y1949" s="43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</row>
    <row r="1950" spans="1:60" ht="16">
      <c r="A1950" s="41"/>
      <c r="B1950" s="41"/>
      <c r="C1950" s="41"/>
      <c r="D1950" s="42"/>
      <c r="E1950" s="43"/>
      <c r="F1950" s="43"/>
      <c r="G1950" s="43"/>
      <c r="H1950" s="41"/>
      <c r="I1950" s="43"/>
      <c r="J1950" s="43"/>
      <c r="K1950" s="43"/>
      <c r="L1950" s="43"/>
      <c r="M1950" s="43"/>
      <c r="N1950" s="43"/>
      <c r="O1950" s="43"/>
      <c r="P1950" s="43"/>
      <c r="Q1950" s="43"/>
      <c r="R1950" s="43"/>
      <c r="S1950" s="43"/>
      <c r="T1950" s="43"/>
      <c r="U1950" s="43"/>
      <c r="V1950" s="43"/>
      <c r="W1950" s="43"/>
      <c r="X1950" s="43"/>
      <c r="Y1950" s="43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</row>
    <row r="1951" spans="1:60" ht="16">
      <c r="A1951" s="41"/>
      <c r="B1951" s="41"/>
      <c r="C1951" s="41"/>
      <c r="D1951" s="42"/>
      <c r="E1951" s="43"/>
      <c r="F1951" s="43"/>
      <c r="G1951" s="43"/>
      <c r="H1951" s="41"/>
      <c r="I1951" s="43"/>
      <c r="J1951" s="43"/>
      <c r="K1951" s="43"/>
      <c r="L1951" s="43"/>
      <c r="M1951" s="43"/>
      <c r="N1951" s="43"/>
      <c r="O1951" s="43"/>
      <c r="P1951" s="43"/>
      <c r="Q1951" s="43"/>
      <c r="R1951" s="43"/>
      <c r="S1951" s="43"/>
      <c r="T1951" s="43"/>
      <c r="U1951" s="43"/>
      <c r="V1951" s="43"/>
      <c r="W1951" s="43"/>
      <c r="X1951" s="43"/>
      <c r="Y1951" s="43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</row>
    <row r="1952" spans="1:60" ht="16">
      <c r="A1952" s="41"/>
      <c r="B1952" s="41"/>
      <c r="C1952" s="41"/>
      <c r="D1952" s="42"/>
      <c r="E1952" s="43"/>
      <c r="F1952" s="43"/>
      <c r="G1952" s="43"/>
      <c r="H1952" s="41"/>
      <c r="I1952" s="43"/>
      <c r="J1952" s="43"/>
      <c r="K1952" s="43"/>
      <c r="L1952" s="43"/>
      <c r="M1952" s="43"/>
      <c r="N1952" s="43"/>
      <c r="O1952" s="43"/>
      <c r="P1952" s="43"/>
      <c r="Q1952" s="43"/>
      <c r="R1952" s="43"/>
      <c r="S1952" s="43"/>
      <c r="T1952" s="43"/>
      <c r="U1952" s="43"/>
      <c r="V1952" s="43"/>
      <c r="W1952" s="43"/>
      <c r="X1952" s="43"/>
      <c r="Y1952" s="43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</row>
    <row r="1953" spans="1:60" ht="16">
      <c r="A1953" s="41"/>
      <c r="B1953" s="41"/>
      <c r="C1953" s="41"/>
      <c r="D1953" s="42"/>
      <c r="E1953" s="43"/>
      <c r="F1953" s="43"/>
      <c r="G1953" s="43"/>
      <c r="H1953" s="41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</row>
    <row r="1954" spans="1:60" ht="16">
      <c r="A1954" s="41"/>
      <c r="B1954" s="41"/>
      <c r="C1954" s="41"/>
      <c r="D1954" s="42"/>
      <c r="E1954" s="43"/>
      <c r="F1954" s="43"/>
      <c r="G1954" s="43"/>
      <c r="H1954" s="41"/>
      <c r="I1954" s="43"/>
      <c r="J1954" s="43"/>
      <c r="K1954" s="43"/>
      <c r="L1954" s="43"/>
      <c r="M1954" s="43"/>
      <c r="N1954" s="43"/>
      <c r="O1954" s="43"/>
      <c r="P1954" s="43"/>
      <c r="Q1954" s="43"/>
      <c r="R1954" s="43"/>
      <c r="S1954" s="43"/>
      <c r="T1954" s="43"/>
      <c r="U1954" s="43"/>
      <c r="V1954" s="43"/>
      <c r="W1954" s="43"/>
      <c r="X1954" s="43"/>
      <c r="Y1954" s="43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</row>
    <row r="1955" spans="1:60" ht="16">
      <c r="A1955" s="41"/>
      <c r="B1955" s="41"/>
      <c r="C1955" s="41"/>
      <c r="D1955" s="42"/>
      <c r="E1955" s="43"/>
      <c r="F1955" s="43"/>
      <c r="G1955" s="43"/>
      <c r="H1955" s="41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</row>
    <row r="1956" spans="1:60" ht="16">
      <c r="A1956" s="41"/>
      <c r="B1956" s="41"/>
      <c r="C1956" s="41"/>
      <c r="D1956" s="42"/>
      <c r="E1956" s="43"/>
      <c r="F1956" s="43"/>
      <c r="G1956" s="43"/>
      <c r="H1956" s="41"/>
      <c r="I1956" s="43"/>
      <c r="J1956" s="43"/>
      <c r="K1956" s="43"/>
      <c r="L1956" s="43"/>
      <c r="M1956" s="43"/>
      <c r="N1956" s="43"/>
      <c r="O1956" s="43"/>
      <c r="P1956" s="43"/>
      <c r="Q1956" s="43"/>
      <c r="R1956" s="43"/>
      <c r="S1956" s="43"/>
      <c r="T1956" s="43"/>
      <c r="U1956" s="43"/>
      <c r="V1956" s="43"/>
      <c r="W1956" s="43"/>
      <c r="X1956" s="43"/>
      <c r="Y1956" s="43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</row>
    <row r="1957" spans="1:60" ht="16">
      <c r="A1957" s="41"/>
      <c r="B1957" s="41"/>
      <c r="C1957" s="41"/>
      <c r="D1957" s="42"/>
      <c r="E1957" s="43"/>
      <c r="F1957" s="43"/>
      <c r="G1957" s="43"/>
      <c r="H1957" s="41"/>
      <c r="I1957" s="43"/>
      <c r="J1957" s="43"/>
      <c r="K1957" s="43"/>
      <c r="L1957" s="43"/>
      <c r="M1957" s="43"/>
      <c r="N1957" s="43"/>
      <c r="O1957" s="43"/>
      <c r="P1957" s="43"/>
      <c r="Q1957" s="43"/>
      <c r="R1957" s="43"/>
      <c r="S1957" s="43"/>
      <c r="T1957" s="43"/>
      <c r="U1957" s="43"/>
      <c r="V1957" s="43"/>
      <c r="W1957" s="43"/>
      <c r="X1957" s="43"/>
      <c r="Y1957" s="43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</row>
    <row r="1958" spans="1:60" ht="16">
      <c r="A1958" s="41"/>
      <c r="B1958" s="41"/>
      <c r="C1958" s="41"/>
      <c r="D1958" s="42"/>
      <c r="E1958" s="43"/>
      <c r="F1958" s="43"/>
      <c r="G1958" s="43"/>
      <c r="H1958" s="41"/>
      <c r="I1958" s="43"/>
      <c r="J1958" s="43"/>
      <c r="K1958" s="43"/>
      <c r="L1958" s="43"/>
      <c r="M1958" s="43"/>
      <c r="N1958" s="43"/>
      <c r="O1958" s="43"/>
      <c r="P1958" s="43"/>
      <c r="Q1958" s="43"/>
      <c r="R1958" s="43"/>
      <c r="S1958" s="43"/>
      <c r="T1958" s="43"/>
      <c r="U1958" s="43"/>
      <c r="V1958" s="43"/>
      <c r="W1958" s="43"/>
      <c r="X1958" s="43"/>
      <c r="Y1958" s="43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</row>
    <row r="1959" spans="1:60" ht="16">
      <c r="A1959" s="41"/>
      <c r="B1959" s="41"/>
      <c r="C1959" s="41"/>
      <c r="D1959" s="42"/>
      <c r="E1959" s="43"/>
      <c r="F1959" s="43"/>
      <c r="G1959" s="43"/>
      <c r="H1959" s="41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3"/>
      <c r="U1959" s="43"/>
      <c r="V1959" s="43"/>
      <c r="W1959" s="43"/>
      <c r="X1959" s="43"/>
      <c r="Y1959" s="43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</row>
    <row r="1960" spans="1:60" ht="16">
      <c r="A1960" s="41"/>
      <c r="B1960" s="41"/>
      <c r="C1960" s="41"/>
      <c r="D1960" s="42"/>
      <c r="E1960" s="43"/>
      <c r="F1960" s="43"/>
      <c r="G1960" s="43"/>
      <c r="H1960" s="41"/>
      <c r="I1960" s="43"/>
      <c r="J1960" s="43"/>
      <c r="K1960" s="43"/>
      <c r="L1960" s="43"/>
      <c r="M1960" s="43"/>
      <c r="N1960" s="43"/>
      <c r="O1960" s="43"/>
      <c r="P1960" s="43"/>
      <c r="Q1960" s="43"/>
      <c r="R1960" s="43"/>
      <c r="S1960" s="43"/>
      <c r="T1960" s="43"/>
      <c r="U1960" s="43"/>
      <c r="V1960" s="43"/>
      <c r="W1960" s="43"/>
      <c r="X1960" s="43"/>
      <c r="Y1960" s="43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</row>
    <row r="1961" spans="1:60" ht="16">
      <c r="A1961" s="41"/>
      <c r="B1961" s="41"/>
      <c r="C1961" s="41"/>
      <c r="D1961" s="42"/>
      <c r="E1961" s="43"/>
      <c r="F1961" s="43"/>
      <c r="G1961" s="43"/>
      <c r="H1961" s="41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3"/>
      <c r="U1961" s="43"/>
      <c r="V1961" s="43"/>
      <c r="W1961" s="43"/>
      <c r="X1961" s="43"/>
      <c r="Y1961" s="43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</row>
    <row r="1962" spans="1:60" ht="16">
      <c r="A1962" s="41"/>
      <c r="B1962" s="41"/>
      <c r="C1962" s="41"/>
      <c r="D1962" s="42"/>
      <c r="E1962" s="43"/>
      <c r="F1962" s="43"/>
      <c r="G1962" s="43"/>
      <c r="H1962" s="41"/>
      <c r="I1962" s="43"/>
      <c r="J1962" s="43"/>
      <c r="K1962" s="43"/>
      <c r="L1962" s="43"/>
      <c r="M1962" s="43"/>
      <c r="N1962" s="43"/>
      <c r="O1962" s="43"/>
      <c r="P1962" s="43"/>
      <c r="Q1962" s="43"/>
      <c r="R1962" s="43"/>
      <c r="S1962" s="43"/>
      <c r="T1962" s="43"/>
      <c r="U1962" s="43"/>
      <c r="V1962" s="43"/>
      <c r="W1962" s="43"/>
      <c r="X1962" s="43"/>
      <c r="Y1962" s="43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</row>
    <row r="1963" spans="1:60" ht="16">
      <c r="A1963" s="41"/>
      <c r="B1963" s="41"/>
      <c r="C1963" s="41"/>
      <c r="D1963" s="42"/>
      <c r="E1963" s="43"/>
      <c r="F1963" s="43"/>
      <c r="G1963" s="43"/>
      <c r="H1963" s="41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</row>
    <row r="1964" spans="1:60" ht="16">
      <c r="A1964" s="41"/>
      <c r="B1964" s="41"/>
      <c r="C1964" s="41"/>
      <c r="D1964" s="42"/>
      <c r="E1964" s="43"/>
      <c r="F1964" s="43"/>
      <c r="G1964" s="43"/>
      <c r="H1964" s="41"/>
      <c r="I1964" s="43"/>
      <c r="J1964" s="43"/>
      <c r="K1964" s="43"/>
      <c r="L1964" s="43"/>
      <c r="M1964" s="43"/>
      <c r="N1964" s="43"/>
      <c r="O1964" s="43"/>
      <c r="P1964" s="43"/>
      <c r="Q1964" s="43"/>
      <c r="R1964" s="43"/>
      <c r="S1964" s="43"/>
      <c r="T1964" s="43"/>
      <c r="U1964" s="43"/>
      <c r="V1964" s="43"/>
      <c r="W1964" s="43"/>
      <c r="X1964" s="43"/>
      <c r="Y1964" s="43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</row>
    <row r="1965" spans="1:60" ht="16">
      <c r="A1965" s="41"/>
      <c r="B1965" s="41"/>
      <c r="C1965" s="41"/>
      <c r="D1965" s="42"/>
      <c r="E1965" s="43"/>
      <c r="F1965" s="43"/>
      <c r="G1965" s="43"/>
      <c r="H1965" s="41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3"/>
      <c r="U1965" s="43"/>
      <c r="V1965" s="43"/>
      <c r="W1965" s="43"/>
      <c r="X1965" s="43"/>
      <c r="Y1965" s="43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</row>
    <row r="1966" spans="1:60" ht="16">
      <c r="A1966" s="41"/>
      <c r="B1966" s="41"/>
      <c r="C1966" s="41"/>
      <c r="D1966" s="42"/>
      <c r="E1966" s="43"/>
      <c r="F1966" s="43"/>
      <c r="G1966" s="43"/>
      <c r="H1966" s="41"/>
      <c r="I1966" s="43"/>
      <c r="J1966" s="43"/>
      <c r="K1966" s="43"/>
      <c r="L1966" s="43"/>
      <c r="M1966" s="43"/>
      <c r="N1966" s="43"/>
      <c r="O1966" s="43"/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</row>
    <row r="1967" spans="1:60" ht="16">
      <c r="A1967" s="41"/>
      <c r="B1967" s="41"/>
      <c r="C1967" s="41"/>
      <c r="D1967" s="42"/>
      <c r="E1967" s="43"/>
      <c r="F1967" s="43"/>
      <c r="G1967" s="43"/>
      <c r="H1967" s="41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</row>
    <row r="1968" spans="1:60" ht="16">
      <c r="A1968" s="41"/>
      <c r="B1968" s="41"/>
      <c r="C1968" s="41"/>
      <c r="D1968" s="42"/>
      <c r="E1968" s="43"/>
      <c r="F1968" s="43"/>
      <c r="G1968" s="43"/>
      <c r="H1968" s="41"/>
      <c r="I1968" s="43"/>
      <c r="J1968" s="43"/>
      <c r="K1968" s="43"/>
      <c r="L1968" s="43"/>
      <c r="M1968" s="43"/>
      <c r="N1968" s="43"/>
      <c r="O1968" s="43"/>
      <c r="P1968" s="43"/>
      <c r="Q1968" s="43"/>
      <c r="R1968" s="43"/>
      <c r="S1968" s="43"/>
      <c r="T1968" s="43"/>
      <c r="U1968" s="43"/>
      <c r="V1968" s="43"/>
      <c r="W1968" s="43"/>
      <c r="X1968" s="43"/>
      <c r="Y1968" s="43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</row>
    <row r="1969" spans="1:60" ht="16">
      <c r="A1969" s="41"/>
      <c r="B1969" s="41"/>
      <c r="C1969" s="41"/>
      <c r="D1969" s="42"/>
      <c r="E1969" s="43"/>
      <c r="F1969" s="43"/>
      <c r="G1969" s="43"/>
      <c r="H1969" s="41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3"/>
      <c r="U1969" s="43"/>
      <c r="V1969" s="43"/>
      <c r="W1969" s="43"/>
      <c r="X1969" s="43"/>
      <c r="Y1969" s="43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</row>
    <row r="1970" spans="1:60" ht="16">
      <c r="A1970" s="41"/>
      <c r="B1970" s="41"/>
      <c r="C1970" s="41"/>
      <c r="D1970" s="42"/>
      <c r="E1970" s="43"/>
      <c r="F1970" s="43"/>
      <c r="G1970" s="43"/>
      <c r="H1970" s="41"/>
      <c r="I1970" s="43"/>
      <c r="J1970" s="43"/>
      <c r="K1970" s="43"/>
      <c r="L1970" s="43"/>
      <c r="M1970" s="43"/>
      <c r="N1970" s="43"/>
      <c r="O1970" s="43"/>
      <c r="P1970" s="43"/>
      <c r="Q1970" s="43"/>
      <c r="R1970" s="43"/>
      <c r="S1970" s="43"/>
      <c r="T1970" s="43"/>
      <c r="U1970" s="43"/>
      <c r="V1970" s="43"/>
      <c r="W1970" s="43"/>
      <c r="X1970" s="43"/>
      <c r="Y1970" s="43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</row>
    <row r="1971" spans="1:60" ht="16">
      <c r="A1971" s="41"/>
      <c r="B1971" s="41"/>
      <c r="C1971" s="41"/>
      <c r="D1971" s="42"/>
      <c r="E1971" s="43"/>
      <c r="F1971" s="43"/>
      <c r="G1971" s="43"/>
      <c r="H1971" s="41"/>
      <c r="I1971" s="43"/>
      <c r="J1971" s="43"/>
      <c r="K1971" s="43"/>
      <c r="L1971" s="43"/>
      <c r="M1971" s="43"/>
      <c r="N1971" s="43"/>
      <c r="O1971" s="43"/>
      <c r="P1971" s="43"/>
      <c r="Q1971" s="43"/>
      <c r="R1971" s="43"/>
      <c r="S1971" s="43"/>
      <c r="T1971" s="43"/>
      <c r="U1971" s="43"/>
      <c r="V1971" s="43"/>
      <c r="W1971" s="43"/>
      <c r="X1971" s="43"/>
      <c r="Y1971" s="43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</row>
    <row r="1972" spans="1:60" ht="16">
      <c r="A1972" s="41"/>
      <c r="B1972" s="41"/>
      <c r="C1972" s="41"/>
      <c r="D1972" s="42"/>
      <c r="E1972" s="43"/>
      <c r="F1972" s="43"/>
      <c r="G1972" s="43"/>
      <c r="H1972" s="41"/>
      <c r="I1972" s="43"/>
      <c r="J1972" s="43"/>
      <c r="K1972" s="43"/>
      <c r="L1972" s="43"/>
      <c r="M1972" s="43"/>
      <c r="N1972" s="43"/>
      <c r="O1972" s="43"/>
      <c r="P1972" s="43"/>
      <c r="Q1972" s="43"/>
      <c r="R1972" s="43"/>
      <c r="S1972" s="43"/>
      <c r="T1972" s="43"/>
      <c r="U1972" s="43"/>
      <c r="V1972" s="43"/>
      <c r="W1972" s="43"/>
      <c r="X1972" s="43"/>
      <c r="Y1972" s="43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</row>
    <row r="1973" spans="1:60" ht="16">
      <c r="A1973" s="41"/>
      <c r="B1973" s="41"/>
      <c r="C1973" s="41"/>
      <c r="D1973" s="42"/>
      <c r="E1973" s="43"/>
      <c r="F1973" s="43"/>
      <c r="G1973" s="43"/>
      <c r="H1973" s="41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3"/>
      <c r="U1973" s="43"/>
      <c r="V1973" s="43"/>
      <c r="W1973" s="43"/>
      <c r="X1973" s="43"/>
      <c r="Y1973" s="43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</row>
    <row r="1974" spans="1:60" ht="16">
      <c r="A1974" s="41"/>
      <c r="B1974" s="41"/>
      <c r="C1974" s="41"/>
      <c r="D1974" s="42"/>
      <c r="E1974" s="43"/>
      <c r="F1974" s="43"/>
      <c r="G1974" s="43"/>
      <c r="H1974" s="41"/>
      <c r="I1974" s="43"/>
      <c r="J1974" s="43"/>
      <c r="K1974" s="43"/>
      <c r="L1974" s="43"/>
      <c r="M1974" s="43"/>
      <c r="N1974" s="43"/>
      <c r="O1974" s="43"/>
      <c r="P1974" s="43"/>
      <c r="Q1974" s="43"/>
      <c r="R1974" s="43"/>
      <c r="S1974" s="43"/>
      <c r="T1974" s="43"/>
      <c r="U1974" s="43"/>
      <c r="V1974" s="43"/>
      <c r="W1974" s="43"/>
      <c r="X1974" s="43"/>
      <c r="Y1974" s="43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</row>
    <row r="1975" spans="1:60" ht="16">
      <c r="A1975" s="41"/>
      <c r="B1975" s="41"/>
      <c r="C1975" s="41"/>
      <c r="D1975" s="42"/>
      <c r="E1975" s="43"/>
      <c r="F1975" s="43"/>
      <c r="G1975" s="43"/>
      <c r="H1975" s="41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3"/>
      <c r="U1975" s="43"/>
      <c r="V1975" s="43"/>
      <c r="W1975" s="43"/>
      <c r="X1975" s="43"/>
      <c r="Y1975" s="43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</row>
    <row r="1976" spans="1:60" ht="16">
      <c r="A1976" s="41"/>
      <c r="B1976" s="41"/>
      <c r="C1976" s="41"/>
      <c r="D1976" s="42"/>
      <c r="E1976" s="43"/>
      <c r="F1976" s="43"/>
      <c r="G1976" s="43"/>
      <c r="H1976" s="41"/>
      <c r="I1976" s="43"/>
      <c r="J1976" s="43"/>
      <c r="K1976" s="43"/>
      <c r="L1976" s="43"/>
      <c r="M1976" s="43"/>
      <c r="N1976" s="43"/>
      <c r="O1976" s="43"/>
      <c r="P1976" s="43"/>
      <c r="Q1976" s="43"/>
      <c r="R1976" s="43"/>
      <c r="S1976" s="43"/>
      <c r="T1976" s="43"/>
      <c r="U1976" s="43"/>
      <c r="V1976" s="43"/>
      <c r="W1976" s="43"/>
      <c r="X1976" s="43"/>
      <c r="Y1976" s="43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</row>
    <row r="1977" spans="1:60" ht="16">
      <c r="A1977" s="41"/>
      <c r="B1977" s="41"/>
      <c r="C1977" s="41"/>
      <c r="D1977" s="42"/>
      <c r="E1977" s="43"/>
      <c r="F1977" s="43"/>
      <c r="G1977" s="43"/>
      <c r="H1977" s="41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3"/>
      <c r="U1977" s="43"/>
      <c r="V1977" s="43"/>
      <c r="W1977" s="43"/>
      <c r="X1977" s="43"/>
      <c r="Y1977" s="43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</row>
    <row r="1978" spans="1:60" ht="16">
      <c r="A1978" s="41"/>
      <c r="B1978" s="41"/>
      <c r="C1978" s="41"/>
      <c r="D1978" s="42"/>
      <c r="E1978" s="43"/>
      <c r="F1978" s="43"/>
      <c r="G1978" s="43"/>
      <c r="H1978" s="41"/>
      <c r="I1978" s="43"/>
      <c r="J1978" s="43"/>
      <c r="K1978" s="43"/>
      <c r="L1978" s="43"/>
      <c r="M1978" s="43"/>
      <c r="N1978" s="43"/>
      <c r="O1978" s="43"/>
      <c r="P1978" s="43"/>
      <c r="Q1978" s="43"/>
      <c r="R1978" s="43"/>
      <c r="S1978" s="43"/>
      <c r="T1978" s="43"/>
      <c r="U1978" s="43"/>
      <c r="V1978" s="43"/>
      <c r="W1978" s="43"/>
      <c r="X1978" s="43"/>
      <c r="Y1978" s="43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</row>
    <row r="1979" spans="1:60" ht="16">
      <c r="A1979" s="41"/>
      <c r="B1979" s="41"/>
      <c r="C1979" s="41"/>
      <c r="D1979" s="42"/>
      <c r="E1979" s="43"/>
      <c r="F1979" s="43"/>
      <c r="G1979" s="43"/>
      <c r="H1979" s="41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</row>
    <row r="1980" spans="1:60" ht="16">
      <c r="A1980" s="41"/>
      <c r="B1980" s="41"/>
      <c r="C1980" s="41"/>
      <c r="D1980" s="42"/>
      <c r="E1980" s="43"/>
      <c r="F1980" s="43"/>
      <c r="G1980" s="43"/>
      <c r="H1980" s="41"/>
      <c r="I1980" s="43"/>
      <c r="J1980" s="43"/>
      <c r="K1980" s="43"/>
      <c r="L1980" s="43"/>
      <c r="M1980" s="43"/>
      <c r="N1980" s="43"/>
      <c r="O1980" s="43"/>
      <c r="P1980" s="43"/>
      <c r="Q1980" s="43"/>
      <c r="R1980" s="43"/>
      <c r="S1980" s="43"/>
      <c r="T1980" s="43"/>
      <c r="U1980" s="43"/>
      <c r="V1980" s="43"/>
      <c r="W1980" s="43"/>
      <c r="X1980" s="43"/>
      <c r="Y1980" s="43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</row>
    <row r="1981" spans="1:60" ht="16">
      <c r="A1981" s="41"/>
      <c r="B1981" s="41"/>
      <c r="C1981" s="41"/>
      <c r="D1981" s="42"/>
      <c r="E1981" s="43"/>
      <c r="F1981" s="43"/>
      <c r="G1981" s="43"/>
      <c r="H1981" s="41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</row>
    <row r="1982" spans="1:60" ht="16">
      <c r="A1982" s="41"/>
      <c r="B1982" s="41"/>
      <c r="C1982" s="41"/>
      <c r="D1982" s="42"/>
      <c r="E1982" s="43"/>
      <c r="F1982" s="43"/>
      <c r="G1982" s="43"/>
      <c r="H1982" s="41"/>
      <c r="I1982" s="43"/>
      <c r="J1982" s="43"/>
      <c r="K1982" s="43"/>
      <c r="L1982" s="43"/>
      <c r="M1982" s="43"/>
      <c r="N1982" s="43"/>
      <c r="O1982" s="43"/>
      <c r="P1982" s="43"/>
      <c r="Q1982" s="43"/>
      <c r="R1982" s="43"/>
      <c r="S1982" s="43"/>
      <c r="T1982" s="43"/>
      <c r="U1982" s="43"/>
      <c r="V1982" s="43"/>
      <c r="W1982" s="43"/>
      <c r="X1982" s="43"/>
      <c r="Y1982" s="43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</row>
    <row r="1983" spans="1:60" ht="16">
      <c r="A1983" s="41"/>
      <c r="B1983" s="41"/>
      <c r="C1983" s="41"/>
      <c r="D1983" s="42"/>
      <c r="E1983" s="43"/>
      <c r="F1983" s="43"/>
      <c r="G1983" s="43"/>
      <c r="H1983" s="41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3"/>
      <c r="U1983" s="43"/>
      <c r="V1983" s="43"/>
      <c r="W1983" s="43"/>
      <c r="X1983" s="43"/>
      <c r="Y1983" s="43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</row>
    <row r="1984" spans="1:60" ht="16">
      <c r="A1984" s="41"/>
      <c r="B1984" s="41"/>
      <c r="C1984" s="41"/>
      <c r="D1984" s="42"/>
      <c r="E1984" s="43"/>
      <c r="F1984" s="43"/>
      <c r="G1984" s="43"/>
      <c r="H1984" s="41"/>
      <c r="I1984" s="43"/>
      <c r="J1984" s="43"/>
      <c r="K1984" s="43"/>
      <c r="L1984" s="43"/>
      <c r="M1984" s="43"/>
      <c r="N1984" s="43"/>
      <c r="O1984" s="43"/>
      <c r="P1984" s="43"/>
      <c r="Q1984" s="43"/>
      <c r="R1984" s="43"/>
      <c r="S1984" s="43"/>
      <c r="T1984" s="43"/>
      <c r="U1984" s="43"/>
      <c r="V1984" s="43"/>
      <c r="W1984" s="43"/>
      <c r="X1984" s="43"/>
      <c r="Y1984" s="43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</row>
    <row r="1985" spans="1:60" ht="16">
      <c r="A1985" s="41"/>
      <c r="B1985" s="41"/>
      <c r="C1985" s="41"/>
      <c r="D1985" s="42"/>
      <c r="E1985" s="43"/>
      <c r="F1985" s="43"/>
      <c r="G1985" s="43"/>
      <c r="H1985" s="41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3"/>
      <c r="W1985" s="43"/>
      <c r="X1985" s="43"/>
      <c r="Y1985" s="43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</row>
    <row r="1986" spans="1:60" ht="16">
      <c r="A1986" s="41"/>
      <c r="B1986" s="41"/>
      <c r="C1986" s="41"/>
      <c r="D1986" s="42"/>
      <c r="E1986" s="43"/>
      <c r="F1986" s="43"/>
      <c r="G1986" s="43"/>
      <c r="H1986" s="41"/>
      <c r="I1986" s="43"/>
      <c r="J1986" s="43"/>
      <c r="K1986" s="43"/>
      <c r="L1986" s="43"/>
      <c r="M1986" s="43"/>
      <c r="N1986" s="43"/>
      <c r="O1986" s="43"/>
      <c r="P1986" s="43"/>
      <c r="Q1986" s="43"/>
      <c r="R1986" s="43"/>
      <c r="S1986" s="43"/>
      <c r="T1986" s="43"/>
      <c r="U1986" s="43"/>
      <c r="V1986" s="43"/>
      <c r="W1986" s="43"/>
      <c r="X1986" s="43"/>
      <c r="Y1986" s="43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</row>
    <row r="1987" spans="1:60" ht="16">
      <c r="A1987" s="41"/>
      <c r="B1987" s="41"/>
      <c r="C1987" s="41"/>
      <c r="D1987" s="42"/>
      <c r="E1987" s="43"/>
      <c r="F1987" s="43"/>
      <c r="G1987" s="43"/>
      <c r="H1987" s="41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3"/>
      <c r="U1987" s="43"/>
      <c r="V1987" s="43"/>
      <c r="W1987" s="43"/>
      <c r="X1987" s="43"/>
      <c r="Y1987" s="43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</row>
    <row r="1988" spans="1:60" ht="16">
      <c r="A1988" s="41"/>
      <c r="B1988" s="41"/>
      <c r="C1988" s="41"/>
      <c r="D1988" s="42"/>
      <c r="E1988" s="43"/>
      <c r="F1988" s="43"/>
      <c r="G1988" s="43"/>
      <c r="H1988" s="41"/>
      <c r="I1988" s="43"/>
      <c r="J1988" s="43"/>
      <c r="K1988" s="43"/>
      <c r="L1988" s="43"/>
      <c r="M1988" s="43"/>
      <c r="N1988" s="43"/>
      <c r="O1988" s="43"/>
      <c r="P1988" s="43"/>
      <c r="Q1988" s="43"/>
      <c r="R1988" s="43"/>
      <c r="S1988" s="43"/>
      <c r="T1988" s="43"/>
      <c r="U1988" s="43"/>
      <c r="V1988" s="43"/>
      <c r="W1988" s="43"/>
      <c r="X1988" s="43"/>
      <c r="Y1988" s="43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</row>
    <row r="1989" spans="1:60" ht="16">
      <c r="A1989" s="41"/>
      <c r="B1989" s="41"/>
      <c r="C1989" s="41"/>
      <c r="D1989" s="42"/>
      <c r="E1989" s="43"/>
      <c r="F1989" s="43"/>
      <c r="G1989" s="43"/>
      <c r="H1989" s="41"/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3"/>
      <c r="U1989" s="43"/>
      <c r="V1989" s="43"/>
      <c r="W1989" s="43"/>
      <c r="X1989" s="43"/>
      <c r="Y1989" s="43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</row>
    <row r="1990" spans="1:60" ht="16">
      <c r="A1990" s="41"/>
      <c r="B1990" s="41"/>
      <c r="C1990" s="41"/>
      <c r="D1990" s="42"/>
      <c r="E1990" s="43"/>
      <c r="F1990" s="43"/>
      <c r="G1990" s="43"/>
      <c r="H1990" s="41"/>
      <c r="I1990" s="43"/>
      <c r="J1990" s="43"/>
      <c r="K1990" s="43"/>
      <c r="L1990" s="43"/>
      <c r="M1990" s="43"/>
      <c r="N1990" s="43"/>
      <c r="O1990" s="43"/>
      <c r="P1990" s="43"/>
      <c r="Q1990" s="43"/>
      <c r="R1990" s="43"/>
      <c r="S1990" s="43"/>
      <c r="T1990" s="43"/>
      <c r="U1990" s="43"/>
      <c r="V1990" s="43"/>
      <c r="W1990" s="43"/>
      <c r="X1990" s="43"/>
      <c r="Y1990" s="43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</row>
    <row r="1991" spans="1:60" ht="16">
      <c r="A1991" s="41"/>
      <c r="B1991" s="41"/>
      <c r="C1991" s="41"/>
      <c r="D1991" s="42"/>
      <c r="E1991" s="43"/>
      <c r="F1991" s="43"/>
      <c r="G1991" s="43"/>
      <c r="H1991" s="41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3"/>
      <c r="U1991" s="43"/>
      <c r="V1991" s="43"/>
      <c r="W1991" s="43"/>
      <c r="X1991" s="43"/>
      <c r="Y1991" s="43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</row>
    <row r="1992" spans="1:60" ht="16">
      <c r="A1992" s="41"/>
      <c r="B1992" s="41"/>
      <c r="C1992" s="41"/>
      <c r="D1992" s="42"/>
      <c r="E1992" s="43"/>
      <c r="F1992" s="43"/>
      <c r="G1992" s="43"/>
      <c r="H1992" s="41"/>
      <c r="I1992" s="43"/>
      <c r="J1992" s="43"/>
      <c r="K1992" s="43"/>
      <c r="L1992" s="43"/>
      <c r="M1992" s="43"/>
      <c r="N1992" s="43"/>
      <c r="O1992" s="43"/>
      <c r="P1992" s="43"/>
      <c r="Q1992" s="43"/>
      <c r="R1992" s="43"/>
      <c r="S1992" s="43"/>
      <c r="T1992" s="43"/>
      <c r="U1992" s="43"/>
      <c r="V1992" s="43"/>
      <c r="W1992" s="43"/>
      <c r="X1992" s="43"/>
      <c r="Y1992" s="43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</row>
    <row r="1993" spans="1:60" ht="16">
      <c r="A1993" s="41"/>
      <c r="B1993" s="41"/>
      <c r="C1993" s="41"/>
      <c r="D1993" s="42"/>
      <c r="E1993" s="43"/>
      <c r="F1993" s="43"/>
      <c r="G1993" s="43"/>
      <c r="H1993" s="41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3"/>
      <c r="U1993" s="43"/>
      <c r="V1993" s="43"/>
      <c r="W1993" s="43"/>
      <c r="X1993" s="43"/>
      <c r="Y1993" s="43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</row>
    <row r="1994" spans="1:60" ht="16">
      <c r="A1994" s="41"/>
      <c r="B1994" s="41"/>
      <c r="C1994" s="41"/>
      <c r="D1994" s="42"/>
      <c r="E1994" s="43"/>
      <c r="F1994" s="43"/>
      <c r="G1994" s="43"/>
      <c r="H1994" s="41"/>
      <c r="I1994" s="43"/>
      <c r="J1994" s="43"/>
      <c r="K1994" s="43"/>
      <c r="L1994" s="43"/>
      <c r="M1994" s="43"/>
      <c r="N1994" s="43"/>
      <c r="O1994" s="43"/>
      <c r="P1994" s="43"/>
      <c r="Q1994" s="43"/>
      <c r="R1994" s="43"/>
      <c r="S1994" s="43"/>
      <c r="T1994" s="43"/>
      <c r="U1994" s="43"/>
      <c r="V1994" s="43"/>
      <c r="W1994" s="43"/>
      <c r="X1994" s="43"/>
      <c r="Y1994" s="43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</row>
    <row r="1995" spans="1:60" ht="16">
      <c r="A1995" s="41"/>
      <c r="B1995" s="41"/>
      <c r="C1995" s="41"/>
      <c r="D1995" s="42"/>
      <c r="E1995" s="43"/>
      <c r="F1995" s="43"/>
      <c r="G1995" s="43"/>
      <c r="H1995" s="41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</row>
    <row r="1996" spans="1:60" ht="16">
      <c r="A1996" s="41"/>
      <c r="B1996" s="41"/>
      <c r="C1996" s="41"/>
      <c r="D1996" s="42"/>
      <c r="E1996" s="43"/>
      <c r="F1996" s="43"/>
      <c r="G1996" s="43"/>
      <c r="H1996" s="41"/>
      <c r="I1996" s="43"/>
      <c r="J1996" s="43"/>
      <c r="K1996" s="43"/>
      <c r="L1996" s="43"/>
      <c r="M1996" s="43"/>
      <c r="N1996" s="43"/>
      <c r="O1996" s="43"/>
      <c r="P1996" s="43"/>
      <c r="Q1996" s="43"/>
      <c r="R1996" s="43"/>
      <c r="S1996" s="43"/>
      <c r="T1996" s="43"/>
      <c r="U1996" s="43"/>
      <c r="V1996" s="43"/>
      <c r="W1996" s="43"/>
      <c r="X1996" s="43"/>
      <c r="Y1996" s="43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</row>
    <row r="1997" spans="1:60" ht="16">
      <c r="A1997" s="41"/>
      <c r="B1997" s="41"/>
      <c r="C1997" s="41"/>
      <c r="D1997" s="42"/>
      <c r="E1997" s="43"/>
      <c r="F1997" s="43"/>
      <c r="G1997" s="43"/>
      <c r="H1997" s="41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  <c r="U1997" s="43"/>
      <c r="V1997" s="43"/>
      <c r="W1997" s="43"/>
      <c r="X1997" s="43"/>
      <c r="Y1997" s="43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</row>
    <row r="1998" spans="1:60" ht="16">
      <c r="A1998" s="41"/>
      <c r="B1998" s="41"/>
      <c r="C1998" s="41"/>
      <c r="D1998" s="42"/>
      <c r="E1998" s="43"/>
      <c r="F1998" s="43"/>
      <c r="G1998" s="43"/>
      <c r="H1998" s="41"/>
      <c r="I1998" s="43"/>
      <c r="J1998" s="43"/>
      <c r="K1998" s="43"/>
      <c r="L1998" s="43"/>
      <c r="M1998" s="43"/>
      <c r="N1998" s="43"/>
      <c r="O1998" s="43"/>
      <c r="P1998" s="43"/>
      <c r="Q1998" s="43"/>
      <c r="R1998" s="43"/>
      <c r="S1998" s="43"/>
      <c r="T1998" s="43"/>
      <c r="U1998" s="43"/>
      <c r="V1998" s="43"/>
      <c r="W1998" s="43"/>
      <c r="X1998" s="43"/>
      <c r="Y1998" s="43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</row>
    <row r="1999" spans="1:60" ht="16">
      <c r="A1999" s="41"/>
      <c r="B1999" s="41"/>
      <c r="C1999" s="41"/>
      <c r="D1999" s="42"/>
      <c r="E1999" s="43"/>
      <c r="F1999" s="43"/>
      <c r="G1999" s="43"/>
      <c r="H1999" s="41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</row>
    <row r="2000" spans="1:60" ht="16">
      <c r="A2000" s="41"/>
      <c r="B2000" s="41"/>
      <c r="C2000" s="41"/>
      <c r="D2000" s="42"/>
      <c r="E2000" s="43"/>
      <c r="F2000" s="43"/>
      <c r="G2000" s="43"/>
      <c r="H2000" s="41"/>
      <c r="I2000" s="43"/>
      <c r="J2000" s="43"/>
      <c r="K2000" s="43"/>
      <c r="L2000" s="43"/>
      <c r="M2000" s="43"/>
      <c r="N2000" s="43"/>
      <c r="O2000" s="43"/>
      <c r="P2000" s="43"/>
      <c r="Q2000" s="43"/>
      <c r="R2000" s="43"/>
      <c r="S2000" s="43"/>
      <c r="T2000" s="43"/>
      <c r="U2000" s="43"/>
      <c r="V2000" s="43"/>
      <c r="W2000" s="43"/>
      <c r="X2000" s="43"/>
      <c r="Y2000" s="43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</row>
    <row r="2001" spans="1:60" ht="16">
      <c r="A2001" s="41"/>
      <c r="B2001" s="41"/>
      <c r="C2001" s="41"/>
      <c r="D2001" s="42"/>
      <c r="E2001" s="43"/>
      <c r="F2001" s="43"/>
      <c r="G2001" s="43"/>
      <c r="H2001" s="41"/>
      <c r="I2001" s="43"/>
      <c r="J2001" s="43"/>
      <c r="K2001" s="43"/>
      <c r="L2001" s="43"/>
      <c r="M2001" s="43"/>
      <c r="N2001" s="43"/>
      <c r="O2001" s="43"/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6"/>
      <c r="AA2001" s="46"/>
      <c r="AB2001" s="46"/>
      <c r="AC2001" s="46"/>
      <c r="AD2001" s="46"/>
      <c r="AE2001" s="46"/>
      <c r="AF2001" s="46"/>
      <c r="AG2001" s="46"/>
      <c r="AH2001" s="46"/>
      <c r="AI2001" s="46"/>
      <c r="AJ2001" s="46"/>
      <c r="AK2001" s="46"/>
      <c r="AL2001" s="46"/>
      <c r="AM2001" s="46"/>
      <c r="AN2001" s="46"/>
      <c r="AO2001" s="46"/>
      <c r="AP2001" s="46"/>
      <c r="AQ2001" s="46"/>
      <c r="AR2001" s="46"/>
      <c r="AS2001" s="46"/>
      <c r="AT2001" s="46"/>
      <c r="AU2001" s="46"/>
      <c r="AV2001" s="46"/>
      <c r="AW2001" s="46"/>
      <c r="AX2001" s="46"/>
      <c r="AY2001" s="46"/>
      <c r="AZ2001" s="46"/>
      <c r="BA2001" s="46"/>
      <c r="BB2001" s="46"/>
      <c r="BC2001" s="46"/>
      <c r="BD2001" s="46"/>
      <c r="BE2001" s="46"/>
      <c r="BF2001" s="46"/>
      <c r="BG2001" s="46"/>
      <c r="BH2001" s="46"/>
    </row>
    <row r="2002" spans="1:60" ht="16">
      <c r="A2002" s="41"/>
      <c r="B2002" s="41"/>
      <c r="C2002" s="41"/>
      <c r="D2002" s="42"/>
      <c r="E2002" s="43"/>
      <c r="F2002" s="43"/>
      <c r="G2002" s="43"/>
      <c r="H2002" s="41"/>
      <c r="I2002" s="43"/>
      <c r="J2002" s="43"/>
      <c r="K2002" s="43"/>
      <c r="L2002" s="43"/>
      <c r="M2002" s="43"/>
      <c r="N2002" s="43"/>
      <c r="O2002" s="43"/>
      <c r="P2002" s="43"/>
      <c r="Q2002" s="43"/>
      <c r="R2002" s="43"/>
      <c r="S2002" s="43"/>
      <c r="T2002" s="43"/>
      <c r="U2002" s="43"/>
      <c r="V2002" s="43"/>
      <c r="W2002" s="43"/>
      <c r="X2002" s="43"/>
      <c r="Y2002" s="43"/>
      <c r="Z2002" s="46"/>
      <c r="AA2002" s="46"/>
      <c r="AB2002" s="46"/>
      <c r="AC2002" s="46"/>
      <c r="AD2002" s="46"/>
      <c r="AE2002" s="46"/>
      <c r="AF2002" s="46"/>
      <c r="AG2002" s="46"/>
      <c r="AH2002" s="46"/>
      <c r="AI2002" s="46"/>
      <c r="AJ2002" s="46"/>
      <c r="AK2002" s="46"/>
      <c r="AL2002" s="46"/>
      <c r="AM2002" s="46"/>
      <c r="AN2002" s="46"/>
      <c r="AO2002" s="46"/>
      <c r="AP2002" s="46"/>
      <c r="AQ2002" s="46"/>
      <c r="AR2002" s="46"/>
      <c r="AS2002" s="46"/>
      <c r="AT2002" s="46"/>
      <c r="AU2002" s="46"/>
      <c r="AV2002" s="46"/>
      <c r="AW2002" s="46"/>
      <c r="AX2002" s="46"/>
      <c r="AY2002" s="46"/>
      <c r="AZ2002" s="46"/>
      <c r="BA2002" s="46"/>
      <c r="BB2002" s="46"/>
      <c r="BC2002" s="46"/>
      <c r="BD2002" s="46"/>
      <c r="BE2002" s="46"/>
      <c r="BF2002" s="46"/>
      <c r="BG2002" s="46"/>
      <c r="BH2002" s="46"/>
    </row>
    <row r="2003" spans="1:60" ht="16">
      <c r="A2003" s="41"/>
      <c r="B2003" s="41"/>
      <c r="C2003" s="41"/>
      <c r="D2003" s="42"/>
      <c r="E2003" s="43"/>
      <c r="F2003" s="43"/>
      <c r="G2003" s="43"/>
      <c r="H2003" s="41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3"/>
      <c r="U2003" s="43"/>
      <c r="V2003" s="43"/>
      <c r="W2003" s="43"/>
      <c r="X2003" s="43"/>
      <c r="Y2003" s="43"/>
      <c r="Z2003" s="46"/>
      <c r="AA2003" s="46"/>
      <c r="AB2003" s="46"/>
      <c r="AC2003" s="46"/>
      <c r="AD2003" s="46"/>
      <c r="AE2003" s="46"/>
      <c r="AF2003" s="46"/>
      <c r="AG2003" s="46"/>
      <c r="AH2003" s="46"/>
      <c r="AI2003" s="46"/>
      <c r="AJ2003" s="46"/>
      <c r="AK2003" s="46"/>
      <c r="AL2003" s="46"/>
      <c r="AM2003" s="46"/>
      <c r="AN2003" s="46"/>
      <c r="AO2003" s="46"/>
      <c r="AP2003" s="46"/>
      <c r="AQ2003" s="46"/>
      <c r="AR2003" s="46"/>
      <c r="AS2003" s="46"/>
      <c r="AT2003" s="46"/>
      <c r="AU2003" s="46"/>
      <c r="AV2003" s="46"/>
      <c r="AW2003" s="46"/>
      <c r="AX2003" s="46"/>
      <c r="AY2003" s="46"/>
      <c r="AZ2003" s="46"/>
      <c r="BA2003" s="46"/>
      <c r="BB2003" s="46"/>
      <c r="BC2003" s="46"/>
      <c r="BD2003" s="46"/>
      <c r="BE2003" s="46"/>
      <c r="BF2003" s="46"/>
      <c r="BG2003" s="46"/>
      <c r="BH2003" s="46"/>
    </row>
    <row r="2004" spans="1:60" ht="16">
      <c r="A2004" s="41"/>
      <c r="B2004" s="41"/>
      <c r="C2004" s="41"/>
      <c r="D2004" s="42"/>
      <c r="E2004" s="43"/>
      <c r="F2004" s="43"/>
      <c r="G2004" s="43"/>
      <c r="H2004" s="41"/>
      <c r="I2004" s="43"/>
      <c r="J2004" s="43"/>
      <c r="K2004" s="43"/>
      <c r="L2004" s="43"/>
      <c r="M2004" s="43"/>
      <c r="N2004" s="43"/>
      <c r="O2004" s="43"/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6"/>
      <c r="AA2004" s="46"/>
      <c r="AB2004" s="46"/>
      <c r="AC2004" s="46"/>
      <c r="AD2004" s="46"/>
      <c r="AE2004" s="46"/>
      <c r="AF2004" s="46"/>
      <c r="AG2004" s="46"/>
      <c r="AH2004" s="46"/>
      <c r="AI2004" s="46"/>
      <c r="AJ2004" s="46"/>
      <c r="AK2004" s="46"/>
      <c r="AL2004" s="46"/>
      <c r="AM2004" s="46"/>
      <c r="AN2004" s="46"/>
      <c r="AO2004" s="46"/>
      <c r="AP2004" s="46"/>
      <c r="AQ2004" s="46"/>
      <c r="AR2004" s="46"/>
      <c r="AS2004" s="46"/>
      <c r="AT2004" s="46"/>
      <c r="AU2004" s="46"/>
      <c r="AV2004" s="46"/>
      <c r="AW2004" s="46"/>
      <c r="AX2004" s="46"/>
      <c r="AY2004" s="46"/>
      <c r="AZ2004" s="46"/>
      <c r="BA2004" s="46"/>
      <c r="BB2004" s="46"/>
      <c r="BC2004" s="46"/>
      <c r="BD2004" s="46"/>
      <c r="BE2004" s="46"/>
      <c r="BF2004" s="46"/>
      <c r="BG2004" s="46"/>
      <c r="BH2004" s="46"/>
    </row>
    <row r="2005" spans="1:60" ht="16">
      <c r="A2005" s="41"/>
      <c r="B2005" s="41"/>
      <c r="C2005" s="41"/>
      <c r="D2005" s="42"/>
      <c r="E2005" s="43"/>
      <c r="F2005" s="43"/>
      <c r="G2005" s="43"/>
      <c r="H2005" s="41"/>
      <c r="I2005" s="43"/>
      <c r="J2005" s="43"/>
      <c r="K2005" s="43"/>
      <c r="L2005" s="43"/>
      <c r="M2005" s="43"/>
      <c r="N2005" s="43"/>
      <c r="O2005" s="43"/>
      <c r="P2005" s="43"/>
      <c r="Q2005" s="43"/>
      <c r="R2005" s="43"/>
      <c r="S2005" s="43"/>
      <c r="T2005" s="43"/>
      <c r="U2005" s="43"/>
      <c r="V2005" s="43"/>
      <c r="W2005" s="43"/>
      <c r="X2005" s="43"/>
      <c r="Y2005" s="43"/>
      <c r="Z2005" s="46"/>
      <c r="AA2005" s="46"/>
      <c r="AB2005" s="46"/>
      <c r="AC2005" s="46"/>
      <c r="AD2005" s="46"/>
      <c r="AE2005" s="46"/>
      <c r="AF2005" s="46"/>
      <c r="AG2005" s="46"/>
      <c r="AH2005" s="46"/>
      <c r="AI2005" s="46"/>
      <c r="AJ2005" s="46"/>
      <c r="AK2005" s="46"/>
      <c r="AL2005" s="46"/>
      <c r="AM2005" s="46"/>
      <c r="AN2005" s="46"/>
      <c r="AO2005" s="46"/>
      <c r="AP2005" s="46"/>
      <c r="AQ2005" s="46"/>
      <c r="AR2005" s="46"/>
      <c r="AS2005" s="46"/>
      <c r="AT2005" s="46"/>
      <c r="AU2005" s="46"/>
      <c r="AV2005" s="46"/>
      <c r="AW2005" s="46"/>
      <c r="AX2005" s="46"/>
      <c r="AY2005" s="46"/>
      <c r="AZ2005" s="46"/>
      <c r="BA2005" s="46"/>
      <c r="BB2005" s="46"/>
      <c r="BC2005" s="46"/>
      <c r="BD2005" s="46"/>
      <c r="BE2005" s="46"/>
      <c r="BF2005" s="46"/>
      <c r="BG2005" s="46"/>
      <c r="BH2005" s="46"/>
    </row>
    <row r="2006" spans="1:60" ht="16">
      <c r="A2006" s="41"/>
      <c r="B2006" s="41"/>
      <c r="C2006" s="41"/>
      <c r="D2006" s="42"/>
      <c r="E2006" s="43"/>
      <c r="F2006" s="43"/>
      <c r="G2006" s="43"/>
      <c r="H2006" s="41"/>
      <c r="I2006" s="43"/>
      <c r="J2006" s="43"/>
      <c r="K2006" s="43"/>
      <c r="L2006" s="43"/>
      <c r="M2006" s="43"/>
      <c r="N2006" s="43"/>
      <c r="O2006" s="43"/>
      <c r="P2006" s="43"/>
      <c r="Q2006" s="43"/>
      <c r="R2006" s="43"/>
      <c r="S2006" s="43"/>
      <c r="T2006" s="43"/>
      <c r="U2006" s="43"/>
      <c r="V2006" s="43"/>
      <c r="W2006" s="43"/>
      <c r="X2006" s="43"/>
      <c r="Y2006" s="43"/>
      <c r="Z2006" s="46"/>
      <c r="AA2006" s="46"/>
      <c r="AB2006" s="46"/>
      <c r="AC2006" s="46"/>
      <c r="AD2006" s="46"/>
      <c r="AE2006" s="46"/>
      <c r="AF2006" s="46"/>
      <c r="AG2006" s="46"/>
      <c r="AH2006" s="46"/>
      <c r="AI2006" s="46"/>
      <c r="AJ2006" s="46"/>
      <c r="AK2006" s="46"/>
      <c r="AL2006" s="46"/>
      <c r="AM2006" s="46"/>
      <c r="AN2006" s="46"/>
      <c r="AO2006" s="46"/>
      <c r="AP2006" s="46"/>
      <c r="AQ2006" s="46"/>
      <c r="AR2006" s="46"/>
      <c r="AS2006" s="46"/>
      <c r="AT2006" s="46"/>
      <c r="AU2006" s="46"/>
      <c r="AV2006" s="46"/>
      <c r="AW2006" s="46"/>
      <c r="AX2006" s="46"/>
      <c r="AY2006" s="46"/>
      <c r="AZ2006" s="46"/>
      <c r="BA2006" s="46"/>
      <c r="BB2006" s="46"/>
      <c r="BC2006" s="46"/>
      <c r="BD2006" s="46"/>
      <c r="BE2006" s="46"/>
      <c r="BF2006" s="46"/>
      <c r="BG2006" s="46"/>
      <c r="BH2006" s="46"/>
    </row>
    <row r="2007" spans="1:60" ht="16">
      <c r="A2007" s="41"/>
      <c r="B2007" s="41"/>
      <c r="C2007" s="41"/>
      <c r="D2007" s="42"/>
      <c r="E2007" s="43"/>
      <c r="F2007" s="43"/>
      <c r="G2007" s="43"/>
      <c r="H2007" s="41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6"/>
      <c r="AA2007" s="46"/>
      <c r="AB2007" s="46"/>
      <c r="AC2007" s="46"/>
      <c r="AD2007" s="46"/>
      <c r="AE2007" s="46"/>
      <c r="AF2007" s="46"/>
      <c r="AG2007" s="46"/>
      <c r="AH2007" s="46"/>
      <c r="AI2007" s="46"/>
      <c r="AJ2007" s="46"/>
      <c r="AK2007" s="46"/>
      <c r="AL2007" s="46"/>
      <c r="AM2007" s="46"/>
      <c r="AN2007" s="46"/>
      <c r="AO2007" s="46"/>
      <c r="AP2007" s="46"/>
      <c r="AQ2007" s="46"/>
      <c r="AR2007" s="46"/>
      <c r="AS2007" s="46"/>
      <c r="AT2007" s="46"/>
      <c r="AU2007" s="46"/>
      <c r="AV2007" s="46"/>
      <c r="AW2007" s="46"/>
      <c r="AX2007" s="46"/>
      <c r="AY2007" s="46"/>
      <c r="AZ2007" s="46"/>
      <c r="BA2007" s="46"/>
      <c r="BB2007" s="46"/>
      <c r="BC2007" s="46"/>
      <c r="BD2007" s="46"/>
      <c r="BE2007" s="46"/>
      <c r="BF2007" s="46"/>
      <c r="BG2007" s="46"/>
      <c r="BH2007" s="46"/>
    </row>
    <row r="2008" spans="1:60" ht="16">
      <c r="A2008" s="41"/>
      <c r="B2008" s="41"/>
      <c r="C2008" s="41"/>
      <c r="D2008" s="42"/>
      <c r="E2008" s="43"/>
      <c r="F2008" s="43"/>
      <c r="G2008" s="43"/>
      <c r="H2008" s="41"/>
      <c r="I2008" s="43"/>
      <c r="J2008" s="43"/>
      <c r="K2008" s="43"/>
      <c r="L2008" s="43"/>
      <c r="M2008" s="43"/>
      <c r="N2008" s="43"/>
      <c r="O2008" s="43"/>
      <c r="P2008" s="43"/>
      <c r="Q2008" s="43"/>
      <c r="R2008" s="43"/>
      <c r="S2008" s="43"/>
      <c r="T2008" s="43"/>
      <c r="U2008" s="43"/>
      <c r="V2008" s="43"/>
      <c r="W2008" s="43"/>
      <c r="X2008" s="43"/>
      <c r="Y2008" s="43"/>
      <c r="Z2008" s="46"/>
      <c r="AA2008" s="46"/>
      <c r="AB2008" s="46"/>
      <c r="AC2008" s="46"/>
      <c r="AD2008" s="46"/>
      <c r="AE2008" s="46"/>
      <c r="AF2008" s="46"/>
      <c r="AG2008" s="46"/>
      <c r="AH2008" s="46"/>
      <c r="AI2008" s="46"/>
      <c r="AJ2008" s="46"/>
      <c r="AK2008" s="46"/>
      <c r="AL2008" s="46"/>
      <c r="AM2008" s="46"/>
      <c r="AN2008" s="46"/>
      <c r="AO2008" s="46"/>
      <c r="AP2008" s="46"/>
      <c r="AQ2008" s="46"/>
      <c r="AR2008" s="46"/>
      <c r="AS2008" s="46"/>
      <c r="AT2008" s="46"/>
      <c r="AU2008" s="46"/>
      <c r="AV2008" s="46"/>
      <c r="AW2008" s="46"/>
      <c r="AX2008" s="46"/>
      <c r="AY2008" s="46"/>
      <c r="AZ2008" s="46"/>
      <c r="BA2008" s="46"/>
      <c r="BB2008" s="46"/>
      <c r="BC2008" s="46"/>
      <c r="BD2008" s="46"/>
      <c r="BE2008" s="46"/>
      <c r="BF2008" s="46"/>
      <c r="BG2008" s="46"/>
      <c r="BH2008" s="46"/>
    </row>
    <row r="2009" spans="1:60" ht="16">
      <c r="A2009" s="41"/>
      <c r="B2009" s="41"/>
      <c r="C2009" s="41"/>
      <c r="D2009" s="42"/>
      <c r="E2009" s="43"/>
      <c r="F2009" s="43"/>
      <c r="G2009" s="43"/>
      <c r="H2009" s="41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3"/>
      <c r="U2009" s="43"/>
      <c r="V2009" s="43"/>
      <c r="W2009" s="43"/>
      <c r="X2009" s="43"/>
      <c r="Y2009" s="43"/>
      <c r="Z2009" s="46"/>
      <c r="AA2009" s="46"/>
      <c r="AB2009" s="46"/>
      <c r="AC2009" s="46"/>
      <c r="AD2009" s="46"/>
      <c r="AE2009" s="46"/>
      <c r="AF2009" s="46"/>
      <c r="AG2009" s="46"/>
      <c r="AH2009" s="46"/>
      <c r="AI2009" s="46"/>
      <c r="AJ2009" s="46"/>
      <c r="AK2009" s="46"/>
      <c r="AL2009" s="46"/>
      <c r="AM2009" s="46"/>
      <c r="AN2009" s="46"/>
      <c r="AO2009" s="46"/>
      <c r="AP2009" s="46"/>
      <c r="AQ2009" s="46"/>
      <c r="AR2009" s="46"/>
      <c r="AS2009" s="46"/>
      <c r="AT2009" s="46"/>
      <c r="AU2009" s="46"/>
      <c r="AV2009" s="46"/>
      <c r="AW2009" s="46"/>
      <c r="AX2009" s="46"/>
      <c r="AY2009" s="46"/>
      <c r="AZ2009" s="46"/>
      <c r="BA2009" s="46"/>
      <c r="BB2009" s="46"/>
      <c r="BC2009" s="46"/>
      <c r="BD2009" s="46"/>
      <c r="BE2009" s="46"/>
      <c r="BF2009" s="46"/>
      <c r="BG2009" s="46"/>
      <c r="BH2009" s="46"/>
    </row>
    <row r="2010" spans="1:60" ht="16">
      <c r="A2010" s="41"/>
      <c r="B2010" s="41"/>
      <c r="C2010" s="41"/>
      <c r="D2010" s="42"/>
      <c r="E2010" s="43"/>
      <c r="F2010" s="43"/>
      <c r="G2010" s="43"/>
      <c r="H2010" s="41"/>
      <c r="I2010" s="43"/>
      <c r="J2010" s="43"/>
      <c r="K2010" s="43"/>
      <c r="L2010" s="43"/>
      <c r="M2010" s="43"/>
      <c r="N2010" s="43"/>
      <c r="O2010" s="43"/>
      <c r="P2010" s="43"/>
      <c r="Q2010" s="43"/>
      <c r="R2010" s="43"/>
      <c r="S2010" s="43"/>
      <c r="T2010" s="43"/>
      <c r="U2010" s="43"/>
      <c r="V2010" s="43"/>
      <c r="W2010" s="43"/>
      <c r="X2010" s="43"/>
      <c r="Y2010" s="43"/>
      <c r="Z2010" s="46"/>
      <c r="AA2010" s="46"/>
      <c r="AB2010" s="46"/>
      <c r="AC2010" s="46"/>
      <c r="AD2010" s="46"/>
      <c r="AE2010" s="46"/>
      <c r="AF2010" s="46"/>
      <c r="AG2010" s="46"/>
      <c r="AH2010" s="46"/>
      <c r="AI2010" s="46"/>
      <c r="AJ2010" s="46"/>
      <c r="AK2010" s="46"/>
      <c r="AL2010" s="46"/>
      <c r="AM2010" s="46"/>
      <c r="AN2010" s="46"/>
      <c r="AO2010" s="46"/>
      <c r="AP2010" s="46"/>
      <c r="AQ2010" s="46"/>
      <c r="AR2010" s="46"/>
      <c r="AS2010" s="46"/>
      <c r="AT2010" s="46"/>
      <c r="AU2010" s="46"/>
      <c r="AV2010" s="46"/>
      <c r="AW2010" s="46"/>
      <c r="AX2010" s="46"/>
      <c r="AY2010" s="46"/>
      <c r="AZ2010" s="46"/>
      <c r="BA2010" s="46"/>
      <c r="BB2010" s="46"/>
      <c r="BC2010" s="46"/>
      <c r="BD2010" s="46"/>
      <c r="BE2010" s="46"/>
      <c r="BF2010" s="46"/>
      <c r="BG2010" s="46"/>
      <c r="BH2010" s="46"/>
    </row>
    <row r="2011" spans="1:60" ht="16">
      <c r="A2011" s="41"/>
      <c r="B2011" s="41"/>
      <c r="C2011" s="41"/>
      <c r="D2011" s="42"/>
      <c r="E2011" s="43"/>
      <c r="F2011" s="43"/>
      <c r="G2011" s="43"/>
      <c r="H2011" s="41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6"/>
      <c r="AA2011" s="46"/>
      <c r="AB2011" s="46"/>
      <c r="AC2011" s="46"/>
      <c r="AD2011" s="46"/>
      <c r="AE2011" s="46"/>
      <c r="AF2011" s="46"/>
      <c r="AG2011" s="46"/>
      <c r="AH2011" s="46"/>
      <c r="AI2011" s="46"/>
      <c r="AJ2011" s="46"/>
      <c r="AK2011" s="46"/>
      <c r="AL2011" s="46"/>
      <c r="AM2011" s="46"/>
      <c r="AN2011" s="46"/>
      <c r="AO2011" s="46"/>
      <c r="AP2011" s="46"/>
      <c r="AQ2011" s="46"/>
      <c r="AR2011" s="46"/>
      <c r="AS2011" s="46"/>
      <c r="AT2011" s="46"/>
      <c r="AU2011" s="46"/>
      <c r="AV2011" s="46"/>
      <c r="AW2011" s="46"/>
      <c r="AX2011" s="46"/>
      <c r="AY2011" s="46"/>
      <c r="AZ2011" s="46"/>
      <c r="BA2011" s="46"/>
      <c r="BB2011" s="46"/>
      <c r="BC2011" s="46"/>
      <c r="BD2011" s="46"/>
      <c r="BE2011" s="46"/>
      <c r="BF2011" s="46"/>
      <c r="BG2011" s="46"/>
      <c r="BH2011" s="46"/>
    </row>
    <row r="2012" spans="1:60" ht="16">
      <c r="A2012" s="41"/>
      <c r="B2012" s="41"/>
      <c r="C2012" s="41"/>
      <c r="D2012" s="42"/>
      <c r="E2012" s="43"/>
      <c r="F2012" s="43"/>
      <c r="G2012" s="43"/>
      <c r="H2012" s="41"/>
      <c r="I2012" s="43"/>
      <c r="J2012" s="43"/>
      <c r="K2012" s="43"/>
      <c r="L2012" s="43"/>
      <c r="M2012" s="43"/>
      <c r="N2012" s="43"/>
      <c r="O2012" s="43"/>
      <c r="P2012" s="43"/>
      <c r="Q2012" s="43"/>
      <c r="R2012" s="43"/>
      <c r="S2012" s="43"/>
      <c r="T2012" s="43"/>
      <c r="U2012" s="43"/>
      <c r="V2012" s="43"/>
      <c r="W2012" s="43"/>
      <c r="X2012" s="43"/>
      <c r="Y2012" s="43"/>
      <c r="Z2012" s="46"/>
      <c r="AA2012" s="46"/>
      <c r="AB2012" s="46"/>
      <c r="AC2012" s="46"/>
      <c r="AD2012" s="46"/>
      <c r="AE2012" s="46"/>
      <c r="AF2012" s="46"/>
      <c r="AG2012" s="46"/>
      <c r="AH2012" s="46"/>
      <c r="AI2012" s="46"/>
      <c r="AJ2012" s="46"/>
      <c r="AK2012" s="46"/>
      <c r="AL2012" s="46"/>
      <c r="AM2012" s="46"/>
      <c r="AN2012" s="46"/>
      <c r="AO2012" s="46"/>
      <c r="AP2012" s="46"/>
      <c r="AQ2012" s="46"/>
      <c r="AR2012" s="46"/>
      <c r="AS2012" s="46"/>
      <c r="AT2012" s="46"/>
      <c r="AU2012" s="46"/>
      <c r="AV2012" s="46"/>
      <c r="AW2012" s="46"/>
      <c r="AX2012" s="46"/>
      <c r="AY2012" s="46"/>
      <c r="AZ2012" s="46"/>
      <c r="BA2012" s="46"/>
      <c r="BB2012" s="46"/>
      <c r="BC2012" s="46"/>
      <c r="BD2012" s="46"/>
      <c r="BE2012" s="46"/>
      <c r="BF2012" s="46"/>
      <c r="BG2012" s="46"/>
      <c r="BH2012" s="46"/>
    </row>
    <row r="2013" spans="1:60" ht="16">
      <c r="A2013" s="41"/>
      <c r="B2013" s="41"/>
      <c r="C2013" s="41"/>
      <c r="D2013" s="42"/>
      <c r="E2013" s="43"/>
      <c r="F2013" s="43"/>
      <c r="G2013" s="43"/>
      <c r="H2013" s="41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3"/>
      <c r="U2013" s="43"/>
      <c r="V2013" s="43"/>
      <c r="W2013" s="43"/>
      <c r="X2013" s="43"/>
      <c r="Y2013" s="43"/>
      <c r="Z2013" s="46"/>
      <c r="AA2013" s="46"/>
      <c r="AB2013" s="46"/>
      <c r="AC2013" s="46"/>
      <c r="AD2013" s="46"/>
      <c r="AE2013" s="46"/>
      <c r="AF2013" s="46"/>
      <c r="AG2013" s="46"/>
      <c r="AH2013" s="46"/>
      <c r="AI2013" s="46"/>
      <c r="AJ2013" s="46"/>
      <c r="AK2013" s="46"/>
      <c r="AL2013" s="46"/>
      <c r="AM2013" s="46"/>
      <c r="AN2013" s="46"/>
      <c r="AO2013" s="46"/>
      <c r="AP2013" s="46"/>
      <c r="AQ2013" s="46"/>
      <c r="AR2013" s="46"/>
      <c r="AS2013" s="46"/>
      <c r="AT2013" s="46"/>
      <c r="AU2013" s="46"/>
      <c r="AV2013" s="46"/>
      <c r="AW2013" s="46"/>
      <c r="AX2013" s="46"/>
      <c r="AY2013" s="46"/>
      <c r="AZ2013" s="46"/>
      <c r="BA2013" s="46"/>
      <c r="BB2013" s="46"/>
      <c r="BC2013" s="46"/>
      <c r="BD2013" s="46"/>
      <c r="BE2013" s="46"/>
      <c r="BF2013" s="46"/>
      <c r="BG2013" s="46"/>
      <c r="BH2013" s="46"/>
    </row>
    <row r="2014" spans="1:60" ht="16">
      <c r="A2014" s="41"/>
      <c r="B2014" s="41"/>
      <c r="C2014" s="41"/>
      <c r="D2014" s="42"/>
      <c r="E2014" s="43"/>
      <c r="F2014" s="43"/>
      <c r="G2014" s="43"/>
      <c r="H2014" s="41"/>
      <c r="I2014" s="43"/>
      <c r="J2014" s="43"/>
      <c r="K2014" s="43"/>
      <c r="L2014" s="43"/>
      <c r="M2014" s="43"/>
      <c r="N2014" s="43"/>
      <c r="O2014" s="43"/>
      <c r="P2014" s="43"/>
      <c r="Q2014" s="43"/>
      <c r="R2014" s="43"/>
      <c r="S2014" s="43"/>
      <c r="T2014" s="43"/>
      <c r="U2014" s="43"/>
      <c r="V2014" s="43"/>
      <c r="W2014" s="43"/>
      <c r="X2014" s="43"/>
      <c r="Y2014" s="43"/>
      <c r="Z2014" s="46"/>
      <c r="AA2014" s="46"/>
      <c r="AB2014" s="46"/>
      <c r="AC2014" s="46"/>
      <c r="AD2014" s="46"/>
      <c r="AE2014" s="46"/>
      <c r="AF2014" s="46"/>
      <c r="AG2014" s="46"/>
      <c r="AH2014" s="46"/>
      <c r="AI2014" s="46"/>
      <c r="AJ2014" s="46"/>
      <c r="AK2014" s="46"/>
      <c r="AL2014" s="46"/>
      <c r="AM2014" s="46"/>
      <c r="AN2014" s="46"/>
      <c r="AO2014" s="46"/>
      <c r="AP2014" s="46"/>
      <c r="AQ2014" s="46"/>
      <c r="AR2014" s="46"/>
      <c r="AS2014" s="46"/>
      <c r="AT2014" s="46"/>
      <c r="AU2014" s="46"/>
      <c r="AV2014" s="46"/>
      <c r="AW2014" s="46"/>
      <c r="AX2014" s="46"/>
      <c r="AY2014" s="46"/>
      <c r="AZ2014" s="46"/>
      <c r="BA2014" s="46"/>
      <c r="BB2014" s="46"/>
      <c r="BC2014" s="46"/>
      <c r="BD2014" s="46"/>
      <c r="BE2014" s="46"/>
      <c r="BF2014" s="46"/>
      <c r="BG2014" s="46"/>
      <c r="BH2014" s="46"/>
    </row>
    <row r="2015" spans="1:60" ht="16">
      <c r="A2015" s="41"/>
      <c r="B2015" s="41"/>
      <c r="C2015" s="41"/>
      <c r="D2015" s="42"/>
      <c r="E2015" s="43"/>
      <c r="F2015" s="43"/>
      <c r="G2015" s="43"/>
      <c r="H2015" s="41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6"/>
      <c r="AA2015" s="46"/>
      <c r="AB2015" s="46"/>
      <c r="AC2015" s="46"/>
      <c r="AD2015" s="46"/>
      <c r="AE2015" s="46"/>
      <c r="AF2015" s="46"/>
      <c r="AG2015" s="46"/>
      <c r="AH2015" s="46"/>
      <c r="AI2015" s="46"/>
      <c r="AJ2015" s="46"/>
      <c r="AK2015" s="46"/>
      <c r="AL2015" s="46"/>
      <c r="AM2015" s="46"/>
      <c r="AN2015" s="46"/>
      <c r="AO2015" s="46"/>
      <c r="AP2015" s="46"/>
      <c r="AQ2015" s="46"/>
      <c r="AR2015" s="46"/>
      <c r="AS2015" s="46"/>
      <c r="AT2015" s="46"/>
      <c r="AU2015" s="46"/>
      <c r="AV2015" s="46"/>
      <c r="AW2015" s="46"/>
      <c r="AX2015" s="46"/>
      <c r="AY2015" s="46"/>
      <c r="AZ2015" s="46"/>
      <c r="BA2015" s="46"/>
      <c r="BB2015" s="46"/>
      <c r="BC2015" s="46"/>
      <c r="BD2015" s="46"/>
      <c r="BE2015" s="46"/>
      <c r="BF2015" s="46"/>
      <c r="BG2015" s="46"/>
      <c r="BH2015" s="46"/>
    </row>
    <row r="2016" spans="1:60" ht="16">
      <c r="A2016" s="41"/>
      <c r="B2016" s="41"/>
      <c r="C2016" s="41"/>
      <c r="D2016" s="42"/>
      <c r="E2016" s="43"/>
      <c r="F2016" s="43"/>
      <c r="G2016" s="43"/>
      <c r="H2016" s="41"/>
      <c r="I2016" s="43"/>
      <c r="J2016" s="43"/>
      <c r="K2016" s="43"/>
      <c r="L2016" s="43"/>
      <c r="M2016" s="43"/>
      <c r="N2016" s="43"/>
      <c r="O2016" s="43"/>
      <c r="P2016" s="43"/>
      <c r="Q2016" s="43"/>
      <c r="R2016" s="43"/>
      <c r="S2016" s="43"/>
      <c r="T2016" s="43"/>
      <c r="U2016" s="43"/>
      <c r="V2016" s="43"/>
      <c r="W2016" s="43"/>
      <c r="X2016" s="43"/>
      <c r="Y2016" s="43"/>
      <c r="Z2016" s="46"/>
      <c r="AA2016" s="46"/>
      <c r="AB2016" s="46"/>
      <c r="AC2016" s="46"/>
      <c r="AD2016" s="46"/>
      <c r="AE2016" s="46"/>
      <c r="AF2016" s="46"/>
      <c r="AG2016" s="46"/>
      <c r="AH2016" s="46"/>
      <c r="AI2016" s="46"/>
      <c r="AJ2016" s="46"/>
      <c r="AK2016" s="46"/>
      <c r="AL2016" s="46"/>
      <c r="AM2016" s="46"/>
      <c r="AN2016" s="46"/>
      <c r="AO2016" s="46"/>
      <c r="AP2016" s="46"/>
      <c r="AQ2016" s="46"/>
      <c r="AR2016" s="46"/>
      <c r="AS2016" s="46"/>
      <c r="AT2016" s="46"/>
      <c r="AU2016" s="46"/>
      <c r="AV2016" s="46"/>
      <c r="AW2016" s="46"/>
      <c r="AX2016" s="46"/>
      <c r="AY2016" s="46"/>
      <c r="AZ2016" s="46"/>
      <c r="BA2016" s="46"/>
      <c r="BB2016" s="46"/>
      <c r="BC2016" s="46"/>
      <c r="BD2016" s="46"/>
      <c r="BE2016" s="46"/>
      <c r="BF2016" s="46"/>
      <c r="BG2016" s="46"/>
      <c r="BH2016" s="46"/>
    </row>
  </sheetData>
  <autoFilter ref="B1:B2016" xr:uid="{00000000-0009-0000-0000-000005000000}"/>
  <mergeCells count="30">
    <mergeCell ref="P4:R4"/>
    <mergeCell ref="O35:Q35"/>
    <mergeCell ref="P36:R36"/>
    <mergeCell ref="Q37:R37"/>
    <mergeCell ref="Q38:S38"/>
    <mergeCell ref="O39:P39"/>
    <mergeCell ref="P40:R40"/>
    <mergeCell ref="O41:P41"/>
    <mergeCell ref="O42:Q42"/>
    <mergeCell ref="P43:R43"/>
    <mergeCell ref="O44:Q44"/>
    <mergeCell ref="V45:X45"/>
    <mergeCell ref="O46:Q46"/>
    <mergeCell ref="Q47:S47"/>
    <mergeCell ref="Q48:R48"/>
    <mergeCell ref="Q49:T49"/>
    <mergeCell ref="O50:P50"/>
    <mergeCell ref="Q53:S53"/>
    <mergeCell ref="O54:Q54"/>
    <mergeCell ref="O55:Q55"/>
    <mergeCell ref="O56:Q56"/>
    <mergeCell ref="P66:R66"/>
    <mergeCell ref="Q131:S131"/>
    <mergeCell ref="O57:Q57"/>
    <mergeCell ref="O58:Q58"/>
    <mergeCell ref="P59:R59"/>
    <mergeCell ref="O60:Q60"/>
    <mergeCell ref="O61:Q61"/>
    <mergeCell ref="O62:Q62"/>
    <mergeCell ref="O64:Q64"/>
  </mergeCells>
  <conditionalFormatting sqref="O116:O117 O122:P122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003"/>
  <sheetViews>
    <sheetView workbookViewId="0"/>
  </sheetViews>
  <sheetFormatPr baseColWidth="10" defaultColWidth="12.6640625" defaultRowHeight="15" customHeight="1"/>
  <cols>
    <col min="2" max="2" width="22.6640625" customWidth="1"/>
    <col min="3" max="3" width="15.6640625" customWidth="1"/>
    <col min="4" max="4" width="8.6640625" customWidth="1"/>
    <col min="5" max="5" width="18.83203125" customWidth="1"/>
    <col min="6" max="6" width="24" customWidth="1"/>
  </cols>
  <sheetData>
    <row r="1" spans="1:10">
      <c r="A1" s="111" t="s">
        <v>49</v>
      </c>
      <c r="B1" s="112" t="s">
        <v>54</v>
      </c>
      <c r="C1" s="111" t="s">
        <v>279</v>
      </c>
      <c r="D1" s="112" t="s">
        <v>280</v>
      </c>
      <c r="E1" s="113" t="s">
        <v>281</v>
      </c>
      <c r="F1" s="114" t="s">
        <v>282</v>
      </c>
      <c r="G1" s="112" t="s">
        <v>283</v>
      </c>
      <c r="H1" s="112" t="s">
        <v>284</v>
      </c>
      <c r="J1" s="1"/>
    </row>
    <row r="2" spans="1:10" ht="16">
      <c r="A2" s="1">
        <v>1</v>
      </c>
      <c r="B2" s="115" t="s">
        <v>285</v>
      </c>
      <c r="C2" s="116" t="s">
        <v>286</v>
      </c>
      <c r="D2" s="117"/>
      <c r="E2" s="118" t="s">
        <v>287</v>
      </c>
      <c r="F2" s="119" t="s">
        <v>288</v>
      </c>
      <c r="G2" s="1">
        <v>2</v>
      </c>
      <c r="H2" s="1">
        <v>600</v>
      </c>
      <c r="I2" s="1" t="s">
        <v>289</v>
      </c>
    </row>
    <row r="3" spans="1:10" ht="16">
      <c r="A3" s="1">
        <v>1</v>
      </c>
      <c r="B3" s="115" t="s">
        <v>285</v>
      </c>
      <c r="C3" s="116" t="s">
        <v>286</v>
      </c>
      <c r="D3" s="117"/>
      <c r="E3" s="118" t="s">
        <v>287</v>
      </c>
      <c r="F3" s="119" t="s">
        <v>290</v>
      </c>
      <c r="G3" s="1">
        <v>2</v>
      </c>
      <c r="H3" s="1">
        <v>600</v>
      </c>
      <c r="I3" s="1" t="s">
        <v>289</v>
      </c>
    </row>
    <row r="4" spans="1:10" ht="12" customHeight="1">
      <c r="A4" s="1">
        <v>1</v>
      </c>
      <c r="B4" s="115" t="s">
        <v>285</v>
      </c>
      <c r="C4" s="116" t="s">
        <v>286</v>
      </c>
      <c r="D4" s="1"/>
      <c r="E4" s="118" t="s">
        <v>287</v>
      </c>
      <c r="F4" s="119" t="s">
        <v>291</v>
      </c>
      <c r="G4" s="1">
        <v>2</v>
      </c>
      <c r="H4" s="1">
        <v>600</v>
      </c>
      <c r="I4" s="1" t="s">
        <v>289</v>
      </c>
    </row>
    <row r="5" spans="1:10" ht="16">
      <c r="A5" s="1">
        <v>1</v>
      </c>
      <c r="B5" s="115" t="s">
        <v>285</v>
      </c>
      <c r="C5" s="116" t="s">
        <v>286</v>
      </c>
      <c r="D5" s="1"/>
      <c r="E5" s="120" t="s">
        <v>292</v>
      </c>
      <c r="F5" s="119" t="s">
        <v>293</v>
      </c>
      <c r="G5" s="1">
        <v>2</v>
      </c>
      <c r="H5" s="1">
        <v>600</v>
      </c>
      <c r="I5" s="1" t="s">
        <v>289</v>
      </c>
    </row>
    <row r="6" spans="1:10" ht="16">
      <c r="A6" s="1">
        <v>1</v>
      </c>
      <c r="B6" s="115" t="s">
        <v>285</v>
      </c>
      <c r="C6" s="116" t="s">
        <v>286</v>
      </c>
      <c r="D6" s="1"/>
      <c r="E6" s="120" t="s">
        <v>294</v>
      </c>
      <c r="F6" s="119" t="s">
        <v>295</v>
      </c>
      <c r="G6" s="1">
        <v>2</v>
      </c>
      <c r="H6" s="1">
        <v>600</v>
      </c>
      <c r="I6" s="1" t="s">
        <v>289</v>
      </c>
    </row>
    <row r="7" spans="1:10" ht="16">
      <c r="A7" s="1">
        <v>1</v>
      </c>
      <c r="B7" s="115" t="s">
        <v>285</v>
      </c>
      <c r="C7" s="116" t="s">
        <v>286</v>
      </c>
      <c r="D7" s="1"/>
      <c r="E7" s="120" t="s">
        <v>296</v>
      </c>
      <c r="F7" s="119" t="s">
        <v>297</v>
      </c>
      <c r="G7" s="1">
        <v>2</v>
      </c>
      <c r="H7" s="1">
        <v>600</v>
      </c>
      <c r="I7" s="1" t="s">
        <v>298</v>
      </c>
    </row>
    <row r="8" spans="1:10" ht="16">
      <c r="A8" s="1">
        <v>1</v>
      </c>
      <c r="B8" s="115" t="s">
        <v>285</v>
      </c>
      <c r="C8" s="121" t="s">
        <v>299</v>
      </c>
      <c r="D8" s="1"/>
      <c r="E8" s="120" t="s">
        <v>300</v>
      </c>
      <c r="F8" s="119" t="s">
        <v>301</v>
      </c>
      <c r="G8" s="1">
        <v>2</v>
      </c>
      <c r="H8" s="1">
        <v>600</v>
      </c>
      <c r="I8" s="1" t="s">
        <v>302</v>
      </c>
    </row>
    <row r="9" spans="1:10" ht="16">
      <c r="A9" s="1">
        <v>1</v>
      </c>
      <c r="B9" s="115" t="s">
        <v>285</v>
      </c>
      <c r="C9" s="116" t="s">
        <v>299</v>
      </c>
      <c r="D9" s="115"/>
      <c r="E9" s="120" t="s">
        <v>303</v>
      </c>
      <c r="F9" s="122" t="s">
        <v>304</v>
      </c>
      <c r="G9" s="123">
        <v>2</v>
      </c>
      <c r="H9" s="1">
        <v>600</v>
      </c>
      <c r="I9" s="1" t="s">
        <v>305</v>
      </c>
    </row>
    <row r="10" spans="1:10" ht="16">
      <c r="A10" s="1">
        <v>1</v>
      </c>
      <c r="B10" s="117"/>
      <c r="C10" s="116"/>
      <c r="D10" s="115"/>
      <c r="E10" s="118"/>
      <c r="F10" s="122"/>
      <c r="G10" s="123"/>
    </row>
    <row r="11" spans="1:10" ht="16">
      <c r="A11" s="1"/>
      <c r="B11" s="117"/>
      <c r="C11" s="116"/>
      <c r="D11" s="115"/>
      <c r="E11" s="118"/>
      <c r="F11" s="122"/>
      <c r="G11" s="123"/>
    </row>
    <row r="12" spans="1:10" ht="16">
      <c r="A12" s="1"/>
      <c r="B12" s="117"/>
      <c r="C12" s="116"/>
      <c r="D12" s="115"/>
      <c r="E12" s="118"/>
      <c r="F12" s="122"/>
      <c r="G12" s="123"/>
    </row>
    <row r="13" spans="1:10" ht="16">
      <c r="A13" s="1"/>
      <c r="B13" s="117"/>
      <c r="C13" s="124"/>
      <c r="D13" s="117"/>
      <c r="E13" s="118"/>
      <c r="F13" s="125"/>
      <c r="G13" s="126"/>
    </row>
    <row r="14" spans="1:10" ht="16">
      <c r="A14" s="127"/>
      <c r="B14" s="117"/>
      <c r="C14" s="124"/>
      <c r="D14" s="117"/>
      <c r="E14" s="118"/>
      <c r="F14" s="125"/>
      <c r="G14" s="126"/>
    </row>
    <row r="15" spans="1:10" ht="16">
      <c r="A15" s="1"/>
      <c r="B15" s="117"/>
      <c r="C15" s="124"/>
      <c r="D15" s="117"/>
      <c r="E15" s="118"/>
      <c r="F15" s="125"/>
      <c r="G15" s="126"/>
    </row>
    <row r="16" spans="1:10" ht="16">
      <c r="A16" s="115"/>
      <c r="B16" s="117"/>
      <c r="C16" s="124"/>
      <c r="D16" s="117"/>
      <c r="E16" s="118"/>
      <c r="F16" s="125"/>
      <c r="G16" s="117"/>
    </row>
    <row r="17" spans="1:8" ht="16">
      <c r="A17" s="115"/>
      <c r="B17" s="117"/>
      <c r="C17" s="124"/>
      <c r="D17" s="117"/>
      <c r="E17" s="118"/>
      <c r="F17" s="125"/>
      <c r="G17" s="117"/>
    </row>
    <row r="18" spans="1:8" ht="16">
      <c r="A18" s="115"/>
      <c r="B18" s="117"/>
      <c r="C18" s="124"/>
      <c r="D18" s="117"/>
      <c r="E18" s="118"/>
      <c r="F18" s="125"/>
      <c r="G18" s="117"/>
    </row>
    <row r="19" spans="1:8" ht="16">
      <c r="A19" s="115"/>
      <c r="B19" s="117"/>
      <c r="C19" s="124"/>
      <c r="D19" s="117"/>
      <c r="E19" s="118"/>
      <c r="F19" s="125"/>
      <c r="G19" s="117"/>
    </row>
    <row r="20" spans="1:8" ht="16">
      <c r="A20" s="115"/>
      <c r="B20" s="117"/>
      <c r="C20" s="124"/>
      <c r="D20" s="117"/>
      <c r="E20" s="118"/>
      <c r="F20" s="125"/>
      <c r="G20" s="117"/>
    </row>
    <row r="21" spans="1:8" ht="16">
      <c r="A21" s="115"/>
      <c r="B21" s="117"/>
      <c r="C21" s="124"/>
      <c r="D21" s="117"/>
      <c r="E21" s="118"/>
      <c r="F21" s="125"/>
      <c r="G21" s="117"/>
    </row>
    <row r="22" spans="1:8" ht="16">
      <c r="A22" s="115"/>
      <c r="B22" s="117"/>
      <c r="C22" s="124"/>
      <c r="D22" s="117"/>
      <c r="E22" s="118"/>
      <c r="F22" s="125"/>
      <c r="G22" s="117"/>
    </row>
    <row r="23" spans="1:8" ht="16">
      <c r="A23" s="115"/>
      <c r="B23" s="117"/>
      <c r="C23" s="124"/>
      <c r="D23" s="117"/>
      <c r="E23" s="118"/>
      <c r="F23" s="1"/>
      <c r="G23" s="1"/>
      <c r="H23" s="117"/>
    </row>
    <row r="24" spans="1:8" ht="16">
      <c r="A24" s="115"/>
      <c r="B24" s="117"/>
      <c r="C24" s="124"/>
      <c r="D24" s="117"/>
      <c r="E24" s="118"/>
      <c r="F24" s="1"/>
      <c r="G24" s="1"/>
      <c r="H24" s="117"/>
    </row>
    <row r="25" spans="1:8" ht="16">
      <c r="A25" s="115"/>
      <c r="B25" s="117"/>
      <c r="C25" s="124"/>
      <c r="D25" s="1"/>
      <c r="E25" s="120"/>
      <c r="F25" s="1"/>
      <c r="G25" s="1"/>
    </row>
    <row r="26" spans="1:8" ht="16">
      <c r="A26" s="115"/>
      <c r="B26" s="117"/>
      <c r="C26" s="124"/>
      <c r="D26" s="1"/>
      <c r="E26" s="120"/>
      <c r="F26" s="1"/>
      <c r="G26" s="1"/>
    </row>
    <row r="27" spans="1:8" ht="16">
      <c r="A27" s="115"/>
      <c r="B27" s="117"/>
      <c r="C27" s="124"/>
      <c r="D27" s="128"/>
      <c r="E27" s="129"/>
      <c r="F27" s="125"/>
      <c r="G27" s="117"/>
    </row>
    <row r="28" spans="1:8" ht="16">
      <c r="A28" s="115"/>
      <c r="B28" s="117"/>
      <c r="C28" s="130"/>
      <c r="D28" s="128"/>
      <c r="E28" s="129"/>
      <c r="F28" s="131"/>
    </row>
    <row r="29" spans="1:8" ht="16">
      <c r="A29" s="115"/>
      <c r="B29" s="117"/>
      <c r="C29" s="132"/>
      <c r="D29" s="128"/>
      <c r="E29" s="129"/>
      <c r="F29" s="133"/>
      <c r="G29" s="6"/>
    </row>
    <row r="30" spans="1:8" ht="16">
      <c r="A30" s="115"/>
      <c r="B30" s="117"/>
      <c r="C30" s="124"/>
      <c r="D30" s="1"/>
      <c r="E30" s="120"/>
      <c r="F30" s="119"/>
      <c r="G30" s="1"/>
    </row>
    <row r="31" spans="1:8" ht="16">
      <c r="A31" s="115"/>
      <c r="B31" s="117"/>
      <c r="C31" s="124"/>
      <c r="E31" s="120"/>
      <c r="F31" s="119"/>
      <c r="G31" s="1"/>
    </row>
    <row r="32" spans="1:8" ht="16">
      <c r="A32" s="115"/>
      <c r="B32" s="117"/>
      <c r="C32" s="124"/>
      <c r="E32" s="120"/>
      <c r="F32" s="119"/>
      <c r="G32" s="1"/>
    </row>
    <row r="33" spans="1:9" ht="16">
      <c r="A33" s="115"/>
      <c r="B33" s="117"/>
      <c r="C33" s="124"/>
      <c r="D33" s="1"/>
      <c r="E33" s="120"/>
      <c r="F33" s="119"/>
      <c r="G33" s="1"/>
    </row>
    <row r="34" spans="1:9" ht="16">
      <c r="A34" s="115"/>
      <c r="B34" s="117"/>
      <c r="C34" s="124"/>
      <c r="E34" s="120"/>
      <c r="F34" s="119"/>
      <c r="G34" s="1"/>
    </row>
    <row r="35" spans="1:9" ht="16">
      <c r="A35" s="1"/>
      <c r="B35" s="117"/>
      <c r="C35" s="117"/>
      <c r="E35" s="118"/>
      <c r="F35" s="117"/>
      <c r="G35" s="126"/>
    </row>
    <row r="36" spans="1:9" ht="16">
      <c r="A36" s="1"/>
      <c r="B36" s="117"/>
      <c r="C36" s="117"/>
      <c r="E36" s="118"/>
      <c r="F36" s="117"/>
      <c r="G36" s="123"/>
    </row>
    <row r="37" spans="1:9" ht="16">
      <c r="A37" s="1"/>
      <c r="B37" s="117"/>
      <c r="C37" s="117"/>
      <c r="E37" s="118"/>
      <c r="F37" s="117"/>
      <c r="G37" s="126"/>
    </row>
    <row r="38" spans="1:9" ht="16">
      <c r="A38" s="1"/>
      <c r="B38" s="117"/>
      <c r="C38" s="117"/>
      <c r="E38" s="118"/>
      <c r="F38" s="117"/>
      <c r="G38" s="126"/>
    </row>
    <row r="39" spans="1:9" ht="16">
      <c r="A39" s="1"/>
      <c r="B39" s="117"/>
      <c r="C39" s="117"/>
      <c r="E39" s="118"/>
      <c r="F39" s="117"/>
      <c r="G39" s="126"/>
    </row>
    <row r="40" spans="1:9" ht="16">
      <c r="A40" s="1"/>
      <c r="B40" s="115"/>
      <c r="C40" s="1"/>
      <c r="E40" s="134"/>
      <c r="F40" s="119"/>
      <c r="G40" s="1"/>
    </row>
    <row r="41" spans="1:9" ht="16">
      <c r="A41" s="1"/>
      <c r="B41" s="117"/>
      <c r="C41" s="1"/>
      <c r="D41" s="1"/>
      <c r="E41" s="135"/>
      <c r="F41" s="1"/>
      <c r="G41" s="1"/>
    </row>
    <row r="42" spans="1:9" ht="16">
      <c r="A42" s="1"/>
      <c r="B42" s="117"/>
      <c r="C42" s="117"/>
      <c r="E42" s="136"/>
      <c r="F42" s="137"/>
      <c r="G42" s="1"/>
    </row>
    <row r="43" spans="1:9" ht="16">
      <c r="A43" s="1"/>
      <c r="B43" s="117"/>
      <c r="C43" s="117"/>
      <c r="D43" s="1"/>
      <c r="E43" s="118"/>
      <c r="F43" s="137"/>
      <c r="G43" s="1"/>
    </row>
    <row r="44" spans="1:9" ht="16">
      <c r="A44" s="1"/>
      <c r="B44" s="117"/>
      <c r="C44" s="1"/>
      <c r="E44" s="120"/>
      <c r="F44" s="119"/>
      <c r="G44" s="1"/>
    </row>
    <row r="45" spans="1:9" ht="16">
      <c r="A45" s="1"/>
      <c r="B45" s="117"/>
      <c r="C45" s="1"/>
      <c r="E45" s="120"/>
      <c r="F45" s="119"/>
      <c r="G45" s="1"/>
      <c r="H45" s="1"/>
      <c r="I45" s="22"/>
    </row>
    <row r="46" spans="1:9" ht="16">
      <c r="A46" s="1"/>
      <c r="B46" s="117"/>
      <c r="C46" s="1"/>
      <c r="E46" s="120"/>
      <c r="F46" s="119"/>
      <c r="G46" s="1"/>
      <c r="H46" s="1"/>
      <c r="I46" s="1"/>
    </row>
    <row r="47" spans="1:9" ht="16">
      <c r="A47" s="1"/>
      <c r="B47" s="117"/>
      <c r="C47" s="1"/>
      <c r="E47" s="120"/>
      <c r="F47" s="119"/>
      <c r="G47" s="1"/>
      <c r="H47" s="1"/>
      <c r="I47" s="1"/>
    </row>
    <row r="48" spans="1:9" ht="16">
      <c r="A48" s="1"/>
      <c r="B48" s="117"/>
      <c r="C48" s="1"/>
      <c r="E48" s="120"/>
      <c r="F48" s="119"/>
      <c r="G48" s="1"/>
      <c r="H48" s="1"/>
      <c r="I48" s="1"/>
    </row>
    <row r="49" spans="1:8" ht="16">
      <c r="A49" s="1"/>
      <c r="B49" s="117"/>
      <c r="C49" s="1"/>
      <c r="E49" s="120"/>
      <c r="F49" s="119"/>
      <c r="G49" s="1"/>
      <c r="H49" s="1"/>
    </row>
    <row r="50" spans="1:8" ht="16">
      <c r="A50" s="1"/>
      <c r="B50" s="117"/>
      <c r="C50" s="1"/>
      <c r="E50" s="120"/>
      <c r="F50" s="119"/>
      <c r="G50" s="1"/>
      <c r="H50" s="1"/>
    </row>
    <row r="51" spans="1:8" ht="16">
      <c r="A51" s="1"/>
      <c r="B51" s="117"/>
      <c r="C51" s="1"/>
      <c r="E51" s="120"/>
      <c r="F51" s="119"/>
      <c r="G51" s="1"/>
    </row>
    <row r="52" spans="1:8" ht="16">
      <c r="A52" s="1"/>
      <c r="B52" s="117"/>
      <c r="C52" s="1"/>
      <c r="E52" s="120"/>
      <c r="F52" s="119"/>
      <c r="G52" s="1"/>
    </row>
    <row r="53" spans="1:8">
      <c r="A53" s="1"/>
      <c r="B53" s="1"/>
      <c r="C53" s="1"/>
      <c r="E53" s="120"/>
      <c r="F53" s="119"/>
      <c r="G53" s="1"/>
    </row>
    <row r="54" spans="1:8">
      <c r="A54" s="1"/>
      <c r="B54" s="1"/>
      <c r="C54" s="1"/>
      <c r="E54" s="120"/>
      <c r="F54" s="119"/>
      <c r="G54" s="1"/>
    </row>
    <row r="55" spans="1:8">
      <c r="A55" s="1"/>
      <c r="B55" s="1"/>
      <c r="C55" s="1"/>
      <c r="E55" s="120"/>
      <c r="F55" s="120"/>
      <c r="G55" s="1"/>
    </row>
    <row r="56" spans="1:8">
      <c r="A56" s="1"/>
      <c r="B56" s="1"/>
      <c r="C56" s="1"/>
      <c r="E56" s="120"/>
      <c r="F56" s="119"/>
      <c r="G56" s="1"/>
    </row>
    <row r="57" spans="1:8">
      <c r="A57" s="1"/>
      <c r="B57" s="1"/>
      <c r="C57" s="1"/>
      <c r="E57" s="120"/>
      <c r="F57" s="119"/>
      <c r="G57" s="1"/>
    </row>
    <row r="58" spans="1:8">
      <c r="A58" s="1"/>
      <c r="B58" s="1"/>
      <c r="C58" s="1"/>
      <c r="E58" s="120"/>
      <c r="F58" s="119"/>
      <c r="G58" s="1"/>
    </row>
    <row r="59" spans="1:8">
      <c r="A59" s="1"/>
      <c r="B59" s="1"/>
      <c r="C59" s="1"/>
      <c r="E59" s="120"/>
      <c r="F59" s="119"/>
      <c r="G59" s="1"/>
    </row>
    <row r="60" spans="1:8">
      <c r="A60" s="1"/>
      <c r="B60" s="1"/>
      <c r="C60" s="1"/>
      <c r="E60" s="120"/>
      <c r="F60" s="119"/>
      <c r="G60" s="1"/>
    </row>
    <row r="61" spans="1:8">
      <c r="A61" s="1"/>
      <c r="B61" s="1"/>
      <c r="C61" s="1"/>
      <c r="E61" s="120"/>
      <c r="F61" s="119"/>
      <c r="G61" s="1"/>
    </row>
    <row r="62" spans="1:8">
      <c r="A62" s="1"/>
      <c r="B62" s="1"/>
      <c r="C62" s="1"/>
      <c r="E62" s="1"/>
      <c r="F62" s="120"/>
      <c r="G62" s="1"/>
    </row>
    <row r="63" spans="1:8">
      <c r="A63" s="1"/>
      <c r="B63" s="1"/>
      <c r="C63" s="1"/>
      <c r="E63" s="120"/>
      <c r="F63" s="119"/>
      <c r="G63" s="1"/>
    </row>
    <row r="64" spans="1:8">
      <c r="A64" s="1"/>
      <c r="B64" s="1"/>
      <c r="C64" s="1"/>
      <c r="E64" s="120"/>
      <c r="F64" s="119"/>
      <c r="G64" s="1"/>
    </row>
    <row r="65" spans="1:7">
      <c r="A65" s="1"/>
      <c r="B65" s="1"/>
      <c r="C65" s="1"/>
      <c r="E65" s="138"/>
      <c r="F65" s="119"/>
      <c r="G65" s="1"/>
    </row>
    <row r="66" spans="1:7">
      <c r="A66" s="1"/>
      <c r="B66" s="1"/>
      <c r="C66" s="1"/>
      <c r="E66" s="138"/>
      <c r="F66" s="119"/>
      <c r="G66" s="1"/>
    </row>
    <row r="67" spans="1:7">
      <c r="A67" s="1"/>
      <c r="B67" s="1"/>
      <c r="C67" s="1"/>
      <c r="E67" s="120"/>
      <c r="F67" s="119"/>
      <c r="G67" s="1"/>
    </row>
    <row r="68" spans="1:7">
      <c r="A68" s="1"/>
      <c r="B68" s="1"/>
      <c r="C68" s="1"/>
      <c r="E68" s="120"/>
      <c r="F68" s="119"/>
      <c r="G68" s="1"/>
    </row>
    <row r="69" spans="1:7">
      <c r="E69" s="135"/>
      <c r="F69" s="131"/>
    </row>
    <row r="70" spans="1:7">
      <c r="E70" s="135"/>
      <c r="F70" s="131"/>
    </row>
    <row r="71" spans="1:7">
      <c r="E71" s="135"/>
      <c r="F71" s="131"/>
    </row>
    <row r="72" spans="1:7">
      <c r="E72" s="135"/>
      <c r="F72" s="131"/>
    </row>
    <row r="73" spans="1:7">
      <c r="E73" s="135"/>
      <c r="F73" s="131"/>
    </row>
    <row r="74" spans="1:7">
      <c r="E74" s="135"/>
      <c r="F74" s="131"/>
    </row>
    <row r="75" spans="1:7">
      <c r="E75" s="135"/>
      <c r="F75" s="131"/>
    </row>
    <row r="76" spans="1:7">
      <c r="E76" s="135"/>
      <c r="F76" s="131"/>
    </row>
    <row r="77" spans="1:7">
      <c r="E77" s="135"/>
      <c r="F77" s="131"/>
    </row>
    <row r="78" spans="1:7">
      <c r="E78" s="135"/>
      <c r="F78" s="131"/>
    </row>
    <row r="79" spans="1:7">
      <c r="E79" s="135"/>
      <c r="F79" s="131"/>
    </row>
    <row r="80" spans="1:7">
      <c r="E80" s="135"/>
      <c r="F80" s="131"/>
    </row>
    <row r="81" spans="5:6">
      <c r="E81" s="135"/>
      <c r="F81" s="131"/>
    </row>
    <row r="82" spans="5:6">
      <c r="E82" s="135"/>
      <c r="F82" s="131"/>
    </row>
    <row r="83" spans="5:6">
      <c r="E83" s="135"/>
      <c r="F83" s="131"/>
    </row>
    <row r="84" spans="5:6">
      <c r="E84" s="135"/>
      <c r="F84" s="131"/>
    </row>
    <row r="85" spans="5:6">
      <c r="E85" s="135"/>
      <c r="F85" s="131"/>
    </row>
    <row r="86" spans="5:6">
      <c r="E86" s="135"/>
      <c r="F86" s="131"/>
    </row>
    <row r="87" spans="5:6">
      <c r="E87" s="135"/>
      <c r="F87" s="131"/>
    </row>
    <row r="88" spans="5:6">
      <c r="E88" s="135"/>
      <c r="F88" s="131"/>
    </row>
    <row r="89" spans="5:6">
      <c r="E89" s="135"/>
      <c r="F89" s="131"/>
    </row>
    <row r="90" spans="5:6">
      <c r="E90" s="135"/>
      <c r="F90" s="131"/>
    </row>
    <row r="91" spans="5:6">
      <c r="E91" s="135"/>
      <c r="F91" s="131"/>
    </row>
    <row r="92" spans="5:6">
      <c r="E92" s="135"/>
      <c r="F92" s="131"/>
    </row>
    <row r="93" spans="5:6">
      <c r="E93" s="135"/>
      <c r="F93" s="131"/>
    </row>
    <row r="94" spans="5:6">
      <c r="E94" s="135"/>
      <c r="F94" s="131"/>
    </row>
    <row r="95" spans="5:6">
      <c r="E95" s="135"/>
      <c r="F95" s="131"/>
    </row>
    <row r="96" spans="5:6">
      <c r="E96" s="135"/>
      <c r="F96" s="131"/>
    </row>
    <row r="97" spans="5:6">
      <c r="E97" s="135"/>
      <c r="F97" s="131"/>
    </row>
    <row r="98" spans="5:6">
      <c r="E98" s="135"/>
      <c r="F98" s="131"/>
    </row>
    <row r="99" spans="5:6">
      <c r="E99" s="135"/>
      <c r="F99" s="131"/>
    </row>
    <row r="100" spans="5:6">
      <c r="E100" s="135"/>
      <c r="F100" s="131"/>
    </row>
    <row r="101" spans="5:6">
      <c r="E101" s="135"/>
      <c r="F101" s="131"/>
    </row>
    <row r="102" spans="5:6">
      <c r="E102" s="135"/>
      <c r="F102" s="131"/>
    </row>
    <row r="103" spans="5:6">
      <c r="E103" s="135"/>
      <c r="F103" s="131"/>
    </row>
    <row r="104" spans="5:6">
      <c r="E104" s="135"/>
      <c r="F104" s="131"/>
    </row>
    <row r="105" spans="5:6">
      <c r="E105" s="135"/>
      <c r="F105" s="131"/>
    </row>
    <row r="106" spans="5:6">
      <c r="E106" s="135"/>
      <c r="F106" s="131"/>
    </row>
    <row r="107" spans="5:6">
      <c r="E107" s="135"/>
      <c r="F107" s="131"/>
    </row>
    <row r="108" spans="5:6">
      <c r="E108" s="135"/>
      <c r="F108" s="131"/>
    </row>
    <row r="109" spans="5:6">
      <c r="E109" s="135"/>
      <c r="F109" s="131"/>
    </row>
    <row r="110" spans="5:6">
      <c r="E110" s="135"/>
      <c r="F110" s="131"/>
    </row>
    <row r="111" spans="5:6">
      <c r="E111" s="135"/>
      <c r="F111" s="131"/>
    </row>
    <row r="112" spans="5:6">
      <c r="E112" s="135"/>
      <c r="F112" s="131"/>
    </row>
    <row r="113" spans="5:6">
      <c r="E113" s="135"/>
      <c r="F113" s="131"/>
    </row>
    <row r="114" spans="5:6">
      <c r="E114" s="135"/>
      <c r="F114" s="131"/>
    </row>
    <row r="115" spans="5:6">
      <c r="E115" s="135"/>
      <c r="F115" s="131"/>
    </row>
    <row r="116" spans="5:6">
      <c r="E116" s="135"/>
      <c r="F116" s="131"/>
    </row>
    <row r="117" spans="5:6">
      <c r="E117" s="135"/>
      <c r="F117" s="131"/>
    </row>
    <row r="118" spans="5:6">
      <c r="E118" s="135"/>
      <c r="F118" s="131"/>
    </row>
    <row r="119" spans="5:6">
      <c r="E119" s="135"/>
      <c r="F119" s="131"/>
    </row>
    <row r="120" spans="5:6">
      <c r="E120" s="135"/>
      <c r="F120" s="131"/>
    </row>
    <row r="121" spans="5:6">
      <c r="E121" s="135"/>
      <c r="F121" s="131"/>
    </row>
    <row r="122" spans="5:6">
      <c r="E122" s="135"/>
      <c r="F122" s="131"/>
    </row>
    <row r="123" spans="5:6">
      <c r="E123" s="135"/>
      <c r="F123" s="131"/>
    </row>
    <row r="124" spans="5:6">
      <c r="E124" s="135"/>
      <c r="F124" s="131"/>
    </row>
    <row r="125" spans="5:6">
      <c r="E125" s="135"/>
      <c r="F125" s="131"/>
    </row>
    <row r="126" spans="5:6">
      <c r="E126" s="135"/>
      <c r="F126" s="131"/>
    </row>
    <row r="127" spans="5:6">
      <c r="E127" s="135"/>
      <c r="F127" s="131"/>
    </row>
    <row r="128" spans="5:6">
      <c r="E128" s="135"/>
      <c r="F128" s="131"/>
    </row>
    <row r="129" spans="5:6">
      <c r="E129" s="135"/>
      <c r="F129" s="131"/>
    </row>
    <row r="130" spans="5:6">
      <c r="E130" s="135"/>
      <c r="F130" s="131"/>
    </row>
    <row r="131" spans="5:6">
      <c r="E131" s="135"/>
      <c r="F131" s="131"/>
    </row>
    <row r="132" spans="5:6">
      <c r="E132" s="135"/>
      <c r="F132" s="131"/>
    </row>
    <row r="133" spans="5:6">
      <c r="E133" s="135"/>
      <c r="F133" s="131"/>
    </row>
    <row r="134" spans="5:6">
      <c r="E134" s="135"/>
      <c r="F134" s="131"/>
    </row>
    <row r="135" spans="5:6">
      <c r="E135" s="135"/>
      <c r="F135" s="131"/>
    </row>
    <row r="136" spans="5:6">
      <c r="E136" s="135"/>
      <c r="F136" s="131"/>
    </row>
    <row r="137" spans="5:6">
      <c r="E137" s="135"/>
      <c r="F137" s="131"/>
    </row>
    <row r="138" spans="5:6">
      <c r="E138" s="135"/>
      <c r="F138" s="131"/>
    </row>
    <row r="139" spans="5:6">
      <c r="E139" s="135"/>
      <c r="F139" s="131"/>
    </row>
    <row r="140" spans="5:6">
      <c r="E140" s="135"/>
      <c r="F140" s="131"/>
    </row>
    <row r="141" spans="5:6">
      <c r="E141" s="135"/>
      <c r="F141" s="131"/>
    </row>
    <row r="142" spans="5:6">
      <c r="E142" s="135"/>
      <c r="F142" s="131"/>
    </row>
    <row r="143" spans="5:6">
      <c r="E143" s="135"/>
      <c r="F143" s="131"/>
    </row>
    <row r="144" spans="5:6">
      <c r="E144" s="135"/>
      <c r="F144" s="131"/>
    </row>
    <row r="145" spans="5:6">
      <c r="E145" s="135"/>
      <c r="F145" s="131"/>
    </row>
    <row r="146" spans="5:6">
      <c r="E146" s="135"/>
      <c r="F146" s="131"/>
    </row>
    <row r="147" spans="5:6">
      <c r="E147" s="135"/>
      <c r="F147" s="131"/>
    </row>
    <row r="148" spans="5:6">
      <c r="E148" s="135"/>
      <c r="F148" s="131"/>
    </row>
    <row r="149" spans="5:6">
      <c r="E149" s="135"/>
      <c r="F149" s="131"/>
    </row>
    <row r="150" spans="5:6">
      <c r="E150" s="135"/>
      <c r="F150" s="131"/>
    </row>
    <row r="151" spans="5:6">
      <c r="E151" s="135"/>
      <c r="F151" s="131"/>
    </row>
    <row r="152" spans="5:6">
      <c r="E152" s="135"/>
      <c r="F152" s="131"/>
    </row>
    <row r="153" spans="5:6">
      <c r="E153" s="135"/>
      <c r="F153" s="131"/>
    </row>
    <row r="154" spans="5:6">
      <c r="E154" s="135"/>
      <c r="F154" s="131"/>
    </row>
    <row r="155" spans="5:6">
      <c r="E155" s="135"/>
      <c r="F155" s="131"/>
    </row>
    <row r="156" spans="5:6">
      <c r="E156" s="135"/>
      <c r="F156" s="131"/>
    </row>
    <row r="157" spans="5:6">
      <c r="E157" s="135"/>
      <c r="F157" s="131"/>
    </row>
    <row r="158" spans="5:6">
      <c r="E158" s="135"/>
      <c r="F158" s="131"/>
    </row>
    <row r="159" spans="5:6">
      <c r="E159" s="135"/>
      <c r="F159" s="131"/>
    </row>
    <row r="160" spans="5:6">
      <c r="E160" s="135"/>
      <c r="F160" s="131"/>
    </row>
    <row r="161" spans="5:6">
      <c r="E161" s="135"/>
      <c r="F161" s="131"/>
    </row>
    <row r="162" spans="5:6">
      <c r="E162" s="135"/>
      <c r="F162" s="131"/>
    </row>
    <row r="163" spans="5:6">
      <c r="E163" s="135"/>
      <c r="F163" s="131"/>
    </row>
    <row r="164" spans="5:6">
      <c r="E164" s="135"/>
      <c r="F164" s="131"/>
    </row>
    <row r="165" spans="5:6">
      <c r="E165" s="135"/>
      <c r="F165" s="131"/>
    </row>
    <row r="166" spans="5:6">
      <c r="E166" s="135"/>
      <c r="F166" s="131"/>
    </row>
    <row r="167" spans="5:6">
      <c r="E167" s="135"/>
      <c r="F167" s="131"/>
    </row>
    <row r="168" spans="5:6">
      <c r="E168" s="135"/>
      <c r="F168" s="131"/>
    </row>
    <row r="169" spans="5:6">
      <c r="E169" s="135"/>
      <c r="F169" s="131"/>
    </row>
    <row r="170" spans="5:6">
      <c r="E170" s="135"/>
      <c r="F170" s="131"/>
    </row>
    <row r="171" spans="5:6">
      <c r="E171" s="135"/>
      <c r="F171" s="131"/>
    </row>
    <row r="172" spans="5:6">
      <c r="E172" s="135"/>
      <c r="F172" s="131"/>
    </row>
    <row r="173" spans="5:6">
      <c r="E173" s="135"/>
      <c r="F173" s="131"/>
    </row>
    <row r="174" spans="5:6">
      <c r="E174" s="135"/>
      <c r="F174" s="131"/>
    </row>
    <row r="175" spans="5:6">
      <c r="E175" s="135"/>
      <c r="F175" s="131"/>
    </row>
    <row r="176" spans="5:6">
      <c r="E176" s="135"/>
      <c r="F176" s="131"/>
    </row>
    <row r="177" spans="5:6">
      <c r="E177" s="135"/>
      <c r="F177" s="131"/>
    </row>
    <row r="178" spans="5:6">
      <c r="E178" s="135"/>
      <c r="F178" s="131"/>
    </row>
    <row r="179" spans="5:6">
      <c r="E179" s="135"/>
      <c r="F179" s="131"/>
    </row>
    <row r="180" spans="5:6">
      <c r="E180" s="135"/>
      <c r="F180" s="131"/>
    </row>
    <row r="181" spans="5:6">
      <c r="E181" s="135"/>
      <c r="F181" s="131"/>
    </row>
    <row r="182" spans="5:6">
      <c r="E182" s="135"/>
      <c r="F182" s="131"/>
    </row>
    <row r="183" spans="5:6">
      <c r="E183" s="135"/>
      <c r="F183" s="131"/>
    </row>
    <row r="184" spans="5:6">
      <c r="E184" s="135"/>
      <c r="F184" s="131"/>
    </row>
    <row r="185" spans="5:6">
      <c r="E185" s="135"/>
      <c r="F185" s="131"/>
    </row>
    <row r="186" spans="5:6">
      <c r="E186" s="135"/>
      <c r="F186" s="131"/>
    </row>
    <row r="187" spans="5:6">
      <c r="E187" s="135"/>
      <c r="F187" s="131"/>
    </row>
    <row r="188" spans="5:6">
      <c r="E188" s="135"/>
      <c r="F188" s="131"/>
    </row>
    <row r="189" spans="5:6">
      <c r="E189" s="135"/>
      <c r="F189" s="131"/>
    </row>
    <row r="190" spans="5:6">
      <c r="E190" s="135"/>
      <c r="F190" s="131"/>
    </row>
    <row r="191" spans="5:6">
      <c r="E191" s="135"/>
      <c r="F191" s="131"/>
    </row>
    <row r="192" spans="5:6">
      <c r="E192" s="135"/>
      <c r="F192" s="131"/>
    </row>
    <row r="193" spans="5:6">
      <c r="E193" s="135"/>
      <c r="F193" s="131"/>
    </row>
    <row r="194" spans="5:6">
      <c r="E194" s="135"/>
      <c r="F194" s="131"/>
    </row>
    <row r="195" spans="5:6">
      <c r="E195" s="135"/>
      <c r="F195" s="131"/>
    </row>
    <row r="196" spans="5:6">
      <c r="E196" s="135"/>
      <c r="F196" s="131"/>
    </row>
    <row r="197" spans="5:6">
      <c r="E197" s="135"/>
      <c r="F197" s="131"/>
    </row>
    <row r="198" spans="5:6">
      <c r="E198" s="135"/>
      <c r="F198" s="131"/>
    </row>
    <row r="199" spans="5:6">
      <c r="E199" s="135"/>
      <c r="F199" s="131"/>
    </row>
    <row r="200" spans="5:6">
      <c r="E200" s="135"/>
      <c r="F200" s="131"/>
    </row>
    <row r="201" spans="5:6">
      <c r="E201" s="135"/>
      <c r="F201" s="131"/>
    </row>
    <row r="202" spans="5:6">
      <c r="E202" s="135"/>
      <c r="F202" s="131"/>
    </row>
    <row r="203" spans="5:6">
      <c r="E203" s="135"/>
      <c r="F203" s="131"/>
    </row>
    <row r="204" spans="5:6">
      <c r="E204" s="135"/>
      <c r="F204" s="131"/>
    </row>
    <row r="205" spans="5:6">
      <c r="E205" s="135"/>
      <c r="F205" s="131"/>
    </row>
    <row r="206" spans="5:6">
      <c r="E206" s="135"/>
      <c r="F206" s="131"/>
    </row>
    <row r="207" spans="5:6">
      <c r="E207" s="135"/>
      <c r="F207" s="131"/>
    </row>
    <row r="208" spans="5:6">
      <c r="E208" s="135"/>
      <c r="F208" s="131"/>
    </row>
    <row r="209" spans="5:6">
      <c r="E209" s="135"/>
      <c r="F209" s="131"/>
    </row>
    <row r="210" spans="5:6">
      <c r="E210" s="135"/>
      <c r="F210" s="131"/>
    </row>
    <row r="211" spans="5:6">
      <c r="E211" s="135"/>
      <c r="F211" s="131"/>
    </row>
    <row r="212" spans="5:6">
      <c r="E212" s="135"/>
      <c r="F212" s="131"/>
    </row>
    <row r="213" spans="5:6">
      <c r="E213" s="135"/>
      <c r="F213" s="131"/>
    </row>
    <row r="214" spans="5:6">
      <c r="E214" s="135"/>
      <c r="F214" s="131"/>
    </row>
    <row r="215" spans="5:6">
      <c r="E215" s="135"/>
      <c r="F215" s="131"/>
    </row>
    <row r="216" spans="5:6">
      <c r="E216" s="135"/>
      <c r="F216" s="131"/>
    </row>
    <row r="217" spans="5:6">
      <c r="E217" s="135"/>
      <c r="F217" s="131"/>
    </row>
    <row r="218" spans="5:6">
      <c r="E218" s="135"/>
      <c r="F218" s="131"/>
    </row>
    <row r="219" spans="5:6">
      <c r="E219" s="135"/>
      <c r="F219" s="131"/>
    </row>
    <row r="220" spans="5:6">
      <c r="E220" s="135"/>
      <c r="F220" s="131"/>
    </row>
    <row r="221" spans="5:6">
      <c r="E221" s="135"/>
      <c r="F221" s="131"/>
    </row>
    <row r="222" spans="5:6">
      <c r="E222" s="135"/>
      <c r="F222" s="131"/>
    </row>
    <row r="223" spans="5:6">
      <c r="E223" s="135"/>
      <c r="F223" s="131"/>
    </row>
    <row r="224" spans="5:6">
      <c r="E224" s="135"/>
      <c r="F224" s="131"/>
    </row>
    <row r="225" spans="5:6">
      <c r="E225" s="135"/>
      <c r="F225" s="131"/>
    </row>
    <row r="226" spans="5:6">
      <c r="E226" s="135"/>
      <c r="F226" s="131"/>
    </row>
    <row r="227" spans="5:6">
      <c r="E227" s="135"/>
      <c r="F227" s="131"/>
    </row>
    <row r="228" spans="5:6">
      <c r="E228" s="135"/>
      <c r="F228" s="131"/>
    </row>
    <row r="229" spans="5:6">
      <c r="E229" s="135"/>
      <c r="F229" s="131"/>
    </row>
    <row r="230" spans="5:6">
      <c r="E230" s="135"/>
      <c r="F230" s="131"/>
    </row>
    <row r="231" spans="5:6">
      <c r="E231" s="135"/>
      <c r="F231" s="131"/>
    </row>
    <row r="232" spans="5:6">
      <c r="E232" s="135"/>
      <c r="F232" s="131"/>
    </row>
    <row r="233" spans="5:6">
      <c r="E233" s="135"/>
      <c r="F233" s="131"/>
    </row>
    <row r="234" spans="5:6">
      <c r="E234" s="135"/>
      <c r="F234" s="131"/>
    </row>
    <row r="235" spans="5:6">
      <c r="E235" s="135"/>
      <c r="F235" s="131"/>
    </row>
    <row r="236" spans="5:6">
      <c r="E236" s="135"/>
      <c r="F236" s="131"/>
    </row>
    <row r="237" spans="5:6">
      <c r="E237" s="135"/>
      <c r="F237" s="131"/>
    </row>
    <row r="238" spans="5:6">
      <c r="E238" s="135"/>
      <c r="F238" s="131"/>
    </row>
    <row r="239" spans="5:6">
      <c r="E239" s="135"/>
      <c r="F239" s="131"/>
    </row>
    <row r="240" spans="5:6">
      <c r="E240" s="135"/>
      <c r="F240" s="131"/>
    </row>
    <row r="241" spans="5:6">
      <c r="E241" s="135"/>
      <c r="F241" s="131"/>
    </row>
    <row r="242" spans="5:6">
      <c r="E242" s="135"/>
      <c r="F242" s="131"/>
    </row>
    <row r="243" spans="5:6">
      <c r="E243" s="135"/>
      <c r="F243" s="131"/>
    </row>
    <row r="244" spans="5:6">
      <c r="E244" s="135"/>
      <c r="F244" s="131"/>
    </row>
    <row r="245" spans="5:6">
      <c r="E245" s="135"/>
      <c r="F245" s="131"/>
    </row>
    <row r="246" spans="5:6">
      <c r="E246" s="135"/>
      <c r="F246" s="131"/>
    </row>
    <row r="247" spans="5:6">
      <c r="E247" s="135"/>
      <c r="F247" s="131"/>
    </row>
    <row r="248" spans="5:6">
      <c r="E248" s="135"/>
      <c r="F248" s="131"/>
    </row>
    <row r="249" spans="5:6">
      <c r="E249" s="135"/>
      <c r="F249" s="131"/>
    </row>
    <row r="250" spans="5:6">
      <c r="E250" s="135"/>
      <c r="F250" s="131"/>
    </row>
    <row r="251" spans="5:6">
      <c r="E251" s="135"/>
      <c r="F251" s="131"/>
    </row>
    <row r="252" spans="5:6">
      <c r="E252" s="135"/>
      <c r="F252" s="131"/>
    </row>
    <row r="253" spans="5:6">
      <c r="E253" s="135"/>
      <c r="F253" s="131"/>
    </row>
    <row r="254" spans="5:6">
      <c r="E254" s="135"/>
      <c r="F254" s="131"/>
    </row>
    <row r="255" spans="5:6">
      <c r="E255" s="135"/>
      <c r="F255" s="131"/>
    </row>
    <row r="256" spans="5:6">
      <c r="E256" s="135"/>
      <c r="F256" s="131"/>
    </row>
    <row r="257" spans="5:6">
      <c r="E257" s="135"/>
      <c r="F257" s="131"/>
    </row>
    <row r="258" spans="5:6">
      <c r="E258" s="135"/>
      <c r="F258" s="131"/>
    </row>
    <row r="259" spans="5:6">
      <c r="E259" s="135"/>
      <c r="F259" s="131"/>
    </row>
    <row r="260" spans="5:6">
      <c r="E260" s="135"/>
      <c r="F260" s="131"/>
    </row>
    <row r="261" spans="5:6">
      <c r="E261" s="135"/>
      <c r="F261" s="131"/>
    </row>
    <row r="262" spans="5:6">
      <c r="E262" s="135"/>
      <c r="F262" s="131"/>
    </row>
    <row r="263" spans="5:6">
      <c r="E263" s="135"/>
      <c r="F263" s="131"/>
    </row>
    <row r="264" spans="5:6">
      <c r="E264" s="135"/>
      <c r="F264" s="131"/>
    </row>
    <row r="265" spans="5:6">
      <c r="E265" s="135"/>
      <c r="F265" s="131"/>
    </row>
    <row r="266" spans="5:6">
      <c r="E266" s="135"/>
      <c r="F266" s="131"/>
    </row>
    <row r="267" spans="5:6">
      <c r="E267" s="135"/>
      <c r="F267" s="131"/>
    </row>
    <row r="268" spans="5:6">
      <c r="E268" s="135"/>
      <c r="F268" s="131"/>
    </row>
    <row r="269" spans="5:6">
      <c r="E269" s="135"/>
      <c r="F269" s="131"/>
    </row>
    <row r="270" spans="5:6">
      <c r="E270" s="135"/>
      <c r="F270" s="131"/>
    </row>
    <row r="271" spans="5:6">
      <c r="E271" s="135"/>
      <c r="F271" s="131"/>
    </row>
    <row r="272" spans="5:6">
      <c r="E272" s="135"/>
      <c r="F272" s="131"/>
    </row>
    <row r="273" spans="5:6">
      <c r="E273" s="135"/>
      <c r="F273" s="131"/>
    </row>
    <row r="274" spans="5:6">
      <c r="E274" s="135"/>
      <c r="F274" s="131"/>
    </row>
    <row r="275" spans="5:6">
      <c r="E275" s="135"/>
      <c r="F275" s="131"/>
    </row>
    <row r="276" spans="5:6">
      <c r="E276" s="135"/>
      <c r="F276" s="131"/>
    </row>
    <row r="277" spans="5:6">
      <c r="E277" s="135"/>
      <c r="F277" s="131"/>
    </row>
    <row r="278" spans="5:6">
      <c r="E278" s="135"/>
      <c r="F278" s="131"/>
    </row>
    <row r="279" spans="5:6">
      <c r="E279" s="135"/>
      <c r="F279" s="131"/>
    </row>
    <row r="280" spans="5:6">
      <c r="E280" s="135"/>
      <c r="F280" s="131"/>
    </row>
    <row r="281" spans="5:6">
      <c r="E281" s="135"/>
      <c r="F281" s="131"/>
    </row>
    <row r="282" spans="5:6">
      <c r="E282" s="135"/>
      <c r="F282" s="131"/>
    </row>
    <row r="283" spans="5:6">
      <c r="E283" s="135"/>
      <c r="F283" s="131"/>
    </row>
    <row r="284" spans="5:6">
      <c r="E284" s="135"/>
      <c r="F284" s="131"/>
    </row>
    <row r="285" spans="5:6">
      <c r="E285" s="135"/>
      <c r="F285" s="131"/>
    </row>
    <row r="286" spans="5:6">
      <c r="E286" s="135"/>
      <c r="F286" s="131"/>
    </row>
    <row r="287" spans="5:6">
      <c r="E287" s="135"/>
      <c r="F287" s="131"/>
    </row>
    <row r="288" spans="5:6">
      <c r="E288" s="135"/>
      <c r="F288" s="131"/>
    </row>
    <row r="289" spans="5:6">
      <c r="E289" s="135"/>
      <c r="F289" s="131"/>
    </row>
    <row r="290" spans="5:6">
      <c r="E290" s="135"/>
      <c r="F290" s="131"/>
    </row>
    <row r="291" spans="5:6">
      <c r="E291" s="135"/>
      <c r="F291" s="131"/>
    </row>
    <row r="292" spans="5:6">
      <c r="E292" s="135"/>
      <c r="F292" s="131"/>
    </row>
    <row r="293" spans="5:6">
      <c r="E293" s="135"/>
      <c r="F293" s="131"/>
    </row>
    <row r="294" spans="5:6">
      <c r="E294" s="135"/>
      <c r="F294" s="131"/>
    </row>
    <row r="295" spans="5:6">
      <c r="E295" s="135"/>
      <c r="F295" s="131"/>
    </row>
    <row r="296" spans="5:6">
      <c r="E296" s="135"/>
      <c r="F296" s="131"/>
    </row>
    <row r="297" spans="5:6">
      <c r="E297" s="135"/>
      <c r="F297" s="131"/>
    </row>
    <row r="298" spans="5:6">
      <c r="E298" s="135"/>
      <c r="F298" s="131"/>
    </row>
    <row r="299" spans="5:6">
      <c r="E299" s="135"/>
      <c r="F299" s="131"/>
    </row>
    <row r="300" spans="5:6">
      <c r="E300" s="135"/>
      <c r="F300" s="131"/>
    </row>
    <row r="301" spans="5:6">
      <c r="E301" s="135"/>
      <c r="F301" s="131"/>
    </row>
    <row r="302" spans="5:6">
      <c r="E302" s="135"/>
      <c r="F302" s="131"/>
    </row>
    <row r="303" spans="5:6">
      <c r="E303" s="135"/>
      <c r="F303" s="131"/>
    </row>
    <row r="304" spans="5:6">
      <c r="E304" s="135"/>
      <c r="F304" s="131"/>
    </row>
    <row r="305" spans="5:6">
      <c r="E305" s="135"/>
      <c r="F305" s="131"/>
    </row>
    <row r="306" spans="5:6">
      <c r="E306" s="135"/>
      <c r="F306" s="131"/>
    </row>
    <row r="307" spans="5:6">
      <c r="E307" s="135"/>
      <c r="F307" s="131"/>
    </row>
    <row r="308" spans="5:6">
      <c r="E308" s="135"/>
      <c r="F308" s="131"/>
    </row>
    <row r="309" spans="5:6">
      <c r="E309" s="135"/>
      <c r="F309" s="131"/>
    </row>
    <row r="310" spans="5:6">
      <c r="E310" s="135"/>
      <c r="F310" s="131"/>
    </row>
    <row r="311" spans="5:6">
      <c r="E311" s="135"/>
      <c r="F311" s="131"/>
    </row>
    <row r="312" spans="5:6">
      <c r="E312" s="135"/>
      <c r="F312" s="131"/>
    </row>
    <row r="313" spans="5:6">
      <c r="E313" s="135"/>
      <c r="F313" s="131"/>
    </row>
    <row r="314" spans="5:6">
      <c r="E314" s="135"/>
      <c r="F314" s="131"/>
    </row>
    <row r="315" spans="5:6">
      <c r="E315" s="135"/>
      <c r="F315" s="131"/>
    </row>
    <row r="316" spans="5:6">
      <c r="E316" s="135"/>
      <c r="F316" s="131"/>
    </row>
    <row r="317" spans="5:6">
      <c r="E317" s="135"/>
      <c r="F317" s="131"/>
    </row>
    <row r="318" spans="5:6">
      <c r="E318" s="135"/>
      <c r="F318" s="131"/>
    </row>
    <row r="319" spans="5:6">
      <c r="E319" s="135"/>
      <c r="F319" s="131"/>
    </row>
    <row r="320" spans="5:6">
      <c r="E320" s="135"/>
      <c r="F320" s="131"/>
    </row>
    <row r="321" spans="5:6">
      <c r="E321" s="135"/>
      <c r="F321" s="131"/>
    </row>
    <row r="322" spans="5:6">
      <c r="E322" s="135"/>
      <c r="F322" s="131"/>
    </row>
    <row r="323" spans="5:6">
      <c r="E323" s="135"/>
      <c r="F323" s="131"/>
    </row>
    <row r="324" spans="5:6">
      <c r="E324" s="135"/>
      <c r="F324" s="131"/>
    </row>
    <row r="325" spans="5:6">
      <c r="E325" s="135"/>
      <c r="F325" s="131"/>
    </row>
    <row r="326" spans="5:6">
      <c r="E326" s="135"/>
      <c r="F326" s="131"/>
    </row>
    <row r="327" spans="5:6">
      <c r="E327" s="135"/>
      <c r="F327" s="131"/>
    </row>
    <row r="328" spans="5:6">
      <c r="E328" s="135"/>
      <c r="F328" s="131"/>
    </row>
    <row r="329" spans="5:6">
      <c r="E329" s="135"/>
      <c r="F329" s="131"/>
    </row>
    <row r="330" spans="5:6">
      <c r="E330" s="135"/>
      <c r="F330" s="131"/>
    </row>
    <row r="331" spans="5:6">
      <c r="E331" s="135"/>
      <c r="F331" s="131"/>
    </row>
    <row r="332" spans="5:6">
      <c r="E332" s="135"/>
      <c r="F332" s="131"/>
    </row>
    <row r="333" spans="5:6">
      <c r="E333" s="135"/>
      <c r="F333" s="131"/>
    </row>
    <row r="334" spans="5:6">
      <c r="E334" s="135"/>
      <c r="F334" s="131"/>
    </row>
    <row r="335" spans="5:6">
      <c r="E335" s="135"/>
      <c r="F335" s="131"/>
    </row>
    <row r="336" spans="5:6">
      <c r="E336" s="135"/>
      <c r="F336" s="131"/>
    </row>
    <row r="337" spans="5:6">
      <c r="E337" s="135"/>
      <c r="F337" s="131"/>
    </row>
    <row r="338" spans="5:6">
      <c r="E338" s="135"/>
      <c r="F338" s="131"/>
    </row>
    <row r="339" spans="5:6">
      <c r="E339" s="135"/>
      <c r="F339" s="131"/>
    </row>
    <row r="340" spans="5:6">
      <c r="E340" s="135"/>
      <c r="F340" s="131"/>
    </row>
    <row r="341" spans="5:6">
      <c r="E341" s="135"/>
      <c r="F341" s="131"/>
    </row>
    <row r="342" spans="5:6">
      <c r="E342" s="135"/>
      <c r="F342" s="131"/>
    </row>
    <row r="343" spans="5:6">
      <c r="E343" s="135"/>
      <c r="F343" s="131"/>
    </row>
    <row r="344" spans="5:6">
      <c r="E344" s="135"/>
      <c r="F344" s="131"/>
    </row>
    <row r="345" spans="5:6">
      <c r="E345" s="135"/>
      <c r="F345" s="131"/>
    </row>
    <row r="346" spans="5:6">
      <c r="E346" s="135"/>
      <c r="F346" s="131"/>
    </row>
    <row r="347" spans="5:6">
      <c r="E347" s="135"/>
      <c r="F347" s="131"/>
    </row>
    <row r="348" spans="5:6">
      <c r="E348" s="135"/>
      <c r="F348" s="131"/>
    </row>
    <row r="349" spans="5:6">
      <c r="E349" s="135"/>
      <c r="F349" s="131"/>
    </row>
    <row r="350" spans="5:6">
      <c r="E350" s="135"/>
      <c r="F350" s="131"/>
    </row>
    <row r="351" spans="5:6">
      <c r="E351" s="135"/>
      <c r="F351" s="131"/>
    </row>
    <row r="352" spans="5:6">
      <c r="E352" s="135"/>
      <c r="F352" s="131"/>
    </row>
    <row r="353" spans="5:6">
      <c r="E353" s="135"/>
      <c r="F353" s="131"/>
    </row>
    <row r="354" spans="5:6">
      <c r="E354" s="135"/>
      <c r="F354" s="131"/>
    </row>
    <row r="355" spans="5:6">
      <c r="E355" s="135"/>
      <c r="F355" s="131"/>
    </row>
    <row r="356" spans="5:6">
      <c r="E356" s="135"/>
      <c r="F356" s="131"/>
    </row>
    <row r="357" spans="5:6">
      <c r="E357" s="135"/>
      <c r="F357" s="131"/>
    </row>
    <row r="358" spans="5:6">
      <c r="E358" s="135"/>
      <c r="F358" s="131"/>
    </row>
    <row r="359" spans="5:6">
      <c r="E359" s="135"/>
      <c r="F359" s="131"/>
    </row>
    <row r="360" spans="5:6">
      <c r="E360" s="135"/>
      <c r="F360" s="131"/>
    </row>
    <row r="361" spans="5:6">
      <c r="E361" s="135"/>
      <c r="F361" s="131"/>
    </row>
    <row r="362" spans="5:6">
      <c r="E362" s="135"/>
      <c r="F362" s="131"/>
    </row>
    <row r="363" spans="5:6">
      <c r="E363" s="135"/>
      <c r="F363" s="131"/>
    </row>
    <row r="364" spans="5:6">
      <c r="E364" s="135"/>
      <c r="F364" s="131"/>
    </row>
    <row r="365" spans="5:6">
      <c r="E365" s="135"/>
      <c r="F365" s="131"/>
    </row>
    <row r="366" spans="5:6">
      <c r="E366" s="135"/>
      <c r="F366" s="131"/>
    </row>
    <row r="367" spans="5:6">
      <c r="E367" s="135"/>
      <c r="F367" s="131"/>
    </row>
    <row r="368" spans="5:6">
      <c r="E368" s="135"/>
      <c r="F368" s="131"/>
    </row>
    <row r="369" spans="5:6">
      <c r="E369" s="135"/>
      <c r="F369" s="131"/>
    </row>
    <row r="370" spans="5:6">
      <c r="E370" s="135"/>
      <c r="F370" s="131"/>
    </row>
    <row r="371" spans="5:6">
      <c r="E371" s="135"/>
      <c r="F371" s="131"/>
    </row>
    <row r="372" spans="5:6">
      <c r="E372" s="135"/>
      <c r="F372" s="131"/>
    </row>
    <row r="373" spans="5:6">
      <c r="E373" s="135"/>
      <c r="F373" s="131"/>
    </row>
    <row r="374" spans="5:6">
      <c r="E374" s="135"/>
      <c r="F374" s="131"/>
    </row>
    <row r="375" spans="5:6">
      <c r="E375" s="135"/>
      <c r="F375" s="131"/>
    </row>
    <row r="376" spans="5:6">
      <c r="E376" s="135"/>
      <c r="F376" s="131"/>
    </row>
    <row r="377" spans="5:6">
      <c r="E377" s="135"/>
      <c r="F377" s="131"/>
    </row>
    <row r="378" spans="5:6">
      <c r="E378" s="135"/>
      <c r="F378" s="131"/>
    </row>
    <row r="379" spans="5:6">
      <c r="E379" s="135"/>
      <c r="F379" s="131"/>
    </row>
    <row r="380" spans="5:6">
      <c r="E380" s="135"/>
      <c r="F380" s="131"/>
    </row>
    <row r="381" spans="5:6">
      <c r="E381" s="135"/>
      <c r="F381" s="131"/>
    </row>
    <row r="382" spans="5:6">
      <c r="E382" s="135"/>
      <c r="F382" s="131"/>
    </row>
    <row r="383" spans="5:6">
      <c r="E383" s="135"/>
      <c r="F383" s="131"/>
    </row>
    <row r="384" spans="5:6">
      <c r="E384" s="135"/>
      <c r="F384" s="131"/>
    </row>
    <row r="385" spans="5:6">
      <c r="E385" s="135"/>
      <c r="F385" s="131"/>
    </row>
    <row r="386" spans="5:6">
      <c r="E386" s="135"/>
      <c r="F386" s="131"/>
    </row>
    <row r="387" spans="5:6">
      <c r="E387" s="135"/>
      <c r="F387" s="131"/>
    </row>
    <row r="388" spans="5:6">
      <c r="E388" s="135"/>
      <c r="F388" s="131"/>
    </row>
    <row r="389" spans="5:6">
      <c r="E389" s="135"/>
      <c r="F389" s="131"/>
    </row>
    <row r="390" spans="5:6">
      <c r="E390" s="135"/>
      <c r="F390" s="131"/>
    </row>
    <row r="391" spans="5:6">
      <c r="E391" s="135"/>
      <c r="F391" s="131"/>
    </row>
    <row r="392" spans="5:6">
      <c r="E392" s="135"/>
      <c r="F392" s="131"/>
    </row>
    <row r="393" spans="5:6">
      <c r="E393" s="135"/>
      <c r="F393" s="131"/>
    </row>
    <row r="394" spans="5:6">
      <c r="E394" s="135"/>
      <c r="F394" s="131"/>
    </row>
    <row r="395" spans="5:6">
      <c r="E395" s="135"/>
      <c r="F395" s="131"/>
    </row>
    <row r="396" spans="5:6">
      <c r="E396" s="135"/>
      <c r="F396" s="131"/>
    </row>
    <row r="397" spans="5:6">
      <c r="E397" s="135"/>
      <c r="F397" s="131"/>
    </row>
    <row r="398" spans="5:6">
      <c r="E398" s="135"/>
      <c r="F398" s="131"/>
    </row>
    <row r="399" spans="5:6">
      <c r="E399" s="135"/>
      <c r="F399" s="131"/>
    </row>
    <row r="400" spans="5:6">
      <c r="E400" s="135"/>
      <c r="F400" s="131"/>
    </row>
    <row r="401" spans="5:6">
      <c r="E401" s="135"/>
      <c r="F401" s="131"/>
    </row>
    <row r="402" spans="5:6">
      <c r="E402" s="135"/>
      <c r="F402" s="131"/>
    </row>
    <row r="403" spans="5:6">
      <c r="E403" s="135"/>
      <c r="F403" s="131"/>
    </row>
    <row r="404" spans="5:6">
      <c r="E404" s="135"/>
      <c r="F404" s="131"/>
    </row>
    <row r="405" spans="5:6">
      <c r="E405" s="135"/>
      <c r="F405" s="131"/>
    </row>
    <row r="406" spans="5:6">
      <c r="E406" s="135"/>
      <c r="F406" s="131"/>
    </row>
    <row r="407" spans="5:6">
      <c r="E407" s="135"/>
      <c r="F407" s="131"/>
    </row>
    <row r="408" spans="5:6">
      <c r="E408" s="135"/>
      <c r="F408" s="131"/>
    </row>
    <row r="409" spans="5:6">
      <c r="E409" s="135"/>
      <c r="F409" s="131"/>
    </row>
    <row r="410" spans="5:6">
      <c r="E410" s="135"/>
      <c r="F410" s="131"/>
    </row>
    <row r="411" spans="5:6">
      <c r="E411" s="135"/>
      <c r="F411" s="131"/>
    </row>
    <row r="412" spans="5:6">
      <c r="E412" s="135"/>
      <c r="F412" s="131"/>
    </row>
    <row r="413" spans="5:6">
      <c r="E413" s="135"/>
      <c r="F413" s="131"/>
    </row>
    <row r="414" spans="5:6">
      <c r="E414" s="135"/>
      <c r="F414" s="131"/>
    </row>
    <row r="415" spans="5:6">
      <c r="E415" s="135"/>
      <c r="F415" s="131"/>
    </row>
    <row r="416" spans="5:6">
      <c r="E416" s="135"/>
      <c r="F416" s="131"/>
    </row>
    <row r="417" spans="5:6">
      <c r="E417" s="135"/>
      <c r="F417" s="131"/>
    </row>
    <row r="418" spans="5:6">
      <c r="E418" s="135"/>
      <c r="F418" s="131"/>
    </row>
    <row r="419" spans="5:6">
      <c r="E419" s="135"/>
      <c r="F419" s="131"/>
    </row>
    <row r="420" spans="5:6">
      <c r="E420" s="135"/>
      <c r="F420" s="131"/>
    </row>
    <row r="421" spans="5:6">
      <c r="E421" s="135"/>
      <c r="F421" s="131"/>
    </row>
    <row r="422" spans="5:6">
      <c r="E422" s="135"/>
      <c r="F422" s="131"/>
    </row>
    <row r="423" spans="5:6">
      <c r="E423" s="135"/>
      <c r="F423" s="131"/>
    </row>
    <row r="424" spans="5:6">
      <c r="E424" s="135"/>
      <c r="F424" s="131"/>
    </row>
    <row r="425" spans="5:6">
      <c r="E425" s="135"/>
      <c r="F425" s="131"/>
    </row>
    <row r="426" spans="5:6">
      <c r="E426" s="135"/>
      <c r="F426" s="131"/>
    </row>
    <row r="427" spans="5:6">
      <c r="E427" s="135"/>
      <c r="F427" s="131"/>
    </row>
    <row r="428" spans="5:6">
      <c r="E428" s="135"/>
      <c r="F428" s="131"/>
    </row>
    <row r="429" spans="5:6">
      <c r="E429" s="135"/>
      <c r="F429" s="131"/>
    </row>
    <row r="430" spans="5:6">
      <c r="E430" s="135"/>
      <c r="F430" s="131"/>
    </row>
    <row r="431" spans="5:6">
      <c r="E431" s="135"/>
      <c r="F431" s="131"/>
    </row>
    <row r="432" spans="5:6">
      <c r="E432" s="135"/>
      <c r="F432" s="131"/>
    </row>
    <row r="433" spans="5:6">
      <c r="E433" s="135"/>
      <c r="F433" s="131"/>
    </row>
    <row r="434" spans="5:6">
      <c r="E434" s="135"/>
      <c r="F434" s="131"/>
    </row>
    <row r="435" spans="5:6">
      <c r="E435" s="135"/>
      <c r="F435" s="131"/>
    </row>
    <row r="436" spans="5:6">
      <c r="E436" s="135"/>
      <c r="F436" s="131"/>
    </row>
    <row r="437" spans="5:6">
      <c r="E437" s="135"/>
      <c r="F437" s="131"/>
    </row>
    <row r="438" spans="5:6">
      <c r="E438" s="135"/>
      <c r="F438" s="131"/>
    </row>
    <row r="439" spans="5:6">
      <c r="E439" s="135"/>
      <c r="F439" s="131"/>
    </row>
    <row r="440" spans="5:6">
      <c r="E440" s="135"/>
      <c r="F440" s="131"/>
    </row>
    <row r="441" spans="5:6">
      <c r="E441" s="135"/>
      <c r="F441" s="131"/>
    </row>
    <row r="442" spans="5:6">
      <c r="E442" s="135"/>
      <c r="F442" s="131"/>
    </row>
    <row r="443" spans="5:6">
      <c r="E443" s="135"/>
      <c r="F443" s="131"/>
    </row>
    <row r="444" spans="5:6">
      <c r="E444" s="135"/>
      <c r="F444" s="131"/>
    </row>
    <row r="445" spans="5:6">
      <c r="E445" s="135"/>
      <c r="F445" s="131"/>
    </row>
    <row r="446" spans="5:6">
      <c r="E446" s="135"/>
      <c r="F446" s="131"/>
    </row>
    <row r="447" spans="5:6">
      <c r="E447" s="135"/>
      <c r="F447" s="131"/>
    </row>
    <row r="448" spans="5:6">
      <c r="E448" s="135"/>
      <c r="F448" s="131"/>
    </row>
    <row r="449" spans="5:6">
      <c r="E449" s="135"/>
      <c r="F449" s="131"/>
    </row>
    <row r="450" spans="5:6">
      <c r="E450" s="135"/>
      <c r="F450" s="131"/>
    </row>
    <row r="451" spans="5:6">
      <c r="E451" s="135"/>
      <c r="F451" s="131"/>
    </row>
    <row r="452" spans="5:6">
      <c r="E452" s="135"/>
      <c r="F452" s="131"/>
    </row>
    <row r="453" spans="5:6">
      <c r="E453" s="135"/>
      <c r="F453" s="131"/>
    </row>
    <row r="454" spans="5:6">
      <c r="E454" s="135"/>
      <c r="F454" s="131"/>
    </row>
    <row r="455" spans="5:6">
      <c r="E455" s="135"/>
      <c r="F455" s="131"/>
    </row>
    <row r="456" spans="5:6">
      <c r="E456" s="135"/>
      <c r="F456" s="131"/>
    </row>
    <row r="457" spans="5:6">
      <c r="E457" s="135"/>
      <c r="F457" s="131"/>
    </row>
    <row r="458" spans="5:6">
      <c r="E458" s="135"/>
      <c r="F458" s="131"/>
    </row>
    <row r="459" spans="5:6">
      <c r="E459" s="135"/>
      <c r="F459" s="131"/>
    </row>
    <row r="460" spans="5:6">
      <c r="E460" s="135"/>
      <c r="F460" s="131"/>
    </row>
    <row r="461" spans="5:6">
      <c r="E461" s="135"/>
      <c r="F461" s="131"/>
    </row>
    <row r="462" spans="5:6">
      <c r="E462" s="135"/>
      <c r="F462" s="131"/>
    </row>
    <row r="463" spans="5:6">
      <c r="E463" s="135"/>
      <c r="F463" s="131"/>
    </row>
    <row r="464" spans="5:6">
      <c r="E464" s="135"/>
      <c r="F464" s="131"/>
    </row>
    <row r="465" spans="5:6">
      <c r="E465" s="135"/>
      <c r="F465" s="131"/>
    </row>
    <row r="466" spans="5:6">
      <c r="E466" s="135"/>
      <c r="F466" s="131"/>
    </row>
    <row r="467" spans="5:6">
      <c r="E467" s="135"/>
      <c r="F467" s="131"/>
    </row>
    <row r="468" spans="5:6">
      <c r="E468" s="135"/>
      <c r="F468" s="131"/>
    </row>
    <row r="469" spans="5:6">
      <c r="E469" s="135"/>
      <c r="F469" s="131"/>
    </row>
    <row r="470" spans="5:6">
      <c r="E470" s="135"/>
      <c r="F470" s="131"/>
    </row>
    <row r="471" spans="5:6">
      <c r="E471" s="135"/>
      <c r="F471" s="131"/>
    </row>
    <row r="472" spans="5:6">
      <c r="E472" s="135"/>
      <c r="F472" s="131"/>
    </row>
    <row r="473" spans="5:6">
      <c r="E473" s="135"/>
      <c r="F473" s="131"/>
    </row>
    <row r="474" spans="5:6">
      <c r="E474" s="135"/>
      <c r="F474" s="131"/>
    </row>
    <row r="475" spans="5:6">
      <c r="E475" s="135"/>
      <c r="F475" s="131"/>
    </row>
    <row r="476" spans="5:6">
      <c r="E476" s="135"/>
      <c r="F476" s="131"/>
    </row>
    <row r="477" spans="5:6">
      <c r="E477" s="135"/>
      <c r="F477" s="131"/>
    </row>
    <row r="478" spans="5:6">
      <c r="E478" s="135"/>
      <c r="F478" s="131"/>
    </row>
    <row r="479" spans="5:6">
      <c r="E479" s="135"/>
      <c r="F479" s="131"/>
    </row>
    <row r="480" spans="5:6">
      <c r="E480" s="135"/>
      <c r="F480" s="131"/>
    </row>
    <row r="481" spans="5:6">
      <c r="E481" s="135"/>
      <c r="F481" s="131"/>
    </row>
    <row r="482" spans="5:6">
      <c r="E482" s="135"/>
      <c r="F482" s="131"/>
    </row>
    <row r="483" spans="5:6">
      <c r="E483" s="135"/>
      <c r="F483" s="131"/>
    </row>
    <row r="484" spans="5:6">
      <c r="E484" s="135"/>
      <c r="F484" s="131"/>
    </row>
    <row r="485" spans="5:6">
      <c r="E485" s="135"/>
      <c r="F485" s="131"/>
    </row>
    <row r="486" spans="5:6">
      <c r="E486" s="135"/>
      <c r="F486" s="131"/>
    </row>
    <row r="487" spans="5:6">
      <c r="E487" s="135"/>
      <c r="F487" s="131"/>
    </row>
    <row r="488" spans="5:6">
      <c r="E488" s="135"/>
      <c r="F488" s="131"/>
    </row>
    <row r="489" spans="5:6">
      <c r="E489" s="135"/>
      <c r="F489" s="131"/>
    </row>
    <row r="490" spans="5:6">
      <c r="E490" s="135"/>
      <c r="F490" s="131"/>
    </row>
    <row r="491" spans="5:6">
      <c r="E491" s="135"/>
      <c r="F491" s="131"/>
    </row>
    <row r="492" spans="5:6">
      <c r="E492" s="135"/>
      <c r="F492" s="131"/>
    </row>
    <row r="493" spans="5:6">
      <c r="E493" s="135"/>
      <c r="F493" s="131"/>
    </row>
    <row r="494" spans="5:6">
      <c r="E494" s="135"/>
      <c r="F494" s="131"/>
    </row>
    <row r="495" spans="5:6">
      <c r="E495" s="135"/>
      <c r="F495" s="131"/>
    </row>
    <row r="496" spans="5:6">
      <c r="E496" s="135"/>
      <c r="F496" s="131"/>
    </row>
    <row r="497" spans="5:6">
      <c r="E497" s="135"/>
      <c r="F497" s="131"/>
    </row>
    <row r="498" spans="5:6">
      <c r="E498" s="135"/>
      <c r="F498" s="131"/>
    </row>
    <row r="499" spans="5:6">
      <c r="E499" s="135"/>
      <c r="F499" s="131"/>
    </row>
    <row r="500" spans="5:6">
      <c r="E500" s="135"/>
      <c r="F500" s="131"/>
    </row>
    <row r="501" spans="5:6">
      <c r="E501" s="135"/>
      <c r="F501" s="131"/>
    </row>
    <row r="502" spans="5:6">
      <c r="E502" s="135"/>
      <c r="F502" s="131"/>
    </row>
    <row r="503" spans="5:6">
      <c r="E503" s="135"/>
      <c r="F503" s="131"/>
    </row>
    <row r="504" spans="5:6">
      <c r="E504" s="135"/>
      <c r="F504" s="131"/>
    </row>
    <row r="505" spans="5:6">
      <c r="E505" s="135"/>
      <c r="F505" s="131"/>
    </row>
    <row r="506" spans="5:6">
      <c r="E506" s="135"/>
      <c r="F506" s="131"/>
    </row>
    <row r="507" spans="5:6">
      <c r="E507" s="135"/>
      <c r="F507" s="131"/>
    </row>
    <row r="508" spans="5:6">
      <c r="E508" s="135"/>
      <c r="F508" s="131"/>
    </row>
    <row r="509" spans="5:6">
      <c r="E509" s="135"/>
      <c r="F509" s="131"/>
    </row>
    <row r="510" spans="5:6">
      <c r="E510" s="135"/>
      <c r="F510" s="131"/>
    </row>
    <row r="511" spans="5:6">
      <c r="E511" s="135"/>
      <c r="F511" s="131"/>
    </row>
    <row r="512" spans="5:6">
      <c r="E512" s="135"/>
      <c r="F512" s="131"/>
    </row>
    <row r="513" spans="5:6">
      <c r="E513" s="135"/>
      <c r="F513" s="131"/>
    </row>
    <row r="514" spans="5:6">
      <c r="E514" s="135"/>
      <c r="F514" s="131"/>
    </row>
    <row r="515" spans="5:6">
      <c r="E515" s="135"/>
      <c r="F515" s="131"/>
    </row>
    <row r="516" spans="5:6">
      <c r="E516" s="135"/>
      <c r="F516" s="131"/>
    </row>
    <row r="517" spans="5:6">
      <c r="E517" s="135"/>
      <c r="F517" s="131"/>
    </row>
    <row r="518" spans="5:6">
      <c r="E518" s="135"/>
      <c r="F518" s="131"/>
    </row>
    <row r="519" spans="5:6">
      <c r="E519" s="135"/>
      <c r="F519" s="131"/>
    </row>
    <row r="520" spans="5:6">
      <c r="E520" s="135"/>
      <c r="F520" s="131"/>
    </row>
    <row r="521" spans="5:6">
      <c r="E521" s="135"/>
      <c r="F521" s="131"/>
    </row>
    <row r="522" spans="5:6">
      <c r="E522" s="135"/>
      <c r="F522" s="131"/>
    </row>
    <row r="523" spans="5:6">
      <c r="E523" s="135"/>
      <c r="F523" s="131"/>
    </row>
    <row r="524" spans="5:6">
      <c r="E524" s="135"/>
      <c r="F524" s="131"/>
    </row>
    <row r="525" spans="5:6">
      <c r="E525" s="135"/>
      <c r="F525" s="131"/>
    </row>
    <row r="526" spans="5:6">
      <c r="E526" s="135"/>
      <c r="F526" s="131"/>
    </row>
    <row r="527" spans="5:6">
      <c r="E527" s="135"/>
      <c r="F527" s="131"/>
    </row>
    <row r="528" spans="5:6">
      <c r="E528" s="135"/>
      <c r="F528" s="131"/>
    </row>
    <row r="529" spans="5:6">
      <c r="E529" s="135"/>
      <c r="F529" s="131"/>
    </row>
    <row r="530" spans="5:6">
      <c r="E530" s="135"/>
      <c r="F530" s="131"/>
    </row>
    <row r="531" spans="5:6">
      <c r="E531" s="135"/>
      <c r="F531" s="131"/>
    </row>
    <row r="532" spans="5:6">
      <c r="E532" s="135"/>
      <c r="F532" s="131"/>
    </row>
    <row r="533" spans="5:6">
      <c r="E533" s="135"/>
      <c r="F533" s="131"/>
    </row>
    <row r="534" spans="5:6">
      <c r="E534" s="135"/>
      <c r="F534" s="131"/>
    </row>
    <row r="535" spans="5:6">
      <c r="E535" s="135"/>
      <c r="F535" s="131"/>
    </row>
    <row r="536" spans="5:6">
      <c r="E536" s="135"/>
      <c r="F536" s="131"/>
    </row>
    <row r="537" spans="5:6">
      <c r="E537" s="135"/>
      <c r="F537" s="131"/>
    </row>
    <row r="538" spans="5:6">
      <c r="E538" s="135"/>
      <c r="F538" s="131"/>
    </row>
    <row r="539" spans="5:6">
      <c r="E539" s="135"/>
      <c r="F539" s="131"/>
    </row>
    <row r="540" spans="5:6">
      <c r="E540" s="135"/>
      <c r="F540" s="131"/>
    </row>
    <row r="541" spans="5:6">
      <c r="E541" s="135"/>
      <c r="F541" s="131"/>
    </row>
    <row r="542" spans="5:6">
      <c r="E542" s="135"/>
      <c r="F542" s="131"/>
    </row>
    <row r="543" spans="5:6">
      <c r="E543" s="135"/>
      <c r="F543" s="131"/>
    </row>
    <row r="544" spans="5:6">
      <c r="E544" s="135"/>
      <c r="F544" s="131"/>
    </row>
    <row r="545" spans="5:6">
      <c r="E545" s="135"/>
      <c r="F545" s="131"/>
    </row>
    <row r="546" spans="5:6">
      <c r="E546" s="135"/>
      <c r="F546" s="131"/>
    </row>
    <row r="547" spans="5:6">
      <c r="E547" s="135"/>
      <c r="F547" s="131"/>
    </row>
    <row r="548" spans="5:6">
      <c r="E548" s="135"/>
      <c r="F548" s="131"/>
    </row>
    <row r="549" spans="5:6">
      <c r="E549" s="135"/>
      <c r="F549" s="131"/>
    </row>
    <row r="550" spans="5:6">
      <c r="E550" s="135"/>
      <c r="F550" s="131"/>
    </row>
    <row r="551" spans="5:6">
      <c r="E551" s="135"/>
      <c r="F551" s="131"/>
    </row>
    <row r="552" spans="5:6">
      <c r="E552" s="135"/>
      <c r="F552" s="131"/>
    </row>
    <row r="553" spans="5:6">
      <c r="E553" s="135"/>
      <c r="F553" s="131"/>
    </row>
    <row r="554" spans="5:6">
      <c r="E554" s="135"/>
      <c r="F554" s="131"/>
    </row>
    <row r="555" spans="5:6">
      <c r="E555" s="135"/>
      <c r="F555" s="131"/>
    </row>
    <row r="556" spans="5:6">
      <c r="E556" s="135"/>
      <c r="F556" s="131"/>
    </row>
    <row r="557" spans="5:6">
      <c r="E557" s="135"/>
      <c r="F557" s="131"/>
    </row>
    <row r="558" spans="5:6">
      <c r="E558" s="135"/>
      <c r="F558" s="131"/>
    </row>
    <row r="559" spans="5:6">
      <c r="E559" s="135"/>
      <c r="F559" s="131"/>
    </row>
    <row r="560" spans="5:6">
      <c r="E560" s="135"/>
      <c r="F560" s="131"/>
    </row>
    <row r="561" spans="5:6">
      <c r="E561" s="135"/>
      <c r="F561" s="131"/>
    </row>
    <row r="562" spans="5:6">
      <c r="E562" s="135"/>
      <c r="F562" s="131"/>
    </row>
    <row r="563" spans="5:6">
      <c r="E563" s="135"/>
      <c r="F563" s="131"/>
    </row>
    <row r="564" spans="5:6">
      <c r="E564" s="135"/>
      <c r="F564" s="131"/>
    </row>
    <row r="565" spans="5:6">
      <c r="E565" s="135"/>
      <c r="F565" s="131"/>
    </row>
    <row r="566" spans="5:6">
      <c r="E566" s="135"/>
      <c r="F566" s="131"/>
    </row>
    <row r="567" spans="5:6">
      <c r="E567" s="135"/>
      <c r="F567" s="131"/>
    </row>
    <row r="568" spans="5:6">
      <c r="E568" s="135"/>
      <c r="F568" s="131"/>
    </row>
    <row r="569" spans="5:6">
      <c r="E569" s="135"/>
      <c r="F569" s="131"/>
    </row>
    <row r="570" spans="5:6">
      <c r="E570" s="135"/>
      <c r="F570" s="131"/>
    </row>
    <row r="571" spans="5:6">
      <c r="E571" s="135"/>
      <c r="F571" s="131"/>
    </row>
    <row r="572" spans="5:6">
      <c r="E572" s="135"/>
      <c r="F572" s="131"/>
    </row>
    <row r="573" spans="5:6">
      <c r="E573" s="135"/>
      <c r="F573" s="131"/>
    </row>
    <row r="574" spans="5:6">
      <c r="E574" s="135"/>
      <c r="F574" s="131"/>
    </row>
    <row r="575" spans="5:6">
      <c r="E575" s="135"/>
      <c r="F575" s="131"/>
    </row>
    <row r="576" spans="5:6">
      <c r="E576" s="135"/>
      <c r="F576" s="131"/>
    </row>
    <row r="577" spans="5:6">
      <c r="E577" s="135"/>
      <c r="F577" s="131"/>
    </row>
    <row r="578" spans="5:6">
      <c r="E578" s="135"/>
      <c r="F578" s="131"/>
    </row>
    <row r="579" spans="5:6">
      <c r="E579" s="135"/>
      <c r="F579" s="131"/>
    </row>
    <row r="580" spans="5:6">
      <c r="E580" s="135"/>
      <c r="F580" s="131"/>
    </row>
    <row r="581" spans="5:6">
      <c r="E581" s="135"/>
      <c r="F581" s="131"/>
    </row>
    <row r="582" spans="5:6">
      <c r="E582" s="135"/>
      <c r="F582" s="131"/>
    </row>
    <row r="583" spans="5:6">
      <c r="E583" s="135"/>
      <c r="F583" s="131"/>
    </row>
    <row r="584" spans="5:6">
      <c r="E584" s="135"/>
      <c r="F584" s="131"/>
    </row>
    <row r="585" spans="5:6">
      <c r="E585" s="135"/>
      <c r="F585" s="131"/>
    </row>
    <row r="586" spans="5:6">
      <c r="E586" s="135"/>
      <c r="F586" s="131"/>
    </row>
    <row r="587" spans="5:6">
      <c r="E587" s="135"/>
      <c r="F587" s="131"/>
    </row>
    <row r="588" spans="5:6">
      <c r="E588" s="135"/>
      <c r="F588" s="131"/>
    </row>
    <row r="589" spans="5:6">
      <c r="E589" s="135"/>
      <c r="F589" s="131"/>
    </row>
    <row r="590" spans="5:6">
      <c r="E590" s="135"/>
      <c r="F590" s="131"/>
    </row>
    <row r="591" spans="5:6">
      <c r="E591" s="135"/>
      <c r="F591" s="131"/>
    </row>
    <row r="592" spans="5:6">
      <c r="E592" s="135"/>
      <c r="F592" s="131"/>
    </row>
    <row r="593" spans="5:6">
      <c r="E593" s="135"/>
      <c r="F593" s="131"/>
    </row>
    <row r="594" spans="5:6">
      <c r="E594" s="135"/>
      <c r="F594" s="131"/>
    </row>
    <row r="595" spans="5:6">
      <c r="E595" s="135"/>
      <c r="F595" s="131"/>
    </row>
    <row r="596" spans="5:6">
      <c r="E596" s="135"/>
      <c r="F596" s="131"/>
    </row>
    <row r="597" spans="5:6">
      <c r="E597" s="135"/>
      <c r="F597" s="131"/>
    </row>
    <row r="598" spans="5:6">
      <c r="E598" s="135"/>
      <c r="F598" s="131"/>
    </row>
    <row r="599" spans="5:6">
      <c r="E599" s="135"/>
      <c r="F599" s="131"/>
    </row>
    <row r="600" spans="5:6">
      <c r="E600" s="135"/>
      <c r="F600" s="131"/>
    </row>
    <row r="601" spans="5:6">
      <c r="E601" s="135"/>
      <c r="F601" s="131"/>
    </row>
    <row r="602" spans="5:6">
      <c r="E602" s="135"/>
      <c r="F602" s="131"/>
    </row>
    <row r="603" spans="5:6">
      <c r="E603" s="135"/>
      <c r="F603" s="131"/>
    </row>
    <row r="604" spans="5:6">
      <c r="E604" s="135"/>
      <c r="F604" s="131"/>
    </row>
    <row r="605" spans="5:6">
      <c r="E605" s="135"/>
      <c r="F605" s="131"/>
    </row>
    <row r="606" spans="5:6">
      <c r="E606" s="135"/>
      <c r="F606" s="131"/>
    </row>
    <row r="607" spans="5:6">
      <c r="E607" s="135"/>
      <c r="F607" s="131"/>
    </row>
    <row r="608" spans="5:6">
      <c r="E608" s="135"/>
      <c r="F608" s="131"/>
    </row>
    <row r="609" spans="5:6">
      <c r="E609" s="135"/>
      <c r="F609" s="131"/>
    </row>
    <row r="610" spans="5:6">
      <c r="E610" s="135"/>
      <c r="F610" s="131"/>
    </row>
    <row r="611" spans="5:6">
      <c r="E611" s="135"/>
      <c r="F611" s="131"/>
    </row>
    <row r="612" spans="5:6">
      <c r="E612" s="135"/>
      <c r="F612" s="131"/>
    </row>
    <row r="613" spans="5:6">
      <c r="E613" s="135"/>
      <c r="F613" s="131"/>
    </row>
    <row r="614" spans="5:6">
      <c r="E614" s="135"/>
      <c r="F614" s="131"/>
    </row>
    <row r="615" spans="5:6">
      <c r="E615" s="135"/>
      <c r="F615" s="131"/>
    </row>
    <row r="616" spans="5:6">
      <c r="E616" s="135"/>
      <c r="F616" s="131"/>
    </row>
    <row r="617" spans="5:6">
      <c r="E617" s="135"/>
      <c r="F617" s="131"/>
    </row>
    <row r="618" spans="5:6">
      <c r="E618" s="135"/>
      <c r="F618" s="131"/>
    </row>
    <row r="619" spans="5:6">
      <c r="E619" s="135"/>
      <c r="F619" s="131"/>
    </row>
    <row r="620" spans="5:6">
      <c r="E620" s="135"/>
      <c r="F620" s="131"/>
    </row>
    <row r="621" spans="5:6">
      <c r="E621" s="135"/>
      <c r="F621" s="131"/>
    </row>
    <row r="622" spans="5:6">
      <c r="E622" s="135"/>
      <c r="F622" s="131"/>
    </row>
    <row r="623" spans="5:6">
      <c r="E623" s="135"/>
      <c r="F623" s="131"/>
    </row>
    <row r="624" spans="5:6">
      <c r="E624" s="135"/>
      <c r="F624" s="131"/>
    </row>
    <row r="625" spans="5:6">
      <c r="E625" s="135"/>
      <c r="F625" s="131"/>
    </row>
    <row r="626" spans="5:6">
      <c r="E626" s="135"/>
      <c r="F626" s="131"/>
    </row>
    <row r="627" spans="5:6">
      <c r="E627" s="135"/>
      <c r="F627" s="131"/>
    </row>
    <row r="628" spans="5:6">
      <c r="E628" s="135"/>
      <c r="F628" s="131"/>
    </row>
    <row r="629" spans="5:6">
      <c r="E629" s="135"/>
      <c r="F629" s="131"/>
    </row>
    <row r="630" spans="5:6">
      <c r="E630" s="135"/>
      <c r="F630" s="131"/>
    </row>
    <row r="631" spans="5:6">
      <c r="E631" s="135"/>
      <c r="F631" s="131"/>
    </row>
    <row r="632" spans="5:6">
      <c r="E632" s="135"/>
      <c r="F632" s="131"/>
    </row>
    <row r="633" spans="5:6">
      <c r="E633" s="135"/>
      <c r="F633" s="131"/>
    </row>
    <row r="634" spans="5:6">
      <c r="E634" s="135"/>
      <c r="F634" s="131"/>
    </row>
    <row r="635" spans="5:6">
      <c r="E635" s="135"/>
      <c r="F635" s="131"/>
    </row>
    <row r="636" spans="5:6">
      <c r="E636" s="135"/>
      <c r="F636" s="131"/>
    </row>
    <row r="637" spans="5:6">
      <c r="E637" s="135"/>
      <c r="F637" s="131"/>
    </row>
    <row r="638" spans="5:6">
      <c r="E638" s="135"/>
      <c r="F638" s="131"/>
    </row>
    <row r="639" spans="5:6">
      <c r="E639" s="135"/>
      <c r="F639" s="131"/>
    </row>
    <row r="640" spans="5:6">
      <c r="E640" s="135"/>
      <c r="F640" s="131"/>
    </row>
    <row r="641" spans="5:6">
      <c r="E641" s="135"/>
      <c r="F641" s="131"/>
    </row>
    <row r="642" spans="5:6">
      <c r="E642" s="135"/>
      <c r="F642" s="131"/>
    </row>
    <row r="643" spans="5:6">
      <c r="E643" s="135"/>
      <c r="F643" s="131"/>
    </row>
    <row r="644" spans="5:6">
      <c r="E644" s="135"/>
      <c r="F644" s="131"/>
    </row>
    <row r="645" spans="5:6">
      <c r="E645" s="135"/>
      <c r="F645" s="131"/>
    </row>
    <row r="646" spans="5:6">
      <c r="E646" s="135"/>
      <c r="F646" s="131"/>
    </row>
    <row r="647" spans="5:6">
      <c r="E647" s="135"/>
      <c r="F647" s="131"/>
    </row>
    <row r="648" spans="5:6">
      <c r="E648" s="135"/>
      <c r="F648" s="131"/>
    </row>
    <row r="649" spans="5:6">
      <c r="E649" s="135"/>
      <c r="F649" s="131"/>
    </row>
    <row r="650" spans="5:6">
      <c r="E650" s="135"/>
      <c r="F650" s="131"/>
    </row>
    <row r="651" spans="5:6">
      <c r="E651" s="135"/>
      <c r="F651" s="131"/>
    </row>
    <row r="652" spans="5:6">
      <c r="E652" s="135"/>
      <c r="F652" s="131"/>
    </row>
    <row r="653" spans="5:6">
      <c r="E653" s="135"/>
      <c r="F653" s="131"/>
    </row>
    <row r="654" spans="5:6">
      <c r="E654" s="135"/>
      <c r="F654" s="131"/>
    </row>
    <row r="655" spans="5:6">
      <c r="E655" s="135"/>
      <c r="F655" s="131"/>
    </row>
    <row r="656" spans="5:6">
      <c r="E656" s="135"/>
      <c r="F656" s="131"/>
    </row>
    <row r="657" spans="5:6">
      <c r="E657" s="135"/>
      <c r="F657" s="131"/>
    </row>
    <row r="658" spans="5:6">
      <c r="E658" s="135"/>
      <c r="F658" s="131"/>
    </row>
    <row r="659" spans="5:6">
      <c r="E659" s="135"/>
      <c r="F659" s="131"/>
    </row>
    <row r="660" spans="5:6">
      <c r="E660" s="135"/>
      <c r="F660" s="131"/>
    </row>
    <row r="661" spans="5:6">
      <c r="E661" s="135"/>
      <c r="F661" s="131"/>
    </row>
    <row r="662" spans="5:6">
      <c r="E662" s="135"/>
      <c r="F662" s="131"/>
    </row>
    <row r="663" spans="5:6">
      <c r="E663" s="135"/>
      <c r="F663" s="131"/>
    </row>
    <row r="664" spans="5:6">
      <c r="E664" s="135"/>
      <c r="F664" s="131"/>
    </row>
    <row r="665" spans="5:6">
      <c r="E665" s="135"/>
      <c r="F665" s="131"/>
    </row>
    <row r="666" spans="5:6">
      <c r="E666" s="135"/>
      <c r="F666" s="131"/>
    </row>
    <row r="667" spans="5:6">
      <c r="E667" s="135"/>
      <c r="F667" s="131"/>
    </row>
    <row r="668" spans="5:6">
      <c r="E668" s="135"/>
      <c r="F668" s="131"/>
    </row>
    <row r="669" spans="5:6">
      <c r="E669" s="135"/>
      <c r="F669" s="131"/>
    </row>
    <row r="670" spans="5:6">
      <c r="E670" s="135"/>
      <c r="F670" s="131"/>
    </row>
    <row r="671" spans="5:6">
      <c r="E671" s="135"/>
      <c r="F671" s="131"/>
    </row>
    <row r="672" spans="5:6">
      <c r="E672" s="135"/>
      <c r="F672" s="131"/>
    </row>
    <row r="673" spans="5:6">
      <c r="E673" s="135"/>
      <c r="F673" s="131"/>
    </row>
    <row r="674" spans="5:6">
      <c r="E674" s="135"/>
      <c r="F674" s="131"/>
    </row>
    <row r="675" spans="5:6">
      <c r="E675" s="135"/>
      <c r="F675" s="131"/>
    </row>
    <row r="676" spans="5:6">
      <c r="E676" s="135"/>
      <c r="F676" s="131"/>
    </row>
    <row r="677" spans="5:6">
      <c r="E677" s="135"/>
      <c r="F677" s="131"/>
    </row>
    <row r="678" spans="5:6">
      <c r="E678" s="135"/>
      <c r="F678" s="131"/>
    </row>
    <row r="679" spans="5:6">
      <c r="E679" s="135"/>
      <c r="F679" s="131"/>
    </row>
    <row r="680" spans="5:6">
      <c r="E680" s="135"/>
      <c r="F680" s="131"/>
    </row>
    <row r="681" spans="5:6">
      <c r="E681" s="135"/>
      <c r="F681" s="131"/>
    </row>
    <row r="682" spans="5:6">
      <c r="E682" s="135"/>
      <c r="F682" s="131"/>
    </row>
    <row r="683" spans="5:6">
      <c r="E683" s="135"/>
      <c r="F683" s="131"/>
    </row>
    <row r="684" spans="5:6">
      <c r="E684" s="135"/>
      <c r="F684" s="131"/>
    </row>
    <row r="685" spans="5:6">
      <c r="E685" s="135"/>
      <c r="F685" s="131"/>
    </row>
    <row r="686" spans="5:6">
      <c r="E686" s="135"/>
      <c r="F686" s="131"/>
    </row>
    <row r="687" spans="5:6">
      <c r="E687" s="135"/>
      <c r="F687" s="131"/>
    </row>
    <row r="688" spans="5:6">
      <c r="E688" s="135"/>
      <c r="F688" s="131"/>
    </row>
    <row r="689" spans="5:6">
      <c r="E689" s="135"/>
      <c r="F689" s="131"/>
    </row>
    <row r="690" spans="5:6">
      <c r="E690" s="135"/>
      <c r="F690" s="131"/>
    </row>
    <row r="691" spans="5:6">
      <c r="E691" s="135"/>
      <c r="F691" s="131"/>
    </row>
    <row r="692" spans="5:6">
      <c r="E692" s="135"/>
      <c r="F692" s="131"/>
    </row>
    <row r="693" spans="5:6">
      <c r="E693" s="135"/>
      <c r="F693" s="131"/>
    </row>
    <row r="694" spans="5:6">
      <c r="E694" s="135"/>
      <c r="F694" s="131"/>
    </row>
    <row r="695" spans="5:6">
      <c r="E695" s="135"/>
      <c r="F695" s="131"/>
    </row>
    <row r="696" spans="5:6">
      <c r="E696" s="135"/>
      <c r="F696" s="131"/>
    </row>
    <row r="697" spans="5:6">
      <c r="E697" s="135"/>
      <c r="F697" s="131"/>
    </row>
    <row r="698" spans="5:6">
      <c r="E698" s="135"/>
      <c r="F698" s="131"/>
    </row>
    <row r="699" spans="5:6">
      <c r="E699" s="135"/>
      <c r="F699" s="131"/>
    </row>
    <row r="700" spans="5:6">
      <c r="E700" s="135"/>
      <c r="F700" s="131"/>
    </row>
    <row r="701" spans="5:6">
      <c r="E701" s="135"/>
      <c r="F701" s="131"/>
    </row>
    <row r="702" spans="5:6">
      <c r="E702" s="135"/>
      <c r="F702" s="131"/>
    </row>
    <row r="703" spans="5:6">
      <c r="E703" s="135"/>
      <c r="F703" s="131"/>
    </row>
    <row r="704" spans="5:6">
      <c r="E704" s="135"/>
      <c r="F704" s="131"/>
    </row>
    <row r="705" spans="5:6">
      <c r="E705" s="135"/>
      <c r="F705" s="131"/>
    </row>
    <row r="706" spans="5:6">
      <c r="E706" s="135"/>
      <c r="F706" s="131"/>
    </row>
    <row r="707" spans="5:6">
      <c r="E707" s="135"/>
      <c r="F707" s="131"/>
    </row>
    <row r="708" spans="5:6">
      <c r="E708" s="135"/>
      <c r="F708" s="131"/>
    </row>
    <row r="709" spans="5:6">
      <c r="E709" s="135"/>
      <c r="F709" s="131"/>
    </row>
    <row r="710" spans="5:6">
      <c r="E710" s="135"/>
      <c r="F710" s="131"/>
    </row>
    <row r="711" spans="5:6">
      <c r="E711" s="135"/>
      <c r="F711" s="131"/>
    </row>
    <row r="712" spans="5:6">
      <c r="E712" s="135"/>
      <c r="F712" s="131"/>
    </row>
    <row r="713" spans="5:6">
      <c r="E713" s="135"/>
      <c r="F713" s="131"/>
    </row>
    <row r="714" spans="5:6">
      <c r="E714" s="135"/>
      <c r="F714" s="131"/>
    </row>
    <row r="715" spans="5:6">
      <c r="E715" s="135"/>
      <c r="F715" s="131"/>
    </row>
    <row r="716" spans="5:6">
      <c r="E716" s="135"/>
      <c r="F716" s="131"/>
    </row>
    <row r="717" spans="5:6">
      <c r="E717" s="135"/>
      <c r="F717" s="131"/>
    </row>
    <row r="718" spans="5:6">
      <c r="E718" s="135"/>
      <c r="F718" s="131"/>
    </row>
    <row r="719" spans="5:6">
      <c r="E719" s="135"/>
      <c r="F719" s="131"/>
    </row>
    <row r="720" spans="5:6">
      <c r="E720" s="135"/>
      <c r="F720" s="131"/>
    </row>
    <row r="721" spans="5:6">
      <c r="E721" s="135"/>
      <c r="F721" s="131"/>
    </row>
    <row r="722" spans="5:6">
      <c r="E722" s="135"/>
      <c r="F722" s="131"/>
    </row>
    <row r="723" spans="5:6">
      <c r="E723" s="135"/>
      <c r="F723" s="131"/>
    </row>
    <row r="724" spans="5:6">
      <c r="E724" s="135"/>
      <c r="F724" s="131"/>
    </row>
    <row r="725" spans="5:6">
      <c r="E725" s="135"/>
      <c r="F725" s="131"/>
    </row>
    <row r="726" spans="5:6">
      <c r="E726" s="135"/>
      <c r="F726" s="131"/>
    </row>
    <row r="727" spans="5:6">
      <c r="E727" s="135"/>
      <c r="F727" s="131"/>
    </row>
    <row r="728" spans="5:6">
      <c r="E728" s="135"/>
      <c r="F728" s="131"/>
    </row>
    <row r="729" spans="5:6">
      <c r="E729" s="135"/>
      <c r="F729" s="131"/>
    </row>
    <row r="730" spans="5:6">
      <c r="E730" s="135"/>
      <c r="F730" s="131"/>
    </row>
    <row r="731" spans="5:6">
      <c r="E731" s="135"/>
      <c r="F731" s="131"/>
    </row>
    <row r="732" spans="5:6">
      <c r="E732" s="135"/>
      <c r="F732" s="131"/>
    </row>
    <row r="733" spans="5:6">
      <c r="E733" s="135"/>
      <c r="F733" s="131"/>
    </row>
    <row r="734" spans="5:6">
      <c r="E734" s="135"/>
      <c r="F734" s="131"/>
    </row>
    <row r="735" spans="5:6">
      <c r="E735" s="135"/>
      <c r="F735" s="131"/>
    </row>
    <row r="736" spans="5:6">
      <c r="E736" s="135"/>
      <c r="F736" s="131"/>
    </row>
    <row r="737" spans="5:6">
      <c r="E737" s="135"/>
      <c r="F737" s="131"/>
    </row>
    <row r="738" spans="5:6">
      <c r="E738" s="135"/>
      <c r="F738" s="131"/>
    </row>
    <row r="739" spans="5:6">
      <c r="E739" s="135"/>
      <c r="F739" s="131"/>
    </row>
    <row r="740" spans="5:6">
      <c r="E740" s="135"/>
      <c r="F740" s="131"/>
    </row>
    <row r="741" spans="5:6">
      <c r="E741" s="135"/>
      <c r="F741" s="131"/>
    </row>
    <row r="742" spans="5:6">
      <c r="E742" s="135"/>
      <c r="F742" s="131"/>
    </row>
    <row r="743" spans="5:6">
      <c r="E743" s="135"/>
      <c r="F743" s="131"/>
    </row>
    <row r="744" spans="5:6">
      <c r="E744" s="135"/>
      <c r="F744" s="131"/>
    </row>
    <row r="745" spans="5:6">
      <c r="E745" s="135"/>
      <c r="F745" s="131"/>
    </row>
    <row r="746" spans="5:6">
      <c r="E746" s="135"/>
      <c r="F746" s="131"/>
    </row>
    <row r="747" spans="5:6">
      <c r="E747" s="135"/>
      <c r="F747" s="131"/>
    </row>
    <row r="748" spans="5:6">
      <c r="E748" s="135"/>
      <c r="F748" s="131"/>
    </row>
    <row r="749" spans="5:6">
      <c r="E749" s="135"/>
      <c r="F749" s="131"/>
    </row>
    <row r="750" spans="5:6">
      <c r="E750" s="135"/>
      <c r="F750" s="131"/>
    </row>
    <row r="751" spans="5:6">
      <c r="E751" s="135"/>
      <c r="F751" s="131"/>
    </row>
    <row r="752" spans="5:6">
      <c r="E752" s="135"/>
      <c r="F752" s="131"/>
    </row>
    <row r="753" spans="5:6">
      <c r="E753" s="135"/>
      <c r="F753" s="131"/>
    </row>
    <row r="754" spans="5:6">
      <c r="E754" s="135"/>
      <c r="F754" s="131"/>
    </row>
    <row r="755" spans="5:6">
      <c r="E755" s="135"/>
      <c r="F755" s="131"/>
    </row>
    <row r="756" spans="5:6">
      <c r="E756" s="135"/>
      <c r="F756" s="131"/>
    </row>
    <row r="757" spans="5:6">
      <c r="E757" s="135"/>
      <c r="F757" s="131"/>
    </row>
    <row r="758" spans="5:6">
      <c r="E758" s="135"/>
      <c r="F758" s="131"/>
    </row>
    <row r="759" spans="5:6">
      <c r="E759" s="135"/>
      <c r="F759" s="131"/>
    </row>
    <row r="760" spans="5:6">
      <c r="E760" s="135"/>
      <c r="F760" s="131"/>
    </row>
    <row r="761" spans="5:6">
      <c r="E761" s="135"/>
      <c r="F761" s="131"/>
    </row>
    <row r="762" spans="5:6">
      <c r="E762" s="135"/>
      <c r="F762" s="131"/>
    </row>
    <row r="763" spans="5:6">
      <c r="E763" s="135"/>
      <c r="F763" s="131"/>
    </row>
    <row r="764" spans="5:6">
      <c r="E764" s="135"/>
      <c r="F764" s="131"/>
    </row>
    <row r="765" spans="5:6">
      <c r="E765" s="135"/>
      <c r="F765" s="131"/>
    </row>
    <row r="766" spans="5:6">
      <c r="E766" s="135"/>
      <c r="F766" s="131"/>
    </row>
    <row r="767" spans="5:6">
      <c r="E767" s="135"/>
      <c r="F767" s="131"/>
    </row>
    <row r="768" spans="5:6">
      <c r="E768" s="135"/>
      <c r="F768" s="131"/>
    </row>
    <row r="769" spans="5:6">
      <c r="E769" s="135"/>
      <c r="F769" s="131"/>
    </row>
    <row r="770" spans="5:6">
      <c r="E770" s="135"/>
      <c r="F770" s="131"/>
    </row>
    <row r="771" spans="5:6">
      <c r="E771" s="135"/>
      <c r="F771" s="131"/>
    </row>
    <row r="772" spans="5:6">
      <c r="E772" s="135"/>
      <c r="F772" s="131"/>
    </row>
    <row r="773" spans="5:6">
      <c r="E773" s="135"/>
      <c r="F773" s="131"/>
    </row>
    <row r="774" spans="5:6">
      <c r="E774" s="135"/>
      <c r="F774" s="131"/>
    </row>
    <row r="775" spans="5:6">
      <c r="E775" s="135"/>
      <c r="F775" s="131"/>
    </row>
    <row r="776" spans="5:6">
      <c r="E776" s="135"/>
      <c r="F776" s="131"/>
    </row>
    <row r="777" spans="5:6">
      <c r="E777" s="135"/>
      <c r="F777" s="131"/>
    </row>
    <row r="778" spans="5:6">
      <c r="E778" s="135"/>
      <c r="F778" s="131"/>
    </row>
    <row r="779" spans="5:6">
      <c r="E779" s="135"/>
      <c r="F779" s="131"/>
    </row>
    <row r="780" spans="5:6">
      <c r="E780" s="135"/>
      <c r="F780" s="131"/>
    </row>
    <row r="781" spans="5:6">
      <c r="E781" s="135"/>
      <c r="F781" s="131"/>
    </row>
    <row r="782" spans="5:6">
      <c r="E782" s="135"/>
      <c r="F782" s="131"/>
    </row>
    <row r="783" spans="5:6">
      <c r="E783" s="135"/>
      <c r="F783" s="131"/>
    </row>
    <row r="784" spans="5:6">
      <c r="E784" s="135"/>
      <c r="F784" s="131"/>
    </row>
    <row r="785" spans="5:6">
      <c r="E785" s="135"/>
      <c r="F785" s="131"/>
    </row>
    <row r="786" spans="5:6">
      <c r="E786" s="135"/>
      <c r="F786" s="131"/>
    </row>
    <row r="787" spans="5:6">
      <c r="E787" s="135"/>
      <c r="F787" s="131"/>
    </row>
    <row r="788" spans="5:6">
      <c r="E788" s="135"/>
      <c r="F788" s="131"/>
    </row>
    <row r="789" spans="5:6">
      <c r="E789" s="135"/>
      <c r="F789" s="131"/>
    </row>
    <row r="790" spans="5:6">
      <c r="E790" s="135"/>
      <c r="F790" s="131"/>
    </row>
    <row r="791" spans="5:6">
      <c r="E791" s="135"/>
      <c r="F791" s="131"/>
    </row>
    <row r="792" spans="5:6">
      <c r="E792" s="135"/>
      <c r="F792" s="131"/>
    </row>
    <row r="793" spans="5:6">
      <c r="E793" s="135"/>
      <c r="F793" s="131"/>
    </row>
    <row r="794" spans="5:6">
      <c r="E794" s="135"/>
      <c r="F794" s="131"/>
    </row>
    <row r="795" spans="5:6">
      <c r="E795" s="135"/>
      <c r="F795" s="131"/>
    </row>
    <row r="796" spans="5:6">
      <c r="E796" s="135"/>
      <c r="F796" s="131"/>
    </row>
    <row r="797" spans="5:6">
      <c r="E797" s="135"/>
      <c r="F797" s="131"/>
    </row>
    <row r="798" spans="5:6">
      <c r="E798" s="135"/>
      <c r="F798" s="131"/>
    </row>
    <row r="799" spans="5:6">
      <c r="E799" s="135"/>
      <c r="F799" s="131"/>
    </row>
    <row r="800" spans="5:6">
      <c r="E800" s="135"/>
      <c r="F800" s="131"/>
    </row>
    <row r="801" spans="5:6">
      <c r="E801" s="135"/>
      <c r="F801" s="131"/>
    </row>
    <row r="802" spans="5:6">
      <c r="E802" s="135"/>
      <c r="F802" s="131"/>
    </row>
    <row r="803" spans="5:6">
      <c r="E803" s="135"/>
      <c r="F803" s="131"/>
    </row>
    <row r="804" spans="5:6">
      <c r="E804" s="135"/>
      <c r="F804" s="131"/>
    </row>
    <row r="805" spans="5:6">
      <c r="E805" s="135"/>
      <c r="F805" s="131"/>
    </row>
    <row r="806" spans="5:6">
      <c r="E806" s="135"/>
      <c r="F806" s="131"/>
    </row>
    <row r="807" spans="5:6">
      <c r="E807" s="135"/>
      <c r="F807" s="131"/>
    </row>
    <row r="808" spans="5:6">
      <c r="E808" s="135"/>
      <c r="F808" s="131"/>
    </row>
    <row r="809" spans="5:6">
      <c r="E809" s="135"/>
      <c r="F809" s="131"/>
    </row>
    <row r="810" spans="5:6">
      <c r="E810" s="135"/>
      <c r="F810" s="131"/>
    </row>
    <row r="811" spans="5:6">
      <c r="E811" s="135"/>
      <c r="F811" s="131"/>
    </row>
    <row r="812" spans="5:6">
      <c r="E812" s="135"/>
      <c r="F812" s="131"/>
    </row>
    <row r="813" spans="5:6">
      <c r="E813" s="135"/>
      <c r="F813" s="131"/>
    </row>
    <row r="814" spans="5:6">
      <c r="E814" s="135"/>
      <c r="F814" s="131"/>
    </row>
    <row r="815" spans="5:6">
      <c r="E815" s="135"/>
      <c r="F815" s="131"/>
    </row>
    <row r="816" spans="5:6">
      <c r="E816" s="135"/>
      <c r="F816" s="131"/>
    </row>
    <row r="817" spans="5:6">
      <c r="E817" s="135"/>
      <c r="F817" s="131"/>
    </row>
    <row r="818" spans="5:6">
      <c r="E818" s="135"/>
      <c r="F818" s="131"/>
    </row>
    <row r="819" spans="5:6">
      <c r="E819" s="135"/>
      <c r="F819" s="131"/>
    </row>
    <row r="820" spans="5:6">
      <c r="E820" s="135"/>
      <c r="F820" s="131"/>
    </row>
    <row r="821" spans="5:6">
      <c r="E821" s="135"/>
      <c r="F821" s="131"/>
    </row>
    <row r="822" spans="5:6">
      <c r="E822" s="135"/>
      <c r="F822" s="131"/>
    </row>
    <row r="823" spans="5:6">
      <c r="E823" s="135"/>
      <c r="F823" s="131"/>
    </row>
    <row r="824" spans="5:6">
      <c r="E824" s="135"/>
      <c r="F824" s="131"/>
    </row>
    <row r="825" spans="5:6">
      <c r="E825" s="135"/>
      <c r="F825" s="131"/>
    </row>
    <row r="826" spans="5:6">
      <c r="E826" s="135"/>
      <c r="F826" s="131"/>
    </row>
    <row r="827" spans="5:6">
      <c r="E827" s="135"/>
      <c r="F827" s="131"/>
    </row>
    <row r="828" spans="5:6">
      <c r="E828" s="135"/>
      <c r="F828" s="131"/>
    </row>
    <row r="829" spans="5:6">
      <c r="E829" s="135"/>
      <c r="F829" s="131"/>
    </row>
    <row r="830" spans="5:6">
      <c r="E830" s="135"/>
      <c r="F830" s="131"/>
    </row>
    <row r="831" spans="5:6">
      <c r="E831" s="135"/>
      <c r="F831" s="131"/>
    </row>
    <row r="832" spans="5:6">
      <c r="E832" s="135"/>
      <c r="F832" s="131"/>
    </row>
    <row r="833" spans="5:6">
      <c r="E833" s="135"/>
      <c r="F833" s="131"/>
    </row>
    <row r="834" spans="5:6">
      <c r="E834" s="135"/>
      <c r="F834" s="131"/>
    </row>
    <row r="835" spans="5:6">
      <c r="E835" s="135"/>
      <c r="F835" s="131"/>
    </row>
    <row r="836" spans="5:6">
      <c r="E836" s="135"/>
      <c r="F836" s="131"/>
    </row>
    <row r="837" spans="5:6">
      <c r="E837" s="135"/>
      <c r="F837" s="131"/>
    </row>
    <row r="838" spans="5:6">
      <c r="E838" s="135"/>
      <c r="F838" s="131"/>
    </row>
    <row r="839" spans="5:6">
      <c r="E839" s="135"/>
      <c r="F839" s="131"/>
    </row>
    <row r="840" spans="5:6">
      <c r="E840" s="135"/>
      <c r="F840" s="131"/>
    </row>
    <row r="841" spans="5:6">
      <c r="E841" s="135"/>
      <c r="F841" s="131"/>
    </row>
    <row r="842" spans="5:6">
      <c r="E842" s="135"/>
      <c r="F842" s="131"/>
    </row>
    <row r="843" spans="5:6">
      <c r="E843" s="135"/>
      <c r="F843" s="131"/>
    </row>
    <row r="844" spans="5:6">
      <c r="E844" s="135"/>
      <c r="F844" s="131"/>
    </row>
    <row r="845" spans="5:6">
      <c r="E845" s="135"/>
      <c r="F845" s="131"/>
    </row>
    <row r="846" spans="5:6">
      <c r="E846" s="135"/>
      <c r="F846" s="131"/>
    </row>
    <row r="847" spans="5:6">
      <c r="E847" s="135"/>
      <c r="F847" s="131"/>
    </row>
    <row r="848" spans="5:6">
      <c r="E848" s="135"/>
      <c r="F848" s="131"/>
    </row>
    <row r="849" spans="5:6">
      <c r="E849" s="135"/>
      <c r="F849" s="131"/>
    </row>
    <row r="850" spans="5:6">
      <c r="E850" s="135"/>
      <c r="F850" s="131"/>
    </row>
    <row r="851" spans="5:6">
      <c r="E851" s="135"/>
      <c r="F851" s="131"/>
    </row>
    <row r="852" spans="5:6">
      <c r="E852" s="135"/>
      <c r="F852" s="131"/>
    </row>
    <row r="853" spans="5:6">
      <c r="E853" s="135"/>
      <c r="F853" s="131"/>
    </row>
    <row r="854" spans="5:6">
      <c r="E854" s="135"/>
      <c r="F854" s="131"/>
    </row>
    <row r="855" spans="5:6">
      <c r="E855" s="135"/>
      <c r="F855" s="131"/>
    </row>
    <row r="856" spans="5:6">
      <c r="E856" s="135"/>
      <c r="F856" s="131"/>
    </row>
    <row r="857" spans="5:6">
      <c r="E857" s="135"/>
      <c r="F857" s="131"/>
    </row>
    <row r="858" spans="5:6">
      <c r="E858" s="135"/>
      <c r="F858" s="131"/>
    </row>
    <row r="859" spans="5:6">
      <c r="E859" s="135"/>
      <c r="F859" s="131"/>
    </row>
    <row r="860" spans="5:6">
      <c r="E860" s="135"/>
      <c r="F860" s="131"/>
    </row>
    <row r="861" spans="5:6">
      <c r="E861" s="135"/>
      <c r="F861" s="131"/>
    </row>
    <row r="862" spans="5:6">
      <c r="E862" s="135"/>
      <c r="F862" s="131"/>
    </row>
    <row r="863" spans="5:6">
      <c r="E863" s="135"/>
      <c r="F863" s="131"/>
    </row>
    <row r="864" spans="5:6">
      <c r="E864" s="135"/>
      <c r="F864" s="131"/>
    </row>
    <row r="865" spans="5:6">
      <c r="E865" s="135"/>
      <c r="F865" s="131"/>
    </row>
    <row r="866" spans="5:6">
      <c r="E866" s="135"/>
      <c r="F866" s="131"/>
    </row>
    <row r="867" spans="5:6">
      <c r="E867" s="135"/>
      <c r="F867" s="131"/>
    </row>
    <row r="868" spans="5:6">
      <c r="E868" s="135"/>
      <c r="F868" s="131"/>
    </row>
    <row r="869" spans="5:6">
      <c r="E869" s="135"/>
      <c r="F869" s="131"/>
    </row>
    <row r="870" spans="5:6">
      <c r="E870" s="135"/>
      <c r="F870" s="131"/>
    </row>
    <row r="871" spans="5:6">
      <c r="E871" s="135"/>
      <c r="F871" s="131"/>
    </row>
    <row r="872" spans="5:6">
      <c r="E872" s="135"/>
      <c r="F872" s="131"/>
    </row>
    <row r="873" spans="5:6">
      <c r="E873" s="135"/>
      <c r="F873" s="131"/>
    </row>
    <row r="874" spans="5:6">
      <c r="E874" s="135"/>
      <c r="F874" s="131"/>
    </row>
    <row r="875" spans="5:6">
      <c r="E875" s="135"/>
      <c r="F875" s="131"/>
    </row>
    <row r="876" spans="5:6">
      <c r="E876" s="135"/>
      <c r="F876" s="131"/>
    </row>
    <row r="877" spans="5:6">
      <c r="E877" s="135"/>
      <c r="F877" s="131"/>
    </row>
    <row r="878" spans="5:6">
      <c r="E878" s="135"/>
      <c r="F878" s="131"/>
    </row>
    <row r="879" spans="5:6">
      <c r="E879" s="135"/>
      <c r="F879" s="131"/>
    </row>
    <row r="880" spans="5:6">
      <c r="E880" s="135"/>
      <c r="F880" s="131"/>
    </row>
    <row r="881" spans="5:6">
      <c r="E881" s="135"/>
      <c r="F881" s="131"/>
    </row>
    <row r="882" spans="5:6">
      <c r="E882" s="135"/>
      <c r="F882" s="131"/>
    </row>
    <row r="883" spans="5:6">
      <c r="E883" s="135"/>
      <c r="F883" s="131"/>
    </row>
    <row r="884" spans="5:6">
      <c r="E884" s="135"/>
      <c r="F884" s="131"/>
    </row>
    <row r="885" spans="5:6">
      <c r="E885" s="135"/>
      <c r="F885" s="131"/>
    </row>
    <row r="886" spans="5:6">
      <c r="E886" s="135"/>
      <c r="F886" s="131"/>
    </row>
    <row r="887" spans="5:6">
      <c r="E887" s="135"/>
      <c r="F887" s="131"/>
    </row>
    <row r="888" spans="5:6">
      <c r="E888" s="135"/>
      <c r="F888" s="131"/>
    </row>
    <row r="889" spans="5:6">
      <c r="E889" s="135"/>
      <c r="F889" s="131"/>
    </row>
    <row r="890" spans="5:6">
      <c r="E890" s="135"/>
      <c r="F890" s="131"/>
    </row>
    <row r="891" spans="5:6">
      <c r="E891" s="135"/>
      <c r="F891" s="131"/>
    </row>
    <row r="892" spans="5:6">
      <c r="E892" s="135"/>
      <c r="F892" s="131"/>
    </row>
    <row r="893" spans="5:6">
      <c r="E893" s="135"/>
      <c r="F893" s="131"/>
    </row>
    <row r="894" spans="5:6">
      <c r="E894" s="135"/>
      <c r="F894" s="131"/>
    </row>
    <row r="895" spans="5:6">
      <c r="E895" s="135"/>
      <c r="F895" s="131"/>
    </row>
    <row r="896" spans="5:6">
      <c r="E896" s="135"/>
      <c r="F896" s="131"/>
    </row>
    <row r="897" spans="5:6">
      <c r="E897" s="135"/>
      <c r="F897" s="131"/>
    </row>
    <row r="898" spans="5:6">
      <c r="E898" s="135"/>
      <c r="F898" s="131"/>
    </row>
    <row r="899" spans="5:6">
      <c r="E899" s="135"/>
      <c r="F899" s="131"/>
    </row>
    <row r="900" spans="5:6">
      <c r="E900" s="135"/>
      <c r="F900" s="131"/>
    </row>
    <row r="901" spans="5:6">
      <c r="E901" s="135"/>
      <c r="F901" s="131"/>
    </row>
    <row r="902" spans="5:6">
      <c r="E902" s="135"/>
      <c r="F902" s="131"/>
    </row>
    <row r="903" spans="5:6">
      <c r="E903" s="135"/>
      <c r="F903" s="131"/>
    </row>
    <row r="904" spans="5:6">
      <c r="E904" s="135"/>
      <c r="F904" s="131"/>
    </row>
    <row r="905" spans="5:6">
      <c r="E905" s="135"/>
      <c r="F905" s="131"/>
    </row>
    <row r="906" spans="5:6">
      <c r="E906" s="135"/>
      <c r="F906" s="131"/>
    </row>
    <row r="907" spans="5:6">
      <c r="E907" s="135"/>
      <c r="F907" s="131"/>
    </row>
    <row r="908" spans="5:6">
      <c r="E908" s="135"/>
      <c r="F908" s="131"/>
    </row>
    <row r="909" spans="5:6">
      <c r="E909" s="135"/>
      <c r="F909" s="131"/>
    </row>
    <row r="910" spans="5:6">
      <c r="E910" s="135"/>
      <c r="F910" s="131"/>
    </row>
    <row r="911" spans="5:6">
      <c r="E911" s="135"/>
      <c r="F911" s="131"/>
    </row>
    <row r="912" spans="5:6">
      <c r="E912" s="135"/>
      <c r="F912" s="131"/>
    </row>
    <row r="913" spans="5:6">
      <c r="E913" s="135"/>
      <c r="F913" s="131"/>
    </row>
    <row r="914" spans="5:6">
      <c r="E914" s="135"/>
      <c r="F914" s="131"/>
    </row>
    <row r="915" spans="5:6">
      <c r="E915" s="135"/>
      <c r="F915" s="131"/>
    </row>
    <row r="916" spans="5:6">
      <c r="E916" s="135"/>
      <c r="F916" s="131"/>
    </row>
    <row r="917" spans="5:6">
      <c r="E917" s="135"/>
      <c r="F917" s="131"/>
    </row>
    <row r="918" spans="5:6">
      <c r="E918" s="135"/>
      <c r="F918" s="131"/>
    </row>
    <row r="919" spans="5:6">
      <c r="E919" s="135"/>
      <c r="F919" s="131"/>
    </row>
    <row r="920" spans="5:6">
      <c r="E920" s="135"/>
      <c r="F920" s="131"/>
    </row>
    <row r="921" spans="5:6">
      <c r="E921" s="135"/>
      <c r="F921" s="131"/>
    </row>
    <row r="922" spans="5:6">
      <c r="E922" s="135"/>
      <c r="F922" s="131"/>
    </row>
    <row r="923" spans="5:6">
      <c r="E923" s="135"/>
      <c r="F923" s="131"/>
    </row>
    <row r="924" spans="5:6">
      <c r="E924" s="135"/>
      <c r="F924" s="131"/>
    </row>
    <row r="925" spans="5:6">
      <c r="E925" s="135"/>
      <c r="F925" s="131"/>
    </row>
    <row r="926" spans="5:6">
      <c r="E926" s="135"/>
      <c r="F926" s="131"/>
    </row>
    <row r="927" spans="5:6">
      <c r="E927" s="135"/>
      <c r="F927" s="131"/>
    </row>
    <row r="928" spans="5:6">
      <c r="E928" s="135"/>
      <c r="F928" s="131"/>
    </row>
    <row r="929" spans="5:6">
      <c r="E929" s="135"/>
      <c r="F929" s="131"/>
    </row>
    <row r="930" spans="5:6">
      <c r="E930" s="135"/>
      <c r="F930" s="131"/>
    </row>
    <row r="931" spans="5:6">
      <c r="E931" s="135"/>
      <c r="F931" s="131"/>
    </row>
    <row r="932" spans="5:6">
      <c r="E932" s="135"/>
      <c r="F932" s="131"/>
    </row>
    <row r="933" spans="5:6">
      <c r="E933" s="135"/>
      <c r="F933" s="131"/>
    </row>
    <row r="934" spans="5:6">
      <c r="E934" s="135"/>
      <c r="F934" s="131"/>
    </row>
    <row r="935" spans="5:6">
      <c r="E935" s="135"/>
      <c r="F935" s="131"/>
    </row>
    <row r="936" spans="5:6">
      <c r="E936" s="135"/>
      <c r="F936" s="131"/>
    </row>
    <row r="937" spans="5:6">
      <c r="E937" s="135"/>
      <c r="F937" s="131"/>
    </row>
    <row r="938" spans="5:6">
      <c r="E938" s="135"/>
      <c r="F938" s="131"/>
    </row>
    <row r="939" spans="5:6">
      <c r="E939" s="135"/>
      <c r="F939" s="131"/>
    </row>
    <row r="940" spans="5:6">
      <c r="E940" s="135"/>
      <c r="F940" s="131"/>
    </row>
    <row r="941" spans="5:6">
      <c r="E941" s="135"/>
      <c r="F941" s="131"/>
    </row>
    <row r="942" spans="5:6">
      <c r="E942" s="135"/>
      <c r="F942" s="131"/>
    </row>
    <row r="943" spans="5:6">
      <c r="E943" s="135"/>
      <c r="F943" s="131"/>
    </row>
    <row r="944" spans="5:6">
      <c r="E944" s="135"/>
      <c r="F944" s="131"/>
    </row>
    <row r="945" spans="5:6">
      <c r="E945" s="135"/>
      <c r="F945" s="131"/>
    </row>
    <row r="946" spans="5:6">
      <c r="E946" s="135"/>
      <c r="F946" s="131"/>
    </row>
    <row r="947" spans="5:6">
      <c r="E947" s="135"/>
      <c r="F947" s="131"/>
    </row>
    <row r="948" spans="5:6">
      <c r="E948" s="135"/>
      <c r="F948" s="131"/>
    </row>
    <row r="949" spans="5:6">
      <c r="E949" s="135"/>
      <c r="F949" s="131"/>
    </row>
    <row r="950" spans="5:6">
      <c r="E950" s="135"/>
      <c r="F950" s="131"/>
    </row>
    <row r="951" spans="5:6">
      <c r="E951" s="135"/>
      <c r="F951" s="131"/>
    </row>
    <row r="952" spans="5:6">
      <c r="E952" s="135"/>
      <c r="F952" s="131"/>
    </row>
    <row r="953" spans="5:6">
      <c r="E953" s="135"/>
      <c r="F953" s="131"/>
    </row>
    <row r="954" spans="5:6">
      <c r="E954" s="135"/>
      <c r="F954" s="131"/>
    </row>
    <row r="955" spans="5:6">
      <c r="E955" s="135"/>
      <c r="F955" s="131"/>
    </row>
    <row r="956" spans="5:6">
      <c r="E956" s="135"/>
      <c r="F956" s="131"/>
    </row>
    <row r="957" spans="5:6">
      <c r="E957" s="135"/>
      <c r="F957" s="131"/>
    </row>
    <row r="958" spans="5:6">
      <c r="E958" s="135"/>
      <c r="F958" s="131"/>
    </row>
    <row r="959" spans="5:6">
      <c r="E959" s="135"/>
      <c r="F959" s="131"/>
    </row>
    <row r="960" spans="5:6">
      <c r="E960" s="135"/>
      <c r="F960" s="131"/>
    </row>
    <row r="961" spans="5:6">
      <c r="E961" s="135"/>
      <c r="F961" s="131"/>
    </row>
    <row r="962" spans="5:6">
      <c r="E962" s="135"/>
      <c r="F962" s="131"/>
    </row>
    <row r="963" spans="5:6">
      <c r="E963" s="135"/>
      <c r="F963" s="131"/>
    </row>
    <row r="964" spans="5:6">
      <c r="E964" s="135"/>
      <c r="F964" s="131"/>
    </row>
    <row r="965" spans="5:6">
      <c r="E965" s="135"/>
      <c r="F965" s="131"/>
    </row>
    <row r="966" spans="5:6">
      <c r="E966" s="135"/>
      <c r="F966" s="131"/>
    </row>
    <row r="967" spans="5:6">
      <c r="E967" s="135"/>
      <c r="F967" s="131"/>
    </row>
    <row r="968" spans="5:6">
      <c r="E968" s="135"/>
      <c r="F968" s="131"/>
    </row>
    <row r="969" spans="5:6">
      <c r="E969" s="135"/>
      <c r="F969" s="131"/>
    </row>
    <row r="970" spans="5:6">
      <c r="E970" s="135"/>
      <c r="F970" s="131"/>
    </row>
    <row r="971" spans="5:6">
      <c r="E971" s="135"/>
      <c r="F971" s="131"/>
    </row>
    <row r="972" spans="5:6">
      <c r="E972" s="135"/>
      <c r="F972" s="131"/>
    </row>
    <row r="973" spans="5:6">
      <c r="E973" s="135"/>
      <c r="F973" s="131"/>
    </row>
    <row r="974" spans="5:6">
      <c r="E974" s="135"/>
      <c r="F974" s="131"/>
    </row>
    <row r="975" spans="5:6">
      <c r="E975" s="135"/>
      <c r="F975" s="131"/>
    </row>
    <row r="976" spans="5:6">
      <c r="E976" s="135"/>
      <c r="F976" s="131"/>
    </row>
    <row r="977" spans="5:6">
      <c r="E977" s="135"/>
      <c r="F977" s="131"/>
    </row>
    <row r="978" spans="5:6">
      <c r="E978" s="135"/>
      <c r="F978" s="131"/>
    </row>
    <row r="979" spans="5:6">
      <c r="E979" s="135"/>
      <c r="F979" s="131"/>
    </row>
    <row r="980" spans="5:6">
      <c r="E980" s="135"/>
      <c r="F980" s="131"/>
    </row>
    <row r="981" spans="5:6">
      <c r="E981" s="135"/>
      <c r="F981" s="131"/>
    </row>
    <row r="982" spans="5:6">
      <c r="E982" s="135"/>
      <c r="F982" s="131"/>
    </row>
    <row r="983" spans="5:6">
      <c r="E983" s="135"/>
      <c r="F983" s="131"/>
    </row>
    <row r="984" spans="5:6">
      <c r="E984" s="135"/>
      <c r="F984" s="131"/>
    </row>
    <row r="985" spans="5:6">
      <c r="E985" s="135"/>
      <c r="F985" s="131"/>
    </row>
    <row r="986" spans="5:6">
      <c r="E986" s="135"/>
      <c r="F986" s="131"/>
    </row>
    <row r="987" spans="5:6">
      <c r="E987" s="135"/>
      <c r="F987" s="131"/>
    </row>
    <row r="988" spans="5:6">
      <c r="E988" s="135"/>
      <c r="F988" s="131"/>
    </row>
    <row r="989" spans="5:6">
      <c r="E989" s="135"/>
      <c r="F989" s="131"/>
    </row>
    <row r="990" spans="5:6">
      <c r="E990" s="135"/>
      <c r="F990" s="131"/>
    </row>
    <row r="991" spans="5:6">
      <c r="E991" s="135"/>
      <c r="F991" s="131"/>
    </row>
    <row r="992" spans="5:6">
      <c r="E992" s="135"/>
      <c r="F992" s="131"/>
    </row>
    <row r="993" spans="5:6">
      <c r="E993" s="135"/>
      <c r="F993" s="131"/>
    </row>
    <row r="994" spans="5:6">
      <c r="E994" s="135"/>
      <c r="F994" s="131"/>
    </row>
    <row r="995" spans="5:6">
      <c r="E995" s="135"/>
      <c r="F995" s="131"/>
    </row>
    <row r="996" spans="5:6">
      <c r="E996" s="135"/>
      <c r="F996" s="131"/>
    </row>
    <row r="997" spans="5:6">
      <c r="E997" s="135"/>
      <c r="F997" s="131"/>
    </row>
    <row r="998" spans="5:6">
      <c r="E998" s="135"/>
      <c r="F998" s="131"/>
    </row>
    <row r="999" spans="5:6">
      <c r="E999" s="135"/>
      <c r="F999" s="131"/>
    </row>
    <row r="1000" spans="5:6">
      <c r="E1000" s="135"/>
      <c r="F1000" s="131"/>
    </row>
    <row r="1001" spans="5:6">
      <c r="E1001" s="135"/>
      <c r="F1001" s="131"/>
    </row>
    <row r="1002" spans="5:6">
      <c r="E1002" s="135"/>
      <c r="F1002" s="131"/>
    </row>
    <row r="1003" spans="5:6">
      <c r="E1003" s="135"/>
      <c r="F1003" s="131"/>
    </row>
    <row r="1004" spans="5:6">
      <c r="E1004" s="135"/>
      <c r="F1004" s="131"/>
    </row>
    <row r="1005" spans="5:6">
      <c r="E1005" s="135"/>
      <c r="F1005" s="131"/>
    </row>
    <row r="1006" spans="5:6">
      <c r="E1006" s="135"/>
      <c r="F1006" s="131"/>
    </row>
    <row r="1007" spans="5:6">
      <c r="E1007" s="135"/>
      <c r="F1007" s="131"/>
    </row>
    <row r="1008" spans="5:6">
      <c r="E1008" s="135"/>
      <c r="F1008" s="131"/>
    </row>
    <row r="1009" spans="5:6">
      <c r="E1009" s="135"/>
      <c r="F1009" s="131"/>
    </row>
    <row r="1010" spans="5:6">
      <c r="E1010" s="135"/>
      <c r="F1010" s="131"/>
    </row>
    <row r="1011" spans="5:6">
      <c r="E1011" s="135"/>
      <c r="F1011" s="131"/>
    </row>
    <row r="1012" spans="5:6">
      <c r="E1012" s="135"/>
      <c r="F1012" s="131"/>
    </row>
    <row r="1013" spans="5:6">
      <c r="E1013" s="135"/>
      <c r="F1013" s="131"/>
    </row>
    <row r="1014" spans="5:6">
      <c r="E1014" s="135"/>
      <c r="F1014" s="131"/>
    </row>
    <row r="1015" spans="5:6">
      <c r="E1015" s="135"/>
      <c r="F1015" s="131"/>
    </row>
    <row r="1016" spans="5:6">
      <c r="E1016" s="135"/>
      <c r="F1016" s="131"/>
    </row>
    <row r="1017" spans="5:6">
      <c r="E1017" s="135"/>
      <c r="F1017" s="131"/>
    </row>
    <row r="1018" spans="5:6">
      <c r="E1018" s="135"/>
      <c r="F1018" s="131"/>
    </row>
    <row r="1019" spans="5:6">
      <c r="E1019" s="135"/>
      <c r="F1019" s="131"/>
    </row>
    <row r="1020" spans="5:6">
      <c r="E1020" s="135"/>
      <c r="F1020" s="131"/>
    </row>
    <row r="1021" spans="5:6">
      <c r="E1021" s="135"/>
      <c r="F1021" s="131"/>
    </row>
    <row r="1022" spans="5:6">
      <c r="E1022" s="135"/>
      <c r="F1022" s="131"/>
    </row>
    <row r="1023" spans="5:6">
      <c r="E1023" s="135"/>
      <c r="F1023" s="131"/>
    </row>
    <row r="1024" spans="5:6">
      <c r="E1024" s="135"/>
      <c r="F1024" s="131"/>
    </row>
    <row r="1025" spans="5:6">
      <c r="E1025" s="135"/>
      <c r="F1025" s="131"/>
    </row>
    <row r="1026" spans="5:6">
      <c r="E1026" s="135"/>
      <c r="F1026" s="131"/>
    </row>
    <row r="1027" spans="5:6">
      <c r="E1027" s="135"/>
      <c r="F1027" s="131"/>
    </row>
    <row r="1028" spans="5:6">
      <c r="E1028" s="135"/>
      <c r="F1028" s="131"/>
    </row>
    <row r="1029" spans="5:6">
      <c r="E1029" s="135"/>
      <c r="F1029" s="131"/>
    </row>
    <row r="1030" spans="5:6">
      <c r="E1030" s="135"/>
      <c r="F1030" s="131"/>
    </row>
    <row r="1031" spans="5:6">
      <c r="E1031" s="135"/>
      <c r="F1031" s="131"/>
    </row>
    <row r="1032" spans="5:6">
      <c r="E1032" s="135"/>
      <c r="F1032" s="131"/>
    </row>
    <row r="1033" spans="5:6">
      <c r="E1033" s="135"/>
      <c r="F1033" s="131"/>
    </row>
    <row r="1034" spans="5:6">
      <c r="E1034" s="135"/>
      <c r="F1034" s="131"/>
    </row>
    <row r="1035" spans="5:6">
      <c r="E1035" s="135"/>
      <c r="F1035" s="131"/>
    </row>
    <row r="1036" spans="5:6">
      <c r="E1036" s="135"/>
      <c r="F1036" s="131"/>
    </row>
    <row r="1037" spans="5:6">
      <c r="E1037" s="135"/>
      <c r="F1037" s="131"/>
    </row>
    <row r="1038" spans="5:6">
      <c r="E1038" s="135"/>
      <c r="F1038" s="131"/>
    </row>
    <row r="1039" spans="5:6">
      <c r="E1039" s="135"/>
      <c r="F1039" s="131"/>
    </row>
    <row r="1040" spans="5:6">
      <c r="E1040" s="135"/>
      <c r="F1040" s="131"/>
    </row>
    <row r="1041" spans="5:6">
      <c r="E1041" s="135"/>
      <c r="F1041" s="131"/>
    </row>
    <row r="1042" spans="5:6">
      <c r="E1042" s="135"/>
      <c r="F1042" s="131"/>
    </row>
    <row r="1043" spans="5:6">
      <c r="E1043" s="135"/>
      <c r="F1043" s="131"/>
    </row>
    <row r="1044" spans="5:6">
      <c r="E1044" s="135"/>
      <c r="F1044" s="131"/>
    </row>
    <row r="1045" spans="5:6">
      <c r="E1045" s="135"/>
      <c r="F1045" s="131"/>
    </row>
    <row r="1046" spans="5:6">
      <c r="E1046" s="135"/>
      <c r="F1046" s="131"/>
    </row>
    <row r="1047" spans="5:6">
      <c r="E1047" s="135"/>
      <c r="F1047" s="131"/>
    </row>
    <row r="1048" spans="5:6">
      <c r="E1048" s="135"/>
      <c r="F1048" s="131"/>
    </row>
    <row r="1049" spans="5:6">
      <c r="E1049" s="135"/>
      <c r="F1049" s="131"/>
    </row>
    <row r="1050" spans="5:6">
      <c r="E1050" s="135"/>
      <c r="F1050" s="131"/>
    </row>
    <row r="1051" spans="5:6">
      <c r="E1051" s="135"/>
      <c r="F1051" s="131"/>
    </row>
    <row r="1052" spans="5:6">
      <c r="E1052" s="135"/>
      <c r="F1052" s="131"/>
    </row>
    <row r="1053" spans="5:6">
      <c r="E1053" s="135"/>
      <c r="F1053" s="131"/>
    </row>
    <row r="1054" spans="5:6">
      <c r="E1054" s="135"/>
      <c r="F1054" s="131"/>
    </row>
    <row r="1055" spans="5:6">
      <c r="E1055" s="135"/>
      <c r="F1055" s="131"/>
    </row>
    <row r="1056" spans="5:6">
      <c r="E1056" s="135"/>
      <c r="F1056" s="131"/>
    </row>
    <row r="1057" spans="5:6">
      <c r="E1057" s="135"/>
      <c r="F1057" s="131"/>
    </row>
    <row r="1058" spans="5:6">
      <c r="E1058" s="135"/>
      <c r="F1058" s="131"/>
    </row>
    <row r="1059" spans="5:6">
      <c r="E1059" s="135"/>
      <c r="F1059" s="131"/>
    </row>
    <row r="1060" spans="5:6">
      <c r="E1060" s="135"/>
      <c r="F1060" s="131"/>
    </row>
    <row r="1061" spans="5:6">
      <c r="E1061" s="135"/>
      <c r="F1061" s="131"/>
    </row>
    <row r="1062" spans="5:6">
      <c r="E1062" s="135"/>
      <c r="F1062" s="131"/>
    </row>
    <row r="1063" spans="5:6">
      <c r="E1063" s="135"/>
      <c r="F1063" s="131"/>
    </row>
    <row r="1064" spans="5:6">
      <c r="E1064" s="135"/>
      <c r="F1064" s="131"/>
    </row>
    <row r="1065" spans="5:6">
      <c r="E1065" s="135"/>
      <c r="F1065" s="131"/>
    </row>
    <row r="1066" spans="5:6">
      <c r="E1066" s="135"/>
      <c r="F1066" s="131"/>
    </row>
    <row r="1067" spans="5:6">
      <c r="E1067" s="135"/>
      <c r="F1067" s="131"/>
    </row>
    <row r="1068" spans="5:6">
      <c r="E1068" s="135"/>
      <c r="F1068" s="131"/>
    </row>
    <row r="1069" spans="5:6">
      <c r="E1069" s="135"/>
      <c r="F1069" s="131"/>
    </row>
    <row r="1070" spans="5:6">
      <c r="E1070" s="135"/>
      <c r="F1070" s="131"/>
    </row>
    <row r="1071" spans="5:6">
      <c r="E1071" s="135"/>
      <c r="F1071" s="131"/>
    </row>
    <row r="1072" spans="5:6">
      <c r="E1072" s="135"/>
      <c r="F1072" s="131"/>
    </row>
    <row r="1073" spans="5:6">
      <c r="E1073" s="135"/>
      <c r="F1073" s="131"/>
    </row>
    <row r="1074" spans="5:6">
      <c r="E1074" s="135"/>
      <c r="F1074" s="131"/>
    </row>
    <row r="1075" spans="5:6">
      <c r="E1075" s="135"/>
      <c r="F1075" s="131"/>
    </row>
    <row r="1076" spans="5:6">
      <c r="E1076" s="135"/>
      <c r="F1076" s="131"/>
    </row>
    <row r="1077" spans="5:6">
      <c r="E1077" s="135"/>
      <c r="F1077" s="131"/>
    </row>
    <row r="1078" spans="5:6">
      <c r="E1078" s="135"/>
      <c r="F1078" s="131"/>
    </row>
    <row r="1079" spans="5:6">
      <c r="E1079" s="135"/>
      <c r="F1079" s="131"/>
    </row>
    <row r="1080" spans="5:6">
      <c r="E1080" s="135"/>
      <c r="F1080" s="131"/>
    </row>
    <row r="1081" spans="5:6">
      <c r="E1081" s="135"/>
      <c r="F1081" s="131"/>
    </row>
    <row r="1082" spans="5:6">
      <c r="E1082" s="135"/>
      <c r="F1082" s="131"/>
    </row>
    <row r="1083" spans="5:6">
      <c r="E1083" s="135"/>
      <c r="F1083" s="131"/>
    </row>
    <row r="1084" spans="5:6">
      <c r="E1084" s="135"/>
      <c r="F1084" s="131"/>
    </row>
    <row r="1085" spans="5:6">
      <c r="E1085" s="135"/>
      <c r="F1085" s="131"/>
    </row>
    <row r="1086" spans="5:6">
      <c r="E1086" s="135"/>
      <c r="F1086" s="131"/>
    </row>
    <row r="1087" spans="5:6">
      <c r="E1087" s="135"/>
      <c r="F1087" s="131"/>
    </row>
    <row r="1088" spans="5:6">
      <c r="E1088" s="135"/>
      <c r="F1088" s="131"/>
    </row>
    <row r="1089" spans="5:6">
      <c r="E1089" s="135"/>
      <c r="F1089" s="131"/>
    </row>
    <row r="1090" spans="5:6">
      <c r="E1090" s="135"/>
      <c r="F1090" s="131"/>
    </row>
    <row r="1091" spans="5:6">
      <c r="E1091" s="135"/>
      <c r="F1091" s="131"/>
    </row>
    <row r="1092" spans="5:6">
      <c r="E1092" s="135"/>
      <c r="F1092" s="131"/>
    </row>
    <row r="1093" spans="5:6">
      <c r="E1093" s="135"/>
      <c r="F1093" s="131"/>
    </row>
    <row r="1094" spans="5:6">
      <c r="E1094" s="135"/>
      <c r="F1094" s="131"/>
    </row>
    <row r="1095" spans="5:6">
      <c r="E1095" s="135"/>
      <c r="F1095" s="131"/>
    </row>
    <row r="1096" spans="5:6">
      <c r="E1096" s="135"/>
      <c r="F1096" s="131"/>
    </row>
    <row r="1097" spans="5:6">
      <c r="E1097" s="135"/>
      <c r="F1097" s="131"/>
    </row>
    <row r="1098" spans="5:6">
      <c r="E1098" s="135"/>
      <c r="F1098" s="131"/>
    </row>
    <row r="1099" spans="5:6">
      <c r="E1099" s="135"/>
      <c r="F1099" s="131"/>
    </row>
    <row r="1100" spans="5:6">
      <c r="E1100" s="135"/>
      <c r="F1100" s="131"/>
    </row>
    <row r="1101" spans="5:6">
      <c r="E1101" s="135"/>
      <c r="F1101" s="131"/>
    </row>
    <row r="1102" spans="5:6">
      <c r="E1102" s="135"/>
      <c r="F1102" s="131"/>
    </row>
    <row r="1103" spans="5:6">
      <c r="E1103" s="135"/>
      <c r="F1103" s="131"/>
    </row>
    <row r="1104" spans="5:6">
      <c r="E1104" s="135"/>
      <c r="F1104" s="131"/>
    </row>
    <row r="1105" spans="5:6">
      <c r="E1105" s="135"/>
      <c r="F1105" s="131"/>
    </row>
    <row r="1106" spans="5:6">
      <c r="E1106" s="135"/>
      <c r="F1106" s="131"/>
    </row>
    <row r="1107" spans="5:6">
      <c r="E1107" s="135"/>
      <c r="F1107" s="131"/>
    </row>
    <row r="1108" spans="5:6">
      <c r="E1108" s="135"/>
      <c r="F1108" s="131"/>
    </row>
    <row r="1109" spans="5:6">
      <c r="E1109" s="135"/>
      <c r="F1109" s="131"/>
    </row>
    <row r="1110" spans="5:6">
      <c r="E1110" s="135"/>
      <c r="F1110" s="131"/>
    </row>
    <row r="1111" spans="5:6">
      <c r="E1111" s="135"/>
      <c r="F1111" s="131"/>
    </row>
    <row r="1112" spans="5:6">
      <c r="E1112" s="135"/>
      <c r="F1112" s="131"/>
    </row>
    <row r="1113" spans="5:6">
      <c r="E1113" s="135"/>
      <c r="F1113" s="131"/>
    </row>
    <row r="1114" spans="5:6">
      <c r="E1114" s="135"/>
      <c r="F1114" s="131"/>
    </row>
    <row r="1115" spans="5:6">
      <c r="E1115" s="135"/>
      <c r="F1115" s="131"/>
    </row>
    <row r="1116" spans="5:6">
      <c r="E1116" s="135"/>
      <c r="F1116" s="131"/>
    </row>
    <row r="1117" spans="5:6">
      <c r="E1117" s="135"/>
      <c r="F1117" s="131"/>
    </row>
    <row r="1118" spans="5:6">
      <c r="E1118" s="135"/>
      <c r="F1118" s="131"/>
    </row>
    <row r="1119" spans="5:6">
      <c r="E1119" s="135"/>
      <c r="F1119" s="131"/>
    </row>
    <row r="1120" spans="5:6">
      <c r="E1120" s="135"/>
      <c r="F1120" s="131"/>
    </row>
    <row r="1121" spans="5:6">
      <c r="E1121" s="135"/>
      <c r="F1121" s="131"/>
    </row>
    <row r="1122" spans="5:6">
      <c r="E1122" s="135"/>
      <c r="F1122" s="131"/>
    </row>
    <row r="1123" spans="5:6">
      <c r="E1123" s="135"/>
      <c r="F1123" s="131"/>
    </row>
    <row r="1124" spans="5:6">
      <c r="E1124" s="135"/>
      <c r="F1124" s="131"/>
    </row>
    <row r="1125" spans="5:6">
      <c r="E1125" s="135"/>
      <c r="F1125" s="131"/>
    </row>
    <row r="1126" spans="5:6">
      <c r="E1126" s="135"/>
      <c r="F1126" s="131"/>
    </row>
    <row r="1127" spans="5:6">
      <c r="E1127" s="135"/>
      <c r="F1127" s="131"/>
    </row>
    <row r="1128" spans="5:6">
      <c r="E1128" s="135"/>
      <c r="F1128" s="131"/>
    </row>
    <row r="1129" spans="5:6">
      <c r="E1129" s="135"/>
      <c r="F1129" s="131"/>
    </row>
    <row r="1130" spans="5:6">
      <c r="E1130" s="135"/>
      <c r="F1130" s="131"/>
    </row>
    <row r="1131" spans="5:6">
      <c r="E1131" s="135"/>
      <c r="F1131" s="131"/>
    </row>
    <row r="1132" spans="5:6">
      <c r="E1132" s="135"/>
      <c r="F1132" s="131"/>
    </row>
    <row r="1133" spans="5:6">
      <c r="E1133" s="135"/>
      <c r="F1133" s="131"/>
    </row>
    <row r="1134" spans="5:6">
      <c r="E1134" s="135"/>
      <c r="F1134" s="131"/>
    </row>
    <row r="1135" spans="5:6">
      <c r="E1135" s="135"/>
      <c r="F1135" s="131"/>
    </row>
    <row r="1136" spans="5:6">
      <c r="E1136" s="135"/>
      <c r="F1136" s="131"/>
    </row>
    <row r="1137" spans="5:6">
      <c r="E1137" s="135"/>
      <c r="F1137" s="131"/>
    </row>
    <row r="1138" spans="5:6">
      <c r="E1138" s="135"/>
      <c r="F1138" s="131"/>
    </row>
    <row r="1139" spans="5:6">
      <c r="E1139" s="135"/>
      <c r="F1139" s="131"/>
    </row>
    <row r="1140" spans="5:6">
      <c r="E1140" s="135"/>
      <c r="F1140" s="131"/>
    </row>
    <row r="1141" spans="5:6">
      <c r="E1141" s="135"/>
      <c r="F1141" s="131"/>
    </row>
    <row r="1142" spans="5:6">
      <c r="E1142" s="135"/>
      <c r="F1142" s="131"/>
    </row>
    <row r="1143" spans="5:6">
      <c r="E1143" s="135"/>
      <c r="F1143" s="131"/>
    </row>
    <row r="1144" spans="5:6">
      <c r="E1144" s="135"/>
      <c r="F1144" s="131"/>
    </row>
    <row r="1145" spans="5:6">
      <c r="E1145" s="135"/>
      <c r="F1145" s="131"/>
    </row>
    <row r="1146" spans="5:6">
      <c r="E1146" s="135"/>
      <c r="F1146" s="131"/>
    </row>
    <row r="1147" spans="5:6">
      <c r="E1147" s="135"/>
      <c r="F1147" s="131"/>
    </row>
    <row r="1148" spans="5:6">
      <c r="E1148" s="135"/>
      <c r="F1148" s="131"/>
    </row>
    <row r="1149" spans="5:6">
      <c r="E1149" s="135"/>
      <c r="F1149" s="131"/>
    </row>
    <row r="1150" spans="5:6">
      <c r="E1150" s="135"/>
      <c r="F1150" s="131"/>
    </row>
    <row r="1151" spans="5:6">
      <c r="E1151" s="135"/>
      <c r="F1151" s="131"/>
    </row>
    <row r="1152" spans="5:6">
      <c r="E1152" s="135"/>
      <c r="F1152" s="131"/>
    </row>
    <row r="1153" spans="5:6">
      <c r="E1153" s="135"/>
      <c r="F1153" s="131"/>
    </row>
    <row r="1154" spans="5:6">
      <c r="E1154" s="135"/>
      <c r="F1154" s="131"/>
    </row>
    <row r="1155" spans="5:6">
      <c r="E1155" s="135"/>
      <c r="F1155" s="131"/>
    </row>
    <row r="1156" spans="5:6">
      <c r="E1156" s="135"/>
      <c r="F1156" s="131"/>
    </row>
    <row r="1157" spans="5:6">
      <c r="E1157" s="135"/>
      <c r="F1157" s="131"/>
    </row>
    <row r="1158" spans="5:6">
      <c r="E1158" s="135"/>
      <c r="F1158" s="131"/>
    </row>
    <row r="1159" spans="5:6">
      <c r="E1159" s="135"/>
      <c r="F1159" s="131"/>
    </row>
    <row r="1160" spans="5:6">
      <c r="E1160" s="135"/>
      <c r="F1160" s="131"/>
    </row>
    <row r="1161" spans="5:6">
      <c r="E1161" s="135"/>
      <c r="F1161" s="131"/>
    </row>
    <row r="1162" spans="5:6">
      <c r="E1162" s="135"/>
      <c r="F1162" s="131"/>
    </row>
    <row r="1163" spans="5:6">
      <c r="E1163" s="135"/>
      <c r="F1163" s="131"/>
    </row>
    <row r="1164" spans="5:6">
      <c r="E1164" s="135"/>
      <c r="F1164" s="131"/>
    </row>
    <row r="1165" spans="5:6">
      <c r="E1165" s="135"/>
      <c r="F1165" s="131"/>
    </row>
    <row r="1166" spans="5:6">
      <c r="E1166" s="135"/>
      <c r="F1166" s="131"/>
    </row>
    <row r="1167" spans="5:6">
      <c r="E1167" s="135"/>
      <c r="F1167" s="131"/>
    </row>
    <row r="1168" spans="5:6">
      <c r="E1168" s="135"/>
      <c r="F1168" s="131"/>
    </row>
    <row r="1169" spans="5:6">
      <c r="E1169" s="135"/>
      <c r="F1169" s="131"/>
    </row>
    <row r="1170" spans="5:6">
      <c r="E1170" s="135"/>
      <c r="F1170" s="131"/>
    </row>
    <row r="1171" spans="5:6">
      <c r="E1171" s="135"/>
      <c r="F1171" s="131"/>
    </row>
    <row r="1172" spans="5:6">
      <c r="E1172" s="135"/>
      <c r="F1172" s="131"/>
    </row>
    <row r="1173" spans="5:6">
      <c r="E1173" s="135"/>
      <c r="F1173" s="131"/>
    </row>
    <row r="1174" spans="5:6">
      <c r="E1174" s="135"/>
      <c r="F1174" s="131"/>
    </row>
    <row r="1175" spans="5:6">
      <c r="E1175" s="135"/>
      <c r="F1175" s="131"/>
    </row>
    <row r="1176" spans="5:6">
      <c r="E1176" s="135"/>
      <c r="F1176" s="131"/>
    </row>
    <row r="1177" spans="5:6">
      <c r="E1177" s="135"/>
      <c r="F1177" s="131"/>
    </row>
    <row r="1178" spans="5:6">
      <c r="E1178" s="135"/>
      <c r="F1178" s="131"/>
    </row>
    <row r="1179" spans="5:6">
      <c r="E1179" s="135"/>
      <c r="F1179" s="131"/>
    </row>
    <row r="1180" spans="5:6">
      <c r="E1180" s="135"/>
      <c r="F1180" s="131"/>
    </row>
    <row r="1181" spans="5:6">
      <c r="E1181" s="135"/>
      <c r="F1181" s="131"/>
    </row>
    <row r="1182" spans="5:6">
      <c r="E1182" s="135"/>
      <c r="F1182" s="131"/>
    </row>
    <row r="1183" spans="5:6">
      <c r="E1183" s="135"/>
      <c r="F1183" s="131"/>
    </row>
    <row r="1184" spans="5:6">
      <c r="E1184" s="135"/>
      <c r="F1184" s="131"/>
    </row>
    <row r="1185" spans="5:6">
      <c r="E1185" s="135"/>
      <c r="F1185" s="131"/>
    </row>
    <row r="1186" spans="5:6">
      <c r="E1186" s="135"/>
      <c r="F1186" s="131"/>
    </row>
    <row r="1187" spans="5:6">
      <c r="E1187" s="135"/>
      <c r="F1187" s="131"/>
    </row>
    <row r="1188" spans="5:6">
      <c r="E1188" s="135"/>
      <c r="F1188" s="131"/>
    </row>
    <row r="1189" spans="5:6">
      <c r="E1189" s="135"/>
      <c r="F1189" s="131"/>
    </row>
    <row r="1190" spans="5:6">
      <c r="E1190" s="135"/>
      <c r="F1190" s="131"/>
    </row>
    <row r="1191" spans="5:6">
      <c r="E1191" s="135"/>
      <c r="F1191" s="131"/>
    </row>
    <row r="1192" spans="5:6">
      <c r="E1192" s="135"/>
      <c r="F1192" s="131"/>
    </row>
    <row r="1193" spans="5:6">
      <c r="E1193" s="135"/>
      <c r="F1193" s="131"/>
    </row>
    <row r="1194" spans="5:6">
      <c r="E1194" s="135"/>
      <c r="F1194" s="131"/>
    </row>
    <row r="1195" spans="5:6">
      <c r="E1195" s="135"/>
      <c r="F1195" s="131"/>
    </row>
    <row r="1196" spans="5:6">
      <c r="E1196" s="135"/>
      <c r="F1196" s="131"/>
    </row>
    <row r="1197" spans="5:6">
      <c r="E1197" s="135"/>
      <c r="F1197" s="131"/>
    </row>
    <row r="1198" spans="5:6">
      <c r="E1198" s="135"/>
      <c r="F1198" s="131"/>
    </row>
    <row r="1199" spans="5:6">
      <c r="E1199" s="135"/>
      <c r="F1199" s="131"/>
    </row>
    <row r="1200" spans="5:6">
      <c r="E1200" s="135"/>
      <c r="F1200" s="131"/>
    </row>
    <row r="1201" spans="5:6">
      <c r="E1201" s="135"/>
      <c r="F1201" s="131"/>
    </row>
    <row r="1202" spans="5:6">
      <c r="E1202" s="135"/>
      <c r="F1202" s="131"/>
    </row>
    <row r="1203" spans="5:6">
      <c r="E1203" s="135"/>
      <c r="F1203" s="131"/>
    </row>
    <row r="1204" spans="5:6">
      <c r="E1204" s="135"/>
      <c r="F1204" s="131"/>
    </row>
    <row r="1205" spans="5:6">
      <c r="E1205" s="135"/>
      <c r="F1205" s="131"/>
    </row>
    <row r="1206" spans="5:6">
      <c r="E1206" s="135"/>
      <c r="F1206" s="131"/>
    </row>
    <row r="1207" spans="5:6">
      <c r="E1207" s="135"/>
      <c r="F1207" s="131"/>
    </row>
    <row r="1208" spans="5:6">
      <c r="E1208" s="135"/>
      <c r="F1208" s="131"/>
    </row>
    <row r="1209" spans="5:6">
      <c r="E1209" s="135"/>
      <c r="F1209" s="131"/>
    </row>
    <row r="1210" spans="5:6">
      <c r="E1210" s="135"/>
      <c r="F1210" s="131"/>
    </row>
    <row r="1211" spans="5:6">
      <c r="E1211" s="135"/>
      <c r="F1211" s="131"/>
    </row>
    <row r="1212" spans="5:6">
      <c r="E1212" s="135"/>
      <c r="F1212" s="131"/>
    </row>
    <row r="1213" spans="5:6">
      <c r="E1213" s="135"/>
      <c r="F1213" s="131"/>
    </row>
    <row r="1214" spans="5:6">
      <c r="E1214" s="135"/>
      <c r="F1214" s="131"/>
    </row>
    <row r="1215" spans="5:6">
      <c r="E1215" s="135"/>
      <c r="F1215" s="131"/>
    </row>
    <row r="1216" spans="5:6">
      <c r="E1216" s="135"/>
      <c r="F1216" s="131"/>
    </row>
    <row r="1217" spans="5:6">
      <c r="E1217" s="135"/>
      <c r="F1217" s="131"/>
    </row>
    <row r="1218" spans="5:6">
      <c r="E1218" s="135"/>
      <c r="F1218" s="131"/>
    </row>
    <row r="1219" spans="5:6">
      <c r="E1219" s="135"/>
      <c r="F1219" s="131"/>
    </row>
    <row r="1220" spans="5:6">
      <c r="E1220" s="135"/>
      <c r="F1220" s="131"/>
    </row>
    <row r="1221" spans="5:6">
      <c r="E1221" s="135"/>
      <c r="F1221" s="131"/>
    </row>
    <row r="1222" spans="5:6">
      <c r="E1222" s="135"/>
      <c r="F1222" s="131"/>
    </row>
    <row r="1223" spans="5:6">
      <c r="E1223" s="135"/>
      <c r="F1223" s="131"/>
    </row>
    <row r="1224" spans="5:6">
      <c r="E1224" s="135"/>
      <c r="F1224" s="131"/>
    </row>
    <row r="1225" spans="5:6">
      <c r="E1225" s="135"/>
      <c r="F1225" s="131"/>
    </row>
    <row r="1226" spans="5:6">
      <c r="E1226" s="135"/>
      <c r="F1226" s="131"/>
    </row>
    <row r="1227" spans="5:6">
      <c r="E1227" s="135"/>
      <c r="F1227" s="131"/>
    </row>
    <row r="1228" spans="5:6">
      <c r="E1228" s="135"/>
      <c r="F1228" s="131"/>
    </row>
    <row r="1229" spans="5:6">
      <c r="E1229" s="135"/>
      <c r="F1229" s="131"/>
    </row>
    <row r="1230" spans="5:6">
      <c r="E1230" s="135"/>
      <c r="F1230" s="131"/>
    </row>
    <row r="1231" spans="5:6">
      <c r="E1231" s="135"/>
      <c r="F1231" s="131"/>
    </row>
    <row r="1232" spans="5:6">
      <c r="E1232" s="135"/>
      <c r="F1232" s="131"/>
    </row>
    <row r="1233" spans="5:6">
      <c r="E1233" s="135"/>
      <c r="F1233" s="131"/>
    </row>
    <row r="1234" spans="5:6">
      <c r="E1234" s="135"/>
      <c r="F1234" s="131"/>
    </row>
    <row r="1235" spans="5:6">
      <c r="E1235" s="135"/>
      <c r="F1235" s="131"/>
    </row>
    <row r="1236" spans="5:6">
      <c r="E1236" s="135"/>
      <c r="F1236" s="131"/>
    </row>
    <row r="1237" spans="5:6">
      <c r="E1237" s="135"/>
      <c r="F1237" s="131"/>
    </row>
    <row r="1238" spans="5:6">
      <c r="E1238" s="135"/>
      <c r="F1238" s="131"/>
    </row>
    <row r="1239" spans="5:6">
      <c r="E1239" s="135"/>
      <c r="F1239" s="131"/>
    </row>
    <row r="1240" spans="5:6">
      <c r="E1240" s="135"/>
      <c r="F1240" s="131"/>
    </row>
    <row r="1241" spans="5:6">
      <c r="E1241" s="135"/>
      <c r="F1241" s="131"/>
    </row>
    <row r="1242" spans="5:6">
      <c r="E1242" s="135"/>
      <c r="F1242" s="131"/>
    </row>
    <row r="1243" spans="5:6">
      <c r="E1243" s="135"/>
      <c r="F1243" s="131"/>
    </row>
    <row r="1244" spans="5:6">
      <c r="E1244" s="135"/>
      <c r="F1244" s="131"/>
    </row>
    <row r="1245" spans="5:6">
      <c r="E1245" s="135"/>
      <c r="F1245" s="131"/>
    </row>
    <row r="1246" spans="5:6">
      <c r="E1246" s="135"/>
      <c r="F1246" s="131"/>
    </row>
    <row r="1247" spans="5:6">
      <c r="E1247" s="135"/>
      <c r="F1247" s="131"/>
    </row>
    <row r="1248" spans="5:6">
      <c r="E1248" s="135"/>
      <c r="F1248" s="131"/>
    </row>
    <row r="1249" spans="5:6">
      <c r="E1249" s="135"/>
      <c r="F1249" s="131"/>
    </row>
    <row r="1250" spans="5:6">
      <c r="E1250" s="135"/>
      <c r="F1250" s="131"/>
    </row>
    <row r="1251" spans="5:6">
      <c r="E1251" s="135"/>
      <c r="F1251" s="131"/>
    </row>
    <row r="1252" spans="5:6">
      <c r="E1252" s="135"/>
      <c r="F1252" s="131"/>
    </row>
    <row r="1253" spans="5:6">
      <c r="E1253" s="135"/>
      <c r="F1253" s="131"/>
    </row>
    <row r="1254" spans="5:6">
      <c r="E1254" s="135"/>
      <c r="F1254" s="131"/>
    </row>
    <row r="1255" spans="5:6">
      <c r="E1255" s="135"/>
      <c r="F1255" s="131"/>
    </row>
    <row r="1256" spans="5:6">
      <c r="E1256" s="135"/>
      <c r="F1256" s="131"/>
    </row>
    <row r="1257" spans="5:6">
      <c r="E1257" s="135"/>
      <c r="F1257" s="131"/>
    </row>
    <row r="1258" spans="5:6">
      <c r="E1258" s="135"/>
      <c r="F1258" s="131"/>
    </row>
    <row r="1259" spans="5:6">
      <c r="E1259" s="135"/>
      <c r="F1259" s="131"/>
    </row>
    <row r="1260" spans="5:6">
      <c r="E1260" s="135"/>
      <c r="F1260" s="131"/>
    </row>
    <row r="1261" spans="5:6">
      <c r="E1261" s="135"/>
      <c r="F1261" s="131"/>
    </row>
    <row r="1262" spans="5:6">
      <c r="E1262" s="135"/>
      <c r="F1262" s="131"/>
    </row>
    <row r="1263" spans="5:6">
      <c r="E1263" s="135"/>
      <c r="F1263" s="131"/>
    </row>
    <row r="1264" spans="5:6">
      <c r="E1264" s="135"/>
      <c r="F1264" s="131"/>
    </row>
    <row r="1265" spans="5:6">
      <c r="E1265" s="135"/>
      <c r="F1265" s="131"/>
    </row>
    <row r="1266" spans="5:6">
      <c r="E1266" s="135"/>
      <c r="F1266" s="131"/>
    </row>
    <row r="1267" spans="5:6">
      <c r="E1267" s="135"/>
      <c r="F1267" s="131"/>
    </row>
    <row r="1268" spans="5:6">
      <c r="E1268" s="135"/>
      <c r="F1268" s="131"/>
    </row>
    <row r="1269" spans="5:6">
      <c r="E1269" s="135"/>
      <c r="F1269" s="131"/>
    </row>
    <row r="1270" spans="5:6">
      <c r="E1270" s="135"/>
      <c r="F1270" s="131"/>
    </row>
    <row r="1271" spans="5:6">
      <c r="E1271" s="135"/>
      <c r="F1271" s="131"/>
    </row>
    <row r="1272" spans="5:6">
      <c r="E1272" s="135"/>
      <c r="F1272" s="131"/>
    </row>
    <row r="1273" spans="5:6">
      <c r="E1273" s="135"/>
      <c r="F1273" s="131"/>
    </row>
    <row r="1274" spans="5:6">
      <c r="E1274" s="135"/>
      <c r="F1274" s="131"/>
    </row>
    <row r="1275" spans="5:6">
      <c r="E1275" s="135"/>
      <c r="F1275" s="131"/>
    </row>
    <row r="1276" spans="5:6">
      <c r="E1276" s="135"/>
      <c r="F1276" s="131"/>
    </row>
    <row r="1277" spans="5:6">
      <c r="E1277" s="135"/>
      <c r="F1277" s="131"/>
    </row>
    <row r="1278" spans="5:6">
      <c r="E1278" s="135"/>
      <c r="F1278" s="131"/>
    </row>
    <row r="1279" spans="5:6">
      <c r="E1279" s="135"/>
      <c r="F1279" s="131"/>
    </row>
    <row r="1280" spans="5:6">
      <c r="E1280" s="135"/>
      <c r="F1280" s="131"/>
    </row>
    <row r="1281" spans="5:6">
      <c r="E1281" s="135"/>
      <c r="F1281" s="131"/>
    </row>
    <row r="1282" spans="5:6">
      <c r="E1282" s="135"/>
      <c r="F1282" s="131"/>
    </row>
    <row r="1283" spans="5:6">
      <c r="E1283" s="135"/>
      <c r="F1283" s="131"/>
    </row>
    <row r="1284" spans="5:6">
      <c r="E1284" s="135"/>
      <c r="F1284" s="131"/>
    </row>
    <row r="1285" spans="5:6">
      <c r="E1285" s="135"/>
      <c r="F1285" s="131"/>
    </row>
    <row r="1286" spans="5:6">
      <c r="E1286" s="135"/>
      <c r="F1286" s="131"/>
    </row>
    <row r="1287" spans="5:6">
      <c r="E1287" s="135"/>
      <c r="F1287" s="131"/>
    </row>
    <row r="1288" spans="5:6">
      <c r="E1288" s="135"/>
      <c r="F1288" s="131"/>
    </row>
    <row r="1289" spans="5:6">
      <c r="E1289" s="135"/>
      <c r="F1289" s="131"/>
    </row>
    <row r="1290" spans="5:6">
      <c r="E1290" s="135"/>
      <c r="F1290" s="131"/>
    </row>
    <row r="1291" spans="5:6">
      <c r="E1291" s="135"/>
      <c r="F1291" s="131"/>
    </row>
    <row r="1292" spans="5:6">
      <c r="E1292" s="135"/>
      <c r="F1292" s="131"/>
    </row>
    <row r="1293" spans="5:6">
      <c r="E1293" s="135"/>
      <c r="F1293" s="131"/>
    </row>
    <row r="1294" spans="5:6">
      <c r="E1294" s="135"/>
      <c r="F1294" s="131"/>
    </row>
    <row r="1295" spans="5:6">
      <c r="E1295" s="135"/>
      <c r="F1295" s="131"/>
    </row>
    <row r="1296" spans="5:6">
      <c r="E1296" s="135"/>
      <c r="F1296" s="131"/>
    </row>
    <row r="1297" spans="5:6">
      <c r="E1297" s="135"/>
      <c r="F1297" s="131"/>
    </row>
    <row r="1298" spans="5:6">
      <c r="E1298" s="135"/>
      <c r="F1298" s="131"/>
    </row>
    <row r="1299" spans="5:6">
      <c r="E1299" s="135"/>
      <c r="F1299" s="131"/>
    </row>
    <row r="1300" spans="5:6">
      <c r="E1300" s="135"/>
      <c r="F1300" s="131"/>
    </row>
    <row r="1301" spans="5:6">
      <c r="E1301" s="135"/>
      <c r="F1301" s="131"/>
    </row>
    <row r="1302" spans="5:6">
      <c r="E1302" s="135"/>
      <c r="F1302" s="131"/>
    </row>
    <row r="1303" spans="5:6">
      <c r="E1303" s="135"/>
      <c r="F1303" s="131"/>
    </row>
    <row r="1304" spans="5:6">
      <c r="E1304" s="135"/>
      <c r="F1304" s="131"/>
    </row>
    <row r="1305" spans="5:6">
      <c r="E1305" s="135"/>
      <c r="F1305" s="131"/>
    </row>
    <row r="1306" spans="5:6">
      <c r="E1306" s="135"/>
      <c r="F1306" s="131"/>
    </row>
    <row r="1307" spans="5:6">
      <c r="E1307" s="135"/>
      <c r="F1307" s="131"/>
    </row>
    <row r="1308" spans="5:6">
      <c r="E1308" s="135"/>
      <c r="F1308" s="131"/>
    </row>
    <row r="1309" spans="5:6">
      <c r="E1309" s="135"/>
      <c r="F1309" s="131"/>
    </row>
    <row r="1310" spans="5:6">
      <c r="E1310" s="135"/>
      <c r="F1310" s="131"/>
    </row>
    <row r="1311" spans="5:6">
      <c r="E1311" s="135"/>
      <c r="F1311" s="131"/>
    </row>
    <row r="1312" spans="5:6">
      <c r="E1312" s="135"/>
      <c r="F1312" s="131"/>
    </row>
    <row r="1313" spans="5:6">
      <c r="E1313" s="135"/>
      <c r="F1313" s="131"/>
    </row>
    <row r="1314" spans="5:6">
      <c r="E1314" s="135"/>
      <c r="F1314" s="131"/>
    </row>
    <row r="1315" spans="5:6">
      <c r="E1315" s="135"/>
      <c r="F1315" s="131"/>
    </row>
    <row r="1316" spans="5:6">
      <c r="E1316" s="135"/>
      <c r="F1316" s="131"/>
    </row>
    <row r="1317" spans="5:6">
      <c r="E1317" s="135"/>
      <c r="F1317" s="131"/>
    </row>
    <row r="1318" spans="5:6">
      <c r="E1318" s="135"/>
      <c r="F1318" s="131"/>
    </row>
    <row r="1319" spans="5:6">
      <c r="E1319" s="135"/>
      <c r="F1319" s="131"/>
    </row>
    <row r="1320" spans="5:6">
      <c r="E1320" s="135"/>
      <c r="F1320" s="131"/>
    </row>
    <row r="1321" spans="5:6">
      <c r="E1321" s="135"/>
      <c r="F1321" s="131"/>
    </row>
    <row r="1322" spans="5:6">
      <c r="E1322" s="135"/>
      <c r="F1322" s="131"/>
    </row>
    <row r="1323" spans="5:6">
      <c r="E1323" s="135"/>
      <c r="F1323" s="131"/>
    </row>
    <row r="1324" spans="5:6">
      <c r="E1324" s="135"/>
      <c r="F1324" s="131"/>
    </row>
    <row r="1325" spans="5:6">
      <c r="E1325" s="135"/>
      <c r="F1325" s="131"/>
    </row>
    <row r="1326" spans="5:6">
      <c r="E1326" s="135"/>
      <c r="F1326" s="131"/>
    </row>
    <row r="1327" spans="5:6">
      <c r="E1327" s="135"/>
      <c r="F1327" s="131"/>
    </row>
    <row r="1328" spans="5:6">
      <c r="E1328" s="135"/>
      <c r="F1328" s="131"/>
    </row>
    <row r="1329" spans="5:6">
      <c r="E1329" s="135"/>
      <c r="F1329" s="131"/>
    </row>
    <row r="1330" spans="5:6">
      <c r="E1330" s="135"/>
      <c r="F1330" s="131"/>
    </row>
    <row r="1331" spans="5:6">
      <c r="E1331" s="135"/>
      <c r="F1331" s="131"/>
    </row>
    <row r="1332" spans="5:6">
      <c r="E1332" s="135"/>
      <c r="F1332" s="131"/>
    </row>
    <row r="1333" spans="5:6">
      <c r="E1333" s="135"/>
      <c r="F1333" s="131"/>
    </row>
    <row r="1334" spans="5:6">
      <c r="E1334" s="135"/>
      <c r="F1334" s="131"/>
    </row>
    <row r="1335" spans="5:6">
      <c r="E1335" s="135"/>
      <c r="F1335" s="131"/>
    </row>
    <row r="1336" spans="5:6">
      <c r="E1336" s="135"/>
      <c r="F1336" s="131"/>
    </row>
    <row r="1337" spans="5:6">
      <c r="E1337" s="135"/>
      <c r="F1337" s="131"/>
    </row>
    <row r="1338" spans="5:6">
      <c r="E1338" s="135"/>
      <c r="F1338" s="131"/>
    </row>
    <row r="1339" spans="5:6">
      <c r="E1339" s="135"/>
      <c r="F1339" s="131"/>
    </row>
    <row r="1340" spans="5:6">
      <c r="E1340" s="135"/>
      <c r="F1340" s="131"/>
    </row>
    <row r="1341" spans="5:6">
      <c r="E1341" s="135"/>
      <c r="F1341" s="131"/>
    </row>
    <row r="1342" spans="5:6">
      <c r="E1342" s="135"/>
      <c r="F1342" s="131"/>
    </row>
    <row r="1343" spans="5:6">
      <c r="E1343" s="135"/>
      <c r="F1343" s="131"/>
    </row>
    <row r="1344" spans="5:6">
      <c r="E1344" s="135"/>
      <c r="F1344" s="131"/>
    </row>
    <row r="1345" spans="5:6">
      <c r="E1345" s="135"/>
      <c r="F1345" s="131"/>
    </row>
    <row r="1346" spans="5:6">
      <c r="E1346" s="135"/>
      <c r="F1346" s="131"/>
    </row>
    <row r="1347" spans="5:6">
      <c r="E1347" s="135"/>
      <c r="F1347" s="131"/>
    </row>
    <row r="1348" spans="5:6">
      <c r="E1348" s="135"/>
      <c r="F1348" s="131"/>
    </row>
    <row r="1349" spans="5:6">
      <c r="E1349" s="135"/>
      <c r="F1349" s="131"/>
    </row>
    <row r="1350" spans="5:6">
      <c r="E1350" s="135"/>
      <c r="F1350" s="131"/>
    </row>
    <row r="1351" spans="5:6">
      <c r="E1351" s="135"/>
      <c r="F1351" s="131"/>
    </row>
    <row r="1352" spans="5:6">
      <c r="E1352" s="135"/>
      <c r="F1352" s="131"/>
    </row>
    <row r="1353" spans="5:6">
      <c r="E1353" s="135"/>
      <c r="F1353" s="131"/>
    </row>
    <row r="1354" spans="5:6">
      <c r="E1354" s="135"/>
      <c r="F1354" s="131"/>
    </row>
    <row r="1355" spans="5:6">
      <c r="E1355" s="135"/>
      <c r="F1355" s="131"/>
    </row>
    <row r="1356" spans="5:6">
      <c r="E1356" s="135"/>
      <c r="F1356" s="131"/>
    </row>
    <row r="1357" spans="5:6">
      <c r="E1357" s="135"/>
      <c r="F1357" s="131"/>
    </row>
    <row r="1358" spans="5:6">
      <c r="E1358" s="135"/>
      <c r="F1358" s="131"/>
    </row>
    <row r="1359" spans="5:6">
      <c r="E1359" s="135"/>
      <c r="F1359" s="131"/>
    </row>
    <row r="1360" spans="5:6">
      <c r="E1360" s="135"/>
      <c r="F1360" s="131"/>
    </row>
    <row r="1361" spans="5:6">
      <c r="E1361" s="135"/>
      <c r="F1361" s="131"/>
    </row>
    <row r="1362" spans="5:6">
      <c r="E1362" s="135"/>
      <c r="F1362" s="131"/>
    </row>
    <row r="1363" spans="5:6">
      <c r="E1363" s="135"/>
      <c r="F1363" s="131"/>
    </row>
    <row r="1364" spans="5:6">
      <c r="E1364" s="135"/>
      <c r="F1364" s="131"/>
    </row>
    <row r="1365" spans="5:6">
      <c r="E1365" s="135"/>
      <c r="F1365" s="131"/>
    </row>
    <row r="1366" spans="5:6">
      <c r="E1366" s="135"/>
      <c r="F1366" s="131"/>
    </row>
    <row r="1367" spans="5:6">
      <c r="E1367" s="135"/>
      <c r="F1367" s="131"/>
    </row>
    <row r="1368" spans="5:6">
      <c r="E1368" s="135"/>
      <c r="F1368" s="131"/>
    </row>
    <row r="1369" spans="5:6">
      <c r="E1369" s="135"/>
      <c r="F1369" s="131"/>
    </row>
    <row r="1370" spans="5:6">
      <c r="E1370" s="135"/>
      <c r="F1370" s="131"/>
    </row>
    <row r="1371" spans="5:6">
      <c r="E1371" s="135"/>
      <c r="F1371" s="131"/>
    </row>
    <row r="1372" spans="5:6">
      <c r="E1372" s="135"/>
      <c r="F1372" s="131"/>
    </row>
    <row r="1373" spans="5:6">
      <c r="E1373" s="135"/>
      <c r="F1373" s="131"/>
    </row>
    <row r="1374" spans="5:6">
      <c r="E1374" s="135"/>
      <c r="F1374" s="131"/>
    </row>
    <row r="1375" spans="5:6">
      <c r="E1375" s="135"/>
      <c r="F1375" s="131"/>
    </row>
    <row r="1376" spans="5:6">
      <c r="E1376" s="135"/>
      <c r="F1376" s="131"/>
    </row>
    <row r="1377" spans="5:6">
      <c r="E1377" s="135"/>
      <c r="F1377" s="131"/>
    </row>
    <row r="1378" spans="5:6">
      <c r="E1378" s="135"/>
      <c r="F1378" s="131"/>
    </row>
    <row r="1379" spans="5:6">
      <c r="E1379" s="135"/>
      <c r="F1379" s="131"/>
    </row>
    <row r="1380" spans="5:6">
      <c r="E1380" s="135"/>
      <c r="F1380" s="131"/>
    </row>
    <row r="1381" spans="5:6">
      <c r="E1381" s="135"/>
      <c r="F1381" s="131"/>
    </row>
    <row r="1382" spans="5:6">
      <c r="E1382" s="135"/>
      <c r="F1382" s="131"/>
    </row>
    <row r="1383" spans="5:6">
      <c r="E1383" s="135"/>
      <c r="F1383" s="131"/>
    </row>
    <row r="1384" spans="5:6">
      <c r="E1384" s="135"/>
      <c r="F1384" s="131"/>
    </row>
    <row r="1385" spans="5:6">
      <c r="E1385" s="135"/>
      <c r="F1385" s="131"/>
    </row>
    <row r="1386" spans="5:6">
      <c r="E1386" s="135"/>
      <c r="F1386" s="131"/>
    </row>
    <row r="1387" spans="5:6">
      <c r="E1387" s="135"/>
      <c r="F1387" s="131"/>
    </row>
    <row r="1388" spans="5:6">
      <c r="E1388" s="135"/>
      <c r="F1388" s="131"/>
    </row>
    <row r="1389" spans="5:6">
      <c r="E1389" s="135"/>
      <c r="F1389" s="131"/>
    </row>
    <row r="1390" spans="5:6">
      <c r="E1390" s="135"/>
      <c r="F1390" s="131"/>
    </row>
    <row r="1391" spans="5:6">
      <c r="E1391" s="135"/>
      <c r="F1391" s="131"/>
    </row>
    <row r="1392" spans="5:6">
      <c r="E1392" s="135"/>
      <c r="F1392" s="131"/>
    </row>
    <row r="1393" spans="5:6">
      <c r="E1393" s="135"/>
      <c r="F1393" s="131"/>
    </row>
    <row r="1394" spans="5:6">
      <c r="E1394" s="135"/>
      <c r="F1394" s="131"/>
    </row>
    <row r="1395" spans="5:6">
      <c r="E1395" s="135"/>
      <c r="F1395" s="131"/>
    </row>
    <row r="1396" spans="5:6">
      <c r="E1396" s="135"/>
      <c r="F1396" s="131"/>
    </row>
    <row r="1397" spans="5:6">
      <c r="E1397" s="135"/>
      <c r="F1397" s="131"/>
    </row>
    <row r="1398" spans="5:6">
      <c r="E1398" s="135"/>
      <c r="F1398" s="131"/>
    </row>
    <row r="1399" spans="5:6">
      <c r="E1399" s="135"/>
      <c r="F1399" s="131"/>
    </row>
    <row r="1400" spans="5:6">
      <c r="E1400" s="135"/>
      <c r="F1400" s="131"/>
    </row>
    <row r="1401" spans="5:6">
      <c r="E1401" s="135"/>
      <c r="F1401" s="131"/>
    </row>
    <row r="1402" spans="5:6">
      <c r="E1402" s="135"/>
      <c r="F1402" s="131"/>
    </row>
    <row r="1403" spans="5:6">
      <c r="E1403" s="135"/>
      <c r="F1403" s="131"/>
    </row>
    <row r="1404" spans="5:6">
      <c r="E1404" s="135"/>
      <c r="F1404" s="131"/>
    </row>
    <row r="1405" spans="5:6">
      <c r="E1405" s="135"/>
      <c r="F1405" s="131"/>
    </row>
    <row r="1406" spans="5:6">
      <c r="E1406" s="135"/>
      <c r="F1406" s="131"/>
    </row>
    <row r="1407" spans="5:6">
      <c r="E1407" s="135"/>
      <c r="F1407" s="131"/>
    </row>
    <row r="1408" spans="5:6">
      <c r="E1408" s="135"/>
      <c r="F1408" s="131"/>
    </row>
    <row r="1409" spans="5:6">
      <c r="E1409" s="135"/>
      <c r="F1409" s="131"/>
    </row>
    <row r="1410" spans="5:6">
      <c r="E1410" s="135"/>
      <c r="F1410" s="131"/>
    </row>
    <row r="1411" spans="5:6">
      <c r="E1411" s="135"/>
      <c r="F1411" s="131"/>
    </row>
    <row r="1412" spans="5:6">
      <c r="E1412" s="135"/>
      <c r="F1412" s="131"/>
    </row>
    <row r="1413" spans="5:6">
      <c r="E1413" s="135"/>
      <c r="F1413" s="131"/>
    </row>
    <row r="1414" spans="5:6">
      <c r="E1414" s="135"/>
      <c r="F1414" s="131"/>
    </row>
    <row r="1415" spans="5:6">
      <c r="E1415" s="135"/>
      <c r="F1415" s="131"/>
    </row>
    <row r="1416" spans="5:6">
      <c r="E1416" s="135"/>
      <c r="F1416" s="131"/>
    </row>
    <row r="1417" spans="5:6">
      <c r="E1417" s="135"/>
      <c r="F1417" s="131"/>
    </row>
    <row r="1418" spans="5:6">
      <c r="E1418" s="135"/>
      <c r="F1418" s="131"/>
    </row>
    <row r="1419" spans="5:6">
      <c r="E1419" s="135"/>
      <c r="F1419" s="131"/>
    </row>
    <row r="1420" spans="5:6">
      <c r="E1420" s="135"/>
      <c r="F1420" s="131"/>
    </row>
    <row r="1421" spans="5:6">
      <c r="E1421" s="135"/>
      <c r="F1421" s="131"/>
    </row>
    <row r="1422" spans="5:6">
      <c r="E1422" s="135"/>
      <c r="F1422" s="131"/>
    </row>
    <row r="1423" spans="5:6">
      <c r="E1423" s="135"/>
      <c r="F1423" s="131"/>
    </row>
    <row r="1424" spans="5:6">
      <c r="E1424" s="135"/>
      <c r="F1424" s="131"/>
    </row>
    <row r="1425" spans="5:6">
      <c r="E1425" s="135"/>
      <c r="F1425" s="131"/>
    </row>
    <row r="1426" spans="5:6">
      <c r="E1426" s="135"/>
      <c r="F1426" s="131"/>
    </row>
    <row r="1427" spans="5:6">
      <c r="E1427" s="135"/>
      <c r="F1427" s="131"/>
    </row>
    <row r="1428" spans="5:6">
      <c r="E1428" s="135"/>
      <c r="F1428" s="131"/>
    </row>
    <row r="1429" spans="5:6">
      <c r="E1429" s="135"/>
      <c r="F1429" s="131"/>
    </row>
    <row r="1430" spans="5:6">
      <c r="E1430" s="135"/>
      <c r="F1430" s="131"/>
    </row>
    <row r="1431" spans="5:6">
      <c r="E1431" s="135"/>
      <c r="F1431" s="131"/>
    </row>
    <row r="1432" spans="5:6">
      <c r="E1432" s="135"/>
      <c r="F1432" s="131"/>
    </row>
    <row r="1433" spans="5:6">
      <c r="E1433" s="135"/>
      <c r="F1433" s="131"/>
    </row>
    <row r="1434" spans="5:6">
      <c r="E1434" s="135"/>
      <c r="F1434" s="131"/>
    </row>
    <row r="1435" spans="5:6">
      <c r="E1435" s="135"/>
      <c r="F1435" s="131"/>
    </row>
    <row r="1436" spans="5:6">
      <c r="E1436" s="135"/>
      <c r="F1436" s="131"/>
    </row>
    <row r="1437" spans="5:6">
      <c r="E1437" s="135"/>
      <c r="F1437" s="131"/>
    </row>
    <row r="1438" spans="5:6">
      <c r="E1438" s="135"/>
      <c r="F1438" s="131"/>
    </row>
    <row r="1439" spans="5:6">
      <c r="E1439" s="135"/>
      <c r="F1439" s="131"/>
    </row>
    <row r="1440" spans="5:6">
      <c r="E1440" s="135"/>
      <c r="F1440" s="131"/>
    </row>
    <row r="1441" spans="5:6">
      <c r="E1441" s="135"/>
      <c r="F1441" s="131"/>
    </row>
    <row r="1442" spans="5:6">
      <c r="E1442" s="135"/>
      <c r="F1442" s="131"/>
    </row>
    <row r="1443" spans="5:6">
      <c r="E1443" s="135"/>
      <c r="F1443" s="131"/>
    </row>
    <row r="1444" spans="5:6">
      <c r="E1444" s="135"/>
      <c r="F1444" s="131"/>
    </row>
    <row r="1445" spans="5:6">
      <c r="E1445" s="135"/>
      <c r="F1445" s="131"/>
    </row>
    <row r="1446" spans="5:6">
      <c r="E1446" s="135"/>
      <c r="F1446" s="131"/>
    </row>
    <row r="1447" spans="5:6">
      <c r="E1447" s="135"/>
      <c r="F1447" s="131"/>
    </row>
    <row r="1448" spans="5:6">
      <c r="E1448" s="135"/>
      <c r="F1448" s="131"/>
    </row>
    <row r="1449" spans="5:6">
      <c r="E1449" s="135"/>
      <c r="F1449" s="131"/>
    </row>
    <row r="1450" spans="5:6">
      <c r="E1450" s="135"/>
      <c r="F1450" s="131"/>
    </row>
    <row r="1451" spans="5:6">
      <c r="E1451" s="135"/>
      <c r="F1451" s="131"/>
    </row>
    <row r="1452" spans="5:6">
      <c r="E1452" s="135"/>
      <c r="F1452" s="131"/>
    </row>
    <row r="1453" spans="5:6">
      <c r="E1453" s="135"/>
      <c r="F1453" s="131"/>
    </row>
    <row r="1454" spans="5:6">
      <c r="E1454" s="135"/>
      <c r="F1454" s="131"/>
    </row>
    <row r="1455" spans="5:6">
      <c r="E1455" s="135"/>
      <c r="F1455" s="131"/>
    </row>
    <row r="1456" spans="5:6">
      <c r="E1456" s="135"/>
      <c r="F1456" s="131"/>
    </row>
    <row r="1457" spans="5:6">
      <c r="E1457" s="135"/>
      <c r="F1457" s="131"/>
    </row>
    <row r="1458" spans="5:6">
      <c r="E1458" s="135"/>
      <c r="F1458" s="131"/>
    </row>
    <row r="1459" spans="5:6">
      <c r="E1459" s="135"/>
      <c r="F1459" s="131"/>
    </row>
    <row r="1460" spans="5:6">
      <c r="E1460" s="135"/>
      <c r="F1460" s="131"/>
    </row>
    <row r="1461" spans="5:6">
      <c r="E1461" s="135"/>
      <c r="F1461" s="131"/>
    </row>
    <row r="1462" spans="5:6">
      <c r="E1462" s="135"/>
      <c r="F1462" s="131"/>
    </row>
    <row r="1463" spans="5:6">
      <c r="E1463" s="135"/>
      <c r="F1463" s="131"/>
    </row>
    <row r="1464" spans="5:6">
      <c r="E1464" s="135"/>
      <c r="F1464" s="131"/>
    </row>
    <row r="1465" spans="5:6">
      <c r="E1465" s="135"/>
      <c r="F1465" s="131"/>
    </row>
    <row r="1466" spans="5:6">
      <c r="E1466" s="135"/>
      <c r="F1466" s="131"/>
    </row>
    <row r="1467" spans="5:6">
      <c r="E1467" s="135"/>
      <c r="F1467" s="131"/>
    </row>
    <row r="1468" spans="5:6">
      <c r="E1468" s="135"/>
      <c r="F1468" s="131"/>
    </row>
    <row r="1469" spans="5:6">
      <c r="E1469" s="135"/>
      <c r="F1469" s="131"/>
    </row>
    <row r="1470" spans="5:6">
      <c r="E1470" s="135"/>
      <c r="F1470" s="131"/>
    </row>
    <row r="1471" spans="5:6">
      <c r="E1471" s="135"/>
      <c r="F1471" s="131"/>
    </row>
    <row r="1472" spans="5:6">
      <c r="E1472" s="135"/>
      <c r="F1472" s="131"/>
    </row>
    <row r="1473" spans="5:6">
      <c r="E1473" s="135"/>
      <c r="F1473" s="131"/>
    </row>
    <row r="1474" spans="5:6">
      <c r="E1474" s="135"/>
      <c r="F1474" s="131"/>
    </row>
    <row r="1475" spans="5:6">
      <c r="E1475" s="135"/>
      <c r="F1475" s="131"/>
    </row>
    <row r="1476" spans="5:6">
      <c r="E1476" s="135"/>
      <c r="F1476" s="131"/>
    </row>
    <row r="1477" spans="5:6">
      <c r="E1477" s="135"/>
      <c r="F1477" s="131"/>
    </row>
    <row r="1478" spans="5:6">
      <c r="E1478" s="135"/>
      <c r="F1478" s="131"/>
    </row>
    <row r="1479" spans="5:6">
      <c r="E1479" s="135"/>
      <c r="F1479" s="131"/>
    </row>
    <row r="1480" spans="5:6">
      <c r="E1480" s="135"/>
      <c r="F1480" s="131"/>
    </row>
    <row r="1481" spans="5:6">
      <c r="E1481" s="135"/>
      <c r="F1481" s="131"/>
    </row>
    <row r="1482" spans="5:6">
      <c r="E1482" s="135"/>
      <c r="F1482" s="131"/>
    </row>
    <row r="1483" spans="5:6">
      <c r="E1483" s="135"/>
      <c r="F1483" s="131"/>
    </row>
    <row r="1484" spans="5:6">
      <c r="E1484" s="135"/>
      <c r="F1484" s="131"/>
    </row>
    <row r="1485" spans="5:6">
      <c r="E1485" s="135"/>
      <c r="F1485" s="131"/>
    </row>
    <row r="1486" spans="5:6">
      <c r="E1486" s="135"/>
      <c r="F1486" s="131"/>
    </row>
    <row r="1487" spans="5:6">
      <c r="E1487" s="135"/>
      <c r="F1487" s="131"/>
    </row>
    <row r="1488" spans="5:6">
      <c r="E1488" s="135"/>
      <c r="F1488" s="131"/>
    </row>
    <row r="1489" spans="5:6">
      <c r="E1489" s="135"/>
      <c r="F1489" s="131"/>
    </row>
    <row r="1490" spans="5:6">
      <c r="E1490" s="135"/>
      <c r="F1490" s="131"/>
    </row>
    <row r="1491" spans="5:6">
      <c r="E1491" s="135"/>
      <c r="F1491" s="131"/>
    </row>
    <row r="1492" spans="5:6">
      <c r="E1492" s="135"/>
      <c r="F1492" s="131"/>
    </row>
    <row r="1493" spans="5:6">
      <c r="E1493" s="135"/>
      <c r="F1493" s="131"/>
    </row>
    <row r="1494" spans="5:6">
      <c r="E1494" s="135"/>
      <c r="F1494" s="131"/>
    </row>
    <row r="1495" spans="5:6">
      <c r="E1495" s="135"/>
      <c r="F1495" s="131"/>
    </row>
    <row r="1496" spans="5:6">
      <c r="E1496" s="135"/>
      <c r="F1496" s="131"/>
    </row>
    <row r="1497" spans="5:6">
      <c r="E1497" s="135"/>
      <c r="F1497" s="131"/>
    </row>
    <row r="1498" spans="5:6">
      <c r="E1498" s="135"/>
      <c r="F1498" s="131"/>
    </row>
    <row r="1499" spans="5:6">
      <c r="E1499" s="135"/>
      <c r="F1499" s="131"/>
    </row>
    <row r="1500" spans="5:6">
      <c r="E1500" s="135"/>
      <c r="F1500" s="131"/>
    </row>
    <row r="1501" spans="5:6">
      <c r="E1501" s="135"/>
      <c r="F1501" s="131"/>
    </row>
    <row r="1502" spans="5:6">
      <c r="E1502" s="135"/>
      <c r="F1502" s="131"/>
    </row>
    <row r="1503" spans="5:6">
      <c r="E1503" s="135"/>
      <c r="F1503" s="131"/>
    </row>
    <row r="1504" spans="5:6">
      <c r="E1504" s="135"/>
      <c r="F1504" s="131"/>
    </row>
    <row r="1505" spans="5:6">
      <c r="E1505" s="135"/>
      <c r="F1505" s="131"/>
    </row>
    <row r="1506" spans="5:6">
      <c r="E1506" s="135"/>
      <c r="F1506" s="131"/>
    </row>
    <row r="1507" spans="5:6">
      <c r="E1507" s="135"/>
      <c r="F1507" s="131"/>
    </row>
    <row r="1508" spans="5:6">
      <c r="E1508" s="135"/>
      <c r="F1508" s="131"/>
    </row>
    <row r="1509" spans="5:6">
      <c r="E1509" s="135"/>
      <c r="F1509" s="131"/>
    </row>
    <row r="1510" spans="5:6">
      <c r="E1510" s="135"/>
      <c r="F1510" s="131"/>
    </row>
    <row r="1511" spans="5:6">
      <c r="E1511" s="135"/>
      <c r="F1511" s="131"/>
    </row>
    <row r="1512" spans="5:6">
      <c r="E1512" s="135"/>
      <c r="F1512" s="131"/>
    </row>
    <row r="1513" spans="5:6">
      <c r="E1513" s="135"/>
      <c r="F1513" s="131"/>
    </row>
    <row r="1514" spans="5:6">
      <c r="E1514" s="135"/>
      <c r="F1514" s="131"/>
    </row>
    <row r="1515" spans="5:6">
      <c r="E1515" s="135"/>
      <c r="F1515" s="131"/>
    </row>
    <row r="1516" spans="5:6">
      <c r="E1516" s="135"/>
      <c r="F1516" s="131"/>
    </row>
    <row r="1517" spans="5:6">
      <c r="E1517" s="135"/>
      <c r="F1517" s="131"/>
    </row>
    <row r="1518" spans="5:6">
      <c r="E1518" s="135"/>
      <c r="F1518" s="131"/>
    </row>
    <row r="1519" spans="5:6">
      <c r="E1519" s="135"/>
      <c r="F1519" s="131"/>
    </row>
    <row r="1520" spans="5:6">
      <c r="E1520" s="135"/>
      <c r="F1520" s="131"/>
    </row>
    <row r="1521" spans="5:6">
      <c r="E1521" s="135"/>
      <c r="F1521" s="131"/>
    </row>
    <row r="1522" spans="5:6">
      <c r="E1522" s="135"/>
      <c r="F1522" s="131"/>
    </row>
    <row r="1523" spans="5:6">
      <c r="E1523" s="135"/>
      <c r="F1523" s="131"/>
    </row>
    <row r="1524" spans="5:6">
      <c r="E1524" s="135"/>
      <c r="F1524" s="131"/>
    </row>
    <row r="1525" spans="5:6">
      <c r="E1525" s="135"/>
      <c r="F1525" s="131"/>
    </row>
    <row r="1526" spans="5:6">
      <c r="E1526" s="135"/>
      <c r="F1526" s="131"/>
    </row>
    <row r="1527" spans="5:6">
      <c r="E1527" s="135"/>
      <c r="F1527" s="131"/>
    </row>
    <row r="1528" spans="5:6">
      <c r="E1528" s="135"/>
      <c r="F1528" s="131"/>
    </row>
    <row r="1529" spans="5:6">
      <c r="E1529" s="135"/>
      <c r="F1529" s="131"/>
    </row>
    <row r="1530" spans="5:6">
      <c r="E1530" s="135"/>
      <c r="F1530" s="131"/>
    </row>
    <row r="1531" spans="5:6">
      <c r="E1531" s="135"/>
      <c r="F1531" s="131"/>
    </row>
    <row r="1532" spans="5:6">
      <c r="E1532" s="135"/>
      <c r="F1532" s="131"/>
    </row>
    <row r="1533" spans="5:6">
      <c r="E1533" s="135"/>
      <c r="F1533" s="131"/>
    </row>
    <row r="1534" spans="5:6">
      <c r="E1534" s="135"/>
      <c r="F1534" s="131"/>
    </row>
    <row r="1535" spans="5:6">
      <c r="E1535" s="135"/>
      <c r="F1535" s="131"/>
    </row>
    <row r="1536" spans="5:6">
      <c r="E1536" s="135"/>
      <c r="F1536" s="131"/>
    </row>
    <row r="1537" spans="5:6">
      <c r="E1537" s="135"/>
      <c r="F1537" s="131"/>
    </row>
    <row r="1538" spans="5:6">
      <c r="E1538" s="135"/>
      <c r="F1538" s="131"/>
    </row>
    <row r="1539" spans="5:6">
      <c r="E1539" s="135"/>
      <c r="F1539" s="131"/>
    </row>
    <row r="1540" spans="5:6">
      <c r="E1540" s="135"/>
      <c r="F1540" s="131"/>
    </row>
    <row r="1541" spans="5:6">
      <c r="E1541" s="135"/>
      <c r="F1541" s="131"/>
    </row>
    <row r="1542" spans="5:6">
      <c r="E1542" s="135"/>
      <c r="F1542" s="131"/>
    </row>
    <row r="1543" spans="5:6">
      <c r="E1543" s="135"/>
      <c r="F1543" s="131"/>
    </row>
    <row r="1544" spans="5:6">
      <c r="E1544" s="135"/>
      <c r="F1544" s="131"/>
    </row>
    <row r="1545" spans="5:6">
      <c r="E1545" s="135"/>
      <c r="F1545" s="131"/>
    </row>
    <row r="1546" spans="5:6">
      <c r="E1546" s="135"/>
      <c r="F1546" s="131"/>
    </row>
    <row r="1547" spans="5:6">
      <c r="E1547" s="135"/>
      <c r="F1547" s="131"/>
    </row>
    <row r="1548" spans="5:6">
      <c r="E1548" s="135"/>
      <c r="F1548" s="131"/>
    </row>
    <row r="1549" spans="5:6">
      <c r="E1549" s="135"/>
      <c r="F1549" s="131"/>
    </row>
    <row r="1550" spans="5:6">
      <c r="E1550" s="135"/>
      <c r="F1550" s="131"/>
    </row>
    <row r="1551" spans="5:6">
      <c r="E1551" s="135"/>
      <c r="F1551" s="131"/>
    </row>
    <row r="1552" spans="5:6">
      <c r="E1552" s="135"/>
      <c r="F1552" s="131"/>
    </row>
    <row r="1553" spans="5:6">
      <c r="E1553" s="135"/>
      <c r="F1553" s="131"/>
    </row>
    <row r="1554" spans="5:6">
      <c r="E1554" s="135"/>
      <c r="F1554" s="131"/>
    </row>
    <row r="1555" spans="5:6">
      <c r="E1555" s="135"/>
      <c r="F1555" s="131"/>
    </row>
    <row r="1556" spans="5:6">
      <c r="E1556" s="135"/>
      <c r="F1556" s="131"/>
    </row>
    <row r="1557" spans="5:6">
      <c r="E1557" s="135"/>
      <c r="F1557" s="131"/>
    </row>
    <row r="1558" spans="5:6">
      <c r="E1558" s="135"/>
      <c r="F1558" s="131"/>
    </row>
    <row r="1559" spans="5:6">
      <c r="E1559" s="135"/>
      <c r="F1559" s="131"/>
    </row>
    <row r="1560" spans="5:6">
      <c r="E1560" s="135"/>
      <c r="F1560" s="131"/>
    </row>
    <row r="1561" spans="5:6">
      <c r="E1561" s="135"/>
      <c r="F1561" s="131"/>
    </row>
    <row r="1562" spans="5:6">
      <c r="E1562" s="135"/>
      <c r="F1562" s="131"/>
    </row>
    <row r="1563" spans="5:6">
      <c r="E1563" s="135"/>
      <c r="F1563" s="131"/>
    </row>
    <row r="1564" spans="5:6">
      <c r="E1564" s="135"/>
      <c r="F1564" s="131"/>
    </row>
    <row r="1565" spans="5:6">
      <c r="E1565" s="135"/>
      <c r="F1565" s="131"/>
    </row>
    <row r="1566" spans="5:6">
      <c r="E1566" s="135"/>
      <c r="F1566" s="131"/>
    </row>
    <row r="1567" spans="5:6">
      <c r="E1567" s="135"/>
      <c r="F1567" s="131"/>
    </row>
    <row r="1568" spans="5:6">
      <c r="E1568" s="135"/>
      <c r="F1568" s="131"/>
    </row>
    <row r="1569" spans="5:6">
      <c r="E1569" s="135"/>
      <c r="F1569" s="131"/>
    </row>
    <row r="1570" spans="5:6">
      <c r="E1570" s="135"/>
      <c r="F1570" s="131"/>
    </row>
    <row r="1571" spans="5:6">
      <c r="E1571" s="135"/>
      <c r="F1571" s="131"/>
    </row>
    <row r="1572" spans="5:6">
      <c r="E1572" s="135"/>
      <c r="F1572" s="131"/>
    </row>
    <row r="1573" spans="5:6">
      <c r="E1573" s="135"/>
      <c r="F1573" s="131"/>
    </row>
    <row r="1574" spans="5:6">
      <c r="E1574" s="135"/>
      <c r="F1574" s="131"/>
    </row>
    <row r="1575" spans="5:6">
      <c r="E1575" s="135"/>
      <c r="F1575" s="131"/>
    </row>
    <row r="1576" spans="5:6">
      <c r="E1576" s="135"/>
      <c r="F1576" s="131"/>
    </row>
    <row r="1577" spans="5:6">
      <c r="E1577" s="135"/>
      <c r="F1577" s="131"/>
    </row>
    <row r="1578" spans="5:6">
      <c r="E1578" s="135"/>
      <c r="F1578" s="131"/>
    </row>
    <row r="1579" spans="5:6">
      <c r="E1579" s="135"/>
      <c r="F1579" s="131"/>
    </row>
    <row r="1580" spans="5:6">
      <c r="E1580" s="135"/>
      <c r="F1580" s="131"/>
    </row>
    <row r="1581" spans="5:6">
      <c r="E1581" s="135"/>
      <c r="F1581" s="131"/>
    </row>
    <row r="1582" spans="5:6">
      <c r="E1582" s="135"/>
      <c r="F1582" s="131"/>
    </row>
    <row r="1583" spans="5:6">
      <c r="E1583" s="135"/>
      <c r="F1583" s="131"/>
    </row>
    <row r="1584" spans="5:6">
      <c r="E1584" s="135"/>
      <c r="F1584" s="131"/>
    </row>
    <row r="1585" spans="5:6">
      <c r="E1585" s="135"/>
      <c r="F1585" s="131"/>
    </row>
    <row r="1586" spans="5:6">
      <c r="E1586" s="135"/>
      <c r="F1586" s="131"/>
    </row>
    <row r="1587" spans="5:6">
      <c r="E1587" s="135"/>
      <c r="F1587" s="131"/>
    </row>
    <row r="1588" spans="5:6">
      <c r="E1588" s="135"/>
      <c r="F1588" s="131"/>
    </row>
    <row r="1589" spans="5:6">
      <c r="E1589" s="135"/>
      <c r="F1589" s="131"/>
    </row>
    <row r="1590" spans="5:6">
      <c r="E1590" s="135"/>
      <c r="F1590" s="131"/>
    </row>
    <row r="1591" spans="5:6">
      <c r="E1591" s="135"/>
      <c r="F1591" s="131"/>
    </row>
    <row r="1592" spans="5:6">
      <c r="E1592" s="135"/>
      <c r="F1592" s="131"/>
    </row>
    <row r="1593" spans="5:6">
      <c r="E1593" s="135"/>
      <c r="F1593" s="131"/>
    </row>
    <row r="1594" spans="5:6">
      <c r="E1594" s="135"/>
      <c r="F1594" s="131"/>
    </row>
    <row r="1595" spans="5:6">
      <c r="E1595" s="135"/>
      <c r="F1595" s="131"/>
    </row>
    <row r="1596" spans="5:6">
      <c r="E1596" s="135"/>
      <c r="F1596" s="131"/>
    </row>
    <row r="1597" spans="5:6">
      <c r="E1597" s="135"/>
      <c r="F1597" s="131"/>
    </row>
    <row r="1598" spans="5:6">
      <c r="E1598" s="135"/>
      <c r="F1598" s="131"/>
    </row>
    <row r="1599" spans="5:6">
      <c r="E1599" s="135"/>
      <c r="F1599" s="131"/>
    </row>
    <row r="1600" spans="5:6">
      <c r="E1600" s="135"/>
      <c r="F1600" s="131"/>
    </row>
    <row r="1601" spans="5:6">
      <c r="E1601" s="135"/>
      <c r="F1601" s="131"/>
    </row>
    <row r="1602" spans="5:6">
      <c r="E1602" s="135"/>
      <c r="F1602" s="131"/>
    </row>
    <row r="1603" spans="5:6">
      <c r="E1603" s="135"/>
      <c r="F1603" s="131"/>
    </row>
    <row r="1604" spans="5:6">
      <c r="E1604" s="135"/>
      <c r="F1604" s="131"/>
    </row>
    <row r="1605" spans="5:6">
      <c r="E1605" s="135"/>
      <c r="F1605" s="131"/>
    </row>
    <row r="1606" spans="5:6">
      <c r="E1606" s="135"/>
      <c r="F1606" s="131"/>
    </row>
    <row r="1607" spans="5:6">
      <c r="E1607" s="135"/>
      <c r="F1607" s="131"/>
    </row>
    <row r="1608" spans="5:6">
      <c r="E1608" s="135"/>
      <c r="F1608" s="131"/>
    </row>
    <row r="1609" spans="5:6">
      <c r="E1609" s="135"/>
      <c r="F1609" s="131"/>
    </row>
    <row r="1610" spans="5:6">
      <c r="E1610" s="135"/>
      <c r="F1610" s="131"/>
    </row>
    <row r="1611" spans="5:6">
      <c r="E1611" s="135"/>
      <c r="F1611" s="131"/>
    </row>
    <row r="1612" spans="5:6">
      <c r="E1612" s="135"/>
      <c r="F1612" s="131"/>
    </row>
    <row r="1613" spans="5:6">
      <c r="E1613" s="135"/>
      <c r="F1613" s="131"/>
    </row>
    <row r="1614" spans="5:6">
      <c r="E1614" s="135"/>
      <c r="F1614" s="131"/>
    </row>
    <row r="1615" spans="5:6">
      <c r="E1615" s="135"/>
      <c r="F1615" s="131"/>
    </row>
    <row r="1616" spans="5:6">
      <c r="E1616" s="135"/>
      <c r="F1616" s="131"/>
    </row>
    <row r="1617" spans="5:6">
      <c r="E1617" s="135"/>
      <c r="F1617" s="131"/>
    </row>
    <row r="1618" spans="5:6">
      <c r="E1618" s="135"/>
      <c r="F1618" s="131"/>
    </row>
    <row r="1619" spans="5:6">
      <c r="E1619" s="135"/>
      <c r="F1619" s="131"/>
    </row>
    <row r="1620" spans="5:6">
      <c r="E1620" s="135"/>
      <c r="F1620" s="131"/>
    </row>
    <row r="1621" spans="5:6">
      <c r="E1621" s="135"/>
      <c r="F1621" s="131"/>
    </row>
    <row r="1622" spans="5:6">
      <c r="E1622" s="135"/>
      <c r="F1622" s="131"/>
    </row>
    <row r="1623" spans="5:6">
      <c r="E1623" s="135"/>
      <c r="F1623" s="131"/>
    </row>
    <row r="1624" spans="5:6">
      <c r="E1624" s="135"/>
      <c r="F1624" s="131"/>
    </row>
    <row r="1625" spans="5:6">
      <c r="E1625" s="135"/>
      <c r="F1625" s="131"/>
    </row>
    <row r="1626" spans="5:6">
      <c r="E1626" s="135"/>
      <c r="F1626" s="131"/>
    </row>
    <row r="1627" spans="5:6">
      <c r="E1627" s="135"/>
      <c r="F1627" s="131"/>
    </row>
    <row r="1628" spans="5:6">
      <c r="E1628" s="135"/>
      <c r="F1628" s="131"/>
    </row>
    <row r="1629" spans="5:6">
      <c r="E1629" s="135"/>
      <c r="F1629" s="131"/>
    </row>
    <row r="1630" spans="5:6">
      <c r="E1630" s="135"/>
      <c r="F1630" s="131"/>
    </row>
    <row r="1631" spans="5:6">
      <c r="E1631" s="135"/>
      <c r="F1631" s="131"/>
    </row>
    <row r="1632" spans="5:6">
      <c r="E1632" s="135"/>
      <c r="F1632" s="131"/>
    </row>
    <row r="1633" spans="5:6">
      <c r="E1633" s="135"/>
      <c r="F1633" s="131"/>
    </row>
    <row r="1634" spans="5:6">
      <c r="E1634" s="135"/>
      <c r="F1634" s="131"/>
    </row>
    <row r="1635" spans="5:6">
      <c r="E1635" s="135"/>
      <c r="F1635" s="131"/>
    </row>
    <row r="1636" spans="5:6">
      <c r="E1636" s="135"/>
      <c r="F1636" s="131"/>
    </row>
    <row r="1637" spans="5:6">
      <c r="E1637" s="135"/>
      <c r="F1637" s="131"/>
    </row>
    <row r="1638" spans="5:6">
      <c r="E1638" s="135"/>
      <c r="F1638" s="131"/>
    </row>
    <row r="1639" spans="5:6">
      <c r="E1639" s="135"/>
      <c r="F1639" s="131"/>
    </row>
    <row r="1640" spans="5:6">
      <c r="E1640" s="135"/>
      <c r="F1640" s="131"/>
    </row>
    <row r="1641" spans="5:6">
      <c r="E1641" s="135"/>
      <c r="F1641" s="131"/>
    </row>
    <row r="1642" spans="5:6">
      <c r="E1642" s="135"/>
      <c r="F1642" s="131"/>
    </row>
    <row r="1643" spans="5:6">
      <c r="E1643" s="135"/>
      <c r="F1643" s="131"/>
    </row>
    <row r="1644" spans="5:6">
      <c r="E1644" s="135"/>
      <c r="F1644" s="131"/>
    </row>
    <row r="1645" spans="5:6">
      <c r="E1645" s="135"/>
      <c r="F1645" s="131"/>
    </row>
    <row r="1646" spans="5:6">
      <c r="E1646" s="135"/>
      <c r="F1646" s="131"/>
    </row>
    <row r="1647" spans="5:6">
      <c r="E1647" s="135"/>
      <c r="F1647" s="131"/>
    </row>
    <row r="1648" spans="5:6">
      <c r="E1648" s="135"/>
      <c r="F1648" s="131"/>
    </row>
    <row r="1649" spans="5:6">
      <c r="E1649" s="135"/>
      <c r="F1649" s="131"/>
    </row>
    <row r="1650" spans="5:6">
      <c r="E1650" s="135"/>
      <c r="F1650" s="131"/>
    </row>
    <row r="1651" spans="5:6">
      <c r="E1651" s="135"/>
      <c r="F1651" s="131"/>
    </row>
    <row r="1652" spans="5:6">
      <c r="E1652" s="135"/>
      <c r="F1652" s="131"/>
    </row>
    <row r="1653" spans="5:6">
      <c r="E1653" s="135"/>
      <c r="F1653" s="131"/>
    </row>
    <row r="1654" spans="5:6">
      <c r="E1654" s="135"/>
      <c r="F1654" s="131"/>
    </row>
    <row r="1655" spans="5:6">
      <c r="E1655" s="135"/>
      <c r="F1655" s="131"/>
    </row>
    <row r="1656" spans="5:6">
      <c r="E1656" s="135"/>
      <c r="F1656" s="131"/>
    </row>
    <row r="1657" spans="5:6">
      <c r="E1657" s="135"/>
      <c r="F1657" s="131"/>
    </row>
    <row r="1658" spans="5:6">
      <c r="E1658" s="135"/>
      <c r="F1658" s="131"/>
    </row>
    <row r="1659" spans="5:6">
      <c r="E1659" s="135"/>
      <c r="F1659" s="131"/>
    </row>
    <row r="1660" spans="5:6">
      <c r="E1660" s="135"/>
      <c r="F1660" s="131"/>
    </row>
    <row r="1661" spans="5:6">
      <c r="E1661" s="135"/>
      <c r="F1661" s="131"/>
    </row>
    <row r="1662" spans="5:6">
      <c r="E1662" s="135"/>
      <c r="F1662" s="131"/>
    </row>
    <row r="1663" spans="5:6">
      <c r="E1663" s="135"/>
      <c r="F1663" s="131"/>
    </row>
    <row r="1664" spans="5:6">
      <c r="E1664" s="135"/>
      <c r="F1664" s="131"/>
    </row>
    <row r="1665" spans="5:6">
      <c r="E1665" s="135"/>
      <c r="F1665" s="131"/>
    </row>
    <row r="1666" spans="5:6">
      <c r="E1666" s="135"/>
      <c r="F1666" s="131"/>
    </row>
    <row r="1667" spans="5:6">
      <c r="E1667" s="135"/>
      <c r="F1667" s="131"/>
    </row>
    <row r="1668" spans="5:6">
      <c r="E1668" s="135"/>
      <c r="F1668" s="131"/>
    </row>
    <row r="1669" spans="5:6">
      <c r="E1669" s="135"/>
      <c r="F1669" s="131"/>
    </row>
    <row r="1670" spans="5:6">
      <c r="E1670" s="135"/>
      <c r="F1670" s="131"/>
    </row>
    <row r="1671" spans="5:6">
      <c r="E1671" s="135"/>
      <c r="F1671" s="131"/>
    </row>
    <row r="1672" spans="5:6">
      <c r="E1672" s="135"/>
      <c r="F1672" s="131"/>
    </row>
    <row r="1673" spans="5:6">
      <c r="E1673" s="135"/>
      <c r="F1673" s="131"/>
    </row>
    <row r="1674" spans="5:6">
      <c r="E1674" s="135"/>
      <c r="F1674" s="131"/>
    </row>
    <row r="1675" spans="5:6">
      <c r="E1675" s="135"/>
      <c r="F1675" s="131"/>
    </row>
    <row r="1676" spans="5:6">
      <c r="E1676" s="135"/>
      <c r="F1676" s="131"/>
    </row>
    <row r="1677" spans="5:6">
      <c r="E1677" s="135"/>
      <c r="F1677" s="131"/>
    </row>
    <row r="1678" spans="5:6">
      <c r="E1678" s="135"/>
      <c r="F1678" s="131"/>
    </row>
    <row r="1679" spans="5:6">
      <c r="E1679" s="135"/>
      <c r="F1679" s="131"/>
    </row>
    <row r="1680" spans="5:6">
      <c r="E1680" s="135"/>
      <c r="F1680" s="131"/>
    </row>
    <row r="1681" spans="5:6">
      <c r="E1681" s="135"/>
      <c r="F1681" s="131"/>
    </row>
    <row r="1682" spans="5:6">
      <c r="E1682" s="135"/>
      <c r="F1682" s="131"/>
    </row>
    <row r="1683" spans="5:6">
      <c r="E1683" s="135"/>
      <c r="F1683" s="131"/>
    </row>
    <row r="1684" spans="5:6">
      <c r="E1684" s="135"/>
      <c r="F1684" s="131"/>
    </row>
    <row r="1685" spans="5:6">
      <c r="E1685" s="135"/>
      <c r="F1685" s="131"/>
    </row>
    <row r="1686" spans="5:6">
      <c r="E1686" s="135"/>
      <c r="F1686" s="131"/>
    </row>
    <row r="1687" spans="5:6">
      <c r="E1687" s="135"/>
      <c r="F1687" s="131"/>
    </row>
    <row r="1688" spans="5:6">
      <c r="E1688" s="135"/>
      <c r="F1688" s="131"/>
    </row>
    <row r="1689" spans="5:6">
      <c r="E1689" s="135"/>
      <c r="F1689" s="131"/>
    </row>
    <row r="1690" spans="5:6">
      <c r="E1690" s="135"/>
      <c r="F1690" s="131"/>
    </row>
    <row r="1691" spans="5:6">
      <c r="E1691" s="135"/>
      <c r="F1691" s="131"/>
    </row>
    <row r="1692" spans="5:6">
      <c r="E1692" s="135"/>
      <c r="F1692" s="131"/>
    </row>
    <row r="1693" spans="5:6">
      <c r="E1693" s="135"/>
      <c r="F1693" s="131"/>
    </row>
    <row r="1694" spans="5:6">
      <c r="E1694" s="135"/>
      <c r="F1694" s="131"/>
    </row>
    <row r="1695" spans="5:6">
      <c r="E1695" s="135"/>
      <c r="F1695" s="131"/>
    </row>
    <row r="1696" spans="5:6">
      <c r="E1696" s="135"/>
      <c r="F1696" s="131"/>
    </row>
    <row r="1697" spans="5:6">
      <c r="E1697" s="135"/>
      <c r="F1697" s="131"/>
    </row>
    <row r="1698" spans="5:6">
      <c r="E1698" s="135"/>
      <c r="F1698" s="131"/>
    </row>
    <row r="1699" spans="5:6">
      <c r="E1699" s="135"/>
      <c r="F1699" s="131"/>
    </row>
    <row r="1700" spans="5:6">
      <c r="E1700" s="135"/>
      <c r="F1700" s="131"/>
    </row>
    <row r="1701" spans="5:6">
      <c r="E1701" s="135"/>
      <c r="F1701" s="131"/>
    </row>
    <row r="1702" spans="5:6">
      <c r="E1702" s="135"/>
      <c r="F1702" s="131"/>
    </row>
    <row r="1703" spans="5:6">
      <c r="E1703" s="135"/>
      <c r="F1703" s="131"/>
    </row>
    <row r="1704" spans="5:6">
      <c r="E1704" s="135"/>
      <c r="F1704" s="131"/>
    </row>
    <row r="1705" spans="5:6">
      <c r="E1705" s="135"/>
      <c r="F1705" s="131"/>
    </row>
    <row r="1706" spans="5:6">
      <c r="E1706" s="135"/>
      <c r="F1706" s="131"/>
    </row>
    <row r="1707" spans="5:6">
      <c r="E1707" s="135"/>
      <c r="F1707" s="131"/>
    </row>
    <row r="1708" spans="5:6">
      <c r="E1708" s="135"/>
      <c r="F1708" s="131"/>
    </row>
    <row r="1709" spans="5:6">
      <c r="E1709" s="135"/>
      <c r="F1709" s="131"/>
    </row>
    <row r="1710" spans="5:6">
      <c r="E1710" s="135"/>
      <c r="F1710" s="131"/>
    </row>
    <row r="1711" spans="5:6">
      <c r="E1711" s="135"/>
      <c r="F1711" s="131"/>
    </row>
    <row r="1712" spans="5:6">
      <c r="E1712" s="135"/>
      <c r="F1712" s="131"/>
    </row>
    <row r="1713" spans="5:6">
      <c r="E1713" s="135"/>
      <c r="F1713" s="131"/>
    </row>
    <row r="1714" spans="5:6">
      <c r="E1714" s="135"/>
      <c r="F1714" s="131"/>
    </row>
    <row r="1715" spans="5:6">
      <c r="E1715" s="135"/>
      <c r="F1715" s="131"/>
    </row>
    <row r="1716" spans="5:6">
      <c r="E1716" s="135"/>
      <c r="F1716" s="131"/>
    </row>
    <row r="1717" spans="5:6">
      <c r="E1717" s="135"/>
      <c r="F1717" s="131"/>
    </row>
    <row r="1718" spans="5:6">
      <c r="E1718" s="135"/>
      <c r="F1718" s="131"/>
    </row>
    <row r="1719" spans="5:6">
      <c r="E1719" s="135"/>
      <c r="F1719" s="131"/>
    </row>
    <row r="1720" spans="5:6">
      <c r="E1720" s="135"/>
      <c r="F1720" s="131"/>
    </row>
    <row r="1721" spans="5:6">
      <c r="E1721" s="135"/>
      <c r="F1721" s="131"/>
    </row>
    <row r="1722" spans="5:6">
      <c r="E1722" s="135"/>
      <c r="F1722" s="131"/>
    </row>
    <row r="1723" spans="5:6">
      <c r="E1723" s="135"/>
      <c r="F1723" s="131"/>
    </row>
    <row r="1724" spans="5:6">
      <c r="E1724" s="135"/>
      <c r="F1724" s="131"/>
    </row>
    <row r="1725" spans="5:6">
      <c r="E1725" s="135"/>
      <c r="F1725" s="131"/>
    </row>
    <row r="1726" spans="5:6">
      <c r="E1726" s="135"/>
      <c r="F1726" s="131"/>
    </row>
    <row r="1727" spans="5:6">
      <c r="E1727" s="135"/>
      <c r="F1727" s="131"/>
    </row>
    <row r="1728" spans="5:6">
      <c r="E1728" s="135"/>
      <c r="F1728" s="131"/>
    </row>
    <row r="1729" spans="5:6">
      <c r="E1729" s="135"/>
      <c r="F1729" s="131"/>
    </row>
    <row r="1730" spans="5:6">
      <c r="E1730" s="135"/>
      <c r="F1730" s="131"/>
    </row>
    <row r="1731" spans="5:6">
      <c r="E1731" s="135"/>
      <c r="F1731" s="131"/>
    </row>
    <row r="1732" spans="5:6">
      <c r="E1732" s="135"/>
      <c r="F1732" s="131"/>
    </row>
    <row r="1733" spans="5:6">
      <c r="E1733" s="135"/>
      <c r="F1733" s="131"/>
    </row>
    <row r="1734" spans="5:6">
      <c r="E1734" s="135"/>
      <c r="F1734" s="131"/>
    </row>
    <row r="1735" spans="5:6">
      <c r="E1735" s="135"/>
      <c r="F1735" s="131"/>
    </row>
    <row r="1736" spans="5:6">
      <c r="E1736" s="135"/>
      <c r="F1736" s="131"/>
    </row>
    <row r="1737" spans="5:6">
      <c r="E1737" s="135"/>
      <c r="F1737" s="131"/>
    </row>
    <row r="1738" spans="5:6">
      <c r="E1738" s="135"/>
      <c r="F1738" s="131"/>
    </row>
    <row r="1739" spans="5:6">
      <c r="E1739" s="135"/>
      <c r="F1739" s="131"/>
    </row>
    <row r="1740" spans="5:6">
      <c r="E1740" s="135"/>
      <c r="F1740" s="131"/>
    </row>
    <row r="1741" spans="5:6">
      <c r="E1741" s="135"/>
      <c r="F1741" s="131"/>
    </row>
    <row r="1742" spans="5:6">
      <c r="E1742" s="135"/>
      <c r="F1742" s="131"/>
    </row>
    <row r="1743" spans="5:6">
      <c r="E1743" s="135"/>
      <c r="F1743" s="131"/>
    </row>
    <row r="1744" spans="5:6">
      <c r="E1744" s="135"/>
      <c r="F1744" s="131"/>
    </row>
    <row r="1745" spans="5:6">
      <c r="E1745" s="135"/>
      <c r="F1745" s="131"/>
    </row>
    <row r="1746" spans="5:6">
      <c r="E1746" s="135"/>
      <c r="F1746" s="131"/>
    </row>
    <row r="1747" spans="5:6">
      <c r="E1747" s="135"/>
      <c r="F1747" s="131"/>
    </row>
    <row r="1748" spans="5:6">
      <c r="E1748" s="135"/>
      <c r="F1748" s="131"/>
    </row>
    <row r="1749" spans="5:6">
      <c r="E1749" s="135"/>
      <c r="F1749" s="131"/>
    </row>
    <row r="1750" spans="5:6">
      <c r="E1750" s="135"/>
      <c r="F1750" s="131"/>
    </row>
    <row r="1751" spans="5:6">
      <c r="E1751" s="135"/>
      <c r="F1751" s="131"/>
    </row>
    <row r="1752" spans="5:6">
      <c r="E1752" s="135"/>
      <c r="F1752" s="131"/>
    </row>
    <row r="1753" spans="5:6">
      <c r="E1753" s="135"/>
      <c r="F1753" s="131"/>
    </row>
    <row r="1754" spans="5:6">
      <c r="E1754" s="135"/>
      <c r="F1754" s="131"/>
    </row>
    <row r="1755" spans="5:6">
      <c r="E1755" s="135"/>
      <c r="F1755" s="131"/>
    </row>
    <row r="1756" spans="5:6">
      <c r="E1756" s="135"/>
      <c r="F1756" s="131"/>
    </row>
    <row r="1757" spans="5:6">
      <c r="E1757" s="135"/>
      <c r="F1757" s="131"/>
    </row>
    <row r="1758" spans="5:6">
      <c r="E1758" s="135"/>
      <c r="F1758" s="131"/>
    </row>
    <row r="1759" spans="5:6">
      <c r="E1759" s="135"/>
      <c r="F1759" s="131"/>
    </row>
    <row r="1760" spans="5:6">
      <c r="E1760" s="135"/>
      <c r="F1760" s="131"/>
    </row>
    <row r="1761" spans="5:6">
      <c r="E1761" s="135"/>
      <c r="F1761" s="131"/>
    </row>
    <row r="1762" spans="5:6">
      <c r="E1762" s="135"/>
      <c r="F1762" s="131"/>
    </row>
    <row r="1763" spans="5:6">
      <c r="E1763" s="135"/>
      <c r="F1763" s="131"/>
    </row>
    <row r="1764" spans="5:6">
      <c r="E1764" s="135"/>
      <c r="F1764" s="131"/>
    </row>
    <row r="1765" spans="5:6">
      <c r="E1765" s="135"/>
      <c r="F1765" s="131"/>
    </row>
    <row r="1766" spans="5:6">
      <c r="E1766" s="135"/>
      <c r="F1766" s="131"/>
    </row>
    <row r="1767" spans="5:6">
      <c r="E1767" s="135"/>
      <c r="F1767" s="131"/>
    </row>
    <row r="1768" spans="5:6">
      <c r="E1768" s="135"/>
      <c r="F1768" s="131"/>
    </row>
    <row r="1769" spans="5:6">
      <c r="E1769" s="135"/>
      <c r="F1769" s="131"/>
    </row>
    <row r="1770" spans="5:6">
      <c r="E1770" s="135"/>
      <c r="F1770" s="131"/>
    </row>
    <row r="1771" spans="5:6">
      <c r="E1771" s="135"/>
      <c r="F1771" s="131"/>
    </row>
    <row r="1772" spans="5:6">
      <c r="E1772" s="135"/>
      <c r="F1772" s="131"/>
    </row>
    <row r="1773" spans="5:6">
      <c r="E1773" s="135"/>
      <c r="F1773" s="131"/>
    </row>
    <row r="1774" spans="5:6">
      <c r="E1774" s="135"/>
      <c r="F1774" s="131"/>
    </row>
    <row r="1775" spans="5:6">
      <c r="E1775" s="135"/>
      <c r="F1775" s="131"/>
    </row>
    <row r="1776" spans="5:6">
      <c r="E1776" s="135"/>
      <c r="F1776" s="131"/>
    </row>
    <row r="1777" spans="5:6">
      <c r="E1777" s="135"/>
      <c r="F1777" s="131"/>
    </row>
    <row r="1778" spans="5:6">
      <c r="E1778" s="135"/>
      <c r="F1778" s="131"/>
    </row>
    <row r="1779" spans="5:6">
      <c r="E1779" s="135"/>
      <c r="F1779" s="131"/>
    </row>
    <row r="1780" spans="5:6">
      <c r="E1780" s="135"/>
      <c r="F1780" s="131"/>
    </row>
    <row r="1781" spans="5:6">
      <c r="E1781" s="135"/>
      <c r="F1781" s="131"/>
    </row>
    <row r="1782" spans="5:6">
      <c r="E1782" s="135"/>
      <c r="F1782" s="131"/>
    </row>
    <row r="1783" spans="5:6">
      <c r="E1783" s="135"/>
      <c r="F1783" s="131"/>
    </row>
    <row r="1784" spans="5:6">
      <c r="E1784" s="135"/>
      <c r="F1784" s="131"/>
    </row>
    <row r="1785" spans="5:6">
      <c r="E1785" s="135"/>
      <c r="F1785" s="131"/>
    </row>
    <row r="1786" spans="5:6">
      <c r="E1786" s="135"/>
      <c r="F1786" s="131"/>
    </row>
    <row r="1787" spans="5:6">
      <c r="E1787" s="135"/>
      <c r="F1787" s="131"/>
    </row>
    <row r="1788" spans="5:6">
      <c r="E1788" s="135"/>
      <c r="F1788" s="131"/>
    </row>
    <row r="1789" spans="5:6">
      <c r="E1789" s="135"/>
      <c r="F1789" s="131"/>
    </row>
    <row r="1790" spans="5:6">
      <c r="E1790" s="135"/>
      <c r="F1790" s="131"/>
    </row>
    <row r="1791" spans="5:6">
      <c r="E1791" s="135"/>
      <c r="F1791" s="131"/>
    </row>
    <row r="1792" spans="5:6">
      <c r="E1792" s="135"/>
      <c r="F1792" s="131"/>
    </row>
    <row r="1793" spans="5:6">
      <c r="E1793" s="135"/>
      <c r="F1793" s="131"/>
    </row>
    <row r="1794" spans="5:6">
      <c r="E1794" s="135"/>
      <c r="F1794" s="131"/>
    </row>
    <row r="1795" spans="5:6">
      <c r="E1795" s="135"/>
      <c r="F1795" s="131"/>
    </row>
    <row r="1796" spans="5:6">
      <c r="E1796" s="135"/>
      <c r="F1796" s="131"/>
    </row>
    <row r="1797" spans="5:6">
      <c r="E1797" s="135"/>
      <c r="F1797" s="131"/>
    </row>
    <row r="1798" spans="5:6">
      <c r="E1798" s="135"/>
      <c r="F1798" s="131"/>
    </row>
    <row r="1799" spans="5:6">
      <c r="E1799" s="135"/>
      <c r="F1799" s="131"/>
    </row>
    <row r="1800" spans="5:6">
      <c r="E1800" s="135"/>
      <c r="F1800" s="131"/>
    </row>
    <row r="1801" spans="5:6">
      <c r="E1801" s="135"/>
      <c r="F1801" s="131"/>
    </row>
    <row r="1802" spans="5:6">
      <c r="E1802" s="135"/>
      <c r="F1802" s="131"/>
    </row>
    <row r="1803" spans="5:6">
      <c r="E1803" s="135"/>
      <c r="F1803" s="131"/>
    </row>
    <row r="1804" spans="5:6">
      <c r="E1804" s="135"/>
      <c r="F1804" s="131"/>
    </row>
    <row r="1805" spans="5:6">
      <c r="E1805" s="135"/>
      <c r="F1805" s="131"/>
    </row>
    <row r="1806" spans="5:6">
      <c r="E1806" s="135"/>
      <c r="F1806" s="131"/>
    </row>
    <row r="1807" spans="5:6">
      <c r="E1807" s="135"/>
      <c r="F1807" s="131"/>
    </row>
    <row r="1808" spans="5:6">
      <c r="E1808" s="135"/>
      <c r="F1808" s="131"/>
    </row>
    <row r="1809" spans="5:6">
      <c r="E1809" s="135"/>
      <c r="F1809" s="131"/>
    </row>
    <row r="1810" spans="5:6">
      <c r="E1810" s="135"/>
      <c r="F1810" s="131"/>
    </row>
    <row r="1811" spans="5:6">
      <c r="E1811" s="135"/>
      <c r="F1811" s="131"/>
    </row>
    <row r="1812" spans="5:6">
      <c r="E1812" s="135"/>
      <c r="F1812" s="131"/>
    </row>
    <row r="1813" spans="5:6">
      <c r="E1813" s="135"/>
      <c r="F1813" s="131"/>
    </row>
    <row r="1814" spans="5:6">
      <c r="E1814" s="135"/>
      <c r="F1814" s="131"/>
    </row>
    <row r="1815" spans="5:6">
      <c r="E1815" s="135"/>
      <c r="F1815" s="131"/>
    </row>
    <row r="1816" spans="5:6">
      <c r="E1816" s="135"/>
      <c r="F1816" s="131"/>
    </row>
    <row r="1817" spans="5:6">
      <c r="E1817" s="135"/>
      <c r="F1817" s="131"/>
    </row>
    <row r="1818" spans="5:6">
      <c r="E1818" s="135"/>
      <c r="F1818" s="131"/>
    </row>
    <row r="1819" spans="5:6">
      <c r="E1819" s="135"/>
      <c r="F1819" s="131"/>
    </row>
    <row r="1820" spans="5:6">
      <c r="E1820" s="135"/>
      <c r="F1820" s="131"/>
    </row>
    <row r="1821" spans="5:6">
      <c r="E1821" s="135"/>
      <c r="F1821" s="131"/>
    </row>
    <row r="1822" spans="5:6">
      <c r="E1822" s="135"/>
      <c r="F1822" s="131"/>
    </row>
    <row r="1823" spans="5:6">
      <c r="E1823" s="135"/>
      <c r="F1823" s="131"/>
    </row>
    <row r="1824" spans="5:6">
      <c r="E1824" s="135"/>
      <c r="F1824" s="131"/>
    </row>
    <row r="1825" spans="5:6">
      <c r="E1825" s="135"/>
      <c r="F1825" s="131"/>
    </row>
    <row r="1826" spans="5:6">
      <c r="E1826" s="135"/>
      <c r="F1826" s="131"/>
    </row>
    <row r="1827" spans="5:6">
      <c r="E1827" s="135"/>
      <c r="F1827" s="131"/>
    </row>
    <row r="1828" spans="5:6">
      <c r="E1828" s="135"/>
      <c r="F1828" s="131"/>
    </row>
    <row r="1829" spans="5:6">
      <c r="E1829" s="135"/>
      <c r="F1829" s="131"/>
    </row>
    <row r="1830" spans="5:6">
      <c r="E1830" s="135"/>
      <c r="F1830" s="131"/>
    </row>
    <row r="1831" spans="5:6">
      <c r="E1831" s="135"/>
      <c r="F1831" s="131"/>
    </row>
    <row r="1832" spans="5:6">
      <c r="E1832" s="135"/>
      <c r="F1832" s="131"/>
    </row>
    <row r="1833" spans="5:6">
      <c r="E1833" s="135"/>
      <c r="F1833" s="131"/>
    </row>
    <row r="1834" spans="5:6">
      <c r="E1834" s="135"/>
      <c r="F1834" s="131"/>
    </row>
    <row r="1835" spans="5:6">
      <c r="E1835" s="135"/>
      <c r="F1835" s="131"/>
    </row>
    <row r="1836" spans="5:6">
      <c r="E1836" s="135"/>
      <c r="F1836" s="131"/>
    </row>
    <row r="1837" spans="5:6">
      <c r="E1837" s="135"/>
      <c r="F1837" s="131"/>
    </row>
    <row r="1838" spans="5:6">
      <c r="E1838" s="135"/>
      <c r="F1838" s="131"/>
    </row>
    <row r="1839" spans="5:6">
      <c r="E1839" s="135"/>
      <c r="F1839" s="131"/>
    </row>
    <row r="1840" spans="5:6">
      <c r="E1840" s="135"/>
      <c r="F1840" s="131"/>
    </row>
    <row r="1841" spans="5:6">
      <c r="E1841" s="135"/>
      <c r="F1841" s="131"/>
    </row>
    <row r="1842" spans="5:6">
      <c r="E1842" s="135"/>
      <c r="F1842" s="131"/>
    </row>
    <row r="1843" spans="5:6">
      <c r="E1843" s="135"/>
      <c r="F1843" s="131"/>
    </row>
    <row r="1844" spans="5:6">
      <c r="E1844" s="135"/>
      <c r="F1844" s="131"/>
    </row>
    <row r="1845" spans="5:6">
      <c r="E1845" s="135"/>
      <c r="F1845" s="131"/>
    </row>
    <row r="1846" spans="5:6">
      <c r="E1846" s="135"/>
      <c r="F1846" s="131"/>
    </row>
    <row r="1847" spans="5:6">
      <c r="E1847" s="135"/>
      <c r="F1847" s="131"/>
    </row>
    <row r="1848" spans="5:6">
      <c r="E1848" s="135"/>
      <c r="F1848" s="131"/>
    </row>
    <row r="1849" spans="5:6">
      <c r="E1849" s="135"/>
      <c r="F1849" s="131"/>
    </row>
    <row r="1850" spans="5:6">
      <c r="E1850" s="135"/>
      <c r="F1850" s="131"/>
    </row>
    <row r="1851" spans="5:6">
      <c r="E1851" s="135"/>
      <c r="F1851" s="131"/>
    </row>
    <row r="1852" spans="5:6">
      <c r="E1852" s="135"/>
      <c r="F1852" s="131"/>
    </row>
    <row r="1853" spans="5:6">
      <c r="E1853" s="135"/>
      <c r="F1853" s="131"/>
    </row>
    <row r="1854" spans="5:6">
      <c r="E1854" s="135"/>
      <c r="F1854" s="131"/>
    </row>
    <row r="1855" spans="5:6">
      <c r="E1855" s="135"/>
      <c r="F1855" s="131"/>
    </row>
    <row r="1856" spans="5:6">
      <c r="E1856" s="135"/>
      <c r="F1856" s="131"/>
    </row>
    <row r="1857" spans="5:6">
      <c r="E1857" s="135"/>
      <c r="F1857" s="131"/>
    </row>
    <row r="1858" spans="5:6">
      <c r="E1858" s="135"/>
      <c r="F1858" s="131"/>
    </row>
    <row r="1859" spans="5:6">
      <c r="E1859" s="135"/>
      <c r="F1859" s="131"/>
    </row>
    <row r="1860" spans="5:6">
      <c r="E1860" s="135"/>
      <c r="F1860" s="131"/>
    </row>
    <row r="1861" spans="5:6">
      <c r="E1861" s="135"/>
      <c r="F1861" s="131"/>
    </row>
    <row r="1862" spans="5:6">
      <c r="E1862" s="135"/>
      <c r="F1862" s="131"/>
    </row>
    <row r="1863" spans="5:6">
      <c r="E1863" s="135"/>
      <c r="F1863" s="131"/>
    </row>
    <row r="1864" spans="5:6">
      <c r="E1864" s="135"/>
      <c r="F1864" s="131"/>
    </row>
    <row r="1865" spans="5:6">
      <c r="E1865" s="135"/>
      <c r="F1865" s="131"/>
    </row>
    <row r="1866" spans="5:6">
      <c r="E1866" s="135"/>
      <c r="F1866" s="131"/>
    </row>
    <row r="1867" spans="5:6">
      <c r="E1867" s="135"/>
      <c r="F1867" s="131"/>
    </row>
    <row r="1868" spans="5:6">
      <c r="E1868" s="135"/>
      <c r="F1868" s="131"/>
    </row>
    <row r="1869" spans="5:6">
      <c r="E1869" s="135"/>
      <c r="F1869" s="131"/>
    </row>
    <row r="1870" spans="5:6">
      <c r="E1870" s="135"/>
      <c r="F1870" s="131"/>
    </row>
    <row r="1871" spans="5:6">
      <c r="E1871" s="135"/>
      <c r="F1871" s="131"/>
    </row>
    <row r="1872" spans="5:6">
      <c r="E1872" s="135"/>
      <c r="F1872" s="131"/>
    </row>
    <row r="1873" spans="5:6">
      <c r="E1873" s="135"/>
      <c r="F1873" s="131"/>
    </row>
    <row r="1874" spans="5:6">
      <c r="E1874" s="135"/>
      <c r="F1874" s="131"/>
    </row>
    <row r="1875" spans="5:6">
      <c r="E1875" s="135"/>
      <c r="F1875" s="131"/>
    </row>
    <row r="1876" spans="5:6">
      <c r="E1876" s="135"/>
      <c r="F1876" s="131"/>
    </row>
    <row r="1877" spans="5:6">
      <c r="E1877" s="135"/>
      <c r="F1877" s="131"/>
    </row>
    <row r="1878" spans="5:6">
      <c r="E1878" s="135"/>
      <c r="F1878" s="131"/>
    </row>
    <row r="1879" spans="5:6">
      <c r="E1879" s="135"/>
      <c r="F1879" s="131"/>
    </row>
    <row r="1880" spans="5:6">
      <c r="E1880" s="135"/>
      <c r="F1880" s="131"/>
    </row>
    <row r="1881" spans="5:6">
      <c r="E1881" s="135"/>
      <c r="F1881" s="131"/>
    </row>
    <row r="1882" spans="5:6">
      <c r="E1882" s="135"/>
      <c r="F1882" s="131"/>
    </row>
    <row r="1883" spans="5:6">
      <c r="E1883" s="135"/>
      <c r="F1883" s="131"/>
    </row>
    <row r="1884" spans="5:6">
      <c r="E1884" s="135"/>
      <c r="F1884" s="131"/>
    </row>
    <row r="1885" spans="5:6">
      <c r="E1885" s="135"/>
      <c r="F1885" s="131"/>
    </row>
    <row r="1886" spans="5:6">
      <c r="E1886" s="135"/>
      <c r="F1886" s="131"/>
    </row>
    <row r="1887" spans="5:6">
      <c r="E1887" s="135"/>
      <c r="F1887" s="131"/>
    </row>
    <row r="1888" spans="5:6">
      <c r="E1888" s="135"/>
      <c r="F1888" s="131"/>
    </row>
    <row r="1889" spans="5:6">
      <c r="E1889" s="135"/>
      <c r="F1889" s="131"/>
    </row>
    <row r="1890" spans="5:6">
      <c r="E1890" s="135"/>
      <c r="F1890" s="131"/>
    </row>
    <row r="1891" spans="5:6">
      <c r="E1891" s="135"/>
      <c r="F1891" s="131"/>
    </row>
    <row r="1892" spans="5:6">
      <c r="E1892" s="135"/>
      <c r="F1892" s="131"/>
    </row>
    <row r="1893" spans="5:6">
      <c r="E1893" s="135"/>
      <c r="F1893" s="131"/>
    </row>
    <row r="1894" spans="5:6">
      <c r="E1894" s="135"/>
      <c r="F1894" s="131"/>
    </row>
    <row r="1895" spans="5:6">
      <c r="E1895" s="135"/>
      <c r="F1895" s="131"/>
    </row>
    <row r="1896" spans="5:6">
      <c r="E1896" s="135"/>
      <c r="F1896" s="131"/>
    </row>
    <row r="1897" spans="5:6">
      <c r="E1897" s="135"/>
      <c r="F1897" s="131"/>
    </row>
    <row r="1898" spans="5:6">
      <c r="E1898" s="135"/>
      <c r="F1898" s="131"/>
    </row>
    <row r="1899" spans="5:6">
      <c r="E1899" s="135"/>
      <c r="F1899" s="131"/>
    </row>
    <row r="1900" spans="5:6">
      <c r="E1900" s="135"/>
      <c r="F1900" s="131"/>
    </row>
    <row r="1901" spans="5:6">
      <c r="E1901" s="135"/>
      <c r="F1901" s="131"/>
    </row>
    <row r="1902" spans="5:6">
      <c r="E1902" s="135"/>
      <c r="F1902" s="131"/>
    </row>
    <row r="1903" spans="5:6">
      <c r="E1903" s="135"/>
      <c r="F1903" s="131"/>
    </row>
    <row r="1904" spans="5:6">
      <c r="E1904" s="135"/>
      <c r="F1904" s="131"/>
    </row>
    <row r="1905" spans="5:6">
      <c r="E1905" s="135"/>
      <c r="F1905" s="131"/>
    </row>
    <row r="1906" spans="5:6">
      <c r="E1906" s="135"/>
      <c r="F1906" s="131"/>
    </row>
    <row r="1907" spans="5:6">
      <c r="E1907" s="135"/>
      <c r="F1907" s="131"/>
    </row>
    <row r="1908" spans="5:6">
      <c r="E1908" s="135"/>
      <c r="F1908" s="131"/>
    </row>
    <row r="1909" spans="5:6">
      <c r="E1909" s="135"/>
      <c r="F1909" s="131"/>
    </row>
    <row r="1910" spans="5:6">
      <c r="E1910" s="135"/>
      <c r="F1910" s="131"/>
    </row>
    <row r="1911" spans="5:6">
      <c r="E1911" s="135"/>
      <c r="F1911" s="131"/>
    </row>
    <row r="1912" spans="5:6">
      <c r="E1912" s="135"/>
      <c r="F1912" s="131"/>
    </row>
    <row r="1913" spans="5:6">
      <c r="E1913" s="135"/>
      <c r="F1913" s="131"/>
    </row>
    <row r="1914" spans="5:6">
      <c r="E1914" s="135"/>
      <c r="F1914" s="131"/>
    </row>
    <row r="1915" spans="5:6">
      <c r="E1915" s="135"/>
      <c r="F1915" s="131"/>
    </row>
    <row r="1916" spans="5:6">
      <c r="E1916" s="135"/>
      <c r="F1916" s="131"/>
    </row>
    <row r="1917" spans="5:6">
      <c r="E1917" s="135"/>
      <c r="F1917" s="131"/>
    </row>
    <row r="1918" spans="5:6">
      <c r="E1918" s="135"/>
      <c r="F1918" s="131"/>
    </row>
    <row r="1919" spans="5:6">
      <c r="E1919" s="135"/>
      <c r="F1919" s="131"/>
    </row>
    <row r="1920" spans="5:6">
      <c r="E1920" s="135"/>
      <c r="F1920" s="131"/>
    </row>
    <row r="1921" spans="5:6">
      <c r="E1921" s="135"/>
      <c r="F1921" s="131"/>
    </row>
    <row r="1922" spans="5:6">
      <c r="E1922" s="135"/>
      <c r="F1922" s="131"/>
    </row>
    <row r="1923" spans="5:6">
      <c r="E1923" s="135"/>
      <c r="F1923" s="131"/>
    </row>
    <row r="1924" spans="5:6">
      <c r="E1924" s="135"/>
      <c r="F1924" s="131"/>
    </row>
    <row r="1925" spans="5:6">
      <c r="E1925" s="135"/>
      <c r="F1925" s="131"/>
    </row>
    <row r="1926" spans="5:6">
      <c r="E1926" s="135"/>
      <c r="F1926" s="131"/>
    </row>
    <row r="1927" spans="5:6">
      <c r="E1927" s="135"/>
      <c r="F1927" s="131"/>
    </row>
    <row r="1928" spans="5:6">
      <c r="E1928" s="135"/>
      <c r="F1928" s="131"/>
    </row>
    <row r="1929" spans="5:6">
      <c r="E1929" s="135"/>
      <c r="F1929" s="131"/>
    </row>
    <row r="1930" spans="5:6">
      <c r="E1930" s="135"/>
      <c r="F1930" s="131"/>
    </row>
    <row r="1931" spans="5:6">
      <c r="E1931" s="135"/>
      <c r="F1931" s="131"/>
    </row>
    <row r="1932" spans="5:6">
      <c r="E1932" s="135"/>
      <c r="F1932" s="131"/>
    </row>
    <row r="1933" spans="5:6">
      <c r="E1933" s="135"/>
      <c r="F1933" s="131"/>
    </row>
    <row r="1934" spans="5:6">
      <c r="E1934" s="135"/>
      <c r="F1934" s="131"/>
    </row>
    <row r="1935" spans="5:6">
      <c r="E1935" s="135"/>
      <c r="F1935" s="131"/>
    </row>
    <row r="1936" spans="5:6">
      <c r="E1936" s="135"/>
      <c r="F1936" s="131"/>
    </row>
    <row r="1937" spans="5:6">
      <c r="E1937" s="135"/>
      <c r="F1937" s="131"/>
    </row>
    <row r="1938" spans="5:6">
      <c r="E1938" s="135"/>
      <c r="F1938" s="131"/>
    </row>
    <row r="1939" spans="5:6">
      <c r="E1939" s="135"/>
      <c r="F1939" s="131"/>
    </row>
    <row r="1940" spans="5:6">
      <c r="E1940" s="135"/>
      <c r="F1940" s="131"/>
    </row>
    <row r="1941" spans="5:6">
      <c r="E1941" s="135"/>
      <c r="F1941" s="131"/>
    </row>
    <row r="1942" spans="5:6">
      <c r="E1942" s="135"/>
      <c r="F1942" s="131"/>
    </row>
    <row r="1943" spans="5:6">
      <c r="E1943" s="135"/>
      <c r="F1943" s="131"/>
    </row>
    <row r="1944" spans="5:6">
      <c r="E1944" s="135"/>
      <c r="F1944" s="131"/>
    </row>
    <row r="1945" spans="5:6">
      <c r="E1945" s="135"/>
      <c r="F1945" s="131"/>
    </row>
    <row r="1946" spans="5:6">
      <c r="E1946" s="135"/>
      <c r="F1946" s="131"/>
    </row>
    <row r="1947" spans="5:6">
      <c r="E1947" s="135"/>
      <c r="F1947" s="131"/>
    </row>
    <row r="1948" spans="5:6">
      <c r="E1948" s="135"/>
      <c r="F1948" s="131"/>
    </row>
    <row r="1949" spans="5:6">
      <c r="E1949" s="135"/>
      <c r="F1949" s="131"/>
    </row>
    <row r="1950" spans="5:6">
      <c r="E1950" s="135"/>
      <c r="F1950" s="131"/>
    </row>
    <row r="1951" spans="5:6">
      <c r="E1951" s="135"/>
      <c r="F1951" s="131"/>
    </row>
    <row r="1952" spans="5:6">
      <c r="E1952" s="135"/>
      <c r="F1952" s="131"/>
    </row>
    <row r="1953" spans="5:6">
      <c r="E1953" s="135"/>
      <c r="F1953" s="131"/>
    </row>
    <row r="1954" spans="5:6">
      <c r="E1954" s="135"/>
      <c r="F1954" s="131"/>
    </row>
    <row r="1955" spans="5:6">
      <c r="E1955" s="135"/>
      <c r="F1955" s="131"/>
    </row>
    <row r="1956" spans="5:6">
      <c r="E1956" s="135"/>
      <c r="F1956" s="131"/>
    </row>
    <row r="1957" spans="5:6">
      <c r="E1957" s="135"/>
      <c r="F1957" s="131"/>
    </row>
    <row r="1958" spans="5:6">
      <c r="E1958" s="135"/>
      <c r="F1958" s="131"/>
    </row>
    <row r="1959" spans="5:6">
      <c r="E1959" s="135"/>
      <c r="F1959" s="131"/>
    </row>
    <row r="1960" spans="5:6">
      <c r="E1960" s="135"/>
      <c r="F1960" s="131"/>
    </row>
    <row r="1961" spans="5:6">
      <c r="E1961" s="135"/>
      <c r="F1961" s="131"/>
    </row>
    <row r="1962" spans="5:6">
      <c r="E1962" s="135"/>
      <c r="F1962" s="131"/>
    </row>
    <row r="1963" spans="5:6">
      <c r="E1963" s="135"/>
      <c r="F1963" s="131"/>
    </row>
    <row r="1964" spans="5:6">
      <c r="E1964" s="135"/>
      <c r="F1964" s="131"/>
    </row>
    <row r="1965" spans="5:6">
      <c r="E1965" s="135"/>
      <c r="F1965" s="131"/>
    </row>
    <row r="1966" spans="5:6">
      <c r="E1966" s="135"/>
      <c r="F1966" s="131"/>
    </row>
    <row r="1967" spans="5:6">
      <c r="E1967" s="135"/>
      <c r="F1967" s="131"/>
    </row>
    <row r="1968" spans="5:6">
      <c r="E1968" s="135"/>
      <c r="F1968" s="131"/>
    </row>
    <row r="1969" spans="5:6">
      <c r="E1969" s="135"/>
      <c r="F1969" s="131"/>
    </row>
    <row r="1970" spans="5:6">
      <c r="E1970" s="135"/>
      <c r="F1970" s="131"/>
    </row>
    <row r="1971" spans="5:6">
      <c r="E1971" s="135"/>
      <c r="F1971" s="131"/>
    </row>
    <row r="1972" spans="5:6">
      <c r="E1972" s="135"/>
      <c r="F1972" s="131"/>
    </row>
    <row r="1973" spans="5:6">
      <c r="E1973" s="135"/>
      <c r="F1973" s="131"/>
    </row>
    <row r="1974" spans="5:6">
      <c r="E1974" s="135"/>
      <c r="F1974" s="131"/>
    </row>
    <row r="1975" spans="5:6">
      <c r="E1975" s="135"/>
      <c r="F1975" s="131"/>
    </row>
    <row r="1976" spans="5:6">
      <c r="E1976" s="135"/>
      <c r="F1976" s="131"/>
    </row>
    <row r="1977" spans="5:6">
      <c r="E1977" s="135"/>
      <c r="F1977" s="131"/>
    </row>
    <row r="1978" spans="5:6">
      <c r="E1978" s="135"/>
      <c r="F1978" s="131"/>
    </row>
    <row r="1979" spans="5:6">
      <c r="E1979" s="135"/>
      <c r="F1979" s="131"/>
    </row>
    <row r="1980" spans="5:6">
      <c r="E1980" s="135"/>
      <c r="F1980" s="131"/>
    </row>
    <row r="1981" spans="5:6">
      <c r="E1981" s="135"/>
      <c r="F1981" s="131"/>
    </row>
    <row r="1982" spans="5:6">
      <c r="E1982" s="135"/>
      <c r="F1982" s="131"/>
    </row>
    <row r="1983" spans="5:6">
      <c r="E1983" s="135"/>
      <c r="F1983" s="131"/>
    </row>
    <row r="1984" spans="5:6">
      <c r="E1984" s="135"/>
      <c r="F1984" s="131"/>
    </row>
    <row r="1985" spans="5:6">
      <c r="E1985" s="135"/>
      <c r="F1985" s="131"/>
    </row>
    <row r="1986" spans="5:6">
      <c r="E1986" s="135"/>
      <c r="F1986" s="131"/>
    </row>
    <row r="1987" spans="5:6">
      <c r="E1987" s="135"/>
      <c r="F1987" s="131"/>
    </row>
    <row r="1988" spans="5:6">
      <c r="E1988" s="135"/>
      <c r="F1988" s="131"/>
    </row>
    <row r="1989" spans="5:6">
      <c r="E1989" s="135"/>
      <c r="F1989" s="131"/>
    </row>
    <row r="1990" spans="5:6">
      <c r="E1990" s="135"/>
      <c r="F1990" s="131"/>
    </row>
    <row r="1991" spans="5:6">
      <c r="E1991" s="135"/>
      <c r="F1991" s="131"/>
    </row>
    <row r="1992" spans="5:6">
      <c r="E1992" s="135"/>
      <c r="F1992" s="131"/>
    </row>
    <row r="1993" spans="5:6">
      <c r="E1993" s="135"/>
      <c r="F1993" s="131"/>
    </row>
    <row r="1994" spans="5:6">
      <c r="E1994" s="135"/>
      <c r="F1994" s="131"/>
    </row>
    <row r="1995" spans="5:6">
      <c r="E1995" s="135"/>
      <c r="F1995" s="131"/>
    </row>
    <row r="1996" spans="5:6">
      <c r="E1996" s="135"/>
      <c r="F1996" s="131"/>
    </row>
    <row r="1997" spans="5:6">
      <c r="E1997" s="135"/>
      <c r="F1997" s="131"/>
    </row>
    <row r="1998" spans="5:6">
      <c r="E1998" s="135"/>
      <c r="F1998" s="131"/>
    </row>
    <row r="1999" spans="5:6">
      <c r="E1999" s="135"/>
      <c r="F1999" s="131"/>
    </row>
    <row r="2000" spans="5:6">
      <c r="E2000" s="135"/>
      <c r="F2000" s="131"/>
    </row>
    <row r="2001" spans="5:6">
      <c r="E2001" s="135"/>
      <c r="F2001" s="131"/>
    </row>
    <row r="2002" spans="5:6">
      <c r="E2002" s="135"/>
      <c r="F2002" s="131"/>
    </row>
    <row r="2003" spans="5:6">
      <c r="E2003" s="135"/>
      <c r="F2003" s="131"/>
    </row>
  </sheetData>
  <autoFilter ref="B1:B1003" xr:uid="{00000000-0009-0000-0000-000006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A1749"/>
  <sheetViews>
    <sheetView workbookViewId="0"/>
  </sheetViews>
  <sheetFormatPr baseColWidth="10" defaultColWidth="12.6640625" defaultRowHeight="15" customHeight="1"/>
  <cols>
    <col min="1" max="2" width="9.83203125" customWidth="1"/>
    <col min="5" max="5" width="17.1640625" customWidth="1"/>
    <col min="6" max="6" width="14.6640625" customWidth="1"/>
    <col min="7" max="7" width="15.5" customWidth="1"/>
    <col min="8" max="8" width="12" customWidth="1"/>
    <col min="9" max="9" width="11.83203125" customWidth="1"/>
    <col min="10" max="10" width="31" customWidth="1"/>
    <col min="14" max="14" width="14.6640625" customWidth="1"/>
    <col min="15" max="15" width="40.1640625" customWidth="1"/>
    <col min="16" max="16" width="45.6640625" customWidth="1"/>
  </cols>
  <sheetData>
    <row r="1" spans="1:27" ht="48">
      <c r="A1" s="27" t="s">
        <v>47</v>
      </c>
      <c r="B1" s="28" t="str">
        <f ca="1">IFERROR(__xludf.DUMMYFUNCTION("QUERY(IMPORTRANGE(""1JVhBhJNYW9EZQKIY5cDV_NRhVR_dUv-ZxXOeeG4E9sI/edit?gid=1391406655#gid=1391406655"",""Datventas2025!A:AT""),""SELECT Col7, Col8, Col45, Col4, Col6, Col10, Col1, Col11,  Col13, Col14, Col19, Col31, Col32, Col33, Col34 WHERE Col33&lt;&gt;''"",1)"),"AÑO")</f>
        <v>AÑO</v>
      </c>
      <c r="C1" s="29" t="str">
        <f ca="1">IFERROR(__xludf.DUMMYFUNCTION("""COMPUTED_VALUE"""),"MES")</f>
        <v>MES</v>
      </c>
      <c r="D1" s="29" t="str">
        <f ca="1">IFERROR(__xludf.DUMMYFUNCTION("""COMPUTED_VALUE"""),"RECOMPRA")</f>
        <v>RECOMPRA</v>
      </c>
      <c r="E1" s="29" t="str">
        <f ca="1">IFERROR(__xludf.DUMMYFUNCTION("""COMPUTED_VALUE"""),"SUCURSAL")</f>
        <v>SUCURSAL</v>
      </c>
      <c r="F1" s="29" t="str">
        <f ca="1">IFERROR(__xludf.DUMMYFUNCTION("""COMPUTED_VALUE"""),"FECHA DE VENTA")</f>
        <v>FECHA DE VENTA</v>
      </c>
      <c r="G1" s="29" t="str">
        <f ca="1">IFERROR(__xludf.DUMMYFUNCTION("""COMPUTED_VALUE"""),"FECHA DE ALTA DE CLIENTE")</f>
        <v>FECHA DE ALTA DE CLIENTE</v>
      </c>
      <c r="H1" s="29" t="str">
        <f ca="1">IFERROR(__xludf.DUMMYFUNCTION("""COMPUTED_VALUE"""),"Clínica")</f>
        <v>Clínica</v>
      </c>
      <c r="I1" s="29" t="str">
        <f ca="1">IFERROR(__xludf.DUMMYFUNCTION("""COMPUTED_VALUE"""),"CÓDIGO DE CLIENTE")</f>
        <v>CÓDIGO DE CLIENTE</v>
      </c>
      <c r="J1" s="29" t="str">
        <f ca="1">IFERROR(__xludf.DUMMYFUNCTION("""COMPUTED_VALUE"""),"CLIENTE")</f>
        <v>CLIENTE</v>
      </c>
      <c r="K1" s="29" t="str">
        <f ca="1">IFERROR(__xludf.DUMMYFUNCTION("""COMPUTED_VALUE"""),"NUM AUDIFONOS")</f>
        <v>NUM AUDIFONOS</v>
      </c>
      <c r="L1" s="29" t="str">
        <f ca="1">IFERROR(__xludf.DUMMYFUNCTION("""COMPUTED_VALUE"""),"TOTAL AUDIFONOS SIN IVA")</f>
        <v>TOTAL AUDIFONOS SIN IVA</v>
      </c>
      <c r="M1" s="29" t="str">
        <f ca="1">IFERROR(__xludf.DUMMYFUNCTION("""COMPUTED_VALUE"""),"CANAL")</f>
        <v>CANAL</v>
      </c>
      <c r="N1" s="29" t="str">
        <f ca="1">IFERROR(__xludf.DUMMYFUNCTION("""COMPUTED_VALUE"""),"SUBCANAL")</f>
        <v>SUBCANAL</v>
      </c>
      <c r="O1" s="30" t="str">
        <f ca="1">IFERROR(__xludf.DUMMYFUNCTION("""COMPUTED_VALUE"""),"NOMBRE ORL/CAMPAÑA")</f>
        <v>NOMBRE ORL/CAMPAÑA</v>
      </c>
      <c r="P1" s="29" t="str">
        <f ca="1">IFERROR(__xludf.DUMMYFUNCTION("""COMPUTED_VALUE"""),"NOMBRE VISITADOR")</f>
        <v>NOMBRE VISITADOR</v>
      </c>
      <c r="Q1" s="31" t="s">
        <v>316</v>
      </c>
      <c r="R1" s="31" t="s">
        <v>316</v>
      </c>
      <c r="S1" s="31" t="s">
        <v>316</v>
      </c>
      <c r="T1" s="31" t="s">
        <v>316</v>
      </c>
      <c r="U1" s="31" t="s">
        <v>316</v>
      </c>
      <c r="V1" s="31" t="s">
        <v>316</v>
      </c>
      <c r="W1" s="31" t="s">
        <v>316</v>
      </c>
      <c r="X1" s="31" t="s">
        <v>316</v>
      </c>
      <c r="Y1" s="31" t="s">
        <v>316</v>
      </c>
      <c r="Z1" s="31" t="s">
        <v>316</v>
      </c>
      <c r="AA1" s="31" t="s">
        <v>316</v>
      </c>
    </row>
    <row r="2" spans="1:27">
      <c r="A2" s="32">
        <v>46024</v>
      </c>
      <c r="B2" s="6">
        <f ca="1">IFERROR(__xludf.DUMMYFUNCTION("""COMPUTED_VALUE"""),2025)</f>
        <v>2025</v>
      </c>
      <c r="C2" s="6">
        <f ca="1">IFERROR(__xludf.DUMMYFUNCTION("""COMPUTED_VALUE"""),1)</f>
        <v>1</v>
      </c>
      <c r="D2" s="6" t="str">
        <f ca="1">IFERROR(__xludf.DUMMYFUNCTION("""COMPUTED_VALUE"""),"NO")</f>
        <v>NO</v>
      </c>
      <c r="E2" s="6" t="str">
        <f ca="1">IFERROR(__xludf.DUMMYFUNCTION("""COMPUTED_VALUE"""),"Getafe")</f>
        <v>Getafe</v>
      </c>
      <c r="F2" s="16">
        <f ca="1">IFERROR(__xludf.DUMMYFUNCTION("""COMPUTED_VALUE"""),45687)</f>
        <v>45687</v>
      </c>
      <c r="G2" s="16">
        <f ca="1">IFERROR(__xludf.DUMMYFUNCTION("""COMPUTED_VALUE"""),45538)</f>
        <v>45538</v>
      </c>
      <c r="H2" s="6" t="str">
        <f ca="1">IFERROR(__xludf.DUMMYFUNCTION("""COMPUTED_VALUE"""),"Getafe")</f>
        <v>Getafe</v>
      </c>
      <c r="I2" s="6" t="str">
        <f ca="1">IFERROR(__xludf.DUMMYFUNCTION("""COMPUTED_VALUE"""),"C2024911171942450")</f>
        <v>C2024911171942450</v>
      </c>
      <c r="J2" s="6" t="str">
        <f ca="1">IFERROR(__xludf.DUMMYFUNCTION("""COMPUTED_VALUE"""),"MARIA CARRASCAL GARROTE")</f>
        <v>MARIA CARRASCAL GARROTE</v>
      </c>
      <c r="K2" s="6">
        <f ca="1">IFERROR(__xludf.DUMMYFUNCTION("""COMPUTED_VALUE"""),2)</f>
        <v>2</v>
      </c>
      <c r="L2" s="139">
        <f ca="1">IFERROR(__xludf.DUMMYFUNCTION("""COMPUTED_VALUE"""),0)</f>
        <v>0</v>
      </c>
      <c r="M2" s="6" t="str">
        <f ca="1">IFERROR(__xludf.DUMMYFUNCTION("""COMPUTED_VALUE"""),"03 ORL")</f>
        <v>03 ORL</v>
      </c>
      <c r="N2" s="6" t="str">
        <f ca="1">IFERROR(__xludf.DUMMYFUNCTION("""COMPUTED_VALUE"""),"06 ORL")</f>
        <v>06 ORL</v>
      </c>
      <c r="O2" s="6" t="str">
        <f ca="1">IFERROR(__xludf.DUMMYFUNCTION("""COMPUTED_VALUE"""),"Dra, María Garrote Garrote")</f>
        <v>Dra, María Garrote Garrote</v>
      </c>
      <c r="P2" s="6" t="str">
        <f ca="1">IFERROR(__xludf.DUMMYFUNCTION("""COMPUTED_VALUE"""),"Maika Blázquez (Madrid)")</f>
        <v>Maika Blázquez (Madrid)</v>
      </c>
    </row>
    <row r="3" spans="1:27">
      <c r="B3" s="6">
        <f ca="1">IFERROR(__xludf.DUMMYFUNCTION("""COMPUTED_VALUE"""),2025)</f>
        <v>2025</v>
      </c>
      <c r="C3" s="6">
        <f ca="1">IFERROR(__xludf.DUMMYFUNCTION("""COMPUTED_VALUE"""),1)</f>
        <v>1</v>
      </c>
      <c r="D3" s="6" t="str">
        <f ca="1">IFERROR(__xludf.DUMMYFUNCTION("""COMPUTED_VALUE"""),"NO")</f>
        <v>NO</v>
      </c>
      <c r="E3" s="6" t="str">
        <f ca="1">IFERROR(__xludf.DUMMYFUNCTION("""COMPUTED_VALUE"""),"Albacete")</f>
        <v>Albacete</v>
      </c>
      <c r="F3" s="16">
        <f ca="1">IFERROR(__xludf.DUMMYFUNCTION("""COMPUTED_VALUE"""),45681)</f>
        <v>45681</v>
      </c>
      <c r="G3" s="16">
        <f ca="1">IFERROR(__xludf.DUMMYFUNCTION("""COMPUTED_VALUE"""),45489)</f>
        <v>45489</v>
      </c>
      <c r="H3" s="6" t="str">
        <f ca="1">IFERROR(__xludf.DUMMYFUNCTION("""COMPUTED_VALUE"""),"Albacete")</f>
        <v>Albacete</v>
      </c>
      <c r="I3" s="6" t="str">
        <f ca="1">IFERROR(__xludf.DUMMYFUNCTION("""COMPUTED_VALUE"""),"ALB-914")</f>
        <v>ALB-914</v>
      </c>
      <c r="J3" s="6" t="str">
        <f ca="1">IFERROR(__xludf.DUMMYFUNCTION("""COMPUTED_VALUE"""),"FRANCISCA ROSA RODENAS")</f>
        <v>FRANCISCA ROSA RODENAS</v>
      </c>
      <c r="K3" s="6">
        <f ca="1">IFERROR(__xludf.DUMMYFUNCTION("""COMPUTED_VALUE"""),1)</f>
        <v>1</v>
      </c>
      <c r="L3" s="139">
        <f ca="1">IFERROR(__xludf.DUMMYFUNCTION("""COMPUTED_VALUE"""),2400)</f>
        <v>2400</v>
      </c>
      <c r="M3" s="6" t="str">
        <f ca="1">IFERROR(__xludf.DUMMYFUNCTION("""COMPUTED_VALUE"""),"03 ORL")</f>
        <v>03 ORL</v>
      </c>
      <c r="N3" s="6" t="str">
        <f ca="1">IFERROR(__xludf.DUMMYFUNCTION("""COMPUTED_VALUE"""),"06 ORL")</f>
        <v>06 ORL</v>
      </c>
      <c r="O3" s="6" t="str">
        <f ca="1">IFERROR(__xludf.DUMMYFUNCTION("""COMPUTED_VALUE"""),"Dr, Máximo Rafael García Rodríguez")</f>
        <v>Dr, Máximo Rafael García Rodríguez</v>
      </c>
      <c r="P3" s="6" t="str">
        <f ca="1">IFERROR(__xludf.DUMMYFUNCTION("""COMPUTED_VALUE"""),"Iván Sánchez (Levante Y Albacete)")</f>
        <v>Iván Sánchez (Levante Y Albacete)</v>
      </c>
    </row>
    <row r="4" spans="1:27">
      <c r="B4" s="6">
        <f ca="1">IFERROR(__xludf.DUMMYFUNCTION("""COMPUTED_VALUE"""),2025)</f>
        <v>2025</v>
      </c>
      <c r="C4" s="6">
        <f ca="1">IFERROR(__xludf.DUMMYFUNCTION("""COMPUTED_VALUE"""),1)</f>
        <v>1</v>
      </c>
      <c r="D4" s="6" t="str">
        <f ca="1">IFERROR(__xludf.DUMMYFUNCTION("""COMPUTED_VALUE"""),"NO")</f>
        <v>NO</v>
      </c>
      <c r="E4" s="6" t="str">
        <f ca="1">IFERROR(__xludf.DUMMYFUNCTION("""COMPUTED_VALUE"""),"Albacete")</f>
        <v>Albacete</v>
      </c>
      <c r="F4" s="16">
        <f ca="1">IFERROR(__xludf.DUMMYFUNCTION("""COMPUTED_VALUE"""),45685)</f>
        <v>45685</v>
      </c>
      <c r="G4" s="16">
        <f ca="1">IFERROR(__xludf.DUMMYFUNCTION("""COMPUTED_VALUE"""),45652)</f>
        <v>45652</v>
      </c>
      <c r="H4" s="6" t="str">
        <f ca="1">IFERROR(__xludf.DUMMYFUNCTION("""COMPUTED_VALUE"""),"Albacete")</f>
        <v>Albacete</v>
      </c>
      <c r="I4" s="6" t="str">
        <f ca="1">IFERROR(__xludf.DUMMYFUNCTION("""COMPUTED_VALUE"""),"C20241226115634963")</f>
        <v>C20241226115634963</v>
      </c>
      <c r="J4" s="6" t="str">
        <f ca="1">IFERROR(__xludf.DUMMYFUNCTION("""COMPUTED_VALUE"""),"NATIVIDAD CABALLERO PEREZ")</f>
        <v>NATIVIDAD CABALLERO PEREZ</v>
      </c>
      <c r="K4" s="6">
        <f ca="1">IFERROR(__xludf.DUMMYFUNCTION("""COMPUTED_VALUE"""),2)</f>
        <v>2</v>
      </c>
      <c r="L4" s="139">
        <f ca="1">IFERROR(__xludf.DUMMYFUNCTION("""COMPUTED_VALUE"""),4000)</f>
        <v>4000</v>
      </c>
      <c r="M4" s="6" t="str">
        <f ca="1">IFERROR(__xludf.DUMMYFUNCTION("""COMPUTED_VALUE"""),"03 ORL")</f>
        <v>03 ORL</v>
      </c>
      <c r="N4" s="6" t="str">
        <f ca="1">IFERROR(__xludf.DUMMYFUNCTION("""COMPUTED_VALUE"""),"06 ORL")</f>
        <v>06 ORL</v>
      </c>
      <c r="O4" s="6" t="str">
        <f ca="1">IFERROR(__xludf.DUMMYFUNCTION("""COMPUTED_VALUE"""),"Dr, Javier García-Dueñas González")</f>
        <v>Dr, Javier García-Dueñas González</v>
      </c>
      <c r="P4" s="6" t="str">
        <f ca="1">IFERROR(__xludf.DUMMYFUNCTION("""COMPUTED_VALUE"""),"Iván Sánchez (Levante Y Albacete)")</f>
        <v>Iván Sánchez (Levante Y Albacete)</v>
      </c>
    </row>
    <row r="5" spans="1:27">
      <c r="B5" s="6">
        <f ca="1">IFERROR(__xludf.DUMMYFUNCTION("""COMPUTED_VALUE"""),2025)</f>
        <v>2025</v>
      </c>
      <c r="C5" s="6">
        <f ca="1">IFERROR(__xludf.DUMMYFUNCTION("""COMPUTED_VALUE"""),1)</f>
        <v>1</v>
      </c>
      <c r="D5" s="6" t="str">
        <f ca="1">IFERROR(__xludf.DUMMYFUNCTION("""COMPUTED_VALUE"""),"NO")</f>
        <v>NO</v>
      </c>
      <c r="E5" s="6" t="str">
        <f ca="1">IFERROR(__xludf.DUMMYFUNCTION("""COMPUTED_VALUE"""),"Albacete")</f>
        <v>Albacete</v>
      </c>
      <c r="F5" s="16">
        <f ca="1">IFERROR(__xludf.DUMMYFUNCTION("""COMPUTED_VALUE"""),45688)</f>
        <v>45688</v>
      </c>
      <c r="G5" s="16">
        <f ca="1">IFERROR(__xludf.DUMMYFUNCTION("""COMPUTED_VALUE"""),45665)</f>
        <v>45665</v>
      </c>
      <c r="H5" s="6" t="str">
        <f ca="1">IFERROR(__xludf.DUMMYFUNCTION("""COMPUTED_VALUE"""),"Albacete")</f>
        <v>Albacete</v>
      </c>
      <c r="I5" s="6" t="str">
        <f ca="1">IFERROR(__xludf.DUMMYFUNCTION("""COMPUTED_VALUE"""),"C202511593537440")</f>
        <v>C202511593537440</v>
      </c>
      <c r="J5" s="6" t="str">
        <f ca="1">IFERROR(__xludf.DUMMYFUNCTION("""COMPUTED_VALUE"""),"RAFAEL  REQUENA BURGOS")</f>
        <v>RAFAEL  REQUENA BURGOS</v>
      </c>
      <c r="K5" s="6">
        <f ca="1">IFERROR(__xludf.DUMMYFUNCTION("""COMPUTED_VALUE"""),2)</f>
        <v>2</v>
      </c>
      <c r="L5" s="139">
        <f ca="1">IFERROR(__xludf.DUMMYFUNCTION("""COMPUTED_VALUE"""),4000)</f>
        <v>4000</v>
      </c>
      <c r="M5" s="6" t="str">
        <f ca="1">IFERROR(__xludf.DUMMYFUNCTION("""COMPUTED_VALUE"""),"03 ORL")</f>
        <v>03 ORL</v>
      </c>
      <c r="N5" s="6" t="str">
        <f ca="1">IFERROR(__xludf.DUMMYFUNCTION("""COMPUTED_VALUE"""),"06 ORL")</f>
        <v>06 ORL</v>
      </c>
      <c r="O5" s="6" t="str">
        <f ca="1">IFERROR(__xludf.DUMMYFUNCTION("""COMPUTED_VALUE"""),"Dr, Javier García-Dueñas González")</f>
        <v>Dr, Javier García-Dueñas González</v>
      </c>
      <c r="P5" s="6" t="str">
        <f ca="1">IFERROR(__xludf.DUMMYFUNCTION("""COMPUTED_VALUE"""),"Iván Sánchez (Levante Y Albacete)")</f>
        <v>Iván Sánchez (Levante Y Albacete)</v>
      </c>
    </row>
    <row r="6" spans="1:27">
      <c r="B6" s="6">
        <f ca="1">IFERROR(__xludf.DUMMYFUNCTION("""COMPUTED_VALUE"""),2025)</f>
        <v>2025</v>
      </c>
      <c r="C6" s="6">
        <f ca="1">IFERROR(__xludf.DUMMYFUNCTION("""COMPUTED_VALUE"""),1)</f>
        <v>1</v>
      </c>
      <c r="D6" s="6" t="str">
        <f ca="1">IFERROR(__xludf.DUMMYFUNCTION("""COMPUTED_VALUE"""),"NO")</f>
        <v>NO</v>
      </c>
      <c r="E6" s="6" t="str">
        <f ca="1">IFERROR(__xludf.DUMMYFUNCTION("""COMPUTED_VALUE"""),"Alcorcón")</f>
        <v>Alcorcón</v>
      </c>
      <c r="F6" s="16">
        <f ca="1">IFERROR(__xludf.DUMMYFUNCTION("""COMPUTED_VALUE"""),45686)</f>
        <v>45686</v>
      </c>
      <c r="G6" s="16">
        <f ca="1">IFERROR(__xludf.DUMMYFUNCTION("""COMPUTED_VALUE"""),45639)</f>
        <v>45639</v>
      </c>
      <c r="H6" s="6" t="str">
        <f ca="1">IFERROR(__xludf.DUMMYFUNCTION("""COMPUTED_VALUE"""),"Alcorcón")</f>
        <v>Alcorcón</v>
      </c>
      <c r="I6" s="6" t="str">
        <f ca="1">IFERROR(__xludf.DUMMYFUNCTION("""COMPUTED_VALUE"""),"C20241223113035124")</f>
        <v>C20241223113035124</v>
      </c>
      <c r="J6" s="6" t="str">
        <f ca="1">IFERROR(__xludf.DUMMYFUNCTION("""COMPUTED_VALUE"""),"AMADOR  VALENCIA ARIAS")</f>
        <v>AMADOR  VALENCIA ARIAS</v>
      </c>
      <c r="K6" s="6">
        <f ca="1">IFERROR(__xludf.DUMMYFUNCTION("""COMPUTED_VALUE"""),2)</f>
        <v>2</v>
      </c>
      <c r="L6" s="139">
        <f ca="1">IFERROR(__xludf.DUMMYFUNCTION("""COMPUTED_VALUE"""),4000)</f>
        <v>4000</v>
      </c>
      <c r="M6" s="6" t="str">
        <f ca="1">IFERROR(__xludf.DUMMYFUNCTION("""COMPUTED_VALUE"""),"03 ORL")</f>
        <v>03 ORL</v>
      </c>
      <c r="N6" s="6" t="str">
        <f ca="1">IFERROR(__xludf.DUMMYFUNCTION("""COMPUTED_VALUE"""),"06 ORL")</f>
        <v>06 ORL</v>
      </c>
      <c r="O6" s="6" t="str">
        <f ca="1">IFERROR(__xludf.DUMMYFUNCTION("""COMPUTED_VALUE"""),"Dr, Álvaro Sánchez Álvarez")</f>
        <v>Dr, Álvaro Sánchez Álvarez</v>
      </c>
      <c r="P6" s="6" t="str">
        <f ca="1">IFERROR(__xludf.DUMMYFUNCTION("""COMPUTED_VALUE"""),"Lisandro Russian (Madrid, Cáceres, Toledo, Talavera Y Logroño)")</f>
        <v>Lisandro Russian (Madrid, Cáceres, Toledo, Talavera Y Logroño)</v>
      </c>
    </row>
    <row r="7" spans="1:27">
      <c r="B7" s="6">
        <f ca="1">IFERROR(__xludf.DUMMYFUNCTION("""COMPUTED_VALUE"""),2025)</f>
        <v>2025</v>
      </c>
      <c r="C7" s="6">
        <f ca="1">IFERROR(__xludf.DUMMYFUNCTION("""COMPUTED_VALUE"""),1)</f>
        <v>1</v>
      </c>
      <c r="D7" s="6" t="str">
        <f ca="1">IFERROR(__xludf.DUMMYFUNCTION("""COMPUTED_VALUE"""),"NO")</f>
        <v>NO</v>
      </c>
      <c r="E7" s="6" t="str">
        <f ca="1">IFERROR(__xludf.DUMMYFUNCTION("""COMPUTED_VALUE"""),"El Albir (Benidorm)")</f>
        <v>El Albir (Benidorm)</v>
      </c>
      <c r="F7" s="16">
        <f ca="1">IFERROR(__xludf.DUMMYFUNCTION("""COMPUTED_VALUE"""),45685)</f>
        <v>45685</v>
      </c>
      <c r="G7" s="16">
        <f ca="1">IFERROR(__xludf.DUMMYFUNCTION("""COMPUTED_VALUE"""),45638)</f>
        <v>45638</v>
      </c>
      <c r="H7" s="6" t="str">
        <f ca="1">IFERROR(__xludf.DUMMYFUNCTION("""COMPUTED_VALUE"""),"El Albir (Benidorm)")</f>
        <v>El Albir (Benidorm)</v>
      </c>
      <c r="I7" s="6" t="str">
        <f ca="1">IFERROR(__xludf.DUMMYFUNCTION("""COMPUTED_VALUE"""),"C20241212162435193")</f>
        <v>C20241212162435193</v>
      </c>
      <c r="J7" s="6" t="str">
        <f ca="1">IFERROR(__xludf.DUMMYFUNCTION("""COMPUTED_VALUE"""),"ANTONIO JOSE RODRIGUEZ MANZANO")</f>
        <v>ANTONIO JOSE RODRIGUEZ MANZANO</v>
      </c>
      <c r="K7" s="6">
        <f ca="1">IFERROR(__xludf.DUMMYFUNCTION("""COMPUTED_VALUE"""),2)</f>
        <v>2</v>
      </c>
      <c r="L7" s="139">
        <f ca="1">IFERROR(__xludf.DUMMYFUNCTION("""COMPUTED_VALUE"""),2888.18)</f>
        <v>2888.18</v>
      </c>
      <c r="M7" s="6" t="str">
        <f ca="1">IFERROR(__xludf.DUMMYFUNCTION("""COMPUTED_VALUE"""),"02 MARKETING OFF LINE")</f>
        <v>02 MARKETING OFF LINE</v>
      </c>
      <c r="N7" s="6" t="str">
        <f ca="1">IFERROR(__xludf.DUMMYFUNCTION("""COMPUTED_VALUE"""),"18 ESCAPARATE")</f>
        <v>18 ESCAPARATE</v>
      </c>
      <c r="O7" s="6" t="str">
        <f ca="1">IFERROR(__xludf.DUMMYFUNCTION("""COMPUTED_VALUE"""),"Dr, Javier García-Dueñas González")</f>
        <v>Dr, Javier García-Dueñas González</v>
      </c>
      <c r="P7" s="6" t="str">
        <f ca="1">IFERROR(__xludf.DUMMYFUNCTION("""COMPUTED_VALUE"""),"Iván Sánchez (Levante Y Albacete)")</f>
        <v>Iván Sánchez (Levante Y Albacete)</v>
      </c>
    </row>
    <row r="8" spans="1:27">
      <c r="B8" s="1">
        <f ca="1">IFERROR(__xludf.DUMMYFUNCTION("""COMPUTED_VALUE"""),2025)</f>
        <v>2025</v>
      </c>
      <c r="C8" s="6">
        <f ca="1">IFERROR(__xludf.DUMMYFUNCTION("""COMPUTED_VALUE"""),1)</f>
        <v>1</v>
      </c>
      <c r="D8" s="6" t="str">
        <f ca="1">IFERROR(__xludf.DUMMYFUNCTION("""COMPUTED_VALUE"""),"NO")</f>
        <v>NO</v>
      </c>
      <c r="E8" s="6" t="str">
        <f ca="1">IFERROR(__xludf.DUMMYFUNCTION("""COMPUTED_VALUE"""),"El Albir (Benidorm)")</f>
        <v>El Albir (Benidorm)</v>
      </c>
      <c r="F8" s="16">
        <f ca="1">IFERROR(__xludf.DUMMYFUNCTION("""COMPUTED_VALUE"""),45672)</f>
        <v>45672</v>
      </c>
      <c r="G8" s="16">
        <f ca="1">IFERROR(__xludf.DUMMYFUNCTION("""COMPUTED_VALUE"""),45649)</f>
        <v>45649</v>
      </c>
      <c r="H8" s="6" t="str">
        <f ca="1">IFERROR(__xludf.DUMMYFUNCTION("""COMPUTED_VALUE"""),"El Albir (Benidorm)")</f>
        <v>El Albir (Benidorm)</v>
      </c>
      <c r="I8" s="6" t="str">
        <f ca="1">IFERROR(__xludf.DUMMYFUNCTION("""COMPUTED_VALUE"""),"C20241224102857904")</f>
        <v>C20241224102857904</v>
      </c>
      <c r="J8" s="6" t="str">
        <f ca="1">IFERROR(__xludf.DUMMYFUNCTION("""COMPUTED_VALUE"""),"DOMINGO  GALLEGO GARCIA")</f>
        <v>DOMINGO  GALLEGO GARCIA</v>
      </c>
      <c r="K8" s="6">
        <f ca="1">IFERROR(__xludf.DUMMYFUNCTION("""COMPUTED_VALUE"""),2)</f>
        <v>2</v>
      </c>
      <c r="L8" s="139">
        <f ca="1">IFERROR(__xludf.DUMMYFUNCTION("""COMPUTED_VALUE"""),4000)</f>
        <v>4000</v>
      </c>
      <c r="M8" s="6" t="str">
        <f ca="1">IFERROR(__xludf.DUMMYFUNCTION("""COMPUTED_VALUE"""),"03 ORL")</f>
        <v>03 ORL</v>
      </c>
      <c r="N8" s="6" t="str">
        <f ca="1">IFERROR(__xludf.DUMMYFUNCTION("""COMPUTED_VALUE"""),"06 ORL")</f>
        <v>06 ORL</v>
      </c>
      <c r="O8" s="6" t="str">
        <f ca="1">IFERROR(__xludf.DUMMYFUNCTION("""COMPUTED_VALUE"""),"Dra, Isabel Polo Tomás")</f>
        <v>Dra, Isabel Polo Tomás</v>
      </c>
      <c r="P8" s="6" t="str">
        <f ca="1">IFERROR(__xludf.DUMMYFUNCTION("""COMPUTED_VALUE"""),"Ramon Ferrando(Valencia)")</f>
        <v>Ramon Ferrando(Valencia)</v>
      </c>
    </row>
    <row r="9" spans="1:27">
      <c r="B9" s="6">
        <f ca="1">IFERROR(__xludf.DUMMYFUNCTION("""COMPUTED_VALUE"""),2025)</f>
        <v>2025</v>
      </c>
      <c r="C9" s="6">
        <f ca="1">IFERROR(__xludf.DUMMYFUNCTION("""COMPUTED_VALUE"""),1)</f>
        <v>1</v>
      </c>
      <c r="D9" s="6" t="str">
        <f ca="1">IFERROR(__xludf.DUMMYFUNCTION("""COMPUTED_VALUE"""),"NO")</f>
        <v>NO</v>
      </c>
      <c r="E9" s="6" t="str">
        <f ca="1">IFERROR(__xludf.DUMMYFUNCTION("""COMPUTED_VALUE"""),"El Albir (Benidorm)")</f>
        <v>El Albir (Benidorm)</v>
      </c>
      <c r="F9" s="16">
        <f ca="1">IFERROR(__xludf.DUMMYFUNCTION("""COMPUTED_VALUE"""),45687)</f>
        <v>45687</v>
      </c>
      <c r="G9" s="16">
        <f ca="1">IFERROR(__xludf.DUMMYFUNCTION("""COMPUTED_VALUE"""),45350)</f>
        <v>45350</v>
      </c>
      <c r="H9" s="6" t="str">
        <f ca="1">IFERROR(__xludf.DUMMYFUNCTION("""COMPUTED_VALUE"""),"El Albir (Benidorm)")</f>
        <v>El Albir (Benidorm)</v>
      </c>
      <c r="I9" s="6" t="str">
        <f ca="1">IFERROR(__xludf.DUMMYFUNCTION("""COMPUTED_VALUE"""),"BNI-149")</f>
        <v>BNI-149</v>
      </c>
      <c r="J9" s="6" t="str">
        <f ca="1">IFERROR(__xludf.DUMMYFUNCTION("""COMPUTED_VALUE"""),"PEDRO LLORET LLORET")</f>
        <v>PEDRO LLORET LLORET</v>
      </c>
      <c r="K9" s="6">
        <f ca="1">IFERROR(__xludf.DUMMYFUNCTION("""COMPUTED_VALUE"""),1)</f>
        <v>1</v>
      </c>
      <c r="L9" s="139">
        <f ca="1">IFERROR(__xludf.DUMMYFUNCTION("""COMPUTED_VALUE"""),1636.36)</f>
        <v>1636.36</v>
      </c>
      <c r="M9" s="6" t="str">
        <f ca="1">IFERROR(__xludf.DUMMYFUNCTION("""COMPUTED_VALUE"""),"03 ORL")</f>
        <v>03 ORL</v>
      </c>
      <c r="N9" s="6" t="str">
        <f ca="1">IFERROR(__xludf.DUMMYFUNCTION("""COMPUTED_VALUE"""),"06 ORL")</f>
        <v>06 ORL</v>
      </c>
      <c r="O9" s="6" t="str">
        <f ca="1">IFERROR(__xludf.DUMMYFUNCTION("""COMPUTED_VALUE"""),"Dra, Isabel Polo Tomás")</f>
        <v>Dra, Isabel Polo Tomás</v>
      </c>
      <c r="P9" s="6" t="str">
        <f ca="1">IFERROR(__xludf.DUMMYFUNCTION("""COMPUTED_VALUE"""),"Ramon Ferrando(Valencia)")</f>
        <v>Ramon Ferrando(Valencia)</v>
      </c>
    </row>
    <row r="10" spans="1:27">
      <c r="B10" s="6">
        <f ca="1">IFERROR(__xludf.DUMMYFUNCTION("""COMPUTED_VALUE"""),2025)</f>
        <v>2025</v>
      </c>
      <c r="C10" s="6">
        <f ca="1">IFERROR(__xludf.DUMMYFUNCTION("""COMPUTED_VALUE"""),1)</f>
        <v>1</v>
      </c>
      <c r="D10" s="6" t="str">
        <f ca="1">IFERROR(__xludf.DUMMYFUNCTION("""COMPUTED_VALUE"""),"NO")</f>
        <v>NO</v>
      </c>
      <c r="E10" s="6" t="str">
        <f ca="1">IFERROR(__xludf.DUMMYFUNCTION("""COMPUTED_VALUE"""),"El Albir (Benidorm)")</f>
        <v>El Albir (Benidorm)</v>
      </c>
      <c r="F10" s="16">
        <f ca="1">IFERROR(__xludf.DUMMYFUNCTION("""COMPUTED_VALUE"""),45677)</f>
        <v>45677</v>
      </c>
      <c r="G10" s="16">
        <f ca="1">IFERROR(__xludf.DUMMYFUNCTION("""COMPUTED_VALUE"""),45638)</f>
        <v>45638</v>
      </c>
      <c r="H10" s="6" t="str">
        <f ca="1">IFERROR(__xludf.DUMMYFUNCTION("""COMPUTED_VALUE"""),"El Albir (Benidorm)")</f>
        <v>El Albir (Benidorm)</v>
      </c>
      <c r="I10" s="6" t="str">
        <f ca="1">IFERROR(__xludf.DUMMYFUNCTION("""COMPUTED_VALUE"""),"C202412171800505")</f>
        <v>C202412171800505</v>
      </c>
      <c r="J10" s="6" t="str">
        <f ca="1">IFERROR(__xludf.DUMMYFUNCTION("""COMPUTED_VALUE"""),"PURIFICACION BOTELLA RONDA")</f>
        <v>PURIFICACION BOTELLA RONDA</v>
      </c>
      <c r="K10" s="6">
        <f ca="1">IFERROR(__xludf.DUMMYFUNCTION("""COMPUTED_VALUE"""),1)</f>
        <v>1</v>
      </c>
      <c r="L10" s="139">
        <f ca="1">IFERROR(__xludf.DUMMYFUNCTION("""COMPUTED_VALUE"""),2216.36)</f>
        <v>2216.36</v>
      </c>
      <c r="M10" s="6" t="str">
        <f ca="1">IFERROR(__xludf.DUMMYFUNCTION("""COMPUTED_VALUE"""),"03 ORL")</f>
        <v>03 ORL</v>
      </c>
      <c r="N10" s="6" t="str">
        <f ca="1">IFERROR(__xludf.DUMMYFUNCTION("""COMPUTED_VALUE"""),"06 ORL")</f>
        <v>06 ORL</v>
      </c>
      <c r="O10" s="6" t="str">
        <f ca="1">IFERROR(__xludf.DUMMYFUNCTION("""COMPUTED_VALUE"""),"Dr, Javier García-Dueñas González")</f>
        <v>Dr, Javier García-Dueñas González</v>
      </c>
      <c r="P10" s="6" t="str">
        <f ca="1">IFERROR(__xludf.DUMMYFUNCTION("""COMPUTED_VALUE"""),"Iván Sánchez (Levante Y Albacete)")</f>
        <v>Iván Sánchez (Levante Y Albacete)</v>
      </c>
    </row>
    <row r="11" spans="1:27">
      <c r="B11" s="6">
        <f ca="1">IFERROR(__xludf.DUMMYFUNCTION("""COMPUTED_VALUE"""),2025)</f>
        <v>2025</v>
      </c>
      <c r="C11" s="6">
        <f ca="1">IFERROR(__xludf.DUMMYFUNCTION("""COMPUTED_VALUE"""),1)</f>
        <v>1</v>
      </c>
      <c r="D11" s="6" t="str">
        <f ca="1">IFERROR(__xludf.DUMMYFUNCTION("""COMPUTED_VALUE"""),"NO")</f>
        <v>NO</v>
      </c>
      <c r="E11" s="6" t="str">
        <f ca="1">IFERROR(__xludf.DUMMYFUNCTION("""COMPUTED_VALUE"""),"Alicante")</f>
        <v>Alicante</v>
      </c>
      <c r="F11" s="16">
        <f ca="1">IFERROR(__xludf.DUMMYFUNCTION("""COMPUTED_VALUE"""),45684)</f>
        <v>45684</v>
      </c>
      <c r="G11" s="16">
        <f ca="1">IFERROR(__xludf.DUMMYFUNCTION("""COMPUTED_VALUE"""),45636)</f>
        <v>45636</v>
      </c>
      <c r="H11" s="6" t="str">
        <f ca="1">IFERROR(__xludf.DUMMYFUNCTION("""COMPUTED_VALUE"""),"Alicante")</f>
        <v>Alicante</v>
      </c>
      <c r="I11" s="6" t="str">
        <f ca="1">IFERROR(__xludf.DUMMYFUNCTION("""COMPUTED_VALUE"""),"C2024122392712129")</f>
        <v>C2024122392712129</v>
      </c>
      <c r="J11" s="6" t="str">
        <f ca="1">IFERROR(__xludf.DUMMYFUNCTION("""COMPUTED_VALUE"""),"BEATRIZ  RODRIGUEZ JARABO")</f>
        <v>BEATRIZ  RODRIGUEZ JARABO</v>
      </c>
      <c r="K11" s="6">
        <f ca="1">IFERROR(__xludf.DUMMYFUNCTION("""COMPUTED_VALUE"""),2)</f>
        <v>2</v>
      </c>
      <c r="L11" s="139">
        <f ca="1">IFERROR(__xludf.DUMMYFUNCTION("""COMPUTED_VALUE"""),3710)</f>
        <v>3710</v>
      </c>
      <c r="M11" s="6" t="str">
        <f ca="1">IFERROR(__xludf.DUMMYFUNCTION("""COMPUTED_VALUE"""),"04 TIENDA")</f>
        <v>04 TIENDA</v>
      </c>
      <c r="N11" s="6" t="str">
        <f ca="1">IFERROR(__xludf.DUMMYFUNCTION("""COMPUTED_VALUE"""),"07 BOCA/BOCA")</f>
        <v>07 BOCA/BOCA</v>
      </c>
      <c r="O11" s="6" t="str">
        <f ca="1">IFERROR(__xludf.DUMMYFUNCTION("""COMPUTED_VALUE"""),"Dr, Javier García-Dueñas González")</f>
        <v>Dr, Javier García-Dueñas González</v>
      </c>
      <c r="P11" s="6" t="str">
        <f ca="1">IFERROR(__xludf.DUMMYFUNCTION("""COMPUTED_VALUE"""),"Iván Sánchez (Levante Y Albacete)")</f>
        <v>Iván Sánchez (Levante Y Albacete)</v>
      </c>
    </row>
    <row r="12" spans="1:27">
      <c r="B12" s="6">
        <f ca="1">IFERROR(__xludf.DUMMYFUNCTION("""COMPUTED_VALUE"""),2025)</f>
        <v>2025</v>
      </c>
      <c r="C12" s="1">
        <f ca="1">IFERROR(__xludf.DUMMYFUNCTION("""COMPUTED_VALUE"""),1)</f>
        <v>1</v>
      </c>
      <c r="D12" s="1" t="str">
        <f ca="1">IFERROR(__xludf.DUMMYFUNCTION("""COMPUTED_VALUE"""),"NO")</f>
        <v>NO</v>
      </c>
      <c r="E12" s="6" t="str">
        <f ca="1">IFERROR(__xludf.DUMMYFUNCTION("""COMPUTED_VALUE"""),"Alicante")</f>
        <v>Alicante</v>
      </c>
      <c r="F12" s="16">
        <f ca="1">IFERROR(__xludf.DUMMYFUNCTION("""COMPUTED_VALUE"""),45684)</f>
        <v>45684</v>
      </c>
      <c r="G12" s="16">
        <f ca="1">IFERROR(__xludf.DUMMYFUNCTION("""COMPUTED_VALUE"""),45660)</f>
        <v>45660</v>
      </c>
      <c r="H12" s="6" t="str">
        <f ca="1">IFERROR(__xludf.DUMMYFUNCTION("""COMPUTED_VALUE"""),"Alicante")</f>
        <v>Alicante</v>
      </c>
      <c r="I12" s="6" t="str">
        <f ca="1">IFERROR(__xludf.DUMMYFUNCTION("""COMPUTED_VALUE"""),"C20251911456805")</f>
        <v>C20251911456805</v>
      </c>
      <c r="J12" s="6" t="str">
        <f ca="1">IFERROR(__xludf.DUMMYFUNCTION("""COMPUTED_VALUE"""),"EDUARDO PASTOR PLANELLES")</f>
        <v>EDUARDO PASTOR PLANELLES</v>
      </c>
      <c r="K12" s="6">
        <f ca="1">IFERROR(__xludf.DUMMYFUNCTION("""COMPUTED_VALUE"""),2)</f>
        <v>2</v>
      </c>
      <c r="L12" s="139">
        <f ca="1">IFERROR(__xludf.DUMMYFUNCTION("""COMPUTED_VALUE"""),4180)</f>
        <v>4180</v>
      </c>
      <c r="M12" s="6" t="str">
        <f ca="1">IFERROR(__xludf.DUMMYFUNCTION("""COMPUTED_VALUE"""),"01 MARKETING ON LINE")</f>
        <v>01 MARKETING ON LINE</v>
      </c>
      <c r="N12" s="6" t="str">
        <f ca="1">IFERROR(__xludf.DUMMYFUNCTION("""COMPUTED_VALUE"""),"01 WEB AUDICOST")</f>
        <v>01 WEB AUDICOST</v>
      </c>
      <c r="O12" s="6" t="str">
        <f ca="1">IFERROR(__xludf.DUMMYFUNCTION("""COMPUTED_VALUE"""),"Dr, Javier García-Dueñas González")</f>
        <v>Dr, Javier García-Dueñas González</v>
      </c>
      <c r="P12" s="6" t="str">
        <f ca="1">IFERROR(__xludf.DUMMYFUNCTION("""COMPUTED_VALUE"""),"Iván Sánchez (Levante Y Albacete)")</f>
        <v>Iván Sánchez (Levante Y Albacete)</v>
      </c>
    </row>
    <row r="13" spans="1:27">
      <c r="B13" s="6">
        <f ca="1">IFERROR(__xludf.DUMMYFUNCTION("""COMPUTED_VALUE"""),2025)</f>
        <v>2025</v>
      </c>
      <c r="C13" s="6">
        <f ca="1">IFERROR(__xludf.DUMMYFUNCTION("""COMPUTED_VALUE"""),1)</f>
        <v>1</v>
      </c>
      <c r="D13" s="6" t="str">
        <f ca="1">IFERROR(__xludf.DUMMYFUNCTION("""COMPUTED_VALUE"""),"NO")</f>
        <v>NO</v>
      </c>
      <c r="E13" s="6" t="str">
        <f ca="1">IFERROR(__xludf.DUMMYFUNCTION("""COMPUTED_VALUE"""),"Alicante")</f>
        <v>Alicante</v>
      </c>
      <c r="F13" s="16">
        <f ca="1">IFERROR(__xludf.DUMMYFUNCTION("""COMPUTED_VALUE"""),45660)</f>
        <v>45660</v>
      </c>
      <c r="G13" s="16">
        <f ca="1">IFERROR(__xludf.DUMMYFUNCTION("""COMPUTED_VALUE"""),45623)</f>
        <v>45623</v>
      </c>
      <c r="H13" s="6" t="str">
        <f ca="1">IFERROR(__xludf.DUMMYFUNCTION("""COMPUTED_VALUE"""),"Alicante")</f>
        <v>Alicante</v>
      </c>
      <c r="I13" s="6" t="str">
        <f ca="1">IFERROR(__xludf.DUMMYFUNCTION("""COMPUTED_VALUE"""),"C20241129151443198")</f>
        <v>C20241129151443198</v>
      </c>
      <c r="J13" s="6" t="str">
        <f ca="1">IFERROR(__xludf.DUMMYFUNCTION("""COMPUTED_VALUE"""),"ELIZABETH GAFFNEY")</f>
        <v>ELIZABETH GAFFNEY</v>
      </c>
      <c r="K13" s="6">
        <f ca="1">IFERROR(__xludf.DUMMYFUNCTION("""COMPUTED_VALUE"""),2)</f>
        <v>2</v>
      </c>
      <c r="L13" s="139">
        <f ca="1">IFERROR(__xludf.DUMMYFUNCTION("""COMPUTED_VALUE"""),3710)</f>
        <v>3710</v>
      </c>
      <c r="M13" s="6" t="str">
        <f ca="1">IFERROR(__xludf.DUMMYFUNCTION("""COMPUTED_VALUE"""),"03 ORL")</f>
        <v>03 ORL</v>
      </c>
      <c r="N13" s="6" t="str">
        <f ca="1">IFERROR(__xludf.DUMMYFUNCTION("""COMPUTED_VALUE"""),"06 ORL")</f>
        <v>06 ORL</v>
      </c>
      <c r="O13" s="6" t="str">
        <f ca="1">IFERROR(__xludf.DUMMYFUNCTION("""COMPUTED_VALUE"""),"Dr, Javier García-Dueñas González")</f>
        <v>Dr, Javier García-Dueñas González</v>
      </c>
      <c r="P13" s="6" t="str">
        <f ca="1">IFERROR(__xludf.DUMMYFUNCTION("""COMPUTED_VALUE"""),"Iván Sánchez (Levante Y Albacete)")</f>
        <v>Iván Sánchez (Levante Y Albacete)</v>
      </c>
    </row>
    <row r="14" spans="1:27">
      <c r="B14" s="6">
        <f ca="1">IFERROR(__xludf.DUMMYFUNCTION("""COMPUTED_VALUE"""),2025)</f>
        <v>2025</v>
      </c>
      <c r="C14" s="6">
        <f ca="1">IFERROR(__xludf.DUMMYFUNCTION("""COMPUTED_VALUE"""),1)</f>
        <v>1</v>
      </c>
      <c r="D14" s="6" t="str">
        <f ca="1">IFERROR(__xludf.DUMMYFUNCTION("""COMPUTED_VALUE"""),"NO")</f>
        <v>NO</v>
      </c>
      <c r="E14" s="6" t="str">
        <f ca="1">IFERROR(__xludf.DUMMYFUNCTION("""COMPUTED_VALUE"""),"Alicante")</f>
        <v>Alicante</v>
      </c>
      <c r="F14" s="16">
        <f ca="1">IFERROR(__xludf.DUMMYFUNCTION("""COMPUTED_VALUE"""),45684)</f>
        <v>45684</v>
      </c>
      <c r="G14" s="16">
        <f ca="1">IFERROR(__xludf.DUMMYFUNCTION("""COMPUTED_VALUE"""),45517)</f>
        <v>45517</v>
      </c>
      <c r="H14" s="6" t="str">
        <f ca="1">IFERROR(__xludf.DUMMYFUNCTION("""COMPUTED_VALUE"""),"Alicante")</f>
        <v>Alicante</v>
      </c>
      <c r="I14" s="6" t="str">
        <f ca="1">IFERROR(__xludf.DUMMYFUNCTION("""COMPUTED_VALUE"""),"C20251918555876")</f>
        <v>C20251918555876</v>
      </c>
      <c r="J14" s="6" t="str">
        <f ca="1">IFERROR(__xludf.DUMMYFUNCTION("""COMPUTED_VALUE"""),"JOSE FRANCISCO RICO PERTUSA")</f>
        <v>JOSE FRANCISCO RICO PERTUSA</v>
      </c>
      <c r="K14" s="6">
        <f ca="1">IFERROR(__xludf.DUMMYFUNCTION("""COMPUTED_VALUE"""),2)</f>
        <v>2</v>
      </c>
      <c r="L14" s="139">
        <f ca="1">IFERROR(__xludf.DUMMYFUNCTION("""COMPUTED_VALUE"""),2888.18)</f>
        <v>2888.18</v>
      </c>
      <c r="M14" s="6" t="str">
        <f ca="1">IFERROR(__xludf.DUMMYFUNCTION("""COMPUTED_VALUE"""),"01 MARKETING ON LINE")</f>
        <v>01 MARKETING ON LINE</v>
      </c>
      <c r="N14" s="6" t="str">
        <f ca="1">IFERROR(__xludf.DUMMYFUNCTION("""COMPUTED_VALUE"""),"04 AUDIFONO,ES")</f>
        <v>04 AUDIFONO,ES</v>
      </c>
      <c r="O14" s="6" t="str">
        <f ca="1">IFERROR(__xludf.DUMMYFUNCTION("""COMPUTED_VALUE"""),"Dr, Javier García-Dueñas González")</f>
        <v>Dr, Javier García-Dueñas González</v>
      </c>
      <c r="P14" s="6" t="str">
        <f ca="1">IFERROR(__xludf.DUMMYFUNCTION("""COMPUTED_VALUE"""),"Iván Sánchez (Levante Y Albacete)")</f>
        <v>Iván Sánchez (Levante Y Albacete)</v>
      </c>
    </row>
    <row r="15" spans="1:27">
      <c r="B15" s="6">
        <f ca="1">IFERROR(__xludf.DUMMYFUNCTION("""COMPUTED_VALUE"""),2025)</f>
        <v>2025</v>
      </c>
      <c r="C15" s="6">
        <f ca="1">IFERROR(__xludf.DUMMYFUNCTION("""COMPUTED_VALUE"""),1)</f>
        <v>1</v>
      </c>
      <c r="D15" s="1" t="str">
        <f ca="1">IFERROR(__xludf.DUMMYFUNCTION("""COMPUTED_VALUE"""),"NO")</f>
        <v>NO</v>
      </c>
      <c r="E15" s="6" t="str">
        <f ca="1">IFERROR(__xludf.DUMMYFUNCTION("""COMPUTED_VALUE"""),"Alicante")</f>
        <v>Alicante</v>
      </c>
      <c r="F15" s="16">
        <f ca="1">IFERROR(__xludf.DUMMYFUNCTION("""COMPUTED_VALUE"""),45685)</f>
        <v>45685</v>
      </c>
      <c r="G15" s="16">
        <f ca="1">IFERROR(__xludf.DUMMYFUNCTION("""COMPUTED_VALUE"""),45672)</f>
        <v>45672</v>
      </c>
      <c r="H15" s="6" t="str">
        <f ca="1">IFERROR(__xludf.DUMMYFUNCTION("""COMPUTED_VALUE"""),"Alicante")</f>
        <v>Alicante</v>
      </c>
      <c r="I15" s="6" t="str">
        <f ca="1">IFERROR(__xludf.DUMMYFUNCTION("""COMPUTED_VALUE"""),"C202511618016871")</f>
        <v>C202511618016871</v>
      </c>
      <c r="J15" s="6" t="str">
        <f ca="1">IFERROR(__xludf.DUMMYFUNCTION("""COMPUTED_VALUE"""),"LUIS GONZÁLEZ GÓMEZ")</f>
        <v>LUIS GONZÁLEZ GÓMEZ</v>
      </c>
      <c r="K15" s="6">
        <f ca="1">IFERROR(__xludf.DUMMYFUNCTION("""COMPUTED_VALUE"""),2)</f>
        <v>2</v>
      </c>
      <c r="L15" s="139">
        <f ca="1">IFERROR(__xludf.DUMMYFUNCTION("""COMPUTED_VALUE"""),4000)</f>
        <v>4000</v>
      </c>
      <c r="M15" s="6" t="str">
        <f ca="1">IFERROR(__xludf.DUMMYFUNCTION("""COMPUTED_VALUE"""),"03 ORL")</f>
        <v>03 ORL</v>
      </c>
      <c r="N15" s="6" t="str">
        <f ca="1">IFERROR(__xludf.DUMMYFUNCTION("""COMPUTED_VALUE"""),"06 ORL")</f>
        <v>06 ORL</v>
      </c>
      <c r="O15" s="6" t="str">
        <f ca="1">IFERROR(__xludf.DUMMYFUNCTION("""COMPUTED_VALUE"""),"Dra, Maria Rosario Ferrandiz García")</f>
        <v>Dra, Maria Rosario Ferrandiz García</v>
      </c>
      <c r="P15" s="6" t="str">
        <f ca="1">IFERROR(__xludf.DUMMYFUNCTION("""COMPUTED_VALUE"""),"Iván Sánchez (Levante Y Albacete)")</f>
        <v>Iván Sánchez (Levante Y Albacete)</v>
      </c>
    </row>
    <row r="16" spans="1:27">
      <c r="B16" s="6">
        <f ca="1">IFERROR(__xludf.DUMMYFUNCTION("""COMPUTED_VALUE"""),2025)</f>
        <v>2025</v>
      </c>
      <c r="C16" s="6">
        <f ca="1">IFERROR(__xludf.DUMMYFUNCTION("""COMPUTED_VALUE"""),1)</f>
        <v>1</v>
      </c>
      <c r="D16" s="6" t="str">
        <f ca="1">IFERROR(__xludf.DUMMYFUNCTION("""COMPUTED_VALUE"""),"NO")</f>
        <v>NO</v>
      </c>
      <c r="E16" s="6" t="str">
        <f ca="1">IFERROR(__xludf.DUMMYFUNCTION("""COMPUTED_VALUE"""),"Alicante")</f>
        <v>Alicante</v>
      </c>
      <c r="F16" s="16">
        <f ca="1">IFERROR(__xludf.DUMMYFUNCTION("""COMPUTED_VALUE"""),45686)</f>
        <v>45686</v>
      </c>
      <c r="G16" s="16">
        <f ca="1">IFERROR(__xludf.DUMMYFUNCTION("""COMPUTED_VALUE"""),45644)</f>
        <v>45644</v>
      </c>
      <c r="H16" s="6" t="str">
        <f ca="1">IFERROR(__xludf.DUMMYFUNCTION("""COMPUTED_VALUE"""),"Alicante")</f>
        <v>Alicante</v>
      </c>
      <c r="I16" s="6" t="str">
        <f ca="1">IFERROR(__xludf.DUMMYFUNCTION("""COMPUTED_VALUE"""),"C202517113610311")</f>
        <v>C202517113610311</v>
      </c>
      <c r="J16" s="6" t="str">
        <f ca="1">IFERROR(__xludf.DUMMYFUNCTION("""COMPUTED_VALUE"""),"MARIA MARTINEZ VACA")</f>
        <v>MARIA MARTINEZ VACA</v>
      </c>
      <c r="K16" s="6">
        <f ca="1">IFERROR(__xludf.DUMMYFUNCTION("""COMPUTED_VALUE"""),2)</f>
        <v>2</v>
      </c>
      <c r="L16" s="139">
        <f ca="1">IFERROR(__xludf.DUMMYFUNCTION("""COMPUTED_VALUE"""),3095.45)</f>
        <v>3095.45</v>
      </c>
      <c r="M16" s="6" t="str">
        <f ca="1">IFERROR(__xludf.DUMMYFUNCTION("""COMPUTED_VALUE"""),"03 ORL")</f>
        <v>03 ORL</v>
      </c>
      <c r="N16" s="6" t="str">
        <f ca="1">IFERROR(__xludf.DUMMYFUNCTION("""COMPUTED_VALUE"""),"06 ORL")</f>
        <v>06 ORL</v>
      </c>
      <c r="O16" s="6" t="str">
        <f ca="1">IFERROR(__xludf.DUMMYFUNCTION("""COMPUTED_VALUE"""),"Dra, Irene Monjas Canovas")</f>
        <v>Dra, Irene Monjas Canovas</v>
      </c>
      <c r="P16" s="6" t="str">
        <f ca="1">IFERROR(__xludf.DUMMYFUNCTION("""COMPUTED_VALUE"""),"Iván Sánchez (Levante Y Albacete)")</f>
        <v>Iván Sánchez (Levante Y Albacete)</v>
      </c>
    </row>
    <row r="17" spans="2:16">
      <c r="B17" s="6">
        <f ca="1">IFERROR(__xludf.DUMMYFUNCTION("""COMPUTED_VALUE"""),2025)</f>
        <v>2025</v>
      </c>
      <c r="C17" s="6">
        <f ca="1">IFERROR(__xludf.DUMMYFUNCTION("""COMPUTED_VALUE"""),1)</f>
        <v>1</v>
      </c>
      <c r="D17" s="6" t="str">
        <f ca="1">IFERROR(__xludf.DUMMYFUNCTION("""COMPUTED_VALUE"""),"NO")</f>
        <v>NO</v>
      </c>
      <c r="E17" s="6" t="str">
        <f ca="1">IFERROR(__xludf.DUMMYFUNCTION("""COMPUTED_VALUE"""),"Barcelona- Fabra i Puig")</f>
        <v>Barcelona- Fabra i Puig</v>
      </c>
      <c r="F17" s="16">
        <f ca="1">IFERROR(__xludf.DUMMYFUNCTION("""COMPUTED_VALUE"""),45664)</f>
        <v>45664</v>
      </c>
      <c r="G17" s="16">
        <f ca="1">IFERROR(__xludf.DUMMYFUNCTION("""COMPUTED_VALUE"""),45572)</f>
        <v>45572</v>
      </c>
      <c r="H17" s="6" t="str">
        <f ca="1">IFERROR(__xludf.DUMMYFUNCTION("""COMPUTED_VALUE"""),"Fabra")</f>
        <v>Fabra</v>
      </c>
      <c r="I17" s="6" t="str">
        <f ca="1">IFERROR(__xludf.DUMMYFUNCTION("""COMPUTED_VALUE"""),"C2024101618522907")</f>
        <v>C2024101618522907</v>
      </c>
      <c r="J17" s="6" t="str">
        <f ca="1">IFERROR(__xludf.DUMMYFUNCTION("""COMPUTED_VALUE"""),"CARMEN LOPEZ MARTINEZ")</f>
        <v>CARMEN LOPEZ MARTINEZ</v>
      </c>
      <c r="K17" s="6">
        <f ca="1">IFERROR(__xludf.DUMMYFUNCTION("""COMPUTED_VALUE"""),1)</f>
        <v>1</v>
      </c>
      <c r="L17" s="139">
        <f ca="1">IFERROR(__xludf.DUMMYFUNCTION("""COMPUTED_VALUE"""),2280)</f>
        <v>2280</v>
      </c>
      <c r="M17" s="6" t="str">
        <f ca="1">IFERROR(__xludf.DUMMYFUNCTION("""COMPUTED_VALUE"""),"03 ORL")</f>
        <v>03 ORL</v>
      </c>
      <c r="N17" s="6" t="str">
        <f ca="1">IFERROR(__xludf.DUMMYFUNCTION("""COMPUTED_VALUE"""),"06 ORL")</f>
        <v>06 ORL</v>
      </c>
      <c r="O17" s="6" t="str">
        <f ca="1">IFERROR(__xludf.DUMMYFUNCTION("""COMPUTED_VALUE"""),"Dr, Evians Gómez De La Rosa")</f>
        <v>Dr, Evians Gómez De La Rosa</v>
      </c>
      <c r="P17" s="6" t="str">
        <f ca="1">IFERROR(__xludf.DUMMYFUNCTION("""COMPUTED_VALUE"""),"Mercè Cabrera (Cataluña Y Baleares)")</f>
        <v>Mercè Cabrera (Cataluña Y Baleares)</v>
      </c>
    </row>
    <row r="18" spans="2:16">
      <c r="B18" s="6">
        <f ca="1">IFERROR(__xludf.DUMMYFUNCTION("""COMPUTED_VALUE"""),2025)</f>
        <v>2025</v>
      </c>
      <c r="C18" s="6">
        <f ca="1">IFERROR(__xludf.DUMMYFUNCTION("""COMPUTED_VALUE"""),1)</f>
        <v>1</v>
      </c>
      <c r="D18" s="6" t="str">
        <f ca="1">IFERROR(__xludf.DUMMYFUNCTION("""COMPUTED_VALUE"""),"NO")</f>
        <v>NO</v>
      </c>
      <c r="E18" s="6" t="str">
        <f ca="1">IFERROR(__xludf.DUMMYFUNCTION("""COMPUTED_VALUE"""),"Fuenlabrada")</f>
        <v>Fuenlabrada</v>
      </c>
      <c r="F18" s="16">
        <f ca="1">IFERROR(__xludf.DUMMYFUNCTION("""COMPUTED_VALUE"""),45685)</f>
        <v>45685</v>
      </c>
      <c r="G18" s="16">
        <f ca="1">IFERROR(__xludf.DUMMYFUNCTION("""COMPUTED_VALUE"""),45604)</f>
        <v>45604</v>
      </c>
      <c r="H18" s="6" t="str">
        <f ca="1">IFERROR(__xludf.DUMMYFUNCTION("""COMPUTED_VALUE"""),"Fuenlabrada")</f>
        <v>Fuenlabrada</v>
      </c>
      <c r="I18" s="6" t="str">
        <f ca="1">IFERROR(__xludf.DUMMYFUNCTION("""COMPUTED_VALUE"""),"C20241111114353920")</f>
        <v>C20241111114353920</v>
      </c>
      <c r="J18" s="6" t="str">
        <f ca="1">IFERROR(__xludf.DUMMYFUNCTION("""COMPUTED_VALUE"""),"BERNARDINO MACHUCA GARRIDO")</f>
        <v>BERNARDINO MACHUCA GARRIDO</v>
      </c>
      <c r="K18" s="6">
        <f ca="1">IFERROR(__xludf.DUMMYFUNCTION("""COMPUTED_VALUE"""),1)</f>
        <v>1</v>
      </c>
      <c r="L18" s="139">
        <f ca="1">IFERROR(__xludf.DUMMYFUNCTION("""COMPUTED_VALUE"""),2640)</f>
        <v>2640</v>
      </c>
      <c r="M18" s="6" t="str">
        <f ca="1">IFERROR(__xludf.DUMMYFUNCTION("""COMPUTED_VALUE"""),"03 ORL")</f>
        <v>03 ORL</v>
      </c>
      <c r="N18" s="6" t="str">
        <f ca="1">IFERROR(__xludf.DUMMYFUNCTION("""COMPUTED_VALUE"""),"22 AUDIOMETRIA CLINICA")</f>
        <v>22 AUDIOMETRIA CLINICA</v>
      </c>
      <c r="O18" s="6" t="str">
        <f ca="1">IFERROR(__xludf.DUMMYFUNCTION("""COMPUTED_VALUE"""),"Dr, Adolfo Toledano Muñoz")</f>
        <v>Dr, Adolfo Toledano Muñoz</v>
      </c>
      <c r="P18" s="6" t="str">
        <f ca="1">IFERROR(__xludf.DUMMYFUNCTION("""COMPUTED_VALUE"""),"Maika Blázquez (Madrid)")</f>
        <v>Maika Blázquez (Madrid)</v>
      </c>
    </row>
    <row r="19" spans="2:16">
      <c r="B19" s="6">
        <f ca="1">IFERROR(__xludf.DUMMYFUNCTION("""COMPUTED_VALUE"""),2025)</f>
        <v>2025</v>
      </c>
      <c r="C19" s="6">
        <f ca="1">IFERROR(__xludf.DUMMYFUNCTION("""COMPUTED_VALUE"""),1)</f>
        <v>1</v>
      </c>
      <c r="D19" s="6" t="str">
        <f ca="1">IFERROR(__xludf.DUMMYFUNCTION("""COMPUTED_VALUE"""),"NO")</f>
        <v>NO</v>
      </c>
      <c r="E19" s="6" t="str">
        <f ca="1">IFERROR(__xludf.DUMMYFUNCTION("""COMPUTED_VALUE"""),"Fuenlabrada")</f>
        <v>Fuenlabrada</v>
      </c>
      <c r="F19" s="16">
        <f ca="1">IFERROR(__xludf.DUMMYFUNCTION("""COMPUTED_VALUE"""),45684)</f>
        <v>45684</v>
      </c>
      <c r="G19" s="16">
        <f ca="1">IFERROR(__xludf.DUMMYFUNCTION("""COMPUTED_VALUE"""),45308)</f>
        <v>45308</v>
      </c>
      <c r="H19" s="6" t="str">
        <f ca="1">IFERROR(__xludf.DUMMYFUNCTION("""COMPUTED_VALUE"""),"Fuenlabrada")</f>
        <v>Fuenlabrada</v>
      </c>
      <c r="I19" s="6" t="str">
        <f ca="1">IFERROR(__xludf.DUMMYFUNCTION("""COMPUTED_VALUE"""),"FNL-3341")</f>
        <v>FNL-3341</v>
      </c>
      <c r="J19" s="6" t="str">
        <f ca="1">IFERROR(__xludf.DUMMYFUNCTION("""COMPUTED_VALUE"""),"CARLA MANZANARES GALLEGO")</f>
        <v>CARLA MANZANARES GALLEGO</v>
      </c>
      <c r="K19" s="6">
        <f ca="1">IFERROR(__xludf.DUMMYFUNCTION("""COMPUTED_VALUE"""),1)</f>
        <v>1</v>
      </c>
      <c r="L19" s="139">
        <f ca="1">IFERROR(__xludf.DUMMYFUNCTION("""COMPUTED_VALUE"""),2400)</f>
        <v>2400</v>
      </c>
      <c r="M19" s="6" t="str">
        <f ca="1">IFERROR(__xludf.DUMMYFUNCTION("""COMPUTED_VALUE"""),"03 ORL")</f>
        <v>03 ORL</v>
      </c>
      <c r="N19" s="6" t="str">
        <f ca="1">IFERROR(__xludf.DUMMYFUNCTION("""COMPUTED_VALUE"""),"06 ORL")</f>
        <v>06 ORL</v>
      </c>
      <c r="O19" s="6" t="str">
        <f ca="1">IFERROR(__xludf.DUMMYFUNCTION("""COMPUTED_VALUE"""),"Dra, Victoria García Peces")</f>
        <v>Dra, Victoria García Peces</v>
      </c>
      <c r="P19" s="6" t="str">
        <f ca="1">IFERROR(__xludf.DUMMYFUNCTION("""COMPUTED_VALUE"""),"Maika Blázquez (Madrid)")</f>
        <v>Maika Blázquez (Madrid)</v>
      </c>
    </row>
    <row r="20" spans="2:16">
      <c r="B20" s="6">
        <f ca="1">IFERROR(__xludf.DUMMYFUNCTION("""COMPUTED_VALUE"""),2025)</f>
        <v>2025</v>
      </c>
      <c r="C20" s="6">
        <f ca="1">IFERROR(__xludf.DUMMYFUNCTION("""COMPUTED_VALUE"""),1)</f>
        <v>1</v>
      </c>
      <c r="D20" s="6" t="str">
        <f ca="1">IFERROR(__xludf.DUMMYFUNCTION("""COMPUTED_VALUE"""),"NO")</f>
        <v>NO</v>
      </c>
      <c r="E20" s="6" t="str">
        <f ca="1">IFERROR(__xludf.DUMMYFUNCTION("""COMPUTED_VALUE"""),"Fuenlabrada")</f>
        <v>Fuenlabrada</v>
      </c>
      <c r="F20" s="16">
        <f ca="1">IFERROR(__xludf.DUMMYFUNCTION("""COMPUTED_VALUE"""),45679)</f>
        <v>45679</v>
      </c>
      <c r="G20" s="16">
        <f ca="1">IFERROR(__xludf.DUMMYFUNCTION("""COMPUTED_VALUE"""),45653)</f>
        <v>45653</v>
      </c>
      <c r="H20" s="6" t="str">
        <f ca="1">IFERROR(__xludf.DUMMYFUNCTION("""COMPUTED_VALUE"""),"Fuenlabrada")</f>
        <v>Fuenlabrada</v>
      </c>
      <c r="I20" s="6" t="str">
        <f ca="1">IFERROR(__xludf.DUMMYFUNCTION("""COMPUTED_VALUE"""),"C202517103416305")</f>
        <v>C202517103416305</v>
      </c>
      <c r="J20" s="6" t="str">
        <f ca="1">IFERROR(__xludf.DUMMYFUNCTION("""COMPUTED_VALUE"""),"CONSOLACION  TORRONTERAS SANJULIAN")</f>
        <v>CONSOLACION  TORRONTERAS SANJULIAN</v>
      </c>
      <c r="K20" s="6">
        <f ca="1">IFERROR(__xludf.DUMMYFUNCTION("""COMPUTED_VALUE"""),2)</f>
        <v>2</v>
      </c>
      <c r="L20" s="139">
        <f ca="1">IFERROR(__xludf.DUMMYFUNCTION("""COMPUTED_VALUE"""),3710)</f>
        <v>3710</v>
      </c>
      <c r="M20" s="6" t="str">
        <f ca="1">IFERROR(__xludf.DUMMYFUNCTION("""COMPUTED_VALUE"""),"03 ORL")</f>
        <v>03 ORL</v>
      </c>
      <c r="N20" s="6" t="str">
        <f ca="1">IFERROR(__xludf.DUMMYFUNCTION("""COMPUTED_VALUE"""),"06 ORL")</f>
        <v>06 ORL</v>
      </c>
      <c r="O20" s="6" t="str">
        <f ca="1">IFERROR(__xludf.DUMMYFUNCTION("""COMPUTED_VALUE"""),"Dra, Estefania Miranda Sánchez")</f>
        <v>Dra, Estefania Miranda Sánchez</v>
      </c>
      <c r="P20" s="6" t="str">
        <f ca="1">IFERROR(__xludf.DUMMYFUNCTION("""COMPUTED_VALUE"""),"Maika Blázquez (Madrid)")</f>
        <v>Maika Blázquez (Madrid)</v>
      </c>
    </row>
    <row r="21" spans="2:16">
      <c r="B21" s="6">
        <f ca="1">IFERROR(__xludf.DUMMYFUNCTION("""COMPUTED_VALUE"""),2025)</f>
        <v>2025</v>
      </c>
      <c r="C21" s="6">
        <f ca="1">IFERROR(__xludf.DUMMYFUNCTION("""COMPUTED_VALUE"""),1)</f>
        <v>1</v>
      </c>
      <c r="D21" s="6" t="str">
        <f ca="1">IFERROR(__xludf.DUMMYFUNCTION("""COMPUTED_VALUE"""),"NO")</f>
        <v>NO</v>
      </c>
      <c r="E21" s="6" t="str">
        <f ca="1">IFERROR(__xludf.DUMMYFUNCTION("""COMPUTED_VALUE"""),"Fuenlabrada")</f>
        <v>Fuenlabrada</v>
      </c>
      <c r="F21" s="16">
        <f ca="1">IFERROR(__xludf.DUMMYFUNCTION("""COMPUTED_VALUE"""),45671)</f>
        <v>45671</v>
      </c>
      <c r="G21" s="16">
        <f ca="1">IFERROR(__xludf.DUMMYFUNCTION("""COMPUTED_VALUE"""),45112)</f>
        <v>45112</v>
      </c>
      <c r="H21" s="6" t="str">
        <f ca="1">IFERROR(__xludf.DUMMYFUNCTION("""COMPUTED_VALUE"""),"Fuenlabrada")</f>
        <v>Fuenlabrada</v>
      </c>
      <c r="I21" s="6" t="str">
        <f ca="1">IFERROR(__xludf.DUMMYFUNCTION("""COMPUTED_VALUE"""),"FNL-3178")</f>
        <v>FNL-3178</v>
      </c>
      <c r="J21" s="6" t="str">
        <f ca="1">IFERROR(__xludf.DUMMYFUNCTION("""COMPUTED_VALUE"""),"ESTHER GONZALEZ SANCHEZ")</f>
        <v>ESTHER GONZALEZ SANCHEZ</v>
      </c>
      <c r="K21" s="6">
        <f ca="1">IFERROR(__xludf.DUMMYFUNCTION("""COMPUTED_VALUE"""),2)</f>
        <v>2</v>
      </c>
      <c r="L21" s="139">
        <f ca="1">IFERROR(__xludf.DUMMYFUNCTION("""COMPUTED_VALUE"""),4000)</f>
        <v>4000</v>
      </c>
      <c r="M21" s="6" t="str">
        <f ca="1">IFERROR(__xludf.DUMMYFUNCTION("""COMPUTED_VALUE"""),"03 ORL")</f>
        <v>03 ORL</v>
      </c>
      <c r="N21" s="6" t="str">
        <f ca="1">IFERROR(__xludf.DUMMYFUNCTION("""COMPUTED_VALUE"""),"06 ORL")</f>
        <v>06 ORL</v>
      </c>
      <c r="O21" s="6" t="str">
        <f ca="1">IFERROR(__xludf.DUMMYFUNCTION("""COMPUTED_VALUE"""),"Dra, Laura Del Toro Gil")</f>
        <v>Dra, Laura Del Toro Gil</v>
      </c>
      <c r="P21" s="6" t="str">
        <f ca="1">IFERROR(__xludf.DUMMYFUNCTION("""COMPUTED_VALUE"""),"Maika Blázquez (Madrid)")</f>
        <v>Maika Blázquez (Madrid)</v>
      </c>
    </row>
    <row r="22" spans="2:16">
      <c r="B22" s="6">
        <f ca="1">IFERROR(__xludf.DUMMYFUNCTION("""COMPUTED_VALUE"""),2025)</f>
        <v>2025</v>
      </c>
      <c r="C22" s="6">
        <f ca="1">IFERROR(__xludf.DUMMYFUNCTION("""COMPUTED_VALUE"""),1)</f>
        <v>1</v>
      </c>
      <c r="D22" s="6" t="str">
        <f ca="1">IFERROR(__xludf.DUMMYFUNCTION("""COMPUTED_VALUE"""),"NO")</f>
        <v>NO</v>
      </c>
      <c r="E22" s="6" t="str">
        <f ca="1">IFERROR(__xludf.DUMMYFUNCTION("""COMPUTED_VALUE"""),"Fuenlabrada")</f>
        <v>Fuenlabrada</v>
      </c>
      <c r="F22" s="16">
        <f ca="1">IFERROR(__xludf.DUMMYFUNCTION("""COMPUTED_VALUE"""),45672)</f>
        <v>45672</v>
      </c>
      <c r="G22" s="16">
        <f ca="1">IFERROR(__xludf.DUMMYFUNCTION("""COMPUTED_VALUE"""),45636)</f>
        <v>45636</v>
      </c>
      <c r="H22" s="6" t="str">
        <f ca="1">IFERROR(__xludf.DUMMYFUNCTION("""COMPUTED_VALUE"""),"Fuenlabrada")</f>
        <v>Fuenlabrada</v>
      </c>
      <c r="I22" s="6" t="str">
        <f ca="1">IFERROR(__xludf.DUMMYFUNCTION("""COMPUTED_VALUE"""),"C20241213923058")</f>
        <v>C20241213923058</v>
      </c>
      <c r="J22" s="6" t="str">
        <f ca="1">IFERROR(__xludf.DUMMYFUNCTION("""COMPUTED_VALUE"""),"Mª ANTONIA  MOLINERO MORENO")</f>
        <v>Mª ANTONIA  MOLINERO MORENO</v>
      </c>
      <c r="K22" s="6">
        <f ca="1">IFERROR(__xludf.DUMMYFUNCTION("""COMPUTED_VALUE"""),1)</f>
        <v>1</v>
      </c>
      <c r="L22" s="139">
        <f ca="1">IFERROR(__xludf.DUMMYFUNCTION("""COMPUTED_VALUE"""),2400)</f>
        <v>2400</v>
      </c>
      <c r="M22" s="6" t="str">
        <f ca="1">IFERROR(__xludf.DUMMYFUNCTION("""COMPUTED_VALUE"""),"03 ORL")</f>
        <v>03 ORL</v>
      </c>
      <c r="N22" s="6" t="str">
        <f ca="1">IFERROR(__xludf.DUMMYFUNCTION("""COMPUTED_VALUE"""),"06 ORL")</f>
        <v>06 ORL</v>
      </c>
      <c r="O22" s="6" t="str">
        <f ca="1">IFERROR(__xludf.DUMMYFUNCTION("""COMPUTED_VALUE"""),"Dra, María Teresa Herrera Mera")</f>
        <v>Dra, María Teresa Herrera Mera</v>
      </c>
      <c r="P22" s="6" t="str">
        <f ca="1">IFERROR(__xludf.DUMMYFUNCTION("""COMPUTED_VALUE"""),"Maika Blázquez (Madrid)")</f>
        <v>Maika Blázquez (Madrid)</v>
      </c>
    </row>
    <row r="23" spans="2:16">
      <c r="B23" s="6">
        <f ca="1">IFERROR(__xludf.DUMMYFUNCTION("""COMPUTED_VALUE"""),2025)</f>
        <v>2025</v>
      </c>
      <c r="C23" s="6">
        <f ca="1">IFERROR(__xludf.DUMMYFUNCTION("""COMPUTED_VALUE"""),1)</f>
        <v>1</v>
      </c>
      <c r="D23" s="6" t="str">
        <f ca="1">IFERROR(__xludf.DUMMYFUNCTION("""COMPUTED_VALUE"""),"NO")</f>
        <v>NO</v>
      </c>
      <c r="E23" s="6" t="str">
        <f ca="1">IFERROR(__xludf.DUMMYFUNCTION("""COMPUTED_VALUE"""),"Fuenlabrada")</f>
        <v>Fuenlabrada</v>
      </c>
      <c r="F23" s="16">
        <f ca="1">IFERROR(__xludf.DUMMYFUNCTION("""COMPUTED_VALUE"""),45679)</f>
        <v>45679</v>
      </c>
      <c r="G23" s="16">
        <f ca="1">IFERROR(__xludf.DUMMYFUNCTION("""COMPUTED_VALUE"""),45646)</f>
        <v>45646</v>
      </c>
      <c r="H23" s="6" t="str">
        <f ca="1">IFERROR(__xludf.DUMMYFUNCTION("""COMPUTED_VALUE"""),"Fuenlabrada")</f>
        <v>Fuenlabrada</v>
      </c>
      <c r="I23" s="6" t="str">
        <f ca="1">IFERROR(__xludf.DUMMYFUNCTION("""COMPUTED_VALUE"""),"C202517121059405")</f>
        <v>C202517121059405</v>
      </c>
      <c r="J23" s="6" t="str">
        <f ca="1">IFERROR(__xludf.DUMMYFUNCTION("""COMPUTED_VALUE"""),"MARIA DEL PILAR ANGULO SALAZAR")</f>
        <v>MARIA DEL PILAR ANGULO SALAZAR</v>
      </c>
      <c r="K23" s="6">
        <f ca="1">IFERROR(__xludf.DUMMYFUNCTION("""COMPUTED_VALUE"""),2)</f>
        <v>2</v>
      </c>
      <c r="L23" s="139">
        <f ca="1">IFERROR(__xludf.DUMMYFUNCTION("""COMPUTED_VALUE"""),2888.18)</f>
        <v>2888.18</v>
      </c>
      <c r="M23" s="6" t="str">
        <f ca="1">IFERROR(__xludf.DUMMYFUNCTION("""COMPUTED_VALUE"""),"03 ORL")</f>
        <v>03 ORL</v>
      </c>
      <c r="N23" s="6" t="str">
        <f ca="1">IFERROR(__xludf.DUMMYFUNCTION("""COMPUTED_VALUE"""),"22 AUDIOMETRIA CLINICA")</f>
        <v>22 AUDIOMETRIA CLINICA</v>
      </c>
      <c r="O23" s="6" t="str">
        <f ca="1">IFERROR(__xludf.DUMMYFUNCTION("""COMPUTED_VALUE"""),"Dr, Adolfo Toledano Muñoz")</f>
        <v>Dr, Adolfo Toledano Muñoz</v>
      </c>
      <c r="P23" s="6" t="str">
        <f ca="1">IFERROR(__xludf.DUMMYFUNCTION("""COMPUTED_VALUE"""),"Maika Blázquez (Madrid)")</f>
        <v>Maika Blázquez (Madrid)</v>
      </c>
    </row>
    <row r="24" spans="2:16">
      <c r="B24" s="6">
        <f ca="1">IFERROR(__xludf.DUMMYFUNCTION("""COMPUTED_VALUE"""),2025)</f>
        <v>2025</v>
      </c>
      <c r="C24" s="6">
        <f ca="1">IFERROR(__xludf.DUMMYFUNCTION("""COMPUTED_VALUE"""),1)</f>
        <v>1</v>
      </c>
      <c r="D24" s="6" t="str">
        <f ca="1">IFERROR(__xludf.DUMMYFUNCTION("""COMPUTED_VALUE"""),"NO")</f>
        <v>NO</v>
      </c>
      <c r="E24" s="6" t="str">
        <f ca="1">IFERROR(__xludf.DUMMYFUNCTION("""COMPUTED_VALUE"""),"Fuenlabrada")</f>
        <v>Fuenlabrada</v>
      </c>
      <c r="F24" s="16">
        <f ca="1">IFERROR(__xludf.DUMMYFUNCTION("""COMPUTED_VALUE"""),45684)</f>
        <v>45684</v>
      </c>
      <c r="G24" s="16">
        <f ca="1">IFERROR(__xludf.DUMMYFUNCTION("""COMPUTED_VALUE"""),45666)</f>
        <v>45666</v>
      </c>
      <c r="H24" s="6" t="str">
        <f ca="1">IFERROR(__xludf.DUMMYFUNCTION("""COMPUTED_VALUE"""),"Fuenlabrada")</f>
        <v>Fuenlabrada</v>
      </c>
      <c r="I24" s="6" t="str">
        <f ca="1">IFERROR(__xludf.DUMMYFUNCTION("""COMPUTED_VALUE"""),"C202511014591530")</f>
        <v>C202511014591530</v>
      </c>
      <c r="J24" s="6" t="str">
        <f ca="1">IFERROR(__xludf.DUMMYFUNCTION("""COMPUTED_VALUE"""),"MAURINO SEVERIANO GUERRA")</f>
        <v>MAURINO SEVERIANO GUERRA</v>
      </c>
      <c r="K24" s="6">
        <f ca="1">IFERROR(__xludf.DUMMYFUNCTION("""COMPUTED_VALUE"""),2)</f>
        <v>2</v>
      </c>
      <c r="L24" s="139">
        <f ca="1">IFERROR(__xludf.DUMMYFUNCTION("""COMPUTED_VALUE"""),4000)</f>
        <v>4000</v>
      </c>
      <c r="M24" s="6" t="str">
        <f ca="1">IFERROR(__xludf.DUMMYFUNCTION("""COMPUTED_VALUE"""),"03 ORL")</f>
        <v>03 ORL</v>
      </c>
      <c r="N24" s="6" t="str">
        <f ca="1">IFERROR(__xludf.DUMMYFUNCTION("""COMPUTED_VALUE"""),"06 ORL")</f>
        <v>06 ORL</v>
      </c>
      <c r="O24" s="6" t="str">
        <f ca="1">IFERROR(__xludf.DUMMYFUNCTION("""COMPUTED_VALUE"""),"Dr, Raimundo Andres Navarro Mediano")</f>
        <v>Dr, Raimundo Andres Navarro Mediano</v>
      </c>
      <c r="P24" s="6" t="str">
        <f ca="1">IFERROR(__xludf.DUMMYFUNCTION("""COMPUTED_VALUE"""),"Maika Blázquez (Madrid)")</f>
        <v>Maika Blázquez (Madrid)</v>
      </c>
    </row>
    <row r="25" spans="2:16">
      <c r="B25" s="6">
        <f ca="1">IFERROR(__xludf.DUMMYFUNCTION("""COMPUTED_VALUE"""),2025)</f>
        <v>2025</v>
      </c>
      <c r="C25" s="6">
        <f ca="1">IFERROR(__xludf.DUMMYFUNCTION("""COMPUTED_VALUE"""),1)</f>
        <v>1</v>
      </c>
      <c r="D25" s="6" t="str">
        <f ca="1">IFERROR(__xludf.DUMMYFUNCTION("""COMPUTED_VALUE"""),"NO")</f>
        <v>NO</v>
      </c>
      <c r="E25" s="6" t="str">
        <f ca="1">IFERROR(__xludf.DUMMYFUNCTION("""COMPUTED_VALUE"""),"Fuenlabrada")</f>
        <v>Fuenlabrada</v>
      </c>
      <c r="F25" s="16">
        <f ca="1">IFERROR(__xludf.DUMMYFUNCTION("""COMPUTED_VALUE"""),45674)</f>
        <v>45674</v>
      </c>
      <c r="G25" s="16">
        <f ca="1">IFERROR(__xludf.DUMMYFUNCTION("""COMPUTED_VALUE"""),45637)</f>
        <v>45637</v>
      </c>
      <c r="H25" s="6" t="str">
        <f ca="1">IFERROR(__xludf.DUMMYFUNCTION("""COMPUTED_VALUE"""),"Fuenlabrada")</f>
        <v>Fuenlabrada</v>
      </c>
      <c r="I25" s="6" t="str">
        <f ca="1">IFERROR(__xludf.DUMMYFUNCTION("""COMPUTED_VALUE"""),"C2024121811513950")</f>
        <v>C2024121811513950</v>
      </c>
      <c r="J25" s="6" t="str">
        <f ca="1">IFERROR(__xludf.DUMMYFUNCTION("""COMPUTED_VALUE"""),"PETRA QUINTANA SANZ")</f>
        <v>PETRA QUINTANA SANZ</v>
      </c>
      <c r="K25" s="6">
        <f ca="1">IFERROR(__xludf.DUMMYFUNCTION("""COMPUTED_VALUE"""),2)</f>
        <v>2</v>
      </c>
      <c r="L25" s="139">
        <f ca="1">IFERROR(__xludf.DUMMYFUNCTION("""COMPUTED_VALUE"""),2888.18)</f>
        <v>2888.18</v>
      </c>
      <c r="M25" s="6" t="str">
        <f ca="1">IFERROR(__xludf.DUMMYFUNCTION("""COMPUTED_VALUE"""),"03 ORL")</f>
        <v>03 ORL</v>
      </c>
      <c r="N25" s="6" t="str">
        <f ca="1">IFERROR(__xludf.DUMMYFUNCTION("""COMPUTED_VALUE"""),"06 ORL")</f>
        <v>06 ORL</v>
      </c>
      <c r="O25" s="6" t="str">
        <f ca="1">IFERROR(__xludf.DUMMYFUNCTION("""COMPUTED_VALUE"""),"Dra, María Teresa Herrera Mera")</f>
        <v>Dra, María Teresa Herrera Mera</v>
      </c>
      <c r="P25" s="6" t="str">
        <f ca="1">IFERROR(__xludf.DUMMYFUNCTION("""COMPUTED_VALUE"""),"Maika Blázquez (Madrid)")</f>
        <v>Maika Blázquez (Madrid)</v>
      </c>
    </row>
    <row r="26" spans="2:16">
      <c r="B26" s="6">
        <f ca="1">IFERROR(__xludf.DUMMYFUNCTION("""COMPUTED_VALUE"""),2025)</f>
        <v>2025</v>
      </c>
      <c r="C26" s="6">
        <f ca="1">IFERROR(__xludf.DUMMYFUNCTION("""COMPUTED_VALUE"""),1)</f>
        <v>1</v>
      </c>
      <c r="D26" s="6" t="str">
        <f ca="1">IFERROR(__xludf.DUMMYFUNCTION("""COMPUTED_VALUE"""),"SI")</f>
        <v>SI</v>
      </c>
      <c r="E26" s="6" t="str">
        <f ca="1">IFERROR(__xludf.DUMMYFUNCTION("""COMPUTED_VALUE"""),"Fuenlabrada")</f>
        <v>Fuenlabrada</v>
      </c>
      <c r="F26" s="16">
        <f ca="1">IFERROR(__xludf.DUMMYFUNCTION("""COMPUTED_VALUE"""),45686)</f>
        <v>45686</v>
      </c>
      <c r="G26" s="16">
        <f ca="1">IFERROR(__xludf.DUMMYFUNCTION("""COMPUTED_VALUE"""),43062)</f>
        <v>43062</v>
      </c>
      <c r="H26" s="6" t="str">
        <f ca="1">IFERROR(__xludf.DUMMYFUNCTION("""COMPUTED_VALUE"""),"Fuenlabrada")</f>
        <v>Fuenlabrada</v>
      </c>
      <c r="I26" s="6" t="str">
        <f ca="1">IFERROR(__xludf.DUMMYFUNCTION("""COMPUTED_VALUE"""),"FNL-1336")</f>
        <v>FNL-1336</v>
      </c>
      <c r="J26" s="6" t="str">
        <f ca="1">IFERROR(__xludf.DUMMYFUNCTION("""COMPUTED_VALUE"""),"REGINO RECUERO CANALEJAS")</f>
        <v>REGINO RECUERO CANALEJAS</v>
      </c>
      <c r="K26" s="6">
        <f ca="1">IFERROR(__xludf.DUMMYFUNCTION("""COMPUTED_VALUE"""),2)</f>
        <v>2</v>
      </c>
      <c r="L26" s="139">
        <f ca="1">IFERROR(__xludf.DUMMYFUNCTION("""COMPUTED_VALUE"""),2967.27)</f>
        <v>2967.27</v>
      </c>
      <c r="M26" s="6" t="str">
        <f ca="1">IFERROR(__xludf.DUMMYFUNCTION("""COMPUTED_VALUE"""),"03 ORL")</f>
        <v>03 ORL</v>
      </c>
      <c r="N26" s="6" t="str">
        <f ca="1">IFERROR(__xludf.DUMMYFUNCTION("""COMPUTED_VALUE"""),"06 ORL")</f>
        <v>06 ORL</v>
      </c>
      <c r="O26" s="6" t="str">
        <f ca="1">IFERROR(__xludf.DUMMYFUNCTION("""COMPUTED_VALUE"""),"Dr, José Montojo Woodeson")</f>
        <v>Dr, José Montojo Woodeson</v>
      </c>
      <c r="P26" s="6" t="str">
        <f ca="1">IFERROR(__xludf.DUMMYFUNCTION("""COMPUTED_VALUE"""),"Maika Blázquez (Madrid)")</f>
        <v>Maika Blázquez (Madrid)</v>
      </c>
    </row>
    <row r="27" spans="2:16">
      <c r="B27" s="6">
        <f ca="1">IFERROR(__xludf.DUMMYFUNCTION("""COMPUTED_VALUE"""),2025)</f>
        <v>2025</v>
      </c>
      <c r="C27" s="6">
        <f ca="1">IFERROR(__xludf.DUMMYFUNCTION("""COMPUTED_VALUE"""),1)</f>
        <v>1</v>
      </c>
      <c r="D27" s="6" t="str">
        <f ca="1">IFERROR(__xludf.DUMMYFUNCTION("""COMPUTED_VALUE"""),"NO")</f>
        <v>NO</v>
      </c>
      <c r="E27" s="6" t="str">
        <f ca="1">IFERROR(__xludf.DUMMYFUNCTION("""COMPUTED_VALUE"""),"Getafe")</f>
        <v>Getafe</v>
      </c>
      <c r="F27" s="16">
        <f ca="1">IFERROR(__xludf.DUMMYFUNCTION("""COMPUTED_VALUE"""),45685)</f>
        <v>45685</v>
      </c>
      <c r="G27" s="16">
        <f ca="1">IFERROR(__xludf.DUMMYFUNCTION("""COMPUTED_VALUE"""),45670)</f>
        <v>45670</v>
      </c>
      <c r="H27" s="6" t="str">
        <f ca="1">IFERROR(__xludf.DUMMYFUNCTION("""COMPUTED_VALUE"""),"Getafe")</f>
        <v>Getafe</v>
      </c>
      <c r="I27" s="6" t="str">
        <f ca="1">IFERROR(__xludf.DUMMYFUNCTION("""COMPUTED_VALUE"""),"C2025115169110")</f>
        <v>C2025115169110</v>
      </c>
      <c r="J27" s="6" t="str">
        <f ca="1">IFERROR(__xludf.DUMMYFUNCTION("""COMPUTED_VALUE"""),"MARGARITA HIGUERAS AZORIT")</f>
        <v>MARGARITA HIGUERAS AZORIT</v>
      </c>
      <c r="K27" s="6">
        <f ca="1">IFERROR(__xludf.DUMMYFUNCTION("""COMPUTED_VALUE"""),2)</f>
        <v>2</v>
      </c>
      <c r="L27" s="139">
        <f ca="1">IFERROR(__xludf.DUMMYFUNCTION("""COMPUTED_VALUE"""),4400)</f>
        <v>4400</v>
      </c>
      <c r="M27" s="6" t="str">
        <f ca="1">IFERROR(__xludf.DUMMYFUNCTION("""COMPUTED_VALUE"""),"03 ORL")</f>
        <v>03 ORL</v>
      </c>
      <c r="N27" s="6" t="str">
        <f ca="1">IFERROR(__xludf.DUMMYFUNCTION("""COMPUTED_VALUE"""),"06 ORL")</f>
        <v>06 ORL</v>
      </c>
      <c r="O27" s="6" t="str">
        <f ca="1">IFERROR(__xludf.DUMMYFUNCTION("""COMPUTED_VALUE"""),"Dra, Cristina Vaduva")</f>
        <v>Dra, Cristina Vaduva</v>
      </c>
      <c r="P27" s="6" t="str">
        <f ca="1">IFERROR(__xludf.DUMMYFUNCTION("""COMPUTED_VALUE"""),"Maika Blázquez (Madrid)")</f>
        <v>Maika Blázquez (Madrid)</v>
      </c>
    </row>
    <row r="28" spans="2:16">
      <c r="B28" s="6">
        <f ca="1">IFERROR(__xludf.DUMMYFUNCTION("""COMPUTED_VALUE"""),2025)</f>
        <v>2025</v>
      </c>
      <c r="C28" s="6">
        <f ca="1">IFERROR(__xludf.DUMMYFUNCTION("""COMPUTED_VALUE"""),1)</f>
        <v>1</v>
      </c>
      <c r="D28" s="6" t="str">
        <f ca="1">IFERROR(__xludf.DUMMYFUNCTION("""COMPUTED_VALUE"""),"NO")</f>
        <v>NO</v>
      </c>
      <c r="E28" s="6" t="str">
        <f ca="1">IFERROR(__xludf.DUMMYFUNCTION("""COMPUTED_VALUE"""),"Girona")</f>
        <v>Girona</v>
      </c>
      <c r="F28" s="16">
        <f ca="1">IFERROR(__xludf.DUMMYFUNCTION("""COMPUTED_VALUE"""),45666)</f>
        <v>45666</v>
      </c>
      <c r="G28" s="16">
        <f ca="1">IFERROR(__xludf.DUMMYFUNCTION("""COMPUTED_VALUE"""),45393)</f>
        <v>45393</v>
      </c>
      <c r="H28" s="6" t="str">
        <f ca="1">IFERROR(__xludf.DUMMYFUNCTION("""COMPUTED_VALUE"""),"Girona")</f>
        <v>Girona</v>
      </c>
      <c r="I28" s="6" t="str">
        <f ca="1">IFERROR(__xludf.DUMMYFUNCTION("""COMPUTED_VALUE"""),"GER-92")</f>
        <v>GER-92</v>
      </c>
      <c r="J28" s="6" t="str">
        <f ca="1">IFERROR(__xludf.DUMMYFUNCTION("""COMPUTED_VALUE"""),"IBRAHIMA BALEDEH")</f>
        <v>IBRAHIMA BALEDEH</v>
      </c>
      <c r="K28" s="6">
        <f ca="1">IFERROR(__xludf.DUMMYFUNCTION("""COMPUTED_VALUE"""),2)</f>
        <v>2</v>
      </c>
      <c r="L28" s="139">
        <f ca="1">IFERROR(__xludf.DUMMYFUNCTION("""COMPUTED_VALUE"""),2576.92)</f>
        <v>2576.92</v>
      </c>
      <c r="M28" s="6" t="str">
        <f ca="1">IFERROR(__xludf.DUMMYFUNCTION("""COMPUTED_VALUE"""),"03 ORL")</f>
        <v>03 ORL</v>
      </c>
      <c r="N28" s="6" t="str">
        <f ca="1">IFERROR(__xludf.DUMMYFUNCTION("""COMPUTED_VALUE"""),"06 ORL")</f>
        <v>06 ORL</v>
      </c>
      <c r="O28" s="6" t="str">
        <f ca="1">IFERROR(__xludf.DUMMYFUNCTION("""COMPUTED_VALUE"""),"Dr, Enric Ferran Benstrom")</f>
        <v>Dr, Enric Ferran Benstrom</v>
      </c>
      <c r="P28" s="6" t="str">
        <f ca="1">IFERROR(__xludf.DUMMYFUNCTION("""COMPUTED_VALUE"""),"Mercè Cabrera (Cataluña Y Baleares)")</f>
        <v>Mercè Cabrera (Cataluña Y Baleares)</v>
      </c>
    </row>
    <row r="29" spans="2:16">
      <c r="B29" s="6">
        <f ca="1">IFERROR(__xludf.DUMMYFUNCTION("""COMPUTED_VALUE"""),2025)</f>
        <v>2025</v>
      </c>
      <c r="C29" s="6">
        <f ca="1">IFERROR(__xludf.DUMMYFUNCTION("""COMPUTED_VALUE"""),1)</f>
        <v>1</v>
      </c>
      <c r="D29" s="6" t="str">
        <f ca="1">IFERROR(__xludf.DUMMYFUNCTION("""COMPUTED_VALUE"""),"NO")</f>
        <v>NO</v>
      </c>
      <c r="E29" s="6" t="str">
        <f ca="1">IFERROR(__xludf.DUMMYFUNCTION("""COMPUTED_VALUE"""),"Hospitalet de Llobregat")</f>
        <v>Hospitalet de Llobregat</v>
      </c>
      <c r="F29" s="16">
        <f ca="1">IFERROR(__xludf.DUMMYFUNCTION("""COMPUTED_VALUE"""),45673)</f>
        <v>45673</v>
      </c>
      <c r="G29" s="16">
        <f ca="1">IFERROR(__xludf.DUMMYFUNCTION("""COMPUTED_VALUE"""),45439)</f>
        <v>45439</v>
      </c>
      <c r="H29" s="6" t="str">
        <f ca="1">IFERROR(__xludf.DUMMYFUNCTION("""COMPUTED_VALUE"""),"Hospitalet")</f>
        <v>Hospitalet</v>
      </c>
      <c r="I29" s="6" t="str">
        <f ca="1">IFERROR(__xludf.DUMMYFUNCTION("""COMPUTED_VALUE"""),"HSP-215")</f>
        <v>HSP-215</v>
      </c>
      <c r="J29" s="6" t="str">
        <f ca="1">IFERROR(__xludf.DUMMYFUNCTION("""COMPUTED_VALUE"""),"NIEVES ALVES VEGA")</f>
        <v>NIEVES ALVES VEGA</v>
      </c>
      <c r="K29" s="6">
        <f ca="1">IFERROR(__xludf.DUMMYFUNCTION("""COMPUTED_VALUE"""),2)</f>
        <v>2</v>
      </c>
      <c r="L29" s="139">
        <f ca="1">IFERROR(__xludf.DUMMYFUNCTION("""COMPUTED_VALUE"""),2888.18)</f>
        <v>2888.18</v>
      </c>
      <c r="M29" s="6" t="str">
        <f ca="1">IFERROR(__xludf.DUMMYFUNCTION("""COMPUTED_VALUE"""),"03 ORL")</f>
        <v>03 ORL</v>
      </c>
      <c r="N29" s="6" t="str">
        <f ca="1">IFERROR(__xludf.DUMMYFUNCTION("""COMPUTED_VALUE"""),"06 ORL")</f>
        <v>06 ORL</v>
      </c>
      <c r="O29" s="6" t="str">
        <f ca="1">IFERROR(__xludf.DUMMYFUNCTION("""COMPUTED_VALUE"""),"Dr, Jesus-Maria Grasa Pérez")</f>
        <v>Dr, Jesus-Maria Grasa Pérez</v>
      </c>
      <c r="P29" s="1" t="str">
        <f ca="1">IFERROR(__xludf.DUMMYFUNCTION("""COMPUTED_VALUE"""),"Mercè Cabrera (Cataluña Y Baleares)")</f>
        <v>Mercè Cabrera (Cataluña Y Baleares)</v>
      </c>
    </row>
    <row r="30" spans="2:16">
      <c r="B30" s="6">
        <f ca="1">IFERROR(__xludf.DUMMYFUNCTION("""COMPUTED_VALUE"""),2025)</f>
        <v>2025</v>
      </c>
      <c r="C30" s="6">
        <f ca="1">IFERROR(__xludf.DUMMYFUNCTION("""COMPUTED_VALUE"""),1)</f>
        <v>1</v>
      </c>
      <c r="D30" s="6" t="str">
        <f ca="1">IFERROR(__xludf.DUMMYFUNCTION("""COMPUTED_VALUE"""),"NO")</f>
        <v>NO</v>
      </c>
      <c r="E30" s="6" t="str">
        <f ca="1">IFERROR(__xludf.DUMMYFUNCTION("""COMPUTED_VALUE"""),"Leganés")</f>
        <v>Leganés</v>
      </c>
      <c r="F30" s="16">
        <f ca="1">IFERROR(__xludf.DUMMYFUNCTION("""COMPUTED_VALUE"""),45684)</f>
        <v>45684</v>
      </c>
      <c r="G30" s="16">
        <f ca="1">IFERROR(__xludf.DUMMYFUNCTION("""COMPUTED_VALUE"""),45664)</f>
        <v>45664</v>
      </c>
      <c r="H30" s="6" t="str">
        <f ca="1">IFERROR(__xludf.DUMMYFUNCTION("""COMPUTED_VALUE"""),"Leganés")</f>
        <v>Leganés</v>
      </c>
      <c r="I30" s="6" t="str">
        <f ca="1">IFERROR(__xludf.DUMMYFUNCTION("""COMPUTED_VALUE"""),"C2025114155854748")</f>
        <v>C2025114155854748</v>
      </c>
      <c r="J30" s="6" t="str">
        <f ca="1">IFERROR(__xludf.DUMMYFUNCTION("""COMPUTED_VALUE"""),"ANTONIA DIAZ-PARREÑO QUINTANAR")</f>
        <v>ANTONIA DIAZ-PARREÑO QUINTANAR</v>
      </c>
      <c r="K30" s="6">
        <f ca="1">IFERROR(__xludf.DUMMYFUNCTION("""COMPUTED_VALUE"""),2)</f>
        <v>2</v>
      </c>
      <c r="L30" s="139">
        <f ca="1">IFERROR(__xludf.DUMMYFUNCTION("""COMPUTED_VALUE"""),2722.73)</f>
        <v>2722.73</v>
      </c>
      <c r="M30" s="6" t="str">
        <f ca="1">IFERROR(__xludf.DUMMYFUNCTION("""COMPUTED_VALUE"""),"03 ORL")</f>
        <v>03 ORL</v>
      </c>
      <c r="N30" s="6" t="str">
        <f ca="1">IFERROR(__xludf.DUMMYFUNCTION("""COMPUTED_VALUE"""),"06 ORL")</f>
        <v>06 ORL</v>
      </c>
      <c r="O30" s="6" t="str">
        <f ca="1">IFERROR(__xludf.DUMMYFUNCTION("""COMPUTED_VALUE"""),"Dra, Carmen Juan Ivars")</f>
        <v>Dra, Carmen Juan Ivars</v>
      </c>
      <c r="P30" s="6" t="str">
        <f ca="1">IFERROR(__xludf.DUMMYFUNCTION("""COMPUTED_VALUE"""),"Maika Blázquez (Madrid)")</f>
        <v>Maika Blázquez (Madrid)</v>
      </c>
    </row>
    <row r="31" spans="2:16">
      <c r="B31" s="6">
        <f ca="1">IFERROR(__xludf.DUMMYFUNCTION("""COMPUTED_VALUE"""),2025)</f>
        <v>2025</v>
      </c>
      <c r="C31" s="6">
        <f ca="1">IFERROR(__xludf.DUMMYFUNCTION("""COMPUTED_VALUE"""),1)</f>
        <v>1</v>
      </c>
      <c r="D31" s="6" t="str">
        <f ca="1">IFERROR(__xludf.DUMMYFUNCTION("""COMPUTED_VALUE"""),"NO")</f>
        <v>NO</v>
      </c>
      <c r="E31" s="6" t="str">
        <f ca="1">IFERROR(__xludf.DUMMYFUNCTION("""COMPUTED_VALUE"""),"Leganés")</f>
        <v>Leganés</v>
      </c>
      <c r="F31" s="16">
        <f ca="1">IFERROR(__xludf.DUMMYFUNCTION("""COMPUTED_VALUE"""),45687)</f>
        <v>45687</v>
      </c>
      <c r="G31" s="16">
        <f ca="1">IFERROR(__xludf.DUMMYFUNCTION("""COMPUTED_VALUE"""),45644)</f>
        <v>45644</v>
      </c>
      <c r="H31" s="6" t="str">
        <f ca="1">IFERROR(__xludf.DUMMYFUNCTION("""COMPUTED_VALUE"""),"Leganés")</f>
        <v>Leganés</v>
      </c>
      <c r="I31" s="6" t="str">
        <f ca="1">IFERROR(__xludf.DUMMYFUNCTION("""COMPUTED_VALUE"""),"C2024122011507991")</f>
        <v>C2024122011507991</v>
      </c>
      <c r="J31" s="6" t="str">
        <f ca="1">IFERROR(__xludf.DUMMYFUNCTION("""COMPUTED_VALUE"""),"APARICIO CASTELLANO ORTIZ-VILLAJO")</f>
        <v>APARICIO CASTELLANO ORTIZ-VILLAJO</v>
      </c>
      <c r="K31" s="6">
        <f ca="1">IFERROR(__xludf.DUMMYFUNCTION("""COMPUTED_VALUE"""),2)</f>
        <v>2</v>
      </c>
      <c r="L31" s="139">
        <f ca="1">IFERROR(__xludf.DUMMYFUNCTION("""COMPUTED_VALUE"""),4000)</f>
        <v>4000</v>
      </c>
      <c r="M31" s="6" t="str">
        <f ca="1">IFERROR(__xludf.DUMMYFUNCTION("""COMPUTED_VALUE"""),"03 ORL")</f>
        <v>03 ORL</v>
      </c>
      <c r="N31" s="6" t="str">
        <f ca="1">IFERROR(__xludf.DUMMYFUNCTION("""COMPUTED_VALUE"""),"06 ORL")</f>
        <v>06 ORL</v>
      </c>
      <c r="O31" s="6" t="str">
        <f ca="1">IFERROR(__xludf.DUMMYFUNCTION("""COMPUTED_VALUE"""),"Dr, Julio López Moya")</f>
        <v>Dr, Julio López Moya</v>
      </c>
      <c r="P31" s="6" t="str">
        <f ca="1">IFERROR(__xludf.DUMMYFUNCTION("""COMPUTED_VALUE"""),"Maika Blázquez (Madrid)")</f>
        <v>Maika Blázquez (Madrid)</v>
      </c>
    </row>
    <row r="32" spans="2:16">
      <c r="B32" s="6">
        <f ca="1">IFERROR(__xludf.DUMMYFUNCTION("""COMPUTED_VALUE"""),2025)</f>
        <v>2025</v>
      </c>
      <c r="C32" s="6">
        <f ca="1">IFERROR(__xludf.DUMMYFUNCTION("""COMPUTED_VALUE"""),1)</f>
        <v>1</v>
      </c>
      <c r="D32" s="6" t="str">
        <f ca="1">IFERROR(__xludf.DUMMYFUNCTION("""COMPUTED_VALUE"""),"NO")</f>
        <v>NO</v>
      </c>
      <c r="E32" s="6" t="str">
        <f ca="1">IFERROR(__xludf.DUMMYFUNCTION("""COMPUTED_VALUE"""),"Leganés")</f>
        <v>Leganés</v>
      </c>
      <c r="F32" s="16">
        <f ca="1">IFERROR(__xludf.DUMMYFUNCTION("""COMPUTED_VALUE"""),45670)</f>
        <v>45670</v>
      </c>
      <c r="G32" s="16">
        <f ca="1">IFERROR(__xludf.DUMMYFUNCTION("""COMPUTED_VALUE"""),45635)</f>
        <v>45635</v>
      </c>
      <c r="H32" s="6" t="str">
        <f ca="1">IFERROR(__xludf.DUMMYFUNCTION("""COMPUTED_VALUE"""),"Leganés")</f>
        <v>Leganés</v>
      </c>
      <c r="I32" s="6" t="str">
        <f ca="1">IFERROR(__xludf.DUMMYFUNCTION("""COMPUTED_VALUE"""),"C2024121217139306")</f>
        <v>C2024121217139306</v>
      </c>
      <c r="J32" s="6" t="str">
        <f ca="1">IFERROR(__xludf.DUMMYFUNCTION("""COMPUTED_VALUE"""),"MARIA ALONSO CASTRO")</f>
        <v>MARIA ALONSO CASTRO</v>
      </c>
      <c r="K32" s="6">
        <f ca="1">IFERROR(__xludf.DUMMYFUNCTION("""COMPUTED_VALUE"""),2)</f>
        <v>2</v>
      </c>
      <c r="L32" s="139">
        <f ca="1">IFERROR(__xludf.DUMMYFUNCTION("""COMPUTED_VALUE"""),4000)</f>
        <v>4000</v>
      </c>
      <c r="M32" s="6" t="str">
        <f ca="1">IFERROR(__xludf.DUMMYFUNCTION("""COMPUTED_VALUE"""),"03 ORL")</f>
        <v>03 ORL</v>
      </c>
      <c r="N32" s="6" t="str">
        <f ca="1">IFERROR(__xludf.DUMMYFUNCTION("""COMPUTED_VALUE"""),"06 ORL")</f>
        <v>06 ORL</v>
      </c>
      <c r="O32" s="6" t="str">
        <f ca="1">IFERROR(__xludf.DUMMYFUNCTION("""COMPUTED_VALUE"""),"Dra, Paula Aviles Mañoso")</f>
        <v>Dra, Paula Aviles Mañoso</v>
      </c>
      <c r="P32" s="6" t="str">
        <f ca="1">IFERROR(__xludf.DUMMYFUNCTION("""COMPUTED_VALUE"""),"Maika Blázquez (Madrid)")</f>
        <v>Maika Blázquez (Madrid)</v>
      </c>
    </row>
    <row r="33" spans="2:16">
      <c r="B33" s="6">
        <f ca="1">IFERROR(__xludf.DUMMYFUNCTION("""COMPUTED_VALUE"""),2025)</f>
        <v>2025</v>
      </c>
      <c r="C33" s="6">
        <f ca="1">IFERROR(__xludf.DUMMYFUNCTION("""COMPUTED_VALUE"""),1)</f>
        <v>1</v>
      </c>
      <c r="D33" s="6" t="str">
        <f ca="1">IFERROR(__xludf.DUMMYFUNCTION("""COMPUTED_VALUE"""),"NO")</f>
        <v>NO</v>
      </c>
      <c r="E33" s="6" t="str">
        <f ca="1">IFERROR(__xludf.DUMMYFUNCTION("""COMPUTED_VALUE"""),"Leganés")</f>
        <v>Leganés</v>
      </c>
      <c r="F33" s="16">
        <f ca="1">IFERROR(__xludf.DUMMYFUNCTION("""COMPUTED_VALUE"""),45680)</f>
        <v>45680</v>
      </c>
      <c r="G33" s="16">
        <f ca="1">IFERROR(__xludf.DUMMYFUNCTION("""COMPUTED_VALUE"""),45608)</f>
        <v>45608</v>
      </c>
      <c r="H33" s="6" t="str">
        <f ca="1">IFERROR(__xludf.DUMMYFUNCTION("""COMPUTED_VALUE"""),"Leganés")</f>
        <v>Leganés</v>
      </c>
      <c r="I33" s="6" t="str">
        <f ca="1">IFERROR(__xludf.DUMMYFUNCTION("""COMPUTED_VALUE"""),"C20241120181420308")</f>
        <v>C20241120181420308</v>
      </c>
      <c r="J33" s="6" t="str">
        <f ca="1">IFERROR(__xludf.DUMMYFUNCTION("""COMPUTED_VALUE"""),"MARIA GUADALUPE BLANCO RENTERO")</f>
        <v>MARIA GUADALUPE BLANCO RENTERO</v>
      </c>
      <c r="K33" s="6">
        <f ca="1">IFERROR(__xludf.DUMMYFUNCTION("""COMPUTED_VALUE"""),2)</f>
        <v>2</v>
      </c>
      <c r="L33" s="139">
        <f ca="1">IFERROR(__xludf.DUMMYFUNCTION("""COMPUTED_VALUE"""),3954.55)</f>
        <v>3954.55</v>
      </c>
      <c r="M33" s="6" t="str">
        <f ca="1">IFERROR(__xludf.DUMMYFUNCTION("""COMPUTED_VALUE"""),"03 ORL")</f>
        <v>03 ORL</v>
      </c>
      <c r="N33" s="6" t="str">
        <f ca="1">IFERROR(__xludf.DUMMYFUNCTION("""COMPUTED_VALUE"""),"06 ORL")</f>
        <v>06 ORL</v>
      </c>
      <c r="O33" s="6" t="str">
        <f ca="1">IFERROR(__xludf.DUMMYFUNCTION("""COMPUTED_VALUE"""),"Dr, Jesús Ramos Fernández")</f>
        <v>Dr, Jesús Ramos Fernández</v>
      </c>
      <c r="P33" s="6" t="str">
        <f ca="1">IFERROR(__xludf.DUMMYFUNCTION("""COMPUTED_VALUE"""),"Maika Blázquez (Madrid)")</f>
        <v>Maika Blázquez (Madrid)</v>
      </c>
    </row>
    <row r="34" spans="2:16">
      <c r="B34" s="6">
        <f ca="1">IFERROR(__xludf.DUMMYFUNCTION("""COMPUTED_VALUE"""),2025)</f>
        <v>2025</v>
      </c>
      <c r="C34" s="6">
        <f ca="1">IFERROR(__xludf.DUMMYFUNCTION("""COMPUTED_VALUE"""),1)</f>
        <v>1</v>
      </c>
      <c r="D34" s="6" t="str">
        <f ca="1">IFERROR(__xludf.DUMMYFUNCTION("""COMPUTED_VALUE"""),"NO")</f>
        <v>NO</v>
      </c>
      <c r="E34" s="6" t="str">
        <f ca="1">IFERROR(__xludf.DUMMYFUNCTION("""COMPUTED_VALUE"""),"Logroño")</f>
        <v>Logroño</v>
      </c>
      <c r="F34" s="16">
        <f ca="1">IFERROR(__xludf.DUMMYFUNCTION("""COMPUTED_VALUE"""),45677)</f>
        <v>45677</v>
      </c>
      <c r="G34" s="16">
        <f ca="1">IFERROR(__xludf.DUMMYFUNCTION("""COMPUTED_VALUE"""),45614)</f>
        <v>45614</v>
      </c>
      <c r="H34" s="6" t="str">
        <f ca="1">IFERROR(__xludf.DUMMYFUNCTION("""COMPUTED_VALUE"""),"Logroño")</f>
        <v>Logroño</v>
      </c>
      <c r="I34" s="6" t="str">
        <f ca="1">IFERROR(__xludf.DUMMYFUNCTION("""COMPUTED_VALUE"""),"LOG-1439")</f>
        <v>LOG-1439</v>
      </c>
      <c r="J34" s="6" t="str">
        <f ca="1">IFERROR(__xludf.DUMMYFUNCTION("""COMPUTED_VALUE"""),"ANGELINES BURUAGA MEDEL")</f>
        <v>ANGELINES BURUAGA MEDEL</v>
      </c>
      <c r="K34" s="6">
        <f ca="1">IFERROR(__xludf.DUMMYFUNCTION("""COMPUTED_VALUE"""),2)</f>
        <v>2</v>
      </c>
      <c r="L34" s="139">
        <f ca="1">IFERROR(__xludf.DUMMYFUNCTION("""COMPUTED_VALUE"""),3454.55)</f>
        <v>3454.55</v>
      </c>
      <c r="M34" s="6" t="str">
        <f ca="1">IFERROR(__xludf.DUMMYFUNCTION("""COMPUTED_VALUE"""),"03 ORL")</f>
        <v>03 ORL</v>
      </c>
      <c r="N34" s="6" t="str">
        <f ca="1">IFERROR(__xludf.DUMMYFUNCTION("""COMPUTED_VALUE"""),"06 ORL")</f>
        <v>06 ORL</v>
      </c>
      <c r="O34" s="6" t="str">
        <f ca="1">IFERROR(__xludf.DUMMYFUNCTION("""COMPUTED_VALUE"""),"Dr, Fernando Salazar Barcelona")</f>
        <v>Dr, Fernando Salazar Barcelona</v>
      </c>
      <c r="P34" s="6" t="str">
        <f ca="1">IFERROR(__xludf.DUMMYFUNCTION("""COMPUTED_VALUE"""),"Lisandro Russian (Madrid, Cáceres, Toledo, Talavera Y Logroño)")</f>
        <v>Lisandro Russian (Madrid, Cáceres, Toledo, Talavera Y Logroño)</v>
      </c>
    </row>
    <row r="35" spans="2:16">
      <c r="B35" s="6">
        <f ca="1">IFERROR(__xludf.DUMMYFUNCTION("""COMPUTED_VALUE"""),2025)</f>
        <v>2025</v>
      </c>
      <c r="C35" s="6">
        <f ca="1">IFERROR(__xludf.DUMMYFUNCTION("""COMPUTED_VALUE"""),1)</f>
        <v>1</v>
      </c>
      <c r="D35" s="6" t="str">
        <f ca="1">IFERROR(__xludf.DUMMYFUNCTION("""COMPUTED_VALUE"""),"NO")</f>
        <v>NO</v>
      </c>
      <c r="E35" s="6" t="str">
        <f ca="1">IFERROR(__xludf.DUMMYFUNCTION("""COMPUTED_VALUE"""),"Logroño")</f>
        <v>Logroño</v>
      </c>
      <c r="F35" s="16">
        <f ca="1">IFERROR(__xludf.DUMMYFUNCTION("""COMPUTED_VALUE"""),45664)</f>
        <v>45664</v>
      </c>
      <c r="G35" s="16">
        <f ca="1">IFERROR(__xludf.DUMMYFUNCTION("""COMPUTED_VALUE"""),45617)</f>
        <v>45617</v>
      </c>
      <c r="H35" s="6" t="str">
        <f ca="1">IFERROR(__xludf.DUMMYFUNCTION("""COMPUTED_VALUE"""),"Logroño")</f>
        <v>Logroño</v>
      </c>
      <c r="I35" s="6" t="str">
        <f ca="1">IFERROR(__xludf.DUMMYFUNCTION("""COMPUTED_VALUE"""),"LOG-1442")</f>
        <v>LOG-1442</v>
      </c>
      <c r="J35" s="6" t="str">
        <f ca="1">IFERROR(__xludf.DUMMYFUNCTION("""COMPUTED_VALUE"""),"GLORIA CLAVIJO ÍÑIGUEZ")</f>
        <v>GLORIA CLAVIJO ÍÑIGUEZ</v>
      </c>
      <c r="K35" s="6">
        <f ca="1">IFERROR(__xludf.DUMMYFUNCTION("""COMPUTED_VALUE"""),2)</f>
        <v>2</v>
      </c>
      <c r="L35" s="139">
        <f ca="1">IFERROR(__xludf.DUMMYFUNCTION("""COMPUTED_VALUE"""),3454.55)</f>
        <v>3454.55</v>
      </c>
      <c r="M35" s="6" t="str">
        <f ca="1">IFERROR(__xludf.DUMMYFUNCTION("""COMPUTED_VALUE"""),"03 ORL")</f>
        <v>03 ORL</v>
      </c>
      <c r="N35" s="6" t="str">
        <f ca="1">IFERROR(__xludf.DUMMYFUNCTION("""COMPUTED_VALUE"""),"06 ORL")</f>
        <v>06 ORL</v>
      </c>
      <c r="O35" s="6" t="str">
        <f ca="1">IFERROR(__xludf.DUMMYFUNCTION("""COMPUTED_VALUE"""),"Dr, Fernando Salazar Barcelona")</f>
        <v>Dr, Fernando Salazar Barcelona</v>
      </c>
      <c r="P35" s="6" t="str">
        <f ca="1">IFERROR(__xludf.DUMMYFUNCTION("""COMPUTED_VALUE"""),"Lisandro Russian (Madrid, Cáceres, Toledo, Talavera Y Logroño)")</f>
        <v>Lisandro Russian (Madrid, Cáceres, Toledo, Talavera Y Logroño)</v>
      </c>
    </row>
    <row r="36" spans="2:16">
      <c r="B36" s="6">
        <f ca="1">IFERROR(__xludf.DUMMYFUNCTION("""COMPUTED_VALUE"""),2025)</f>
        <v>2025</v>
      </c>
      <c r="C36" s="6">
        <f ca="1">IFERROR(__xludf.DUMMYFUNCTION("""COMPUTED_VALUE"""),1)</f>
        <v>1</v>
      </c>
      <c r="D36" s="6" t="str">
        <f ca="1">IFERROR(__xludf.DUMMYFUNCTION("""COMPUTED_VALUE"""),"NO")</f>
        <v>NO</v>
      </c>
      <c r="E36" s="6" t="str">
        <f ca="1">IFERROR(__xludf.DUMMYFUNCTION("""COMPUTED_VALUE"""),"Logroño")</f>
        <v>Logroño</v>
      </c>
      <c r="F36" s="16">
        <f ca="1">IFERROR(__xludf.DUMMYFUNCTION("""COMPUTED_VALUE"""),45672)</f>
        <v>45672</v>
      </c>
      <c r="G36" s="16">
        <f ca="1">IFERROR(__xludf.DUMMYFUNCTION("""COMPUTED_VALUE"""),45606)</f>
        <v>45606</v>
      </c>
      <c r="H36" s="6" t="str">
        <f ca="1">IFERROR(__xludf.DUMMYFUNCTION("""COMPUTED_VALUE"""),"Logroño")</f>
        <v>Logroño</v>
      </c>
      <c r="I36" s="6" t="str">
        <f ca="1">IFERROR(__xludf.DUMMYFUNCTION("""COMPUTED_VALUE"""),"LOG-1432")</f>
        <v>LOG-1432</v>
      </c>
      <c r="J36" s="6" t="str">
        <f ca="1">IFERROR(__xludf.DUMMYFUNCTION("""COMPUTED_VALUE"""),"MARIA JESUS RANEDO PALACIOS")</f>
        <v>MARIA JESUS RANEDO PALACIOS</v>
      </c>
      <c r="K36" s="6">
        <f ca="1">IFERROR(__xludf.DUMMYFUNCTION("""COMPUTED_VALUE"""),2)</f>
        <v>2</v>
      </c>
      <c r="L36" s="139">
        <f ca="1">IFERROR(__xludf.DUMMYFUNCTION("""COMPUTED_VALUE"""),3454.55)</f>
        <v>3454.55</v>
      </c>
      <c r="M36" s="6" t="str">
        <f ca="1">IFERROR(__xludf.DUMMYFUNCTION("""COMPUTED_VALUE"""),"03 ORL")</f>
        <v>03 ORL</v>
      </c>
      <c r="N36" s="6" t="str">
        <f ca="1">IFERROR(__xludf.DUMMYFUNCTION("""COMPUTED_VALUE"""),"06 ORL")</f>
        <v>06 ORL</v>
      </c>
      <c r="O36" s="6" t="str">
        <f ca="1">IFERROR(__xludf.DUMMYFUNCTION("""COMPUTED_VALUE"""),"Dra, Cristina Ibañez Muñoz")</f>
        <v>Dra, Cristina Ibañez Muñoz</v>
      </c>
      <c r="P36" s="6" t="str">
        <f ca="1">IFERROR(__xludf.DUMMYFUNCTION("""COMPUTED_VALUE"""),"Lisandro Russian (Madrid, Cáceres, Toledo, Talavera Y Logroño)")</f>
        <v>Lisandro Russian (Madrid, Cáceres, Toledo, Talavera Y Logroño)</v>
      </c>
    </row>
    <row r="37" spans="2:16">
      <c r="B37" s="6">
        <f ca="1">IFERROR(__xludf.DUMMYFUNCTION("""COMPUTED_VALUE"""),2025)</f>
        <v>2025</v>
      </c>
      <c r="C37" s="6">
        <f ca="1">IFERROR(__xludf.DUMMYFUNCTION("""COMPUTED_VALUE"""),1)</f>
        <v>1</v>
      </c>
      <c r="D37" s="6" t="str">
        <f ca="1">IFERROR(__xludf.DUMMYFUNCTION("""COMPUTED_VALUE"""),"NO")</f>
        <v>NO</v>
      </c>
      <c r="E37" s="6" t="str">
        <f ca="1">IFERROR(__xludf.DUMMYFUNCTION("""COMPUTED_VALUE"""),"Logroño")</f>
        <v>Logroño</v>
      </c>
      <c r="F37" s="16">
        <f ca="1">IFERROR(__xludf.DUMMYFUNCTION("""COMPUTED_VALUE"""),45687)</f>
        <v>45687</v>
      </c>
      <c r="G37" s="16">
        <f ca="1">IFERROR(__xludf.DUMMYFUNCTION("""COMPUTED_VALUE"""),45667)</f>
        <v>45667</v>
      </c>
      <c r="H37" s="6" t="str">
        <f ca="1">IFERROR(__xludf.DUMMYFUNCTION("""COMPUTED_VALUE"""),"Logroño")</f>
        <v>Logroño</v>
      </c>
      <c r="I37" s="6" t="str">
        <f ca="1">IFERROR(__xludf.DUMMYFUNCTION("""COMPUTED_VALUE"""),"C202511410352396")</f>
        <v>C202511410352396</v>
      </c>
      <c r="J37" s="6" t="str">
        <f ca="1">IFERROR(__xludf.DUMMYFUNCTION("""COMPUTED_VALUE"""),"ROSA MARIA  RUÍZ FERNÁNDEZ")</f>
        <v>ROSA MARIA  RUÍZ FERNÁNDEZ</v>
      </c>
      <c r="K37" s="6">
        <f ca="1">IFERROR(__xludf.DUMMYFUNCTION("""COMPUTED_VALUE"""),2)</f>
        <v>2</v>
      </c>
      <c r="L37" s="139">
        <f ca="1">IFERROR(__xludf.DUMMYFUNCTION("""COMPUTED_VALUE"""),3710)</f>
        <v>3710</v>
      </c>
      <c r="M37" s="6" t="str">
        <f ca="1">IFERROR(__xludf.DUMMYFUNCTION("""COMPUTED_VALUE"""),"03 ORL")</f>
        <v>03 ORL</v>
      </c>
      <c r="N37" s="6" t="str">
        <f ca="1">IFERROR(__xludf.DUMMYFUNCTION("""COMPUTED_VALUE"""),"06 ORL")</f>
        <v>06 ORL</v>
      </c>
      <c r="O37" s="6" t="str">
        <f ca="1">IFERROR(__xludf.DUMMYFUNCTION("""COMPUTED_VALUE"""),"Dr, Fernando Salazar Barcelona")</f>
        <v>Dr, Fernando Salazar Barcelona</v>
      </c>
      <c r="P37" s="6" t="str">
        <f ca="1">IFERROR(__xludf.DUMMYFUNCTION("""COMPUTED_VALUE"""),"Lisandro Russian (Madrid, Cáceres, Toledo, Talavera Y Logroño)")</f>
        <v>Lisandro Russian (Madrid, Cáceres, Toledo, Talavera Y Logroño)</v>
      </c>
    </row>
    <row r="38" spans="2:16">
      <c r="B38" s="6">
        <f ca="1">IFERROR(__xludf.DUMMYFUNCTION("""COMPUTED_VALUE"""),2025)</f>
        <v>2025</v>
      </c>
      <c r="C38" s="6">
        <f ca="1">IFERROR(__xludf.DUMMYFUNCTION("""COMPUTED_VALUE"""),1)</f>
        <v>1</v>
      </c>
      <c r="D38" s="6" t="str">
        <f ca="1">IFERROR(__xludf.DUMMYFUNCTION("""COMPUTED_VALUE"""),"NO")</f>
        <v>NO</v>
      </c>
      <c r="E38" s="6" t="str">
        <f ca="1">IFERROR(__xludf.DUMMYFUNCTION("""COMPUTED_VALUE"""),"Lugo")</f>
        <v>Lugo</v>
      </c>
      <c r="F38" s="16">
        <f ca="1">IFERROR(__xludf.DUMMYFUNCTION("""COMPUTED_VALUE"""),45687)</f>
        <v>45687</v>
      </c>
      <c r="G38" s="16">
        <f ca="1">IFERROR(__xludf.DUMMYFUNCTION("""COMPUTED_VALUE"""),45659)</f>
        <v>45659</v>
      </c>
      <c r="H38" s="6" t="str">
        <f ca="1">IFERROR(__xludf.DUMMYFUNCTION("""COMPUTED_VALUE"""),"Lugo")</f>
        <v>Lugo</v>
      </c>
      <c r="I38" s="6" t="str">
        <f ca="1">IFERROR(__xludf.DUMMYFUNCTION("""COMPUTED_VALUE"""),"C202519112040208")</f>
        <v>C202519112040208</v>
      </c>
      <c r="J38" s="6" t="str">
        <f ca="1">IFERROR(__xludf.DUMMYFUNCTION("""COMPUTED_VALUE"""),"JOSE DANIEL LUGILDE RIVAS")</f>
        <v>JOSE DANIEL LUGILDE RIVAS</v>
      </c>
      <c r="K38" s="6">
        <f ca="1">IFERROR(__xludf.DUMMYFUNCTION("""COMPUTED_VALUE"""),2)</f>
        <v>2</v>
      </c>
      <c r="L38" s="139">
        <f ca="1">IFERROR(__xludf.DUMMYFUNCTION("""COMPUTED_VALUE"""),3800)</f>
        <v>3800</v>
      </c>
      <c r="M38" s="6" t="str">
        <f ca="1">IFERROR(__xludf.DUMMYFUNCTION("""COMPUTED_VALUE"""),"04 TIENDA")</f>
        <v>04 TIENDA</v>
      </c>
      <c r="N38" s="6" t="str">
        <f ca="1">IFERROR(__xludf.DUMMYFUNCTION("""COMPUTED_VALUE"""),"07 BOCA/BOCA")</f>
        <v>07 BOCA/BOCA</v>
      </c>
      <c r="O38" s="6" t="str">
        <f ca="1">IFERROR(__xludf.DUMMYFUNCTION("""COMPUTED_VALUE"""),"Dr, Pedro Juiz López")</f>
        <v>Dr, Pedro Juiz López</v>
      </c>
      <c r="P38" s="6" t="str">
        <f ca="1">IFERROR(__xludf.DUMMYFUNCTION("""COMPUTED_VALUE"""),"Roberto Pereira (Galicia)")</f>
        <v>Roberto Pereira (Galicia)</v>
      </c>
    </row>
    <row r="39" spans="2:16">
      <c r="B39" s="6">
        <f ca="1">IFERROR(__xludf.DUMMYFUNCTION("""COMPUTED_VALUE"""),2025)</f>
        <v>2025</v>
      </c>
      <c r="C39" s="6">
        <f ca="1">IFERROR(__xludf.DUMMYFUNCTION("""COMPUTED_VALUE"""),1)</f>
        <v>1</v>
      </c>
      <c r="D39" s="6" t="str">
        <f ca="1">IFERROR(__xludf.DUMMYFUNCTION("""COMPUTED_VALUE"""),"NO")</f>
        <v>NO</v>
      </c>
      <c r="E39" s="6" t="str">
        <f ca="1">IFERROR(__xludf.DUMMYFUNCTION("""COMPUTED_VALUE"""),"Madrid- Canillas")</f>
        <v>Madrid- Canillas</v>
      </c>
      <c r="F39" s="16">
        <f ca="1">IFERROR(__xludf.DUMMYFUNCTION("""COMPUTED_VALUE"""),45688)</f>
        <v>45688</v>
      </c>
      <c r="G39" s="16">
        <f ca="1">IFERROR(__xludf.DUMMYFUNCTION("""COMPUTED_VALUE"""),45666)</f>
        <v>45666</v>
      </c>
      <c r="H39" s="6" t="str">
        <f ca="1">IFERROR(__xludf.DUMMYFUNCTION("""COMPUTED_VALUE"""),"Canillas")</f>
        <v>Canillas</v>
      </c>
      <c r="I39" s="6" t="str">
        <f ca="1">IFERROR(__xludf.DUMMYFUNCTION("""COMPUTED_VALUE"""),"C202511410415761")</f>
        <v>C202511410415761</v>
      </c>
      <c r="J39" s="6" t="str">
        <f ca="1">IFERROR(__xludf.DUMMYFUNCTION("""COMPUTED_VALUE"""),"ÁNGELES RODRÍGUEZ CASTILLO")</f>
        <v>ÁNGELES RODRÍGUEZ CASTILLO</v>
      </c>
      <c r="K39" s="6">
        <f ca="1">IFERROR(__xludf.DUMMYFUNCTION("""COMPUTED_VALUE"""),2)</f>
        <v>2</v>
      </c>
      <c r="L39" s="139">
        <f ca="1">IFERROR(__xludf.DUMMYFUNCTION("""COMPUTED_VALUE"""),4000)</f>
        <v>4000</v>
      </c>
      <c r="M39" s="6" t="str">
        <f ca="1">IFERROR(__xludf.DUMMYFUNCTION("""COMPUTED_VALUE"""),"03 ORL")</f>
        <v>03 ORL</v>
      </c>
      <c r="N39" s="6" t="str">
        <f ca="1">IFERROR(__xludf.DUMMYFUNCTION("""COMPUTED_VALUE"""),"06 ORL")</f>
        <v>06 ORL</v>
      </c>
      <c r="O39" s="6" t="str">
        <f ca="1">IFERROR(__xludf.DUMMYFUNCTION("""COMPUTED_VALUE"""),"Dr, José Gustavo Barroso Braojos")</f>
        <v>Dr, José Gustavo Barroso Braojos</v>
      </c>
      <c r="P39" s="6" t="str">
        <f ca="1">IFERROR(__xludf.DUMMYFUNCTION("""COMPUTED_VALUE"""),"Maika Blázquez (Madrid)")</f>
        <v>Maika Blázquez (Madrid)</v>
      </c>
    </row>
    <row r="40" spans="2:16">
      <c r="B40" s="6">
        <f ca="1">IFERROR(__xludf.DUMMYFUNCTION("""COMPUTED_VALUE"""),2025)</f>
        <v>2025</v>
      </c>
      <c r="C40" s="6">
        <f ca="1">IFERROR(__xludf.DUMMYFUNCTION("""COMPUTED_VALUE"""),1)</f>
        <v>1</v>
      </c>
      <c r="D40" s="6" t="str">
        <f ca="1">IFERROR(__xludf.DUMMYFUNCTION("""COMPUTED_VALUE"""),"NO")</f>
        <v>NO</v>
      </c>
      <c r="E40" s="6" t="str">
        <f ca="1">IFERROR(__xludf.DUMMYFUNCTION("""COMPUTED_VALUE"""),"Madrid- Canillas")</f>
        <v>Madrid- Canillas</v>
      </c>
      <c r="F40" s="16">
        <f ca="1">IFERROR(__xludf.DUMMYFUNCTION("""COMPUTED_VALUE"""),45688)</f>
        <v>45688</v>
      </c>
      <c r="G40" s="16">
        <f ca="1">IFERROR(__xludf.DUMMYFUNCTION("""COMPUTED_VALUE"""),45637)</f>
        <v>45637</v>
      </c>
      <c r="H40" s="6" t="str">
        <f ca="1">IFERROR(__xludf.DUMMYFUNCTION("""COMPUTED_VALUE"""),"Canillas")</f>
        <v>Canillas</v>
      </c>
      <c r="I40" s="6" t="str">
        <f ca="1">IFERROR(__xludf.DUMMYFUNCTION("""COMPUTED_VALUE"""),"C202412201233494")</f>
        <v>C202412201233494</v>
      </c>
      <c r="J40" s="6" t="str">
        <f ca="1">IFERROR(__xludf.DUMMYFUNCTION("""COMPUTED_VALUE"""),"ARACELI BARRIOS MONTENEGRO")</f>
        <v>ARACELI BARRIOS MONTENEGRO</v>
      </c>
      <c r="K40" s="6">
        <f ca="1">IFERROR(__xludf.DUMMYFUNCTION("""COMPUTED_VALUE"""),2)</f>
        <v>2</v>
      </c>
      <c r="L40" s="139">
        <f ca="1">IFERROR(__xludf.DUMMYFUNCTION("""COMPUTED_VALUE"""),4000)</f>
        <v>4000</v>
      </c>
      <c r="M40" s="6" t="str">
        <f ca="1">IFERROR(__xludf.DUMMYFUNCTION("""COMPUTED_VALUE"""),"03 ORL")</f>
        <v>03 ORL</v>
      </c>
      <c r="N40" s="6" t="str">
        <f ca="1">IFERROR(__xludf.DUMMYFUNCTION("""COMPUTED_VALUE"""),"06 ORL")</f>
        <v>06 ORL</v>
      </c>
      <c r="O40" s="6" t="str">
        <f ca="1">IFERROR(__xludf.DUMMYFUNCTION("""COMPUTED_VALUE"""),"Dra, Helena Moreno Pardo")</f>
        <v>Dra, Helena Moreno Pardo</v>
      </c>
      <c r="P40" s="6" t="str">
        <f ca="1">IFERROR(__xludf.DUMMYFUNCTION("""COMPUTED_VALUE"""),"Maika Blázquez (Madrid)")</f>
        <v>Maika Blázquez (Madrid)</v>
      </c>
    </row>
    <row r="41" spans="2:16">
      <c r="B41" s="6">
        <f ca="1">IFERROR(__xludf.DUMMYFUNCTION("""COMPUTED_VALUE"""),2025)</f>
        <v>2025</v>
      </c>
      <c r="C41" s="6">
        <f ca="1">IFERROR(__xludf.DUMMYFUNCTION("""COMPUTED_VALUE"""),1)</f>
        <v>1</v>
      </c>
      <c r="D41" s="6" t="str">
        <f ca="1">IFERROR(__xludf.DUMMYFUNCTION("""COMPUTED_VALUE"""),"NO")</f>
        <v>NO</v>
      </c>
      <c r="E41" s="6" t="str">
        <f ca="1">IFERROR(__xludf.DUMMYFUNCTION("""COMPUTED_VALUE"""),"Madrid- Canillas")</f>
        <v>Madrid- Canillas</v>
      </c>
      <c r="F41" s="16">
        <f ca="1">IFERROR(__xludf.DUMMYFUNCTION("""COMPUTED_VALUE"""),45686)</f>
        <v>45686</v>
      </c>
      <c r="G41" s="16">
        <f ca="1">IFERROR(__xludf.DUMMYFUNCTION("""COMPUTED_VALUE"""),45618)</f>
        <v>45618</v>
      </c>
      <c r="H41" s="6" t="str">
        <f ca="1">IFERROR(__xludf.DUMMYFUNCTION("""COMPUTED_VALUE"""),"Canillas")</f>
        <v>Canillas</v>
      </c>
      <c r="I41" s="6" t="str">
        <f ca="1">IFERROR(__xludf.DUMMYFUNCTION("""COMPUTED_VALUE"""),"C2024112712183693")</f>
        <v>C2024112712183693</v>
      </c>
      <c r="J41" s="6" t="str">
        <f ca="1">IFERROR(__xludf.DUMMYFUNCTION("""COMPUTED_VALUE"""),"ENCARNACIÓN MARTOS GUALDA")</f>
        <v>ENCARNACIÓN MARTOS GUALDA</v>
      </c>
      <c r="K41" s="6">
        <f ca="1">IFERROR(__xludf.DUMMYFUNCTION("""COMPUTED_VALUE"""),2)</f>
        <v>2</v>
      </c>
      <c r="L41" s="139">
        <f ca="1">IFERROR(__xludf.DUMMYFUNCTION("""COMPUTED_VALUE"""),4000)</f>
        <v>4000</v>
      </c>
      <c r="M41" s="6" t="str">
        <f ca="1">IFERROR(__xludf.DUMMYFUNCTION("""COMPUTED_VALUE"""),"03 ORL")</f>
        <v>03 ORL</v>
      </c>
      <c r="N41" s="6" t="str">
        <f ca="1">IFERROR(__xludf.DUMMYFUNCTION("""COMPUTED_VALUE"""),"06 ORL")</f>
        <v>06 ORL</v>
      </c>
      <c r="O41" s="6" t="str">
        <f ca="1">IFERROR(__xludf.DUMMYFUNCTION("""COMPUTED_VALUE"""),"Dr, José Gustavo Barroso Braojos")</f>
        <v>Dr, José Gustavo Barroso Braojos</v>
      </c>
      <c r="P41" s="6" t="str">
        <f ca="1">IFERROR(__xludf.DUMMYFUNCTION("""COMPUTED_VALUE"""),"Maika Blázquez (Madrid)")</f>
        <v>Maika Blázquez (Madrid)</v>
      </c>
    </row>
    <row r="42" spans="2:16">
      <c r="B42" s="6">
        <f ca="1">IFERROR(__xludf.DUMMYFUNCTION("""COMPUTED_VALUE"""),2025)</f>
        <v>2025</v>
      </c>
      <c r="C42" s="6">
        <f ca="1">IFERROR(__xludf.DUMMYFUNCTION("""COMPUTED_VALUE"""),1)</f>
        <v>1</v>
      </c>
      <c r="D42" s="6" t="str">
        <f ca="1">IFERROR(__xludf.DUMMYFUNCTION("""COMPUTED_VALUE"""),"NO")</f>
        <v>NO</v>
      </c>
      <c r="E42" s="6" t="str">
        <f ca="1">IFERROR(__xludf.DUMMYFUNCTION("""COMPUTED_VALUE"""),"Madrid- Canillas")</f>
        <v>Madrid- Canillas</v>
      </c>
      <c r="F42" s="16">
        <f ca="1">IFERROR(__xludf.DUMMYFUNCTION("""COMPUTED_VALUE"""),45674)</f>
        <v>45674</v>
      </c>
      <c r="G42" s="16">
        <f ca="1">IFERROR(__xludf.DUMMYFUNCTION("""COMPUTED_VALUE"""),45636)</f>
        <v>45636</v>
      </c>
      <c r="H42" s="6" t="str">
        <f ca="1">IFERROR(__xludf.DUMMYFUNCTION("""COMPUTED_VALUE"""),"Canillas")</f>
        <v>Canillas</v>
      </c>
      <c r="I42" s="6" t="str">
        <f ca="1">IFERROR(__xludf.DUMMYFUNCTION("""COMPUTED_VALUE"""),"C20241218174838482")</f>
        <v>C20241218174838482</v>
      </c>
      <c r="J42" s="6" t="str">
        <f ca="1">IFERROR(__xludf.DUMMYFUNCTION("""COMPUTED_VALUE"""),"LUCAS CALZA FERNANDEZ")</f>
        <v>LUCAS CALZA FERNANDEZ</v>
      </c>
      <c r="K42" s="6">
        <f ca="1">IFERROR(__xludf.DUMMYFUNCTION("""COMPUTED_VALUE"""),2)</f>
        <v>2</v>
      </c>
      <c r="L42" s="139">
        <f ca="1">IFERROR(__xludf.DUMMYFUNCTION("""COMPUTED_VALUE"""),4000)</f>
        <v>4000</v>
      </c>
      <c r="M42" s="6" t="str">
        <f ca="1">IFERROR(__xludf.DUMMYFUNCTION("""COMPUTED_VALUE"""),"03 ORL")</f>
        <v>03 ORL</v>
      </c>
      <c r="N42" s="6" t="str">
        <f ca="1">IFERROR(__xludf.DUMMYFUNCTION("""COMPUTED_VALUE"""),"06 ORL")</f>
        <v>06 ORL</v>
      </c>
      <c r="O42" s="6" t="str">
        <f ca="1">IFERROR(__xludf.DUMMYFUNCTION("""COMPUTED_VALUE"""),"Dr, José Gustavo Barroso Braojos")</f>
        <v>Dr, José Gustavo Barroso Braojos</v>
      </c>
      <c r="P42" s="6" t="str">
        <f ca="1">IFERROR(__xludf.DUMMYFUNCTION("""COMPUTED_VALUE"""),"Maika Blázquez (Madrid)")</f>
        <v>Maika Blázquez (Madrid)</v>
      </c>
    </row>
    <row r="43" spans="2:16">
      <c r="B43" s="6">
        <f ca="1">IFERROR(__xludf.DUMMYFUNCTION("""COMPUTED_VALUE"""),2025)</f>
        <v>2025</v>
      </c>
      <c r="C43" s="6">
        <f ca="1">IFERROR(__xludf.DUMMYFUNCTION("""COMPUTED_VALUE"""),1)</f>
        <v>1</v>
      </c>
      <c r="D43" s="6" t="str">
        <f ca="1">IFERROR(__xludf.DUMMYFUNCTION("""COMPUTED_VALUE"""),"NO")</f>
        <v>NO</v>
      </c>
      <c r="E43" s="6" t="str">
        <f ca="1">IFERROR(__xludf.DUMMYFUNCTION("""COMPUTED_VALUE"""),"Madrid- Canillas")</f>
        <v>Madrid- Canillas</v>
      </c>
      <c r="F43" s="16">
        <f ca="1">IFERROR(__xludf.DUMMYFUNCTION("""COMPUTED_VALUE"""),45670)</f>
        <v>45670</v>
      </c>
      <c r="G43" s="16">
        <f ca="1">IFERROR(__xludf.DUMMYFUNCTION("""COMPUTED_VALUE"""),45645)</f>
        <v>45645</v>
      </c>
      <c r="H43" s="6" t="str">
        <f ca="1">IFERROR(__xludf.DUMMYFUNCTION("""COMPUTED_VALUE"""),"Canillas")</f>
        <v>Canillas</v>
      </c>
      <c r="I43" s="6" t="str">
        <f ca="1">IFERROR(__xludf.DUMMYFUNCTION("""COMPUTED_VALUE"""),"C202412311206101")</f>
        <v>C202412311206101</v>
      </c>
      <c r="J43" s="6" t="str">
        <f ca="1">IFERROR(__xludf.DUMMYFUNCTION("""COMPUTED_VALUE"""),"TOÑI LOMAS CULEBRAS")</f>
        <v>TOÑI LOMAS CULEBRAS</v>
      </c>
      <c r="K43" s="6">
        <f ca="1">IFERROR(__xludf.DUMMYFUNCTION("""COMPUTED_VALUE"""),1)</f>
        <v>1</v>
      </c>
      <c r="L43" s="139">
        <f ca="1">IFERROR(__xludf.DUMMYFUNCTION("""COMPUTED_VALUE"""),2129.09)</f>
        <v>2129.09</v>
      </c>
      <c r="M43" s="6" t="str">
        <f ca="1">IFERROR(__xludf.DUMMYFUNCTION("""COMPUTED_VALUE"""),"03 ORL")</f>
        <v>03 ORL</v>
      </c>
      <c r="N43" s="6" t="str">
        <f ca="1">IFERROR(__xludf.DUMMYFUNCTION("""COMPUTED_VALUE"""),"06 ORL")</f>
        <v>06 ORL</v>
      </c>
      <c r="O43" s="6" t="str">
        <f ca="1">IFERROR(__xludf.DUMMYFUNCTION("""COMPUTED_VALUE"""),"Dr, José Gustavo Barroso Braojos")</f>
        <v>Dr, José Gustavo Barroso Braojos</v>
      </c>
      <c r="P43" s="6" t="str">
        <f ca="1">IFERROR(__xludf.DUMMYFUNCTION("""COMPUTED_VALUE"""),"Maika Blázquez (Madrid)")</f>
        <v>Maika Blázquez (Madrid)</v>
      </c>
    </row>
    <row r="44" spans="2:16">
      <c r="B44" s="6">
        <f ca="1">IFERROR(__xludf.DUMMYFUNCTION("""COMPUTED_VALUE"""),2025)</f>
        <v>2025</v>
      </c>
      <c r="C44" s="6">
        <f ca="1">IFERROR(__xludf.DUMMYFUNCTION("""COMPUTED_VALUE"""),1)</f>
        <v>1</v>
      </c>
      <c r="D44" s="6" t="str">
        <f ca="1">IFERROR(__xludf.DUMMYFUNCTION("""COMPUTED_VALUE"""),"NO")</f>
        <v>NO</v>
      </c>
      <c r="E44" s="6" t="str">
        <f ca="1">IFERROR(__xludf.DUMMYFUNCTION("""COMPUTED_VALUE"""),"Madrid- Juan Bravo")</f>
        <v>Madrid- Juan Bravo</v>
      </c>
      <c r="F44" s="16">
        <f ca="1">IFERROR(__xludf.DUMMYFUNCTION("""COMPUTED_VALUE"""),45688)</f>
        <v>45688</v>
      </c>
      <c r="G44" s="16">
        <f ca="1">IFERROR(__xludf.DUMMYFUNCTION("""COMPUTED_VALUE"""),45657)</f>
        <v>45657</v>
      </c>
      <c r="H44" s="6" t="str">
        <f ca="1">IFERROR(__xludf.DUMMYFUNCTION("""COMPUTED_VALUE"""),"Juan Bravo")</f>
        <v>Juan Bravo</v>
      </c>
      <c r="I44" s="6" t="str">
        <f ca="1">IFERROR(__xludf.DUMMYFUNCTION("""COMPUTED_VALUE"""),"C20251151155656")</f>
        <v>C20251151155656</v>
      </c>
      <c r="J44" s="6" t="str">
        <f ca="1">IFERROR(__xludf.DUMMYFUNCTION("""COMPUTED_VALUE"""),"ANTONIO PALOMINO GUIJARRO")</f>
        <v>ANTONIO PALOMINO GUIJARRO</v>
      </c>
      <c r="K44" s="6">
        <f ca="1">IFERROR(__xludf.DUMMYFUNCTION("""COMPUTED_VALUE"""),1)</f>
        <v>1</v>
      </c>
      <c r="L44" s="139">
        <f ca="1">IFERROR(__xludf.DUMMYFUNCTION("""COMPUTED_VALUE"""),2400)</f>
        <v>2400</v>
      </c>
      <c r="M44" s="6" t="str">
        <f ca="1">IFERROR(__xludf.DUMMYFUNCTION("""COMPUTED_VALUE"""),"03 ORL")</f>
        <v>03 ORL</v>
      </c>
      <c r="N44" s="6" t="str">
        <f ca="1">IFERROR(__xludf.DUMMYFUNCTION("""COMPUTED_VALUE"""),"06 ORL")</f>
        <v>06 ORL</v>
      </c>
      <c r="O44" s="6" t="str">
        <f ca="1">IFERROR(__xludf.DUMMYFUNCTION("""COMPUTED_VALUE"""),"Dr, Javier García Domínguez")</f>
        <v>Dr, Javier García Domínguez</v>
      </c>
      <c r="P44" s="6" t="str">
        <f ca="1">IFERROR(__xludf.DUMMYFUNCTION("""COMPUTED_VALUE"""),"Maika Blázquez (Madrid)")</f>
        <v>Maika Blázquez (Madrid)</v>
      </c>
    </row>
    <row r="45" spans="2:16">
      <c r="B45" s="6">
        <f ca="1">IFERROR(__xludf.DUMMYFUNCTION("""COMPUTED_VALUE"""),2025)</f>
        <v>2025</v>
      </c>
      <c r="C45" s="6">
        <f ca="1">IFERROR(__xludf.DUMMYFUNCTION("""COMPUTED_VALUE"""),1)</f>
        <v>1</v>
      </c>
      <c r="D45" s="6" t="str">
        <f ca="1">IFERROR(__xludf.DUMMYFUNCTION("""COMPUTED_VALUE"""),"NO")</f>
        <v>NO</v>
      </c>
      <c r="E45" s="6" t="str">
        <f ca="1">IFERROR(__xludf.DUMMYFUNCTION("""COMPUTED_VALUE"""),"Madrid- Juan Bravo")</f>
        <v>Madrid- Juan Bravo</v>
      </c>
      <c r="F45" s="16">
        <f ca="1">IFERROR(__xludf.DUMMYFUNCTION("""COMPUTED_VALUE"""),45667)</f>
        <v>45667</v>
      </c>
      <c r="G45" s="16">
        <f ca="1">IFERROR(__xludf.DUMMYFUNCTION("""COMPUTED_VALUE"""),45607)</f>
        <v>45607</v>
      </c>
      <c r="H45" s="6" t="str">
        <f ca="1">IFERROR(__xludf.DUMMYFUNCTION("""COMPUTED_VALUE"""),"Juan Bravo")</f>
        <v>Juan Bravo</v>
      </c>
      <c r="I45" s="6" t="str">
        <f ca="1">IFERROR(__xludf.DUMMYFUNCTION("""COMPUTED_VALUE"""),"C2024111416514352")</f>
        <v>C2024111416514352</v>
      </c>
      <c r="J45" s="6" t="str">
        <f ca="1">IFERROR(__xludf.DUMMYFUNCTION("""COMPUTED_VALUE"""),"ELENA ESTHER MONZON TARDON")</f>
        <v>ELENA ESTHER MONZON TARDON</v>
      </c>
      <c r="K45" s="6">
        <f ca="1">IFERROR(__xludf.DUMMYFUNCTION("""COMPUTED_VALUE"""),2)</f>
        <v>2</v>
      </c>
      <c r="L45" s="139">
        <f ca="1">IFERROR(__xludf.DUMMYFUNCTION("""COMPUTED_VALUE"""),3929.55)</f>
        <v>3929.55</v>
      </c>
      <c r="M45" s="6" t="str">
        <f ca="1">IFERROR(__xludf.DUMMYFUNCTION("""COMPUTED_VALUE"""),"03 ORL")</f>
        <v>03 ORL</v>
      </c>
      <c r="N45" s="6" t="str">
        <f ca="1">IFERROR(__xludf.DUMMYFUNCTION("""COMPUTED_VALUE"""),"06 ORL")</f>
        <v>06 ORL</v>
      </c>
      <c r="O45" s="1" t="str">
        <f ca="1">IFERROR(__xludf.DUMMYFUNCTION("""COMPUTED_VALUE"""),"Dr, Esteban Scola Pliego")</f>
        <v>Dr, Esteban Scola Pliego</v>
      </c>
      <c r="P45" s="6" t="str">
        <f ca="1">IFERROR(__xludf.DUMMYFUNCTION("""COMPUTED_VALUE"""),"Maika Blázquez (Madrid)")</f>
        <v>Maika Blázquez (Madrid)</v>
      </c>
    </row>
    <row r="46" spans="2:16">
      <c r="B46" s="6">
        <f ca="1">IFERROR(__xludf.DUMMYFUNCTION("""COMPUTED_VALUE"""),2025)</f>
        <v>2025</v>
      </c>
      <c r="C46" s="6">
        <f ca="1">IFERROR(__xludf.DUMMYFUNCTION("""COMPUTED_VALUE"""),1)</f>
        <v>1</v>
      </c>
      <c r="D46" s="6" t="str">
        <f ca="1">IFERROR(__xludf.DUMMYFUNCTION("""COMPUTED_VALUE"""),"NO")</f>
        <v>NO</v>
      </c>
      <c r="E46" s="6" t="str">
        <f ca="1">IFERROR(__xludf.DUMMYFUNCTION("""COMPUTED_VALUE"""),"Madrid- Juan Bravo")</f>
        <v>Madrid- Juan Bravo</v>
      </c>
      <c r="F46" s="16">
        <f ca="1">IFERROR(__xludf.DUMMYFUNCTION("""COMPUTED_VALUE"""),45688)</f>
        <v>45688</v>
      </c>
      <c r="G46" s="16">
        <f ca="1">IFERROR(__xludf.DUMMYFUNCTION("""COMPUTED_VALUE"""),45673)</f>
        <v>45673</v>
      </c>
      <c r="H46" s="6" t="str">
        <f ca="1">IFERROR(__xludf.DUMMYFUNCTION("""COMPUTED_VALUE"""),"Juan Bravo")</f>
        <v>Juan Bravo</v>
      </c>
      <c r="I46" s="6" t="str">
        <f ca="1">IFERROR(__xludf.DUMMYFUNCTION("""COMPUTED_VALUE"""),"C2025121112454757")</f>
        <v>C2025121112454757</v>
      </c>
      <c r="J46" s="6" t="str">
        <f ca="1">IFERROR(__xludf.DUMMYFUNCTION("""COMPUTED_VALUE"""),"FRANCISCO JAVIER DE LA MORENA  DE VEGA")</f>
        <v>FRANCISCO JAVIER DE LA MORENA  DE VEGA</v>
      </c>
      <c r="K46" s="6">
        <f ca="1">IFERROR(__xludf.DUMMYFUNCTION("""COMPUTED_VALUE"""),2)</f>
        <v>2</v>
      </c>
      <c r="L46" s="139">
        <f ca="1">IFERROR(__xludf.DUMMYFUNCTION("""COMPUTED_VALUE"""),4400)</f>
        <v>4400</v>
      </c>
      <c r="M46" s="6" t="str">
        <f ca="1">IFERROR(__xludf.DUMMYFUNCTION("""COMPUTED_VALUE"""),"03 ORL")</f>
        <v>03 ORL</v>
      </c>
      <c r="N46" s="6" t="str">
        <f ca="1">IFERROR(__xludf.DUMMYFUNCTION("""COMPUTED_VALUE"""),"06 ORL")</f>
        <v>06 ORL</v>
      </c>
      <c r="O46" s="6" t="str">
        <f ca="1">IFERROR(__xludf.DUMMYFUNCTION("""COMPUTED_VALUE"""),"Dr, Francisco Javier Redondo Del Barco")</f>
        <v>Dr, Francisco Javier Redondo Del Barco</v>
      </c>
      <c r="P46" s="6" t="str">
        <f ca="1">IFERROR(__xludf.DUMMYFUNCTION("""COMPUTED_VALUE"""),"Lisandro Russian (Madrid, Cáceres, Toledo, Talavera Y Logroño)")</f>
        <v>Lisandro Russian (Madrid, Cáceres, Toledo, Talavera Y Logroño)</v>
      </c>
    </row>
    <row r="47" spans="2:16">
      <c r="B47" s="6">
        <f ca="1">IFERROR(__xludf.DUMMYFUNCTION("""COMPUTED_VALUE"""),2025)</f>
        <v>2025</v>
      </c>
      <c r="C47" s="6">
        <f ca="1">IFERROR(__xludf.DUMMYFUNCTION("""COMPUTED_VALUE"""),1)</f>
        <v>1</v>
      </c>
      <c r="D47" s="6" t="str">
        <f ca="1">IFERROR(__xludf.DUMMYFUNCTION("""COMPUTED_VALUE"""),"NO")</f>
        <v>NO</v>
      </c>
      <c r="E47" s="6" t="str">
        <f ca="1">IFERROR(__xludf.DUMMYFUNCTION("""COMPUTED_VALUE"""),"Madrid- Juan Bravo")</f>
        <v>Madrid- Juan Bravo</v>
      </c>
      <c r="F47" s="16">
        <f ca="1">IFERROR(__xludf.DUMMYFUNCTION("""COMPUTED_VALUE"""),45667)</f>
        <v>45667</v>
      </c>
      <c r="G47" s="16">
        <f ca="1">IFERROR(__xludf.DUMMYFUNCTION("""COMPUTED_VALUE"""),45618)</f>
        <v>45618</v>
      </c>
      <c r="H47" s="6" t="str">
        <f ca="1">IFERROR(__xludf.DUMMYFUNCTION("""COMPUTED_VALUE"""),"Juan Bravo")</f>
        <v>Juan Bravo</v>
      </c>
      <c r="I47" s="6" t="str">
        <f ca="1">IFERROR(__xludf.DUMMYFUNCTION("""COMPUTED_VALUE"""),"C20241129155616137")</f>
        <v>C20241129155616137</v>
      </c>
      <c r="J47" s="6" t="str">
        <f ca="1">IFERROR(__xludf.DUMMYFUNCTION("""COMPUTED_VALUE"""),"IMNACULADA CANET ALCAMI")</f>
        <v>IMNACULADA CANET ALCAMI</v>
      </c>
      <c r="K47" s="6">
        <f ca="1">IFERROR(__xludf.DUMMYFUNCTION("""COMPUTED_VALUE"""),2)</f>
        <v>2</v>
      </c>
      <c r="L47" s="139">
        <f ca="1">IFERROR(__xludf.DUMMYFUNCTION("""COMPUTED_VALUE"""),3654.05)</f>
        <v>3654.05</v>
      </c>
      <c r="M47" s="6" t="str">
        <f ca="1">IFERROR(__xludf.DUMMYFUNCTION("""COMPUTED_VALUE"""),"03 ORL")</f>
        <v>03 ORL</v>
      </c>
      <c r="N47" s="6" t="str">
        <f ca="1">IFERROR(__xludf.DUMMYFUNCTION("""COMPUTED_VALUE"""),"06 ORL")</f>
        <v>06 ORL</v>
      </c>
      <c r="O47" s="6" t="str">
        <f ca="1">IFERROR(__xludf.DUMMYFUNCTION("""COMPUTED_VALUE"""),"Dr, Javier García Domínguez")</f>
        <v>Dr, Javier García Domínguez</v>
      </c>
      <c r="P47" s="6" t="str">
        <f ca="1">IFERROR(__xludf.DUMMYFUNCTION("""COMPUTED_VALUE"""),"Maika Blázquez (Madrid)")</f>
        <v>Maika Blázquez (Madrid)</v>
      </c>
    </row>
    <row r="48" spans="2:16">
      <c r="B48" s="6">
        <f ca="1">IFERROR(__xludf.DUMMYFUNCTION("""COMPUTED_VALUE"""),2025)</f>
        <v>2025</v>
      </c>
      <c r="C48" s="6">
        <f ca="1">IFERROR(__xludf.DUMMYFUNCTION("""COMPUTED_VALUE"""),1)</f>
        <v>1</v>
      </c>
      <c r="D48" s="6" t="str">
        <f ca="1">IFERROR(__xludf.DUMMYFUNCTION("""COMPUTED_VALUE"""),"NO")</f>
        <v>NO</v>
      </c>
      <c r="E48" s="6" t="str">
        <f ca="1">IFERROR(__xludf.DUMMYFUNCTION("""COMPUTED_VALUE"""),"Madrid- Juan Bravo")</f>
        <v>Madrid- Juan Bravo</v>
      </c>
      <c r="F48" s="16">
        <f ca="1">IFERROR(__xludf.DUMMYFUNCTION("""COMPUTED_VALUE"""),45685)</f>
        <v>45685</v>
      </c>
      <c r="G48" s="16">
        <f ca="1">IFERROR(__xludf.DUMMYFUNCTION("""COMPUTED_VALUE"""),45659)</f>
        <v>45659</v>
      </c>
      <c r="H48" s="6" t="str">
        <f ca="1">IFERROR(__xludf.DUMMYFUNCTION("""COMPUTED_VALUE"""),"Juan Bravo")</f>
        <v>Juan Bravo</v>
      </c>
      <c r="I48" s="6" t="str">
        <f ca="1">IFERROR(__xludf.DUMMYFUNCTION("""COMPUTED_VALUE"""),"C20251817508449")</f>
        <v>C20251817508449</v>
      </c>
      <c r="J48" s="6" t="str">
        <f ca="1">IFERROR(__xludf.DUMMYFUNCTION("""COMPUTED_VALUE"""),"JESUS LLORENTE MARTINEZ")</f>
        <v>JESUS LLORENTE MARTINEZ</v>
      </c>
      <c r="K48" s="6">
        <f ca="1">IFERROR(__xludf.DUMMYFUNCTION("""COMPUTED_VALUE"""),2)</f>
        <v>2</v>
      </c>
      <c r="L48" s="139">
        <f ca="1">IFERROR(__xludf.DUMMYFUNCTION("""COMPUTED_VALUE"""),4400)</f>
        <v>4400</v>
      </c>
      <c r="M48" s="6" t="str">
        <f ca="1">IFERROR(__xludf.DUMMYFUNCTION("""COMPUTED_VALUE"""),"03 ORL")</f>
        <v>03 ORL</v>
      </c>
      <c r="N48" s="6" t="str">
        <f ca="1">IFERROR(__xludf.DUMMYFUNCTION("""COMPUTED_VALUE"""),"06 ORL")</f>
        <v>06 ORL</v>
      </c>
      <c r="O48" s="6" t="str">
        <f ca="1">IFERROR(__xludf.DUMMYFUNCTION("""COMPUTED_VALUE"""),"Dr, Javier García Domínguez")</f>
        <v>Dr, Javier García Domínguez</v>
      </c>
      <c r="P48" s="6" t="str">
        <f ca="1">IFERROR(__xludf.DUMMYFUNCTION("""COMPUTED_VALUE"""),"Maika Blázquez (Madrid)")</f>
        <v>Maika Blázquez (Madrid)</v>
      </c>
    </row>
    <row r="49" spans="2:16">
      <c r="B49" s="6">
        <f ca="1">IFERROR(__xludf.DUMMYFUNCTION("""COMPUTED_VALUE"""),2025)</f>
        <v>2025</v>
      </c>
      <c r="C49" s="6">
        <f ca="1">IFERROR(__xludf.DUMMYFUNCTION("""COMPUTED_VALUE"""),1)</f>
        <v>1</v>
      </c>
      <c r="D49" s="6" t="str">
        <f ca="1">IFERROR(__xludf.DUMMYFUNCTION("""COMPUTED_VALUE"""),"NO")</f>
        <v>NO</v>
      </c>
      <c r="E49" s="6" t="str">
        <f ca="1">IFERROR(__xludf.DUMMYFUNCTION("""COMPUTED_VALUE"""),"Madrid- Juan Bravo")</f>
        <v>Madrid- Juan Bravo</v>
      </c>
      <c r="F49" s="16">
        <f ca="1">IFERROR(__xludf.DUMMYFUNCTION("""COMPUTED_VALUE"""),45671)</f>
        <v>45671</v>
      </c>
      <c r="G49" s="16">
        <f ca="1">IFERROR(__xludf.DUMMYFUNCTION("""COMPUTED_VALUE"""),45609)</f>
        <v>45609</v>
      </c>
      <c r="H49" s="6" t="str">
        <f ca="1">IFERROR(__xludf.DUMMYFUNCTION("""COMPUTED_VALUE"""),"Juan Bravo")</f>
        <v>Juan Bravo</v>
      </c>
      <c r="I49" s="6" t="str">
        <f ca="1">IFERROR(__xludf.DUMMYFUNCTION("""COMPUTED_VALUE"""),"C2024111917659894")</f>
        <v>C2024111917659894</v>
      </c>
      <c r="J49" s="6" t="str">
        <f ca="1">IFERROR(__xludf.DUMMYFUNCTION("""COMPUTED_VALUE"""),"JUAN LEOVEL FALCON HURI")</f>
        <v>JUAN LEOVEL FALCON HURI</v>
      </c>
      <c r="K49" s="6">
        <f ca="1">IFERROR(__xludf.DUMMYFUNCTION("""COMPUTED_VALUE"""),2)</f>
        <v>2</v>
      </c>
      <c r="L49" s="139">
        <f ca="1">IFERROR(__xludf.DUMMYFUNCTION("""COMPUTED_VALUE"""),3306.36)</f>
        <v>3306.36</v>
      </c>
      <c r="M49" s="6" t="str">
        <f ca="1">IFERROR(__xludf.DUMMYFUNCTION("""COMPUTED_VALUE"""),"03 ORL")</f>
        <v>03 ORL</v>
      </c>
      <c r="N49" s="6" t="str">
        <f ca="1">IFERROR(__xludf.DUMMYFUNCTION("""COMPUTED_VALUE"""),"06 ORL")</f>
        <v>06 ORL</v>
      </c>
      <c r="O49" s="6" t="str">
        <f ca="1">IFERROR(__xludf.DUMMYFUNCTION("""COMPUTED_VALUE"""),"Dr, Carlos Barajas Del Rosal")</f>
        <v>Dr, Carlos Barajas Del Rosal</v>
      </c>
      <c r="P49" s="6" t="str">
        <f ca="1">IFERROR(__xludf.DUMMYFUNCTION("""COMPUTED_VALUE"""),"Lisandro Russian (Madrid, Cáceres, Toledo, Talavera Y Logroño)")</f>
        <v>Lisandro Russian (Madrid, Cáceres, Toledo, Talavera Y Logroño)</v>
      </c>
    </row>
    <row r="50" spans="2:16">
      <c r="B50" s="6">
        <f ca="1">IFERROR(__xludf.DUMMYFUNCTION("""COMPUTED_VALUE"""),2025)</f>
        <v>2025</v>
      </c>
      <c r="C50" s="6">
        <f ca="1">IFERROR(__xludf.DUMMYFUNCTION("""COMPUTED_VALUE"""),1)</f>
        <v>1</v>
      </c>
      <c r="D50" s="6" t="str">
        <f ca="1">IFERROR(__xludf.DUMMYFUNCTION("""COMPUTED_VALUE"""),"NO")</f>
        <v>NO</v>
      </c>
      <c r="E50" s="6" t="str">
        <f ca="1">IFERROR(__xludf.DUMMYFUNCTION("""COMPUTED_VALUE"""),"Madrid- Juan Bravo")</f>
        <v>Madrid- Juan Bravo</v>
      </c>
      <c r="F50" s="16">
        <f ca="1">IFERROR(__xludf.DUMMYFUNCTION("""COMPUTED_VALUE"""),45680)</f>
        <v>45680</v>
      </c>
      <c r="G50" s="16">
        <f ca="1">IFERROR(__xludf.DUMMYFUNCTION("""COMPUTED_VALUE"""),44951)</f>
        <v>44951</v>
      </c>
      <c r="H50" s="6" t="str">
        <f ca="1">IFERROR(__xludf.DUMMYFUNCTION("""COMPUTED_VALUE"""),"Juan Bravo")</f>
        <v>Juan Bravo</v>
      </c>
      <c r="I50" s="6" t="str">
        <f ca="1">IFERROR(__xludf.DUMMYFUNCTION("""COMPUTED_VALUE"""),"JBR-1709")</f>
        <v>JBR-1709</v>
      </c>
      <c r="J50" s="6" t="str">
        <f ca="1">IFERROR(__xludf.DUMMYFUNCTION("""COMPUTED_VALUE"""),"MARIA ASUNCION GARCIA DEL CAMPO FALCO")</f>
        <v>MARIA ASUNCION GARCIA DEL CAMPO FALCO</v>
      </c>
      <c r="K50" s="6">
        <f ca="1">IFERROR(__xludf.DUMMYFUNCTION("""COMPUTED_VALUE"""),1)</f>
        <v>1</v>
      </c>
      <c r="L50" s="139">
        <f ca="1">IFERROR(__xludf.DUMMYFUNCTION("""COMPUTED_VALUE"""),2280)</f>
        <v>2280</v>
      </c>
      <c r="M50" s="6" t="str">
        <f ca="1">IFERROR(__xludf.DUMMYFUNCTION("""COMPUTED_VALUE"""),"03 ORL")</f>
        <v>03 ORL</v>
      </c>
      <c r="N50" s="6" t="str">
        <f ca="1">IFERROR(__xludf.DUMMYFUNCTION("""COMPUTED_VALUE"""),"06 ORL")</f>
        <v>06 ORL</v>
      </c>
      <c r="O50" s="6" t="str">
        <f ca="1">IFERROR(__xludf.DUMMYFUNCTION("""COMPUTED_VALUE"""),"Dr, Antonio Bueno Ríos")</f>
        <v>Dr, Antonio Bueno Ríos</v>
      </c>
      <c r="P50" s="6" t="str">
        <f ca="1">IFERROR(__xludf.DUMMYFUNCTION("""COMPUTED_VALUE"""),"Lisandro Russian (Madrid, Cáceres, Toledo, Talavera Y Logroño)")</f>
        <v>Lisandro Russian (Madrid, Cáceres, Toledo, Talavera Y Logroño)</v>
      </c>
    </row>
    <row r="51" spans="2:16">
      <c r="B51" s="6">
        <f ca="1">IFERROR(__xludf.DUMMYFUNCTION("""COMPUTED_VALUE"""),2025)</f>
        <v>2025</v>
      </c>
      <c r="C51" s="6">
        <f ca="1">IFERROR(__xludf.DUMMYFUNCTION("""COMPUTED_VALUE"""),1)</f>
        <v>1</v>
      </c>
      <c r="D51" s="6" t="str">
        <f ca="1">IFERROR(__xludf.DUMMYFUNCTION("""COMPUTED_VALUE"""),"NO")</f>
        <v>NO</v>
      </c>
      <c r="E51" s="6" t="str">
        <f ca="1">IFERROR(__xludf.DUMMYFUNCTION("""COMPUTED_VALUE"""),"Madrid- La Oca")</f>
        <v>Madrid- La Oca</v>
      </c>
      <c r="F51" s="16">
        <f ca="1">IFERROR(__xludf.DUMMYFUNCTION("""COMPUTED_VALUE"""),45670)</f>
        <v>45670</v>
      </c>
      <c r="G51" s="16">
        <f ca="1">IFERROR(__xludf.DUMMYFUNCTION("""COMPUTED_VALUE"""),45636)</f>
        <v>45636</v>
      </c>
      <c r="H51" s="6" t="str">
        <f ca="1">IFERROR(__xludf.DUMMYFUNCTION("""COMPUTED_VALUE"""),"La Oca")</f>
        <v>La Oca</v>
      </c>
      <c r="I51" s="6" t="str">
        <f ca="1">IFERROR(__xludf.DUMMYFUNCTION("""COMPUTED_VALUE"""),"C20241217123741115")</f>
        <v>C20241217123741115</v>
      </c>
      <c r="J51" s="6" t="str">
        <f ca="1">IFERROR(__xludf.DUMMYFUNCTION("""COMPUTED_VALUE"""),"BASILIA LOPEZ DOMINGUEZ")</f>
        <v>BASILIA LOPEZ DOMINGUEZ</v>
      </c>
      <c r="K51" s="6">
        <f ca="1">IFERROR(__xludf.DUMMYFUNCTION("""COMPUTED_VALUE"""),2)</f>
        <v>2</v>
      </c>
      <c r="L51" s="139">
        <f ca="1">IFERROR(__xludf.DUMMYFUNCTION("""COMPUTED_VALUE"""),4000)</f>
        <v>4000</v>
      </c>
      <c r="M51" s="6" t="str">
        <f ca="1">IFERROR(__xludf.DUMMYFUNCTION("""COMPUTED_VALUE"""),"03 ORL")</f>
        <v>03 ORL</v>
      </c>
      <c r="N51" s="6" t="str">
        <f ca="1">IFERROR(__xludf.DUMMYFUNCTION("""COMPUTED_VALUE"""),"06 ORL")</f>
        <v>06 ORL</v>
      </c>
      <c r="O51" s="6" t="str">
        <f ca="1">IFERROR(__xludf.DUMMYFUNCTION("""COMPUTED_VALUE"""),"Dr, José Joaquín Gutiérrez Barquín")</f>
        <v>Dr, José Joaquín Gutiérrez Barquín</v>
      </c>
      <c r="P51" s="6" t="str">
        <f ca="1">IFERROR(__xludf.DUMMYFUNCTION("""COMPUTED_VALUE"""),"Maika Blázquez (Madrid)")</f>
        <v>Maika Blázquez (Madrid)</v>
      </c>
    </row>
    <row r="52" spans="2:16">
      <c r="B52" s="6">
        <f ca="1">IFERROR(__xludf.DUMMYFUNCTION("""COMPUTED_VALUE"""),2025)</f>
        <v>2025</v>
      </c>
      <c r="C52" s="6">
        <f ca="1">IFERROR(__xludf.DUMMYFUNCTION("""COMPUTED_VALUE"""),1)</f>
        <v>1</v>
      </c>
      <c r="D52" s="6" t="str">
        <f ca="1">IFERROR(__xludf.DUMMYFUNCTION("""COMPUTED_VALUE"""),"NO")</f>
        <v>NO</v>
      </c>
      <c r="E52" s="6" t="str">
        <f ca="1">IFERROR(__xludf.DUMMYFUNCTION("""COMPUTED_VALUE"""),"Madrid- La Oca")</f>
        <v>Madrid- La Oca</v>
      </c>
      <c r="F52" s="16">
        <f ca="1">IFERROR(__xludf.DUMMYFUNCTION("""COMPUTED_VALUE"""),45679)</f>
        <v>45679</v>
      </c>
      <c r="G52" s="16">
        <f ca="1">IFERROR(__xludf.DUMMYFUNCTION("""COMPUTED_VALUE"""),45646)</f>
        <v>45646</v>
      </c>
      <c r="H52" s="6" t="str">
        <f ca="1">IFERROR(__xludf.DUMMYFUNCTION("""COMPUTED_VALUE"""),"La Oca")</f>
        <v>La Oca</v>
      </c>
      <c r="I52" s="6" t="str">
        <f ca="1">IFERROR(__xludf.DUMMYFUNCTION("""COMPUTED_VALUE"""),"C20251911101907")</f>
        <v>C20251911101907</v>
      </c>
      <c r="J52" s="6" t="str">
        <f ca="1">IFERROR(__xludf.DUMMYFUNCTION("""COMPUTED_VALUE"""),"BENJAMINA MARGARITA PEREZ GIL")</f>
        <v>BENJAMINA MARGARITA PEREZ GIL</v>
      </c>
      <c r="K52" s="6">
        <f ca="1">IFERROR(__xludf.DUMMYFUNCTION("""COMPUTED_VALUE"""),2)</f>
        <v>2</v>
      </c>
      <c r="L52" s="139">
        <f ca="1">IFERROR(__xludf.DUMMYFUNCTION("""COMPUTED_VALUE"""),4000)</f>
        <v>4000</v>
      </c>
      <c r="M52" s="6" t="str">
        <f ca="1">IFERROR(__xludf.DUMMYFUNCTION("""COMPUTED_VALUE"""),"03 ORL")</f>
        <v>03 ORL</v>
      </c>
      <c r="N52" s="6" t="str">
        <f ca="1">IFERROR(__xludf.DUMMYFUNCTION("""COMPUTED_VALUE"""),"06 ORL")</f>
        <v>06 ORL</v>
      </c>
      <c r="O52" s="6" t="str">
        <f ca="1">IFERROR(__xludf.DUMMYFUNCTION("""COMPUTED_VALUE"""),"Dr, José Joaquín Gutiérrez Barquín")</f>
        <v>Dr, José Joaquín Gutiérrez Barquín</v>
      </c>
      <c r="P52" s="6" t="str">
        <f ca="1">IFERROR(__xludf.DUMMYFUNCTION("""COMPUTED_VALUE"""),"Maika Blázquez (Madrid)")</f>
        <v>Maika Blázquez (Madrid)</v>
      </c>
    </row>
    <row r="53" spans="2:16">
      <c r="B53" s="6">
        <f ca="1">IFERROR(__xludf.DUMMYFUNCTION("""COMPUTED_VALUE"""),2025)</f>
        <v>2025</v>
      </c>
      <c r="C53" s="6">
        <f ca="1">IFERROR(__xludf.DUMMYFUNCTION("""COMPUTED_VALUE"""),1)</f>
        <v>1</v>
      </c>
      <c r="D53" s="6" t="str">
        <f ca="1">IFERROR(__xludf.DUMMYFUNCTION("""COMPUTED_VALUE"""),"NO")</f>
        <v>NO</v>
      </c>
      <c r="E53" s="6" t="str">
        <f ca="1">IFERROR(__xludf.DUMMYFUNCTION("""COMPUTED_VALUE"""),"Madrid- La Oca")</f>
        <v>Madrid- La Oca</v>
      </c>
      <c r="F53" s="16">
        <f ca="1">IFERROR(__xludf.DUMMYFUNCTION("""COMPUTED_VALUE"""),45665)</f>
        <v>45665</v>
      </c>
      <c r="G53" s="16">
        <f ca="1">IFERROR(__xludf.DUMMYFUNCTION("""COMPUTED_VALUE"""),45637)</f>
        <v>45637</v>
      </c>
      <c r="H53" s="6" t="str">
        <f ca="1">IFERROR(__xludf.DUMMYFUNCTION("""COMPUTED_VALUE"""),"La Oca")</f>
        <v>La Oca</v>
      </c>
      <c r="I53" s="6" t="str">
        <f ca="1">IFERROR(__xludf.DUMMYFUNCTION("""COMPUTED_VALUE"""),"C20241216104748")</f>
        <v>C20241216104748</v>
      </c>
      <c r="J53" s="6" t="str">
        <f ca="1">IFERROR(__xludf.DUMMYFUNCTION("""COMPUTED_VALUE"""),"HORTENSIA TRUJILLO LUMBRERAS")</f>
        <v>HORTENSIA TRUJILLO LUMBRERAS</v>
      </c>
      <c r="K53" s="6">
        <f ca="1">IFERROR(__xludf.DUMMYFUNCTION("""COMPUTED_VALUE"""),2)</f>
        <v>2</v>
      </c>
      <c r="L53" s="139">
        <f ca="1">IFERROR(__xludf.DUMMYFUNCTION("""COMPUTED_VALUE"""),4000)</f>
        <v>4000</v>
      </c>
      <c r="M53" s="6" t="str">
        <f ca="1">IFERROR(__xludf.DUMMYFUNCTION("""COMPUTED_VALUE"""),"03 ORL")</f>
        <v>03 ORL</v>
      </c>
      <c r="N53" s="6" t="str">
        <f ca="1">IFERROR(__xludf.DUMMYFUNCTION("""COMPUTED_VALUE"""),"06 ORL")</f>
        <v>06 ORL</v>
      </c>
      <c r="O53" s="6" t="str">
        <f ca="1">IFERROR(__xludf.DUMMYFUNCTION("""COMPUTED_VALUE"""),"Dr, Andreas Schilling Borghesi")</f>
        <v>Dr, Andreas Schilling Borghesi</v>
      </c>
      <c r="P53" s="6" t="str">
        <f ca="1">IFERROR(__xludf.DUMMYFUNCTION("""COMPUTED_VALUE"""),"Maika Blázquez (Madrid)")</f>
        <v>Maika Blázquez (Madrid)</v>
      </c>
    </row>
    <row r="54" spans="2:16">
      <c r="B54" s="6">
        <f ca="1">IFERROR(__xludf.DUMMYFUNCTION("""COMPUTED_VALUE"""),2025)</f>
        <v>2025</v>
      </c>
      <c r="C54" s="6">
        <f ca="1">IFERROR(__xludf.DUMMYFUNCTION("""COMPUTED_VALUE"""),1)</f>
        <v>1</v>
      </c>
      <c r="D54" s="6" t="str">
        <f ca="1">IFERROR(__xludf.DUMMYFUNCTION("""COMPUTED_VALUE"""),"NO")</f>
        <v>NO</v>
      </c>
      <c r="E54" s="6" t="str">
        <f ca="1">IFERROR(__xludf.DUMMYFUNCTION("""COMPUTED_VALUE"""),"Madrid- La Oca")</f>
        <v>Madrid- La Oca</v>
      </c>
      <c r="F54" s="16">
        <f ca="1">IFERROR(__xludf.DUMMYFUNCTION("""COMPUTED_VALUE"""),45670)</f>
        <v>45670</v>
      </c>
      <c r="G54" s="16">
        <f ca="1">IFERROR(__xludf.DUMMYFUNCTION("""COMPUTED_VALUE"""),45628)</f>
        <v>45628</v>
      </c>
      <c r="H54" s="6" t="str">
        <f ca="1">IFERROR(__xludf.DUMMYFUNCTION("""COMPUTED_VALUE"""),"La Oca")</f>
        <v>La Oca</v>
      </c>
      <c r="I54" s="6" t="str">
        <f ca="1">IFERROR(__xludf.DUMMYFUNCTION("""COMPUTED_VALUE"""),"C20241212173616605")</f>
        <v>C20241212173616605</v>
      </c>
      <c r="J54" s="6" t="str">
        <f ca="1">IFERROR(__xludf.DUMMYFUNCTION("""COMPUTED_VALUE"""),"LEONCIO GARCIA SANTOS")</f>
        <v>LEONCIO GARCIA SANTOS</v>
      </c>
      <c r="K54" s="6">
        <f ca="1">IFERROR(__xludf.DUMMYFUNCTION("""COMPUTED_VALUE"""),2)</f>
        <v>2</v>
      </c>
      <c r="L54" s="139">
        <f ca="1">IFERROR(__xludf.DUMMYFUNCTION("""COMPUTED_VALUE"""),2888.18)</f>
        <v>2888.18</v>
      </c>
      <c r="M54" s="6" t="str">
        <f ca="1">IFERROR(__xludf.DUMMYFUNCTION("""COMPUTED_VALUE"""),"04 TIENDA")</f>
        <v>04 TIENDA</v>
      </c>
      <c r="N54" s="6" t="str">
        <f ca="1">IFERROR(__xludf.DUMMYFUNCTION("""COMPUTED_VALUE"""),"07 BOCA/BOCA")</f>
        <v>07 BOCA/BOCA</v>
      </c>
      <c r="O54" s="6" t="str">
        <f ca="1">IFERROR(__xludf.DUMMYFUNCTION("""COMPUTED_VALUE"""),"Dra, Bárbara Castillo Ávila")</f>
        <v>Dra, Bárbara Castillo Ávila</v>
      </c>
      <c r="P54" s="6" t="str">
        <f ca="1">IFERROR(__xludf.DUMMYFUNCTION("""COMPUTED_VALUE"""),"Maika Blázquez (Madrid)")</f>
        <v>Maika Blázquez (Madrid)</v>
      </c>
    </row>
    <row r="55" spans="2:16">
      <c r="B55" s="6">
        <f ca="1">IFERROR(__xludf.DUMMYFUNCTION("""COMPUTED_VALUE"""),2025)</f>
        <v>2025</v>
      </c>
      <c r="C55" s="6">
        <f ca="1">IFERROR(__xludf.DUMMYFUNCTION("""COMPUTED_VALUE"""),1)</f>
        <v>1</v>
      </c>
      <c r="D55" s="6" t="str">
        <f ca="1">IFERROR(__xludf.DUMMYFUNCTION("""COMPUTED_VALUE"""),"NO")</f>
        <v>NO</v>
      </c>
      <c r="E55" s="6" t="str">
        <f ca="1">IFERROR(__xludf.DUMMYFUNCTION("""COMPUTED_VALUE"""),"Madrid- La Oca")</f>
        <v>Madrid- La Oca</v>
      </c>
      <c r="F55" s="16">
        <f ca="1">IFERROR(__xludf.DUMMYFUNCTION("""COMPUTED_VALUE"""),45672)</f>
        <v>45672</v>
      </c>
      <c r="G55" s="16">
        <f ca="1">IFERROR(__xludf.DUMMYFUNCTION("""COMPUTED_VALUE"""),45639)</f>
        <v>45639</v>
      </c>
      <c r="H55" s="6" t="str">
        <f ca="1">IFERROR(__xludf.DUMMYFUNCTION("""COMPUTED_VALUE"""),"La Oca")</f>
        <v>La Oca</v>
      </c>
      <c r="I55" s="6" t="str">
        <f ca="1">IFERROR(__xludf.DUMMYFUNCTION("""COMPUTED_VALUE"""),"C2024122011142323")</f>
        <v>C2024122011142323</v>
      </c>
      <c r="J55" s="6" t="str">
        <f ca="1">IFERROR(__xludf.DUMMYFUNCTION("""COMPUTED_VALUE"""),"MANUEL RUIZ SOTO")</f>
        <v>MANUEL RUIZ SOTO</v>
      </c>
      <c r="K55" s="6">
        <f ca="1">IFERROR(__xludf.DUMMYFUNCTION("""COMPUTED_VALUE"""),2)</f>
        <v>2</v>
      </c>
      <c r="L55" s="139">
        <f ca="1">IFERROR(__xludf.DUMMYFUNCTION("""COMPUTED_VALUE"""),3454.55)</f>
        <v>3454.55</v>
      </c>
      <c r="M55" s="6" t="str">
        <f ca="1">IFERROR(__xludf.DUMMYFUNCTION("""COMPUTED_VALUE"""),"03 ORL")</f>
        <v>03 ORL</v>
      </c>
      <c r="N55" s="6" t="str">
        <f ca="1">IFERROR(__xludf.DUMMYFUNCTION("""COMPUTED_VALUE"""),"06 ORL")</f>
        <v>06 ORL</v>
      </c>
      <c r="O55" s="6" t="str">
        <f ca="1">IFERROR(__xludf.DUMMYFUNCTION("""COMPUTED_VALUE"""),"Dr, José Joaquín Gutiérrez Barquín")</f>
        <v>Dr, José Joaquín Gutiérrez Barquín</v>
      </c>
      <c r="P55" s="6" t="str">
        <f ca="1">IFERROR(__xludf.DUMMYFUNCTION("""COMPUTED_VALUE"""),"Maika Blázquez (Madrid)")</f>
        <v>Maika Blázquez (Madrid)</v>
      </c>
    </row>
    <row r="56" spans="2:16">
      <c r="B56" s="6">
        <f ca="1">IFERROR(__xludf.DUMMYFUNCTION("""COMPUTED_VALUE"""),2025)</f>
        <v>2025</v>
      </c>
      <c r="C56" s="6">
        <f ca="1">IFERROR(__xludf.DUMMYFUNCTION("""COMPUTED_VALUE"""),1)</f>
        <v>1</v>
      </c>
      <c r="D56" s="6" t="str">
        <f ca="1">IFERROR(__xludf.DUMMYFUNCTION("""COMPUTED_VALUE"""),"NO")</f>
        <v>NO</v>
      </c>
      <c r="E56" s="6" t="str">
        <f ca="1">IFERROR(__xludf.DUMMYFUNCTION("""COMPUTED_VALUE"""),"Madrid- La Oca")</f>
        <v>Madrid- La Oca</v>
      </c>
      <c r="F56" s="16">
        <f ca="1">IFERROR(__xludf.DUMMYFUNCTION("""COMPUTED_VALUE"""),45671)</f>
        <v>45671</v>
      </c>
      <c r="G56" s="16">
        <f ca="1">IFERROR(__xludf.DUMMYFUNCTION("""COMPUTED_VALUE"""),45611)</f>
        <v>45611</v>
      </c>
      <c r="H56" s="6" t="str">
        <f ca="1">IFERROR(__xludf.DUMMYFUNCTION("""COMPUTED_VALUE"""),"La Oca")</f>
        <v>La Oca</v>
      </c>
      <c r="I56" s="6" t="str">
        <f ca="1">IFERROR(__xludf.DUMMYFUNCTION("""COMPUTED_VALUE"""),"C2024121017551960")</f>
        <v>C2024121017551960</v>
      </c>
      <c r="J56" s="6" t="str">
        <f ca="1">IFERROR(__xludf.DUMMYFUNCTION("""COMPUTED_VALUE"""),"MARIA DEL CARMEN ORTEGA SUAREZ")</f>
        <v>MARIA DEL CARMEN ORTEGA SUAREZ</v>
      </c>
      <c r="K56" s="6">
        <f ca="1">IFERROR(__xludf.DUMMYFUNCTION("""COMPUTED_VALUE"""),1)</f>
        <v>1</v>
      </c>
      <c r="L56" s="139">
        <f ca="1">IFERROR(__xludf.DUMMYFUNCTION("""COMPUTED_VALUE"""),2226.36)</f>
        <v>2226.36</v>
      </c>
      <c r="M56" s="6" t="str">
        <f ca="1">IFERROR(__xludf.DUMMYFUNCTION("""COMPUTED_VALUE"""),"03 ORL")</f>
        <v>03 ORL</v>
      </c>
      <c r="N56" s="6" t="str">
        <f ca="1">IFERROR(__xludf.DUMMYFUNCTION("""COMPUTED_VALUE"""),"06 ORL")</f>
        <v>06 ORL</v>
      </c>
      <c r="O56" s="6" t="str">
        <f ca="1">IFERROR(__xludf.DUMMYFUNCTION("""COMPUTED_VALUE"""),"Dr, Joaquín Alacio Casero")</f>
        <v>Dr, Joaquín Alacio Casero</v>
      </c>
      <c r="P56" s="6" t="str">
        <f ca="1">IFERROR(__xludf.DUMMYFUNCTION("""COMPUTED_VALUE"""),"Maika Blázquez (Madrid)")</f>
        <v>Maika Blázquez (Madrid)</v>
      </c>
    </row>
    <row r="57" spans="2:16">
      <c r="B57" s="6">
        <f ca="1">IFERROR(__xludf.DUMMYFUNCTION("""COMPUTED_VALUE"""),2025)</f>
        <v>2025</v>
      </c>
      <c r="C57" s="6">
        <f ca="1">IFERROR(__xludf.DUMMYFUNCTION("""COMPUTED_VALUE"""),1)</f>
        <v>1</v>
      </c>
      <c r="D57" s="6" t="str">
        <f ca="1">IFERROR(__xludf.DUMMYFUNCTION("""COMPUTED_VALUE"""),"NO")</f>
        <v>NO</v>
      </c>
      <c r="E57" s="6" t="str">
        <f ca="1">IFERROR(__xludf.DUMMYFUNCTION("""COMPUTED_VALUE"""),"Madrid- La Oca")</f>
        <v>Madrid- La Oca</v>
      </c>
      <c r="F57" s="16">
        <f ca="1">IFERROR(__xludf.DUMMYFUNCTION("""COMPUTED_VALUE"""),45677)</f>
        <v>45677</v>
      </c>
      <c r="G57" s="16">
        <f ca="1">IFERROR(__xludf.DUMMYFUNCTION("""COMPUTED_VALUE"""),45573)</f>
        <v>45573</v>
      </c>
      <c r="H57" s="6" t="str">
        <f ca="1">IFERROR(__xludf.DUMMYFUNCTION("""COMPUTED_VALUE"""),"La Oca")</f>
        <v>La Oca</v>
      </c>
      <c r="I57" s="6" t="str">
        <f ca="1">IFERROR(__xludf.DUMMYFUNCTION("""COMPUTED_VALUE"""),"C20251816254155")</f>
        <v>C20251816254155</v>
      </c>
      <c r="J57" s="6" t="str">
        <f ca="1">IFERROR(__xludf.DUMMYFUNCTION("""COMPUTED_VALUE"""),"MIGUEL ANGEL CRESPO DENCHE")</f>
        <v>MIGUEL ANGEL CRESPO DENCHE</v>
      </c>
      <c r="K57" s="6">
        <f ca="1">IFERROR(__xludf.DUMMYFUNCTION("""COMPUTED_VALUE"""),2)</f>
        <v>2</v>
      </c>
      <c r="L57" s="139">
        <f ca="1">IFERROR(__xludf.DUMMYFUNCTION("""COMPUTED_VALUE"""),2884.62)</f>
        <v>2884.62</v>
      </c>
      <c r="M57" s="6" t="str">
        <f ca="1">IFERROR(__xludf.DUMMYFUNCTION("""COMPUTED_VALUE"""),"03 ORL")</f>
        <v>03 ORL</v>
      </c>
      <c r="N57" s="6" t="str">
        <f ca="1">IFERROR(__xludf.DUMMYFUNCTION("""COMPUTED_VALUE"""),"06 ORL")</f>
        <v>06 ORL</v>
      </c>
      <c r="O57" s="6" t="str">
        <f ca="1">IFERROR(__xludf.DUMMYFUNCTION("""COMPUTED_VALUE"""),"Dr, Adolfo Carlos Hinojar Gutierrez")</f>
        <v>Dr, Adolfo Carlos Hinojar Gutierrez</v>
      </c>
      <c r="P57" s="6" t="str">
        <f ca="1">IFERROR(__xludf.DUMMYFUNCTION("""COMPUTED_VALUE"""),"Lisandro Russian (Madrid, Cáceres, Toledo, Talavera Y Logroño)")</f>
        <v>Lisandro Russian (Madrid, Cáceres, Toledo, Talavera Y Logroño)</v>
      </c>
    </row>
    <row r="58" spans="2:16">
      <c r="B58" s="6">
        <f ca="1">IFERROR(__xludf.DUMMYFUNCTION("""COMPUTED_VALUE"""),2025)</f>
        <v>2025</v>
      </c>
      <c r="C58" s="6">
        <f ca="1">IFERROR(__xludf.DUMMYFUNCTION("""COMPUTED_VALUE"""),1)</f>
        <v>1</v>
      </c>
      <c r="D58" s="6" t="str">
        <f ca="1">IFERROR(__xludf.DUMMYFUNCTION("""COMPUTED_VALUE"""),"NO")</f>
        <v>NO</v>
      </c>
      <c r="E58" s="6" t="str">
        <f ca="1">IFERROR(__xludf.DUMMYFUNCTION("""COMPUTED_VALUE"""),"Madrid- La Oca")</f>
        <v>Madrid- La Oca</v>
      </c>
      <c r="F58" s="16">
        <f ca="1">IFERROR(__xludf.DUMMYFUNCTION("""COMPUTED_VALUE"""),45681)</f>
        <v>45681</v>
      </c>
      <c r="G58" s="16">
        <f ca="1">IFERROR(__xludf.DUMMYFUNCTION("""COMPUTED_VALUE"""),45625)</f>
        <v>45625</v>
      </c>
      <c r="H58" s="6" t="str">
        <f ca="1">IFERROR(__xludf.DUMMYFUNCTION("""COMPUTED_VALUE"""),"La Oca")</f>
        <v>La Oca</v>
      </c>
      <c r="I58" s="6" t="str">
        <f ca="1">IFERROR(__xludf.DUMMYFUNCTION("""COMPUTED_VALUE"""),"C20241211122841761")</f>
        <v>C20241211122841761</v>
      </c>
      <c r="J58" s="6" t="str">
        <f ca="1">IFERROR(__xludf.DUMMYFUNCTION("""COMPUTED_VALUE"""),"ROBERTO RODRIGUEZ MARTIN")</f>
        <v>ROBERTO RODRIGUEZ MARTIN</v>
      </c>
      <c r="K58" s="6">
        <f ca="1">IFERROR(__xludf.DUMMYFUNCTION("""COMPUTED_VALUE"""),2)</f>
        <v>2</v>
      </c>
      <c r="L58" s="139">
        <f ca="1">IFERROR(__xludf.DUMMYFUNCTION("""COMPUTED_VALUE"""),4000)</f>
        <v>4000</v>
      </c>
      <c r="M58" s="6" t="str">
        <f ca="1">IFERROR(__xludf.DUMMYFUNCTION("""COMPUTED_VALUE"""),"03 ORL")</f>
        <v>03 ORL</v>
      </c>
      <c r="N58" s="6" t="str">
        <f ca="1">IFERROR(__xludf.DUMMYFUNCTION("""COMPUTED_VALUE"""),"06 ORL")</f>
        <v>06 ORL</v>
      </c>
      <c r="O58" s="6" t="str">
        <f ca="1">IFERROR(__xludf.DUMMYFUNCTION("""COMPUTED_VALUE"""),"Dra, Alicia Suárez Calvo")</f>
        <v>Dra, Alicia Suárez Calvo</v>
      </c>
      <c r="P58" s="6" t="str">
        <f ca="1">IFERROR(__xludf.DUMMYFUNCTION("""COMPUTED_VALUE"""),"Lisandro Russian (Madrid, Cáceres, Toledo, Talavera Y Logroño)")</f>
        <v>Lisandro Russian (Madrid, Cáceres, Toledo, Talavera Y Logroño)</v>
      </c>
    </row>
    <row r="59" spans="2:16">
      <c r="B59" s="6">
        <f ca="1">IFERROR(__xludf.DUMMYFUNCTION("""COMPUTED_VALUE"""),2025)</f>
        <v>2025</v>
      </c>
      <c r="C59" s="6">
        <f ca="1">IFERROR(__xludf.DUMMYFUNCTION("""COMPUTED_VALUE"""),1)</f>
        <v>1</v>
      </c>
      <c r="D59" s="6" t="str">
        <f ca="1">IFERROR(__xludf.DUMMYFUNCTION("""COMPUTED_VALUE"""),"NO")</f>
        <v>NO</v>
      </c>
      <c r="E59" s="6" t="str">
        <f ca="1">IFERROR(__xludf.DUMMYFUNCTION("""COMPUTED_VALUE"""),"Madrid- La Oca")</f>
        <v>Madrid- La Oca</v>
      </c>
      <c r="F59" s="16">
        <f ca="1">IFERROR(__xludf.DUMMYFUNCTION("""COMPUTED_VALUE"""),45678)</f>
        <v>45678</v>
      </c>
      <c r="G59" s="16">
        <f ca="1">IFERROR(__xludf.DUMMYFUNCTION("""COMPUTED_VALUE"""),45610)</f>
        <v>45610</v>
      </c>
      <c r="H59" s="6" t="str">
        <f ca="1">IFERROR(__xludf.DUMMYFUNCTION("""COMPUTED_VALUE"""),"La Oca")</f>
        <v>La Oca</v>
      </c>
      <c r="I59" s="6" t="str">
        <f ca="1">IFERROR(__xludf.DUMMYFUNCTION("""COMPUTED_VALUE"""),"C2025110105021185")</f>
        <v>C2025110105021185</v>
      </c>
      <c r="J59" s="6" t="str">
        <f ca="1">IFERROR(__xludf.DUMMYFUNCTION("""COMPUTED_VALUE"""),"SOFIA BLANCO MENDEZ")</f>
        <v>SOFIA BLANCO MENDEZ</v>
      </c>
      <c r="K59" s="6">
        <f ca="1">IFERROR(__xludf.DUMMYFUNCTION("""COMPUTED_VALUE"""),2)</f>
        <v>2</v>
      </c>
      <c r="L59" s="139">
        <f ca="1">IFERROR(__xludf.DUMMYFUNCTION("""COMPUTED_VALUE"""),4000)</f>
        <v>4000</v>
      </c>
      <c r="M59" s="6" t="str">
        <f ca="1">IFERROR(__xludf.DUMMYFUNCTION("""COMPUTED_VALUE"""),"03 ORL")</f>
        <v>03 ORL</v>
      </c>
      <c r="N59" s="6" t="str">
        <f ca="1">IFERROR(__xludf.DUMMYFUNCTION("""COMPUTED_VALUE"""),"06 ORL")</f>
        <v>06 ORL</v>
      </c>
      <c r="O59" s="6" t="str">
        <f ca="1">IFERROR(__xludf.DUMMYFUNCTION("""COMPUTED_VALUE"""),"Dr, Joaquín Alacio Casero")</f>
        <v>Dr, Joaquín Alacio Casero</v>
      </c>
      <c r="P59" s="6" t="str">
        <f ca="1">IFERROR(__xludf.DUMMYFUNCTION("""COMPUTED_VALUE"""),"Maika Blázquez (Madrid)")</f>
        <v>Maika Blázquez (Madrid)</v>
      </c>
    </row>
    <row r="60" spans="2:16">
      <c r="B60" s="6">
        <f ca="1">IFERROR(__xludf.DUMMYFUNCTION("""COMPUTED_VALUE"""),2025)</f>
        <v>2025</v>
      </c>
      <c r="C60" s="6">
        <f ca="1">IFERROR(__xludf.DUMMYFUNCTION("""COMPUTED_VALUE"""),1)</f>
        <v>1</v>
      </c>
      <c r="D60" s="6" t="str">
        <f ca="1">IFERROR(__xludf.DUMMYFUNCTION("""COMPUTED_VALUE"""),"NO")</f>
        <v>NO</v>
      </c>
      <c r="E60" s="6" t="str">
        <f ca="1">IFERROR(__xludf.DUMMYFUNCTION("""COMPUTED_VALUE"""),"Madrid- Monforte de Lemos")</f>
        <v>Madrid- Monforte de Lemos</v>
      </c>
      <c r="F60" s="16">
        <f ca="1">IFERROR(__xludf.DUMMYFUNCTION("""COMPUTED_VALUE"""),45672)</f>
        <v>45672</v>
      </c>
      <c r="G60" s="16">
        <f ca="1">IFERROR(__xludf.DUMMYFUNCTION("""COMPUTED_VALUE"""),45579)</f>
        <v>45579</v>
      </c>
      <c r="H60" s="6" t="str">
        <f ca="1">IFERROR(__xludf.DUMMYFUNCTION("""COMPUTED_VALUE"""),"La Vaguada")</f>
        <v>La Vaguada</v>
      </c>
      <c r="I60" s="6" t="str">
        <f ca="1">IFERROR(__xludf.DUMMYFUNCTION("""COMPUTED_VALUE"""),"C20241023151912680")</f>
        <v>C20241023151912680</v>
      </c>
      <c r="J60" s="6" t="str">
        <f ca="1">IFERROR(__xludf.DUMMYFUNCTION("""COMPUTED_VALUE"""),"ENRIQUE ALMEIDA PUJADAS")</f>
        <v>ENRIQUE ALMEIDA PUJADAS</v>
      </c>
      <c r="K60" s="6">
        <f ca="1">IFERROR(__xludf.DUMMYFUNCTION("""COMPUTED_VALUE"""),2)</f>
        <v>2</v>
      </c>
      <c r="L60" s="139">
        <f ca="1">IFERROR(__xludf.DUMMYFUNCTION("""COMPUTED_VALUE"""),4136.36)</f>
        <v>4136.3599999999997</v>
      </c>
      <c r="M60" s="6" t="str">
        <f ca="1">IFERROR(__xludf.DUMMYFUNCTION("""COMPUTED_VALUE"""),"03 ORL")</f>
        <v>03 ORL</v>
      </c>
      <c r="N60" s="6" t="str">
        <f ca="1">IFERROR(__xludf.DUMMYFUNCTION("""COMPUTED_VALUE"""),"06 ORL")</f>
        <v>06 ORL</v>
      </c>
      <c r="O60" s="6" t="str">
        <f ca="1">IFERROR(__xludf.DUMMYFUNCTION("""COMPUTED_VALUE"""),"Dra, Alicia Suárez Calvo")</f>
        <v>Dra, Alicia Suárez Calvo</v>
      </c>
      <c r="P60" s="6" t="str">
        <f ca="1">IFERROR(__xludf.DUMMYFUNCTION("""COMPUTED_VALUE"""),"Lisandro Russian (Madrid, Cáceres, Toledo, Talavera Y Logroño)")</f>
        <v>Lisandro Russian (Madrid, Cáceres, Toledo, Talavera Y Logroño)</v>
      </c>
    </row>
    <row r="61" spans="2:16">
      <c r="B61" s="6">
        <f ca="1">IFERROR(__xludf.DUMMYFUNCTION("""COMPUTED_VALUE"""),2025)</f>
        <v>2025</v>
      </c>
      <c r="C61" s="6">
        <f ca="1">IFERROR(__xludf.DUMMYFUNCTION("""COMPUTED_VALUE"""),1)</f>
        <v>1</v>
      </c>
      <c r="D61" s="6" t="str">
        <f ca="1">IFERROR(__xludf.DUMMYFUNCTION("""COMPUTED_VALUE"""),"NO")</f>
        <v>NO</v>
      </c>
      <c r="E61" s="6" t="str">
        <f ca="1">IFERROR(__xludf.DUMMYFUNCTION("""COMPUTED_VALUE"""),"Madrid- Monforte de Lemos")</f>
        <v>Madrid- Monforte de Lemos</v>
      </c>
      <c r="F61" s="16">
        <f ca="1">IFERROR(__xludf.DUMMYFUNCTION("""COMPUTED_VALUE"""),45671)</f>
        <v>45671</v>
      </c>
      <c r="G61" s="16">
        <f ca="1">IFERROR(__xludf.DUMMYFUNCTION("""COMPUTED_VALUE"""),45638)</f>
        <v>45638</v>
      </c>
      <c r="H61" s="6" t="str">
        <f ca="1">IFERROR(__xludf.DUMMYFUNCTION("""COMPUTED_VALUE"""),"La Vaguada")</f>
        <v>La Vaguada</v>
      </c>
      <c r="I61" s="6" t="str">
        <f ca="1">IFERROR(__xludf.DUMMYFUNCTION("""COMPUTED_VALUE"""),"C20241218143319166")</f>
        <v>C20241218143319166</v>
      </c>
      <c r="J61" s="6" t="str">
        <f ca="1">IFERROR(__xludf.DUMMYFUNCTION("""COMPUTED_VALUE"""),"MARIA TERESA ORDOÑEZ DE CELIS")</f>
        <v>MARIA TERESA ORDOÑEZ DE CELIS</v>
      </c>
      <c r="K61" s="6">
        <f ca="1">IFERROR(__xludf.DUMMYFUNCTION("""COMPUTED_VALUE"""),2)</f>
        <v>2</v>
      </c>
      <c r="L61" s="139">
        <f ca="1">IFERROR(__xludf.DUMMYFUNCTION("""COMPUTED_VALUE"""),3846.36)</f>
        <v>3846.36</v>
      </c>
      <c r="M61" s="6" t="str">
        <f ca="1">IFERROR(__xludf.DUMMYFUNCTION("""COMPUTED_VALUE"""),"03 ORL")</f>
        <v>03 ORL</v>
      </c>
      <c r="N61" s="6" t="str">
        <f ca="1">IFERROR(__xludf.DUMMYFUNCTION("""COMPUTED_VALUE"""),"06 ORL")</f>
        <v>06 ORL</v>
      </c>
      <c r="O61" s="6" t="str">
        <f ca="1">IFERROR(__xludf.DUMMYFUNCTION("""COMPUTED_VALUE"""),"Dr, Alejandro Harguindey Antoli-Candela")</f>
        <v>Dr, Alejandro Harguindey Antoli-Candela</v>
      </c>
      <c r="P61" s="6" t="str">
        <f ca="1">IFERROR(__xludf.DUMMYFUNCTION("""COMPUTED_VALUE"""),"Maika Blázquez (Madrid)")</f>
        <v>Maika Blázquez (Madrid)</v>
      </c>
    </row>
    <row r="62" spans="2:16">
      <c r="B62" s="6">
        <f ca="1">IFERROR(__xludf.DUMMYFUNCTION("""COMPUTED_VALUE"""),2025)</f>
        <v>2025</v>
      </c>
      <c r="C62" s="6">
        <f ca="1">IFERROR(__xludf.DUMMYFUNCTION("""COMPUTED_VALUE"""),1)</f>
        <v>1</v>
      </c>
      <c r="D62" s="6" t="str">
        <f ca="1">IFERROR(__xludf.DUMMYFUNCTION("""COMPUTED_VALUE"""),"NO")</f>
        <v>NO</v>
      </c>
      <c r="E62" s="6" t="str">
        <f ca="1">IFERROR(__xludf.DUMMYFUNCTION("""COMPUTED_VALUE"""),"Madrid- Moratalaz")</f>
        <v>Madrid- Moratalaz</v>
      </c>
      <c r="F62" s="16">
        <f ca="1">IFERROR(__xludf.DUMMYFUNCTION("""COMPUTED_VALUE"""),45681)</f>
        <v>45681</v>
      </c>
      <c r="G62" s="16">
        <f ca="1">IFERROR(__xludf.DUMMYFUNCTION("""COMPUTED_VALUE"""),45637)</f>
        <v>45637</v>
      </c>
      <c r="H62" s="6" t="str">
        <f ca="1">IFERROR(__xludf.DUMMYFUNCTION("""COMPUTED_VALUE"""),"Moratalaz")</f>
        <v>Moratalaz</v>
      </c>
      <c r="I62" s="6" t="str">
        <f ca="1">IFERROR(__xludf.DUMMYFUNCTION("""COMPUTED_VALUE"""),"C2024121716742393")</f>
        <v>C2024121716742393</v>
      </c>
      <c r="J62" s="6" t="str">
        <f ca="1">IFERROR(__xludf.DUMMYFUNCTION("""COMPUTED_VALUE"""),"ADELA MARTIN MATA")</f>
        <v>ADELA MARTIN MATA</v>
      </c>
      <c r="K62" s="6">
        <f ca="1">IFERROR(__xludf.DUMMYFUNCTION("""COMPUTED_VALUE"""),2)</f>
        <v>2</v>
      </c>
      <c r="L62" s="139">
        <f ca="1">IFERROR(__xludf.DUMMYFUNCTION("""COMPUTED_VALUE"""),3710)</f>
        <v>3710</v>
      </c>
      <c r="M62" s="6" t="str">
        <f ca="1">IFERROR(__xludf.DUMMYFUNCTION("""COMPUTED_VALUE"""),"03 ORL")</f>
        <v>03 ORL</v>
      </c>
      <c r="N62" s="6" t="str">
        <f ca="1">IFERROR(__xludf.DUMMYFUNCTION("""COMPUTED_VALUE"""),"06 ORL")</f>
        <v>06 ORL</v>
      </c>
      <c r="O62" s="6" t="str">
        <f ca="1">IFERROR(__xludf.DUMMYFUNCTION("""COMPUTED_VALUE"""),"Dra, Sara Reda Del Barrio")</f>
        <v>Dra, Sara Reda Del Barrio</v>
      </c>
      <c r="P62" s="6" t="str">
        <f ca="1">IFERROR(__xludf.DUMMYFUNCTION("""COMPUTED_VALUE"""),"Maika Blázquez (Madrid)")</f>
        <v>Maika Blázquez (Madrid)</v>
      </c>
    </row>
    <row r="63" spans="2:16">
      <c r="B63" s="6">
        <f ca="1">IFERROR(__xludf.DUMMYFUNCTION("""COMPUTED_VALUE"""),2025)</f>
        <v>2025</v>
      </c>
      <c r="C63" s="6">
        <f ca="1">IFERROR(__xludf.DUMMYFUNCTION("""COMPUTED_VALUE"""),1)</f>
        <v>1</v>
      </c>
      <c r="D63" s="6" t="str">
        <f ca="1">IFERROR(__xludf.DUMMYFUNCTION("""COMPUTED_VALUE"""),"NO")</f>
        <v>NO</v>
      </c>
      <c r="E63" s="6" t="str">
        <f ca="1">IFERROR(__xludf.DUMMYFUNCTION("""COMPUTED_VALUE"""),"Madrid- Moratalaz")</f>
        <v>Madrid- Moratalaz</v>
      </c>
      <c r="F63" s="16">
        <f ca="1">IFERROR(__xludf.DUMMYFUNCTION("""COMPUTED_VALUE"""),45674)</f>
        <v>45674</v>
      </c>
      <c r="G63" s="16">
        <f ca="1">IFERROR(__xludf.DUMMYFUNCTION("""COMPUTED_VALUE"""),45623)</f>
        <v>45623</v>
      </c>
      <c r="H63" s="6" t="str">
        <f ca="1">IFERROR(__xludf.DUMMYFUNCTION("""COMPUTED_VALUE"""),"Moratalaz")</f>
        <v>Moratalaz</v>
      </c>
      <c r="I63" s="6" t="str">
        <f ca="1">IFERROR(__xludf.DUMMYFUNCTION("""COMPUTED_VALUE"""),"C202412212373942")</f>
        <v>C202412212373942</v>
      </c>
      <c r="J63" s="6" t="str">
        <f ca="1">IFERROR(__xludf.DUMMYFUNCTION("""COMPUTED_VALUE"""),"JOSE ANGEL CALVO RAMOS")</f>
        <v>JOSE ANGEL CALVO RAMOS</v>
      </c>
      <c r="K63" s="6">
        <f ca="1">IFERROR(__xludf.DUMMYFUNCTION("""COMPUTED_VALUE"""),2)</f>
        <v>2</v>
      </c>
      <c r="L63" s="139">
        <f ca="1">IFERROR(__xludf.DUMMYFUNCTION("""COMPUTED_VALUE"""),4000)</f>
        <v>4000</v>
      </c>
      <c r="M63" s="6" t="str">
        <f ca="1">IFERROR(__xludf.DUMMYFUNCTION("""COMPUTED_VALUE"""),"03 ORL")</f>
        <v>03 ORL</v>
      </c>
      <c r="N63" s="6" t="str">
        <f ca="1">IFERROR(__xludf.DUMMYFUNCTION("""COMPUTED_VALUE"""),"06 ORL")</f>
        <v>06 ORL</v>
      </c>
      <c r="O63" s="6" t="str">
        <f ca="1">IFERROR(__xludf.DUMMYFUNCTION("""COMPUTED_VALUE"""),"Dr, Esteban Scola Pliego")</f>
        <v>Dr, Esteban Scola Pliego</v>
      </c>
      <c r="P63" s="6" t="str">
        <f ca="1">IFERROR(__xludf.DUMMYFUNCTION("""COMPUTED_VALUE"""),"Maika Blázquez (Madrid)")</f>
        <v>Maika Blázquez (Madrid)</v>
      </c>
    </row>
    <row r="64" spans="2:16">
      <c r="B64" s="6">
        <f ca="1">IFERROR(__xludf.DUMMYFUNCTION("""COMPUTED_VALUE"""),2025)</f>
        <v>2025</v>
      </c>
      <c r="C64" s="6">
        <f ca="1">IFERROR(__xludf.DUMMYFUNCTION("""COMPUTED_VALUE"""),1)</f>
        <v>1</v>
      </c>
      <c r="D64" s="6" t="str">
        <f ca="1">IFERROR(__xludf.DUMMYFUNCTION("""COMPUTED_VALUE"""),"NO")</f>
        <v>NO</v>
      </c>
      <c r="E64" s="6" t="str">
        <f ca="1">IFERROR(__xludf.DUMMYFUNCTION("""COMPUTED_VALUE"""),"Madrid- Moratalaz")</f>
        <v>Madrid- Moratalaz</v>
      </c>
      <c r="F64" s="16">
        <f ca="1">IFERROR(__xludf.DUMMYFUNCTION("""COMPUTED_VALUE"""),45684)</f>
        <v>45684</v>
      </c>
      <c r="G64" s="16">
        <f ca="1">IFERROR(__xludf.DUMMYFUNCTION("""COMPUTED_VALUE"""),45652)</f>
        <v>45652</v>
      </c>
      <c r="H64" s="6" t="str">
        <f ca="1">IFERROR(__xludf.DUMMYFUNCTION("""COMPUTED_VALUE"""),"Moratalaz")</f>
        <v>Moratalaz</v>
      </c>
      <c r="I64" s="6" t="str">
        <f ca="1">IFERROR(__xludf.DUMMYFUNCTION("""COMPUTED_VALUE"""),"C20251218548546")</f>
        <v>C20251218548546</v>
      </c>
      <c r="J64" s="6" t="str">
        <f ca="1">IFERROR(__xludf.DUMMYFUNCTION("""COMPUTED_VALUE"""),"JULIO ANTON CABEZAS")</f>
        <v>JULIO ANTON CABEZAS</v>
      </c>
      <c r="K64" s="6">
        <f ca="1">IFERROR(__xludf.DUMMYFUNCTION("""COMPUTED_VALUE"""),2)</f>
        <v>2</v>
      </c>
      <c r="L64" s="139">
        <f ca="1">IFERROR(__xludf.DUMMYFUNCTION("""COMPUTED_VALUE"""),2888.18)</f>
        <v>2888.18</v>
      </c>
      <c r="M64" s="6" t="str">
        <f ca="1">IFERROR(__xludf.DUMMYFUNCTION("""COMPUTED_VALUE"""),"03 ORL")</f>
        <v>03 ORL</v>
      </c>
      <c r="N64" s="6" t="str">
        <f ca="1">IFERROR(__xludf.DUMMYFUNCTION("""COMPUTED_VALUE"""),"06 ORL")</f>
        <v>06 ORL</v>
      </c>
      <c r="O64" s="6" t="str">
        <f ca="1">IFERROR(__xludf.DUMMYFUNCTION("""COMPUTED_VALUE"""),"Dr, Julio López Moya")</f>
        <v>Dr, Julio López Moya</v>
      </c>
      <c r="P64" s="6" t="str">
        <f ca="1">IFERROR(__xludf.DUMMYFUNCTION("""COMPUTED_VALUE"""),"Maika Blázquez (Madrid)")</f>
        <v>Maika Blázquez (Madrid)</v>
      </c>
    </row>
    <row r="65" spans="2:16">
      <c r="B65" s="6">
        <f ca="1">IFERROR(__xludf.DUMMYFUNCTION("""COMPUTED_VALUE"""),2025)</f>
        <v>2025</v>
      </c>
      <c r="C65" s="6">
        <f ca="1">IFERROR(__xludf.DUMMYFUNCTION("""COMPUTED_VALUE"""),1)</f>
        <v>1</v>
      </c>
      <c r="D65" s="6" t="str">
        <f ca="1">IFERROR(__xludf.DUMMYFUNCTION("""COMPUTED_VALUE"""),"NO")</f>
        <v>NO</v>
      </c>
      <c r="E65" s="6" t="str">
        <f ca="1">IFERROR(__xludf.DUMMYFUNCTION("""COMPUTED_VALUE"""),"Móstoles")</f>
        <v>Móstoles</v>
      </c>
      <c r="F65" s="16">
        <f ca="1">IFERROR(__xludf.DUMMYFUNCTION("""COMPUTED_VALUE"""),45666)</f>
        <v>45666</v>
      </c>
      <c r="G65" s="16">
        <f ca="1">IFERROR(__xludf.DUMMYFUNCTION("""COMPUTED_VALUE"""),45630)</f>
        <v>45630</v>
      </c>
      <c r="H65" s="6" t="str">
        <f ca="1">IFERROR(__xludf.DUMMYFUNCTION("""COMPUTED_VALUE"""),"Móstoles")</f>
        <v>Móstoles</v>
      </c>
      <c r="I65" s="6" t="str">
        <f ca="1">IFERROR(__xludf.DUMMYFUNCTION("""COMPUTED_VALUE"""),"C20241210122640262")</f>
        <v>C20241210122640262</v>
      </c>
      <c r="J65" s="6" t="str">
        <f ca="1">IFERROR(__xludf.DUMMYFUNCTION("""COMPUTED_VALUE"""),"ESPERANZA  GOMEZ LIÑARES")</f>
        <v>ESPERANZA  GOMEZ LIÑARES</v>
      </c>
      <c r="K65" s="6">
        <f ca="1">IFERROR(__xludf.DUMMYFUNCTION("""COMPUTED_VALUE"""),1)</f>
        <v>1</v>
      </c>
      <c r="L65" s="139">
        <f ca="1">IFERROR(__xludf.DUMMYFUNCTION("""COMPUTED_VALUE"""),2400)</f>
        <v>2400</v>
      </c>
      <c r="M65" s="6" t="str">
        <f ca="1">IFERROR(__xludf.DUMMYFUNCTION("""COMPUTED_VALUE"""),"03 ORL")</f>
        <v>03 ORL</v>
      </c>
      <c r="N65" s="6" t="str">
        <f ca="1">IFERROR(__xludf.DUMMYFUNCTION("""COMPUTED_VALUE"""),"06 ORL")</f>
        <v>06 ORL</v>
      </c>
      <c r="O65" s="6" t="str">
        <f ca="1">IFERROR(__xludf.DUMMYFUNCTION("""COMPUTED_VALUE"""),"Dra, Laura Del Toro Gil")</f>
        <v>Dra, Laura Del Toro Gil</v>
      </c>
      <c r="P65" s="6" t="str">
        <f ca="1">IFERROR(__xludf.DUMMYFUNCTION("""COMPUTED_VALUE"""),"Maika Blázquez (Madrid)")</f>
        <v>Maika Blázquez (Madrid)</v>
      </c>
    </row>
    <row r="66" spans="2:16">
      <c r="B66" s="6">
        <f ca="1">IFERROR(__xludf.DUMMYFUNCTION("""COMPUTED_VALUE"""),2025)</f>
        <v>2025</v>
      </c>
      <c r="C66" s="6">
        <f ca="1">IFERROR(__xludf.DUMMYFUNCTION("""COMPUTED_VALUE"""),1)</f>
        <v>1</v>
      </c>
      <c r="D66" s="6" t="str">
        <f ca="1">IFERROR(__xludf.DUMMYFUNCTION("""COMPUTED_VALUE"""),"NO")</f>
        <v>NO</v>
      </c>
      <c r="E66" s="6" t="str">
        <f ca="1">IFERROR(__xludf.DUMMYFUNCTION("""COMPUTED_VALUE"""),"Móstoles")</f>
        <v>Móstoles</v>
      </c>
      <c r="F66" s="16">
        <f ca="1">IFERROR(__xludf.DUMMYFUNCTION("""COMPUTED_VALUE"""),45679)</f>
        <v>45679</v>
      </c>
      <c r="G66" s="16">
        <f ca="1">IFERROR(__xludf.DUMMYFUNCTION("""COMPUTED_VALUE"""),45644)</f>
        <v>45644</v>
      </c>
      <c r="H66" s="6" t="str">
        <f ca="1">IFERROR(__xludf.DUMMYFUNCTION("""COMPUTED_VALUE"""),"Móstoles")</f>
        <v>Móstoles</v>
      </c>
      <c r="I66" s="6" t="str">
        <f ca="1">IFERROR(__xludf.DUMMYFUNCTION("""COMPUTED_VALUE"""),"C2024122792916323")</f>
        <v>C2024122792916323</v>
      </c>
      <c r="J66" s="6" t="str">
        <f ca="1">IFERROR(__xludf.DUMMYFUNCTION("""COMPUTED_VALUE"""),"FRANCISCO REYERO RODRIGUEZ")</f>
        <v>FRANCISCO REYERO RODRIGUEZ</v>
      </c>
      <c r="K66" s="6">
        <f ca="1">IFERROR(__xludf.DUMMYFUNCTION("""COMPUTED_VALUE"""),2)</f>
        <v>2</v>
      </c>
      <c r="L66" s="139">
        <f ca="1">IFERROR(__xludf.DUMMYFUNCTION("""COMPUTED_VALUE"""),3800)</f>
        <v>3800</v>
      </c>
      <c r="M66" s="6" t="str">
        <f ca="1">IFERROR(__xludf.DUMMYFUNCTION("""COMPUTED_VALUE"""),"03 ORL")</f>
        <v>03 ORL</v>
      </c>
      <c r="N66" s="6" t="str">
        <f ca="1">IFERROR(__xludf.DUMMYFUNCTION("""COMPUTED_VALUE"""),"06 ORL")</f>
        <v>06 ORL</v>
      </c>
      <c r="O66" s="6" t="str">
        <f ca="1">IFERROR(__xludf.DUMMYFUNCTION("""COMPUTED_VALUE"""),"Dr, Víctor José González Arias")</f>
        <v>Dr, Víctor José González Arias</v>
      </c>
      <c r="P66" s="6" t="str">
        <f ca="1">IFERROR(__xludf.DUMMYFUNCTION("""COMPUTED_VALUE"""),"Maika Blázquez (Madrid)")</f>
        <v>Maika Blázquez (Madrid)</v>
      </c>
    </row>
    <row r="67" spans="2:16">
      <c r="B67" s="6">
        <f ca="1">IFERROR(__xludf.DUMMYFUNCTION("""COMPUTED_VALUE"""),2025)</f>
        <v>2025</v>
      </c>
      <c r="C67" s="6">
        <f ca="1">IFERROR(__xludf.DUMMYFUNCTION("""COMPUTED_VALUE"""),1)</f>
        <v>1</v>
      </c>
      <c r="D67" s="6" t="str">
        <f ca="1">IFERROR(__xludf.DUMMYFUNCTION("""COMPUTED_VALUE"""),"NO")</f>
        <v>NO</v>
      </c>
      <c r="E67" s="6" t="str">
        <f ca="1">IFERROR(__xludf.DUMMYFUNCTION("""COMPUTED_VALUE"""),"Móstoles")</f>
        <v>Móstoles</v>
      </c>
      <c r="F67" s="16">
        <f ca="1">IFERROR(__xludf.DUMMYFUNCTION("""COMPUTED_VALUE"""),45665)</f>
        <v>45665</v>
      </c>
      <c r="G67" s="16">
        <f ca="1">IFERROR(__xludf.DUMMYFUNCTION("""COMPUTED_VALUE"""),45628)</f>
        <v>45628</v>
      </c>
      <c r="H67" s="6" t="str">
        <f ca="1">IFERROR(__xludf.DUMMYFUNCTION("""COMPUTED_VALUE"""),"Móstoles")</f>
        <v>Móstoles</v>
      </c>
      <c r="I67" s="6" t="str">
        <f ca="1">IFERROR(__xludf.DUMMYFUNCTION("""COMPUTED_VALUE"""),"C2024123104533901")</f>
        <v>C2024123104533901</v>
      </c>
      <c r="J67" s="6" t="str">
        <f ca="1">IFERROR(__xludf.DUMMYFUNCTION("""COMPUTED_VALUE"""),"MARI LUZ TELLO AYLLON")</f>
        <v>MARI LUZ TELLO AYLLON</v>
      </c>
      <c r="K67" s="6">
        <f ca="1">IFERROR(__xludf.DUMMYFUNCTION("""COMPUTED_VALUE"""),2)</f>
        <v>2</v>
      </c>
      <c r="L67" s="139">
        <f ca="1">IFERROR(__xludf.DUMMYFUNCTION("""COMPUTED_VALUE"""),3222.24)</f>
        <v>3222.24</v>
      </c>
      <c r="M67" s="6" t="str">
        <f ca="1">IFERROR(__xludf.DUMMYFUNCTION("""COMPUTED_VALUE"""),"03 ORL")</f>
        <v>03 ORL</v>
      </c>
      <c r="N67" s="6" t="str">
        <f ca="1">IFERROR(__xludf.DUMMYFUNCTION("""COMPUTED_VALUE"""),"06 ORL")</f>
        <v>06 ORL</v>
      </c>
      <c r="O67" s="6" t="str">
        <f ca="1">IFERROR(__xludf.DUMMYFUNCTION("""COMPUTED_VALUE"""),"Dra, Laura Del Toro Gil")</f>
        <v>Dra, Laura Del Toro Gil</v>
      </c>
      <c r="P67" s="6" t="str">
        <f ca="1">IFERROR(__xludf.DUMMYFUNCTION("""COMPUTED_VALUE"""),"Maika Blázquez (Madrid)")</f>
        <v>Maika Blázquez (Madrid)</v>
      </c>
    </row>
    <row r="68" spans="2:16">
      <c r="B68" s="6">
        <f ca="1">IFERROR(__xludf.DUMMYFUNCTION("""COMPUTED_VALUE"""),2025)</f>
        <v>2025</v>
      </c>
      <c r="C68" s="6">
        <f ca="1">IFERROR(__xludf.DUMMYFUNCTION("""COMPUTED_VALUE"""),1)</f>
        <v>1</v>
      </c>
      <c r="D68" s="6" t="str">
        <f ca="1">IFERROR(__xludf.DUMMYFUNCTION("""COMPUTED_VALUE"""),"NO")</f>
        <v>NO</v>
      </c>
      <c r="E68" s="6" t="str">
        <f ca="1">IFERROR(__xludf.DUMMYFUNCTION("""COMPUTED_VALUE"""),"Móstoles")</f>
        <v>Móstoles</v>
      </c>
      <c r="F68" s="16">
        <f ca="1">IFERROR(__xludf.DUMMYFUNCTION("""COMPUTED_VALUE"""),45667)</f>
        <v>45667</v>
      </c>
      <c r="G68" s="16">
        <f ca="1">IFERROR(__xludf.DUMMYFUNCTION("""COMPUTED_VALUE"""),45622)</f>
        <v>45622</v>
      </c>
      <c r="H68" s="6" t="str">
        <f ca="1">IFERROR(__xludf.DUMMYFUNCTION("""COMPUTED_VALUE"""),"Móstoles")</f>
        <v>Móstoles</v>
      </c>
      <c r="I68" s="6" t="str">
        <f ca="1">IFERROR(__xludf.DUMMYFUNCTION("""COMPUTED_VALUE"""),"C202412214555630")</f>
        <v>C202412214555630</v>
      </c>
      <c r="J68" s="6" t="str">
        <f ca="1">IFERROR(__xludf.DUMMYFUNCTION("""COMPUTED_VALUE"""),"PILAR MARTIN PEDROSA")</f>
        <v>PILAR MARTIN PEDROSA</v>
      </c>
      <c r="K68" s="6">
        <f ca="1">IFERROR(__xludf.DUMMYFUNCTION("""COMPUTED_VALUE"""),2)</f>
        <v>2</v>
      </c>
      <c r="L68" s="139">
        <f ca="1">IFERROR(__xludf.DUMMYFUNCTION("""COMPUTED_VALUE"""),3524.51)</f>
        <v>3524.51</v>
      </c>
      <c r="M68" s="6" t="str">
        <f ca="1">IFERROR(__xludf.DUMMYFUNCTION("""COMPUTED_VALUE"""),"03 ORL")</f>
        <v>03 ORL</v>
      </c>
      <c r="N68" s="6" t="str">
        <f ca="1">IFERROR(__xludf.DUMMYFUNCTION("""COMPUTED_VALUE"""),"06 ORL")</f>
        <v>06 ORL</v>
      </c>
      <c r="O68" s="6" t="str">
        <f ca="1">IFERROR(__xludf.DUMMYFUNCTION("""COMPUTED_VALUE"""),"Dr, Gustavo Córdova Ramos")</f>
        <v>Dr, Gustavo Córdova Ramos</v>
      </c>
      <c r="P68" s="6" t="str">
        <f ca="1">IFERROR(__xludf.DUMMYFUNCTION("""COMPUTED_VALUE"""),"Maika Blázquez (Madrid)")</f>
        <v>Maika Blázquez (Madrid)</v>
      </c>
    </row>
    <row r="69" spans="2:16">
      <c r="B69" s="6">
        <f ca="1">IFERROR(__xludf.DUMMYFUNCTION("""COMPUTED_VALUE"""),2025)</f>
        <v>2025</v>
      </c>
      <c r="C69" s="6">
        <f ca="1">IFERROR(__xludf.DUMMYFUNCTION("""COMPUTED_VALUE"""),1)</f>
        <v>1</v>
      </c>
      <c r="D69" s="6" t="str">
        <f ca="1">IFERROR(__xludf.DUMMYFUNCTION("""COMPUTED_VALUE"""),"NO")</f>
        <v>NO</v>
      </c>
      <c r="E69" s="6" t="str">
        <f ca="1">IFERROR(__xludf.DUMMYFUNCTION("""COMPUTED_VALUE"""),"Murcia")</f>
        <v>Murcia</v>
      </c>
      <c r="F69" s="16">
        <f ca="1">IFERROR(__xludf.DUMMYFUNCTION("""COMPUTED_VALUE"""),45687)</f>
        <v>45687</v>
      </c>
      <c r="G69" s="16">
        <f ca="1">IFERROR(__xludf.DUMMYFUNCTION("""COMPUTED_VALUE"""),45670)</f>
        <v>45670</v>
      </c>
      <c r="H69" s="6" t="str">
        <f ca="1">IFERROR(__xludf.DUMMYFUNCTION("""COMPUTED_VALUE"""),"Murcia")</f>
        <v>Murcia</v>
      </c>
      <c r="I69" s="6" t="str">
        <f ca="1">IFERROR(__xludf.DUMMYFUNCTION("""COMPUTED_VALUE"""),"C2025114121343867")</f>
        <v>C2025114121343867</v>
      </c>
      <c r="J69" s="6" t="str">
        <f ca="1">IFERROR(__xludf.DUMMYFUNCTION("""COMPUTED_VALUE"""),"CONCEPCION MARIN SANCHEZ")</f>
        <v>CONCEPCION MARIN SANCHEZ</v>
      </c>
      <c r="K69" s="6">
        <f ca="1">IFERROR(__xludf.DUMMYFUNCTION("""COMPUTED_VALUE"""),1)</f>
        <v>1</v>
      </c>
      <c r="L69" s="139">
        <f ca="1">IFERROR(__xludf.DUMMYFUNCTION("""COMPUTED_VALUE"""),2640)</f>
        <v>2640</v>
      </c>
      <c r="M69" s="6" t="str">
        <f ca="1">IFERROR(__xludf.DUMMYFUNCTION("""COMPUTED_VALUE"""),"03 ORL")</f>
        <v>03 ORL</v>
      </c>
      <c r="N69" s="6" t="str">
        <f ca="1">IFERROR(__xludf.DUMMYFUNCTION("""COMPUTED_VALUE"""),"06 ORL")</f>
        <v>06 ORL</v>
      </c>
      <c r="O69" s="6" t="str">
        <f ca="1">IFERROR(__xludf.DUMMYFUNCTION("""COMPUTED_VALUE"""),"Dr, Ignacio Albaladejo Devis")</f>
        <v>Dr, Ignacio Albaladejo Devis</v>
      </c>
      <c r="P69" s="6" t="str">
        <f ca="1">IFERROR(__xludf.DUMMYFUNCTION("""COMPUTED_VALUE"""),"Iván Sánchez (Levante Y Albacete)")</f>
        <v>Iván Sánchez (Levante Y Albacete)</v>
      </c>
    </row>
    <row r="70" spans="2:16">
      <c r="B70" s="6">
        <f ca="1">IFERROR(__xludf.DUMMYFUNCTION("""COMPUTED_VALUE"""),2025)</f>
        <v>2025</v>
      </c>
      <c r="C70" s="6">
        <f ca="1">IFERROR(__xludf.DUMMYFUNCTION("""COMPUTED_VALUE"""),1)</f>
        <v>1</v>
      </c>
      <c r="D70" s="6" t="str">
        <f ca="1">IFERROR(__xludf.DUMMYFUNCTION("""COMPUTED_VALUE"""),"NO")</f>
        <v>NO</v>
      </c>
      <c r="E70" s="6" t="str">
        <f ca="1">IFERROR(__xludf.DUMMYFUNCTION("""COMPUTED_VALUE"""),"Murcia")</f>
        <v>Murcia</v>
      </c>
      <c r="F70" s="16">
        <f ca="1">IFERROR(__xludf.DUMMYFUNCTION("""COMPUTED_VALUE"""),45685)</f>
        <v>45685</v>
      </c>
      <c r="G70" s="16">
        <f ca="1">IFERROR(__xludf.DUMMYFUNCTION("""COMPUTED_VALUE"""),45653)</f>
        <v>45653</v>
      </c>
      <c r="H70" s="6" t="str">
        <f ca="1">IFERROR(__xludf.DUMMYFUNCTION("""COMPUTED_VALUE"""),"Murcia")</f>
        <v>Murcia</v>
      </c>
      <c r="I70" s="6" t="str">
        <f ca="1">IFERROR(__xludf.DUMMYFUNCTION("""COMPUTED_VALUE"""),"C202517101013906")</f>
        <v>C202517101013906</v>
      </c>
      <c r="J70" s="6" t="str">
        <f ca="1">IFERROR(__xludf.DUMMYFUNCTION("""COMPUTED_VALUE"""),"JOSE ANTONIO ANTOLINOS SALINAS")</f>
        <v>JOSE ANTONIO ANTOLINOS SALINAS</v>
      </c>
      <c r="K70" s="6">
        <f ca="1">IFERROR(__xludf.DUMMYFUNCTION("""COMPUTED_VALUE"""),2)</f>
        <v>2</v>
      </c>
      <c r="L70" s="139">
        <f ca="1">IFERROR(__xludf.DUMMYFUNCTION("""COMPUTED_VALUE"""),2743.64)</f>
        <v>2743.64</v>
      </c>
      <c r="M70" s="6" t="str">
        <f ca="1">IFERROR(__xludf.DUMMYFUNCTION("""COMPUTED_VALUE"""),"03 ORL")</f>
        <v>03 ORL</v>
      </c>
      <c r="N70" s="6" t="str">
        <f ca="1">IFERROR(__xludf.DUMMYFUNCTION("""COMPUTED_VALUE"""),"06 ORL")</f>
        <v>06 ORL</v>
      </c>
      <c r="O70" s="6" t="str">
        <f ca="1">IFERROR(__xludf.DUMMYFUNCTION("""COMPUTED_VALUE"""),"Dra, Cristina Esther Torregrosa Carrasquer")</f>
        <v>Dra, Cristina Esther Torregrosa Carrasquer</v>
      </c>
      <c r="P70" s="6" t="str">
        <f ca="1">IFERROR(__xludf.DUMMYFUNCTION("""COMPUTED_VALUE"""),"Iván Sánchez (Levante Y Albacete)")</f>
        <v>Iván Sánchez (Levante Y Albacete)</v>
      </c>
    </row>
    <row r="71" spans="2:16">
      <c r="B71" s="6">
        <f ca="1">IFERROR(__xludf.DUMMYFUNCTION("""COMPUTED_VALUE"""),2025)</f>
        <v>2025</v>
      </c>
      <c r="C71" s="6">
        <f ca="1">IFERROR(__xludf.DUMMYFUNCTION("""COMPUTED_VALUE"""),1)</f>
        <v>1</v>
      </c>
      <c r="D71" s="6" t="str">
        <f ca="1">IFERROR(__xludf.DUMMYFUNCTION("""COMPUTED_VALUE"""),"NO")</f>
        <v>NO</v>
      </c>
      <c r="E71" s="6" t="str">
        <f ca="1">IFERROR(__xludf.DUMMYFUNCTION("""COMPUTED_VALUE"""),"Murcia")</f>
        <v>Murcia</v>
      </c>
      <c r="F71" s="16">
        <f ca="1">IFERROR(__xludf.DUMMYFUNCTION("""COMPUTED_VALUE"""),45677)</f>
        <v>45677</v>
      </c>
      <c r="G71" s="16">
        <f ca="1">IFERROR(__xludf.DUMMYFUNCTION("""COMPUTED_VALUE"""),45638)</f>
        <v>45638</v>
      </c>
      <c r="H71" s="6" t="str">
        <f ca="1">IFERROR(__xludf.DUMMYFUNCTION("""COMPUTED_VALUE"""),"Murcia")</f>
        <v>Murcia</v>
      </c>
      <c r="I71" s="6" t="str">
        <f ca="1">IFERROR(__xludf.DUMMYFUNCTION("""COMPUTED_VALUE"""),"C20241217181149289")</f>
        <v>C20241217181149289</v>
      </c>
      <c r="J71" s="6" t="str">
        <f ca="1">IFERROR(__xludf.DUMMYFUNCTION("""COMPUTED_VALUE"""),"JOSE ANTONIO LOPEZ GARRE")</f>
        <v>JOSE ANTONIO LOPEZ GARRE</v>
      </c>
      <c r="K71" s="6">
        <f ca="1">IFERROR(__xludf.DUMMYFUNCTION("""COMPUTED_VALUE"""),2)</f>
        <v>2</v>
      </c>
      <c r="L71" s="139">
        <f ca="1">IFERROR(__xludf.DUMMYFUNCTION("""COMPUTED_VALUE"""),2579.09)</f>
        <v>2579.09</v>
      </c>
      <c r="M71" s="6" t="str">
        <f ca="1">IFERROR(__xludf.DUMMYFUNCTION("""COMPUTED_VALUE"""),"03 ORL")</f>
        <v>03 ORL</v>
      </c>
      <c r="N71" s="6" t="str">
        <f ca="1">IFERROR(__xludf.DUMMYFUNCTION("""COMPUTED_VALUE"""),"06 ORL")</f>
        <v>06 ORL</v>
      </c>
      <c r="O71" s="6" t="str">
        <f ca="1">IFERROR(__xludf.DUMMYFUNCTION("""COMPUTED_VALUE"""),"Dr, Jesús Miguel Iniesta Turpín")</f>
        <v>Dr, Jesús Miguel Iniesta Turpín</v>
      </c>
      <c r="P71" s="6" t="str">
        <f ca="1">IFERROR(__xludf.DUMMYFUNCTION("""COMPUTED_VALUE"""),"Iván Sánchez (Levante Y Albacete)")</f>
        <v>Iván Sánchez (Levante Y Albacete)</v>
      </c>
    </row>
    <row r="72" spans="2:16">
      <c r="B72" s="6">
        <f ca="1">IFERROR(__xludf.DUMMYFUNCTION("""COMPUTED_VALUE"""),2025)</f>
        <v>2025</v>
      </c>
      <c r="C72" s="6">
        <f ca="1">IFERROR(__xludf.DUMMYFUNCTION("""COMPUTED_VALUE"""),1)</f>
        <v>1</v>
      </c>
      <c r="D72" s="6" t="str">
        <f ca="1">IFERROR(__xludf.DUMMYFUNCTION("""COMPUTED_VALUE"""),"NO")</f>
        <v>NO</v>
      </c>
      <c r="E72" s="6" t="str">
        <f ca="1">IFERROR(__xludf.DUMMYFUNCTION("""COMPUTED_VALUE"""),"Murcia")</f>
        <v>Murcia</v>
      </c>
      <c r="F72" s="16">
        <f ca="1">IFERROR(__xludf.DUMMYFUNCTION("""COMPUTED_VALUE"""),45678)</f>
        <v>45678</v>
      </c>
      <c r="G72" s="16">
        <f ca="1">IFERROR(__xludf.DUMMYFUNCTION("""COMPUTED_VALUE"""),45631)</f>
        <v>45631</v>
      </c>
      <c r="H72" s="6" t="str">
        <f ca="1">IFERROR(__xludf.DUMMYFUNCTION("""COMPUTED_VALUE"""),"Murcia")</f>
        <v>Murcia</v>
      </c>
      <c r="I72" s="6" t="str">
        <f ca="1">IFERROR(__xludf.DUMMYFUNCTION("""COMPUTED_VALUE"""),"C2024121911307467")</f>
        <v>C2024121911307467</v>
      </c>
      <c r="J72" s="6" t="str">
        <f ca="1">IFERROR(__xludf.DUMMYFUNCTION("""COMPUTED_VALUE"""),"JUAN FERNANDEZ ANDREU")</f>
        <v>JUAN FERNANDEZ ANDREU</v>
      </c>
      <c r="K72" s="6">
        <f ca="1">IFERROR(__xludf.DUMMYFUNCTION("""COMPUTED_VALUE"""),1)</f>
        <v>1</v>
      </c>
      <c r="L72" s="139">
        <f ca="1">IFERROR(__xludf.DUMMYFUNCTION("""COMPUTED_VALUE"""),2280)</f>
        <v>2280</v>
      </c>
      <c r="M72" s="6" t="str">
        <f ca="1">IFERROR(__xludf.DUMMYFUNCTION("""COMPUTED_VALUE"""),"03 ORL")</f>
        <v>03 ORL</v>
      </c>
      <c r="N72" s="6" t="str">
        <f ca="1">IFERROR(__xludf.DUMMYFUNCTION("""COMPUTED_VALUE"""),"06 ORL")</f>
        <v>06 ORL</v>
      </c>
      <c r="O72" s="6" t="str">
        <f ca="1">IFERROR(__xludf.DUMMYFUNCTION("""COMPUTED_VALUE"""),"Dra, María Agustina Sevilla García")</f>
        <v>Dra, María Agustina Sevilla García</v>
      </c>
      <c r="P72" s="6" t="str">
        <f ca="1">IFERROR(__xludf.DUMMYFUNCTION("""COMPUTED_VALUE"""),"Iván Sánchez (Levante Y Albacete)")</f>
        <v>Iván Sánchez (Levante Y Albacete)</v>
      </c>
    </row>
    <row r="73" spans="2:16">
      <c r="B73" s="6">
        <f ca="1">IFERROR(__xludf.DUMMYFUNCTION("""COMPUTED_VALUE"""),2025)</f>
        <v>2025</v>
      </c>
      <c r="C73" s="6">
        <f ca="1">IFERROR(__xludf.DUMMYFUNCTION("""COMPUTED_VALUE"""),1)</f>
        <v>1</v>
      </c>
      <c r="D73" s="6" t="str">
        <f ca="1">IFERROR(__xludf.DUMMYFUNCTION("""COMPUTED_VALUE"""),"NO")</f>
        <v>NO</v>
      </c>
      <c r="E73" s="6" t="str">
        <f ca="1">IFERROR(__xludf.DUMMYFUNCTION("""COMPUTED_VALUE"""),"Murcia")</f>
        <v>Murcia</v>
      </c>
      <c r="F73" s="16">
        <f ca="1">IFERROR(__xludf.DUMMYFUNCTION("""COMPUTED_VALUE"""),45678)</f>
        <v>45678</v>
      </c>
      <c r="G73" s="16">
        <f ca="1">IFERROR(__xludf.DUMMYFUNCTION("""COMPUTED_VALUE"""),45643)</f>
        <v>45643</v>
      </c>
      <c r="H73" s="6" t="str">
        <f ca="1">IFERROR(__xludf.DUMMYFUNCTION("""COMPUTED_VALUE"""),"Murcia")</f>
        <v>Murcia</v>
      </c>
      <c r="I73" s="6" t="str">
        <f ca="1">IFERROR(__xludf.DUMMYFUNCTION("""COMPUTED_VALUE"""),"C2024121812922488")</f>
        <v>C2024121812922488</v>
      </c>
      <c r="J73" s="6" t="str">
        <f ca="1">IFERROR(__xludf.DUMMYFUNCTION("""COMPUTED_VALUE"""),"MANUEL VIDAL SANZ")</f>
        <v>MANUEL VIDAL SANZ</v>
      </c>
      <c r="K73" s="6">
        <f ca="1">IFERROR(__xludf.DUMMYFUNCTION("""COMPUTED_VALUE"""),2)</f>
        <v>2</v>
      </c>
      <c r="L73" s="139">
        <f ca="1">IFERROR(__xludf.DUMMYFUNCTION("""COMPUTED_VALUE"""),4000)</f>
        <v>4000</v>
      </c>
      <c r="M73" s="6" t="str">
        <f ca="1">IFERROR(__xludf.DUMMYFUNCTION("""COMPUTED_VALUE"""),"03 ORL")</f>
        <v>03 ORL</v>
      </c>
      <c r="N73" s="6" t="str">
        <f ca="1">IFERROR(__xludf.DUMMYFUNCTION("""COMPUTED_VALUE"""),"06 ORL")</f>
        <v>06 ORL</v>
      </c>
      <c r="O73" s="6" t="str">
        <f ca="1">IFERROR(__xludf.DUMMYFUNCTION("""COMPUTED_VALUE"""),"Dr, José Miguel Osete Albaladejo")</f>
        <v>Dr, José Miguel Osete Albaladejo</v>
      </c>
      <c r="P73" s="6" t="str">
        <f ca="1">IFERROR(__xludf.DUMMYFUNCTION("""COMPUTED_VALUE"""),"Iván Sánchez (Levante Y Albacete)")</f>
        <v>Iván Sánchez (Levante Y Albacete)</v>
      </c>
    </row>
    <row r="74" spans="2:16">
      <c r="B74" s="6">
        <f ca="1">IFERROR(__xludf.DUMMYFUNCTION("""COMPUTED_VALUE"""),2025)</f>
        <v>2025</v>
      </c>
      <c r="C74" s="6">
        <f ca="1">IFERROR(__xludf.DUMMYFUNCTION("""COMPUTED_VALUE"""),1)</f>
        <v>1</v>
      </c>
      <c r="D74" s="6" t="str">
        <f ca="1">IFERROR(__xludf.DUMMYFUNCTION("""COMPUTED_VALUE"""),"NO")</f>
        <v>NO</v>
      </c>
      <c r="E74" s="6" t="str">
        <f ca="1">IFERROR(__xludf.DUMMYFUNCTION("""COMPUTED_VALUE"""),"Murcia")</f>
        <v>Murcia</v>
      </c>
      <c r="F74" s="16">
        <f ca="1">IFERROR(__xludf.DUMMYFUNCTION("""COMPUTED_VALUE"""),45667)</f>
        <v>45667</v>
      </c>
      <c r="G74" s="16">
        <f ca="1">IFERROR(__xludf.DUMMYFUNCTION("""COMPUTED_VALUE"""),45624)</f>
        <v>45624</v>
      </c>
      <c r="H74" s="6" t="str">
        <f ca="1">IFERROR(__xludf.DUMMYFUNCTION("""COMPUTED_VALUE"""),"Murcia")</f>
        <v>Murcia</v>
      </c>
      <c r="I74" s="6" t="str">
        <f ca="1">IFERROR(__xludf.DUMMYFUNCTION("""COMPUTED_VALUE"""),"C202412210579993")</f>
        <v>C202412210579993</v>
      </c>
      <c r="J74" s="6" t="str">
        <f ca="1">IFERROR(__xludf.DUMMYFUNCTION("""COMPUTED_VALUE"""),"MARIA JESUS BARCELO CLEMARES")</f>
        <v>MARIA JESUS BARCELO CLEMARES</v>
      </c>
      <c r="K74" s="6">
        <f ca="1">IFERROR(__xludf.DUMMYFUNCTION("""COMPUTED_VALUE"""),2)</f>
        <v>2</v>
      </c>
      <c r="L74" s="139">
        <f ca="1">IFERROR(__xludf.DUMMYFUNCTION("""COMPUTED_VALUE"""),4000)</f>
        <v>4000</v>
      </c>
      <c r="M74" s="6" t="str">
        <f ca="1">IFERROR(__xludf.DUMMYFUNCTION("""COMPUTED_VALUE"""),"03 ORL")</f>
        <v>03 ORL</v>
      </c>
      <c r="N74" s="6" t="str">
        <f ca="1">IFERROR(__xludf.DUMMYFUNCTION("""COMPUTED_VALUE"""),"06 ORL")</f>
        <v>06 ORL</v>
      </c>
      <c r="O74" s="6" t="str">
        <f ca="1">IFERROR(__xludf.DUMMYFUNCTION("""COMPUTED_VALUE"""),"Dra, María Agustina Sevilla García")</f>
        <v>Dra, María Agustina Sevilla García</v>
      </c>
      <c r="P74" s="6" t="str">
        <f ca="1">IFERROR(__xludf.DUMMYFUNCTION("""COMPUTED_VALUE"""),"Iván Sánchez (Levante Y Albacete)")</f>
        <v>Iván Sánchez (Levante Y Albacete)</v>
      </c>
    </row>
    <row r="75" spans="2:16">
      <c r="B75" s="6">
        <f ca="1">IFERROR(__xludf.DUMMYFUNCTION("""COMPUTED_VALUE"""),2025)</f>
        <v>2025</v>
      </c>
      <c r="C75" s="6">
        <f ca="1">IFERROR(__xludf.DUMMYFUNCTION("""COMPUTED_VALUE"""),1)</f>
        <v>1</v>
      </c>
      <c r="D75" s="6" t="str">
        <f ca="1">IFERROR(__xludf.DUMMYFUNCTION("""COMPUTED_VALUE"""),"NO")</f>
        <v>NO</v>
      </c>
      <c r="E75" s="6" t="str">
        <f ca="1">IFERROR(__xludf.DUMMYFUNCTION("""COMPUTED_VALUE"""),"Murcia")</f>
        <v>Murcia</v>
      </c>
      <c r="F75" s="16">
        <f ca="1">IFERROR(__xludf.DUMMYFUNCTION("""COMPUTED_VALUE"""),45680)</f>
        <v>45680</v>
      </c>
      <c r="G75" s="16">
        <f ca="1">IFERROR(__xludf.DUMMYFUNCTION("""COMPUTED_VALUE"""),45642)</f>
        <v>45642</v>
      </c>
      <c r="H75" s="6" t="str">
        <f ca="1">IFERROR(__xludf.DUMMYFUNCTION("""COMPUTED_VALUE"""),"Murcia")</f>
        <v>Murcia</v>
      </c>
      <c r="I75" s="6" t="str">
        <f ca="1">IFERROR(__xludf.DUMMYFUNCTION("""COMPUTED_VALUE"""),"C2024121918401162")</f>
        <v>C2024121918401162</v>
      </c>
      <c r="J75" s="6" t="str">
        <f ca="1">IFERROR(__xludf.DUMMYFUNCTION("""COMPUTED_VALUE"""),"MIGUEL ANGEL ROMERA MARIN")</f>
        <v>MIGUEL ANGEL ROMERA MARIN</v>
      </c>
      <c r="K75" s="6">
        <f ca="1">IFERROR(__xludf.DUMMYFUNCTION("""COMPUTED_VALUE"""),2)</f>
        <v>2</v>
      </c>
      <c r="L75" s="139">
        <f ca="1">IFERROR(__xludf.DUMMYFUNCTION("""COMPUTED_VALUE"""),3800)</f>
        <v>3800</v>
      </c>
      <c r="M75" s="6" t="str">
        <f ca="1">IFERROR(__xludf.DUMMYFUNCTION("""COMPUTED_VALUE"""),"03 ORL")</f>
        <v>03 ORL</v>
      </c>
      <c r="N75" s="6" t="str">
        <f ca="1">IFERROR(__xludf.DUMMYFUNCTION("""COMPUTED_VALUE"""),"06 ORL")</f>
        <v>06 ORL</v>
      </c>
      <c r="O75" s="6" t="str">
        <f ca="1">IFERROR(__xludf.DUMMYFUNCTION("""COMPUTED_VALUE"""),"Dra, María Agustina Sevilla García")</f>
        <v>Dra, María Agustina Sevilla García</v>
      </c>
      <c r="P75" s="6" t="str">
        <f ca="1">IFERROR(__xludf.DUMMYFUNCTION("""COMPUTED_VALUE"""),"Iván Sánchez (Levante Y Albacete)")</f>
        <v>Iván Sánchez (Levante Y Albacete)</v>
      </c>
    </row>
    <row r="76" spans="2:16">
      <c r="B76" s="6">
        <f ca="1">IFERROR(__xludf.DUMMYFUNCTION("""COMPUTED_VALUE"""),2025)</f>
        <v>2025</v>
      </c>
      <c r="C76" s="6">
        <f ca="1">IFERROR(__xludf.DUMMYFUNCTION("""COMPUTED_VALUE"""),1)</f>
        <v>1</v>
      </c>
      <c r="D76" s="6" t="str">
        <f ca="1">IFERROR(__xludf.DUMMYFUNCTION("""COMPUTED_VALUE"""),"NO")</f>
        <v>NO</v>
      </c>
      <c r="E76" s="6" t="str">
        <f ca="1">IFERROR(__xludf.DUMMYFUNCTION("""COMPUTED_VALUE"""),"Murcia")</f>
        <v>Murcia</v>
      </c>
      <c r="F76" s="16">
        <f ca="1">IFERROR(__xludf.DUMMYFUNCTION("""COMPUTED_VALUE"""),45686)</f>
        <v>45686</v>
      </c>
      <c r="G76" s="16">
        <f ca="1">IFERROR(__xludf.DUMMYFUNCTION("""COMPUTED_VALUE"""),45670)</f>
        <v>45670</v>
      </c>
      <c r="H76" s="6" t="str">
        <f ca="1">IFERROR(__xludf.DUMMYFUNCTION("""COMPUTED_VALUE"""),"Murcia")</f>
        <v>Murcia</v>
      </c>
      <c r="I76" s="6" t="str">
        <f ca="1">IFERROR(__xludf.DUMMYFUNCTION("""COMPUTED_VALUE"""),"C2025115113929824")</f>
        <v>C2025115113929824</v>
      </c>
      <c r="J76" s="6" t="str">
        <f ca="1">IFERROR(__xludf.DUMMYFUNCTION("""COMPUTED_VALUE"""),"MONICA ALEXANDRA SALAZAR SANCHEZ")</f>
        <v>MONICA ALEXANDRA SALAZAR SANCHEZ</v>
      </c>
      <c r="K76" s="6">
        <f ca="1">IFERROR(__xludf.DUMMYFUNCTION("""COMPUTED_VALUE"""),1)</f>
        <v>1</v>
      </c>
      <c r="L76" s="139">
        <f ca="1">IFERROR(__xludf.DUMMYFUNCTION("""COMPUTED_VALUE"""),1732.73)</f>
        <v>1732.73</v>
      </c>
      <c r="M76" s="6" t="str">
        <f ca="1">IFERROR(__xludf.DUMMYFUNCTION("""COMPUTED_VALUE"""),"03 ORL")</f>
        <v>03 ORL</v>
      </c>
      <c r="N76" s="6" t="str">
        <f ca="1">IFERROR(__xludf.DUMMYFUNCTION("""COMPUTED_VALUE"""),"06 ORL")</f>
        <v>06 ORL</v>
      </c>
      <c r="O76" s="6" t="str">
        <f ca="1">IFERROR(__xludf.DUMMYFUNCTION("""COMPUTED_VALUE"""),"Dra, María Agustina Sevilla García")</f>
        <v>Dra, María Agustina Sevilla García</v>
      </c>
      <c r="P76" s="6" t="str">
        <f ca="1">IFERROR(__xludf.DUMMYFUNCTION("""COMPUTED_VALUE"""),"Iván Sánchez (Levante Y Albacete)")</f>
        <v>Iván Sánchez (Levante Y Albacete)</v>
      </c>
    </row>
    <row r="77" spans="2:16">
      <c r="B77" s="6">
        <f ca="1">IFERROR(__xludf.DUMMYFUNCTION("""COMPUTED_VALUE"""),2025)</f>
        <v>2025</v>
      </c>
      <c r="C77" s="6">
        <f ca="1">IFERROR(__xludf.DUMMYFUNCTION("""COMPUTED_VALUE"""),1)</f>
        <v>1</v>
      </c>
      <c r="D77" s="6" t="str">
        <f ca="1">IFERROR(__xludf.DUMMYFUNCTION("""COMPUTED_VALUE"""),"NO")</f>
        <v>NO</v>
      </c>
      <c r="E77" s="6" t="str">
        <f ca="1">IFERROR(__xludf.DUMMYFUNCTION("""COMPUTED_VALUE"""),"Murcia")</f>
        <v>Murcia</v>
      </c>
      <c r="F77" s="16">
        <f ca="1">IFERROR(__xludf.DUMMYFUNCTION("""COMPUTED_VALUE"""),45686)</f>
        <v>45686</v>
      </c>
      <c r="G77" s="16">
        <f ca="1">IFERROR(__xludf.DUMMYFUNCTION("""COMPUTED_VALUE"""),45666)</f>
        <v>45666</v>
      </c>
      <c r="H77" s="6" t="str">
        <f ca="1">IFERROR(__xludf.DUMMYFUNCTION("""COMPUTED_VALUE"""),"Murcia")</f>
        <v>Murcia</v>
      </c>
      <c r="I77" s="6" t="str">
        <f ca="1">IFERROR(__xludf.DUMMYFUNCTION("""COMPUTED_VALUE"""),"C202511010343731")</f>
        <v>C202511010343731</v>
      </c>
      <c r="J77" s="6" t="str">
        <f ca="1">IFERROR(__xludf.DUMMYFUNCTION("""COMPUTED_VALUE"""),"PEDRO MARTINEZ ROMERO")</f>
        <v>PEDRO MARTINEZ ROMERO</v>
      </c>
      <c r="K77" s="6">
        <f ca="1">IFERROR(__xludf.DUMMYFUNCTION("""COMPUTED_VALUE"""),2)</f>
        <v>2</v>
      </c>
      <c r="L77" s="139">
        <f ca="1">IFERROR(__xludf.DUMMYFUNCTION("""COMPUTED_VALUE"""),4400)</f>
        <v>4400</v>
      </c>
      <c r="M77" s="6" t="str">
        <f ca="1">IFERROR(__xludf.DUMMYFUNCTION("""COMPUTED_VALUE"""),"03 ORL")</f>
        <v>03 ORL</v>
      </c>
      <c r="N77" s="6" t="str">
        <f ca="1">IFERROR(__xludf.DUMMYFUNCTION("""COMPUTED_VALUE"""),"06 ORL")</f>
        <v>06 ORL</v>
      </c>
      <c r="O77" s="6" t="str">
        <f ca="1">IFERROR(__xludf.DUMMYFUNCTION("""COMPUTED_VALUE"""),"Dr, Juan Pablo Pelegrín Hernández")</f>
        <v>Dr, Juan Pablo Pelegrín Hernández</v>
      </c>
      <c r="P77" s="6" t="str">
        <f ca="1">IFERROR(__xludf.DUMMYFUNCTION("""COMPUTED_VALUE"""),"Iván Sánchez (Levante Y Albacete)")</f>
        <v>Iván Sánchez (Levante Y Albacete)</v>
      </c>
    </row>
    <row r="78" spans="2:16">
      <c r="B78" s="6">
        <f ca="1">IFERROR(__xludf.DUMMYFUNCTION("""COMPUTED_VALUE"""),2025)</f>
        <v>2025</v>
      </c>
      <c r="C78" s="6">
        <f ca="1">IFERROR(__xludf.DUMMYFUNCTION("""COMPUTED_VALUE"""),1)</f>
        <v>1</v>
      </c>
      <c r="D78" s="6" t="str">
        <f ca="1">IFERROR(__xludf.DUMMYFUNCTION("""COMPUTED_VALUE"""),"NO")</f>
        <v>NO</v>
      </c>
      <c r="E78" s="6" t="str">
        <f ca="1">IFERROR(__xludf.DUMMYFUNCTION("""COMPUTED_VALUE"""),"Murcia")</f>
        <v>Murcia</v>
      </c>
      <c r="F78" s="16">
        <f ca="1">IFERROR(__xludf.DUMMYFUNCTION("""COMPUTED_VALUE"""),45667)</f>
        <v>45667</v>
      </c>
      <c r="G78" s="16">
        <f ca="1">IFERROR(__xludf.DUMMYFUNCTION("""COMPUTED_VALUE"""),45630)</f>
        <v>45630</v>
      </c>
      <c r="H78" s="6" t="str">
        <f ca="1">IFERROR(__xludf.DUMMYFUNCTION("""COMPUTED_VALUE"""),"Murcia")</f>
        <v>Murcia</v>
      </c>
      <c r="I78" s="6" t="str">
        <f ca="1">IFERROR(__xludf.DUMMYFUNCTION("""COMPUTED_VALUE"""),"C2024121611423262")</f>
        <v>C2024121611423262</v>
      </c>
      <c r="J78" s="6" t="str">
        <f ca="1">IFERROR(__xludf.DUMMYFUNCTION("""COMPUTED_VALUE"""),"SALVADOR LOPEZ ESCAR")</f>
        <v>SALVADOR LOPEZ ESCAR</v>
      </c>
      <c r="K78" s="6">
        <f ca="1">IFERROR(__xludf.DUMMYFUNCTION("""COMPUTED_VALUE"""),2)</f>
        <v>2</v>
      </c>
      <c r="L78" s="139">
        <f ca="1">IFERROR(__xludf.DUMMYFUNCTION("""COMPUTED_VALUE"""),3800)</f>
        <v>3800</v>
      </c>
      <c r="M78" s="6" t="str">
        <f ca="1">IFERROR(__xludf.DUMMYFUNCTION("""COMPUTED_VALUE"""),"03 ORL")</f>
        <v>03 ORL</v>
      </c>
      <c r="N78" s="6" t="str">
        <f ca="1">IFERROR(__xludf.DUMMYFUNCTION("""COMPUTED_VALUE"""),"06 ORL")</f>
        <v>06 ORL</v>
      </c>
      <c r="O78" s="6" t="str">
        <f ca="1">IFERROR(__xludf.DUMMYFUNCTION("""COMPUTED_VALUE"""),"Dr, Jesús Miguel Iniesta Turpín")</f>
        <v>Dr, Jesús Miguel Iniesta Turpín</v>
      </c>
      <c r="P78" s="6" t="str">
        <f ca="1">IFERROR(__xludf.DUMMYFUNCTION("""COMPUTED_VALUE"""),"Iván Sánchez (Levante Y Albacete)")</f>
        <v>Iván Sánchez (Levante Y Albacete)</v>
      </c>
    </row>
    <row r="79" spans="2:16">
      <c r="B79" s="6">
        <f ca="1">IFERROR(__xludf.DUMMYFUNCTION("""COMPUTED_VALUE"""),2025)</f>
        <v>2025</v>
      </c>
      <c r="C79" s="6">
        <f ca="1">IFERROR(__xludf.DUMMYFUNCTION("""COMPUTED_VALUE"""),1)</f>
        <v>1</v>
      </c>
      <c r="D79" s="6" t="str">
        <f ca="1">IFERROR(__xludf.DUMMYFUNCTION("""COMPUTED_VALUE"""),"NO")</f>
        <v>NO</v>
      </c>
      <c r="E79" s="6" t="str">
        <f ca="1">IFERROR(__xludf.DUMMYFUNCTION("""COMPUTED_VALUE"""),"Orihuela")</f>
        <v>Orihuela</v>
      </c>
      <c r="F79" s="16">
        <f ca="1">IFERROR(__xludf.DUMMYFUNCTION("""COMPUTED_VALUE"""),45688)</f>
        <v>45688</v>
      </c>
      <c r="G79" s="16">
        <f ca="1">IFERROR(__xludf.DUMMYFUNCTION("""COMPUTED_VALUE"""),45645)</f>
        <v>45645</v>
      </c>
      <c r="H79" s="6" t="str">
        <f ca="1">IFERROR(__xludf.DUMMYFUNCTION("""COMPUTED_VALUE"""),"La Zenia")</f>
        <v>La Zenia</v>
      </c>
      <c r="I79" s="6" t="str">
        <f ca="1">IFERROR(__xludf.DUMMYFUNCTION("""COMPUTED_VALUE"""),"C20241230104550278")</f>
        <v>C20241230104550278</v>
      </c>
      <c r="J79" s="6" t="str">
        <f ca="1">IFERROR(__xludf.DUMMYFUNCTION("""COMPUTED_VALUE"""),"JACQUELINE MELVILLE")</f>
        <v>JACQUELINE MELVILLE</v>
      </c>
      <c r="K79" s="6">
        <f ca="1">IFERROR(__xludf.DUMMYFUNCTION("""COMPUTED_VALUE"""),2)</f>
        <v>2</v>
      </c>
      <c r="L79" s="139">
        <f ca="1">IFERROR(__xludf.DUMMYFUNCTION("""COMPUTED_VALUE"""),3710)</f>
        <v>3710</v>
      </c>
      <c r="M79" s="6" t="str">
        <f ca="1">IFERROR(__xludf.DUMMYFUNCTION("""COMPUTED_VALUE"""),"03 ORL")</f>
        <v>03 ORL</v>
      </c>
      <c r="N79" s="6" t="str">
        <f ca="1">IFERROR(__xludf.DUMMYFUNCTION("""COMPUTED_VALUE"""),"06 ORL")</f>
        <v>06 ORL</v>
      </c>
      <c r="O79" s="6" t="str">
        <f ca="1">IFERROR(__xludf.DUMMYFUNCTION("""COMPUTED_VALUE"""),"Dra, Oreana Carolina Camacaro González")</f>
        <v>Dra, Oreana Carolina Camacaro González</v>
      </c>
      <c r="P79" s="6" t="str">
        <f ca="1">IFERROR(__xludf.DUMMYFUNCTION("""COMPUTED_VALUE"""),"Iván Sánchez (Levante Y Albacete)")</f>
        <v>Iván Sánchez (Levante Y Albacete)</v>
      </c>
    </row>
    <row r="80" spans="2:16">
      <c r="B80" s="6">
        <f ca="1">IFERROR(__xludf.DUMMYFUNCTION("""COMPUTED_VALUE"""),2025)</f>
        <v>2025</v>
      </c>
      <c r="C80" s="6">
        <f ca="1">IFERROR(__xludf.DUMMYFUNCTION("""COMPUTED_VALUE"""),1)</f>
        <v>1</v>
      </c>
      <c r="D80" s="6" t="str">
        <f ca="1">IFERROR(__xludf.DUMMYFUNCTION("""COMPUTED_VALUE"""),"NO")</f>
        <v>NO</v>
      </c>
      <c r="E80" s="6" t="str">
        <f ca="1">IFERROR(__xludf.DUMMYFUNCTION("""COMPUTED_VALUE"""),"Orihuela")</f>
        <v>Orihuela</v>
      </c>
      <c r="F80" s="16">
        <f ca="1">IFERROR(__xludf.DUMMYFUNCTION("""COMPUTED_VALUE"""),45671)</f>
        <v>45671</v>
      </c>
      <c r="G80" s="16">
        <f ca="1">IFERROR(__xludf.DUMMYFUNCTION("""COMPUTED_VALUE"""),45644)</f>
        <v>45644</v>
      </c>
      <c r="H80" s="6" t="str">
        <f ca="1">IFERROR(__xludf.DUMMYFUNCTION("""COMPUTED_VALUE"""),"La Zenia")</f>
        <v>La Zenia</v>
      </c>
      <c r="I80" s="6" t="str">
        <f ca="1">IFERROR(__xludf.DUMMYFUNCTION("""COMPUTED_VALUE"""),"C20241223104210636")</f>
        <v>C20241223104210636</v>
      </c>
      <c r="J80" s="6" t="str">
        <f ca="1">IFERROR(__xludf.DUMMYFUNCTION("""COMPUTED_VALUE"""),"MIGUEL DIEZ ESTRADA")</f>
        <v>MIGUEL DIEZ ESTRADA</v>
      </c>
      <c r="K80" s="6">
        <f ca="1">IFERROR(__xludf.DUMMYFUNCTION("""COMPUTED_VALUE"""),2)</f>
        <v>2</v>
      </c>
      <c r="L80" s="139">
        <f ca="1">IFERROR(__xludf.DUMMYFUNCTION("""COMPUTED_VALUE"""),2888.18)</f>
        <v>2888.18</v>
      </c>
      <c r="M80" s="6" t="str">
        <f ca="1">IFERROR(__xludf.DUMMYFUNCTION("""COMPUTED_VALUE"""),"03 ORL")</f>
        <v>03 ORL</v>
      </c>
      <c r="N80" s="6" t="str">
        <f ca="1">IFERROR(__xludf.DUMMYFUNCTION("""COMPUTED_VALUE"""),"06 ORL")</f>
        <v>06 ORL</v>
      </c>
      <c r="O80" s="6" t="str">
        <f ca="1">IFERROR(__xludf.DUMMYFUNCTION("""COMPUTED_VALUE"""),"Dra, Marina Pérez Grau")</f>
        <v>Dra, Marina Pérez Grau</v>
      </c>
      <c r="P80" s="6" t="str">
        <f ca="1">IFERROR(__xludf.DUMMYFUNCTION("""COMPUTED_VALUE"""),"Iván Sánchez (Levante Y Albacete)")</f>
        <v>Iván Sánchez (Levante Y Albacete)</v>
      </c>
    </row>
    <row r="81" spans="2:16">
      <c r="B81" s="6">
        <f ca="1">IFERROR(__xludf.DUMMYFUNCTION("""COMPUTED_VALUE"""),2025)</f>
        <v>2025</v>
      </c>
      <c r="C81" s="6">
        <f ca="1">IFERROR(__xludf.DUMMYFUNCTION("""COMPUTED_VALUE"""),1)</f>
        <v>1</v>
      </c>
      <c r="D81" s="6" t="str">
        <f ca="1">IFERROR(__xludf.DUMMYFUNCTION("""COMPUTED_VALUE"""),"NO")</f>
        <v>NO</v>
      </c>
      <c r="E81" s="6" t="str">
        <f ca="1">IFERROR(__xludf.DUMMYFUNCTION("""COMPUTED_VALUE"""),"Orihuela")</f>
        <v>Orihuela</v>
      </c>
      <c r="F81" s="16">
        <f ca="1">IFERROR(__xludf.DUMMYFUNCTION("""COMPUTED_VALUE"""),45688)</f>
        <v>45688</v>
      </c>
      <c r="G81" s="16">
        <f ca="1">IFERROR(__xludf.DUMMYFUNCTION("""COMPUTED_VALUE"""),45673)</f>
        <v>45673</v>
      </c>
      <c r="H81" s="6" t="str">
        <f ca="1">IFERROR(__xludf.DUMMYFUNCTION("""COMPUTED_VALUE"""),"La Zenia")</f>
        <v>La Zenia</v>
      </c>
      <c r="I81" s="6" t="str">
        <f ca="1">IFERROR(__xludf.DUMMYFUNCTION("""COMPUTED_VALUE"""),"C202512014953350")</f>
        <v>C202512014953350</v>
      </c>
      <c r="J81" s="6" t="str">
        <f ca="1">IFERROR(__xludf.DUMMYFUNCTION("""COMPUTED_VALUE"""),"UNA MAGOURTY")</f>
        <v>UNA MAGOURTY</v>
      </c>
      <c r="K81" s="6">
        <f ca="1">IFERROR(__xludf.DUMMYFUNCTION("""COMPUTED_VALUE"""),2)</f>
        <v>2</v>
      </c>
      <c r="L81" s="139">
        <f ca="1">IFERROR(__xludf.DUMMYFUNCTION("""COMPUTED_VALUE"""),4000)</f>
        <v>4000</v>
      </c>
      <c r="M81" s="6" t="str">
        <f ca="1">IFERROR(__xludf.DUMMYFUNCTION("""COMPUTED_VALUE"""),"03 ORL")</f>
        <v>03 ORL</v>
      </c>
      <c r="N81" s="6" t="str">
        <f ca="1">IFERROR(__xludf.DUMMYFUNCTION("""COMPUTED_VALUE"""),"06 ORL")</f>
        <v>06 ORL</v>
      </c>
      <c r="O81" s="6" t="str">
        <f ca="1">IFERROR(__xludf.DUMMYFUNCTION("""COMPUTED_VALUE"""),"Dr, Santiago Moreno Paredes")</f>
        <v>Dr, Santiago Moreno Paredes</v>
      </c>
      <c r="P81" s="6" t="str">
        <f ca="1">IFERROR(__xludf.DUMMYFUNCTION("""COMPUTED_VALUE"""),"Iván Sánchez (Levante Y Albacete)")</f>
        <v>Iván Sánchez (Levante Y Albacete)</v>
      </c>
    </row>
    <row r="82" spans="2:16">
      <c r="B82" s="6">
        <f ca="1">IFERROR(__xludf.DUMMYFUNCTION("""COMPUTED_VALUE"""),2025)</f>
        <v>2025</v>
      </c>
      <c r="C82" s="6">
        <f ca="1">IFERROR(__xludf.DUMMYFUNCTION("""COMPUTED_VALUE"""),1)</f>
        <v>1</v>
      </c>
      <c r="D82" s="6" t="str">
        <f ca="1">IFERROR(__xludf.DUMMYFUNCTION("""COMPUTED_VALUE"""),"NO")</f>
        <v>NO</v>
      </c>
      <c r="E82" s="6" t="str">
        <f ca="1">IFERROR(__xludf.DUMMYFUNCTION("""COMPUTED_VALUE"""),"Ourense")</f>
        <v>Ourense</v>
      </c>
      <c r="F82" s="16">
        <f ca="1">IFERROR(__xludf.DUMMYFUNCTION("""COMPUTED_VALUE"""),45680)</f>
        <v>45680</v>
      </c>
      <c r="G82" s="16">
        <f ca="1">IFERROR(__xludf.DUMMYFUNCTION("""COMPUTED_VALUE"""),45601)</f>
        <v>45601</v>
      </c>
      <c r="H82" s="6" t="str">
        <f ca="1">IFERROR(__xludf.DUMMYFUNCTION("""COMPUTED_VALUE"""),"Orense")</f>
        <v>Orense</v>
      </c>
      <c r="I82" s="6" t="str">
        <f ca="1">IFERROR(__xludf.DUMMYFUNCTION("""COMPUTED_VALUE"""),"ORS-426")</f>
        <v>ORS-426</v>
      </c>
      <c r="J82" s="6" t="str">
        <f ca="1">IFERROR(__xludf.DUMMYFUNCTION("""COMPUTED_VALUE"""),"MARIA GONZALEZ GOMEZ")</f>
        <v>MARIA GONZALEZ GOMEZ</v>
      </c>
      <c r="K82" s="6">
        <f ca="1">IFERROR(__xludf.DUMMYFUNCTION("""COMPUTED_VALUE"""),1)</f>
        <v>1</v>
      </c>
      <c r="L82" s="139">
        <f ca="1">IFERROR(__xludf.DUMMYFUNCTION("""COMPUTED_VALUE"""),1982.73)</f>
        <v>1982.73</v>
      </c>
      <c r="M82" s="6" t="str">
        <f ca="1">IFERROR(__xludf.DUMMYFUNCTION("""COMPUTED_VALUE"""),"03 ORL")</f>
        <v>03 ORL</v>
      </c>
      <c r="N82" s="6" t="str">
        <f ca="1">IFERROR(__xludf.DUMMYFUNCTION("""COMPUTED_VALUE"""),"06 ORL")</f>
        <v>06 ORL</v>
      </c>
      <c r="O82" s="6" t="str">
        <f ca="1">IFERROR(__xludf.DUMMYFUNCTION("""COMPUTED_VALUE"""),"Dra, María Rey Marcos")</f>
        <v>Dra, María Rey Marcos</v>
      </c>
      <c r="P82" s="6" t="str">
        <f ca="1">IFERROR(__xludf.DUMMYFUNCTION("""COMPUTED_VALUE"""),"Roberto Pereira (Galicia)")</f>
        <v>Roberto Pereira (Galicia)</v>
      </c>
    </row>
    <row r="83" spans="2:16">
      <c r="B83" s="6">
        <f ca="1">IFERROR(__xludf.DUMMYFUNCTION("""COMPUTED_VALUE"""),2025)</f>
        <v>2025</v>
      </c>
      <c r="C83" s="6">
        <f ca="1">IFERROR(__xludf.DUMMYFUNCTION("""COMPUTED_VALUE"""),1)</f>
        <v>1</v>
      </c>
      <c r="D83" s="6" t="str">
        <f ca="1">IFERROR(__xludf.DUMMYFUNCTION("""COMPUTED_VALUE"""),"NO")</f>
        <v>NO</v>
      </c>
      <c r="E83" s="6" t="str">
        <f ca="1">IFERROR(__xludf.DUMMYFUNCTION("""COMPUTED_VALUE"""),"Ourense")</f>
        <v>Ourense</v>
      </c>
      <c r="F83" s="16">
        <f ca="1">IFERROR(__xludf.DUMMYFUNCTION("""COMPUTED_VALUE"""),45678)</f>
        <v>45678</v>
      </c>
      <c r="G83" s="16">
        <f ca="1">IFERROR(__xludf.DUMMYFUNCTION("""COMPUTED_VALUE"""),45643)</f>
        <v>45643</v>
      </c>
      <c r="H83" s="6" t="str">
        <f ca="1">IFERROR(__xludf.DUMMYFUNCTION("""COMPUTED_VALUE"""),"Orense")</f>
        <v>Orense</v>
      </c>
      <c r="I83" s="6" t="str">
        <f ca="1">IFERROR(__xludf.DUMMYFUNCTION("""COMPUTED_VALUE"""),"C2024121914382837")</f>
        <v>C2024121914382837</v>
      </c>
      <c r="J83" s="6" t="str">
        <f ca="1">IFERROR(__xludf.DUMMYFUNCTION("""COMPUTED_VALUE"""),"MARÍA LUISA MEIRA LABO")</f>
        <v>MARÍA LUISA MEIRA LABO</v>
      </c>
      <c r="K83" s="6">
        <f ca="1">IFERROR(__xludf.DUMMYFUNCTION("""COMPUTED_VALUE"""),2)</f>
        <v>2</v>
      </c>
      <c r="L83" s="139">
        <f ca="1">IFERROR(__xludf.DUMMYFUNCTION("""COMPUTED_VALUE"""),3710)</f>
        <v>3710</v>
      </c>
      <c r="M83" s="6" t="str">
        <f ca="1">IFERROR(__xludf.DUMMYFUNCTION("""COMPUTED_VALUE"""),"03 ORL")</f>
        <v>03 ORL</v>
      </c>
      <c r="N83" s="6" t="str">
        <f ca="1">IFERROR(__xludf.DUMMYFUNCTION("""COMPUTED_VALUE"""),"06 ORL")</f>
        <v>06 ORL</v>
      </c>
      <c r="O83" s="6" t="str">
        <f ca="1">IFERROR(__xludf.DUMMYFUNCTION("""COMPUTED_VALUE"""),"Dra, Ana Quintana Sanjuan")</f>
        <v>Dra, Ana Quintana Sanjuan</v>
      </c>
      <c r="P83" s="6" t="str">
        <f ca="1">IFERROR(__xludf.DUMMYFUNCTION("""COMPUTED_VALUE"""),"Roberto Pereira (Galicia)")</f>
        <v>Roberto Pereira (Galicia)</v>
      </c>
    </row>
    <row r="84" spans="2:16">
      <c r="B84" s="6">
        <f ca="1">IFERROR(__xludf.DUMMYFUNCTION("""COMPUTED_VALUE"""),2025)</f>
        <v>2025</v>
      </c>
      <c r="C84" s="6">
        <f ca="1">IFERROR(__xludf.DUMMYFUNCTION("""COMPUTED_VALUE"""),1)</f>
        <v>1</v>
      </c>
      <c r="D84" s="6" t="str">
        <f ca="1">IFERROR(__xludf.DUMMYFUNCTION("""COMPUTED_VALUE"""),"NO")</f>
        <v>NO</v>
      </c>
      <c r="E84" s="6" t="str">
        <f ca="1">IFERROR(__xludf.DUMMYFUNCTION("""COMPUTED_VALUE"""),"San Javier")</f>
        <v>San Javier</v>
      </c>
      <c r="F84" s="16">
        <f ca="1">IFERROR(__xludf.DUMMYFUNCTION("""COMPUTED_VALUE"""),45665)</f>
        <v>45665</v>
      </c>
      <c r="G84" s="16">
        <f ca="1">IFERROR(__xludf.DUMMYFUNCTION("""COMPUTED_VALUE"""),45635)</f>
        <v>45635</v>
      </c>
      <c r="H84" s="6" t="str">
        <f ca="1">IFERROR(__xludf.DUMMYFUNCTION("""COMPUTED_VALUE"""),"San Javier")</f>
        <v>San Javier</v>
      </c>
      <c r="I84" s="6" t="str">
        <f ca="1">IFERROR(__xludf.DUMMYFUNCTION("""COMPUTED_VALUE"""),"MSJ-496")</f>
        <v>MSJ-496</v>
      </c>
      <c r="J84" s="6" t="str">
        <f ca="1">IFERROR(__xludf.DUMMYFUNCTION("""COMPUTED_VALUE"""),"EUSEBIO CASTEJON ROS")</f>
        <v>EUSEBIO CASTEJON ROS</v>
      </c>
      <c r="K84" s="6">
        <f ca="1">IFERROR(__xludf.DUMMYFUNCTION("""COMPUTED_VALUE"""),2)</f>
        <v>2</v>
      </c>
      <c r="L84" s="139">
        <f ca="1">IFERROR(__xludf.DUMMYFUNCTION("""COMPUTED_VALUE"""),3710)</f>
        <v>3710</v>
      </c>
      <c r="M84" s="6" t="str">
        <f ca="1">IFERROR(__xludf.DUMMYFUNCTION("""COMPUTED_VALUE"""),"04 TIENDA")</f>
        <v>04 TIENDA</v>
      </c>
      <c r="N84" s="6" t="str">
        <f ca="1">IFERROR(__xludf.DUMMYFUNCTION("""COMPUTED_VALUE"""),"07 BOCA/BOCA")</f>
        <v>07 BOCA/BOCA</v>
      </c>
      <c r="O84" s="6" t="str">
        <f ca="1">IFERROR(__xludf.DUMMYFUNCTION("""COMPUTED_VALUE"""),"Dra, Ana Giribet Fernández-Pacheco")</f>
        <v>Dra, Ana Giribet Fernández-Pacheco</v>
      </c>
      <c r="P84" s="6" t="str">
        <f ca="1">IFERROR(__xludf.DUMMYFUNCTION("""COMPUTED_VALUE"""),"Iván Sánchez (Levante Y Albacete)")</f>
        <v>Iván Sánchez (Levante Y Albacete)</v>
      </c>
    </row>
    <row r="85" spans="2:16">
      <c r="B85" s="6">
        <f ca="1">IFERROR(__xludf.DUMMYFUNCTION("""COMPUTED_VALUE"""),2025)</f>
        <v>2025</v>
      </c>
      <c r="C85" s="6">
        <f ca="1">IFERROR(__xludf.DUMMYFUNCTION("""COMPUTED_VALUE"""),1)</f>
        <v>1</v>
      </c>
      <c r="D85" s="6" t="str">
        <f ca="1">IFERROR(__xludf.DUMMYFUNCTION("""COMPUTED_VALUE"""),"NO")</f>
        <v>NO</v>
      </c>
      <c r="E85" s="6" t="str">
        <f ca="1">IFERROR(__xludf.DUMMYFUNCTION("""COMPUTED_VALUE"""),"San Javier")</f>
        <v>San Javier</v>
      </c>
      <c r="F85" s="16">
        <f ca="1">IFERROR(__xludf.DUMMYFUNCTION("""COMPUTED_VALUE"""),45686)</f>
        <v>45686</v>
      </c>
      <c r="G85" s="16">
        <f ca="1">IFERROR(__xludf.DUMMYFUNCTION("""COMPUTED_VALUE"""),45656)</f>
        <v>45656</v>
      </c>
      <c r="H85" s="6" t="str">
        <f ca="1">IFERROR(__xludf.DUMMYFUNCTION("""COMPUTED_VALUE"""),"San Javier")</f>
        <v>San Javier</v>
      </c>
      <c r="I85" s="6" t="str">
        <f ca="1">IFERROR(__xludf.DUMMYFUNCTION("""COMPUTED_VALUE"""),"C202519173217948")</f>
        <v>C202519173217948</v>
      </c>
      <c r="J85" s="6" t="str">
        <f ca="1">IFERROR(__xludf.DUMMYFUNCTION("""COMPUTED_VALUE"""),"JOSE MARIA ROCA MARTINEZ")</f>
        <v>JOSE MARIA ROCA MARTINEZ</v>
      </c>
      <c r="K85" s="6">
        <f ca="1">IFERROR(__xludf.DUMMYFUNCTION("""COMPUTED_VALUE"""),2)</f>
        <v>2</v>
      </c>
      <c r="L85" s="139">
        <f ca="1">IFERROR(__xludf.DUMMYFUNCTION("""COMPUTED_VALUE"""),4000)</f>
        <v>4000</v>
      </c>
      <c r="M85" s="6" t="str">
        <f ca="1">IFERROR(__xludf.DUMMYFUNCTION("""COMPUTED_VALUE"""),"03 ORL")</f>
        <v>03 ORL</v>
      </c>
      <c r="N85" s="6" t="str">
        <f ca="1">IFERROR(__xludf.DUMMYFUNCTION("""COMPUTED_VALUE"""),"06 ORL")</f>
        <v>06 ORL</v>
      </c>
      <c r="O85" s="6" t="str">
        <f ca="1">IFERROR(__xludf.DUMMYFUNCTION("""COMPUTED_VALUE"""),"Dr, Dinis Antunes Silva")</f>
        <v>Dr, Dinis Antunes Silva</v>
      </c>
      <c r="P85" s="6" t="str">
        <f ca="1">IFERROR(__xludf.DUMMYFUNCTION("""COMPUTED_VALUE"""),"Iván Sánchez (Levante Y Albacete)")</f>
        <v>Iván Sánchez (Levante Y Albacete)</v>
      </c>
    </row>
    <row r="86" spans="2:16">
      <c r="B86" s="6">
        <f ca="1">IFERROR(__xludf.DUMMYFUNCTION("""COMPUTED_VALUE"""),2025)</f>
        <v>2025</v>
      </c>
      <c r="C86" s="6">
        <f ca="1">IFERROR(__xludf.DUMMYFUNCTION("""COMPUTED_VALUE"""),1)</f>
        <v>1</v>
      </c>
      <c r="D86" s="6" t="str">
        <f ca="1">IFERROR(__xludf.DUMMYFUNCTION("""COMPUTED_VALUE"""),"NO")</f>
        <v>NO</v>
      </c>
      <c r="E86" s="6" t="str">
        <f ca="1">IFERROR(__xludf.DUMMYFUNCTION("""COMPUTED_VALUE"""),"San Javier")</f>
        <v>San Javier</v>
      </c>
      <c r="F86" s="16">
        <f ca="1">IFERROR(__xludf.DUMMYFUNCTION("""COMPUTED_VALUE"""),45688)</f>
        <v>45688</v>
      </c>
      <c r="G86" s="16">
        <f ca="1">IFERROR(__xludf.DUMMYFUNCTION("""COMPUTED_VALUE"""),45608)</f>
        <v>45608</v>
      </c>
      <c r="H86" s="6" t="str">
        <f ca="1">IFERROR(__xludf.DUMMYFUNCTION("""COMPUTED_VALUE"""),"San Javier")</f>
        <v>San Javier</v>
      </c>
      <c r="I86" s="6" t="str">
        <f ca="1">IFERROR(__xludf.DUMMYFUNCTION("""COMPUTED_VALUE"""),"MSJ-488")</f>
        <v>MSJ-488</v>
      </c>
      <c r="J86" s="6" t="str">
        <f ca="1">IFERROR(__xludf.DUMMYFUNCTION("""COMPUTED_VALUE"""),"JUAN GARCIA GARCIA")</f>
        <v>JUAN GARCIA GARCIA</v>
      </c>
      <c r="K86" s="6">
        <f ca="1">IFERROR(__xludf.DUMMYFUNCTION("""COMPUTED_VALUE"""),1)</f>
        <v>1</v>
      </c>
      <c r="L86" s="139">
        <f ca="1">IFERROR(__xludf.DUMMYFUNCTION("""COMPUTED_VALUE"""),2640)</f>
        <v>2640</v>
      </c>
      <c r="M86" s="6" t="str">
        <f ca="1">IFERROR(__xludf.DUMMYFUNCTION("""COMPUTED_VALUE"""),"03 ORL")</f>
        <v>03 ORL</v>
      </c>
      <c r="N86" s="6" t="str">
        <f ca="1">IFERROR(__xludf.DUMMYFUNCTION("""COMPUTED_VALUE"""),"06 ORL")</f>
        <v>06 ORL</v>
      </c>
      <c r="O86" s="6" t="str">
        <f ca="1">IFERROR(__xludf.DUMMYFUNCTION("""COMPUTED_VALUE"""),"Dr, Alberto Raposo Jiménez")</f>
        <v>Dr, Alberto Raposo Jiménez</v>
      </c>
      <c r="P86" s="6" t="str">
        <f ca="1">IFERROR(__xludf.DUMMYFUNCTION("""COMPUTED_VALUE"""),"Iván Sánchez (Levante Y Albacete)")</f>
        <v>Iván Sánchez (Levante Y Albacete)</v>
      </c>
    </row>
    <row r="87" spans="2:16">
      <c r="B87" s="6">
        <f ca="1">IFERROR(__xludf.DUMMYFUNCTION("""COMPUTED_VALUE"""),2025)</f>
        <v>2025</v>
      </c>
      <c r="C87" s="6">
        <f ca="1">IFERROR(__xludf.DUMMYFUNCTION("""COMPUTED_VALUE"""),1)</f>
        <v>1</v>
      </c>
      <c r="D87" s="6" t="str">
        <f ca="1">IFERROR(__xludf.DUMMYFUNCTION("""COMPUTED_VALUE"""),"NO")</f>
        <v>NO</v>
      </c>
      <c r="E87" s="6" t="str">
        <f ca="1">IFERROR(__xludf.DUMMYFUNCTION("""COMPUTED_VALUE"""),"San Javier")</f>
        <v>San Javier</v>
      </c>
      <c r="F87" s="16">
        <f ca="1">IFERROR(__xludf.DUMMYFUNCTION("""COMPUTED_VALUE"""),45686)</f>
        <v>45686</v>
      </c>
      <c r="G87" s="16">
        <f ca="1">IFERROR(__xludf.DUMMYFUNCTION("""COMPUTED_VALUE"""),45644)</f>
        <v>45644</v>
      </c>
      <c r="H87" s="6" t="str">
        <f ca="1">IFERROR(__xludf.DUMMYFUNCTION("""COMPUTED_VALUE"""),"San Javier")</f>
        <v>San Javier</v>
      </c>
      <c r="I87" s="6" t="str">
        <f ca="1">IFERROR(__xludf.DUMMYFUNCTION("""COMPUTED_VALUE"""),"C2024122016012975")</f>
        <v>C2024122016012975</v>
      </c>
      <c r="J87" s="6" t="str">
        <f ca="1">IFERROR(__xludf.DUMMYFUNCTION("""COMPUTED_VALUE"""),"LUISA ANDREU MARTINEZ")</f>
        <v>LUISA ANDREU MARTINEZ</v>
      </c>
      <c r="K87" s="6">
        <f ca="1">IFERROR(__xludf.DUMMYFUNCTION("""COMPUTED_VALUE"""),2)</f>
        <v>2</v>
      </c>
      <c r="L87" s="139">
        <f ca="1">IFERROR(__xludf.DUMMYFUNCTION("""COMPUTED_VALUE"""),3710)</f>
        <v>3710</v>
      </c>
      <c r="M87" s="6" t="str">
        <f ca="1">IFERROR(__xludf.DUMMYFUNCTION("""COMPUTED_VALUE"""),"03 ORL")</f>
        <v>03 ORL</v>
      </c>
      <c r="N87" s="6" t="str">
        <f ca="1">IFERROR(__xludf.DUMMYFUNCTION("""COMPUTED_VALUE"""),"06 ORL")</f>
        <v>06 ORL</v>
      </c>
      <c r="O87" s="6" t="str">
        <f ca="1">IFERROR(__xludf.DUMMYFUNCTION("""COMPUTED_VALUE"""),"Dr, Francisco García Purriños")</f>
        <v>Dr, Francisco García Purriños</v>
      </c>
      <c r="P87" s="6" t="str">
        <f ca="1">IFERROR(__xludf.DUMMYFUNCTION("""COMPUTED_VALUE"""),"Iván Sánchez (Levante Y Albacete)")</f>
        <v>Iván Sánchez (Levante Y Albacete)</v>
      </c>
    </row>
    <row r="88" spans="2:16">
      <c r="B88" s="6">
        <f ca="1">IFERROR(__xludf.DUMMYFUNCTION("""COMPUTED_VALUE"""),2025)</f>
        <v>2025</v>
      </c>
      <c r="C88" s="6">
        <f ca="1">IFERROR(__xludf.DUMMYFUNCTION("""COMPUTED_VALUE"""),1)</f>
        <v>1</v>
      </c>
      <c r="D88" s="6" t="str">
        <f ca="1">IFERROR(__xludf.DUMMYFUNCTION("""COMPUTED_VALUE"""),"NO")</f>
        <v>NO</v>
      </c>
      <c r="E88" s="6" t="str">
        <f ca="1">IFERROR(__xludf.DUMMYFUNCTION("""COMPUTED_VALUE"""),"San Javier")</f>
        <v>San Javier</v>
      </c>
      <c r="F88" s="16">
        <f ca="1">IFERROR(__xludf.DUMMYFUNCTION("""COMPUTED_VALUE"""),45684)</f>
        <v>45684</v>
      </c>
      <c r="G88" s="16">
        <f ca="1">IFERROR(__xludf.DUMMYFUNCTION("""COMPUTED_VALUE"""),45595)</f>
        <v>45595</v>
      </c>
      <c r="H88" s="6" t="str">
        <f ca="1">IFERROR(__xludf.DUMMYFUNCTION("""COMPUTED_VALUE"""),"San Javier")</f>
        <v>San Javier</v>
      </c>
      <c r="I88" s="6" t="str">
        <f ca="1">IFERROR(__xludf.DUMMYFUNCTION("""COMPUTED_VALUE"""),"MSJ-473")</f>
        <v>MSJ-473</v>
      </c>
      <c r="J88" s="6" t="str">
        <f ca="1">IFERROR(__xludf.DUMMYFUNCTION("""COMPUTED_VALUE"""),"SUSAN ELISABETH RUTHERFORD")</f>
        <v>SUSAN ELISABETH RUTHERFORD</v>
      </c>
      <c r="K88" s="6">
        <f ca="1">IFERROR(__xludf.DUMMYFUNCTION("""COMPUTED_VALUE"""),2)</f>
        <v>2</v>
      </c>
      <c r="L88" s="139">
        <f ca="1">IFERROR(__xludf.DUMMYFUNCTION("""COMPUTED_VALUE"""),3710)</f>
        <v>3710</v>
      </c>
      <c r="M88" s="6" t="str">
        <f ca="1">IFERROR(__xludf.DUMMYFUNCTION("""COMPUTED_VALUE"""),"03 ORL")</f>
        <v>03 ORL</v>
      </c>
      <c r="N88" s="6" t="str">
        <f ca="1">IFERROR(__xludf.DUMMYFUNCTION("""COMPUTED_VALUE"""),"06 ORL")</f>
        <v>06 ORL</v>
      </c>
      <c r="O88" s="6" t="str">
        <f ca="1">IFERROR(__xludf.DUMMYFUNCTION("""COMPUTED_VALUE"""),"Dra, Nathalie Fages Cárceles")</f>
        <v>Dra, Nathalie Fages Cárceles</v>
      </c>
      <c r="P88" s="6" t="str">
        <f ca="1">IFERROR(__xludf.DUMMYFUNCTION("""COMPUTED_VALUE"""),"Iván Sánchez (Levante Y Albacete)")</f>
        <v>Iván Sánchez (Levante Y Albacete)</v>
      </c>
    </row>
    <row r="89" spans="2:16">
      <c r="B89" s="6">
        <f ca="1">IFERROR(__xludf.DUMMYFUNCTION("""COMPUTED_VALUE"""),2025)</f>
        <v>2025</v>
      </c>
      <c r="C89" s="6">
        <f ca="1">IFERROR(__xludf.DUMMYFUNCTION("""COMPUTED_VALUE"""),1)</f>
        <v>1</v>
      </c>
      <c r="D89" s="6" t="str">
        <f ca="1">IFERROR(__xludf.DUMMYFUNCTION("""COMPUTED_VALUE"""),"NO")</f>
        <v>NO</v>
      </c>
      <c r="E89" s="6" t="str">
        <f ca="1">IFERROR(__xludf.DUMMYFUNCTION("""COMPUTED_VALUE"""),"Santiago de Compostela")</f>
        <v>Santiago de Compostela</v>
      </c>
      <c r="F89" s="16">
        <f ca="1">IFERROR(__xludf.DUMMYFUNCTION("""COMPUTED_VALUE"""),45687)</f>
        <v>45687</v>
      </c>
      <c r="G89" s="16">
        <f ca="1">IFERROR(__xludf.DUMMYFUNCTION("""COMPUTED_VALUE"""),45642)</f>
        <v>45642</v>
      </c>
      <c r="H89" s="6" t="str">
        <f ca="1">IFERROR(__xludf.DUMMYFUNCTION("""COMPUTED_VALUE"""),"Santiago")</f>
        <v>Santiago</v>
      </c>
      <c r="I89" s="6" t="str">
        <f ca="1">IFERROR(__xludf.DUMMYFUNCTION("""COMPUTED_VALUE"""),"C20241218124537586")</f>
        <v>C20241218124537586</v>
      </c>
      <c r="J89" s="6" t="str">
        <f ca="1">IFERROR(__xludf.DUMMYFUNCTION("""COMPUTED_VALUE"""),"PILAR VAZQUEZ MEJUTO")</f>
        <v>PILAR VAZQUEZ MEJUTO</v>
      </c>
      <c r="K89" s="6">
        <f ca="1">IFERROR(__xludf.DUMMYFUNCTION("""COMPUTED_VALUE"""),1)</f>
        <v>1</v>
      </c>
      <c r="L89" s="139">
        <f ca="1">IFERROR(__xludf.DUMMYFUNCTION("""COMPUTED_VALUE"""),2400)</f>
        <v>2400</v>
      </c>
      <c r="M89" s="6" t="str">
        <f ca="1">IFERROR(__xludf.DUMMYFUNCTION("""COMPUTED_VALUE"""),"03 ORL")</f>
        <v>03 ORL</v>
      </c>
      <c r="N89" s="6" t="str">
        <f ca="1">IFERROR(__xludf.DUMMYFUNCTION("""COMPUTED_VALUE"""),"06 ORL")</f>
        <v>06 ORL</v>
      </c>
      <c r="O89" s="6" t="str">
        <f ca="1">IFERROR(__xludf.DUMMYFUNCTION("""COMPUTED_VALUE"""),"Dr, Carlos Vidal Redondo")</f>
        <v>Dr, Carlos Vidal Redondo</v>
      </c>
      <c r="P89" s="1" t="str">
        <f ca="1">IFERROR(__xludf.DUMMYFUNCTION("""COMPUTED_VALUE"""),"Roberto Pereira (Galicia)")</f>
        <v>Roberto Pereira (Galicia)</v>
      </c>
    </row>
    <row r="90" spans="2:16">
      <c r="B90" s="6">
        <f ca="1">IFERROR(__xludf.DUMMYFUNCTION("""COMPUTED_VALUE"""),2025)</f>
        <v>2025</v>
      </c>
      <c r="C90" s="6">
        <f ca="1">IFERROR(__xludf.DUMMYFUNCTION("""COMPUTED_VALUE"""),1)</f>
        <v>1</v>
      </c>
      <c r="D90" s="6" t="str">
        <f ca="1">IFERROR(__xludf.DUMMYFUNCTION("""COMPUTED_VALUE"""),"NO")</f>
        <v>NO</v>
      </c>
      <c r="E90" s="6" t="str">
        <f ca="1">IFERROR(__xludf.DUMMYFUNCTION("""COMPUTED_VALUE"""),"Sevilla- Montoto")</f>
        <v>Sevilla- Montoto</v>
      </c>
      <c r="F90" s="16">
        <f ca="1">IFERROR(__xludf.DUMMYFUNCTION("""COMPUTED_VALUE"""),45673)</f>
        <v>45673</v>
      </c>
      <c r="G90" s="16">
        <f ca="1">IFERROR(__xludf.DUMMYFUNCTION("""COMPUTED_VALUE"""),45616)</f>
        <v>45616</v>
      </c>
      <c r="H90" s="6" t="str">
        <f ca="1">IFERROR(__xludf.DUMMYFUNCTION("""COMPUTED_VALUE"""),"Montoto")</f>
        <v>Montoto</v>
      </c>
      <c r="I90" s="6" t="str">
        <f ca="1">IFERROR(__xludf.DUMMYFUNCTION("""COMPUTED_VALUE"""),"C2024112711446121")</f>
        <v>C2024112711446121</v>
      </c>
      <c r="J90" s="6" t="str">
        <f ca="1">IFERROR(__xludf.DUMMYFUNCTION("""COMPUTED_VALUE"""),"FRANCISCA MORA DEL PINO")</f>
        <v>FRANCISCA MORA DEL PINO</v>
      </c>
      <c r="K90" s="6">
        <f ca="1">IFERROR(__xludf.DUMMYFUNCTION("""COMPUTED_VALUE"""),2)</f>
        <v>2</v>
      </c>
      <c r="L90" s="139">
        <f ca="1">IFERROR(__xludf.DUMMYFUNCTION("""COMPUTED_VALUE"""),3800)</f>
        <v>3800</v>
      </c>
      <c r="M90" s="6" t="str">
        <f ca="1">IFERROR(__xludf.DUMMYFUNCTION("""COMPUTED_VALUE"""),"03 ORL")</f>
        <v>03 ORL</v>
      </c>
      <c r="N90" s="6" t="str">
        <f ca="1">IFERROR(__xludf.DUMMYFUNCTION("""COMPUTED_VALUE"""),"06 ORL")</f>
        <v>06 ORL</v>
      </c>
      <c r="O90" s="6" t="str">
        <f ca="1">IFERROR(__xludf.DUMMYFUNCTION("""COMPUTED_VALUE"""),"Dr, Antonio Gandúl Merchán")</f>
        <v>Dr, Antonio Gandúl Merchán</v>
      </c>
      <c r="P90" s="6" t="str">
        <f ca="1">IFERROR(__xludf.DUMMYFUNCTION("""COMPUTED_VALUE"""),"Luis Alberto Rodríguez (Andalucía Y Badajoz)")</f>
        <v>Luis Alberto Rodríguez (Andalucía Y Badajoz)</v>
      </c>
    </row>
    <row r="91" spans="2:16">
      <c r="B91" s="6">
        <f ca="1">IFERROR(__xludf.DUMMYFUNCTION("""COMPUTED_VALUE"""),2025)</f>
        <v>2025</v>
      </c>
      <c r="C91" s="6">
        <f ca="1">IFERROR(__xludf.DUMMYFUNCTION("""COMPUTED_VALUE"""),1)</f>
        <v>1</v>
      </c>
      <c r="D91" s="6" t="str">
        <f ca="1">IFERROR(__xludf.DUMMYFUNCTION("""COMPUTED_VALUE"""),"NO")</f>
        <v>NO</v>
      </c>
      <c r="E91" s="6" t="str">
        <f ca="1">IFERROR(__xludf.DUMMYFUNCTION("""COMPUTED_VALUE"""),"Sevilla- Montoto")</f>
        <v>Sevilla- Montoto</v>
      </c>
      <c r="F91" s="16">
        <f ca="1">IFERROR(__xludf.DUMMYFUNCTION("""COMPUTED_VALUE"""),45671)</f>
        <v>45671</v>
      </c>
      <c r="G91" s="16">
        <f ca="1">IFERROR(__xludf.DUMMYFUNCTION("""COMPUTED_VALUE"""),45623)</f>
        <v>45623</v>
      </c>
      <c r="H91" s="6" t="str">
        <f ca="1">IFERROR(__xludf.DUMMYFUNCTION("""COMPUTED_VALUE"""),"Montoto")</f>
        <v>Montoto</v>
      </c>
      <c r="I91" s="6" t="str">
        <f ca="1">IFERROR(__xludf.DUMMYFUNCTION("""COMPUTED_VALUE"""),"C2024124122940422")</f>
        <v>C2024124122940422</v>
      </c>
      <c r="J91" s="6" t="str">
        <f ca="1">IFERROR(__xludf.DUMMYFUNCTION("""COMPUTED_VALUE"""),"GUILLERMO POLO HERVÁS")</f>
        <v>GUILLERMO POLO HERVÁS</v>
      </c>
      <c r="K91" s="6">
        <f ca="1">IFERROR(__xludf.DUMMYFUNCTION("""COMPUTED_VALUE"""),2)</f>
        <v>2</v>
      </c>
      <c r="L91" s="139">
        <f ca="1">IFERROR(__xludf.DUMMYFUNCTION("""COMPUTED_VALUE"""),4180)</f>
        <v>4180</v>
      </c>
      <c r="M91" s="6" t="str">
        <f ca="1">IFERROR(__xludf.DUMMYFUNCTION("""COMPUTED_VALUE"""),"01 MARKETING ON LINE")</f>
        <v>01 MARKETING ON LINE</v>
      </c>
      <c r="N91" s="6" t="str">
        <f ca="1">IFERROR(__xludf.DUMMYFUNCTION("""COMPUTED_VALUE"""),"04 AUDIFONO,ES")</f>
        <v>04 AUDIFONO,ES</v>
      </c>
      <c r="O91" s="6" t="str">
        <f ca="1">IFERROR(__xludf.DUMMYFUNCTION("""COMPUTED_VALUE"""),"Dr, Jaime Alonso Ochoa Ríos")</f>
        <v>Dr, Jaime Alonso Ochoa Ríos</v>
      </c>
      <c r="P91" s="6" t="str">
        <f ca="1">IFERROR(__xludf.DUMMYFUNCTION("""COMPUTED_VALUE"""),"Luis Alberto Rodríguez (Andalucía Y Badajoz)")</f>
        <v>Luis Alberto Rodríguez (Andalucía Y Badajoz)</v>
      </c>
    </row>
    <row r="92" spans="2:16">
      <c r="B92" s="6">
        <f ca="1">IFERROR(__xludf.DUMMYFUNCTION("""COMPUTED_VALUE"""),2025)</f>
        <v>2025</v>
      </c>
      <c r="C92" s="6">
        <f ca="1">IFERROR(__xludf.DUMMYFUNCTION("""COMPUTED_VALUE"""),1)</f>
        <v>1</v>
      </c>
      <c r="D92" s="6" t="str">
        <f ca="1">IFERROR(__xludf.DUMMYFUNCTION("""COMPUTED_VALUE"""),"NO")</f>
        <v>NO</v>
      </c>
      <c r="E92" s="6" t="str">
        <f ca="1">IFERROR(__xludf.DUMMYFUNCTION("""COMPUTED_VALUE"""),"Sevilla- Montoto")</f>
        <v>Sevilla- Montoto</v>
      </c>
      <c r="F92" s="16">
        <f ca="1">IFERROR(__xludf.DUMMYFUNCTION("""COMPUTED_VALUE"""),45686)</f>
        <v>45686</v>
      </c>
      <c r="G92" s="16">
        <f ca="1">IFERROR(__xludf.DUMMYFUNCTION("""COMPUTED_VALUE"""),45448)</f>
        <v>45448</v>
      </c>
      <c r="H92" s="6" t="str">
        <f ca="1">IFERROR(__xludf.DUMMYFUNCTION("""COMPUTED_VALUE"""),"Montoto")</f>
        <v>Montoto</v>
      </c>
      <c r="I92" s="6" t="str">
        <f ca="1">IFERROR(__xludf.DUMMYFUNCTION("""COMPUTED_VALUE"""),"SMO-2372")</f>
        <v>SMO-2372</v>
      </c>
      <c r="J92" s="6" t="str">
        <f ca="1">IFERROR(__xludf.DUMMYFUNCTION("""COMPUTED_VALUE"""),"JUSBERLY SMERALDA MENDOZA TERAN")</f>
        <v>JUSBERLY SMERALDA MENDOZA TERAN</v>
      </c>
      <c r="K92" s="6">
        <f ca="1">IFERROR(__xludf.DUMMYFUNCTION("""COMPUTED_VALUE"""),2)</f>
        <v>2</v>
      </c>
      <c r="L92" s="139">
        <f ca="1">IFERROR(__xludf.DUMMYFUNCTION("""COMPUTED_VALUE"""),3281.09)</f>
        <v>3281.09</v>
      </c>
      <c r="M92" s="6" t="str">
        <f ca="1">IFERROR(__xludf.DUMMYFUNCTION("""COMPUTED_VALUE"""),"03 ORL")</f>
        <v>03 ORL</v>
      </c>
      <c r="N92" s="6" t="str">
        <f ca="1">IFERROR(__xludf.DUMMYFUNCTION("""COMPUTED_VALUE"""),"06 ORL")</f>
        <v>06 ORL</v>
      </c>
      <c r="O92" s="6" t="str">
        <f ca="1">IFERROR(__xludf.DUMMYFUNCTION("""COMPUTED_VALUE"""),"Dr, Jesús Crovato Rojas")</f>
        <v>Dr, Jesús Crovato Rojas</v>
      </c>
      <c r="P92" s="6" t="str">
        <f ca="1">IFERROR(__xludf.DUMMYFUNCTION("""COMPUTED_VALUE"""),"Luis Alberto Rodríguez (Andalucía Y Badajoz)")</f>
        <v>Luis Alberto Rodríguez (Andalucía Y Badajoz)</v>
      </c>
    </row>
    <row r="93" spans="2:16">
      <c r="B93" s="6">
        <f ca="1">IFERROR(__xludf.DUMMYFUNCTION("""COMPUTED_VALUE"""),2025)</f>
        <v>2025</v>
      </c>
      <c r="C93" s="6">
        <f ca="1">IFERROR(__xludf.DUMMYFUNCTION("""COMPUTED_VALUE"""),1)</f>
        <v>1</v>
      </c>
      <c r="D93" s="6" t="str">
        <f ca="1">IFERROR(__xludf.DUMMYFUNCTION("""COMPUTED_VALUE"""),"NO")</f>
        <v>NO</v>
      </c>
      <c r="E93" s="6" t="str">
        <f ca="1">IFERROR(__xludf.DUMMYFUNCTION("""COMPUTED_VALUE"""),"Talavera")</f>
        <v>Talavera</v>
      </c>
      <c r="F93" s="16">
        <f ca="1">IFERROR(__xludf.DUMMYFUNCTION("""COMPUTED_VALUE"""),45688)</f>
        <v>45688</v>
      </c>
      <c r="G93" s="16">
        <f ca="1">IFERROR(__xludf.DUMMYFUNCTION("""COMPUTED_VALUE"""),45672)</f>
        <v>45672</v>
      </c>
      <c r="H93" s="6" t="str">
        <f ca="1">IFERROR(__xludf.DUMMYFUNCTION("""COMPUTED_VALUE"""),"Talavera")</f>
        <v>Talavera</v>
      </c>
      <c r="I93" s="6" t="str">
        <f ca="1">IFERROR(__xludf.DUMMYFUNCTION("""COMPUTED_VALUE"""),"C2025115185051122")</f>
        <v>C2025115185051122</v>
      </c>
      <c r="J93" s="6" t="str">
        <f ca="1">IFERROR(__xludf.DUMMYFUNCTION("""COMPUTED_VALUE"""),"FELICITA GONZALEZ GUTIERREZ")</f>
        <v>FELICITA GONZALEZ GUTIERREZ</v>
      </c>
      <c r="K93" s="6">
        <f ca="1">IFERROR(__xludf.DUMMYFUNCTION("""COMPUTED_VALUE"""),2)</f>
        <v>2</v>
      </c>
      <c r="L93" s="139">
        <f ca="1">IFERROR(__xludf.DUMMYFUNCTION("""COMPUTED_VALUE"""),3524.49)</f>
        <v>3524.49</v>
      </c>
      <c r="M93" s="6" t="str">
        <f ca="1">IFERROR(__xludf.DUMMYFUNCTION("""COMPUTED_VALUE"""),"03 ORL")</f>
        <v>03 ORL</v>
      </c>
      <c r="N93" s="6" t="str">
        <f ca="1">IFERROR(__xludf.DUMMYFUNCTION("""COMPUTED_VALUE"""),"06 ORL")</f>
        <v>06 ORL</v>
      </c>
      <c r="O93" s="6" t="str">
        <f ca="1">IFERROR(__xludf.DUMMYFUNCTION("""COMPUTED_VALUE"""),"Dr, Carlos Félix Asensio Nieto")</f>
        <v>Dr, Carlos Félix Asensio Nieto</v>
      </c>
      <c r="P93" s="6" t="str">
        <f ca="1">IFERROR(__xludf.DUMMYFUNCTION("""COMPUTED_VALUE"""),"Lisandro Russian (Madrid, Cáceres, Toledo, Talavera Y Logroño)")</f>
        <v>Lisandro Russian (Madrid, Cáceres, Toledo, Talavera Y Logroño)</v>
      </c>
    </row>
    <row r="94" spans="2:16">
      <c r="B94" s="6">
        <f ca="1">IFERROR(__xludf.DUMMYFUNCTION("""COMPUTED_VALUE"""),2025)</f>
        <v>2025</v>
      </c>
      <c r="C94" s="6">
        <f ca="1">IFERROR(__xludf.DUMMYFUNCTION("""COMPUTED_VALUE"""),1)</f>
        <v>1</v>
      </c>
      <c r="D94" s="6" t="str">
        <f ca="1">IFERROR(__xludf.DUMMYFUNCTION("""COMPUTED_VALUE"""),"NO")</f>
        <v>NO</v>
      </c>
      <c r="E94" s="6" t="str">
        <f ca="1">IFERROR(__xludf.DUMMYFUNCTION("""COMPUTED_VALUE"""),"Torrejón de Ardoz")</f>
        <v>Torrejón de Ardoz</v>
      </c>
      <c r="F94" s="16">
        <f ca="1">IFERROR(__xludf.DUMMYFUNCTION("""COMPUTED_VALUE"""),45681)</f>
        <v>45681</v>
      </c>
      <c r="G94" s="16">
        <f ca="1">IFERROR(__xludf.DUMMYFUNCTION("""COMPUTED_VALUE"""),45644)</f>
        <v>45644</v>
      </c>
      <c r="H94" s="6" t="str">
        <f ca="1">IFERROR(__xludf.DUMMYFUNCTION("""COMPUTED_VALUE"""),"Torrejón")</f>
        <v>Torrejón</v>
      </c>
      <c r="I94" s="6" t="str">
        <f ca="1">IFERROR(__xludf.DUMMYFUNCTION("""COMPUTED_VALUE"""),"C2024122012461758")</f>
        <v>C2024122012461758</v>
      </c>
      <c r="J94" s="6" t="str">
        <f ca="1">IFERROR(__xludf.DUMMYFUNCTION("""COMPUTED_VALUE"""),"ANTONIO LOPEZ MORA")</f>
        <v>ANTONIO LOPEZ MORA</v>
      </c>
      <c r="K94" s="6">
        <f ca="1">IFERROR(__xludf.DUMMYFUNCTION("""COMPUTED_VALUE"""),2)</f>
        <v>2</v>
      </c>
      <c r="L94" s="139">
        <f ca="1">IFERROR(__xludf.DUMMYFUNCTION("""COMPUTED_VALUE"""),3800)</f>
        <v>3800</v>
      </c>
      <c r="M94" s="6" t="str">
        <f ca="1">IFERROR(__xludf.DUMMYFUNCTION("""COMPUTED_VALUE"""),"03 ORL")</f>
        <v>03 ORL</v>
      </c>
      <c r="N94" s="6" t="str">
        <f ca="1">IFERROR(__xludf.DUMMYFUNCTION("""COMPUTED_VALUE"""),"06 ORL")</f>
        <v>06 ORL</v>
      </c>
      <c r="O94" s="6" t="str">
        <f ca="1">IFERROR(__xludf.DUMMYFUNCTION("""COMPUTED_VALUE"""),"Dr, Jose Joaquín Lora Díaz")</f>
        <v>Dr, Jose Joaquín Lora Díaz</v>
      </c>
      <c r="P94" s="6" t="str">
        <f ca="1">IFERROR(__xludf.DUMMYFUNCTION("""COMPUTED_VALUE"""),"Maika Blázquez (Madrid)")</f>
        <v>Maika Blázquez (Madrid)</v>
      </c>
    </row>
    <row r="95" spans="2:16">
      <c r="B95" s="6">
        <f ca="1">IFERROR(__xludf.DUMMYFUNCTION("""COMPUTED_VALUE"""),2025)</f>
        <v>2025</v>
      </c>
      <c r="C95" s="6">
        <f ca="1">IFERROR(__xludf.DUMMYFUNCTION("""COMPUTED_VALUE"""),1)</f>
        <v>1</v>
      </c>
      <c r="D95" s="6" t="str">
        <f ca="1">IFERROR(__xludf.DUMMYFUNCTION("""COMPUTED_VALUE"""),"NO")</f>
        <v>NO</v>
      </c>
      <c r="E95" s="6" t="str">
        <f ca="1">IFERROR(__xludf.DUMMYFUNCTION("""COMPUTED_VALUE"""),"Torrejón de Ardoz")</f>
        <v>Torrejón de Ardoz</v>
      </c>
      <c r="F95" s="16">
        <f ca="1">IFERROR(__xludf.DUMMYFUNCTION("""COMPUTED_VALUE"""),45685)</f>
        <v>45685</v>
      </c>
      <c r="G95" s="16">
        <f ca="1">IFERROR(__xludf.DUMMYFUNCTION("""COMPUTED_VALUE"""),45677)</f>
        <v>45677</v>
      </c>
      <c r="H95" s="6" t="str">
        <f ca="1">IFERROR(__xludf.DUMMYFUNCTION("""COMPUTED_VALUE"""),"Torrejón")</f>
        <v>Torrejón</v>
      </c>
      <c r="I95" s="6" t="str">
        <f ca="1">IFERROR(__xludf.DUMMYFUNCTION("""COMPUTED_VALUE"""),"C2025120103913709")</f>
        <v>C2025120103913709</v>
      </c>
      <c r="J95" s="6" t="str">
        <f ca="1">IFERROR(__xludf.DUMMYFUNCTION("""COMPUTED_VALUE"""),"FERMINA ARRIBAS PARIS")</f>
        <v>FERMINA ARRIBAS PARIS</v>
      </c>
      <c r="K95" s="6">
        <f ca="1">IFERROR(__xludf.DUMMYFUNCTION("""COMPUTED_VALUE"""),2)</f>
        <v>2</v>
      </c>
      <c r="L95" s="139">
        <f ca="1">IFERROR(__xludf.DUMMYFUNCTION("""COMPUTED_VALUE"""),3523.64)</f>
        <v>3523.64</v>
      </c>
      <c r="M95" s="6" t="str">
        <f ca="1">IFERROR(__xludf.DUMMYFUNCTION("""COMPUTED_VALUE"""),"03 ORL")</f>
        <v>03 ORL</v>
      </c>
      <c r="N95" s="6" t="str">
        <f ca="1">IFERROR(__xludf.DUMMYFUNCTION("""COMPUTED_VALUE"""),"06 ORL")</f>
        <v>06 ORL</v>
      </c>
      <c r="O95" s="6" t="str">
        <f ca="1">IFERROR(__xludf.DUMMYFUNCTION("""COMPUTED_VALUE"""),"Dra, María Garrote Garrote")</f>
        <v>Dra, María Garrote Garrote</v>
      </c>
      <c r="P95" s="6" t="str">
        <f ca="1">IFERROR(__xludf.DUMMYFUNCTION("""COMPUTED_VALUE"""),"Maika Blázquez (Madrid)")</f>
        <v>Maika Blázquez (Madrid)</v>
      </c>
    </row>
    <row r="96" spans="2:16">
      <c r="B96" s="6">
        <f ca="1">IFERROR(__xludf.DUMMYFUNCTION("""COMPUTED_VALUE"""),2025)</f>
        <v>2025</v>
      </c>
      <c r="C96" s="6">
        <f ca="1">IFERROR(__xludf.DUMMYFUNCTION("""COMPUTED_VALUE"""),1)</f>
        <v>1</v>
      </c>
      <c r="D96" s="6" t="str">
        <f ca="1">IFERROR(__xludf.DUMMYFUNCTION("""COMPUTED_VALUE"""),"NO")</f>
        <v>NO</v>
      </c>
      <c r="E96" s="6" t="str">
        <f ca="1">IFERROR(__xludf.DUMMYFUNCTION("""COMPUTED_VALUE"""),"Torrejón de Ardoz")</f>
        <v>Torrejón de Ardoz</v>
      </c>
      <c r="F96" s="16">
        <f ca="1">IFERROR(__xludf.DUMMYFUNCTION("""COMPUTED_VALUE"""),45665)</f>
        <v>45665</v>
      </c>
      <c r="G96" s="16">
        <f ca="1">IFERROR(__xludf.DUMMYFUNCTION("""COMPUTED_VALUE"""),45642)</f>
        <v>45642</v>
      </c>
      <c r="H96" s="6" t="str">
        <f ca="1">IFERROR(__xludf.DUMMYFUNCTION("""COMPUTED_VALUE"""),"Torrejón")</f>
        <v>Torrejón</v>
      </c>
      <c r="I96" s="6" t="str">
        <f ca="1">IFERROR(__xludf.DUMMYFUNCTION("""COMPUTED_VALUE"""),"C2024122010741645")</f>
        <v>C2024122010741645</v>
      </c>
      <c r="J96" s="6" t="str">
        <f ca="1">IFERROR(__xludf.DUMMYFUNCTION("""COMPUTED_VALUE"""),"FRANCISCA  HERNANDEZ CARRALERO")</f>
        <v>FRANCISCA  HERNANDEZ CARRALERO</v>
      </c>
      <c r="K96" s="6">
        <f ca="1">IFERROR(__xludf.DUMMYFUNCTION("""COMPUTED_VALUE"""),2)</f>
        <v>2</v>
      </c>
      <c r="L96" s="139">
        <f ca="1">IFERROR(__xludf.DUMMYFUNCTION("""COMPUTED_VALUE"""),2888.18)</f>
        <v>2888.18</v>
      </c>
      <c r="M96" s="6" t="str">
        <f ca="1">IFERROR(__xludf.DUMMYFUNCTION("""COMPUTED_VALUE"""),"03 ORL")</f>
        <v>03 ORL</v>
      </c>
      <c r="N96" s="6" t="str">
        <f ca="1">IFERROR(__xludf.DUMMYFUNCTION("""COMPUTED_VALUE"""),"06 ORL")</f>
        <v>06 ORL</v>
      </c>
      <c r="O96" s="6" t="str">
        <f ca="1">IFERROR(__xludf.DUMMYFUNCTION("""COMPUTED_VALUE"""),"Dra, Stephany Rodríguez Mata")</f>
        <v>Dra, Stephany Rodríguez Mata</v>
      </c>
      <c r="P96" s="6" t="str">
        <f ca="1">IFERROR(__xludf.DUMMYFUNCTION("""COMPUTED_VALUE"""),"Maika Blázquez (Madrid)")</f>
        <v>Maika Blázquez (Madrid)</v>
      </c>
    </row>
    <row r="97" spans="2:16">
      <c r="B97" s="6">
        <f ca="1">IFERROR(__xludf.DUMMYFUNCTION("""COMPUTED_VALUE"""),2025)</f>
        <v>2025</v>
      </c>
      <c r="C97" s="6">
        <f ca="1">IFERROR(__xludf.DUMMYFUNCTION("""COMPUTED_VALUE"""),1)</f>
        <v>1</v>
      </c>
      <c r="D97" s="6" t="str">
        <f ca="1">IFERROR(__xludf.DUMMYFUNCTION("""COMPUTED_VALUE"""),"NO")</f>
        <v>NO</v>
      </c>
      <c r="E97" s="6" t="str">
        <f ca="1">IFERROR(__xludf.DUMMYFUNCTION("""COMPUTED_VALUE"""),"Torrejón de Ardoz")</f>
        <v>Torrejón de Ardoz</v>
      </c>
      <c r="F97" s="16">
        <f ca="1">IFERROR(__xludf.DUMMYFUNCTION("""COMPUTED_VALUE"""),45684)</f>
        <v>45684</v>
      </c>
      <c r="G97" s="16">
        <f ca="1">IFERROR(__xludf.DUMMYFUNCTION("""COMPUTED_VALUE"""),45677)</f>
        <v>45677</v>
      </c>
      <c r="H97" s="6" t="str">
        <f ca="1">IFERROR(__xludf.DUMMYFUNCTION("""COMPUTED_VALUE"""),"Torrejón")</f>
        <v>Torrejón</v>
      </c>
      <c r="I97" s="6" t="str">
        <f ca="1">IFERROR(__xludf.DUMMYFUNCTION("""COMPUTED_VALUE"""),"C2025121104927368")</f>
        <v>C2025121104927368</v>
      </c>
      <c r="J97" s="6" t="str">
        <f ca="1">IFERROR(__xludf.DUMMYFUNCTION("""COMPUTED_VALUE"""),"JOSE ANTONIO JIMENEZ ORTEGA")</f>
        <v>JOSE ANTONIO JIMENEZ ORTEGA</v>
      </c>
      <c r="K97" s="6">
        <f ca="1">IFERROR(__xludf.DUMMYFUNCTION("""COMPUTED_VALUE"""),2)</f>
        <v>2</v>
      </c>
      <c r="L97" s="139">
        <f ca="1">IFERROR(__xludf.DUMMYFUNCTION("""COMPUTED_VALUE"""),2888.18)</f>
        <v>2888.18</v>
      </c>
      <c r="M97" s="6" t="str">
        <f ca="1">IFERROR(__xludf.DUMMYFUNCTION("""COMPUTED_VALUE"""),"03 ORL")</f>
        <v>03 ORL</v>
      </c>
      <c r="N97" s="6" t="str">
        <f ca="1">IFERROR(__xludf.DUMMYFUNCTION("""COMPUTED_VALUE"""),"06 ORL")</f>
        <v>06 ORL</v>
      </c>
      <c r="O97" s="6" t="str">
        <f ca="1">IFERROR(__xludf.DUMMYFUNCTION("""COMPUTED_VALUE"""),"Dra, María Garrote Garrote")</f>
        <v>Dra, María Garrote Garrote</v>
      </c>
      <c r="P97" s="6" t="str">
        <f ca="1">IFERROR(__xludf.DUMMYFUNCTION("""COMPUTED_VALUE"""),"Maika Blázquez (Madrid)")</f>
        <v>Maika Blázquez (Madrid)</v>
      </c>
    </row>
    <row r="98" spans="2:16">
      <c r="B98" s="6">
        <f ca="1">IFERROR(__xludf.DUMMYFUNCTION("""COMPUTED_VALUE"""),2025)</f>
        <v>2025</v>
      </c>
      <c r="C98" s="6">
        <f ca="1">IFERROR(__xludf.DUMMYFUNCTION("""COMPUTED_VALUE"""),1)</f>
        <v>1</v>
      </c>
      <c r="D98" s="6" t="str">
        <f ca="1">IFERROR(__xludf.DUMMYFUNCTION("""COMPUTED_VALUE"""),"NO")</f>
        <v>NO</v>
      </c>
      <c r="E98" s="6" t="str">
        <f ca="1">IFERROR(__xludf.DUMMYFUNCTION("""COMPUTED_VALUE"""),"Torrejón de Ardoz")</f>
        <v>Torrejón de Ardoz</v>
      </c>
      <c r="F98" s="16">
        <f ca="1">IFERROR(__xludf.DUMMYFUNCTION("""COMPUTED_VALUE"""),45666)</f>
        <v>45666</v>
      </c>
      <c r="G98" s="16">
        <f ca="1">IFERROR(__xludf.DUMMYFUNCTION("""COMPUTED_VALUE"""),45645)</f>
        <v>45645</v>
      </c>
      <c r="H98" s="6" t="str">
        <f ca="1">IFERROR(__xludf.DUMMYFUNCTION("""COMPUTED_VALUE"""),"Torrejón")</f>
        <v>Torrejón</v>
      </c>
      <c r="I98" s="6" t="str">
        <f ca="1">IFERROR(__xludf.DUMMYFUNCTION("""COMPUTED_VALUE"""),"C2024121911391112")</f>
        <v>C2024121911391112</v>
      </c>
      <c r="J98" s="6" t="str">
        <f ca="1">IFERROR(__xludf.DUMMYFUNCTION("""COMPUTED_VALUE"""),"NATIVIDAD CAMARA NADADOR")</f>
        <v>NATIVIDAD CAMARA NADADOR</v>
      </c>
      <c r="K98" s="6">
        <f ca="1">IFERROR(__xludf.DUMMYFUNCTION("""COMPUTED_VALUE"""),2)</f>
        <v>2</v>
      </c>
      <c r="L98" s="139">
        <f ca="1">IFERROR(__xludf.DUMMYFUNCTION("""COMPUTED_VALUE"""),3710)</f>
        <v>3710</v>
      </c>
      <c r="M98" s="6" t="str">
        <f ca="1">IFERROR(__xludf.DUMMYFUNCTION("""COMPUTED_VALUE"""),"03 ORL")</f>
        <v>03 ORL</v>
      </c>
      <c r="N98" s="6" t="str">
        <f ca="1">IFERROR(__xludf.DUMMYFUNCTION("""COMPUTED_VALUE"""),"06 ORL")</f>
        <v>06 ORL</v>
      </c>
      <c r="O98" s="6" t="str">
        <f ca="1">IFERROR(__xludf.DUMMYFUNCTION("""COMPUTED_VALUE"""),"Dra, Lorena Sanz López")</f>
        <v>Dra, Lorena Sanz López</v>
      </c>
      <c r="P98" s="6" t="str">
        <f ca="1">IFERROR(__xludf.DUMMYFUNCTION("""COMPUTED_VALUE"""),"Maika Blázquez (Madrid)")</f>
        <v>Maika Blázquez (Madrid)</v>
      </c>
    </row>
    <row r="99" spans="2:16">
      <c r="B99" s="6">
        <f ca="1">IFERROR(__xludf.DUMMYFUNCTION("""COMPUTED_VALUE"""),2025)</f>
        <v>2025</v>
      </c>
      <c r="C99" s="6">
        <f ca="1">IFERROR(__xludf.DUMMYFUNCTION("""COMPUTED_VALUE"""),1)</f>
        <v>1</v>
      </c>
      <c r="D99" s="6" t="str">
        <f ca="1">IFERROR(__xludf.DUMMYFUNCTION("""COMPUTED_VALUE"""),"NO")</f>
        <v>NO</v>
      </c>
      <c r="E99" s="6" t="str">
        <f ca="1">IFERROR(__xludf.DUMMYFUNCTION("""COMPUTED_VALUE"""),"Valencia- Cádiz")</f>
        <v>Valencia- Cádiz</v>
      </c>
      <c r="F99" s="16">
        <f ca="1">IFERROR(__xludf.DUMMYFUNCTION("""COMPUTED_VALUE"""),45688)</f>
        <v>45688</v>
      </c>
      <c r="G99" s="16">
        <f ca="1">IFERROR(__xludf.DUMMYFUNCTION("""COMPUTED_VALUE"""),45644)</f>
        <v>45644</v>
      </c>
      <c r="H99" s="6" t="str">
        <f ca="1">IFERROR(__xludf.DUMMYFUNCTION("""COMPUTED_VALUE"""),"Valencia- Cádiz")</f>
        <v>Valencia- Cádiz</v>
      </c>
      <c r="I99" s="6" t="str">
        <f ca="1">IFERROR(__xludf.DUMMYFUNCTION("""COMPUTED_VALUE"""),"C20241220152450812")</f>
        <v>C20241220152450812</v>
      </c>
      <c r="J99" s="6" t="str">
        <f ca="1">IFERROR(__xludf.DUMMYFUNCTION("""COMPUTED_VALUE"""),"FRANCISCA FONTESTAD PLANES")</f>
        <v>FRANCISCA FONTESTAD PLANES</v>
      </c>
      <c r="K99" s="6">
        <f ca="1">IFERROR(__xludf.DUMMYFUNCTION("""COMPUTED_VALUE"""),1)</f>
        <v>1</v>
      </c>
      <c r="L99" s="139">
        <f ca="1">IFERROR(__xludf.DUMMYFUNCTION("""COMPUTED_VALUE"""),2226.36)</f>
        <v>2226.36</v>
      </c>
      <c r="M99" s="6" t="str">
        <f ca="1">IFERROR(__xludf.DUMMYFUNCTION("""COMPUTED_VALUE"""),"03 ORL")</f>
        <v>03 ORL</v>
      </c>
      <c r="N99" s="6" t="str">
        <f ca="1">IFERROR(__xludf.DUMMYFUNCTION("""COMPUTED_VALUE"""),"06 ORL")</f>
        <v>06 ORL</v>
      </c>
      <c r="O99" s="6" t="str">
        <f ca="1">IFERROR(__xludf.DUMMYFUNCTION("""COMPUTED_VALUE"""),"Dr, Agustín Campos Catalá")</f>
        <v>Dr, Agustín Campos Catalá</v>
      </c>
      <c r="P99" s="6" t="str">
        <f ca="1">IFERROR(__xludf.DUMMYFUNCTION("""COMPUTED_VALUE"""),"Ramon Ferrando(Valencia)")</f>
        <v>Ramon Ferrando(Valencia)</v>
      </c>
    </row>
    <row r="100" spans="2:16">
      <c r="B100" s="6">
        <f ca="1">IFERROR(__xludf.DUMMYFUNCTION("""COMPUTED_VALUE"""),2025)</f>
        <v>2025</v>
      </c>
      <c r="C100" s="6">
        <f ca="1">IFERROR(__xludf.DUMMYFUNCTION("""COMPUTED_VALUE"""),1)</f>
        <v>1</v>
      </c>
      <c r="D100" s="6" t="str">
        <f ca="1">IFERROR(__xludf.DUMMYFUNCTION("""COMPUTED_VALUE"""),"NO")</f>
        <v>NO</v>
      </c>
      <c r="E100" s="6" t="str">
        <f ca="1">IFERROR(__xludf.DUMMYFUNCTION("""COMPUTED_VALUE"""),"Valencia- Cádiz")</f>
        <v>Valencia- Cádiz</v>
      </c>
      <c r="F100" s="16">
        <f ca="1">IFERROR(__xludf.DUMMYFUNCTION("""COMPUTED_VALUE"""),45681)</f>
        <v>45681</v>
      </c>
      <c r="G100" s="16">
        <f ca="1">IFERROR(__xludf.DUMMYFUNCTION("""COMPUTED_VALUE"""),45623)</f>
        <v>45623</v>
      </c>
      <c r="H100" s="6" t="str">
        <f ca="1">IFERROR(__xludf.DUMMYFUNCTION("""COMPUTED_VALUE"""),"Valencia- Cádiz")</f>
        <v>Valencia- Cádiz</v>
      </c>
      <c r="I100" s="6" t="str">
        <f ca="1">IFERROR(__xludf.DUMMYFUNCTION("""COMPUTED_VALUE"""),"C20241241882975")</f>
        <v>C20241241882975</v>
      </c>
      <c r="J100" s="6" t="str">
        <f ca="1">IFERROR(__xludf.DUMMYFUNCTION("""COMPUTED_VALUE"""),"MARCOS MARTINEZ PEIRO")</f>
        <v>MARCOS MARTINEZ PEIRO</v>
      </c>
      <c r="K100" s="6">
        <f ca="1">IFERROR(__xludf.DUMMYFUNCTION("""COMPUTED_VALUE"""),2)</f>
        <v>2</v>
      </c>
      <c r="L100" s="139">
        <f ca="1">IFERROR(__xludf.DUMMYFUNCTION("""COMPUTED_VALUE"""),4000)</f>
        <v>4000</v>
      </c>
      <c r="M100" s="6" t="str">
        <f ca="1">IFERROR(__xludf.DUMMYFUNCTION("""COMPUTED_VALUE"""),"03 ORL")</f>
        <v>03 ORL</v>
      </c>
      <c r="N100" s="6" t="str">
        <f ca="1">IFERROR(__xludf.DUMMYFUNCTION("""COMPUTED_VALUE"""),"06 ORL")</f>
        <v>06 ORL</v>
      </c>
      <c r="O100" s="6" t="str">
        <f ca="1">IFERROR(__xludf.DUMMYFUNCTION("""COMPUTED_VALUE"""),"Dr, Jean Franco Intraprendente Martini")</f>
        <v>Dr, Jean Franco Intraprendente Martini</v>
      </c>
      <c r="P100" s="6" t="str">
        <f ca="1">IFERROR(__xludf.DUMMYFUNCTION("""COMPUTED_VALUE"""),"Ramon Ferrando(Valencia)")</f>
        <v>Ramon Ferrando(Valencia)</v>
      </c>
    </row>
    <row r="101" spans="2:16">
      <c r="B101" s="6">
        <f ca="1">IFERROR(__xludf.DUMMYFUNCTION("""COMPUTED_VALUE"""),2025)</f>
        <v>2025</v>
      </c>
      <c r="C101" s="6">
        <f ca="1">IFERROR(__xludf.DUMMYFUNCTION("""COMPUTED_VALUE"""),1)</f>
        <v>1</v>
      </c>
      <c r="D101" s="6" t="str">
        <f ca="1">IFERROR(__xludf.DUMMYFUNCTION("""COMPUTED_VALUE"""),"NO")</f>
        <v>NO</v>
      </c>
      <c r="E101" s="6" t="str">
        <f ca="1">IFERROR(__xludf.DUMMYFUNCTION("""COMPUTED_VALUE"""),"Valencia- Cádiz")</f>
        <v>Valencia- Cádiz</v>
      </c>
      <c r="F101" s="16">
        <f ca="1">IFERROR(__xludf.DUMMYFUNCTION("""COMPUTED_VALUE"""),45673)</f>
        <v>45673</v>
      </c>
      <c r="G101" s="16">
        <f ca="1">IFERROR(__xludf.DUMMYFUNCTION("""COMPUTED_VALUE"""),45629)</f>
        <v>45629</v>
      </c>
      <c r="H101" s="6" t="str">
        <f ca="1">IFERROR(__xludf.DUMMYFUNCTION("""COMPUTED_VALUE"""),"Valencia- Cádiz")</f>
        <v>Valencia- Cádiz</v>
      </c>
      <c r="I101" s="6" t="str">
        <f ca="1">IFERROR(__xludf.DUMMYFUNCTION("""COMPUTED_VALUE"""),"C2024121116506679")</f>
        <v>C2024121116506679</v>
      </c>
      <c r="J101" s="6" t="str">
        <f ca="1">IFERROR(__xludf.DUMMYFUNCTION("""COMPUTED_VALUE"""),"MARIA ISABEL PEÑALVER MOLLA")</f>
        <v>MARIA ISABEL PEÑALVER MOLLA</v>
      </c>
      <c r="K101" s="6">
        <f ca="1">IFERROR(__xludf.DUMMYFUNCTION("""COMPUTED_VALUE"""),2)</f>
        <v>2</v>
      </c>
      <c r="L101" s="139">
        <f ca="1">IFERROR(__xludf.DUMMYFUNCTION("""COMPUTED_VALUE"""),4400)</f>
        <v>4400</v>
      </c>
      <c r="M101" s="6" t="str">
        <f ca="1">IFERROR(__xludf.DUMMYFUNCTION("""COMPUTED_VALUE"""),"03 ORL")</f>
        <v>03 ORL</v>
      </c>
      <c r="N101" s="6" t="str">
        <f ca="1">IFERROR(__xludf.DUMMYFUNCTION("""COMPUTED_VALUE"""),"06 ORL")</f>
        <v>06 ORL</v>
      </c>
      <c r="O101" s="6" t="str">
        <f ca="1">IFERROR(__xludf.DUMMYFUNCTION("""COMPUTED_VALUE"""),"Dr, Luís Martínez Bernabeu")</f>
        <v>Dr, Luís Martínez Bernabeu</v>
      </c>
      <c r="P101" s="6" t="str">
        <f ca="1">IFERROR(__xludf.DUMMYFUNCTION("""COMPUTED_VALUE"""),"Ramon Ferrando(Valencia)")</f>
        <v>Ramon Ferrando(Valencia)</v>
      </c>
    </row>
    <row r="102" spans="2:16">
      <c r="B102" s="6">
        <f ca="1">IFERROR(__xludf.DUMMYFUNCTION("""COMPUTED_VALUE"""),2025)</f>
        <v>2025</v>
      </c>
      <c r="C102" s="6">
        <f ca="1">IFERROR(__xludf.DUMMYFUNCTION("""COMPUTED_VALUE"""),1)</f>
        <v>1</v>
      </c>
      <c r="D102" s="6" t="str">
        <f ca="1">IFERROR(__xludf.DUMMYFUNCTION("""COMPUTED_VALUE"""),"NO")</f>
        <v>NO</v>
      </c>
      <c r="E102" s="6" t="str">
        <f ca="1">IFERROR(__xludf.DUMMYFUNCTION("""COMPUTED_VALUE"""),"Valencia- Cádiz")</f>
        <v>Valencia- Cádiz</v>
      </c>
      <c r="F102" s="16">
        <f ca="1">IFERROR(__xludf.DUMMYFUNCTION("""COMPUTED_VALUE"""),45681)</f>
        <v>45681</v>
      </c>
      <c r="G102" s="16">
        <f ca="1">IFERROR(__xludf.DUMMYFUNCTION("""COMPUTED_VALUE"""),45642)</f>
        <v>45642</v>
      </c>
      <c r="H102" s="6" t="str">
        <f ca="1">IFERROR(__xludf.DUMMYFUNCTION("""COMPUTED_VALUE"""),"Valencia- Cádiz")</f>
        <v>Valencia- Cádiz</v>
      </c>
      <c r="I102" s="6" t="str">
        <f ca="1">IFERROR(__xludf.DUMMYFUNCTION("""COMPUTED_VALUE"""),"C20241220164048645")</f>
        <v>C20241220164048645</v>
      </c>
      <c r="J102" s="6" t="str">
        <f ca="1">IFERROR(__xludf.DUMMYFUNCTION("""COMPUTED_VALUE"""),"RAFAEL VIDAL BONAFE")</f>
        <v>RAFAEL VIDAL BONAFE</v>
      </c>
      <c r="K102" s="6">
        <f ca="1">IFERROR(__xludf.DUMMYFUNCTION("""COMPUTED_VALUE"""),2)</f>
        <v>2</v>
      </c>
      <c r="L102" s="139">
        <f ca="1">IFERROR(__xludf.DUMMYFUNCTION("""COMPUTED_VALUE"""),4000)</f>
        <v>4000</v>
      </c>
      <c r="M102" s="6" t="str">
        <f ca="1">IFERROR(__xludf.DUMMYFUNCTION("""COMPUTED_VALUE"""),"03 ORL")</f>
        <v>03 ORL</v>
      </c>
      <c r="N102" s="6" t="str">
        <f ca="1">IFERROR(__xludf.DUMMYFUNCTION("""COMPUTED_VALUE"""),"06 ORL")</f>
        <v>06 ORL</v>
      </c>
      <c r="O102" s="6" t="str">
        <f ca="1">IFERROR(__xludf.DUMMYFUNCTION("""COMPUTED_VALUE"""),"Dr, Agustín Campos Catalá")</f>
        <v>Dr, Agustín Campos Catalá</v>
      </c>
      <c r="P102" s="6" t="str">
        <f ca="1">IFERROR(__xludf.DUMMYFUNCTION("""COMPUTED_VALUE"""),"Ramon Ferrando(Valencia)")</f>
        <v>Ramon Ferrando(Valencia)</v>
      </c>
    </row>
    <row r="103" spans="2:16">
      <c r="B103" s="6">
        <f ca="1">IFERROR(__xludf.DUMMYFUNCTION("""COMPUTED_VALUE"""),2025)</f>
        <v>2025</v>
      </c>
      <c r="C103" s="6">
        <f ca="1">IFERROR(__xludf.DUMMYFUNCTION("""COMPUTED_VALUE"""),1)</f>
        <v>1</v>
      </c>
      <c r="D103" s="6" t="str">
        <f ca="1">IFERROR(__xludf.DUMMYFUNCTION("""COMPUTED_VALUE"""),"NO")</f>
        <v>NO</v>
      </c>
      <c r="E103" s="6" t="str">
        <f ca="1">IFERROR(__xludf.DUMMYFUNCTION("""COMPUTED_VALUE"""),"Valencia- Cádiz")</f>
        <v>Valencia- Cádiz</v>
      </c>
      <c r="F103" s="16">
        <f ca="1">IFERROR(__xludf.DUMMYFUNCTION("""COMPUTED_VALUE"""),45660)</f>
        <v>45660</v>
      </c>
      <c r="G103" s="16">
        <f ca="1">IFERROR(__xludf.DUMMYFUNCTION("""COMPUTED_VALUE"""),45636)</f>
        <v>45636</v>
      </c>
      <c r="H103" s="6" t="str">
        <f ca="1">IFERROR(__xludf.DUMMYFUNCTION("""COMPUTED_VALUE"""),"Valencia- Cádiz")</f>
        <v>Valencia- Cádiz</v>
      </c>
      <c r="I103" s="6" t="str">
        <f ca="1">IFERROR(__xludf.DUMMYFUNCTION("""COMPUTED_VALUE"""),"C20241213164517918")</f>
        <v>C20241213164517918</v>
      </c>
      <c r="J103" s="6" t="str">
        <f ca="1">IFERROR(__xludf.DUMMYFUNCTION("""COMPUTED_VALUE"""),"SALVADOR VILA ESTEVE")</f>
        <v>SALVADOR VILA ESTEVE</v>
      </c>
      <c r="K103" s="6">
        <f ca="1">IFERROR(__xludf.DUMMYFUNCTION("""COMPUTED_VALUE"""),2)</f>
        <v>2</v>
      </c>
      <c r="L103" s="139">
        <f ca="1">IFERROR(__xludf.DUMMYFUNCTION("""COMPUTED_VALUE"""),4400)</f>
        <v>4400</v>
      </c>
      <c r="M103" s="6" t="str">
        <f ca="1">IFERROR(__xludf.DUMMYFUNCTION("""COMPUTED_VALUE"""),"03 ORL")</f>
        <v>03 ORL</v>
      </c>
      <c r="N103" s="6" t="str">
        <f ca="1">IFERROR(__xludf.DUMMYFUNCTION("""COMPUTED_VALUE"""),"06 ORL")</f>
        <v>06 ORL</v>
      </c>
      <c r="O103" s="6" t="str">
        <f ca="1">IFERROR(__xludf.DUMMYFUNCTION("""COMPUTED_VALUE"""),"Dr, Manuel Mateos Fernández")</f>
        <v>Dr, Manuel Mateos Fernández</v>
      </c>
      <c r="P103" s="6" t="str">
        <f ca="1">IFERROR(__xludf.DUMMYFUNCTION("""COMPUTED_VALUE"""),"Ramon Ferrando(Valencia)")</f>
        <v>Ramon Ferrando(Valencia)</v>
      </c>
    </row>
    <row r="104" spans="2:16">
      <c r="B104" s="6">
        <f ca="1">IFERROR(__xludf.DUMMYFUNCTION("""COMPUTED_VALUE"""),2025)</f>
        <v>2025</v>
      </c>
      <c r="C104" s="6">
        <f ca="1">IFERROR(__xludf.DUMMYFUNCTION("""COMPUTED_VALUE"""),1)</f>
        <v>1</v>
      </c>
      <c r="D104" s="6" t="str">
        <f ca="1">IFERROR(__xludf.DUMMYFUNCTION("""COMPUTED_VALUE"""),"NO")</f>
        <v>NO</v>
      </c>
      <c r="E104" s="6" t="str">
        <f ca="1">IFERROR(__xludf.DUMMYFUNCTION("""COMPUTED_VALUE"""),"Valencia- Cádiz")</f>
        <v>Valencia- Cádiz</v>
      </c>
      <c r="F104" s="16">
        <f ca="1">IFERROR(__xludf.DUMMYFUNCTION("""COMPUTED_VALUE"""),45685)</f>
        <v>45685</v>
      </c>
      <c r="G104" s="16">
        <f ca="1">IFERROR(__xludf.DUMMYFUNCTION("""COMPUTED_VALUE"""),45636)</f>
        <v>45636</v>
      </c>
      <c r="H104" s="6" t="str">
        <f ca="1">IFERROR(__xludf.DUMMYFUNCTION("""COMPUTED_VALUE"""),"Valencia- Cádiz")</f>
        <v>Valencia- Cádiz</v>
      </c>
      <c r="I104" s="6" t="str">
        <f ca="1">IFERROR(__xludf.DUMMYFUNCTION("""COMPUTED_VALUE"""),"C2024121992818633")</f>
        <v>C2024121992818633</v>
      </c>
      <c r="J104" s="6" t="str">
        <f ca="1">IFERROR(__xludf.DUMMYFUNCTION("""COMPUTED_VALUE"""),"VICENTE HERRERO GARCIA")</f>
        <v>VICENTE HERRERO GARCIA</v>
      </c>
      <c r="K104" s="6">
        <f ca="1">IFERROR(__xludf.DUMMYFUNCTION("""COMPUTED_VALUE"""),1)</f>
        <v>1</v>
      </c>
      <c r="L104" s="139">
        <f ca="1">IFERROR(__xludf.DUMMYFUNCTION("""COMPUTED_VALUE"""),2067.27)</f>
        <v>2067.27</v>
      </c>
      <c r="M104" s="6" t="str">
        <f ca="1">IFERROR(__xludf.DUMMYFUNCTION("""COMPUTED_VALUE"""),"03 ORL")</f>
        <v>03 ORL</v>
      </c>
      <c r="N104" s="6" t="str">
        <f ca="1">IFERROR(__xludf.DUMMYFUNCTION("""COMPUTED_VALUE"""),"06 ORL")</f>
        <v>06 ORL</v>
      </c>
      <c r="O104" s="6" t="str">
        <f ca="1">IFERROR(__xludf.DUMMYFUNCTION("""COMPUTED_VALUE"""),"Dra, Paula Martínez-Ruiz De Apocada")</f>
        <v>Dra, Paula Martínez-Ruiz De Apocada</v>
      </c>
      <c r="P104" s="6" t="str">
        <f ca="1">IFERROR(__xludf.DUMMYFUNCTION("""COMPUTED_VALUE"""),"Ramon Ferrando(Valencia)")</f>
        <v>Ramon Ferrando(Valencia)</v>
      </c>
    </row>
    <row r="105" spans="2:16">
      <c r="B105" s="6">
        <f ca="1">IFERROR(__xludf.DUMMYFUNCTION("""COMPUTED_VALUE"""),2025)</f>
        <v>2025</v>
      </c>
      <c r="C105" s="6">
        <f ca="1">IFERROR(__xludf.DUMMYFUNCTION("""COMPUTED_VALUE"""),1)</f>
        <v>1</v>
      </c>
      <c r="D105" s="6" t="str">
        <f ca="1">IFERROR(__xludf.DUMMYFUNCTION("""COMPUTED_VALUE"""),"NO")</f>
        <v>NO</v>
      </c>
      <c r="E105" s="6" t="str">
        <f ca="1">IFERROR(__xludf.DUMMYFUNCTION("""COMPUTED_VALUE"""),"Valencia- Parra")</f>
        <v>Valencia- Parra</v>
      </c>
      <c r="F105" s="16">
        <f ca="1">IFERROR(__xludf.DUMMYFUNCTION("""COMPUTED_VALUE"""),45681)</f>
        <v>45681</v>
      </c>
      <c r="G105" s="16">
        <f ca="1">IFERROR(__xludf.DUMMYFUNCTION("""COMPUTED_VALUE"""),45630)</f>
        <v>45630</v>
      </c>
      <c r="H105" s="6" t="str">
        <f ca="1">IFERROR(__xludf.DUMMYFUNCTION("""COMPUTED_VALUE"""),"Valencia- Parra")</f>
        <v>Valencia- Parra</v>
      </c>
      <c r="I105" s="6" t="str">
        <f ca="1">IFERROR(__xludf.DUMMYFUNCTION("""COMPUTED_VALUE"""),"C20241218113521816")</f>
        <v>C20241218113521816</v>
      </c>
      <c r="J105" s="6" t="str">
        <f ca="1">IFERROR(__xludf.DUMMYFUNCTION("""COMPUTED_VALUE"""),"CARMEN VALERO POLO")</f>
        <v>CARMEN VALERO POLO</v>
      </c>
      <c r="K105" s="6">
        <f ca="1">IFERROR(__xludf.DUMMYFUNCTION("""COMPUTED_VALUE"""),1)</f>
        <v>1</v>
      </c>
      <c r="L105" s="139">
        <f ca="1">IFERROR(__xludf.DUMMYFUNCTION("""COMPUTED_VALUE"""),2400)</f>
        <v>2400</v>
      </c>
      <c r="M105" s="6" t="str">
        <f ca="1">IFERROR(__xludf.DUMMYFUNCTION("""COMPUTED_VALUE"""),"03 ORL")</f>
        <v>03 ORL</v>
      </c>
      <c r="N105" s="6" t="str">
        <f ca="1">IFERROR(__xludf.DUMMYFUNCTION("""COMPUTED_VALUE"""),"06 ORL")</f>
        <v>06 ORL</v>
      </c>
      <c r="O105" s="6" t="str">
        <f ca="1">IFERROR(__xludf.DUMMYFUNCTION("""COMPUTED_VALUE"""),"Dra, Vicky Galstyan Minasosa")</f>
        <v>Dra, Vicky Galstyan Minasosa</v>
      </c>
      <c r="P105" s="6" t="str">
        <f ca="1">IFERROR(__xludf.DUMMYFUNCTION("""COMPUTED_VALUE"""),"Ramon Ferrando(Valencia)")</f>
        <v>Ramon Ferrando(Valencia)</v>
      </c>
    </row>
    <row r="106" spans="2:16">
      <c r="B106" s="6">
        <f ca="1">IFERROR(__xludf.DUMMYFUNCTION("""COMPUTED_VALUE"""),2025)</f>
        <v>2025</v>
      </c>
      <c r="C106" s="6">
        <f ca="1">IFERROR(__xludf.DUMMYFUNCTION("""COMPUTED_VALUE"""),1)</f>
        <v>1</v>
      </c>
      <c r="D106" s="6" t="str">
        <f ca="1">IFERROR(__xludf.DUMMYFUNCTION("""COMPUTED_VALUE"""),"NO")</f>
        <v>NO</v>
      </c>
      <c r="E106" s="6" t="str">
        <f ca="1">IFERROR(__xludf.DUMMYFUNCTION("""COMPUTED_VALUE"""),"Valencia- Parra")</f>
        <v>Valencia- Parra</v>
      </c>
      <c r="F106" s="16">
        <f ca="1">IFERROR(__xludf.DUMMYFUNCTION("""COMPUTED_VALUE"""),45666)</f>
        <v>45666</v>
      </c>
      <c r="G106" s="16">
        <f ca="1">IFERROR(__xludf.DUMMYFUNCTION("""COMPUTED_VALUE"""),45616)</f>
        <v>45616</v>
      </c>
      <c r="H106" s="6" t="str">
        <f ca="1">IFERROR(__xludf.DUMMYFUNCTION("""COMPUTED_VALUE"""),"Valencia- Parra")</f>
        <v>Valencia- Parra</v>
      </c>
      <c r="I106" s="6" t="str">
        <f ca="1">IFERROR(__xludf.DUMMYFUNCTION("""COMPUTED_VALUE"""),"C2024112617208611")</f>
        <v>C2024112617208611</v>
      </c>
      <c r="J106" s="6" t="str">
        <f ca="1">IFERROR(__xludf.DUMMYFUNCTION("""COMPUTED_VALUE"""),"LEOPOLDO IBAÑEZ MONTORO")</f>
        <v>LEOPOLDO IBAÑEZ MONTORO</v>
      </c>
      <c r="K106" s="6">
        <f ca="1">IFERROR(__xludf.DUMMYFUNCTION("""COMPUTED_VALUE"""),2)</f>
        <v>2</v>
      </c>
      <c r="L106" s="139">
        <f ca="1">IFERROR(__xludf.DUMMYFUNCTION("""COMPUTED_VALUE"""),3710)</f>
        <v>3710</v>
      </c>
      <c r="M106" s="6" t="str">
        <f ca="1">IFERROR(__xludf.DUMMYFUNCTION("""COMPUTED_VALUE"""),"03 ORL")</f>
        <v>03 ORL</v>
      </c>
      <c r="N106" s="6" t="str">
        <f ca="1">IFERROR(__xludf.DUMMYFUNCTION("""COMPUTED_VALUE"""),"06 ORL")</f>
        <v>06 ORL</v>
      </c>
      <c r="O106" s="6" t="str">
        <f ca="1">IFERROR(__xludf.DUMMYFUNCTION("""COMPUTED_VALUE"""),"Dr, Manuel Mateos Fernández")</f>
        <v>Dr, Manuel Mateos Fernández</v>
      </c>
      <c r="P106" s="6" t="str">
        <f ca="1">IFERROR(__xludf.DUMMYFUNCTION("""COMPUTED_VALUE"""),"Ramon Ferrando(Valencia)")</f>
        <v>Ramon Ferrando(Valencia)</v>
      </c>
    </row>
    <row r="107" spans="2:16">
      <c r="B107" s="6">
        <f ca="1">IFERROR(__xludf.DUMMYFUNCTION("""COMPUTED_VALUE"""),2025)</f>
        <v>2025</v>
      </c>
      <c r="C107" s="6">
        <f ca="1">IFERROR(__xludf.DUMMYFUNCTION("""COMPUTED_VALUE"""),1)</f>
        <v>1</v>
      </c>
      <c r="D107" s="6" t="str">
        <f ca="1">IFERROR(__xludf.DUMMYFUNCTION("""COMPUTED_VALUE"""),"NO")</f>
        <v>NO</v>
      </c>
      <c r="E107" s="6" t="str">
        <f ca="1">IFERROR(__xludf.DUMMYFUNCTION("""COMPUTED_VALUE"""),"Valencia- Parra")</f>
        <v>Valencia- Parra</v>
      </c>
      <c r="F107" s="16">
        <f ca="1">IFERROR(__xludf.DUMMYFUNCTION("""COMPUTED_VALUE"""),45678)</f>
        <v>45678</v>
      </c>
      <c r="G107" s="16">
        <f ca="1">IFERROR(__xludf.DUMMYFUNCTION("""COMPUTED_VALUE"""),45623)</f>
        <v>45623</v>
      </c>
      <c r="H107" s="6" t="str">
        <f ca="1">IFERROR(__xludf.DUMMYFUNCTION("""COMPUTED_VALUE"""),"Valencia- Parra")</f>
        <v>Valencia- Parra</v>
      </c>
      <c r="I107" s="6" t="str">
        <f ca="1">IFERROR(__xludf.DUMMYFUNCTION("""COMPUTED_VALUE"""),"C2024121210529466")</f>
        <v>C2024121210529466</v>
      </c>
      <c r="J107" s="6" t="str">
        <f ca="1">IFERROR(__xludf.DUMMYFUNCTION("""COMPUTED_VALUE"""),"MARIA LUISA RAMOS GARCIA")</f>
        <v>MARIA LUISA RAMOS GARCIA</v>
      </c>
      <c r="K107" s="6">
        <f ca="1">IFERROR(__xludf.DUMMYFUNCTION("""COMPUTED_VALUE"""),2)</f>
        <v>2</v>
      </c>
      <c r="L107" s="139">
        <f ca="1">IFERROR(__xludf.DUMMYFUNCTION("""COMPUTED_VALUE"""),3710)</f>
        <v>3710</v>
      </c>
      <c r="M107" s="6" t="str">
        <f ca="1">IFERROR(__xludf.DUMMYFUNCTION("""COMPUTED_VALUE"""),"03 ORL")</f>
        <v>03 ORL</v>
      </c>
      <c r="N107" s="6" t="str">
        <f ca="1">IFERROR(__xludf.DUMMYFUNCTION("""COMPUTED_VALUE"""),"06 ORL")</f>
        <v>06 ORL</v>
      </c>
      <c r="O107" s="6" t="str">
        <f ca="1">IFERROR(__xludf.DUMMYFUNCTION("""COMPUTED_VALUE"""),"Dr, Manuel Mateos Fernández")</f>
        <v>Dr, Manuel Mateos Fernández</v>
      </c>
      <c r="P107" s="1" t="str">
        <f ca="1">IFERROR(__xludf.DUMMYFUNCTION("""COMPUTED_VALUE"""),"Ramon Ferrando(Valencia)")</f>
        <v>Ramon Ferrando(Valencia)</v>
      </c>
    </row>
    <row r="108" spans="2:16">
      <c r="B108" s="6">
        <f ca="1">IFERROR(__xludf.DUMMYFUNCTION("""COMPUTED_VALUE"""),2025)</f>
        <v>2025</v>
      </c>
      <c r="C108" s="6">
        <f ca="1">IFERROR(__xludf.DUMMYFUNCTION("""COMPUTED_VALUE"""),1)</f>
        <v>1</v>
      </c>
      <c r="D108" s="6" t="str">
        <f ca="1">IFERROR(__xludf.DUMMYFUNCTION("""COMPUTED_VALUE"""),"NO")</f>
        <v>NO</v>
      </c>
      <c r="E108" s="6" t="str">
        <f ca="1">IFERROR(__xludf.DUMMYFUNCTION("""COMPUTED_VALUE"""),"Valencia- Parra")</f>
        <v>Valencia- Parra</v>
      </c>
      <c r="F108" s="16">
        <f ca="1">IFERROR(__xludf.DUMMYFUNCTION("""COMPUTED_VALUE"""),45686)</f>
        <v>45686</v>
      </c>
      <c r="G108" s="16">
        <f ca="1">IFERROR(__xludf.DUMMYFUNCTION("""COMPUTED_VALUE"""),45590)</f>
        <v>45590</v>
      </c>
      <c r="H108" s="6" t="str">
        <f ca="1">IFERROR(__xludf.DUMMYFUNCTION("""COMPUTED_VALUE"""),"Valencia- Parra")</f>
        <v>Valencia- Parra</v>
      </c>
      <c r="I108" s="6" t="str">
        <f ca="1">IFERROR(__xludf.DUMMYFUNCTION("""COMPUTED_VALUE"""),"C20241112122050286")</f>
        <v>C20241112122050286</v>
      </c>
      <c r="J108" s="6" t="str">
        <f ca="1">IFERROR(__xludf.DUMMYFUNCTION("""COMPUTED_VALUE"""),"NARCIS DINARES PEÑALVER")</f>
        <v>NARCIS DINARES PEÑALVER</v>
      </c>
      <c r="K108" s="6">
        <f ca="1">IFERROR(__xludf.DUMMYFUNCTION("""COMPUTED_VALUE"""),2)</f>
        <v>2</v>
      </c>
      <c r="L108" s="139">
        <f ca="1">IFERROR(__xludf.DUMMYFUNCTION("""COMPUTED_VALUE"""),4000)</f>
        <v>4000</v>
      </c>
      <c r="M108" s="6" t="str">
        <f ca="1">IFERROR(__xludf.DUMMYFUNCTION("""COMPUTED_VALUE"""),"03 ORL")</f>
        <v>03 ORL</v>
      </c>
      <c r="N108" s="6" t="str">
        <f ca="1">IFERROR(__xludf.DUMMYFUNCTION("""COMPUTED_VALUE"""),"06 ORL")</f>
        <v>06 ORL</v>
      </c>
      <c r="O108" s="6" t="str">
        <f ca="1">IFERROR(__xludf.DUMMYFUNCTION("""COMPUTED_VALUE"""),"Dr, Ignacio Llopez Carratalá")</f>
        <v>Dr, Ignacio Llopez Carratalá</v>
      </c>
      <c r="P108" s="6" t="str">
        <f ca="1">IFERROR(__xludf.DUMMYFUNCTION("""COMPUTED_VALUE"""),"Ramon Ferrando(Valencia)")</f>
        <v>Ramon Ferrando(Valencia)</v>
      </c>
    </row>
    <row r="109" spans="2:16">
      <c r="B109" s="6">
        <f ca="1">IFERROR(__xludf.DUMMYFUNCTION("""COMPUTED_VALUE"""),2025)</f>
        <v>2025</v>
      </c>
      <c r="C109" s="6">
        <f ca="1">IFERROR(__xludf.DUMMYFUNCTION("""COMPUTED_VALUE"""),1)</f>
        <v>1</v>
      </c>
      <c r="D109" s="6" t="str">
        <f ca="1">IFERROR(__xludf.DUMMYFUNCTION("""COMPUTED_VALUE"""),"NO")</f>
        <v>NO</v>
      </c>
      <c r="E109" s="6" t="str">
        <f ca="1">IFERROR(__xludf.DUMMYFUNCTION("""COMPUTED_VALUE"""),"Vilanova")</f>
        <v>Vilanova</v>
      </c>
      <c r="F109" s="16">
        <f ca="1">IFERROR(__xludf.DUMMYFUNCTION("""COMPUTED_VALUE"""),45684)</f>
        <v>45684</v>
      </c>
      <c r="G109" s="16">
        <f ca="1">IFERROR(__xludf.DUMMYFUNCTION("""COMPUTED_VALUE"""),45217)</f>
        <v>45217</v>
      </c>
      <c r="H109" s="6" t="str">
        <f ca="1">IFERROR(__xludf.DUMMYFUNCTION("""COMPUTED_VALUE"""),"Vilanova")</f>
        <v>Vilanova</v>
      </c>
      <c r="I109" s="6" t="str">
        <f ca="1">IFERROR(__xludf.DUMMYFUNCTION("""COMPUTED_VALUE"""),"BVI-310")</f>
        <v>BVI-310</v>
      </c>
      <c r="J109" s="6" t="str">
        <f ca="1">IFERROR(__xludf.DUMMYFUNCTION("""COMPUTED_VALUE"""),"JOSEP MELLADO MAIQUEZ")</f>
        <v>JOSEP MELLADO MAIQUEZ</v>
      </c>
      <c r="K109" s="6">
        <f ca="1">IFERROR(__xludf.DUMMYFUNCTION("""COMPUTED_VALUE"""),2)</f>
        <v>2</v>
      </c>
      <c r="L109" s="139">
        <f ca="1">IFERROR(__xludf.DUMMYFUNCTION("""COMPUTED_VALUE"""),1809.09)</f>
        <v>1809.09</v>
      </c>
      <c r="M109" s="6" t="str">
        <f ca="1">IFERROR(__xludf.DUMMYFUNCTION("""COMPUTED_VALUE"""),"03 ORL")</f>
        <v>03 ORL</v>
      </c>
      <c r="N109" s="6" t="str">
        <f ca="1">IFERROR(__xludf.DUMMYFUNCTION("""COMPUTED_VALUE"""),"06 ORL")</f>
        <v>06 ORL</v>
      </c>
      <c r="O109" s="6" t="str">
        <f ca="1">IFERROR(__xludf.DUMMYFUNCTION("""COMPUTED_VALUE"""),"Dra, Cristina Molina Martínez")</f>
        <v>Dra, Cristina Molina Martínez</v>
      </c>
      <c r="P109" s="6" t="str">
        <f ca="1">IFERROR(__xludf.DUMMYFUNCTION("""COMPUTED_VALUE"""),"Mercè Cabrera (Cataluña Y Baleares)")</f>
        <v>Mercè Cabrera (Cataluña Y Baleares)</v>
      </c>
    </row>
    <row r="110" spans="2:16">
      <c r="B110" s="6">
        <f ca="1">IFERROR(__xludf.DUMMYFUNCTION("""COMPUTED_VALUE"""),2025)</f>
        <v>2025</v>
      </c>
      <c r="C110" s="6">
        <f ca="1">IFERROR(__xludf.DUMMYFUNCTION("""COMPUTED_VALUE"""),1)</f>
        <v>1</v>
      </c>
      <c r="D110" s="6" t="str">
        <f ca="1">IFERROR(__xludf.DUMMYFUNCTION("""COMPUTED_VALUE"""),"NO")</f>
        <v>NO</v>
      </c>
      <c r="E110" s="6" t="str">
        <f ca="1">IFERROR(__xludf.DUMMYFUNCTION("""COMPUTED_VALUE"""),"Ponferrada")</f>
        <v>Ponferrada</v>
      </c>
      <c r="F110" s="16">
        <f ca="1">IFERROR(__xludf.DUMMYFUNCTION("""COMPUTED_VALUE"""),45660)</f>
        <v>45660</v>
      </c>
      <c r="G110" s="16">
        <f ca="1">IFERROR(__xludf.DUMMYFUNCTION("""COMPUTED_VALUE"""),45587)</f>
        <v>45587</v>
      </c>
      <c r="H110" s="6" t="str">
        <f ca="1">IFERROR(__xludf.DUMMYFUNCTION("""COMPUTED_VALUE"""),"Ponferrada")</f>
        <v>Ponferrada</v>
      </c>
      <c r="I110" s="6" t="str">
        <f ca="1">IFERROR(__xludf.DUMMYFUNCTION("""COMPUTED_VALUE"""),"PON-813")</f>
        <v>PON-813</v>
      </c>
      <c r="J110" s="6" t="str">
        <f ca="1">IFERROR(__xludf.DUMMYFUNCTION("""COMPUTED_VALUE"""),"MARIA DEL CARMEN DIÑEIRO ESCUREDO")</f>
        <v>MARIA DEL CARMEN DIÑEIRO ESCUREDO</v>
      </c>
      <c r="K110" s="6">
        <f ca="1">IFERROR(__xludf.DUMMYFUNCTION("""COMPUTED_VALUE"""),1)</f>
        <v>1</v>
      </c>
      <c r="L110" s="139">
        <f ca="1">IFERROR(__xludf.DUMMYFUNCTION("""COMPUTED_VALUE"""),2090.91)</f>
        <v>2090.91</v>
      </c>
      <c r="M110" s="6" t="str">
        <f ca="1">IFERROR(__xludf.DUMMYFUNCTION("""COMPUTED_VALUE"""),"03 ORL")</f>
        <v>03 ORL</v>
      </c>
      <c r="N110" s="6" t="str">
        <f ca="1">IFERROR(__xludf.DUMMYFUNCTION("""COMPUTED_VALUE"""),"06 ORL")</f>
        <v>06 ORL</v>
      </c>
      <c r="O110" s="6" t="str">
        <f ca="1">IFERROR(__xludf.DUMMYFUNCTION("""COMPUTED_VALUE"""),"Dra, Mónica Granda Rosales")</f>
        <v>Dra, Mónica Granda Rosales</v>
      </c>
      <c r="P110" s="6" t="str">
        <f ca="1">IFERROR(__xludf.DUMMYFUNCTION("""COMPUTED_VALUE"""),"Patricia Solache (Castilla Y León)")</f>
        <v>Patricia Solache (Castilla Y León)</v>
      </c>
    </row>
    <row r="111" spans="2:16">
      <c r="B111" s="6">
        <f ca="1">IFERROR(__xludf.DUMMYFUNCTION("""COMPUTED_VALUE"""),2025)</f>
        <v>2025</v>
      </c>
      <c r="C111" s="6">
        <f ca="1">IFERROR(__xludf.DUMMYFUNCTION("""COMPUTED_VALUE"""),1)</f>
        <v>1</v>
      </c>
      <c r="D111" s="6" t="str">
        <f ca="1">IFERROR(__xludf.DUMMYFUNCTION("""COMPUTED_VALUE"""),"NO")</f>
        <v>NO</v>
      </c>
      <c r="E111" s="6" t="str">
        <f ca="1">IFERROR(__xludf.DUMMYFUNCTION("""COMPUTED_VALUE"""),"Cáceres")</f>
        <v>Cáceres</v>
      </c>
      <c r="F111" s="16">
        <f ca="1">IFERROR(__xludf.DUMMYFUNCTION("""COMPUTED_VALUE"""),45664)</f>
        <v>45664</v>
      </c>
      <c r="G111" s="16">
        <f ca="1">IFERROR(__xludf.DUMMYFUNCTION("""COMPUTED_VALUE"""),45650)</f>
        <v>45650</v>
      </c>
      <c r="H111" s="6" t="str">
        <f ca="1">IFERROR(__xludf.DUMMYFUNCTION("""COMPUTED_VALUE"""),"Cáceres")</f>
        <v>Cáceres</v>
      </c>
      <c r="I111" s="6" t="str">
        <f ca="1">IFERROR(__xludf.DUMMYFUNCTION("""COMPUTED_VALUE"""),"CAC-216")</f>
        <v>CAC-216</v>
      </c>
      <c r="J111" s="6" t="str">
        <f ca="1">IFERROR(__xludf.DUMMYFUNCTION("""COMPUTED_VALUE"""),"JORGE MACIAS CID")</f>
        <v>JORGE MACIAS CID</v>
      </c>
      <c r="K111" s="6">
        <f ca="1">IFERROR(__xludf.DUMMYFUNCTION("""COMPUTED_VALUE"""),2)</f>
        <v>2</v>
      </c>
      <c r="L111" s="139">
        <f ca="1">IFERROR(__xludf.DUMMYFUNCTION("""COMPUTED_VALUE"""),4000)</f>
        <v>4000</v>
      </c>
      <c r="M111" s="6" t="str">
        <f ca="1">IFERROR(__xludf.DUMMYFUNCTION("""COMPUTED_VALUE"""),"03 ORL")</f>
        <v>03 ORL</v>
      </c>
      <c r="N111" s="6" t="str">
        <f ca="1">IFERROR(__xludf.DUMMYFUNCTION("""COMPUTED_VALUE"""),"06 ORL")</f>
        <v>06 ORL</v>
      </c>
      <c r="O111" s="6" t="str">
        <f ca="1">IFERROR(__xludf.DUMMYFUNCTION("""COMPUTED_VALUE"""),"Dr, Andrés Paulino Herrera")</f>
        <v>Dr, Andrés Paulino Herrera</v>
      </c>
      <c r="P111" s="6" t="str">
        <f ca="1">IFERROR(__xludf.DUMMYFUNCTION("""COMPUTED_VALUE"""),"Lisandro Russian (Madrid, Cáceres, Toledo, Talavera Y Logroño)")</f>
        <v>Lisandro Russian (Madrid, Cáceres, Toledo, Talavera Y Logroño)</v>
      </c>
    </row>
    <row r="112" spans="2:16">
      <c r="B112" s="6">
        <f ca="1">IFERROR(__xludf.DUMMYFUNCTION("""COMPUTED_VALUE"""),2025)</f>
        <v>2025</v>
      </c>
      <c r="C112" s="6">
        <f ca="1">IFERROR(__xludf.DUMMYFUNCTION("""COMPUTED_VALUE"""),1)</f>
        <v>1</v>
      </c>
      <c r="D112" s="6" t="str">
        <f ca="1">IFERROR(__xludf.DUMMYFUNCTION("""COMPUTED_VALUE"""),"NO")</f>
        <v>NO</v>
      </c>
      <c r="E112" s="6" t="str">
        <f ca="1">IFERROR(__xludf.DUMMYFUNCTION("""COMPUTED_VALUE"""),"Ponferrada")</f>
        <v>Ponferrada</v>
      </c>
      <c r="F112" s="16">
        <f ca="1">IFERROR(__xludf.DUMMYFUNCTION("""COMPUTED_VALUE"""),45664)</f>
        <v>45664</v>
      </c>
      <c r="G112" s="16">
        <f ca="1">IFERROR(__xludf.DUMMYFUNCTION("""COMPUTED_VALUE"""),45586)</f>
        <v>45586</v>
      </c>
      <c r="H112" s="6" t="str">
        <f ca="1">IFERROR(__xludf.DUMMYFUNCTION("""COMPUTED_VALUE"""),"Ponferrada")</f>
        <v>Ponferrada</v>
      </c>
      <c r="I112" s="6" t="str">
        <f ca="1">IFERROR(__xludf.DUMMYFUNCTION("""COMPUTED_VALUE"""),"PON-811")</f>
        <v>PON-811</v>
      </c>
      <c r="J112" s="6" t="str">
        <f ca="1">IFERROR(__xludf.DUMMYFUNCTION("""COMPUTED_VALUE"""),"LORENZO TOMAS GARCIA FABA")</f>
        <v>LORENZO TOMAS GARCIA FABA</v>
      </c>
      <c r="K112" s="6">
        <f ca="1">IFERROR(__xludf.DUMMYFUNCTION("""COMPUTED_VALUE"""),2)</f>
        <v>2</v>
      </c>
      <c r="L112" s="139">
        <f ca="1">IFERROR(__xludf.DUMMYFUNCTION("""COMPUTED_VALUE"""),3545.45)</f>
        <v>3545.45</v>
      </c>
      <c r="M112" s="6" t="str">
        <f ca="1">IFERROR(__xludf.DUMMYFUNCTION("""COMPUTED_VALUE"""),"03 ORL")</f>
        <v>03 ORL</v>
      </c>
      <c r="N112" s="6" t="str">
        <f ca="1">IFERROR(__xludf.DUMMYFUNCTION("""COMPUTED_VALUE"""),"06 ORL")</f>
        <v>06 ORL</v>
      </c>
      <c r="O112" s="6" t="str">
        <f ca="1">IFERROR(__xludf.DUMMYFUNCTION("""COMPUTED_VALUE"""),"Dra, Mónica Granda Rosales")</f>
        <v>Dra, Mónica Granda Rosales</v>
      </c>
      <c r="P112" s="6" t="str">
        <f ca="1">IFERROR(__xludf.DUMMYFUNCTION("""COMPUTED_VALUE"""),"Patricia Solache (Castilla Y León)")</f>
        <v>Patricia Solache (Castilla Y León)</v>
      </c>
    </row>
    <row r="113" spans="2:16">
      <c r="B113" s="6">
        <f ca="1">IFERROR(__xludf.DUMMYFUNCTION("""COMPUTED_VALUE"""),2025)</f>
        <v>2025</v>
      </c>
      <c r="C113" s="6">
        <f ca="1">IFERROR(__xludf.DUMMYFUNCTION("""COMPUTED_VALUE"""),1)</f>
        <v>1</v>
      </c>
      <c r="D113" s="6" t="str">
        <f ca="1">IFERROR(__xludf.DUMMYFUNCTION("""COMPUTED_VALUE"""),"NO")</f>
        <v>NO</v>
      </c>
      <c r="E113" s="6" t="str">
        <f ca="1">IFERROR(__xludf.DUMMYFUNCTION("""COMPUTED_VALUE"""),"Salamanca")</f>
        <v>Salamanca</v>
      </c>
      <c r="F113" s="16">
        <f ca="1">IFERROR(__xludf.DUMMYFUNCTION("""COMPUTED_VALUE"""),45664)</f>
        <v>45664</v>
      </c>
      <c r="G113" s="16">
        <f ca="1">IFERROR(__xludf.DUMMYFUNCTION("""COMPUTED_VALUE"""),45609)</f>
        <v>45609</v>
      </c>
      <c r="H113" s="6" t="str">
        <f ca="1">IFERROR(__xludf.DUMMYFUNCTION("""COMPUTED_VALUE"""),"Salamanca")</f>
        <v>Salamanca</v>
      </c>
      <c r="I113" s="6" t="str">
        <f ca="1">IFERROR(__xludf.DUMMYFUNCTION("""COMPUTED_VALUE"""),"SLM-402")</f>
        <v>SLM-402</v>
      </c>
      <c r="J113" s="6" t="str">
        <f ca="1">IFERROR(__xludf.DUMMYFUNCTION("""COMPUTED_VALUE"""),"BENITA OLLOQUI MARCOS")</f>
        <v>BENITA OLLOQUI MARCOS</v>
      </c>
      <c r="K113" s="6">
        <f ca="1">IFERROR(__xludf.DUMMYFUNCTION("""COMPUTED_VALUE"""),2)</f>
        <v>2</v>
      </c>
      <c r="L113" s="139">
        <f ca="1">IFERROR(__xludf.DUMMYFUNCTION("""COMPUTED_VALUE"""),3604.55)</f>
        <v>3604.55</v>
      </c>
      <c r="M113" s="6" t="str">
        <f ca="1">IFERROR(__xludf.DUMMYFUNCTION("""COMPUTED_VALUE"""),"03 ORL")</f>
        <v>03 ORL</v>
      </c>
      <c r="N113" s="6" t="str">
        <f ca="1">IFERROR(__xludf.DUMMYFUNCTION("""COMPUTED_VALUE"""),"06 ORL")</f>
        <v>06 ORL</v>
      </c>
      <c r="O113" s="6" t="str">
        <f ca="1">IFERROR(__xludf.DUMMYFUNCTION("""COMPUTED_VALUE"""),"Dr, María Jesús Cornejo Domínguez")</f>
        <v>Dr, María Jesús Cornejo Domínguez</v>
      </c>
      <c r="P113" s="6" t="str">
        <f ca="1">IFERROR(__xludf.DUMMYFUNCTION("""COMPUTED_VALUE"""),"Patricia Solache (Castilla Y León)")</f>
        <v>Patricia Solache (Castilla Y León)</v>
      </c>
    </row>
    <row r="114" spans="2:16">
      <c r="B114" s="6">
        <f ca="1">IFERROR(__xludf.DUMMYFUNCTION("""COMPUTED_VALUE"""),2025)</f>
        <v>2025</v>
      </c>
      <c r="C114" s="6">
        <f ca="1">IFERROR(__xludf.DUMMYFUNCTION("""COMPUTED_VALUE"""),1)</f>
        <v>1</v>
      </c>
      <c r="D114" s="6" t="str">
        <f ca="1">IFERROR(__xludf.DUMMYFUNCTION("""COMPUTED_VALUE"""),"NO")</f>
        <v>NO</v>
      </c>
      <c r="E114" s="6" t="str">
        <f ca="1">IFERROR(__xludf.DUMMYFUNCTION("""COMPUTED_VALUE"""),"Vigo")</f>
        <v>Vigo</v>
      </c>
      <c r="F114" s="16">
        <f ca="1">IFERROR(__xludf.DUMMYFUNCTION("""COMPUTED_VALUE"""),45666)</f>
        <v>45666</v>
      </c>
      <c r="G114" s="16">
        <f ca="1">IFERROR(__xludf.DUMMYFUNCTION("""COMPUTED_VALUE"""),45457)</f>
        <v>45457</v>
      </c>
      <c r="H114" s="6" t="str">
        <f ca="1">IFERROR(__xludf.DUMMYFUNCTION("""COMPUTED_VALUE"""),"Vigo")</f>
        <v>Vigo</v>
      </c>
      <c r="I114" s="6" t="str">
        <f ca="1">IFERROR(__xludf.DUMMYFUNCTION("""COMPUTED_VALUE"""),"VIG-459")</f>
        <v>VIG-459</v>
      </c>
      <c r="J114" s="6" t="str">
        <f ca="1">IFERROR(__xludf.DUMMYFUNCTION("""COMPUTED_VALUE"""),"JAVIER FREIRIA PEREIRA")</f>
        <v>JAVIER FREIRIA PEREIRA</v>
      </c>
      <c r="K114" s="6">
        <f ca="1">IFERROR(__xludf.DUMMYFUNCTION("""COMPUTED_VALUE"""),1)</f>
        <v>1</v>
      </c>
      <c r="L114" s="139">
        <f ca="1">IFERROR(__xludf.DUMMYFUNCTION("""COMPUTED_VALUE"""),1772.73)</f>
        <v>1772.73</v>
      </c>
      <c r="M114" s="6" t="str">
        <f ca="1">IFERROR(__xludf.DUMMYFUNCTION("""COMPUTED_VALUE"""),"03 ORL")</f>
        <v>03 ORL</v>
      </c>
      <c r="N114" s="6" t="str">
        <f ca="1">IFERROR(__xludf.DUMMYFUNCTION("""COMPUTED_VALUE"""),"06 ORL")</f>
        <v>06 ORL</v>
      </c>
      <c r="O114" s="6" t="str">
        <f ca="1">IFERROR(__xludf.DUMMYFUNCTION("""COMPUTED_VALUE"""),"Dra, Pilar Castro Ruiz")</f>
        <v>Dra, Pilar Castro Ruiz</v>
      </c>
      <c r="P114" s="6" t="str">
        <f ca="1">IFERROR(__xludf.DUMMYFUNCTION("""COMPUTED_VALUE"""),"Roberto Pereira (Galicia)")</f>
        <v>Roberto Pereira (Galicia)</v>
      </c>
    </row>
    <row r="115" spans="2:16">
      <c r="B115" s="6">
        <f ca="1">IFERROR(__xludf.DUMMYFUNCTION("""COMPUTED_VALUE"""),2025)</f>
        <v>2025</v>
      </c>
      <c r="C115" s="6">
        <f ca="1">IFERROR(__xludf.DUMMYFUNCTION("""COMPUTED_VALUE"""),1)</f>
        <v>1</v>
      </c>
      <c r="D115" s="6" t="str">
        <f ca="1">IFERROR(__xludf.DUMMYFUNCTION("""COMPUTED_VALUE"""),"NO")</f>
        <v>NO</v>
      </c>
      <c r="E115" s="6" t="str">
        <f ca="1">IFERROR(__xludf.DUMMYFUNCTION("""COMPUTED_VALUE"""),"Salamanca")</f>
        <v>Salamanca</v>
      </c>
      <c r="F115" s="16">
        <f ca="1">IFERROR(__xludf.DUMMYFUNCTION("""COMPUTED_VALUE"""),45667)</f>
        <v>45667</v>
      </c>
      <c r="G115" s="16">
        <f ca="1">IFERROR(__xludf.DUMMYFUNCTION("""COMPUTED_VALUE"""),45630)</f>
        <v>45630</v>
      </c>
      <c r="H115" s="6" t="str">
        <f ca="1">IFERROR(__xludf.DUMMYFUNCTION("""COMPUTED_VALUE"""),"Salamanca")</f>
        <v>Salamanca</v>
      </c>
      <c r="I115" s="6" t="str">
        <f ca="1">IFERROR(__xludf.DUMMYFUNCTION("""COMPUTED_VALUE"""),"SLM-416")</f>
        <v>SLM-416</v>
      </c>
      <c r="J115" s="6" t="str">
        <f ca="1">IFERROR(__xludf.DUMMYFUNCTION("""COMPUTED_VALUE"""),"MELCHOR GARCIA SANCHEZ")</f>
        <v>MELCHOR GARCIA SANCHEZ</v>
      </c>
      <c r="K115" s="6">
        <f ca="1">IFERROR(__xludf.DUMMYFUNCTION("""COMPUTED_VALUE"""),2)</f>
        <v>2</v>
      </c>
      <c r="L115" s="139">
        <f ca="1">IFERROR(__xludf.DUMMYFUNCTION("""COMPUTED_VALUE"""),3604.55)</f>
        <v>3604.55</v>
      </c>
      <c r="M115" s="6" t="str">
        <f ca="1">IFERROR(__xludf.DUMMYFUNCTION("""COMPUTED_VALUE"""),"03 ORL")</f>
        <v>03 ORL</v>
      </c>
      <c r="N115" s="6" t="str">
        <f ca="1">IFERROR(__xludf.DUMMYFUNCTION("""COMPUTED_VALUE"""),"06 ORL")</f>
        <v>06 ORL</v>
      </c>
      <c r="O115" s="6" t="str">
        <f ca="1">IFERROR(__xludf.DUMMYFUNCTION("""COMPUTED_VALUE"""),"Dr, María Jesús Cornejo Domínguez")</f>
        <v>Dr, María Jesús Cornejo Domínguez</v>
      </c>
      <c r="P115" s="6" t="str">
        <f ca="1">IFERROR(__xludf.DUMMYFUNCTION("""COMPUTED_VALUE"""),"Patricia Solache (Castilla Y León)")</f>
        <v>Patricia Solache (Castilla Y León)</v>
      </c>
    </row>
    <row r="116" spans="2:16">
      <c r="B116" s="6">
        <f ca="1">IFERROR(__xludf.DUMMYFUNCTION("""COMPUTED_VALUE"""),2025)</f>
        <v>2025</v>
      </c>
      <c r="C116" s="6">
        <f ca="1">IFERROR(__xludf.DUMMYFUNCTION("""COMPUTED_VALUE"""),1)</f>
        <v>1</v>
      </c>
      <c r="D116" s="6" t="str">
        <f ca="1">IFERROR(__xludf.DUMMYFUNCTION("""COMPUTED_VALUE"""),"NO")</f>
        <v>NO</v>
      </c>
      <c r="E116" s="6" t="str">
        <f ca="1">IFERROR(__xludf.DUMMYFUNCTION("""COMPUTED_VALUE"""),"Valladolid")</f>
        <v>Valladolid</v>
      </c>
      <c r="F116" s="16">
        <f ca="1">IFERROR(__xludf.DUMMYFUNCTION("""COMPUTED_VALUE"""),45667)</f>
        <v>45667</v>
      </c>
      <c r="G116" s="16">
        <f ca="1">IFERROR(__xludf.DUMMYFUNCTION("""COMPUTED_VALUE"""),45614)</f>
        <v>45614</v>
      </c>
      <c r="H116" s="6" t="str">
        <f ca="1">IFERROR(__xludf.DUMMYFUNCTION("""COMPUTED_VALUE"""),"Valladolid")</f>
        <v>Valladolid</v>
      </c>
      <c r="I116" s="6" t="str">
        <f ca="1">IFERROR(__xludf.DUMMYFUNCTION("""COMPUTED_VALUE"""),"VLL-297")</f>
        <v>VLL-297</v>
      </c>
      <c r="J116" s="6" t="str">
        <f ca="1">IFERROR(__xludf.DUMMYFUNCTION("""COMPUTED_VALUE"""),"MARIA DEL CARMEN GONZALEZ GONZALEZ")</f>
        <v>MARIA DEL CARMEN GONZALEZ GONZALEZ</v>
      </c>
      <c r="K116" s="6">
        <f ca="1">IFERROR(__xludf.DUMMYFUNCTION("""COMPUTED_VALUE"""),2)</f>
        <v>2</v>
      </c>
      <c r="L116" s="139">
        <f ca="1">IFERROR(__xludf.DUMMYFUNCTION("""COMPUTED_VALUE"""),3977.27)</f>
        <v>3977.27</v>
      </c>
      <c r="M116" s="6" t="str">
        <f ca="1">IFERROR(__xludf.DUMMYFUNCTION("""COMPUTED_VALUE"""),"03 ORL")</f>
        <v>03 ORL</v>
      </c>
      <c r="N116" s="6" t="str">
        <f ca="1">IFERROR(__xludf.DUMMYFUNCTION("""COMPUTED_VALUE"""),"06 ORL")</f>
        <v>06 ORL</v>
      </c>
      <c r="O116" s="6" t="str">
        <f ca="1">IFERROR(__xludf.DUMMYFUNCTION("""COMPUTED_VALUE"""),"Dra, María Consolación Martín Pascual")</f>
        <v>Dra, María Consolación Martín Pascual</v>
      </c>
      <c r="P116" s="6" t="str">
        <f ca="1">IFERROR(__xludf.DUMMYFUNCTION("""COMPUTED_VALUE"""),"Patricia Solache (Castilla Y León)")</f>
        <v>Patricia Solache (Castilla Y León)</v>
      </c>
    </row>
    <row r="117" spans="2:16">
      <c r="B117" s="6">
        <f ca="1">IFERROR(__xludf.DUMMYFUNCTION("""COMPUTED_VALUE"""),2025)</f>
        <v>2025</v>
      </c>
      <c r="C117" s="6">
        <f ca="1">IFERROR(__xludf.DUMMYFUNCTION("""COMPUTED_VALUE"""),1)</f>
        <v>1</v>
      </c>
      <c r="D117" s="6" t="str">
        <f ca="1">IFERROR(__xludf.DUMMYFUNCTION("""COMPUTED_VALUE"""),"NO")</f>
        <v>NO</v>
      </c>
      <c r="E117" s="6" t="str">
        <f ca="1">IFERROR(__xludf.DUMMYFUNCTION("""COMPUTED_VALUE"""),"Vigo")</f>
        <v>Vigo</v>
      </c>
      <c r="F117" s="16">
        <f ca="1">IFERROR(__xludf.DUMMYFUNCTION("""COMPUTED_VALUE"""),45670)</f>
        <v>45670</v>
      </c>
      <c r="G117" s="16">
        <f ca="1">IFERROR(__xludf.DUMMYFUNCTION("""COMPUTED_VALUE"""),45483)</f>
        <v>45483</v>
      </c>
      <c r="H117" s="6" t="str">
        <f ca="1">IFERROR(__xludf.DUMMYFUNCTION("""COMPUTED_VALUE"""),"Vigo")</f>
        <v>Vigo</v>
      </c>
      <c r="I117" s="6" t="str">
        <f ca="1">IFERROR(__xludf.DUMMYFUNCTION("""COMPUTED_VALUE"""),"VIG-468")</f>
        <v>VIG-468</v>
      </c>
      <c r="J117" s="6" t="str">
        <f ca="1">IFERROR(__xludf.DUMMYFUNCTION("""COMPUTED_VALUE"""),"MARIA PILAR CASTILLO CUBO")</f>
        <v>MARIA PILAR CASTILLO CUBO</v>
      </c>
      <c r="K117" s="6">
        <f ca="1">IFERROR(__xludf.DUMMYFUNCTION("""COMPUTED_VALUE"""),2)</f>
        <v>2</v>
      </c>
      <c r="L117" s="139">
        <f ca="1">IFERROR(__xludf.DUMMYFUNCTION("""COMPUTED_VALUE"""),3545.45)</f>
        <v>3545.45</v>
      </c>
      <c r="M117" s="6" t="str">
        <f ca="1">IFERROR(__xludf.DUMMYFUNCTION("""COMPUTED_VALUE"""),"03 ORL")</f>
        <v>03 ORL</v>
      </c>
      <c r="N117" s="6" t="str">
        <f ca="1">IFERROR(__xludf.DUMMYFUNCTION("""COMPUTED_VALUE"""),"06 ORL")</f>
        <v>06 ORL</v>
      </c>
      <c r="O117" s="6" t="str">
        <f ca="1">IFERROR(__xludf.DUMMYFUNCTION("""COMPUTED_VALUE"""),"Dr, Anselmo Padín Seara")</f>
        <v>Dr, Anselmo Padín Seara</v>
      </c>
      <c r="P117" s="6" t="str">
        <f ca="1">IFERROR(__xludf.DUMMYFUNCTION("""COMPUTED_VALUE"""),"Roberto Pereira (Galicia)")</f>
        <v>Roberto Pereira (Galicia)</v>
      </c>
    </row>
    <row r="118" spans="2:16">
      <c r="B118" s="6">
        <f ca="1">IFERROR(__xludf.DUMMYFUNCTION("""COMPUTED_VALUE"""),2025)</f>
        <v>2025</v>
      </c>
      <c r="C118" s="6">
        <f ca="1">IFERROR(__xludf.DUMMYFUNCTION("""COMPUTED_VALUE"""),1)</f>
        <v>1</v>
      </c>
      <c r="D118" s="6" t="str">
        <f ca="1">IFERROR(__xludf.DUMMYFUNCTION("""COMPUTED_VALUE"""),"NO")</f>
        <v>NO</v>
      </c>
      <c r="E118" s="6" t="str">
        <f ca="1">IFERROR(__xludf.DUMMYFUNCTION("""COMPUTED_VALUE"""),"Cáceres")</f>
        <v>Cáceres</v>
      </c>
      <c r="F118" s="16">
        <f ca="1">IFERROR(__xludf.DUMMYFUNCTION("""COMPUTED_VALUE"""),45672)</f>
        <v>45672</v>
      </c>
      <c r="G118" s="16">
        <f ca="1">IFERROR(__xludf.DUMMYFUNCTION("""COMPUTED_VALUE"""),45610)</f>
        <v>45610</v>
      </c>
      <c r="H118" s="6" t="str">
        <f ca="1">IFERROR(__xludf.DUMMYFUNCTION("""COMPUTED_VALUE"""),"Cáceres")</f>
        <v>Cáceres</v>
      </c>
      <c r="I118" s="6" t="str">
        <f ca="1">IFERROR(__xludf.DUMMYFUNCTION("""COMPUTED_VALUE"""),"CAC-190")</f>
        <v>CAC-190</v>
      </c>
      <c r="J118" s="6" t="str">
        <f ca="1">IFERROR(__xludf.DUMMYFUNCTION("""COMPUTED_VALUE"""),"LUCIANA PUERTO MARTIN")</f>
        <v>LUCIANA PUERTO MARTIN</v>
      </c>
      <c r="K118" s="6">
        <f ca="1">IFERROR(__xludf.DUMMYFUNCTION("""COMPUTED_VALUE"""),2)</f>
        <v>2</v>
      </c>
      <c r="L118" s="139">
        <f ca="1">IFERROR(__xludf.DUMMYFUNCTION("""COMPUTED_VALUE"""),3334.55)</f>
        <v>3334.55</v>
      </c>
      <c r="M118" s="6" t="str">
        <f ca="1">IFERROR(__xludf.DUMMYFUNCTION("""COMPUTED_VALUE"""),"03 ORL")</f>
        <v>03 ORL</v>
      </c>
      <c r="N118" s="6" t="str">
        <f ca="1">IFERROR(__xludf.DUMMYFUNCTION("""COMPUTED_VALUE"""),"06 ORL")</f>
        <v>06 ORL</v>
      </c>
      <c r="O118" s="6" t="str">
        <f ca="1">IFERROR(__xludf.DUMMYFUNCTION("""COMPUTED_VALUE"""),"Dr, Raed Maqued El Maqued")</f>
        <v>Dr, Raed Maqued El Maqued</v>
      </c>
      <c r="P118" s="6" t="str">
        <f ca="1">IFERROR(__xludf.DUMMYFUNCTION("""COMPUTED_VALUE"""),"Lisandro Russian (Madrid, Cáceres, Toledo, Talavera Y Logroño)")</f>
        <v>Lisandro Russian (Madrid, Cáceres, Toledo, Talavera Y Logroño)</v>
      </c>
    </row>
    <row r="119" spans="2:16">
      <c r="B119" s="6">
        <f ca="1">IFERROR(__xludf.DUMMYFUNCTION("""COMPUTED_VALUE"""),2025)</f>
        <v>2025</v>
      </c>
      <c r="C119" s="6">
        <f ca="1">IFERROR(__xludf.DUMMYFUNCTION("""COMPUTED_VALUE"""),1)</f>
        <v>1</v>
      </c>
      <c r="D119" s="6" t="str">
        <f ca="1">IFERROR(__xludf.DUMMYFUNCTION("""COMPUTED_VALUE"""),"NO")</f>
        <v>NO</v>
      </c>
      <c r="E119" s="6" t="str">
        <f ca="1">IFERROR(__xludf.DUMMYFUNCTION("""COMPUTED_VALUE"""),"Salamanca")</f>
        <v>Salamanca</v>
      </c>
      <c r="F119" s="16">
        <f ca="1">IFERROR(__xludf.DUMMYFUNCTION("""COMPUTED_VALUE"""),45672)</f>
        <v>45672</v>
      </c>
      <c r="G119" s="16">
        <f ca="1">IFERROR(__xludf.DUMMYFUNCTION("""COMPUTED_VALUE"""),45600)</f>
        <v>45600</v>
      </c>
      <c r="H119" s="6" t="str">
        <f ca="1">IFERROR(__xludf.DUMMYFUNCTION("""COMPUTED_VALUE"""),"Salamanca")</f>
        <v>Salamanca</v>
      </c>
      <c r="I119" s="6" t="str">
        <f ca="1">IFERROR(__xludf.DUMMYFUNCTION("""COMPUTED_VALUE"""),"SLM-395")</f>
        <v>SLM-395</v>
      </c>
      <c r="J119" s="6" t="str">
        <f ca="1">IFERROR(__xludf.DUMMYFUNCTION("""COMPUTED_VALUE"""),"EUFEMIA SANCHEZ RAMOS")</f>
        <v>EUFEMIA SANCHEZ RAMOS</v>
      </c>
      <c r="K119" s="6">
        <f ca="1">IFERROR(__xludf.DUMMYFUNCTION("""COMPUTED_VALUE"""),2)</f>
        <v>2</v>
      </c>
      <c r="L119" s="139">
        <f ca="1">IFERROR(__xludf.DUMMYFUNCTION("""COMPUTED_VALUE"""),3604.55)</f>
        <v>3604.55</v>
      </c>
      <c r="M119" s="6" t="str">
        <f ca="1">IFERROR(__xludf.DUMMYFUNCTION("""COMPUTED_VALUE"""),"03 ORL")</f>
        <v>03 ORL</v>
      </c>
      <c r="N119" s="6" t="str">
        <f ca="1">IFERROR(__xludf.DUMMYFUNCTION("""COMPUTED_VALUE"""),"06 ORL")</f>
        <v>06 ORL</v>
      </c>
      <c r="O119" s="6" t="str">
        <f ca="1">IFERROR(__xludf.DUMMYFUNCTION("""COMPUTED_VALUE"""),"Dr, María Jesús Cornejo Domínguez")</f>
        <v>Dr, María Jesús Cornejo Domínguez</v>
      </c>
      <c r="P119" s="6" t="str">
        <f ca="1">IFERROR(__xludf.DUMMYFUNCTION("""COMPUTED_VALUE"""),"Patricia Solache (Castilla Y León)")</f>
        <v>Patricia Solache (Castilla Y León)</v>
      </c>
    </row>
    <row r="120" spans="2:16">
      <c r="B120" s="6">
        <f ca="1">IFERROR(__xludf.DUMMYFUNCTION("""COMPUTED_VALUE"""),2025)</f>
        <v>2025</v>
      </c>
      <c r="C120" s="6">
        <f ca="1">IFERROR(__xludf.DUMMYFUNCTION("""COMPUTED_VALUE"""),1)</f>
        <v>1</v>
      </c>
      <c r="D120" s="6" t="str">
        <f ca="1">IFERROR(__xludf.DUMMYFUNCTION("""COMPUTED_VALUE"""),"SI")</f>
        <v>SI</v>
      </c>
      <c r="E120" s="6" t="str">
        <f ca="1">IFERROR(__xludf.DUMMYFUNCTION("""COMPUTED_VALUE"""),"Zaragoza- León XIII")</f>
        <v>Zaragoza- León XIII</v>
      </c>
      <c r="F120" s="16">
        <f ca="1">IFERROR(__xludf.DUMMYFUNCTION("""COMPUTED_VALUE"""),45672)</f>
        <v>45672</v>
      </c>
      <c r="G120" s="16">
        <f ca="1">IFERROR(__xludf.DUMMYFUNCTION("""COMPUTED_VALUE"""),45063)</f>
        <v>45063</v>
      </c>
      <c r="H120" s="6" t="str">
        <f ca="1">IFERROR(__xludf.DUMMYFUNCTION("""COMPUTED_VALUE"""),"Zaragoza")</f>
        <v>Zaragoza</v>
      </c>
      <c r="I120" s="6" t="str">
        <f ca="1">IFERROR(__xludf.DUMMYFUNCTION("""COMPUTED_VALUE"""),"ZRG-79")</f>
        <v>ZRG-79</v>
      </c>
      <c r="J120" s="6" t="str">
        <f ca="1">IFERROR(__xludf.DUMMYFUNCTION("""COMPUTED_VALUE"""),"MONTSERRAT MORANCHO SAUMENCH")</f>
        <v>MONTSERRAT MORANCHO SAUMENCH</v>
      </c>
      <c r="K120" s="6">
        <f ca="1">IFERROR(__xludf.DUMMYFUNCTION("""COMPUTED_VALUE"""),1)</f>
        <v>1</v>
      </c>
      <c r="L120" s="139">
        <f ca="1">IFERROR(__xludf.DUMMYFUNCTION("""COMPUTED_VALUE"""),1818.18)</f>
        <v>1818.18</v>
      </c>
      <c r="M120" s="6" t="str">
        <f ca="1">IFERROR(__xludf.DUMMYFUNCTION("""COMPUTED_VALUE"""),"03 ORL")</f>
        <v>03 ORL</v>
      </c>
      <c r="N120" s="6" t="str">
        <f ca="1">IFERROR(__xludf.DUMMYFUNCTION("""COMPUTED_VALUE"""),"06 ORL")</f>
        <v>06 ORL</v>
      </c>
      <c r="O120" s="6" t="str">
        <f ca="1">IFERROR(__xludf.DUMMYFUNCTION("""COMPUTED_VALUE"""),"Dr, Héctor Vallés Varela")</f>
        <v>Dr, Héctor Vallés Varela</v>
      </c>
      <c r="P120" s="6" t="str">
        <f ca="1">IFERROR(__xludf.DUMMYFUNCTION("""COMPUTED_VALUE"""),"Lisandro Russian (Madrid, Cáceres, Toledo, Talavera Y Logroño)")</f>
        <v>Lisandro Russian (Madrid, Cáceres, Toledo, Talavera Y Logroño)</v>
      </c>
    </row>
    <row r="121" spans="2:16">
      <c r="B121" s="6">
        <f ca="1">IFERROR(__xludf.DUMMYFUNCTION("""COMPUTED_VALUE"""),2025)</f>
        <v>2025</v>
      </c>
      <c r="C121" s="6">
        <f ca="1">IFERROR(__xludf.DUMMYFUNCTION("""COMPUTED_VALUE"""),1)</f>
        <v>1</v>
      </c>
      <c r="D121" s="6" t="str">
        <f ca="1">IFERROR(__xludf.DUMMYFUNCTION("""COMPUTED_VALUE"""),"NO")</f>
        <v>NO</v>
      </c>
      <c r="E121" s="6" t="str">
        <f ca="1">IFERROR(__xludf.DUMMYFUNCTION("""COMPUTED_VALUE"""),"Zaragoza- León XIII")</f>
        <v>Zaragoza- León XIII</v>
      </c>
      <c r="F121" s="16">
        <f ca="1">IFERROR(__xludf.DUMMYFUNCTION("""COMPUTED_VALUE"""),45672)</f>
        <v>45672</v>
      </c>
      <c r="G121" s="16">
        <f ca="1">IFERROR(__xludf.DUMMYFUNCTION("""COMPUTED_VALUE"""),45607)</f>
        <v>45607</v>
      </c>
      <c r="H121" s="6" t="str">
        <f ca="1">IFERROR(__xludf.DUMMYFUNCTION("""COMPUTED_VALUE"""),"Zaragoza")</f>
        <v>Zaragoza</v>
      </c>
      <c r="I121" s="6" t="str">
        <f ca="1">IFERROR(__xludf.DUMMYFUNCTION("""COMPUTED_VALUE"""),"ZRG-504")</f>
        <v>ZRG-504</v>
      </c>
      <c r="J121" s="6" t="str">
        <f ca="1">IFERROR(__xludf.DUMMYFUNCTION("""COMPUTED_VALUE"""),"MOHAMAD HUSSEIN ZOHBI")</f>
        <v>MOHAMAD HUSSEIN ZOHBI</v>
      </c>
      <c r="K121" s="6">
        <f ca="1">IFERROR(__xludf.DUMMYFUNCTION("""COMPUTED_VALUE"""),1)</f>
        <v>1</v>
      </c>
      <c r="L121" s="139">
        <f ca="1">IFERROR(__xludf.DUMMYFUNCTION("""COMPUTED_VALUE"""),1646.36)</f>
        <v>1646.36</v>
      </c>
      <c r="M121" s="6" t="str">
        <f ca="1">IFERROR(__xludf.DUMMYFUNCTION("""COMPUTED_VALUE"""),"03 ORL")</f>
        <v>03 ORL</v>
      </c>
      <c r="N121" s="6" t="str">
        <f ca="1">IFERROR(__xludf.DUMMYFUNCTION("""COMPUTED_VALUE"""),"06 ORL")</f>
        <v>06 ORL</v>
      </c>
      <c r="O121" s="6" t="str">
        <f ca="1">IFERROR(__xludf.DUMMYFUNCTION("""COMPUTED_VALUE"""),"Dr, Pedro Gil Paraíso")</f>
        <v>Dr, Pedro Gil Paraíso</v>
      </c>
      <c r="P121" s="6" t="str">
        <f ca="1">IFERROR(__xludf.DUMMYFUNCTION("""COMPUTED_VALUE"""),"Lisandro Russian (Madrid, Cáceres, Toledo, Talavera Y Logroño)")</f>
        <v>Lisandro Russian (Madrid, Cáceres, Toledo, Talavera Y Logroño)</v>
      </c>
    </row>
    <row r="122" spans="2:16">
      <c r="B122" s="6">
        <f ca="1">IFERROR(__xludf.DUMMYFUNCTION("""COMPUTED_VALUE"""),2025)</f>
        <v>2025</v>
      </c>
      <c r="C122" s="6">
        <f ca="1">IFERROR(__xludf.DUMMYFUNCTION("""COMPUTED_VALUE"""),1)</f>
        <v>1</v>
      </c>
      <c r="D122" s="6" t="str">
        <f ca="1">IFERROR(__xludf.DUMMYFUNCTION("""COMPUTED_VALUE"""),"NO")</f>
        <v>NO</v>
      </c>
      <c r="E122" s="6" t="str">
        <f ca="1">IFERROR(__xludf.DUMMYFUNCTION("""COMPUTED_VALUE"""),"Cáceres")</f>
        <v>Cáceres</v>
      </c>
      <c r="F122" s="16">
        <f ca="1">IFERROR(__xludf.DUMMYFUNCTION("""COMPUTED_VALUE"""),45673)</f>
        <v>45673</v>
      </c>
      <c r="G122" s="16">
        <f ca="1">IFERROR(__xludf.DUMMYFUNCTION("""COMPUTED_VALUE"""),45637)</f>
        <v>45637</v>
      </c>
      <c r="H122" s="6" t="str">
        <f ca="1">IFERROR(__xludf.DUMMYFUNCTION("""COMPUTED_VALUE"""),"Cáceres")</f>
        <v>Cáceres</v>
      </c>
      <c r="I122" s="6" t="str">
        <f ca="1">IFERROR(__xludf.DUMMYFUNCTION("""COMPUTED_VALUE"""),"CAC-208")</f>
        <v>CAC-208</v>
      </c>
      <c r="J122" s="6" t="str">
        <f ca="1">IFERROR(__xludf.DUMMYFUNCTION("""COMPUTED_VALUE"""),"JUANA CORTES MEDINA")</f>
        <v>JUANA CORTES MEDINA</v>
      </c>
      <c r="K122" s="6">
        <f ca="1">IFERROR(__xludf.DUMMYFUNCTION("""COMPUTED_VALUE"""),2)</f>
        <v>2</v>
      </c>
      <c r="L122" s="139">
        <f ca="1">IFERROR(__xludf.DUMMYFUNCTION("""COMPUTED_VALUE"""),3861.82)</f>
        <v>3861.82</v>
      </c>
      <c r="M122" s="6" t="str">
        <f ca="1">IFERROR(__xludf.DUMMYFUNCTION("""COMPUTED_VALUE"""),"03 ORL")</f>
        <v>03 ORL</v>
      </c>
      <c r="N122" s="6" t="str">
        <f ca="1">IFERROR(__xludf.DUMMYFUNCTION("""COMPUTED_VALUE"""),"06 ORL")</f>
        <v>06 ORL</v>
      </c>
      <c r="O122" s="6" t="str">
        <f ca="1">IFERROR(__xludf.DUMMYFUNCTION("""COMPUTED_VALUE"""),"Dr, Manuel Cañete Domínguez")</f>
        <v>Dr, Manuel Cañete Domínguez</v>
      </c>
      <c r="P122" s="6" t="str">
        <f ca="1">IFERROR(__xludf.DUMMYFUNCTION("""COMPUTED_VALUE"""),"Lisandro Russian (Madrid, Cáceres, Toledo, Talavera Y Logroño)")</f>
        <v>Lisandro Russian (Madrid, Cáceres, Toledo, Talavera Y Logroño)</v>
      </c>
    </row>
    <row r="123" spans="2:16">
      <c r="B123" s="6">
        <f ca="1">IFERROR(__xludf.DUMMYFUNCTION("""COMPUTED_VALUE"""),2025)</f>
        <v>2025</v>
      </c>
      <c r="C123" s="6">
        <f ca="1">IFERROR(__xludf.DUMMYFUNCTION("""COMPUTED_VALUE"""),1)</f>
        <v>1</v>
      </c>
      <c r="D123" s="6" t="str">
        <f ca="1">IFERROR(__xludf.DUMMYFUNCTION("""COMPUTED_VALUE"""),"NO")</f>
        <v>NO</v>
      </c>
      <c r="E123" s="6" t="str">
        <f ca="1">IFERROR(__xludf.DUMMYFUNCTION("""COMPUTED_VALUE"""),"León")</f>
        <v>León</v>
      </c>
      <c r="F123" s="16">
        <f ca="1">IFERROR(__xludf.DUMMYFUNCTION("""COMPUTED_VALUE"""),45673)</f>
        <v>45673</v>
      </c>
      <c r="G123" s="16">
        <f ca="1">IFERROR(__xludf.DUMMYFUNCTION("""COMPUTED_VALUE"""),45617)</f>
        <v>45617</v>
      </c>
      <c r="H123" s="6" t="str">
        <f ca="1">IFERROR(__xludf.DUMMYFUNCTION("""COMPUTED_VALUE"""),"León")</f>
        <v>León</v>
      </c>
      <c r="I123" s="6" t="str">
        <f ca="1">IFERROR(__xludf.DUMMYFUNCTION("""COMPUTED_VALUE"""),"LEO-368")</f>
        <v>LEO-368</v>
      </c>
      <c r="J123" s="6" t="str">
        <f ca="1">IFERROR(__xludf.DUMMYFUNCTION("""COMPUTED_VALUE"""),"FRANCISCA GARCIA CUENLLAS")</f>
        <v>FRANCISCA GARCIA CUENLLAS</v>
      </c>
      <c r="K123" s="6">
        <f ca="1">IFERROR(__xludf.DUMMYFUNCTION("""COMPUTED_VALUE"""),2)</f>
        <v>2</v>
      </c>
      <c r="L123" s="139">
        <f ca="1">IFERROR(__xludf.DUMMYFUNCTION("""COMPUTED_VALUE"""),4090.91)</f>
        <v>4090.91</v>
      </c>
      <c r="M123" s="6" t="str">
        <f ca="1">IFERROR(__xludf.DUMMYFUNCTION("""COMPUTED_VALUE"""),"03 ORL")</f>
        <v>03 ORL</v>
      </c>
      <c r="N123" s="6" t="str">
        <f ca="1">IFERROR(__xludf.DUMMYFUNCTION("""COMPUTED_VALUE"""),"06 ORL")</f>
        <v>06 ORL</v>
      </c>
      <c r="O123" s="6" t="str">
        <f ca="1">IFERROR(__xludf.DUMMYFUNCTION("""COMPUTED_VALUE"""),"Dr, Rafael Pérez González")</f>
        <v>Dr, Rafael Pérez González</v>
      </c>
      <c r="P123" s="6" t="str">
        <f ca="1">IFERROR(__xludf.DUMMYFUNCTION("""COMPUTED_VALUE"""),"Patricia Solache (Castilla Y León)")</f>
        <v>Patricia Solache (Castilla Y León)</v>
      </c>
    </row>
    <row r="124" spans="2:16">
      <c r="B124" s="6">
        <f ca="1">IFERROR(__xludf.DUMMYFUNCTION("""COMPUTED_VALUE"""),2025)</f>
        <v>2025</v>
      </c>
      <c r="C124" s="6">
        <f ca="1">IFERROR(__xludf.DUMMYFUNCTION("""COMPUTED_VALUE"""),1)</f>
        <v>1</v>
      </c>
      <c r="D124" s="6" t="str">
        <f ca="1">IFERROR(__xludf.DUMMYFUNCTION("""COMPUTED_VALUE"""),"NO")</f>
        <v>NO</v>
      </c>
      <c r="E124" s="6" t="str">
        <f ca="1">IFERROR(__xludf.DUMMYFUNCTION("""COMPUTED_VALUE"""),"Salamanca")</f>
        <v>Salamanca</v>
      </c>
      <c r="F124" s="16">
        <f ca="1">IFERROR(__xludf.DUMMYFUNCTION("""COMPUTED_VALUE"""),45673)</f>
        <v>45673</v>
      </c>
      <c r="G124" s="16">
        <f ca="1">IFERROR(__xludf.DUMMYFUNCTION("""COMPUTED_VALUE"""),45621)</f>
        <v>45621</v>
      </c>
      <c r="H124" s="6" t="str">
        <f ca="1">IFERROR(__xludf.DUMMYFUNCTION("""COMPUTED_VALUE"""),"Salamanca")</f>
        <v>Salamanca</v>
      </c>
      <c r="I124" s="6" t="str">
        <f ca="1">IFERROR(__xludf.DUMMYFUNCTION("""COMPUTED_VALUE"""),"SLM-407")</f>
        <v>SLM-407</v>
      </c>
      <c r="J124" s="6" t="str">
        <f ca="1">IFERROR(__xludf.DUMMYFUNCTION("""COMPUTED_VALUE"""),"MARIA IGNACIA GARCIA LOPEZ")</f>
        <v>MARIA IGNACIA GARCIA LOPEZ</v>
      </c>
      <c r="K124" s="6">
        <f ca="1">IFERROR(__xludf.DUMMYFUNCTION("""COMPUTED_VALUE"""),2)</f>
        <v>2</v>
      </c>
      <c r="L124" s="139">
        <f ca="1">IFERROR(__xludf.DUMMYFUNCTION("""COMPUTED_VALUE"""),3604.55)</f>
        <v>3604.55</v>
      </c>
      <c r="M124" s="6" t="str">
        <f ca="1">IFERROR(__xludf.DUMMYFUNCTION("""COMPUTED_VALUE"""),"03 ORL")</f>
        <v>03 ORL</v>
      </c>
      <c r="N124" s="6" t="str">
        <f ca="1">IFERROR(__xludf.DUMMYFUNCTION("""COMPUTED_VALUE"""),"06 ORL")</f>
        <v>06 ORL</v>
      </c>
      <c r="O124" s="6" t="str">
        <f ca="1">IFERROR(__xludf.DUMMYFUNCTION("""COMPUTED_VALUE"""),"Dr, Ángel Muñoz Herrera")</f>
        <v>Dr, Ángel Muñoz Herrera</v>
      </c>
      <c r="P124" s="6" t="str">
        <f ca="1">IFERROR(__xludf.DUMMYFUNCTION("""COMPUTED_VALUE"""),"Patricia Solache (Castilla Y León)")</f>
        <v>Patricia Solache (Castilla Y León)</v>
      </c>
    </row>
    <row r="125" spans="2:16">
      <c r="B125" s="6">
        <f ca="1">IFERROR(__xludf.DUMMYFUNCTION("""COMPUTED_VALUE"""),2025)</f>
        <v>2025</v>
      </c>
      <c r="C125" s="6">
        <f ca="1">IFERROR(__xludf.DUMMYFUNCTION("""COMPUTED_VALUE"""),1)</f>
        <v>1</v>
      </c>
      <c r="D125" s="6" t="str">
        <f ca="1">IFERROR(__xludf.DUMMYFUNCTION("""COMPUTED_VALUE"""),"NO")</f>
        <v>NO</v>
      </c>
      <c r="E125" s="6" t="str">
        <f ca="1">IFERROR(__xludf.DUMMYFUNCTION("""COMPUTED_VALUE"""),"Vigo")</f>
        <v>Vigo</v>
      </c>
      <c r="F125" s="16">
        <f ca="1">IFERROR(__xludf.DUMMYFUNCTION("""COMPUTED_VALUE"""),45677)</f>
        <v>45677</v>
      </c>
      <c r="G125" s="16">
        <f ca="1">IFERROR(__xludf.DUMMYFUNCTION("""COMPUTED_VALUE"""),45656)</f>
        <v>45656</v>
      </c>
      <c r="H125" s="6" t="str">
        <f ca="1">IFERROR(__xludf.DUMMYFUNCTION("""COMPUTED_VALUE"""),"Vigo")</f>
        <v>Vigo</v>
      </c>
      <c r="I125" s="6" t="str">
        <f ca="1">IFERROR(__xludf.DUMMYFUNCTION("""COMPUTED_VALUE"""),"VIG-526")</f>
        <v>VIG-526</v>
      </c>
      <c r="J125" s="6" t="str">
        <f ca="1">IFERROR(__xludf.DUMMYFUNCTION("""COMPUTED_VALUE"""),"XOXE ANXO LORES LAGO")</f>
        <v>XOXE ANXO LORES LAGO</v>
      </c>
      <c r="K125" s="6">
        <f ca="1">IFERROR(__xludf.DUMMYFUNCTION("""COMPUTED_VALUE"""),1)</f>
        <v>1</v>
      </c>
      <c r="L125" s="139">
        <f ca="1">IFERROR(__xludf.DUMMYFUNCTION("""COMPUTED_VALUE"""),1818.18)</f>
        <v>1818.18</v>
      </c>
      <c r="M125" s="6" t="str">
        <f ca="1">IFERROR(__xludf.DUMMYFUNCTION("""COMPUTED_VALUE"""),"03 ORL")</f>
        <v>03 ORL</v>
      </c>
      <c r="N125" s="6" t="str">
        <f ca="1">IFERROR(__xludf.DUMMYFUNCTION("""COMPUTED_VALUE"""),"06 ORL")</f>
        <v>06 ORL</v>
      </c>
      <c r="O125" s="6" t="str">
        <f ca="1">IFERROR(__xludf.DUMMYFUNCTION("""COMPUTED_VALUE"""),"Dra, Adela Pérez-Caro Ríos")</f>
        <v>Dra, Adela Pérez-Caro Ríos</v>
      </c>
      <c r="P125" s="6" t="str">
        <f ca="1">IFERROR(__xludf.DUMMYFUNCTION("""COMPUTED_VALUE"""),"Roberto Pereira (Galicia)")</f>
        <v>Roberto Pereira (Galicia)</v>
      </c>
    </row>
    <row r="126" spans="2:16">
      <c r="B126" s="6">
        <f ca="1">IFERROR(__xludf.DUMMYFUNCTION("""COMPUTED_VALUE"""),2025)</f>
        <v>2025</v>
      </c>
      <c r="C126" s="6">
        <f ca="1">IFERROR(__xludf.DUMMYFUNCTION("""COMPUTED_VALUE"""),1)</f>
        <v>1</v>
      </c>
      <c r="D126" s="6" t="str">
        <f ca="1">IFERROR(__xludf.DUMMYFUNCTION("""COMPUTED_VALUE"""),"NO")</f>
        <v>NO</v>
      </c>
      <c r="E126" s="6" t="str">
        <f ca="1">IFERROR(__xludf.DUMMYFUNCTION("""COMPUTED_VALUE"""),"Cáceres")</f>
        <v>Cáceres</v>
      </c>
      <c r="F126" s="16">
        <f ca="1">IFERROR(__xludf.DUMMYFUNCTION("""COMPUTED_VALUE"""),45678)</f>
        <v>45678</v>
      </c>
      <c r="G126" s="16">
        <f ca="1">IFERROR(__xludf.DUMMYFUNCTION("""COMPUTED_VALUE"""),45643)</f>
        <v>45643</v>
      </c>
      <c r="H126" s="6" t="str">
        <f ca="1">IFERROR(__xludf.DUMMYFUNCTION("""COMPUTED_VALUE"""),"Cáceres")</f>
        <v>Cáceres</v>
      </c>
      <c r="I126" s="6" t="str">
        <f ca="1">IFERROR(__xludf.DUMMYFUNCTION("""COMPUTED_VALUE"""),"CAC-213")</f>
        <v>CAC-213</v>
      </c>
      <c r="J126" s="6" t="str">
        <f ca="1">IFERROR(__xludf.DUMMYFUNCTION("""COMPUTED_VALUE"""),"LORENZO GARRIDO GUTIERREZ")</f>
        <v>LORENZO GARRIDO GUTIERREZ</v>
      </c>
      <c r="K126" s="6">
        <f ca="1">IFERROR(__xludf.DUMMYFUNCTION("""COMPUTED_VALUE"""),2)</f>
        <v>2</v>
      </c>
      <c r="L126" s="139">
        <f ca="1">IFERROR(__xludf.DUMMYFUNCTION("""COMPUTED_VALUE"""),4090.91)</f>
        <v>4090.91</v>
      </c>
      <c r="M126" s="6" t="str">
        <f ca="1">IFERROR(__xludf.DUMMYFUNCTION("""COMPUTED_VALUE"""),"03 ORL")</f>
        <v>03 ORL</v>
      </c>
      <c r="N126" s="6" t="str">
        <f ca="1">IFERROR(__xludf.DUMMYFUNCTION("""COMPUTED_VALUE"""),"06 ORL")</f>
        <v>06 ORL</v>
      </c>
      <c r="O126" s="6" t="str">
        <f ca="1">IFERROR(__xludf.DUMMYFUNCTION("""COMPUTED_VALUE"""),"Dr, Javier García Gómez")</f>
        <v>Dr, Javier García Gómez</v>
      </c>
      <c r="P126" s="6" t="str">
        <f ca="1">IFERROR(__xludf.DUMMYFUNCTION("""COMPUTED_VALUE"""),"Lisandro Russian (Madrid, Cáceres, Toledo, Talavera Y Logroño)")</f>
        <v>Lisandro Russian (Madrid, Cáceres, Toledo, Talavera Y Logroño)</v>
      </c>
    </row>
    <row r="127" spans="2:16">
      <c r="B127" s="6">
        <f ca="1">IFERROR(__xludf.DUMMYFUNCTION("""COMPUTED_VALUE"""),2025)</f>
        <v>2025</v>
      </c>
      <c r="C127" s="6">
        <f ca="1">IFERROR(__xludf.DUMMYFUNCTION("""COMPUTED_VALUE"""),1)</f>
        <v>1</v>
      </c>
      <c r="D127" s="6" t="str">
        <f ca="1">IFERROR(__xludf.DUMMYFUNCTION("""COMPUTED_VALUE"""),"NO")</f>
        <v>NO</v>
      </c>
      <c r="E127" s="6" t="str">
        <f ca="1">IFERROR(__xludf.DUMMYFUNCTION("""COMPUTED_VALUE"""),"Zaragoza- León XIII")</f>
        <v>Zaragoza- León XIII</v>
      </c>
      <c r="F127" s="16">
        <f ca="1">IFERROR(__xludf.DUMMYFUNCTION("""COMPUTED_VALUE"""),45678)</f>
        <v>45678</v>
      </c>
      <c r="G127" s="16">
        <f ca="1">IFERROR(__xludf.DUMMYFUNCTION("""COMPUTED_VALUE"""),45630)</f>
        <v>45630</v>
      </c>
      <c r="H127" s="6" t="str">
        <f ca="1">IFERROR(__xludf.DUMMYFUNCTION("""COMPUTED_VALUE"""),"Zaragoza")</f>
        <v>Zaragoza</v>
      </c>
      <c r="I127" s="6" t="str">
        <f ca="1">IFERROR(__xludf.DUMMYFUNCTION("""COMPUTED_VALUE"""),"ZRG-532")</f>
        <v>ZRG-532</v>
      </c>
      <c r="J127" s="6" t="str">
        <f ca="1">IFERROR(__xludf.DUMMYFUNCTION("""COMPUTED_VALUE"""),"RAQUEL MARTINEZ RUIZ")</f>
        <v>RAQUEL MARTINEZ RUIZ</v>
      </c>
      <c r="K127" s="6">
        <f ca="1">IFERROR(__xludf.DUMMYFUNCTION("""COMPUTED_VALUE"""),2)</f>
        <v>2</v>
      </c>
      <c r="L127" s="139">
        <f ca="1">IFERROR(__xludf.DUMMYFUNCTION("""COMPUTED_VALUE"""),3424.55)</f>
        <v>3424.55</v>
      </c>
      <c r="M127" s="6" t="str">
        <f ca="1">IFERROR(__xludf.DUMMYFUNCTION("""COMPUTED_VALUE"""),"03 ORL")</f>
        <v>03 ORL</v>
      </c>
      <c r="N127" s="6" t="str">
        <f ca="1">IFERROR(__xludf.DUMMYFUNCTION("""COMPUTED_VALUE"""),"06 ORL")</f>
        <v>06 ORL</v>
      </c>
      <c r="O127" s="6" t="str">
        <f ca="1">IFERROR(__xludf.DUMMYFUNCTION("""COMPUTED_VALUE"""),"Dr, José Manuel García Solans-Esteras")</f>
        <v>Dr, José Manuel García Solans-Esteras</v>
      </c>
      <c r="P127" s="6" t="str">
        <f ca="1">IFERROR(__xludf.DUMMYFUNCTION("""COMPUTED_VALUE"""),"Lisandro Russian (Madrid, Cáceres, Toledo, Talavera Y Logroño)")</f>
        <v>Lisandro Russian (Madrid, Cáceres, Toledo, Talavera Y Logroño)</v>
      </c>
    </row>
    <row r="128" spans="2:16">
      <c r="B128" s="6">
        <f ca="1">IFERROR(__xludf.DUMMYFUNCTION("""COMPUTED_VALUE"""),2025)</f>
        <v>2025</v>
      </c>
      <c r="C128" s="6">
        <f ca="1">IFERROR(__xludf.DUMMYFUNCTION("""COMPUTED_VALUE"""),1)</f>
        <v>1</v>
      </c>
      <c r="D128" s="6" t="str">
        <f ca="1">IFERROR(__xludf.DUMMYFUNCTION("""COMPUTED_VALUE"""),"NO")</f>
        <v>NO</v>
      </c>
      <c r="E128" s="6" t="str">
        <f ca="1">IFERROR(__xludf.DUMMYFUNCTION("""COMPUTED_VALUE"""),"Vigo")</f>
        <v>Vigo</v>
      </c>
      <c r="F128" s="16">
        <f ca="1">IFERROR(__xludf.DUMMYFUNCTION("""COMPUTED_VALUE"""),45679)</f>
        <v>45679</v>
      </c>
      <c r="G128" s="16">
        <f ca="1">IFERROR(__xludf.DUMMYFUNCTION("""COMPUTED_VALUE"""),45637)</f>
        <v>45637</v>
      </c>
      <c r="H128" s="6" t="str">
        <f ca="1">IFERROR(__xludf.DUMMYFUNCTION("""COMPUTED_VALUE"""),"Vigo")</f>
        <v>Vigo</v>
      </c>
      <c r="I128" s="6" t="str">
        <f ca="1">IFERROR(__xludf.DUMMYFUNCTION("""COMPUTED_VALUE"""),"VIG-520")</f>
        <v>VIG-520</v>
      </c>
      <c r="J128" s="6" t="str">
        <f ca="1">IFERROR(__xludf.DUMMYFUNCTION("""COMPUTED_VALUE"""),"NURIA SANCHEZ EIJO")</f>
        <v>NURIA SANCHEZ EIJO</v>
      </c>
      <c r="K128" s="6">
        <f ca="1">IFERROR(__xludf.DUMMYFUNCTION("""COMPUTED_VALUE"""),2)</f>
        <v>2</v>
      </c>
      <c r="L128" s="139">
        <f ca="1">IFERROR(__xludf.DUMMYFUNCTION("""COMPUTED_VALUE"""),3454.55)</f>
        <v>3454.55</v>
      </c>
      <c r="M128" s="6" t="str">
        <f ca="1">IFERROR(__xludf.DUMMYFUNCTION("""COMPUTED_VALUE"""),"03 ORL")</f>
        <v>03 ORL</v>
      </c>
      <c r="N128" s="6" t="str">
        <f ca="1">IFERROR(__xludf.DUMMYFUNCTION("""COMPUTED_VALUE"""),"06 ORL")</f>
        <v>06 ORL</v>
      </c>
      <c r="O128" s="6" t="str">
        <f ca="1">IFERROR(__xludf.DUMMYFUNCTION("""COMPUTED_VALUE"""),"Dra, Isabel Miranda García")</f>
        <v>Dra, Isabel Miranda García</v>
      </c>
      <c r="P128" s="6" t="str">
        <f ca="1">IFERROR(__xludf.DUMMYFUNCTION("""COMPUTED_VALUE"""),"Roberto Pereira (Galicia)")</f>
        <v>Roberto Pereira (Galicia)</v>
      </c>
    </row>
    <row r="129" spans="2:16">
      <c r="B129" s="6">
        <f ca="1">IFERROR(__xludf.DUMMYFUNCTION("""COMPUTED_VALUE"""),2025)</f>
        <v>2025</v>
      </c>
      <c r="C129" s="6">
        <f ca="1">IFERROR(__xludf.DUMMYFUNCTION("""COMPUTED_VALUE"""),1)</f>
        <v>1</v>
      </c>
      <c r="D129" s="6" t="str">
        <f ca="1">IFERROR(__xludf.DUMMYFUNCTION("""COMPUTED_VALUE"""),"SI")</f>
        <v>SI</v>
      </c>
      <c r="E129" s="6" t="str">
        <f ca="1">IFERROR(__xludf.DUMMYFUNCTION("""COMPUTED_VALUE"""),"Cáceres")</f>
        <v>Cáceres</v>
      </c>
      <c r="F129" s="16">
        <f ca="1">IFERROR(__xludf.DUMMYFUNCTION("""COMPUTED_VALUE"""),45680)</f>
        <v>45680</v>
      </c>
      <c r="G129" s="16">
        <f ca="1">IFERROR(__xludf.DUMMYFUNCTION("""COMPUTED_VALUE"""),45607)</f>
        <v>45607</v>
      </c>
      <c r="H129" s="6" t="str">
        <f ca="1">IFERROR(__xludf.DUMMYFUNCTION("""COMPUTED_VALUE"""),"Cáceres")</f>
        <v>Cáceres</v>
      </c>
      <c r="I129" s="6" t="str">
        <f ca="1">IFERROR(__xludf.DUMMYFUNCTION("""COMPUTED_VALUE"""),"CAC-186")</f>
        <v>CAC-186</v>
      </c>
      <c r="J129" s="6" t="str">
        <f ca="1">IFERROR(__xludf.DUMMYFUNCTION("""COMPUTED_VALUE"""),"GUADALUPE RUBIO ROS")</f>
        <v>GUADALUPE RUBIO ROS</v>
      </c>
      <c r="K129" s="6">
        <f ca="1">IFERROR(__xludf.DUMMYFUNCTION("""COMPUTED_VALUE"""),1)</f>
        <v>1</v>
      </c>
      <c r="L129" s="139">
        <f ca="1">IFERROR(__xludf.DUMMYFUNCTION("""COMPUTED_VALUE"""),1186.36)</f>
        <v>1186.3599999999999</v>
      </c>
      <c r="M129" s="6" t="str">
        <f ca="1">IFERROR(__xludf.DUMMYFUNCTION("""COMPUTED_VALUE"""),"03 ORL")</f>
        <v>03 ORL</v>
      </c>
      <c r="N129" s="6" t="str">
        <f ca="1">IFERROR(__xludf.DUMMYFUNCTION("""COMPUTED_VALUE"""),"06 ORL")</f>
        <v>06 ORL</v>
      </c>
      <c r="O129" s="6" t="str">
        <f ca="1">IFERROR(__xludf.DUMMYFUNCTION("""COMPUTED_VALUE"""),"Dra, Daniela Carolina Laguado Bulgheroni")</f>
        <v>Dra, Daniela Carolina Laguado Bulgheroni</v>
      </c>
      <c r="P129" s="6" t="str">
        <f ca="1">IFERROR(__xludf.DUMMYFUNCTION("""COMPUTED_VALUE"""),"Lisandro Russian (Madrid, Cáceres, Toledo, Talavera Y Logroño)")</f>
        <v>Lisandro Russian (Madrid, Cáceres, Toledo, Talavera Y Logroño)</v>
      </c>
    </row>
    <row r="130" spans="2:16">
      <c r="B130" s="6">
        <f ca="1">IFERROR(__xludf.DUMMYFUNCTION("""COMPUTED_VALUE"""),2025)</f>
        <v>2025</v>
      </c>
      <c r="C130" s="6">
        <f ca="1">IFERROR(__xludf.DUMMYFUNCTION("""COMPUTED_VALUE"""),1)</f>
        <v>1</v>
      </c>
      <c r="D130" s="6" t="str">
        <f ca="1">IFERROR(__xludf.DUMMYFUNCTION("""COMPUTED_VALUE"""),"NO")</f>
        <v>NO</v>
      </c>
      <c r="E130" s="6" t="str">
        <f ca="1">IFERROR(__xludf.DUMMYFUNCTION("""COMPUTED_VALUE"""),"Salamanca")</f>
        <v>Salamanca</v>
      </c>
      <c r="F130" s="16">
        <f ca="1">IFERROR(__xludf.DUMMYFUNCTION("""COMPUTED_VALUE"""),45680)</f>
        <v>45680</v>
      </c>
      <c r="G130" s="16">
        <f ca="1">IFERROR(__xludf.DUMMYFUNCTION("""COMPUTED_VALUE"""),45629)</f>
        <v>45629</v>
      </c>
      <c r="H130" s="6" t="str">
        <f ca="1">IFERROR(__xludf.DUMMYFUNCTION("""COMPUTED_VALUE"""),"Salamanca")</f>
        <v>Salamanca</v>
      </c>
      <c r="I130" s="6" t="str">
        <f ca="1">IFERROR(__xludf.DUMMYFUNCTION("""COMPUTED_VALUE"""),"SLM-415")</f>
        <v>SLM-415</v>
      </c>
      <c r="J130" s="6" t="str">
        <f ca="1">IFERROR(__xludf.DUMMYFUNCTION("""COMPUTED_VALUE"""),"FERNANDO SANCHEZ SANCHEZ")</f>
        <v>FERNANDO SANCHEZ SANCHEZ</v>
      </c>
      <c r="K130" s="6">
        <f ca="1">IFERROR(__xludf.DUMMYFUNCTION("""COMPUTED_VALUE"""),2)</f>
        <v>2</v>
      </c>
      <c r="L130" s="139">
        <f ca="1">IFERROR(__xludf.DUMMYFUNCTION("""COMPUTED_VALUE"""),3604.55)</f>
        <v>3604.55</v>
      </c>
      <c r="M130" s="6" t="str">
        <f ca="1">IFERROR(__xludf.DUMMYFUNCTION("""COMPUTED_VALUE"""),"03 ORL")</f>
        <v>03 ORL</v>
      </c>
      <c r="N130" s="6" t="str">
        <f ca="1">IFERROR(__xludf.DUMMYFUNCTION("""COMPUTED_VALUE"""),"06 ORL")</f>
        <v>06 ORL</v>
      </c>
      <c r="O130" s="6" t="str">
        <f ca="1">IFERROR(__xludf.DUMMYFUNCTION("""COMPUTED_VALUE"""),"Dr, María Jesús Cornejo Domínguez")</f>
        <v>Dr, María Jesús Cornejo Domínguez</v>
      </c>
      <c r="P130" s="6" t="str">
        <f ca="1">IFERROR(__xludf.DUMMYFUNCTION("""COMPUTED_VALUE"""),"Patricia Solache (Castilla Y León)")</f>
        <v>Patricia Solache (Castilla Y León)</v>
      </c>
    </row>
    <row r="131" spans="2:16">
      <c r="B131" s="6">
        <f ca="1">IFERROR(__xludf.DUMMYFUNCTION("""COMPUTED_VALUE"""),2025)</f>
        <v>2025</v>
      </c>
      <c r="C131" s="6">
        <f ca="1">IFERROR(__xludf.DUMMYFUNCTION("""COMPUTED_VALUE"""),1)</f>
        <v>1</v>
      </c>
      <c r="D131" s="6" t="str">
        <f ca="1">IFERROR(__xludf.DUMMYFUNCTION("""COMPUTED_VALUE"""),"NO")</f>
        <v>NO</v>
      </c>
      <c r="E131" s="6" t="str">
        <f ca="1">IFERROR(__xludf.DUMMYFUNCTION("""COMPUTED_VALUE"""),"Salamanca")</f>
        <v>Salamanca</v>
      </c>
      <c r="F131" s="16">
        <f ca="1">IFERROR(__xludf.DUMMYFUNCTION("""COMPUTED_VALUE"""),45680)</f>
        <v>45680</v>
      </c>
      <c r="G131" s="16">
        <f ca="1">IFERROR(__xludf.DUMMYFUNCTION("""COMPUTED_VALUE"""),45631)</f>
        <v>45631</v>
      </c>
      <c r="H131" s="6" t="str">
        <f ca="1">IFERROR(__xludf.DUMMYFUNCTION("""COMPUTED_VALUE"""),"Salamanca")</f>
        <v>Salamanca</v>
      </c>
      <c r="I131" s="6" t="str">
        <f ca="1">IFERROR(__xludf.DUMMYFUNCTION("""COMPUTED_VALUE"""),"SLM-418")</f>
        <v>SLM-418</v>
      </c>
      <c r="J131" s="6" t="str">
        <f ca="1">IFERROR(__xludf.DUMMYFUNCTION("""COMPUTED_VALUE"""),"ELISA OLIVA MATEOS")</f>
        <v>ELISA OLIVA MATEOS</v>
      </c>
      <c r="K131" s="6">
        <f ca="1">IFERROR(__xludf.DUMMYFUNCTION("""COMPUTED_VALUE"""),1)</f>
        <v>1</v>
      </c>
      <c r="L131" s="139">
        <f ca="1">IFERROR(__xludf.DUMMYFUNCTION("""COMPUTED_VALUE"""),2162.73)</f>
        <v>2162.73</v>
      </c>
      <c r="M131" s="6" t="str">
        <f ca="1">IFERROR(__xludf.DUMMYFUNCTION("""COMPUTED_VALUE"""),"03 ORL")</f>
        <v>03 ORL</v>
      </c>
      <c r="N131" s="6" t="str">
        <f ca="1">IFERROR(__xludf.DUMMYFUNCTION("""COMPUTED_VALUE"""),"06 ORL")</f>
        <v>06 ORL</v>
      </c>
      <c r="O131" s="6" t="str">
        <f ca="1">IFERROR(__xludf.DUMMYFUNCTION("""COMPUTED_VALUE"""),"Dr, María Jesús Cornejo Domínguez")</f>
        <v>Dr, María Jesús Cornejo Domínguez</v>
      </c>
      <c r="P131" s="6" t="str">
        <f ca="1">IFERROR(__xludf.DUMMYFUNCTION("""COMPUTED_VALUE"""),"Patricia Solache (Castilla Y León)")</f>
        <v>Patricia Solache (Castilla Y León)</v>
      </c>
    </row>
    <row r="132" spans="2:16">
      <c r="B132" s="6">
        <f ca="1">IFERROR(__xludf.DUMMYFUNCTION("""COMPUTED_VALUE"""),2025)</f>
        <v>2025</v>
      </c>
      <c r="C132" s="6">
        <f ca="1">IFERROR(__xludf.DUMMYFUNCTION("""COMPUTED_VALUE"""),1)</f>
        <v>1</v>
      </c>
      <c r="D132" s="6" t="str">
        <f ca="1">IFERROR(__xludf.DUMMYFUNCTION("""COMPUTED_VALUE"""),"NO")</f>
        <v>NO</v>
      </c>
      <c r="E132" s="6" t="str">
        <f ca="1">IFERROR(__xludf.DUMMYFUNCTION("""COMPUTED_VALUE"""),"Salamanca")</f>
        <v>Salamanca</v>
      </c>
      <c r="F132" s="16">
        <f ca="1">IFERROR(__xludf.DUMMYFUNCTION("""COMPUTED_VALUE"""),45681)</f>
        <v>45681</v>
      </c>
      <c r="G132" s="16">
        <f ca="1">IFERROR(__xludf.DUMMYFUNCTION("""COMPUTED_VALUE"""),45315)</f>
        <v>45315</v>
      </c>
      <c r="H132" s="6" t="str">
        <f ca="1">IFERROR(__xludf.DUMMYFUNCTION("""COMPUTED_VALUE"""),"Salamanca")</f>
        <v>Salamanca</v>
      </c>
      <c r="I132" s="6" t="str">
        <f ca="1">IFERROR(__xludf.DUMMYFUNCTION("""COMPUTED_VALUE"""),"SLM-202")</f>
        <v>SLM-202</v>
      </c>
      <c r="J132" s="6" t="str">
        <f ca="1">IFERROR(__xludf.DUMMYFUNCTION("""COMPUTED_VALUE"""),"ESPERANZA GALVIS RODRIGUEZ")</f>
        <v>ESPERANZA GALVIS RODRIGUEZ</v>
      </c>
      <c r="K132" s="6">
        <f ca="1">IFERROR(__xludf.DUMMYFUNCTION("""COMPUTED_VALUE"""),2)</f>
        <v>2</v>
      </c>
      <c r="L132" s="139">
        <f ca="1">IFERROR(__xludf.DUMMYFUNCTION("""COMPUTED_VALUE"""),2545.45)</f>
        <v>2545.4499999999998</v>
      </c>
      <c r="M132" s="6" t="str">
        <f ca="1">IFERROR(__xludf.DUMMYFUNCTION("""COMPUTED_VALUE"""),"03 ORL")</f>
        <v>03 ORL</v>
      </c>
      <c r="N132" s="6" t="str">
        <f ca="1">IFERROR(__xludf.DUMMYFUNCTION("""COMPUTED_VALUE"""),"06 ORL")</f>
        <v>06 ORL</v>
      </c>
      <c r="O132" s="6" t="str">
        <f ca="1">IFERROR(__xludf.DUMMYFUNCTION("""COMPUTED_VALUE"""),"Dr, Jose Antonio Sancipriano Hernández")</f>
        <v>Dr, Jose Antonio Sancipriano Hernández</v>
      </c>
      <c r="P132" s="6" t="str">
        <f ca="1">IFERROR(__xludf.DUMMYFUNCTION("""COMPUTED_VALUE"""),"Patricia Solache (Castilla Y León)")</f>
        <v>Patricia Solache (Castilla Y León)</v>
      </c>
    </row>
    <row r="133" spans="2:16">
      <c r="B133" s="6">
        <f ca="1">IFERROR(__xludf.DUMMYFUNCTION("""COMPUTED_VALUE"""),2025)</f>
        <v>2025</v>
      </c>
      <c r="C133" s="6">
        <f ca="1">IFERROR(__xludf.DUMMYFUNCTION("""COMPUTED_VALUE"""),1)</f>
        <v>1</v>
      </c>
      <c r="D133" s="6" t="str">
        <f ca="1">IFERROR(__xludf.DUMMYFUNCTION("""COMPUTED_VALUE"""),"SI")</f>
        <v>SI</v>
      </c>
      <c r="E133" s="6" t="str">
        <f ca="1">IFERROR(__xludf.DUMMYFUNCTION("""COMPUTED_VALUE"""),"Cáceres")</f>
        <v>Cáceres</v>
      </c>
      <c r="F133" s="16">
        <f ca="1">IFERROR(__xludf.DUMMYFUNCTION("""COMPUTED_VALUE"""),45682)</f>
        <v>45682</v>
      </c>
      <c r="G133" s="16">
        <f ca="1">IFERROR(__xludf.DUMMYFUNCTION("""COMPUTED_VALUE"""),45279)</f>
        <v>45279</v>
      </c>
      <c r="H133" s="6" t="str">
        <f ca="1">IFERROR(__xludf.DUMMYFUNCTION("""COMPUTED_VALUE"""),"Cáceres")</f>
        <v>Cáceres</v>
      </c>
      <c r="I133" s="6" t="str">
        <f ca="1">IFERROR(__xludf.DUMMYFUNCTION("""COMPUTED_VALUE"""),"CAC-3")</f>
        <v>CAC-3</v>
      </c>
      <c r="J133" s="6" t="str">
        <f ca="1">IFERROR(__xludf.DUMMYFUNCTION("""COMPUTED_VALUE"""),"JOSE MARIA GALAN REBOLLO")</f>
        <v>JOSE MARIA GALAN REBOLLO</v>
      </c>
      <c r="K133" s="6">
        <f ca="1">IFERROR(__xludf.DUMMYFUNCTION("""COMPUTED_VALUE"""),1)</f>
        <v>1</v>
      </c>
      <c r="L133" s="139">
        <f ca="1">IFERROR(__xludf.DUMMYFUNCTION("""COMPUTED_VALUE"""),1359.55)</f>
        <v>1359.55</v>
      </c>
      <c r="M133" s="6" t="str">
        <f ca="1">IFERROR(__xludf.DUMMYFUNCTION("""COMPUTED_VALUE"""),"03 ORL")</f>
        <v>03 ORL</v>
      </c>
      <c r="N133" s="6" t="str">
        <f ca="1">IFERROR(__xludf.DUMMYFUNCTION("""COMPUTED_VALUE"""),"06 ORL")</f>
        <v>06 ORL</v>
      </c>
      <c r="O133" s="6" t="str">
        <f ca="1">IFERROR(__xludf.DUMMYFUNCTION("""COMPUTED_VALUE"""),"Dr, Manuel Cañete Domínguez")</f>
        <v>Dr, Manuel Cañete Domínguez</v>
      </c>
      <c r="P133" s="6" t="str">
        <f ca="1">IFERROR(__xludf.DUMMYFUNCTION("""COMPUTED_VALUE"""),"Lisandro Russian (Madrid, Cáceres, Toledo, Talavera Y Logroño)")</f>
        <v>Lisandro Russian (Madrid, Cáceres, Toledo, Talavera Y Logroño)</v>
      </c>
    </row>
    <row r="134" spans="2:16">
      <c r="B134" s="6">
        <f ca="1">IFERROR(__xludf.DUMMYFUNCTION("""COMPUTED_VALUE"""),2025)</f>
        <v>2025</v>
      </c>
      <c r="C134" s="6">
        <f ca="1">IFERROR(__xludf.DUMMYFUNCTION("""COMPUTED_VALUE"""),1)</f>
        <v>1</v>
      </c>
      <c r="D134" s="6" t="str">
        <f ca="1">IFERROR(__xludf.DUMMYFUNCTION("""COMPUTED_VALUE"""),"NO")</f>
        <v>NO</v>
      </c>
      <c r="E134" s="6" t="str">
        <f ca="1">IFERROR(__xludf.DUMMYFUNCTION("""COMPUTED_VALUE"""),"Badajoz")</f>
        <v>Badajoz</v>
      </c>
      <c r="F134" s="16">
        <f ca="1">IFERROR(__xludf.DUMMYFUNCTION("""COMPUTED_VALUE"""),45684)</f>
        <v>45684</v>
      </c>
      <c r="G134" s="16">
        <f ca="1">IFERROR(__xludf.DUMMYFUNCTION("""COMPUTED_VALUE"""),45637)</f>
        <v>45637</v>
      </c>
      <c r="H134" s="6" t="str">
        <f ca="1">IFERROR(__xludf.DUMMYFUNCTION("""COMPUTED_VALUE"""),"Badajoz")</f>
        <v>Badajoz</v>
      </c>
      <c r="I134" s="6" t="str">
        <f ca="1">IFERROR(__xludf.DUMMYFUNCTION("""COMPUTED_VALUE"""),"BJZE-2448")</f>
        <v>BJZE-2448</v>
      </c>
      <c r="J134" s="6" t="str">
        <f ca="1">IFERROR(__xludf.DUMMYFUNCTION("""COMPUTED_VALUE"""),"ANTONIO CORDON ESCUDERO")</f>
        <v>ANTONIO CORDON ESCUDERO</v>
      </c>
      <c r="K134" s="6">
        <f ca="1">IFERROR(__xludf.DUMMYFUNCTION("""COMPUTED_VALUE"""),2)</f>
        <v>2</v>
      </c>
      <c r="L134" s="139">
        <f ca="1">IFERROR(__xludf.DUMMYFUNCTION("""COMPUTED_VALUE"""),4400)</f>
        <v>4400</v>
      </c>
      <c r="M134" s="6" t="str">
        <f ca="1">IFERROR(__xludf.DUMMYFUNCTION("""COMPUTED_VALUE"""),"03 ORL")</f>
        <v>03 ORL</v>
      </c>
      <c r="N134" s="6" t="str">
        <f ca="1">IFERROR(__xludf.DUMMYFUNCTION("""COMPUTED_VALUE"""),"06 ORL")</f>
        <v>06 ORL</v>
      </c>
      <c r="O134" s="6" t="str">
        <f ca="1">IFERROR(__xludf.DUMMYFUNCTION("""COMPUTED_VALUE"""),"Dr, Tomas Mogollon Cano Cortes")</f>
        <v>Dr, Tomas Mogollon Cano Cortes</v>
      </c>
      <c r="P134" s="6" t="str">
        <f ca="1">IFERROR(__xludf.DUMMYFUNCTION("""COMPUTED_VALUE"""),"Luis Alberto Rodríguez (Andalucía Y Badajoz)")</f>
        <v>Luis Alberto Rodríguez (Andalucía Y Badajoz)</v>
      </c>
    </row>
    <row r="135" spans="2:16">
      <c r="B135" s="6">
        <f ca="1">IFERROR(__xludf.DUMMYFUNCTION("""COMPUTED_VALUE"""),2025)</f>
        <v>2025</v>
      </c>
      <c r="C135" s="6">
        <f ca="1">IFERROR(__xludf.DUMMYFUNCTION("""COMPUTED_VALUE"""),1)</f>
        <v>1</v>
      </c>
      <c r="D135" s="6" t="str">
        <f ca="1">IFERROR(__xludf.DUMMYFUNCTION("""COMPUTED_VALUE"""),"NO")</f>
        <v>NO</v>
      </c>
      <c r="E135" s="6" t="str">
        <f ca="1">IFERROR(__xludf.DUMMYFUNCTION("""COMPUTED_VALUE"""),"Boiro")</f>
        <v>Boiro</v>
      </c>
      <c r="F135" s="16">
        <f ca="1">IFERROR(__xludf.DUMMYFUNCTION("""COMPUTED_VALUE"""),45684)</f>
        <v>45684</v>
      </c>
      <c r="G135" s="16">
        <f ca="1">IFERROR(__xludf.DUMMYFUNCTION("""COMPUTED_VALUE"""),45671)</f>
        <v>45671</v>
      </c>
      <c r="H135" s="6" t="str">
        <f ca="1">IFERROR(__xludf.DUMMYFUNCTION("""COMPUTED_VALUE"""),"Boiro")</f>
        <v>Boiro</v>
      </c>
      <c r="I135" s="6" t="str">
        <f ca="1">IFERROR(__xludf.DUMMYFUNCTION("""COMPUTED_VALUE"""),"BOI-922")</f>
        <v>BOI-922</v>
      </c>
      <c r="J135" s="6" t="str">
        <f ca="1">IFERROR(__xludf.DUMMYFUNCTION("""COMPUTED_VALUE"""),"OLGA SIEIRA VILAR")</f>
        <v>OLGA SIEIRA VILAR</v>
      </c>
      <c r="K135" s="6">
        <f ca="1">IFERROR(__xludf.DUMMYFUNCTION("""COMPUTED_VALUE"""),1)</f>
        <v>1</v>
      </c>
      <c r="L135" s="139">
        <f ca="1">IFERROR(__xludf.DUMMYFUNCTION("""COMPUTED_VALUE"""),1627.27)</f>
        <v>1627.27</v>
      </c>
      <c r="M135" s="6" t="str">
        <f ca="1">IFERROR(__xludf.DUMMYFUNCTION("""COMPUTED_VALUE"""),"03 ORL")</f>
        <v>03 ORL</v>
      </c>
      <c r="N135" s="6" t="str">
        <f ca="1">IFERROR(__xludf.DUMMYFUNCTION("""COMPUTED_VALUE"""),"06 ORL")</f>
        <v>06 ORL</v>
      </c>
      <c r="O135" s="6" t="str">
        <f ca="1">IFERROR(__xludf.DUMMYFUNCTION("""COMPUTED_VALUE"""),"Dra, Isabel Pensado Banet")</f>
        <v>Dra, Isabel Pensado Banet</v>
      </c>
      <c r="P135" s="6" t="str">
        <f ca="1">IFERROR(__xludf.DUMMYFUNCTION("""COMPUTED_VALUE"""),"Roberto Pereira (Galicia)")</f>
        <v>Roberto Pereira (Galicia)</v>
      </c>
    </row>
    <row r="136" spans="2:16">
      <c r="B136" s="6">
        <f ca="1">IFERROR(__xludf.DUMMYFUNCTION("""COMPUTED_VALUE"""),2025)</f>
        <v>2025</v>
      </c>
      <c r="C136" s="6">
        <f ca="1">IFERROR(__xludf.DUMMYFUNCTION("""COMPUTED_VALUE"""),1)</f>
        <v>1</v>
      </c>
      <c r="D136" s="6" t="str">
        <f ca="1">IFERROR(__xludf.DUMMYFUNCTION("""COMPUTED_VALUE"""),"NO")</f>
        <v>NO</v>
      </c>
      <c r="E136" s="6" t="str">
        <f ca="1">IFERROR(__xludf.DUMMYFUNCTION("""COMPUTED_VALUE"""),"Sevilla- Ciencias")</f>
        <v>Sevilla- Ciencias</v>
      </c>
      <c r="F136" s="16">
        <f ca="1">IFERROR(__xludf.DUMMYFUNCTION("""COMPUTED_VALUE"""),45684)</f>
        <v>45684</v>
      </c>
      <c r="G136" s="16">
        <f ca="1">IFERROR(__xludf.DUMMYFUNCTION("""COMPUTED_VALUE"""),45624)</f>
        <v>45624</v>
      </c>
      <c r="H136" s="6" t="str">
        <f ca="1">IFERROR(__xludf.DUMMYFUNCTION("""COMPUTED_VALUE"""),"Sevilla Este")</f>
        <v>Sevilla Este</v>
      </c>
      <c r="I136" s="6" t="str">
        <f ca="1">IFERROR(__xludf.DUMMYFUNCTION("""COMPUTED_VALUE"""),"SEVE-328")</f>
        <v>SEVE-328</v>
      </c>
      <c r="J136" s="6" t="str">
        <f ca="1">IFERROR(__xludf.DUMMYFUNCTION("""COMPUTED_VALUE"""),"JOSEFA CAMPOS MELENCHON")</f>
        <v>JOSEFA CAMPOS MELENCHON</v>
      </c>
      <c r="K136" s="6">
        <f ca="1">IFERROR(__xludf.DUMMYFUNCTION("""COMPUTED_VALUE"""),2)</f>
        <v>2</v>
      </c>
      <c r="L136" s="139">
        <f ca="1">IFERROR(__xludf.DUMMYFUNCTION("""COMPUTED_VALUE"""),4000)</f>
        <v>4000</v>
      </c>
      <c r="M136" s="6" t="str">
        <f ca="1">IFERROR(__xludf.DUMMYFUNCTION("""COMPUTED_VALUE"""),"03 ORL")</f>
        <v>03 ORL</v>
      </c>
      <c r="N136" s="6" t="str">
        <f ca="1">IFERROR(__xludf.DUMMYFUNCTION("""COMPUTED_VALUE"""),"06 ORL")</f>
        <v>06 ORL</v>
      </c>
      <c r="O136" s="6" t="str">
        <f ca="1">IFERROR(__xludf.DUMMYFUNCTION("""COMPUTED_VALUE"""),"Dr, Enrique Gómez Aldaz")</f>
        <v>Dr, Enrique Gómez Aldaz</v>
      </c>
      <c r="P136" s="6" t="str">
        <f ca="1">IFERROR(__xludf.DUMMYFUNCTION("""COMPUTED_VALUE"""),"Luis Alberto Rodríguez (Andalucía Y Badajoz)")</f>
        <v>Luis Alberto Rodríguez (Andalucía Y Badajoz)</v>
      </c>
    </row>
    <row r="137" spans="2:16">
      <c r="B137" s="6">
        <f ca="1">IFERROR(__xludf.DUMMYFUNCTION("""COMPUTED_VALUE"""),2025)</f>
        <v>2025</v>
      </c>
      <c r="C137" s="6">
        <f ca="1">IFERROR(__xludf.DUMMYFUNCTION("""COMPUTED_VALUE"""),1)</f>
        <v>1</v>
      </c>
      <c r="D137" s="6" t="str">
        <f ca="1">IFERROR(__xludf.DUMMYFUNCTION("""COMPUTED_VALUE"""),"NO")</f>
        <v>NO</v>
      </c>
      <c r="E137" s="6" t="str">
        <f ca="1">IFERROR(__xludf.DUMMYFUNCTION("""COMPUTED_VALUE"""),"Sevilla- Ciencias")</f>
        <v>Sevilla- Ciencias</v>
      </c>
      <c r="F137" s="16">
        <f ca="1">IFERROR(__xludf.DUMMYFUNCTION("""COMPUTED_VALUE"""),45684)</f>
        <v>45684</v>
      </c>
      <c r="G137" s="16">
        <f ca="1">IFERROR(__xludf.DUMMYFUNCTION("""COMPUTED_VALUE"""),45644)</f>
        <v>45644</v>
      </c>
      <c r="H137" s="6" t="str">
        <f ca="1">IFERROR(__xludf.DUMMYFUNCTION("""COMPUTED_VALUE"""),"Sevilla Este")</f>
        <v>Sevilla Este</v>
      </c>
      <c r="I137" s="6" t="str">
        <f ca="1">IFERROR(__xludf.DUMMYFUNCTION("""COMPUTED_VALUE"""),"SEVE-340")</f>
        <v>SEVE-340</v>
      </c>
      <c r="J137" s="6" t="str">
        <f ca="1">IFERROR(__xludf.DUMMYFUNCTION("""COMPUTED_VALUE"""),"JUAN ALEJO MANSO CORREA")</f>
        <v>JUAN ALEJO MANSO CORREA</v>
      </c>
      <c r="K137" s="6">
        <f ca="1">IFERROR(__xludf.DUMMYFUNCTION("""COMPUTED_VALUE"""),2)</f>
        <v>2</v>
      </c>
      <c r="L137" s="139">
        <f ca="1">IFERROR(__xludf.DUMMYFUNCTION("""COMPUTED_VALUE"""),3809.55)</f>
        <v>3809.55</v>
      </c>
      <c r="M137" s="6" t="str">
        <f ca="1">IFERROR(__xludf.DUMMYFUNCTION("""COMPUTED_VALUE"""),"03 ORL")</f>
        <v>03 ORL</v>
      </c>
      <c r="N137" s="6" t="str">
        <f ca="1">IFERROR(__xludf.DUMMYFUNCTION("""COMPUTED_VALUE"""),"06 ORL")</f>
        <v>06 ORL</v>
      </c>
      <c r="O137" s="6" t="str">
        <f ca="1">IFERROR(__xludf.DUMMYFUNCTION("""COMPUTED_VALUE"""),"Dr, Francisco López Navas")</f>
        <v>Dr, Francisco López Navas</v>
      </c>
      <c r="P137" s="6" t="str">
        <f ca="1">IFERROR(__xludf.DUMMYFUNCTION("""COMPUTED_VALUE"""),"Luis Alberto Rodríguez (Andalucía Y Badajoz)")</f>
        <v>Luis Alberto Rodríguez (Andalucía Y Badajoz)</v>
      </c>
    </row>
    <row r="138" spans="2:16">
      <c r="B138" s="6">
        <f ca="1">IFERROR(__xludf.DUMMYFUNCTION("""COMPUTED_VALUE"""),2025)</f>
        <v>2025</v>
      </c>
      <c r="C138" s="6">
        <f ca="1">IFERROR(__xludf.DUMMYFUNCTION("""COMPUTED_VALUE"""),1)</f>
        <v>1</v>
      </c>
      <c r="D138" s="6" t="str">
        <f ca="1">IFERROR(__xludf.DUMMYFUNCTION("""COMPUTED_VALUE"""),"NO")</f>
        <v>NO</v>
      </c>
      <c r="E138" s="6" t="str">
        <f ca="1">IFERROR(__xludf.DUMMYFUNCTION("""COMPUTED_VALUE"""),"Valladolid")</f>
        <v>Valladolid</v>
      </c>
      <c r="F138" s="16">
        <f ca="1">IFERROR(__xludf.DUMMYFUNCTION("""COMPUTED_VALUE"""),45684)</f>
        <v>45684</v>
      </c>
      <c r="G138" s="16">
        <f ca="1">IFERROR(__xludf.DUMMYFUNCTION("""COMPUTED_VALUE"""),45628)</f>
        <v>45628</v>
      </c>
      <c r="H138" s="6" t="str">
        <f ca="1">IFERROR(__xludf.DUMMYFUNCTION("""COMPUTED_VALUE"""),"Valladolid")</f>
        <v>Valladolid</v>
      </c>
      <c r="I138" s="6" t="str">
        <f ca="1">IFERROR(__xludf.DUMMYFUNCTION("""COMPUTED_VALUE"""),"VLL-301")</f>
        <v>VLL-301</v>
      </c>
      <c r="J138" s="6" t="str">
        <f ca="1">IFERROR(__xludf.DUMMYFUNCTION("""COMPUTED_VALUE"""),"MARIA DEL CONSUELO MERINO GONZALEZ")</f>
        <v>MARIA DEL CONSUELO MERINO GONZALEZ</v>
      </c>
      <c r="K138" s="6">
        <f ca="1">IFERROR(__xludf.DUMMYFUNCTION("""COMPUTED_VALUE"""),1)</f>
        <v>1</v>
      </c>
      <c r="L138" s="139">
        <f ca="1">IFERROR(__xludf.DUMMYFUNCTION("""COMPUTED_VALUE"""),2080)</f>
        <v>2080</v>
      </c>
      <c r="M138" s="6" t="str">
        <f ca="1">IFERROR(__xludf.DUMMYFUNCTION("""COMPUTED_VALUE"""),"03 ORL")</f>
        <v>03 ORL</v>
      </c>
      <c r="N138" s="6" t="str">
        <f ca="1">IFERROR(__xludf.DUMMYFUNCTION("""COMPUTED_VALUE"""),"06 ORL")</f>
        <v>06 ORL</v>
      </c>
      <c r="O138" s="6" t="str">
        <f ca="1">IFERROR(__xludf.DUMMYFUNCTION("""COMPUTED_VALUE"""),"Dr, Manuel Acuña García")</f>
        <v>Dr, Manuel Acuña García</v>
      </c>
      <c r="P138" s="6" t="str">
        <f ca="1">IFERROR(__xludf.DUMMYFUNCTION("""COMPUTED_VALUE"""),"Patricia Solache (Castilla Y León)")</f>
        <v>Patricia Solache (Castilla Y León)</v>
      </c>
    </row>
    <row r="139" spans="2:16">
      <c r="B139" s="6">
        <f ca="1">IFERROR(__xludf.DUMMYFUNCTION("""COMPUTED_VALUE"""),2025)</f>
        <v>2025</v>
      </c>
      <c r="C139" s="6">
        <f ca="1">IFERROR(__xludf.DUMMYFUNCTION("""COMPUTED_VALUE"""),1)</f>
        <v>1</v>
      </c>
      <c r="D139" s="6" t="str">
        <f ca="1">IFERROR(__xludf.DUMMYFUNCTION("""COMPUTED_VALUE"""),"NO")</f>
        <v>NO</v>
      </c>
      <c r="E139" s="6" t="str">
        <f ca="1">IFERROR(__xludf.DUMMYFUNCTION("""COMPUTED_VALUE"""),"Zaragoza- León XIII")</f>
        <v>Zaragoza- León XIII</v>
      </c>
      <c r="F139" s="16">
        <f ca="1">IFERROR(__xludf.DUMMYFUNCTION("""COMPUTED_VALUE"""),45684)</f>
        <v>45684</v>
      </c>
      <c r="G139" s="16">
        <f ca="1">IFERROR(__xludf.DUMMYFUNCTION("""COMPUTED_VALUE"""),45664)</f>
        <v>45664</v>
      </c>
      <c r="H139" s="6" t="str">
        <f ca="1">IFERROR(__xludf.DUMMYFUNCTION("""COMPUTED_VALUE"""),"Zaragoza")</f>
        <v>Zaragoza</v>
      </c>
      <c r="I139" s="6" t="str">
        <f ca="1">IFERROR(__xludf.DUMMYFUNCTION("""COMPUTED_VALUE"""),"ZRG-549")</f>
        <v>ZRG-549</v>
      </c>
      <c r="J139" s="6" t="str">
        <f ca="1">IFERROR(__xludf.DUMMYFUNCTION("""COMPUTED_VALUE"""),"AUREA MINGUEZA MAQUEDA")</f>
        <v>AUREA MINGUEZA MAQUEDA</v>
      </c>
      <c r="K139" s="6">
        <f ca="1">IFERROR(__xludf.DUMMYFUNCTION("""COMPUTED_VALUE"""),2)</f>
        <v>2</v>
      </c>
      <c r="L139" s="139">
        <f ca="1">IFERROR(__xludf.DUMMYFUNCTION("""COMPUTED_VALUE"""),3704.55)</f>
        <v>3704.55</v>
      </c>
      <c r="M139" s="6" t="str">
        <f ca="1">IFERROR(__xludf.DUMMYFUNCTION("""COMPUTED_VALUE"""),"03 ORL")</f>
        <v>03 ORL</v>
      </c>
      <c r="N139" s="6" t="str">
        <f ca="1">IFERROR(__xludf.DUMMYFUNCTION("""COMPUTED_VALUE"""),"06 ORL")</f>
        <v>06 ORL</v>
      </c>
      <c r="O139" s="6" t="str">
        <f ca="1">IFERROR(__xludf.DUMMYFUNCTION("""COMPUTED_VALUE"""),"Dr, José Manuel García Solans-Esteras")</f>
        <v>Dr, José Manuel García Solans-Esteras</v>
      </c>
      <c r="P139" s="6" t="str">
        <f ca="1">IFERROR(__xludf.DUMMYFUNCTION("""COMPUTED_VALUE"""),"Lisandro Russian (Madrid, Cáceres, Toledo, Talavera Y Logroño)")</f>
        <v>Lisandro Russian (Madrid, Cáceres, Toledo, Talavera Y Logroño)</v>
      </c>
    </row>
    <row r="140" spans="2:16">
      <c r="B140" s="6">
        <f ca="1">IFERROR(__xludf.DUMMYFUNCTION("""COMPUTED_VALUE"""),2025)</f>
        <v>2025</v>
      </c>
      <c r="C140" s="6">
        <f ca="1">IFERROR(__xludf.DUMMYFUNCTION("""COMPUTED_VALUE"""),1)</f>
        <v>1</v>
      </c>
      <c r="D140" s="6" t="str">
        <f ca="1">IFERROR(__xludf.DUMMYFUNCTION("""COMPUTED_VALUE"""),"NO")</f>
        <v>NO</v>
      </c>
      <c r="E140" s="6" t="str">
        <f ca="1">IFERROR(__xludf.DUMMYFUNCTION("""COMPUTED_VALUE"""),"Ponferrada")</f>
        <v>Ponferrada</v>
      </c>
      <c r="F140" s="16">
        <f ca="1">IFERROR(__xludf.DUMMYFUNCTION("""COMPUTED_VALUE"""),45685)</f>
        <v>45685</v>
      </c>
      <c r="G140" s="16">
        <f ca="1">IFERROR(__xludf.DUMMYFUNCTION("""COMPUTED_VALUE"""),45618)</f>
        <v>45618</v>
      </c>
      <c r="H140" s="6" t="str">
        <f ca="1">IFERROR(__xludf.DUMMYFUNCTION("""COMPUTED_VALUE"""),"Ponferrada")</f>
        <v>Ponferrada</v>
      </c>
      <c r="I140" s="6" t="str">
        <f ca="1">IFERROR(__xludf.DUMMYFUNCTION("""COMPUTED_VALUE"""),"PON-830")</f>
        <v>PON-830</v>
      </c>
      <c r="J140" s="6" t="str">
        <f ca="1">IFERROR(__xludf.DUMMYFUNCTION("""COMPUTED_VALUE"""),"MANUEL DIOGO DOS SANTOS DOS SANTOS")</f>
        <v>MANUEL DIOGO DOS SANTOS DOS SANTOS</v>
      </c>
      <c r="K140" s="6">
        <f ca="1">IFERROR(__xludf.DUMMYFUNCTION("""COMPUTED_VALUE"""),1)</f>
        <v>1</v>
      </c>
      <c r="L140" s="139">
        <f ca="1">IFERROR(__xludf.DUMMYFUNCTION("""COMPUTED_VALUE"""),1954.55)</f>
        <v>1954.55</v>
      </c>
      <c r="M140" s="6" t="str">
        <f ca="1">IFERROR(__xludf.DUMMYFUNCTION("""COMPUTED_VALUE"""),"03 ORL")</f>
        <v>03 ORL</v>
      </c>
      <c r="N140" s="6" t="str">
        <f ca="1">IFERROR(__xludf.DUMMYFUNCTION("""COMPUTED_VALUE"""),"06 ORL")</f>
        <v>06 ORL</v>
      </c>
      <c r="O140" s="6" t="str">
        <f ca="1">IFERROR(__xludf.DUMMYFUNCTION("""COMPUTED_VALUE"""),"Dra, Xenia Mota Rojas")</f>
        <v>Dra, Xenia Mota Rojas</v>
      </c>
      <c r="P140" s="6" t="str">
        <f ca="1">IFERROR(__xludf.DUMMYFUNCTION("""COMPUTED_VALUE"""),"Patricia Solache (Castilla Y León)")</f>
        <v>Patricia Solache (Castilla Y León)</v>
      </c>
    </row>
    <row r="141" spans="2:16">
      <c r="B141" s="6">
        <f ca="1">IFERROR(__xludf.DUMMYFUNCTION("""COMPUTED_VALUE"""),2025)</f>
        <v>2025</v>
      </c>
      <c r="C141" s="6">
        <f ca="1">IFERROR(__xludf.DUMMYFUNCTION("""COMPUTED_VALUE"""),1)</f>
        <v>1</v>
      </c>
      <c r="D141" s="6" t="str">
        <f ca="1">IFERROR(__xludf.DUMMYFUNCTION("""COMPUTED_VALUE"""),"NO")</f>
        <v>NO</v>
      </c>
      <c r="E141" s="6" t="str">
        <f ca="1">IFERROR(__xludf.DUMMYFUNCTION("""COMPUTED_VALUE"""),"Valladolid")</f>
        <v>Valladolid</v>
      </c>
      <c r="F141" s="16">
        <f ca="1">IFERROR(__xludf.DUMMYFUNCTION("""COMPUTED_VALUE"""),45685)</f>
        <v>45685</v>
      </c>
      <c r="G141" s="16">
        <f ca="1">IFERROR(__xludf.DUMMYFUNCTION("""COMPUTED_VALUE"""),45604)</f>
        <v>45604</v>
      </c>
      <c r="H141" s="6" t="str">
        <f ca="1">IFERROR(__xludf.DUMMYFUNCTION("""COMPUTED_VALUE"""),"Valladolid")</f>
        <v>Valladolid</v>
      </c>
      <c r="I141" s="6" t="str">
        <f ca="1">IFERROR(__xludf.DUMMYFUNCTION("""COMPUTED_VALUE"""),"VLL-290")</f>
        <v>VLL-290</v>
      </c>
      <c r="J141" s="6" t="str">
        <f ca="1">IFERROR(__xludf.DUMMYFUNCTION("""COMPUTED_VALUE"""),"FERNANDO DE FRANCISCO VEGA")</f>
        <v>FERNANDO DE FRANCISCO VEGA</v>
      </c>
      <c r="K141" s="6">
        <f ca="1">IFERROR(__xludf.DUMMYFUNCTION("""COMPUTED_VALUE"""),2)</f>
        <v>2</v>
      </c>
      <c r="L141" s="139">
        <f ca="1">IFERROR(__xludf.DUMMYFUNCTION("""COMPUTED_VALUE"""),4191.35)</f>
        <v>4191.3500000000004</v>
      </c>
      <c r="M141" s="6" t="str">
        <f ca="1">IFERROR(__xludf.DUMMYFUNCTION("""COMPUTED_VALUE"""),"03 ORL")</f>
        <v>03 ORL</v>
      </c>
      <c r="N141" s="6" t="str">
        <f ca="1">IFERROR(__xludf.DUMMYFUNCTION("""COMPUTED_VALUE"""),"06 ORL")</f>
        <v>06 ORL</v>
      </c>
      <c r="O141" s="6" t="str">
        <f ca="1">IFERROR(__xludf.DUMMYFUNCTION("""COMPUTED_VALUE"""),"Dra, Ana Fernández Rodríguez")</f>
        <v>Dra, Ana Fernández Rodríguez</v>
      </c>
      <c r="P141" s="6" t="str">
        <f ca="1">IFERROR(__xludf.DUMMYFUNCTION("""COMPUTED_VALUE"""),"Patricia Solache (Castilla Y León)")</f>
        <v>Patricia Solache (Castilla Y León)</v>
      </c>
    </row>
    <row r="142" spans="2:16">
      <c r="B142" s="6">
        <f ca="1">IFERROR(__xludf.DUMMYFUNCTION("""COMPUTED_VALUE"""),2025)</f>
        <v>2025</v>
      </c>
      <c r="C142" s="6">
        <f ca="1">IFERROR(__xludf.DUMMYFUNCTION("""COMPUTED_VALUE"""),1)</f>
        <v>1</v>
      </c>
      <c r="D142" s="6" t="str">
        <f ca="1">IFERROR(__xludf.DUMMYFUNCTION("""COMPUTED_VALUE"""),"NO")</f>
        <v>NO</v>
      </c>
      <c r="E142" s="6" t="str">
        <f ca="1">IFERROR(__xludf.DUMMYFUNCTION("""COMPUTED_VALUE"""),"León")</f>
        <v>León</v>
      </c>
      <c r="F142" s="16">
        <f ca="1">IFERROR(__xludf.DUMMYFUNCTION("""COMPUTED_VALUE"""),45686)</f>
        <v>45686</v>
      </c>
      <c r="G142" s="16">
        <f ca="1">IFERROR(__xludf.DUMMYFUNCTION("""COMPUTED_VALUE"""),45670)</f>
        <v>45670</v>
      </c>
      <c r="H142" s="6" t="str">
        <f ca="1">IFERROR(__xludf.DUMMYFUNCTION("""COMPUTED_VALUE"""),"León")</f>
        <v>León</v>
      </c>
      <c r="I142" s="6" t="str">
        <f ca="1">IFERROR(__xludf.DUMMYFUNCTION("""COMPUTED_VALUE"""),"LEO-398")</f>
        <v>LEO-398</v>
      </c>
      <c r="J142" s="6" t="str">
        <f ca="1">IFERROR(__xludf.DUMMYFUNCTION("""COMPUTED_VALUE"""),"PABLO GARCIA DOMINGUEZ")</f>
        <v>PABLO GARCIA DOMINGUEZ</v>
      </c>
      <c r="K142" s="6">
        <f ca="1">IFERROR(__xludf.DUMMYFUNCTION("""COMPUTED_VALUE"""),1)</f>
        <v>1</v>
      </c>
      <c r="L142" s="139">
        <f ca="1">IFERROR(__xludf.DUMMYFUNCTION("""COMPUTED_VALUE"""),3245.35)</f>
        <v>3245.35</v>
      </c>
      <c r="M142" s="6" t="str">
        <f ca="1">IFERROR(__xludf.DUMMYFUNCTION("""COMPUTED_VALUE"""),"03 ORL")</f>
        <v>03 ORL</v>
      </c>
      <c r="N142" s="6" t="str">
        <f ca="1">IFERROR(__xludf.DUMMYFUNCTION("""COMPUTED_VALUE"""),"06 ORL")</f>
        <v>06 ORL</v>
      </c>
      <c r="O142" s="6" t="str">
        <f ca="1">IFERROR(__xludf.DUMMYFUNCTION("""COMPUTED_VALUE"""),"Dr, Rafael Pérez González")</f>
        <v>Dr, Rafael Pérez González</v>
      </c>
      <c r="P142" s="6" t="str">
        <f ca="1">IFERROR(__xludf.DUMMYFUNCTION("""COMPUTED_VALUE"""),"Patricia Solache (Castilla Y León)")</f>
        <v>Patricia Solache (Castilla Y León)</v>
      </c>
    </row>
    <row r="143" spans="2:16">
      <c r="B143" s="6">
        <f ca="1">IFERROR(__xludf.DUMMYFUNCTION("""COMPUTED_VALUE"""),2025)</f>
        <v>2025</v>
      </c>
      <c r="C143" s="6">
        <f ca="1">IFERROR(__xludf.DUMMYFUNCTION("""COMPUTED_VALUE"""),1)</f>
        <v>1</v>
      </c>
      <c r="D143" s="6" t="str">
        <f ca="1">IFERROR(__xludf.DUMMYFUNCTION("""COMPUTED_VALUE"""),"NO")</f>
        <v>NO</v>
      </c>
      <c r="E143" s="6" t="str">
        <f ca="1">IFERROR(__xludf.DUMMYFUNCTION("""COMPUTED_VALUE"""),"Salamanca")</f>
        <v>Salamanca</v>
      </c>
      <c r="F143" s="16">
        <f ca="1">IFERROR(__xludf.DUMMYFUNCTION("""COMPUTED_VALUE"""),45686)</f>
        <v>45686</v>
      </c>
      <c r="G143" s="16">
        <f ca="1">IFERROR(__xludf.DUMMYFUNCTION("""COMPUTED_VALUE"""),45534)</f>
        <v>45534</v>
      </c>
      <c r="H143" s="6" t="str">
        <f ca="1">IFERROR(__xludf.DUMMYFUNCTION("""COMPUTED_VALUE"""),"Salamanca")</f>
        <v>Salamanca</v>
      </c>
      <c r="I143" s="6" t="str">
        <f ca="1">IFERROR(__xludf.DUMMYFUNCTION("""COMPUTED_VALUE"""),"SLM-351")</f>
        <v>SLM-351</v>
      </c>
      <c r="J143" s="6" t="str">
        <f ca="1">IFERROR(__xludf.DUMMYFUNCTION("""COMPUTED_VALUE"""),"VICENTE VILAS MONTERO")</f>
        <v>VICENTE VILAS MONTERO</v>
      </c>
      <c r="K143" s="6">
        <f ca="1">IFERROR(__xludf.DUMMYFUNCTION("""COMPUTED_VALUE"""),2)</f>
        <v>2</v>
      </c>
      <c r="L143" s="139">
        <f ca="1">IFERROR(__xludf.DUMMYFUNCTION("""COMPUTED_VALUE"""),3604.55)</f>
        <v>3604.55</v>
      </c>
      <c r="M143" s="6" t="str">
        <f ca="1">IFERROR(__xludf.DUMMYFUNCTION("""COMPUTED_VALUE"""),"03 ORL")</f>
        <v>03 ORL</v>
      </c>
      <c r="N143" s="6" t="str">
        <f ca="1">IFERROR(__xludf.DUMMYFUNCTION("""COMPUTED_VALUE"""),"06 ORL")</f>
        <v>06 ORL</v>
      </c>
      <c r="O143" s="6" t="str">
        <f ca="1">IFERROR(__xludf.DUMMYFUNCTION("""COMPUTED_VALUE"""),"Dr, Luis Miguel Rincón Esteban")</f>
        <v>Dr, Luis Miguel Rincón Esteban</v>
      </c>
      <c r="P143" s="6" t="str">
        <f ca="1">IFERROR(__xludf.DUMMYFUNCTION("""COMPUTED_VALUE"""),"Patricia Solache (Castilla Y León)")</f>
        <v>Patricia Solache (Castilla Y León)</v>
      </c>
    </row>
    <row r="144" spans="2:16">
      <c r="B144" s="6">
        <f ca="1">IFERROR(__xludf.DUMMYFUNCTION("""COMPUTED_VALUE"""),2025)</f>
        <v>2025</v>
      </c>
      <c r="C144" s="6">
        <f ca="1">IFERROR(__xludf.DUMMYFUNCTION("""COMPUTED_VALUE"""),1)</f>
        <v>1</v>
      </c>
      <c r="D144" s="6" t="str">
        <f ca="1">IFERROR(__xludf.DUMMYFUNCTION("""COMPUTED_VALUE"""),"NO")</f>
        <v>NO</v>
      </c>
      <c r="E144" s="6" t="str">
        <f ca="1">IFERROR(__xludf.DUMMYFUNCTION("""COMPUTED_VALUE"""),"Lalín")</f>
        <v>Lalín</v>
      </c>
      <c r="F144" s="16">
        <f ca="1">IFERROR(__xludf.DUMMYFUNCTION("""COMPUTED_VALUE"""),45687)</f>
        <v>45687</v>
      </c>
      <c r="G144" s="16">
        <f ca="1">IFERROR(__xludf.DUMMYFUNCTION("""COMPUTED_VALUE"""),45626)</f>
        <v>45626</v>
      </c>
      <c r="H144" s="6" t="str">
        <f ca="1">IFERROR(__xludf.DUMMYFUNCTION("""COMPUTED_VALUE"""),"Lalín")</f>
        <v>Lalín</v>
      </c>
      <c r="I144" s="6" t="str">
        <f ca="1">IFERROR(__xludf.DUMMYFUNCTION("""COMPUTED_VALUE"""),"LAL-118")</f>
        <v>LAL-118</v>
      </c>
      <c r="J144" s="6" t="str">
        <f ca="1">IFERROR(__xludf.DUMMYFUNCTION("""COMPUTED_VALUE"""),"REMEDIOS GOMEZ GOMEZ")</f>
        <v>REMEDIOS GOMEZ GOMEZ</v>
      </c>
      <c r="K144" s="6">
        <f ca="1">IFERROR(__xludf.DUMMYFUNCTION("""COMPUTED_VALUE"""),2)</f>
        <v>2</v>
      </c>
      <c r="L144" s="139">
        <f ca="1">IFERROR(__xludf.DUMMYFUNCTION("""COMPUTED_VALUE"""),2627.27)</f>
        <v>2627.27</v>
      </c>
      <c r="M144" s="6" t="str">
        <f ca="1">IFERROR(__xludf.DUMMYFUNCTION("""COMPUTED_VALUE"""),"03 ORL")</f>
        <v>03 ORL</v>
      </c>
      <c r="N144" s="6" t="str">
        <f ca="1">IFERROR(__xludf.DUMMYFUNCTION("""COMPUTED_VALUE"""),"06 ORL")</f>
        <v>06 ORL</v>
      </c>
      <c r="O144" s="6" t="str">
        <f ca="1">IFERROR(__xludf.DUMMYFUNCTION("""COMPUTED_VALUE"""),"Dr, Gabriel Martínez Capoccini")</f>
        <v>Dr, Gabriel Martínez Capoccini</v>
      </c>
      <c r="P144" s="6" t="str">
        <f ca="1">IFERROR(__xludf.DUMMYFUNCTION("""COMPUTED_VALUE"""),"Roberto Pereira (Galicia)")</f>
        <v>Roberto Pereira (Galicia)</v>
      </c>
    </row>
    <row r="145" spans="2:16">
      <c r="B145" s="6">
        <f ca="1">IFERROR(__xludf.DUMMYFUNCTION("""COMPUTED_VALUE"""),2025)</f>
        <v>2025</v>
      </c>
      <c r="C145" s="6">
        <f ca="1">IFERROR(__xludf.DUMMYFUNCTION("""COMPUTED_VALUE"""),1)</f>
        <v>1</v>
      </c>
      <c r="D145" s="6" t="str">
        <f ca="1">IFERROR(__xludf.DUMMYFUNCTION("""COMPUTED_VALUE"""),"NO")</f>
        <v>NO</v>
      </c>
      <c r="E145" s="6" t="str">
        <f ca="1">IFERROR(__xludf.DUMMYFUNCTION("""COMPUTED_VALUE"""),"Salamanca")</f>
        <v>Salamanca</v>
      </c>
      <c r="F145" s="16">
        <f ca="1">IFERROR(__xludf.DUMMYFUNCTION("""COMPUTED_VALUE"""),45687)</f>
        <v>45687</v>
      </c>
      <c r="G145" s="16">
        <f ca="1">IFERROR(__xludf.DUMMYFUNCTION("""COMPUTED_VALUE"""),45643)</f>
        <v>45643</v>
      </c>
      <c r="H145" s="6" t="str">
        <f ca="1">IFERROR(__xludf.DUMMYFUNCTION("""COMPUTED_VALUE"""),"Salamanca")</f>
        <v>Salamanca</v>
      </c>
      <c r="I145" s="6" t="str">
        <f ca="1">IFERROR(__xludf.DUMMYFUNCTION("""COMPUTED_VALUE"""),"SLM-424")</f>
        <v>SLM-424</v>
      </c>
      <c r="J145" s="6" t="str">
        <f ca="1">IFERROR(__xludf.DUMMYFUNCTION("""COMPUTED_VALUE"""),"MARCELINA VELASCO GARCIA")</f>
        <v>MARCELINA VELASCO GARCIA</v>
      </c>
      <c r="K145" s="6">
        <f ca="1">IFERROR(__xludf.DUMMYFUNCTION("""COMPUTED_VALUE"""),2)</f>
        <v>2</v>
      </c>
      <c r="L145" s="139">
        <f ca="1">IFERROR(__xludf.DUMMYFUNCTION("""COMPUTED_VALUE"""),3604.55)</f>
        <v>3604.55</v>
      </c>
      <c r="M145" s="6" t="str">
        <f ca="1">IFERROR(__xludf.DUMMYFUNCTION("""COMPUTED_VALUE"""),"03 ORL")</f>
        <v>03 ORL</v>
      </c>
      <c r="N145" s="6" t="str">
        <f ca="1">IFERROR(__xludf.DUMMYFUNCTION("""COMPUTED_VALUE"""),"06 ORL")</f>
        <v>06 ORL</v>
      </c>
      <c r="O145" s="6" t="str">
        <f ca="1">IFERROR(__xludf.DUMMYFUNCTION("""COMPUTED_VALUE"""),"Dr, María Jesús Cornejo Domínguez")</f>
        <v>Dr, María Jesús Cornejo Domínguez</v>
      </c>
      <c r="P145" s="6" t="str">
        <f ca="1">IFERROR(__xludf.DUMMYFUNCTION("""COMPUTED_VALUE"""),"Patricia Solache (Castilla Y León)")</f>
        <v>Patricia Solache (Castilla Y León)</v>
      </c>
    </row>
    <row r="146" spans="2:16">
      <c r="B146" s="6">
        <f ca="1">IFERROR(__xludf.DUMMYFUNCTION("""COMPUTED_VALUE"""),2025)</f>
        <v>2025</v>
      </c>
      <c r="C146" s="6">
        <f ca="1">IFERROR(__xludf.DUMMYFUNCTION("""COMPUTED_VALUE"""),1)</f>
        <v>1</v>
      </c>
      <c r="D146" s="6" t="str">
        <f ca="1">IFERROR(__xludf.DUMMYFUNCTION("""COMPUTED_VALUE"""),"NO")</f>
        <v>NO</v>
      </c>
      <c r="E146" s="6" t="str">
        <f ca="1">IFERROR(__xludf.DUMMYFUNCTION("""COMPUTED_VALUE"""),"Zaragoza- León XIII")</f>
        <v>Zaragoza- León XIII</v>
      </c>
      <c r="F146" s="16">
        <f ca="1">IFERROR(__xludf.DUMMYFUNCTION("""COMPUTED_VALUE"""),45687)</f>
        <v>45687</v>
      </c>
      <c r="G146" s="16">
        <f ca="1">IFERROR(__xludf.DUMMYFUNCTION("""COMPUTED_VALUE"""),45665)</f>
        <v>45665</v>
      </c>
      <c r="H146" s="6" t="str">
        <f ca="1">IFERROR(__xludf.DUMMYFUNCTION("""COMPUTED_VALUE"""),"Zaragoza")</f>
        <v>Zaragoza</v>
      </c>
      <c r="I146" s="6" t="str">
        <f ca="1">IFERROR(__xludf.DUMMYFUNCTION("""COMPUTED_VALUE"""),"ZRG-551")</f>
        <v>ZRG-551</v>
      </c>
      <c r="J146" s="6" t="str">
        <f ca="1">IFERROR(__xludf.DUMMYFUNCTION("""COMPUTED_VALUE"""),"JAVIER LOSCOS MORATO")</f>
        <v>JAVIER LOSCOS MORATO</v>
      </c>
      <c r="K146" s="6">
        <f ca="1">IFERROR(__xludf.DUMMYFUNCTION("""COMPUTED_VALUE"""),2)</f>
        <v>2</v>
      </c>
      <c r="L146" s="139">
        <f ca="1">IFERROR(__xludf.DUMMYFUNCTION("""COMPUTED_VALUE"""),3627.27)</f>
        <v>3627.27</v>
      </c>
      <c r="M146" s="6" t="str">
        <f ca="1">IFERROR(__xludf.DUMMYFUNCTION("""COMPUTED_VALUE"""),"03 ORL")</f>
        <v>03 ORL</v>
      </c>
      <c r="N146" s="6" t="str">
        <f ca="1">IFERROR(__xludf.DUMMYFUNCTION("""COMPUTED_VALUE"""),"06 ORL")</f>
        <v>06 ORL</v>
      </c>
      <c r="O146" s="6" t="str">
        <f ca="1">IFERROR(__xludf.DUMMYFUNCTION("""COMPUTED_VALUE"""),"Dr, José Manuel García Solans-Esteras")</f>
        <v>Dr, José Manuel García Solans-Esteras</v>
      </c>
      <c r="P146" s="6" t="str">
        <f ca="1">IFERROR(__xludf.DUMMYFUNCTION("""COMPUTED_VALUE"""),"Lisandro Russian (Madrid, Cáceres, Toledo, Talavera Y Logroño)")</f>
        <v>Lisandro Russian (Madrid, Cáceres, Toledo, Talavera Y Logroño)</v>
      </c>
    </row>
    <row r="147" spans="2:16">
      <c r="B147" s="6">
        <f ca="1">IFERROR(__xludf.DUMMYFUNCTION("""COMPUTED_VALUE"""),2025)</f>
        <v>2025</v>
      </c>
      <c r="C147" s="6">
        <f ca="1">IFERROR(__xludf.DUMMYFUNCTION("""COMPUTED_VALUE"""),1)</f>
        <v>1</v>
      </c>
      <c r="D147" s="6" t="str">
        <f ca="1">IFERROR(__xludf.DUMMYFUNCTION("""COMPUTED_VALUE"""),"NO")</f>
        <v>NO</v>
      </c>
      <c r="E147" s="6" t="str">
        <f ca="1">IFERROR(__xludf.DUMMYFUNCTION("""COMPUTED_VALUE"""),"Valladolid")</f>
        <v>Valladolid</v>
      </c>
      <c r="F147" s="16">
        <f ca="1">IFERROR(__xludf.DUMMYFUNCTION("""COMPUTED_VALUE"""),45688)</f>
        <v>45688</v>
      </c>
      <c r="G147" s="16">
        <f ca="1">IFERROR(__xludf.DUMMYFUNCTION("""COMPUTED_VALUE"""),45630)</f>
        <v>45630</v>
      </c>
      <c r="H147" s="6" t="str">
        <f ca="1">IFERROR(__xludf.DUMMYFUNCTION("""COMPUTED_VALUE"""),"Valladolid")</f>
        <v>Valladolid</v>
      </c>
      <c r="I147" s="6" t="str">
        <f ca="1">IFERROR(__xludf.DUMMYFUNCTION("""COMPUTED_VALUE"""),"VLL-303")</f>
        <v>VLL-303</v>
      </c>
      <c r="J147" s="6" t="str">
        <f ca="1">IFERROR(__xludf.DUMMYFUNCTION("""COMPUTED_VALUE"""),"JESUS VALLES PRIETO")</f>
        <v>JESUS VALLES PRIETO</v>
      </c>
      <c r="K147" s="6">
        <f ca="1">IFERROR(__xludf.DUMMYFUNCTION("""COMPUTED_VALUE"""),2)</f>
        <v>2</v>
      </c>
      <c r="L147" s="139">
        <f ca="1">IFERROR(__xludf.DUMMYFUNCTION("""COMPUTED_VALUE"""),3522.73)</f>
        <v>3522.73</v>
      </c>
      <c r="M147" s="6" t="str">
        <f ca="1">IFERROR(__xludf.DUMMYFUNCTION("""COMPUTED_VALUE"""),"03 ORL")</f>
        <v>03 ORL</v>
      </c>
      <c r="N147" s="6" t="str">
        <f ca="1">IFERROR(__xludf.DUMMYFUNCTION("""COMPUTED_VALUE"""),"06 ORL")</f>
        <v>06 ORL</v>
      </c>
      <c r="O147" s="6" t="str">
        <f ca="1">IFERROR(__xludf.DUMMYFUNCTION("""COMPUTED_VALUE"""),"Dr, Manuel Acuña García")</f>
        <v>Dr, Manuel Acuña García</v>
      </c>
      <c r="P147" s="6" t="str">
        <f ca="1">IFERROR(__xludf.DUMMYFUNCTION("""COMPUTED_VALUE"""),"Patricia Solache (Castilla Y León)")</f>
        <v>Patricia Solache (Castilla Y León)</v>
      </c>
    </row>
    <row r="148" spans="2:16">
      <c r="B148" s="6">
        <f ca="1">IFERROR(__xludf.DUMMYFUNCTION("""COMPUTED_VALUE"""),2025)</f>
        <v>2025</v>
      </c>
      <c r="C148" s="6">
        <f ca="1">IFERROR(__xludf.DUMMYFUNCTION("""COMPUTED_VALUE"""),1)</f>
        <v>1</v>
      </c>
      <c r="D148" s="6" t="str">
        <f ca="1">IFERROR(__xludf.DUMMYFUNCTION("""COMPUTED_VALUE"""),"NO")</f>
        <v>NO</v>
      </c>
      <c r="E148" s="6" t="str">
        <f ca="1">IFERROR(__xludf.DUMMYFUNCTION("""COMPUTED_VALUE"""),"Sevilla- Ciencias")</f>
        <v>Sevilla- Ciencias</v>
      </c>
      <c r="F148" s="16">
        <f ca="1">IFERROR(__xludf.DUMMYFUNCTION("""COMPUTED_VALUE"""),45667)</f>
        <v>45667</v>
      </c>
      <c r="G148" s="16">
        <f ca="1">IFERROR(__xludf.DUMMYFUNCTION("""COMPUTED_VALUE"""),45608)</f>
        <v>45608</v>
      </c>
      <c r="H148" s="6" t="str">
        <f ca="1">IFERROR(__xludf.DUMMYFUNCTION("""COMPUTED_VALUE"""),"Sevilla Este")</f>
        <v>Sevilla Este</v>
      </c>
      <c r="I148" s="6" t="str">
        <f ca="1">IFERROR(__xludf.DUMMYFUNCTION("""COMPUTED_VALUE"""),"SEVE-326")</f>
        <v>SEVE-326</v>
      </c>
      <c r="J148" s="6" t="str">
        <f ca="1">IFERROR(__xludf.DUMMYFUNCTION("""COMPUTED_VALUE"""),"FELIPE HERNANDEZ GARCIA")</f>
        <v>FELIPE HERNANDEZ GARCIA</v>
      </c>
      <c r="K148" s="6">
        <f ca="1">IFERROR(__xludf.DUMMYFUNCTION("""COMPUTED_VALUE"""),2)</f>
        <v>2</v>
      </c>
      <c r="L148" s="139">
        <f ca="1">IFERROR(__xludf.DUMMYFUNCTION("""COMPUTED_VALUE"""),4000)</f>
        <v>4000</v>
      </c>
      <c r="M148" s="6" t="str">
        <f ca="1">IFERROR(__xludf.DUMMYFUNCTION("""COMPUTED_VALUE"""),"03 ORL")</f>
        <v>03 ORL</v>
      </c>
      <c r="N148" s="6" t="str">
        <f ca="1">IFERROR(__xludf.DUMMYFUNCTION("""COMPUTED_VALUE"""),"06 ORL")</f>
        <v>06 ORL</v>
      </c>
      <c r="O148" s="6" t="str">
        <f ca="1">IFERROR(__xludf.DUMMYFUNCTION("""COMPUTED_VALUE"""),"Dr, Enrique Ruiz Veguilla")</f>
        <v>Dr, Enrique Ruiz Veguilla</v>
      </c>
      <c r="P148" s="6" t="str">
        <f ca="1">IFERROR(__xludf.DUMMYFUNCTION("""COMPUTED_VALUE"""),"Luis Alberto Rodríguez (Andalucía Y Badajoz)")</f>
        <v>Luis Alberto Rodríguez (Andalucía Y Badajoz)</v>
      </c>
    </row>
    <row r="149" spans="2:16">
      <c r="B149" s="6">
        <f ca="1">IFERROR(__xludf.DUMMYFUNCTION("""COMPUTED_VALUE"""),2025)</f>
        <v>2025</v>
      </c>
      <c r="C149" s="6">
        <f ca="1">IFERROR(__xludf.DUMMYFUNCTION("""COMPUTED_VALUE"""),2)</f>
        <v>2</v>
      </c>
      <c r="D149" s="6" t="str">
        <f ca="1">IFERROR(__xludf.DUMMYFUNCTION("""COMPUTED_VALUE"""),"NO")</f>
        <v>NO</v>
      </c>
      <c r="E149" s="6" t="str">
        <f ca="1">IFERROR(__xludf.DUMMYFUNCTION("""COMPUTED_VALUE"""),"Getafe")</f>
        <v>Getafe</v>
      </c>
      <c r="F149" s="16">
        <f ca="1">IFERROR(__xludf.DUMMYFUNCTION("""COMPUTED_VALUE"""),45691)</f>
        <v>45691</v>
      </c>
      <c r="G149" s="16">
        <f ca="1">IFERROR(__xludf.DUMMYFUNCTION("""COMPUTED_VALUE"""),45672)</f>
        <v>45672</v>
      </c>
      <c r="H149" s="6" t="str">
        <f ca="1">IFERROR(__xludf.DUMMYFUNCTION("""COMPUTED_VALUE"""),"Getafe")</f>
        <v>Getafe</v>
      </c>
      <c r="I149" s="6" t="str">
        <f ca="1">IFERROR(__xludf.DUMMYFUNCTION("""COMPUTED_VALUE"""),"C2025120105631596")</f>
        <v>C2025120105631596</v>
      </c>
      <c r="J149" s="6" t="str">
        <f ca="1">IFERROR(__xludf.DUMMYFUNCTION("""COMPUTED_VALUE"""),"MARIA MERCEDES RUBIO GONZALEZ")</f>
        <v>MARIA MERCEDES RUBIO GONZALEZ</v>
      </c>
      <c r="K149" s="6">
        <f ca="1">IFERROR(__xludf.DUMMYFUNCTION("""COMPUTED_VALUE"""),2)</f>
        <v>2</v>
      </c>
      <c r="L149" s="139">
        <f ca="1">IFERROR(__xludf.DUMMYFUNCTION("""COMPUTED_VALUE"""),4000)</f>
        <v>4000</v>
      </c>
      <c r="M149" s="6" t="str">
        <f ca="1">IFERROR(__xludf.DUMMYFUNCTION("""COMPUTED_VALUE"""),"03 ORL")</f>
        <v>03 ORL</v>
      </c>
      <c r="N149" s="6" t="str">
        <f ca="1">IFERROR(__xludf.DUMMYFUNCTION("""COMPUTED_VALUE"""),"06 ORL")</f>
        <v>06 ORL</v>
      </c>
      <c r="O149" s="6" t="str">
        <f ca="1">IFERROR(__xludf.DUMMYFUNCTION("""COMPUTED_VALUE"""),"Dr, Jonathan Esteban Sánchez")</f>
        <v>Dr, Jonathan Esteban Sánchez</v>
      </c>
      <c r="P149" s="6" t="str">
        <f ca="1">IFERROR(__xludf.DUMMYFUNCTION("""COMPUTED_VALUE"""),"Maika Blázquez (Madrid)")</f>
        <v>Maika Blázquez (Madrid)</v>
      </c>
    </row>
    <row r="150" spans="2:16">
      <c r="B150" s="6">
        <f ca="1">IFERROR(__xludf.DUMMYFUNCTION("""COMPUTED_VALUE"""),2025)</f>
        <v>2025</v>
      </c>
      <c r="C150" s="6">
        <f ca="1">IFERROR(__xludf.DUMMYFUNCTION("""COMPUTED_VALUE"""),2)</f>
        <v>2</v>
      </c>
      <c r="D150" s="6" t="str">
        <f ca="1">IFERROR(__xludf.DUMMYFUNCTION("""COMPUTED_VALUE"""),"NO")</f>
        <v>NO</v>
      </c>
      <c r="E150" s="6" t="str">
        <f ca="1">IFERROR(__xludf.DUMMYFUNCTION("""COMPUTED_VALUE"""),"Alicante")</f>
        <v>Alicante</v>
      </c>
      <c r="F150" s="16">
        <f ca="1">IFERROR(__xludf.DUMMYFUNCTION("""COMPUTED_VALUE"""),45691)</f>
        <v>45691</v>
      </c>
      <c r="G150" s="16">
        <f ca="1">IFERROR(__xludf.DUMMYFUNCTION("""COMPUTED_VALUE"""),45672)</f>
        <v>45672</v>
      </c>
      <c r="H150" s="6" t="str">
        <f ca="1">IFERROR(__xludf.DUMMYFUNCTION("""COMPUTED_VALUE"""),"Alicante")</f>
        <v>Alicante</v>
      </c>
      <c r="I150" s="6" t="str">
        <f ca="1">IFERROR(__xludf.DUMMYFUNCTION("""COMPUTED_VALUE"""),"C2025120965649")</f>
        <v>C2025120965649</v>
      </c>
      <c r="J150" s="6" t="str">
        <f ca="1">IFERROR(__xludf.DUMMYFUNCTION("""COMPUTED_VALUE"""),"JAVIER PELLIN CATALA")</f>
        <v>JAVIER PELLIN CATALA</v>
      </c>
      <c r="K150" s="6">
        <f ca="1">IFERROR(__xludf.DUMMYFUNCTION("""COMPUTED_VALUE"""),1)</f>
        <v>1</v>
      </c>
      <c r="L150" s="139">
        <f ca="1">IFERROR(__xludf.DUMMYFUNCTION("""COMPUTED_VALUE"""),1732.73)</f>
        <v>1732.73</v>
      </c>
      <c r="M150" s="6" t="str">
        <f ca="1">IFERROR(__xludf.DUMMYFUNCTION("""COMPUTED_VALUE"""),"03 ORL")</f>
        <v>03 ORL</v>
      </c>
      <c r="N150" s="6" t="str">
        <f ca="1">IFERROR(__xludf.DUMMYFUNCTION("""COMPUTED_VALUE"""),"06 ORL")</f>
        <v>06 ORL</v>
      </c>
      <c r="O150" s="6" t="str">
        <f ca="1">IFERROR(__xludf.DUMMYFUNCTION("""COMPUTED_VALUE"""),"Dr, Francisco Javier Cerdán Baeza")</f>
        <v>Dr, Francisco Javier Cerdán Baeza</v>
      </c>
      <c r="P150" s="6" t="str">
        <f ca="1">IFERROR(__xludf.DUMMYFUNCTION("""COMPUTED_VALUE"""),"Iván Sánchez (Levante Y Albacete)")</f>
        <v>Iván Sánchez (Levante Y Albacete)</v>
      </c>
    </row>
    <row r="151" spans="2:16">
      <c r="B151" s="6">
        <f ca="1">IFERROR(__xludf.DUMMYFUNCTION("""COMPUTED_VALUE"""),2025)</f>
        <v>2025</v>
      </c>
      <c r="C151" s="6">
        <f ca="1">IFERROR(__xludf.DUMMYFUNCTION("""COMPUTED_VALUE"""),2)</f>
        <v>2</v>
      </c>
      <c r="D151" s="6" t="str">
        <f ca="1">IFERROR(__xludf.DUMMYFUNCTION("""COMPUTED_VALUE"""),"NO")</f>
        <v>NO</v>
      </c>
      <c r="E151" s="6" t="str">
        <f ca="1">IFERROR(__xludf.DUMMYFUNCTION("""COMPUTED_VALUE"""),"Madrid- La Oca")</f>
        <v>Madrid- La Oca</v>
      </c>
      <c r="F151" s="16">
        <f ca="1">IFERROR(__xludf.DUMMYFUNCTION("""COMPUTED_VALUE"""),45691)</f>
        <v>45691</v>
      </c>
      <c r="G151" s="16">
        <f ca="1">IFERROR(__xludf.DUMMYFUNCTION("""COMPUTED_VALUE"""),45659)</f>
        <v>45659</v>
      </c>
      <c r="H151" s="6" t="str">
        <f ca="1">IFERROR(__xludf.DUMMYFUNCTION("""COMPUTED_VALUE"""),"La Oca")</f>
        <v>La Oca</v>
      </c>
      <c r="I151" s="6" t="str">
        <f ca="1">IFERROR(__xludf.DUMMYFUNCTION("""COMPUTED_VALUE"""),"C202518112918935")</f>
        <v>C202518112918935</v>
      </c>
      <c r="J151" s="6" t="str">
        <f ca="1">IFERROR(__xludf.DUMMYFUNCTION("""COMPUTED_VALUE"""),"ELVIRA LOPEZ RODRIGUEZ")</f>
        <v>ELVIRA LOPEZ RODRIGUEZ</v>
      </c>
      <c r="K151" s="6">
        <f ca="1">IFERROR(__xludf.DUMMYFUNCTION("""COMPUTED_VALUE"""),1)</f>
        <v>1</v>
      </c>
      <c r="L151" s="139">
        <f ca="1">IFERROR(__xludf.DUMMYFUNCTION("""COMPUTED_VALUE"""),2400)</f>
        <v>2400</v>
      </c>
      <c r="M151" s="6" t="str">
        <f ca="1">IFERROR(__xludf.DUMMYFUNCTION("""COMPUTED_VALUE"""),"03 ORL")</f>
        <v>03 ORL</v>
      </c>
      <c r="N151" s="6" t="str">
        <f ca="1">IFERROR(__xludf.DUMMYFUNCTION("""COMPUTED_VALUE"""),"22 AUDIOMETRIA CLINICA")</f>
        <v>22 AUDIOMETRIA CLINICA</v>
      </c>
      <c r="O151" s="6" t="str">
        <f ca="1">IFERROR(__xludf.DUMMYFUNCTION("""COMPUTED_VALUE"""),"Dra, Bárbara Castillo Ávila")</f>
        <v>Dra, Bárbara Castillo Ávila</v>
      </c>
      <c r="P151" s="6" t="str">
        <f ca="1">IFERROR(__xludf.DUMMYFUNCTION("""COMPUTED_VALUE"""),"Maika Blázquez (Madrid)")</f>
        <v>Maika Blázquez (Madrid)</v>
      </c>
    </row>
    <row r="152" spans="2:16">
      <c r="B152" s="6">
        <f ca="1">IFERROR(__xludf.DUMMYFUNCTION("""COMPUTED_VALUE"""),2025)</f>
        <v>2025</v>
      </c>
      <c r="C152" s="6">
        <f ca="1">IFERROR(__xludf.DUMMYFUNCTION("""COMPUTED_VALUE"""),2)</f>
        <v>2</v>
      </c>
      <c r="D152" s="6" t="str">
        <f ca="1">IFERROR(__xludf.DUMMYFUNCTION("""COMPUTED_VALUE"""),"NO")</f>
        <v>NO</v>
      </c>
      <c r="E152" s="6" t="str">
        <f ca="1">IFERROR(__xludf.DUMMYFUNCTION("""COMPUTED_VALUE"""),"Madrid- La Oca")</f>
        <v>Madrid- La Oca</v>
      </c>
      <c r="F152" s="16">
        <f ca="1">IFERROR(__xludf.DUMMYFUNCTION("""COMPUTED_VALUE"""),45691)</f>
        <v>45691</v>
      </c>
      <c r="G152" s="16">
        <f ca="1">IFERROR(__xludf.DUMMYFUNCTION("""COMPUTED_VALUE"""),45582)</f>
        <v>45582</v>
      </c>
      <c r="H152" s="6" t="str">
        <f ca="1">IFERROR(__xludf.DUMMYFUNCTION("""COMPUTED_VALUE"""),"La Oca")</f>
        <v>La Oca</v>
      </c>
      <c r="I152" s="6" t="str">
        <f ca="1">IFERROR(__xludf.DUMMYFUNCTION("""COMPUTED_VALUE"""),"C20241213123222368")</f>
        <v>C20241213123222368</v>
      </c>
      <c r="J152" s="6" t="str">
        <f ca="1">IFERROR(__xludf.DUMMYFUNCTION("""COMPUTED_VALUE"""),"MARIA DEL PILAR PORRAS BAENA")</f>
        <v>MARIA DEL PILAR PORRAS BAENA</v>
      </c>
      <c r="K152" s="6">
        <f ca="1">IFERROR(__xludf.DUMMYFUNCTION("""COMPUTED_VALUE"""),1)</f>
        <v>1</v>
      </c>
      <c r="L152" s="139">
        <f ca="1">IFERROR(__xludf.DUMMYFUNCTION("""COMPUTED_VALUE"""),2226.36)</f>
        <v>2226.36</v>
      </c>
      <c r="M152" s="6" t="str">
        <f ca="1">IFERROR(__xludf.DUMMYFUNCTION("""COMPUTED_VALUE"""),"03 ORL")</f>
        <v>03 ORL</v>
      </c>
      <c r="N152" s="6" t="str">
        <f ca="1">IFERROR(__xludf.DUMMYFUNCTION("""COMPUTED_VALUE"""),"06 ORL")</f>
        <v>06 ORL</v>
      </c>
      <c r="O152" s="6" t="str">
        <f ca="1">IFERROR(__xludf.DUMMYFUNCTION("""COMPUTED_VALUE"""),"Dr, José Joaquín Gutiérrez Barquín")</f>
        <v>Dr, José Joaquín Gutiérrez Barquín</v>
      </c>
      <c r="P152" s="6" t="str">
        <f ca="1">IFERROR(__xludf.DUMMYFUNCTION("""COMPUTED_VALUE"""),"Maika Blázquez (Madrid)")</f>
        <v>Maika Blázquez (Madrid)</v>
      </c>
    </row>
    <row r="153" spans="2:16">
      <c r="B153" s="6">
        <f ca="1">IFERROR(__xludf.DUMMYFUNCTION("""COMPUTED_VALUE"""),2025)</f>
        <v>2025</v>
      </c>
      <c r="C153" s="6">
        <f ca="1">IFERROR(__xludf.DUMMYFUNCTION("""COMPUTED_VALUE"""),2)</f>
        <v>2</v>
      </c>
      <c r="D153" s="6" t="str">
        <f ca="1">IFERROR(__xludf.DUMMYFUNCTION("""COMPUTED_VALUE"""),"NO")</f>
        <v>NO</v>
      </c>
      <c r="E153" s="6" t="str">
        <f ca="1">IFERROR(__xludf.DUMMYFUNCTION("""COMPUTED_VALUE"""),"Madrid- Canillas")</f>
        <v>Madrid- Canillas</v>
      </c>
      <c r="F153" s="16">
        <f ca="1">IFERROR(__xludf.DUMMYFUNCTION("""COMPUTED_VALUE"""),45691)</f>
        <v>45691</v>
      </c>
      <c r="G153" s="16">
        <f ca="1">IFERROR(__xludf.DUMMYFUNCTION("""COMPUTED_VALUE"""),45435)</f>
        <v>45435</v>
      </c>
      <c r="H153" s="6" t="str">
        <f ca="1">IFERROR(__xludf.DUMMYFUNCTION("""COMPUTED_VALUE"""),"Canillas")</f>
        <v>Canillas</v>
      </c>
      <c r="I153" s="6" t="str">
        <f ca="1">IFERROR(__xludf.DUMMYFUNCTION("""COMPUTED_VALUE"""),"HOR-2220")</f>
        <v>HOR-2220</v>
      </c>
      <c r="J153" s="6" t="str">
        <f ca="1">IFERROR(__xludf.DUMMYFUNCTION("""COMPUTED_VALUE"""),"JANINE EMMANUELLE ANGE OMONT")</f>
        <v>JANINE EMMANUELLE ANGE OMONT</v>
      </c>
      <c r="K153" s="6">
        <f ca="1">IFERROR(__xludf.DUMMYFUNCTION("""COMPUTED_VALUE"""),2)</f>
        <v>2</v>
      </c>
      <c r="L153" s="139">
        <f ca="1">IFERROR(__xludf.DUMMYFUNCTION("""COMPUTED_VALUE"""),2888.18)</f>
        <v>2888.18</v>
      </c>
      <c r="M153" s="6" t="str">
        <f ca="1">IFERROR(__xludf.DUMMYFUNCTION("""COMPUTED_VALUE"""),"03 ORL")</f>
        <v>03 ORL</v>
      </c>
      <c r="N153" s="6" t="str">
        <f ca="1">IFERROR(__xludf.DUMMYFUNCTION("""COMPUTED_VALUE"""),"06 ORL")</f>
        <v>06 ORL</v>
      </c>
      <c r="O153" s="6" t="str">
        <f ca="1">IFERROR(__xludf.DUMMYFUNCTION("""COMPUTED_VALUE"""),"Dr, Jesús Tomás Onrubia Parra")</f>
        <v>Dr, Jesús Tomás Onrubia Parra</v>
      </c>
      <c r="P153" s="6" t="str">
        <f ca="1">IFERROR(__xludf.DUMMYFUNCTION("""COMPUTED_VALUE"""),"Maika Blázquez (Madrid)")</f>
        <v>Maika Blázquez (Madrid)</v>
      </c>
    </row>
    <row r="154" spans="2:16">
      <c r="B154" s="6">
        <f ca="1">IFERROR(__xludf.DUMMYFUNCTION("""COMPUTED_VALUE"""),2025)</f>
        <v>2025</v>
      </c>
      <c r="C154" s="6">
        <f ca="1">IFERROR(__xludf.DUMMYFUNCTION("""COMPUTED_VALUE"""),2)</f>
        <v>2</v>
      </c>
      <c r="D154" s="6" t="str">
        <f ca="1">IFERROR(__xludf.DUMMYFUNCTION("""COMPUTED_VALUE"""),"NO")</f>
        <v>NO</v>
      </c>
      <c r="E154" s="6" t="str">
        <f ca="1">IFERROR(__xludf.DUMMYFUNCTION("""COMPUTED_VALUE"""),"Alicante")</f>
        <v>Alicante</v>
      </c>
      <c r="F154" s="16">
        <f ca="1">IFERROR(__xludf.DUMMYFUNCTION("""COMPUTED_VALUE"""),45691)</f>
        <v>45691</v>
      </c>
      <c r="G154" s="16">
        <f ca="1">IFERROR(__xludf.DUMMYFUNCTION("""COMPUTED_VALUE"""),45313)</f>
        <v>45313</v>
      </c>
      <c r="H154" s="6" t="str">
        <f ca="1">IFERROR(__xludf.DUMMYFUNCTION("""COMPUTED_VALUE"""),"Alicante")</f>
        <v>Alicante</v>
      </c>
      <c r="I154" s="6" t="str">
        <f ca="1">IFERROR(__xludf.DUMMYFUNCTION("""COMPUTED_VALUE"""),"ALC-3764")</f>
        <v>ALC-3764</v>
      </c>
      <c r="J154" s="6" t="str">
        <f ca="1">IFERROR(__xludf.DUMMYFUNCTION("""COMPUTED_VALUE"""),"CESAR MARTIN RUBIO")</f>
        <v>CESAR MARTIN RUBIO</v>
      </c>
      <c r="K154" s="6">
        <f ca="1">IFERROR(__xludf.DUMMYFUNCTION("""COMPUTED_VALUE"""),2)</f>
        <v>2</v>
      </c>
      <c r="L154" s="139">
        <f ca="1">IFERROR(__xludf.DUMMYFUNCTION("""COMPUTED_VALUE"""),4000)</f>
        <v>4000</v>
      </c>
      <c r="M154" s="6" t="str">
        <f ca="1">IFERROR(__xludf.DUMMYFUNCTION("""COMPUTED_VALUE"""),"03 ORL")</f>
        <v>03 ORL</v>
      </c>
      <c r="N154" s="6" t="str">
        <f ca="1">IFERROR(__xludf.DUMMYFUNCTION("""COMPUTED_VALUE"""),"06 ORL")</f>
        <v>06 ORL</v>
      </c>
      <c r="O154" s="6" t="str">
        <f ca="1">IFERROR(__xludf.DUMMYFUNCTION("""COMPUTED_VALUE"""),"Dr, Francisco Pastor Beviá")</f>
        <v>Dr, Francisco Pastor Beviá</v>
      </c>
      <c r="P154" s="6" t="str">
        <f ca="1">IFERROR(__xludf.DUMMYFUNCTION("""COMPUTED_VALUE"""),"Iván Sánchez (Levante Y Albacete)")</f>
        <v>Iván Sánchez (Levante Y Albacete)</v>
      </c>
    </row>
    <row r="155" spans="2:16">
      <c r="B155" s="6">
        <f ca="1">IFERROR(__xludf.DUMMYFUNCTION("""COMPUTED_VALUE"""),2025)</f>
        <v>2025</v>
      </c>
      <c r="C155" s="6">
        <f ca="1">IFERROR(__xludf.DUMMYFUNCTION("""COMPUTED_VALUE"""),2)</f>
        <v>2</v>
      </c>
      <c r="D155" s="6" t="str">
        <f ca="1">IFERROR(__xludf.DUMMYFUNCTION("""COMPUTED_VALUE"""),"NO")</f>
        <v>NO</v>
      </c>
      <c r="E155" s="6" t="str">
        <f ca="1">IFERROR(__xludf.DUMMYFUNCTION("""COMPUTED_VALUE"""),"Madrid- La Oca")</f>
        <v>Madrid- La Oca</v>
      </c>
      <c r="F155" s="16">
        <f ca="1">IFERROR(__xludf.DUMMYFUNCTION("""COMPUTED_VALUE"""),45692)</f>
        <v>45692</v>
      </c>
      <c r="G155" s="16">
        <f ca="1">IFERROR(__xludf.DUMMYFUNCTION("""COMPUTED_VALUE"""),45664)</f>
        <v>45664</v>
      </c>
      <c r="H155" s="6" t="str">
        <f ca="1">IFERROR(__xludf.DUMMYFUNCTION("""COMPUTED_VALUE"""),"La Oca")</f>
        <v>La Oca</v>
      </c>
      <c r="I155" s="6" t="str">
        <f ca="1">IFERROR(__xludf.DUMMYFUNCTION("""COMPUTED_VALUE"""),"C2025114105110182")</f>
        <v>C2025114105110182</v>
      </c>
      <c r="J155" s="6" t="str">
        <f ca="1">IFERROR(__xludf.DUMMYFUNCTION("""COMPUTED_VALUE"""),"RAFAELA ALARCON SANCHEZ")</f>
        <v>RAFAELA ALARCON SANCHEZ</v>
      </c>
      <c r="K155" s="6">
        <f ca="1">IFERROR(__xludf.DUMMYFUNCTION("""COMPUTED_VALUE"""),2)</f>
        <v>2</v>
      </c>
      <c r="L155" s="139">
        <f ca="1">IFERROR(__xludf.DUMMYFUNCTION("""COMPUTED_VALUE"""),3524.55)</f>
        <v>3524.55</v>
      </c>
      <c r="M155" s="6" t="str">
        <f ca="1">IFERROR(__xludf.DUMMYFUNCTION("""COMPUTED_VALUE"""),"03 ORL")</f>
        <v>03 ORL</v>
      </c>
      <c r="N155" s="6" t="str">
        <f ca="1">IFERROR(__xludf.DUMMYFUNCTION("""COMPUTED_VALUE"""),"22 AUDIOMETRIA CLINICA")</f>
        <v>22 AUDIOMETRIA CLINICA</v>
      </c>
      <c r="O155" s="6" t="str">
        <f ca="1">IFERROR(__xludf.DUMMYFUNCTION("""COMPUTED_VALUE"""),"Dr, José Joaquín Gutiérrez Barquín")</f>
        <v>Dr, José Joaquín Gutiérrez Barquín</v>
      </c>
      <c r="P155" s="6" t="str">
        <f ca="1">IFERROR(__xludf.DUMMYFUNCTION("""COMPUTED_VALUE"""),"Maika Blázquez (Madrid)")</f>
        <v>Maika Blázquez (Madrid)</v>
      </c>
    </row>
    <row r="156" spans="2:16">
      <c r="B156" s="6">
        <f ca="1">IFERROR(__xludf.DUMMYFUNCTION("""COMPUTED_VALUE"""),2025)</f>
        <v>2025</v>
      </c>
      <c r="C156" s="6">
        <f ca="1">IFERROR(__xludf.DUMMYFUNCTION("""COMPUTED_VALUE"""),2)</f>
        <v>2</v>
      </c>
      <c r="D156" s="6" t="str">
        <f ca="1">IFERROR(__xludf.DUMMYFUNCTION("""COMPUTED_VALUE"""),"NO")</f>
        <v>NO</v>
      </c>
      <c r="E156" s="6" t="str">
        <f ca="1">IFERROR(__xludf.DUMMYFUNCTION("""COMPUTED_VALUE"""),"Logroño")</f>
        <v>Logroño</v>
      </c>
      <c r="F156" s="16">
        <f ca="1">IFERROR(__xludf.DUMMYFUNCTION("""COMPUTED_VALUE"""),45692)</f>
        <v>45692</v>
      </c>
      <c r="G156" s="16">
        <f ca="1">IFERROR(__xludf.DUMMYFUNCTION("""COMPUTED_VALUE"""),45649)</f>
        <v>45649</v>
      </c>
      <c r="H156" s="6" t="str">
        <f ca="1">IFERROR(__xludf.DUMMYFUNCTION("""COMPUTED_VALUE"""),"Logroño")</f>
        <v>Logroño</v>
      </c>
      <c r="I156" s="6" t="str">
        <f ca="1">IFERROR(__xludf.DUMMYFUNCTION("""COMPUTED_VALUE"""),"C2024122612488864")</f>
        <v>C2024122612488864</v>
      </c>
      <c r="J156" s="6" t="str">
        <f ca="1">IFERROR(__xludf.DUMMYFUNCTION("""COMPUTED_VALUE"""),"TRINIDAD CHICOTE FERNANDEZ")</f>
        <v>TRINIDAD CHICOTE FERNANDEZ</v>
      </c>
      <c r="K156" s="6">
        <f ca="1">IFERROR(__xludf.DUMMYFUNCTION("""COMPUTED_VALUE"""),2)</f>
        <v>2</v>
      </c>
      <c r="L156" s="139">
        <f ca="1">IFERROR(__xludf.DUMMYFUNCTION("""COMPUTED_VALUE"""),3454.55)</f>
        <v>3454.55</v>
      </c>
      <c r="M156" s="6" t="str">
        <f ca="1">IFERROR(__xludf.DUMMYFUNCTION("""COMPUTED_VALUE"""),"03 ORL")</f>
        <v>03 ORL</v>
      </c>
      <c r="N156" s="6" t="str">
        <f ca="1">IFERROR(__xludf.DUMMYFUNCTION("""COMPUTED_VALUE"""),"06 ORL")</f>
        <v>06 ORL</v>
      </c>
      <c r="O156" s="6" t="str">
        <f ca="1">IFERROR(__xludf.DUMMYFUNCTION("""COMPUTED_VALUE"""),"Dr, Fernando Salazar Barcelona")</f>
        <v>Dr, Fernando Salazar Barcelona</v>
      </c>
      <c r="P156" s="6" t="str">
        <f ca="1">IFERROR(__xludf.DUMMYFUNCTION("""COMPUTED_VALUE"""),"Lisandro Russian (Madrid, Cáceres, Toledo, Talavera Y Logroño)")</f>
        <v>Lisandro Russian (Madrid, Cáceres, Toledo, Talavera Y Logroño)</v>
      </c>
    </row>
    <row r="157" spans="2:16">
      <c r="B157" s="6">
        <f ca="1">IFERROR(__xludf.DUMMYFUNCTION("""COMPUTED_VALUE"""),2025)</f>
        <v>2025</v>
      </c>
      <c r="C157" s="6">
        <f ca="1">IFERROR(__xludf.DUMMYFUNCTION("""COMPUTED_VALUE"""),2)</f>
        <v>2</v>
      </c>
      <c r="D157" s="6" t="str">
        <f ca="1">IFERROR(__xludf.DUMMYFUNCTION("""COMPUTED_VALUE"""),"NO")</f>
        <v>NO</v>
      </c>
      <c r="E157" s="6" t="str">
        <f ca="1">IFERROR(__xludf.DUMMYFUNCTION("""COMPUTED_VALUE"""),"Albacete")</f>
        <v>Albacete</v>
      </c>
      <c r="F157" s="16">
        <f ca="1">IFERROR(__xludf.DUMMYFUNCTION("""COMPUTED_VALUE"""),45693)</f>
        <v>45693</v>
      </c>
      <c r="G157" s="16">
        <f ca="1">IFERROR(__xludf.DUMMYFUNCTION("""COMPUTED_VALUE"""),45671)</f>
        <v>45671</v>
      </c>
      <c r="H157" s="6" t="str">
        <f ca="1">IFERROR(__xludf.DUMMYFUNCTION("""COMPUTED_VALUE"""),"Albacete")</f>
        <v>Albacete</v>
      </c>
      <c r="I157" s="6" t="str">
        <f ca="1">IFERROR(__xludf.DUMMYFUNCTION("""COMPUTED_VALUE"""),"C2025114182939239")</f>
        <v>C2025114182939239</v>
      </c>
      <c r="J157" s="6" t="str">
        <f ca="1">IFERROR(__xludf.DUMMYFUNCTION("""COMPUTED_VALUE"""),"JUAN ANTONIO RODRIGUEZ GARCIA")</f>
        <v>JUAN ANTONIO RODRIGUEZ GARCIA</v>
      </c>
      <c r="K157" s="6">
        <f ca="1">IFERROR(__xludf.DUMMYFUNCTION("""COMPUTED_VALUE"""),1)</f>
        <v>1</v>
      </c>
      <c r="L157" s="139">
        <f ca="1">IFERROR(__xludf.DUMMYFUNCTION("""COMPUTED_VALUE"""),1732.73)</f>
        <v>1732.73</v>
      </c>
      <c r="M157" s="6" t="str">
        <f ca="1">IFERROR(__xludf.DUMMYFUNCTION("""COMPUTED_VALUE"""),"03 ORL")</f>
        <v>03 ORL</v>
      </c>
      <c r="N157" s="6" t="str">
        <f ca="1">IFERROR(__xludf.DUMMYFUNCTION("""COMPUTED_VALUE"""),"06 ORL")</f>
        <v>06 ORL</v>
      </c>
      <c r="O157" s="6" t="str">
        <f ca="1">IFERROR(__xludf.DUMMYFUNCTION("""COMPUTED_VALUE"""),"Dr, Pedro Seguí Moya")</f>
        <v>Dr, Pedro Seguí Moya</v>
      </c>
      <c r="P157" s="6" t="str">
        <f ca="1">IFERROR(__xludf.DUMMYFUNCTION("""COMPUTED_VALUE"""),"Iván Sánchez (Levante Y Albacete)")</f>
        <v>Iván Sánchez (Levante Y Albacete)</v>
      </c>
    </row>
    <row r="158" spans="2:16">
      <c r="B158" s="6">
        <f ca="1">IFERROR(__xludf.DUMMYFUNCTION("""COMPUTED_VALUE"""),2025)</f>
        <v>2025</v>
      </c>
      <c r="C158" s="6">
        <f ca="1">IFERROR(__xludf.DUMMYFUNCTION("""COMPUTED_VALUE"""),2)</f>
        <v>2</v>
      </c>
      <c r="D158" s="6" t="str">
        <f ca="1">IFERROR(__xludf.DUMMYFUNCTION("""COMPUTED_VALUE"""),"NO")</f>
        <v>NO</v>
      </c>
      <c r="E158" s="6" t="str">
        <f ca="1">IFERROR(__xludf.DUMMYFUNCTION("""COMPUTED_VALUE"""),"Madrid- Canillas")</f>
        <v>Madrid- Canillas</v>
      </c>
      <c r="F158" s="16">
        <f ca="1">IFERROR(__xludf.DUMMYFUNCTION("""COMPUTED_VALUE"""),45693)</f>
        <v>45693</v>
      </c>
      <c r="G158" s="16">
        <f ca="1">IFERROR(__xludf.DUMMYFUNCTION("""COMPUTED_VALUE"""),45540)</f>
        <v>45540</v>
      </c>
      <c r="H158" s="6" t="str">
        <f ca="1">IFERROR(__xludf.DUMMYFUNCTION("""COMPUTED_VALUE"""),"Canillas")</f>
        <v>Canillas</v>
      </c>
      <c r="I158" s="6" t="str">
        <f ca="1">IFERROR(__xludf.DUMMYFUNCTION("""COMPUTED_VALUE"""),"C202491212122424")</f>
        <v>C202491212122424</v>
      </c>
      <c r="J158" s="6" t="str">
        <f ca="1">IFERROR(__xludf.DUMMYFUNCTION("""COMPUTED_VALUE"""),"ENCARNACION GARCIA JIMENEZ")</f>
        <v>ENCARNACION GARCIA JIMENEZ</v>
      </c>
      <c r="K158" s="6">
        <f ca="1">IFERROR(__xludf.DUMMYFUNCTION("""COMPUTED_VALUE"""),-2)</f>
        <v>-2</v>
      </c>
      <c r="L158" s="139">
        <f ca="1">IFERROR(__xludf.DUMMYFUNCTION("""COMPUTED_VALUE"""),-3800)</f>
        <v>-3800</v>
      </c>
      <c r="M158" s="6" t="str">
        <f ca="1">IFERROR(__xludf.DUMMYFUNCTION("""COMPUTED_VALUE"""),"03 ORL")</f>
        <v>03 ORL</v>
      </c>
      <c r="N158" s="6" t="str">
        <f ca="1">IFERROR(__xludf.DUMMYFUNCTION("""COMPUTED_VALUE"""),"06 ORL")</f>
        <v>06 ORL</v>
      </c>
      <c r="O158" s="6" t="str">
        <f ca="1">IFERROR(__xludf.DUMMYFUNCTION("""COMPUTED_VALUE"""),"Dr, Alfonso Santamaría Gadea")</f>
        <v>Dr, Alfonso Santamaría Gadea</v>
      </c>
      <c r="P158" s="6" t="str">
        <f ca="1">IFERROR(__xludf.DUMMYFUNCTION("""COMPUTED_VALUE"""),"Maika Blázquez (Madrid)")</f>
        <v>Maika Blázquez (Madrid)</v>
      </c>
    </row>
    <row r="159" spans="2:16">
      <c r="B159" s="6">
        <f ca="1">IFERROR(__xludf.DUMMYFUNCTION("""COMPUTED_VALUE"""),2025)</f>
        <v>2025</v>
      </c>
      <c r="C159" s="6">
        <f ca="1">IFERROR(__xludf.DUMMYFUNCTION("""COMPUTED_VALUE"""),2)</f>
        <v>2</v>
      </c>
      <c r="D159" s="6" t="str">
        <f ca="1">IFERROR(__xludf.DUMMYFUNCTION("""COMPUTED_VALUE"""),"NO")</f>
        <v>NO</v>
      </c>
      <c r="E159" s="6" t="str">
        <f ca="1">IFERROR(__xludf.DUMMYFUNCTION("""COMPUTED_VALUE"""),"Sevilla- Montoto")</f>
        <v>Sevilla- Montoto</v>
      </c>
      <c r="F159" s="16">
        <f ca="1">IFERROR(__xludf.DUMMYFUNCTION("""COMPUTED_VALUE"""),45693)</f>
        <v>45693</v>
      </c>
      <c r="G159" s="16">
        <f ca="1">IFERROR(__xludf.DUMMYFUNCTION("""COMPUTED_VALUE"""),45621)</f>
        <v>45621</v>
      </c>
      <c r="H159" s="6" t="str">
        <f ca="1">IFERROR(__xludf.DUMMYFUNCTION("""COMPUTED_VALUE"""),"Montoto")</f>
        <v>Montoto</v>
      </c>
      <c r="I159" s="6" t="str">
        <f ca="1">IFERROR(__xludf.DUMMYFUNCTION("""COMPUTED_VALUE"""),"C20241127151146637")</f>
        <v>C20241127151146637</v>
      </c>
      <c r="J159" s="6" t="str">
        <f ca="1">IFERROR(__xludf.DUMMYFUNCTION("""COMPUTED_VALUE"""),"MANUEL JESUS PEREZ SANCHEZ")</f>
        <v>MANUEL JESUS PEREZ SANCHEZ</v>
      </c>
      <c r="K159" s="6">
        <f ca="1">IFERROR(__xludf.DUMMYFUNCTION("""COMPUTED_VALUE"""),1)</f>
        <v>1</v>
      </c>
      <c r="L159" s="139">
        <f ca="1">IFERROR(__xludf.DUMMYFUNCTION("""COMPUTED_VALUE"""),1170)</f>
        <v>1170</v>
      </c>
      <c r="M159" s="6" t="str">
        <f ca="1">IFERROR(__xludf.DUMMYFUNCTION("""COMPUTED_VALUE"""),"03 ORL")</f>
        <v>03 ORL</v>
      </c>
      <c r="N159" s="6" t="str">
        <f ca="1">IFERROR(__xludf.DUMMYFUNCTION("""COMPUTED_VALUE"""),"06 ORL")</f>
        <v>06 ORL</v>
      </c>
      <c r="O159" s="6" t="str">
        <f ca="1">IFERROR(__xludf.DUMMYFUNCTION("""COMPUTED_VALUE"""),"Dr, Francisco Ropero Romero")</f>
        <v>Dr, Francisco Ropero Romero</v>
      </c>
      <c r="P159" s="6" t="str">
        <f ca="1">IFERROR(__xludf.DUMMYFUNCTION("""COMPUTED_VALUE"""),"Luis Alberto Rodríguez (Andalucía Y Badajoz)")</f>
        <v>Luis Alberto Rodríguez (Andalucía Y Badajoz)</v>
      </c>
    </row>
    <row r="160" spans="2:16">
      <c r="B160" s="6">
        <f ca="1">IFERROR(__xludf.DUMMYFUNCTION("""COMPUTED_VALUE"""),2025)</f>
        <v>2025</v>
      </c>
      <c r="C160" s="6">
        <f ca="1">IFERROR(__xludf.DUMMYFUNCTION("""COMPUTED_VALUE"""),2)</f>
        <v>2</v>
      </c>
      <c r="D160" s="6" t="str">
        <f ca="1">IFERROR(__xludf.DUMMYFUNCTION("""COMPUTED_VALUE"""),"NO")</f>
        <v>NO</v>
      </c>
      <c r="E160" s="6" t="str">
        <f ca="1">IFERROR(__xludf.DUMMYFUNCTION("""COMPUTED_VALUE"""),"Ourense")</f>
        <v>Ourense</v>
      </c>
      <c r="F160" s="16">
        <f ca="1">IFERROR(__xludf.DUMMYFUNCTION("""COMPUTED_VALUE"""),45693)</f>
        <v>45693</v>
      </c>
      <c r="G160" s="16">
        <f ca="1">IFERROR(__xludf.DUMMYFUNCTION("""COMPUTED_VALUE"""),45652)</f>
        <v>45652</v>
      </c>
      <c r="H160" s="6" t="str">
        <f ca="1">IFERROR(__xludf.DUMMYFUNCTION("""COMPUTED_VALUE"""),"Orense")</f>
        <v>Orense</v>
      </c>
      <c r="I160" s="6" t="str">
        <f ca="1">IFERROR(__xludf.DUMMYFUNCTION("""COMPUTED_VALUE"""),"C202518163012145")</f>
        <v>C202518163012145</v>
      </c>
      <c r="J160" s="6" t="str">
        <f ca="1">IFERROR(__xludf.DUMMYFUNCTION("""COMPUTED_VALUE"""),"CONCEPCION GOMEZ FERNANDEZ")</f>
        <v>CONCEPCION GOMEZ FERNANDEZ</v>
      </c>
      <c r="K160" s="6">
        <f ca="1">IFERROR(__xludf.DUMMYFUNCTION("""COMPUTED_VALUE"""),2)</f>
        <v>2</v>
      </c>
      <c r="L160" s="139">
        <f ca="1">IFERROR(__xludf.DUMMYFUNCTION("""COMPUTED_VALUE"""),2888.18)</f>
        <v>2888.18</v>
      </c>
      <c r="M160" s="6" t="str">
        <f ca="1">IFERROR(__xludf.DUMMYFUNCTION("""COMPUTED_VALUE"""),"03 ORL")</f>
        <v>03 ORL</v>
      </c>
      <c r="N160" s="6" t="str">
        <f ca="1">IFERROR(__xludf.DUMMYFUNCTION("""COMPUTED_VALUE"""),"06 ORL")</f>
        <v>06 ORL</v>
      </c>
      <c r="O160" s="6" t="str">
        <f ca="1">IFERROR(__xludf.DUMMYFUNCTION("""COMPUTED_VALUE"""),"Dr, Mohamed Al Rifal Al Masti")</f>
        <v>Dr, Mohamed Al Rifal Al Masti</v>
      </c>
      <c r="P160" s="6" t="str">
        <f ca="1">IFERROR(__xludf.DUMMYFUNCTION("""COMPUTED_VALUE"""),"Roberto Pereira (Galicia)")</f>
        <v>Roberto Pereira (Galicia)</v>
      </c>
    </row>
    <row r="161" spans="2:16">
      <c r="B161" s="6">
        <f ca="1">IFERROR(__xludf.DUMMYFUNCTION("""COMPUTED_VALUE"""),2025)</f>
        <v>2025</v>
      </c>
      <c r="C161" s="6">
        <f ca="1">IFERROR(__xludf.DUMMYFUNCTION("""COMPUTED_VALUE"""),2)</f>
        <v>2</v>
      </c>
      <c r="D161" s="6" t="str">
        <f ca="1">IFERROR(__xludf.DUMMYFUNCTION("""COMPUTED_VALUE"""),"NO")</f>
        <v>NO</v>
      </c>
      <c r="E161" s="6" t="str">
        <f ca="1">IFERROR(__xludf.DUMMYFUNCTION("""COMPUTED_VALUE"""),"Murcia")</f>
        <v>Murcia</v>
      </c>
      <c r="F161" s="16">
        <f ca="1">IFERROR(__xludf.DUMMYFUNCTION("""COMPUTED_VALUE"""),45693)</f>
        <v>45693</v>
      </c>
      <c r="G161" s="16">
        <f ca="1">IFERROR(__xludf.DUMMYFUNCTION("""COMPUTED_VALUE"""),45671)</f>
        <v>45671</v>
      </c>
      <c r="H161" s="6" t="str">
        <f ca="1">IFERROR(__xludf.DUMMYFUNCTION("""COMPUTED_VALUE"""),"Murcia")</f>
        <v>Murcia</v>
      </c>
      <c r="I161" s="6" t="str">
        <f ca="1">IFERROR(__xludf.DUMMYFUNCTION("""COMPUTED_VALUE"""),"C2025116111817261")</f>
        <v>C2025116111817261</v>
      </c>
      <c r="J161" s="6" t="str">
        <f ca="1">IFERROR(__xludf.DUMMYFUNCTION("""COMPUTED_VALUE"""),"JOSEFA LOPEZ GARCIA")</f>
        <v>JOSEFA LOPEZ GARCIA</v>
      </c>
      <c r="K161" s="6">
        <f ca="1">IFERROR(__xludf.DUMMYFUNCTION("""COMPUTED_VALUE"""),1)</f>
        <v>1</v>
      </c>
      <c r="L161" s="139">
        <f ca="1">IFERROR(__xludf.DUMMYFUNCTION("""COMPUTED_VALUE"""),2226.36)</f>
        <v>2226.36</v>
      </c>
      <c r="M161" s="6" t="str">
        <f ca="1">IFERROR(__xludf.DUMMYFUNCTION("""COMPUTED_VALUE"""),"03 ORL")</f>
        <v>03 ORL</v>
      </c>
      <c r="N161" s="6" t="str">
        <f ca="1">IFERROR(__xludf.DUMMYFUNCTION("""COMPUTED_VALUE"""),"06 ORL")</f>
        <v>06 ORL</v>
      </c>
      <c r="O161" s="6" t="str">
        <f ca="1">IFERROR(__xludf.DUMMYFUNCTION("""COMPUTED_VALUE"""),"Dra, Aida Aviñoa Arias")</f>
        <v>Dra, Aida Aviñoa Arias</v>
      </c>
      <c r="P161" s="6" t="str">
        <f ca="1">IFERROR(__xludf.DUMMYFUNCTION("""COMPUTED_VALUE"""),"Iván Sánchez (Levante Y Albacete)")</f>
        <v>Iván Sánchez (Levante Y Albacete)</v>
      </c>
    </row>
    <row r="162" spans="2:16">
      <c r="B162" s="6">
        <f ca="1">IFERROR(__xludf.DUMMYFUNCTION("""COMPUTED_VALUE"""),2025)</f>
        <v>2025</v>
      </c>
      <c r="C162" s="6">
        <f ca="1">IFERROR(__xludf.DUMMYFUNCTION("""COMPUTED_VALUE"""),2)</f>
        <v>2</v>
      </c>
      <c r="D162" s="6" t="str">
        <f ca="1">IFERROR(__xludf.DUMMYFUNCTION("""COMPUTED_VALUE"""),"NO")</f>
        <v>NO</v>
      </c>
      <c r="E162" s="6" t="str">
        <f ca="1">IFERROR(__xludf.DUMMYFUNCTION("""COMPUTED_VALUE"""),"Oviedo")</f>
        <v>Oviedo</v>
      </c>
      <c r="F162" s="16">
        <f ca="1">IFERROR(__xludf.DUMMYFUNCTION("""COMPUTED_VALUE"""),45694)</f>
        <v>45694</v>
      </c>
      <c r="G162" s="16">
        <f ca="1">IFERROR(__xludf.DUMMYFUNCTION("""COMPUTED_VALUE"""),45609)</f>
        <v>45609</v>
      </c>
      <c r="H162" s="6" t="str">
        <f ca="1">IFERROR(__xludf.DUMMYFUNCTION("""COMPUTED_VALUE"""),"Oviedo")</f>
        <v>Oviedo</v>
      </c>
      <c r="I162" s="6" t="str">
        <f ca="1">IFERROR(__xludf.DUMMYFUNCTION("""COMPUTED_VALUE"""),"C20241114181152293")</f>
        <v>C20241114181152293</v>
      </c>
      <c r="J162" s="6" t="str">
        <f ca="1">IFERROR(__xludf.DUMMYFUNCTION("""COMPUTED_VALUE"""),"MARIA JESÚS CARDO GARCÍA")</f>
        <v>MARIA JESÚS CARDO GARCÍA</v>
      </c>
      <c r="K162" s="6">
        <f ca="1">IFERROR(__xludf.DUMMYFUNCTION("""COMPUTED_VALUE"""),2)</f>
        <v>2</v>
      </c>
      <c r="L162" s="139">
        <f ca="1">IFERROR(__xludf.DUMMYFUNCTION("""COMPUTED_VALUE"""),4000)</f>
        <v>4000</v>
      </c>
      <c r="M162" s="6" t="str">
        <f ca="1">IFERROR(__xludf.DUMMYFUNCTION("""COMPUTED_VALUE"""),"03 ORL")</f>
        <v>03 ORL</v>
      </c>
      <c r="N162" s="6" t="str">
        <f ca="1">IFERROR(__xludf.DUMMYFUNCTION("""COMPUTED_VALUE"""),"06 ORL")</f>
        <v>06 ORL</v>
      </c>
      <c r="O162" s="6" t="str">
        <f ca="1">IFERROR(__xludf.DUMMYFUNCTION("""COMPUTED_VALUE"""),"Dr, Pedro Barthe García")</f>
        <v>Dr, Pedro Barthe García</v>
      </c>
      <c r="P162" s="6" t="str">
        <f ca="1">IFERROR(__xludf.DUMMYFUNCTION("""COMPUTED_VALUE"""),"Alberto Moreno")</f>
        <v>Alberto Moreno</v>
      </c>
    </row>
    <row r="163" spans="2:16">
      <c r="B163" s="6">
        <f ca="1">IFERROR(__xludf.DUMMYFUNCTION("""COMPUTED_VALUE"""),2025)</f>
        <v>2025</v>
      </c>
      <c r="C163" s="6">
        <f ca="1">IFERROR(__xludf.DUMMYFUNCTION("""COMPUTED_VALUE"""),2)</f>
        <v>2</v>
      </c>
      <c r="D163" s="6" t="str">
        <f ca="1">IFERROR(__xludf.DUMMYFUNCTION("""COMPUTED_VALUE"""),"NO")</f>
        <v>NO</v>
      </c>
      <c r="E163" s="6" t="str">
        <f ca="1">IFERROR(__xludf.DUMMYFUNCTION("""COMPUTED_VALUE"""),"Madrid- Canillas")</f>
        <v>Madrid- Canillas</v>
      </c>
      <c r="F163" s="16">
        <f ca="1">IFERROR(__xludf.DUMMYFUNCTION("""COMPUTED_VALUE"""),45694)</f>
        <v>45694</v>
      </c>
      <c r="G163" s="16">
        <f ca="1">IFERROR(__xludf.DUMMYFUNCTION("""COMPUTED_VALUE"""),45667)</f>
        <v>45667</v>
      </c>
      <c r="H163" s="6" t="str">
        <f ca="1">IFERROR(__xludf.DUMMYFUNCTION("""COMPUTED_VALUE"""),"Canillas")</f>
        <v>Canillas</v>
      </c>
      <c r="I163" s="6" t="str">
        <f ca="1">IFERROR(__xludf.DUMMYFUNCTION("""COMPUTED_VALUE"""),"C2025121103340611")</f>
        <v>C2025121103340611</v>
      </c>
      <c r="J163" s="6" t="str">
        <f ca="1">IFERROR(__xludf.DUMMYFUNCTION("""COMPUTED_VALUE"""),"ÁNGEL SEGOVIA CORREAL")</f>
        <v>ÁNGEL SEGOVIA CORREAL</v>
      </c>
      <c r="K163" s="6">
        <f ca="1">IFERROR(__xludf.DUMMYFUNCTION("""COMPUTED_VALUE"""),2)</f>
        <v>2</v>
      </c>
      <c r="L163" s="139">
        <f ca="1">IFERROR(__xludf.DUMMYFUNCTION("""COMPUTED_VALUE"""),4000)</f>
        <v>4000</v>
      </c>
      <c r="M163" s="6" t="str">
        <f ca="1">IFERROR(__xludf.DUMMYFUNCTION("""COMPUTED_VALUE"""),"03 ORL")</f>
        <v>03 ORL</v>
      </c>
      <c r="N163" s="6" t="str">
        <f ca="1">IFERROR(__xludf.DUMMYFUNCTION("""COMPUTED_VALUE"""),"06 ORL")</f>
        <v>06 ORL</v>
      </c>
      <c r="O163" s="6" t="str">
        <f ca="1">IFERROR(__xludf.DUMMYFUNCTION("""COMPUTED_VALUE"""),"Dr, Alfonso Santamaría Gadea")</f>
        <v>Dr, Alfonso Santamaría Gadea</v>
      </c>
      <c r="P163" s="6" t="str">
        <f ca="1">IFERROR(__xludf.DUMMYFUNCTION("""COMPUTED_VALUE"""),"Maika Blázquez (Madrid)")</f>
        <v>Maika Blázquez (Madrid)</v>
      </c>
    </row>
    <row r="164" spans="2:16">
      <c r="B164" s="6">
        <f ca="1">IFERROR(__xludf.DUMMYFUNCTION("""COMPUTED_VALUE"""),2025)</f>
        <v>2025</v>
      </c>
      <c r="C164" s="6">
        <f ca="1">IFERROR(__xludf.DUMMYFUNCTION("""COMPUTED_VALUE"""),2)</f>
        <v>2</v>
      </c>
      <c r="D164" s="6" t="str">
        <f ca="1">IFERROR(__xludf.DUMMYFUNCTION("""COMPUTED_VALUE"""),"NO")</f>
        <v>NO</v>
      </c>
      <c r="E164" s="6" t="str">
        <f ca="1">IFERROR(__xludf.DUMMYFUNCTION("""COMPUTED_VALUE"""),"Sevilla- Montoto")</f>
        <v>Sevilla- Montoto</v>
      </c>
      <c r="F164" s="16">
        <f ca="1">IFERROR(__xludf.DUMMYFUNCTION("""COMPUTED_VALUE"""),45694)</f>
        <v>45694</v>
      </c>
      <c r="G164" s="16">
        <f ca="1">IFERROR(__xludf.DUMMYFUNCTION("""COMPUTED_VALUE"""),45670)</f>
        <v>45670</v>
      </c>
      <c r="H164" s="6" t="str">
        <f ca="1">IFERROR(__xludf.DUMMYFUNCTION("""COMPUTED_VALUE"""),"Montoto")</f>
        <v>Montoto</v>
      </c>
      <c r="I164" s="6" t="str">
        <f ca="1">IFERROR(__xludf.DUMMYFUNCTION("""COMPUTED_VALUE"""),"C202511510254443")</f>
        <v>C202511510254443</v>
      </c>
      <c r="J164" s="6" t="str">
        <f ca="1">IFERROR(__xludf.DUMMYFUNCTION("""COMPUTED_VALUE"""),"ROSARIO CARMONA LLANO")</f>
        <v>ROSARIO CARMONA LLANO</v>
      </c>
      <c r="K164" s="6">
        <f ca="1">IFERROR(__xludf.DUMMYFUNCTION("""COMPUTED_VALUE"""),1)</f>
        <v>1</v>
      </c>
      <c r="L164" s="139">
        <f ca="1">IFERROR(__xludf.DUMMYFUNCTION("""COMPUTED_VALUE"""),2509.09)</f>
        <v>2509.09</v>
      </c>
      <c r="M164" s="6" t="str">
        <f ca="1">IFERROR(__xludf.DUMMYFUNCTION("""COMPUTED_VALUE"""),"03 ORL")</f>
        <v>03 ORL</v>
      </c>
      <c r="N164" s="6" t="str">
        <f ca="1">IFERROR(__xludf.DUMMYFUNCTION("""COMPUTED_VALUE"""),"06 ORL")</f>
        <v>06 ORL</v>
      </c>
      <c r="O164" s="6" t="str">
        <f ca="1">IFERROR(__xludf.DUMMYFUNCTION("""COMPUTED_VALUE"""),"Dr, Antonio Gandúl Merchán")</f>
        <v>Dr, Antonio Gandúl Merchán</v>
      </c>
      <c r="P164" s="6" t="str">
        <f ca="1">IFERROR(__xludf.DUMMYFUNCTION("""COMPUTED_VALUE"""),"Luis Alberto Rodríguez (Andalucía Y Badajoz)")</f>
        <v>Luis Alberto Rodríguez (Andalucía Y Badajoz)</v>
      </c>
    </row>
    <row r="165" spans="2:16">
      <c r="B165" s="6">
        <f ca="1">IFERROR(__xludf.DUMMYFUNCTION("""COMPUTED_VALUE"""),2025)</f>
        <v>2025</v>
      </c>
      <c r="C165" s="6">
        <f ca="1">IFERROR(__xludf.DUMMYFUNCTION("""COMPUTED_VALUE"""),2)</f>
        <v>2</v>
      </c>
      <c r="D165" s="6" t="str">
        <f ca="1">IFERROR(__xludf.DUMMYFUNCTION("""COMPUTED_VALUE"""),"NO")</f>
        <v>NO</v>
      </c>
      <c r="E165" s="6" t="str">
        <f ca="1">IFERROR(__xludf.DUMMYFUNCTION("""COMPUTED_VALUE"""),"Madrid- Monforte de Lemos")</f>
        <v>Madrid- Monforte de Lemos</v>
      </c>
      <c r="F165" s="16">
        <f ca="1">IFERROR(__xludf.DUMMYFUNCTION("""COMPUTED_VALUE"""),45694)</f>
        <v>45694</v>
      </c>
      <c r="G165" s="16">
        <f ca="1">IFERROR(__xludf.DUMMYFUNCTION("""COMPUTED_VALUE"""),45670)</f>
        <v>45670</v>
      </c>
      <c r="H165" s="6" t="str">
        <f ca="1">IFERROR(__xludf.DUMMYFUNCTION("""COMPUTED_VALUE"""),"La Vaguada")</f>
        <v>La Vaguada</v>
      </c>
      <c r="I165" s="6" t="str">
        <f ca="1">IFERROR(__xludf.DUMMYFUNCTION("""COMPUTED_VALUE"""),"C2025116164241362")</f>
        <v>C2025116164241362</v>
      </c>
      <c r="J165" s="6" t="str">
        <f ca="1">IFERROR(__xludf.DUMMYFUNCTION("""COMPUTED_VALUE"""),"FELIPE GALAN GARCIA")</f>
        <v>FELIPE GALAN GARCIA</v>
      </c>
      <c r="K165" s="6">
        <f ca="1">IFERROR(__xludf.DUMMYFUNCTION("""COMPUTED_VALUE"""),2)</f>
        <v>2</v>
      </c>
      <c r="L165" s="139">
        <f ca="1">IFERROR(__xludf.DUMMYFUNCTION("""COMPUTED_VALUE"""),4000)</f>
        <v>4000</v>
      </c>
      <c r="M165" s="6" t="str">
        <f ca="1">IFERROR(__xludf.DUMMYFUNCTION("""COMPUTED_VALUE"""),"03 ORL")</f>
        <v>03 ORL</v>
      </c>
      <c r="N165" s="6" t="str">
        <f ca="1">IFERROR(__xludf.DUMMYFUNCTION("""COMPUTED_VALUE"""),"06 ORL")</f>
        <v>06 ORL</v>
      </c>
      <c r="O165" s="6" t="str">
        <f ca="1">IFERROR(__xludf.DUMMYFUNCTION("""COMPUTED_VALUE"""),"Dr, Joaquín Alacio Casero")</f>
        <v>Dr, Joaquín Alacio Casero</v>
      </c>
      <c r="P165" s="6" t="str">
        <f ca="1">IFERROR(__xludf.DUMMYFUNCTION("""COMPUTED_VALUE"""),"Maika Blázquez (Madrid)")</f>
        <v>Maika Blázquez (Madrid)</v>
      </c>
    </row>
    <row r="166" spans="2:16">
      <c r="B166" s="6">
        <f ca="1">IFERROR(__xludf.DUMMYFUNCTION("""COMPUTED_VALUE"""),2025)</f>
        <v>2025</v>
      </c>
      <c r="C166" s="6">
        <f ca="1">IFERROR(__xludf.DUMMYFUNCTION("""COMPUTED_VALUE"""),2)</f>
        <v>2</v>
      </c>
      <c r="D166" s="6" t="str">
        <f ca="1">IFERROR(__xludf.DUMMYFUNCTION("""COMPUTED_VALUE"""),"NO")</f>
        <v>NO</v>
      </c>
      <c r="E166" s="6" t="str">
        <f ca="1">IFERROR(__xludf.DUMMYFUNCTION("""COMPUTED_VALUE"""),"Madrid- Monforte de Lemos")</f>
        <v>Madrid- Monforte de Lemos</v>
      </c>
      <c r="F166" s="16">
        <f ca="1">IFERROR(__xludf.DUMMYFUNCTION("""COMPUTED_VALUE"""),45694)</f>
        <v>45694</v>
      </c>
      <c r="G166" s="16">
        <f ca="1">IFERROR(__xludf.DUMMYFUNCTION("""COMPUTED_VALUE"""),45672)</f>
        <v>45672</v>
      </c>
      <c r="H166" s="6" t="str">
        <f ca="1">IFERROR(__xludf.DUMMYFUNCTION("""COMPUTED_VALUE"""),"La Vaguada")</f>
        <v>La Vaguada</v>
      </c>
      <c r="I166" s="6" t="str">
        <f ca="1">IFERROR(__xludf.DUMMYFUNCTION("""COMPUTED_VALUE"""),"C2025116164835760")</f>
        <v>C2025116164835760</v>
      </c>
      <c r="J166" s="6" t="str">
        <f ca="1">IFERROR(__xludf.DUMMYFUNCTION("""COMPUTED_VALUE"""),"MARIA REMEDIOS PULIDO CORBACHO")</f>
        <v>MARIA REMEDIOS PULIDO CORBACHO</v>
      </c>
      <c r="K166" s="6">
        <f ca="1">IFERROR(__xludf.DUMMYFUNCTION("""COMPUTED_VALUE"""),2)</f>
        <v>2</v>
      </c>
      <c r="L166" s="139">
        <f ca="1">IFERROR(__xludf.DUMMYFUNCTION("""COMPUTED_VALUE"""),4000)</f>
        <v>4000</v>
      </c>
      <c r="M166" s="6" t="str">
        <f ca="1">IFERROR(__xludf.DUMMYFUNCTION("""COMPUTED_VALUE"""),"04 TIENDA")</f>
        <v>04 TIENDA</v>
      </c>
      <c r="N166" s="6" t="str">
        <f ca="1">IFERROR(__xludf.DUMMYFUNCTION("""COMPUTED_VALUE"""),"07 BOCA/BOCA")</f>
        <v>07 BOCA/BOCA</v>
      </c>
      <c r="O166" s="6" t="str">
        <f ca="1">IFERROR(__xludf.DUMMYFUNCTION("""COMPUTED_VALUE"""),"Dr, Joaquín Alacio Casero")</f>
        <v>Dr, Joaquín Alacio Casero</v>
      </c>
      <c r="P166" s="6" t="str">
        <f ca="1">IFERROR(__xludf.DUMMYFUNCTION("""COMPUTED_VALUE"""),"Maika Blázquez (Madrid)")</f>
        <v>Maika Blázquez (Madrid)</v>
      </c>
    </row>
    <row r="167" spans="2:16">
      <c r="B167" s="6">
        <f ca="1">IFERROR(__xludf.DUMMYFUNCTION("""COMPUTED_VALUE"""),2025)</f>
        <v>2025</v>
      </c>
      <c r="C167" s="6">
        <f ca="1">IFERROR(__xludf.DUMMYFUNCTION("""COMPUTED_VALUE"""),2)</f>
        <v>2</v>
      </c>
      <c r="D167" s="6" t="str">
        <f ca="1">IFERROR(__xludf.DUMMYFUNCTION("""COMPUTED_VALUE"""),"NO")</f>
        <v>NO</v>
      </c>
      <c r="E167" s="6" t="str">
        <f ca="1">IFERROR(__xludf.DUMMYFUNCTION("""COMPUTED_VALUE"""),"Albacete")</f>
        <v>Albacete</v>
      </c>
      <c r="F167" s="16">
        <f ca="1">IFERROR(__xludf.DUMMYFUNCTION("""COMPUTED_VALUE"""),45695)</f>
        <v>45695</v>
      </c>
      <c r="G167" s="16">
        <f ca="1">IFERROR(__xludf.DUMMYFUNCTION("""COMPUTED_VALUE"""),45644)</f>
        <v>45644</v>
      </c>
      <c r="H167" s="6" t="str">
        <f ca="1">IFERROR(__xludf.DUMMYFUNCTION("""COMPUTED_VALUE"""),"Albacete")</f>
        <v>Albacete</v>
      </c>
      <c r="I167" s="6" t="str">
        <f ca="1">IFERROR(__xludf.DUMMYFUNCTION("""COMPUTED_VALUE"""),"C20241218161921203")</f>
        <v>C20241218161921203</v>
      </c>
      <c r="J167" s="6" t="str">
        <f ca="1">IFERROR(__xludf.DUMMYFUNCTION("""COMPUTED_VALUE"""),"MARCA LORENZO DIAZ")</f>
        <v>MARCA LORENZO DIAZ</v>
      </c>
      <c r="K167" s="6">
        <f ca="1">IFERROR(__xludf.DUMMYFUNCTION("""COMPUTED_VALUE"""),1)</f>
        <v>1</v>
      </c>
      <c r="L167" s="139">
        <f ca="1">IFERROR(__xludf.DUMMYFUNCTION("""COMPUTED_VALUE"""),2400)</f>
        <v>2400</v>
      </c>
      <c r="M167" s="6" t="str">
        <f ca="1">IFERROR(__xludf.DUMMYFUNCTION("""COMPUTED_VALUE"""),"03 ORL")</f>
        <v>03 ORL</v>
      </c>
      <c r="N167" s="6" t="str">
        <f ca="1">IFERROR(__xludf.DUMMYFUNCTION("""COMPUTED_VALUE"""),"06 ORL")</f>
        <v>06 ORL</v>
      </c>
      <c r="O167" s="6" t="str">
        <f ca="1">IFERROR(__xludf.DUMMYFUNCTION("""COMPUTED_VALUE"""),"Dr, Javier García-Dueñas González")</f>
        <v>Dr, Javier García-Dueñas González</v>
      </c>
      <c r="P167" s="6" t="str">
        <f ca="1">IFERROR(__xludf.DUMMYFUNCTION("""COMPUTED_VALUE"""),"Iván Sánchez (Levante Y Albacete)")</f>
        <v>Iván Sánchez (Levante Y Albacete)</v>
      </c>
    </row>
    <row r="168" spans="2:16">
      <c r="B168" s="6">
        <f ca="1">IFERROR(__xludf.DUMMYFUNCTION("""COMPUTED_VALUE"""),2025)</f>
        <v>2025</v>
      </c>
      <c r="C168" s="6">
        <f ca="1">IFERROR(__xludf.DUMMYFUNCTION("""COMPUTED_VALUE"""),2)</f>
        <v>2</v>
      </c>
      <c r="D168" s="6" t="str">
        <f ca="1">IFERROR(__xludf.DUMMYFUNCTION("""COMPUTED_VALUE"""),"NO")</f>
        <v>NO</v>
      </c>
      <c r="E168" s="6" t="str">
        <f ca="1">IFERROR(__xludf.DUMMYFUNCTION("""COMPUTED_VALUE"""),"Alicante")</f>
        <v>Alicante</v>
      </c>
      <c r="F168" s="16">
        <f ca="1">IFERROR(__xludf.DUMMYFUNCTION("""COMPUTED_VALUE"""),45695)</f>
        <v>45695</v>
      </c>
      <c r="G168" s="16">
        <f ca="1">IFERROR(__xludf.DUMMYFUNCTION("""COMPUTED_VALUE"""),45672)</f>
        <v>45672</v>
      </c>
      <c r="H168" s="6" t="str">
        <f ca="1">IFERROR(__xludf.DUMMYFUNCTION("""COMPUTED_VALUE"""),"Alicante")</f>
        <v>Alicante</v>
      </c>
      <c r="I168" s="6" t="str">
        <f ca="1">IFERROR(__xludf.DUMMYFUNCTION("""COMPUTED_VALUE"""),"C202512311610793")</f>
        <v>C202512311610793</v>
      </c>
      <c r="J168" s="6" t="str">
        <f ca="1">IFERROR(__xludf.DUMMYFUNCTION("""COMPUTED_VALUE"""),"ALBA GARCÍA ALBARRACIN")</f>
        <v>ALBA GARCÍA ALBARRACIN</v>
      </c>
      <c r="K168" s="6">
        <f ca="1">IFERROR(__xludf.DUMMYFUNCTION("""COMPUTED_VALUE"""),2)</f>
        <v>2</v>
      </c>
      <c r="L168" s="139">
        <f ca="1">IFERROR(__xludf.DUMMYFUNCTION("""COMPUTED_VALUE"""),4400)</f>
        <v>4400</v>
      </c>
      <c r="M168" s="6" t="str">
        <f ca="1">IFERROR(__xludf.DUMMYFUNCTION("""COMPUTED_VALUE"""),"03 ORL")</f>
        <v>03 ORL</v>
      </c>
      <c r="N168" s="6" t="str">
        <f ca="1">IFERROR(__xludf.DUMMYFUNCTION("""COMPUTED_VALUE"""),"06 ORL")</f>
        <v>06 ORL</v>
      </c>
      <c r="O168" s="6" t="str">
        <f ca="1">IFERROR(__xludf.DUMMYFUNCTION("""COMPUTED_VALUE"""),"Dra, Isabel Menaches Guardiola")</f>
        <v>Dra, Isabel Menaches Guardiola</v>
      </c>
      <c r="P168" s="6" t="str">
        <f ca="1">IFERROR(__xludf.DUMMYFUNCTION("""COMPUTED_VALUE"""),"Iván Sánchez (Levante Y Albacete)")</f>
        <v>Iván Sánchez (Levante Y Albacete)</v>
      </c>
    </row>
    <row r="169" spans="2:16">
      <c r="B169" s="6">
        <f ca="1">IFERROR(__xludf.DUMMYFUNCTION("""COMPUTED_VALUE"""),2025)</f>
        <v>2025</v>
      </c>
      <c r="C169" s="6">
        <f ca="1">IFERROR(__xludf.DUMMYFUNCTION("""COMPUTED_VALUE"""),2)</f>
        <v>2</v>
      </c>
      <c r="D169" s="6" t="str">
        <f ca="1">IFERROR(__xludf.DUMMYFUNCTION("""COMPUTED_VALUE"""),"NO")</f>
        <v>NO</v>
      </c>
      <c r="E169" s="6" t="str">
        <f ca="1">IFERROR(__xludf.DUMMYFUNCTION("""COMPUTED_VALUE"""),"Madrid- Juan Bravo")</f>
        <v>Madrid- Juan Bravo</v>
      </c>
      <c r="F169" s="16">
        <f ca="1">IFERROR(__xludf.DUMMYFUNCTION("""COMPUTED_VALUE"""),45698)</f>
        <v>45698</v>
      </c>
      <c r="G169" s="16">
        <f ca="1">IFERROR(__xludf.DUMMYFUNCTION("""COMPUTED_VALUE"""),45615)</f>
        <v>45615</v>
      </c>
      <c r="H169" s="6" t="str">
        <f ca="1">IFERROR(__xludf.DUMMYFUNCTION("""COMPUTED_VALUE"""),"Juan Bravo")</f>
        <v>Juan Bravo</v>
      </c>
      <c r="I169" s="6" t="str">
        <f ca="1">IFERROR(__xludf.DUMMYFUNCTION("""COMPUTED_VALUE"""),"C2024112818223257")</f>
        <v>C2024112818223257</v>
      </c>
      <c r="J169" s="6" t="str">
        <f ca="1">IFERROR(__xludf.DUMMYFUNCTION("""COMPUTED_VALUE"""),"ROSA MARIA SANZ LOPEZ")</f>
        <v>ROSA MARIA SANZ LOPEZ</v>
      </c>
      <c r="K169" s="6">
        <f ca="1">IFERROR(__xludf.DUMMYFUNCTION("""COMPUTED_VALUE"""),2)</f>
        <v>2</v>
      </c>
      <c r="L169" s="139">
        <f ca="1">IFERROR(__xludf.DUMMYFUNCTION("""COMPUTED_VALUE"""),3710)</f>
        <v>3710</v>
      </c>
      <c r="M169" s="6" t="str">
        <f ca="1">IFERROR(__xludf.DUMMYFUNCTION("""COMPUTED_VALUE"""),"03 ORL")</f>
        <v>03 ORL</v>
      </c>
      <c r="N169" s="6" t="str">
        <f ca="1">IFERROR(__xludf.DUMMYFUNCTION("""COMPUTED_VALUE"""),"06 ORL")</f>
        <v>06 ORL</v>
      </c>
      <c r="O169" s="6" t="str">
        <f ca="1">IFERROR(__xludf.DUMMYFUNCTION("""COMPUTED_VALUE"""),"Dr, Francisco Javier Redondo Del Barco")</f>
        <v>Dr, Francisco Javier Redondo Del Barco</v>
      </c>
      <c r="P169" s="6" t="str">
        <f ca="1">IFERROR(__xludf.DUMMYFUNCTION("""COMPUTED_VALUE"""),"Lisandro Russian (Madrid, Cáceres, Toledo, Talavera Y Logroño)")</f>
        <v>Lisandro Russian (Madrid, Cáceres, Toledo, Talavera Y Logroño)</v>
      </c>
    </row>
    <row r="170" spans="2:16">
      <c r="B170" s="6">
        <f ca="1">IFERROR(__xludf.DUMMYFUNCTION("""COMPUTED_VALUE"""),2025)</f>
        <v>2025</v>
      </c>
      <c r="C170" s="6">
        <f ca="1">IFERROR(__xludf.DUMMYFUNCTION("""COMPUTED_VALUE"""),2)</f>
        <v>2</v>
      </c>
      <c r="D170" s="6" t="str">
        <f ca="1">IFERROR(__xludf.DUMMYFUNCTION("""COMPUTED_VALUE"""),"NO")</f>
        <v>NO</v>
      </c>
      <c r="E170" s="6" t="str">
        <f ca="1">IFERROR(__xludf.DUMMYFUNCTION("""COMPUTED_VALUE"""),"Madrid- Juan Bravo")</f>
        <v>Madrid- Juan Bravo</v>
      </c>
      <c r="F170" s="16">
        <f ca="1">IFERROR(__xludf.DUMMYFUNCTION("""COMPUTED_VALUE"""),45698)</f>
        <v>45698</v>
      </c>
      <c r="G170" s="16">
        <f ca="1">IFERROR(__xludf.DUMMYFUNCTION("""COMPUTED_VALUE"""),45639)</f>
        <v>45639</v>
      </c>
      <c r="H170" s="6" t="str">
        <f ca="1">IFERROR(__xludf.DUMMYFUNCTION("""COMPUTED_VALUE"""),"Juan Bravo")</f>
        <v>Juan Bravo</v>
      </c>
      <c r="I170" s="6" t="str">
        <f ca="1">IFERROR(__xludf.DUMMYFUNCTION("""COMPUTED_VALUE"""),"C20241220163520267")</f>
        <v>C20241220163520267</v>
      </c>
      <c r="J170" s="6" t="str">
        <f ca="1">IFERROR(__xludf.DUMMYFUNCTION("""COMPUTED_VALUE"""),"ANA MARIA ROMERO BOLIVAR")</f>
        <v>ANA MARIA ROMERO BOLIVAR</v>
      </c>
      <c r="K170" s="6">
        <f ca="1">IFERROR(__xludf.DUMMYFUNCTION("""COMPUTED_VALUE"""),1)</f>
        <v>1</v>
      </c>
      <c r="L170" s="139">
        <f ca="1">IFERROR(__xludf.DUMMYFUNCTION("""COMPUTED_VALUE"""),2508)</f>
        <v>2508</v>
      </c>
      <c r="M170" s="6" t="str">
        <f ca="1">IFERROR(__xludf.DUMMYFUNCTION("""COMPUTED_VALUE"""),"03 ORL")</f>
        <v>03 ORL</v>
      </c>
      <c r="N170" s="6" t="str">
        <f ca="1">IFERROR(__xludf.DUMMYFUNCTION("""COMPUTED_VALUE"""),"06 ORL")</f>
        <v>06 ORL</v>
      </c>
      <c r="O170" s="6" t="str">
        <f ca="1">IFERROR(__xludf.DUMMYFUNCTION("""COMPUTED_VALUE"""),"Dr, Francisco Javier Redondo Del Barco")</f>
        <v>Dr, Francisco Javier Redondo Del Barco</v>
      </c>
      <c r="P170" s="6" t="str">
        <f ca="1">IFERROR(__xludf.DUMMYFUNCTION("""COMPUTED_VALUE"""),"Lisandro Russian (Madrid, Cáceres, Toledo, Talavera Y Logroño)")</f>
        <v>Lisandro Russian (Madrid, Cáceres, Toledo, Talavera Y Logroño)</v>
      </c>
    </row>
    <row r="171" spans="2:16">
      <c r="B171" s="6">
        <f ca="1">IFERROR(__xludf.DUMMYFUNCTION("""COMPUTED_VALUE"""),2025)</f>
        <v>2025</v>
      </c>
      <c r="C171" s="6">
        <f ca="1">IFERROR(__xludf.DUMMYFUNCTION("""COMPUTED_VALUE"""),2)</f>
        <v>2</v>
      </c>
      <c r="D171" s="6" t="str">
        <f ca="1">IFERROR(__xludf.DUMMYFUNCTION("""COMPUTED_VALUE"""),"NO")</f>
        <v>NO</v>
      </c>
      <c r="E171" s="6" t="str">
        <f ca="1">IFERROR(__xludf.DUMMYFUNCTION("""COMPUTED_VALUE"""),"Madrid- La Oca")</f>
        <v>Madrid- La Oca</v>
      </c>
      <c r="F171" s="16">
        <f ca="1">IFERROR(__xludf.DUMMYFUNCTION("""COMPUTED_VALUE"""),45698)</f>
        <v>45698</v>
      </c>
      <c r="G171" s="16">
        <f ca="1">IFERROR(__xludf.DUMMYFUNCTION("""COMPUTED_VALUE"""),45679)</f>
        <v>45679</v>
      </c>
      <c r="H171" s="6" t="str">
        <f ca="1">IFERROR(__xludf.DUMMYFUNCTION("""COMPUTED_VALUE"""),"La Oca")</f>
        <v>La Oca</v>
      </c>
      <c r="I171" s="6" t="str">
        <f ca="1">IFERROR(__xludf.DUMMYFUNCTION("""COMPUTED_VALUE"""),"C202512712334642")</f>
        <v>C202512712334642</v>
      </c>
      <c r="J171" s="6" t="str">
        <f ca="1">IFERROR(__xludf.DUMMYFUNCTION("""COMPUTED_VALUE"""),"ANTONIA MARIA SANCHEZ GUISADO")</f>
        <v>ANTONIA MARIA SANCHEZ GUISADO</v>
      </c>
      <c r="K171" s="6">
        <f ca="1">IFERROR(__xludf.DUMMYFUNCTION("""COMPUTED_VALUE"""),2)</f>
        <v>2</v>
      </c>
      <c r="L171" s="139">
        <f ca="1">IFERROR(__xludf.DUMMYFUNCTION("""COMPUTED_VALUE"""),3710)</f>
        <v>3710</v>
      </c>
      <c r="M171" s="6" t="str">
        <f ca="1">IFERROR(__xludf.DUMMYFUNCTION("""COMPUTED_VALUE"""),"03 ORL")</f>
        <v>03 ORL</v>
      </c>
      <c r="N171" s="6" t="str">
        <f ca="1">IFERROR(__xludf.DUMMYFUNCTION("""COMPUTED_VALUE"""),"22 AUDIOMETRIA CLINICA")</f>
        <v>22 AUDIOMETRIA CLINICA</v>
      </c>
      <c r="O171" s="6" t="str">
        <f ca="1">IFERROR(__xludf.DUMMYFUNCTION("""COMPUTED_VALUE"""),"Dr, José Joaquín Gutiérrez Barquín")</f>
        <v>Dr, José Joaquín Gutiérrez Barquín</v>
      </c>
      <c r="P171" s="6" t="str">
        <f ca="1">IFERROR(__xludf.DUMMYFUNCTION("""COMPUTED_VALUE"""),"Maika Blázquez (Madrid)")</f>
        <v>Maika Blázquez (Madrid)</v>
      </c>
    </row>
    <row r="172" spans="2:16">
      <c r="B172" s="6">
        <f ca="1">IFERROR(__xludf.DUMMYFUNCTION("""COMPUTED_VALUE"""),2025)</f>
        <v>2025</v>
      </c>
      <c r="C172" s="6">
        <f ca="1">IFERROR(__xludf.DUMMYFUNCTION("""COMPUTED_VALUE"""),2)</f>
        <v>2</v>
      </c>
      <c r="D172" s="6" t="str">
        <f ca="1">IFERROR(__xludf.DUMMYFUNCTION("""COMPUTED_VALUE"""),"NO")</f>
        <v>NO</v>
      </c>
      <c r="E172" s="6" t="str">
        <f ca="1">IFERROR(__xludf.DUMMYFUNCTION("""COMPUTED_VALUE"""),"Almería")</f>
        <v>Almería</v>
      </c>
      <c r="F172" s="16">
        <f ca="1">IFERROR(__xludf.DUMMYFUNCTION("""COMPUTED_VALUE"""),45698)</f>
        <v>45698</v>
      </c>
      <c r="G172" s="16">
        <f ca="1">IFERROR(__xludf.DUMMYFUNCTION("""COMPUTED_VALUE"""),45681)</f>
        <v>45681</v>
      </c>
      <c r="H172" s="6" t="str">
        <f ca="1">IFERROR(__xludf.DUMMYFUNCTION("""COMPUTED_VALUE"""),"Almería")</f>
        <v>Almería</v>
      </c>
      <c r="I172" s="6" t="str">
        <f ca="1">IFERROR(__xludf.DUMMYFUNCTION("""COMPUTED_VALUE"""),"C2025129171628286")</f>
        <v>C2025129171628286</v>
      </c>
      <c r="J172" s="6" t="str">
        <f ca="1">IFERROR(__xludf.DUMMYFUNCTION("""COMPUTED_VALUE"""),"HERMINIA DEL CARMEN ZAPATA")</f>
        <v>HERMINIA DEL CARMEN ZAPATA</v>
      </c>
      <c r="K172" s="6">
        <f ca="1">IFERROR(__xludf.DUMMYFUNCTION("""COMPUTED_VALUE"""),2)</f>
        <v>2</v>
      </c>
      <c r="L172" s="139">
        <f ca="1">IFERROR(__xludf.DUMMYFUNCTION("""COMPUTED_VALUE"""),4400)</f>
        <v>4400</v>
      </c>
      <c r="M172" s="6" t="str">
        <f ca="1">IFERROR(__xludf.DUMMYFUNCTION("""COMPUTED_VALUE"""),"03 ORL")</f>
        <v>03 ORL</v>
      </c>
      <c r="N172" s="6" t="str">
        <f ca="1">IFERROR(__xludf.DUMMYFUNCTION("""COMPUTED_VALUE"""),"06 ORL")</f>
        <v>06 ORL</v>
      </c>
      <c r="O172" s="6" t="str">
        <f ca="1">IFERROR(__xludf.DUMMYFUNCTION("""COMPUTED_VALUE"""),"Dr, Antonio José Fernández Pérez")</f>
        <v>Dr, Antonio José Fernández Pérez</v>
      </c>
      <c r="P172" s="6" t="str">
        <f ca="1">IFERROR(__xludf.DUMMYFUNCTION("""COMPUTED_VALUE"""),"Ramon Ferrando(Valencia)")</f>
        <v>Ramon Ferrando(Valencia)</v>
      </c>
    </row>
    <row r="173" spans="2:16">
      <c r="B173" s="6">
        <f ca="1">IFERROR(__xludf.DUMMYFUNCTION("""COMPUTED_VALUE"""),2025)</f>
        <v>2025</v>
      </c>
      <c r="C173" s="6">
        <f ca="1">IFERROR(__xludf.DUMMYFUNCTION("""COMPUTED_VALUE"""),2)</f>
        <v>2</v>
      </c>
      <c r="D173" s="6" t="str">
        <f ca="1">IFERROR(__xludf.DUMMYFUNCTION("""COMPUTED_VALUE"""),"NO")</f>
        <v>NO</v>
      </c>
      <c r="E173" s="6" t="str">
        <f ca="1">IFERROR(__xludf.DUMMYFUNCTION("""COMPUTED_VALUE"""),"Valencia- Parra")</f>
        <v>Valencia- Parra</v>
      </c>
      <c r="F173" s="16">
        <f ca="1">IFERROR(__xludf.DUMMYFUNCTION("""COMPUTED_VALUE"""),45699)</f>
        <v>45699</v>
      </c>
      <c r="G173" s="16">
        <f ca="1">IFERROR(__xludf.DUMMYFUNCTION("""COMPUTED_VALUE"""),45666)</f>
        <v>45666</v>
      </c>
      <c r="H173" s="6" t="str">
        <f ca="1">IFERROR(__xludf.DUMMYFUNCTION("""COMPUTED_VALUE"""),"Valencia- Parra")</f>
        <v>Valencia- Parra</v>
      </c>
      <c r="I173" s="6" t="str">
        <f ca="1">IFERROR(__xludf.DUMMYFUNCTION("""COMPUTED_VALUE"""),"C2025114181113564")</f>
        <v>C2025114181113564</v>
      </c>
      <c r="J173" s="6" t="str">
        <f ca="1">IFERROR(__xludf.DUMMYFUNCTION("""COMPUTED_VALUE"""),"FRANCISCA JORDAN IBAÑEZ")</f>
        <v>FRANCISCA JORDAN IBAÑEZ</v>
      </c>
      <c r="K173" s="6">
        <f ca="1">IFERROR(__xludf.DUMMYFUNCTION("""COMPUTED_VALUE"""),2)</f>
        <v>2</v>
      </c>
      <c r="L173" s="139">
        <f ca="1">IFERROR(__xludf.DUMMYFUNCTION("""COMPUTED_VALUE"""),4000)</f>
        <v>4000</v>
      </c>
      <c r="M173" s="6" t="str">
        <f ca="1">IFERROR(__xludf.DUMMYFUNCTION("""COMPUTED_VALUE"""),"03 ORL")</f>
        <v>03 ORL</v>
      </c>
      <c r="N173" s="6" t="str">
        <f ca="1">IFERROR(__xludf.DUMMYFUNCTION("""COMPUTED_VALUE"""),"06 ORL")</f>
        <v>06 ORL</v>
      </c>
      <c r="O173" s="6" t="str">
        <f ca="1">IFERROR(__xludf.DUMMYFUNCTION("""COMPUTED_VALUE"""),"Dr, José Manuel Tamarit Conejeros")</f>
        <v>Dr, José Manuel Tamarit Conejeros</v>
      </c>
      <c r="P173" s="6" t="str">
        <f ca="1">IFERROR(__xludf.DUMMYFUNCTION("""COMPUTED_VALUE"""),"Ramon Ferrando(Valencia)")</f>
        <v>Ramon Ferrando(Valencia)</v>
      </c>
    </row>
    <row r="174" spans="2:16">
      <c r="B174" s="6">
        <f ca="1">IFERROR(__xludf.DUMMYFUNCTION("""COMPUTED_VALUE"""),2025)</f>
        <v>2025</v>
      </c>
      <c r="C174" s="6">
        <f ca="1">IFERROR(__xludf.DUMMYFUNCTION("""COMPUTED_VALUE"""),2)</f>
        <v>2</v>
      </c>
      <c r="D174" s="6" t="str">
        <f ca="1">IFERROR(__xludf.DUMMYFUNCTION("""COMPUTED_VALUE"""),"NO")</f>
        <v>NO</v>
      </c>
      <c r="E174" s="6" t="str">
        <f ca="1">IFERROR(__xludf.DUMMYFUNCTION("""COMPUTED_VALUE"""),"Madrid- Moratalaz")</f>
        <v>Madrid- Moratalaz</v>
      </c>
      <c r="F174" s="16">
        <f ca="1">IFERROR(__xludf.DUMMYFUNCTION("""COMPUTED_VALUE"""),45699)</f>
        <v>45699</v>
      </c>
      <c r="G174" s="16">
        <f ca="1">IFERROR(__xludf.DUMMYFUNCTION("""COMPUTED_VALUE"""),45671)</f>
        <v>45671</v>
      </c>
      <c r="H174" s="6" t="str">
        <f ca="1">IFERROR(__xludf.DUMMYFUNCTION("""COMPUTED_VALUE"""),"Moratalaz")</f>
        <v>Moratalaz</v>
      </c>
      <c r="I174" s="6" t="str">
        <f ca="1">IFERROR(__xludf.DUMMYFUNCTION("""COMPUTED_VALUE"""),"C202511418737208")</f>
        <v>C202511418737208</v>
      </c>
      <c r="J174" s="6" t="str">
        <f ca="1">IFERROR(__xludf.DUMMYFUNCTION("""COMPUTED_VALUE"""),"MANUEL GONZALEZ VINUESA")</f>
        <v>MANUEL GONZALEZ VINUESA</v>
      </c>
      <c r="K174" s="6">
        <f ca="1">IFERROR(__xludf.DUMMYFUNCTION("""COMPUTED_VALUE"""),2)</f>
        <v>2</v>
      </c>
      <c r="L174" s="139">
        <f ca="1">IFERROR(__xludf.DUMMYFUNCTION("""COMPUTED_VALUE"""),4000)</f>
        <v>4000</v>
      </c>
      <c r="M174" s="6" t="str">
        <f ca="1">IFERROR(__xludf.DUMMYFUNCTION("""COMPUTED_VALUE"""),"03 ORL")</f>
        <v>03 ORL</v>
      </c>
      <c r="N174" s="6" t="str">
        <f ca="1">IFERROR(__xludf.DUMMYFUNCTION("""COMPUTED_VALUE"""),"06 ORL")</f>
        <v>06 ORL</v>
      </c>
      <c r="O174" s="6" t="str">
        <f ca="1">IFERROR(__xludf.DUMMYFUNCTION("""COMPUTED_VALUE"""),"Dra, Bárbara Castillo Ávila")</f>
        <v>Dra, Bárbara Castillo Ávila</v>
      </c>
      <c r="P174" s="6" t="str">
        <f ca="1">IFERROR(__xludf.DUMMYFUNCTION("""COMPUTED_VALUE"""),"Maika Blázquez (Madrid)")</f>
        <v>Maika Blázquez (Madrid)</v>
      </c>
    </row>
    <row r="175" spans="2:16">
      <c r="B175" s="6">
        <f ca="1">IFERROR(__xludf.DUMMYFUNCTION("""COMPUTED_VALUE"""),2025)</f>
        <v>2025</v>
      </c>
      <c r="C175" s="6">
        <f ca="1">IFERROR(__xludf.DUMMYFUNCTION("""COMPUTED_VALUE"""),2)</f>
        <v>2</v>
      </c>
      <c r="D175" s="6" t="str">
        <f ca="1">IFERROR(__xludf.DUMMYFUNCTION("""COMPUTED_VALUE"""),"NO")</f>
        <v>NO</v>
      </c>
      <c r="E175" s="6" t="str">
        <f ca="1">IFERROR(__xludf.DUMMYFUNCTION("""COMPUTED_VALUE"""),"Sevilla- Montoto")</f>
        <v>Sevilla- Montoto</v>
      </c>
      <c r="F175" s="16">
        <f ca="1">IFERROR(__xludf.DUMMYFUNCTION("""COMPUTED_VALUE"""),45699)</f>
        <v>45699</v>
      </c>
      <c r="G175" s="16">
        <f ca="1">IFERROR(__xludf.DUMMYFUNCTION("""COMPUTED_VALUE"""),45677)</f>
        <v>45677</v>
      </c>
      <c r="H175" s="6" t="str">
        <f ca="1">IFERROR(__xludf.DUMMYFUNCTION("""COMPUTED_VALUE"""),"Montoto")</f>
        <v>Montoto</v>
      </c>
      <c r="I175" s="6" t="str">
        <f ca="1">IFERROR(__xludf.DUMMYFUNCTION("""COMPUTED_VALUE"""),"C2025123111345494")</f>
        <v>C2025123111345494</v>
      </c>
      <c r="J175" s="6" t="str">
        <f ca="1">IFERROR(__xludf.DUMMYFUNCTION("""COMPUTED_VALUE"""),"MARIA GRACIA CALDERON REYES")</f>
        <v>MARIA GRACIA CALDERON REYES</v>
      </c>
      <c r="K175" s="6">
        <f ca="1">IFERROR(__xludf.DUMMYFUNCTION("""COMPUTED_VALUE"""),1)</f>
        <v>1</v>
      </c>
      <c r="L175" s="139">
        <f ca="1">IFERROR(__xludf.DUMMYFUNCTION("""COMPUTED_VALUE"""),2400)</f>
        <v>2400</v>
      </c>
      <c r="M175" s="6" t="str">
        <f ca="1">IFERROR(__xludf.DUMMYFUNCTION("""COMPUTED_VALUE"""),"03 ORL")</f>
        <v>03 ORL</v>
      </c>
      <c r="N175" s="6" t="str">
        <f ca="1">IFERROR(__xludf.DUMMYFUNCTION("""COMPUTED_VALUE"""),"06 ORL")</f>
        <v>06 ORL</v>
      </c>
      <c r="O175" s="6" t="str">
        <f ca="1">IFERROR(__xludf.DUMMYFUNCTION("""COMPUTED_VALUE"""),"Dra, Estefanía Berrocal Postigo")</f>
        <v>Dra, Estefanía Berrocal Postigo</v>
      </c>
      <c r="P175" s="6" t="str">
        <f ca="1">IFERROR(__xludf.DUMMYFUNCTION("""COMPUTED_VALUE"""),"Luis Alberto Rodríguez (Andalucía Y Badajoz)")</f>
        <v>Luis Alberto Rodríguez (Andalucía Y Badajoz)</v>
      </c>
    </row>
    <row r="176" spans="2:16">
      <c r="B176" s="6">
        <f ca="1">IFERROR(__xludf.DUMMYFUNCTION("""COMPUTED_VALUE"""),2025)</f>
        <v>2025</v>
      </c>
      <c r="C176" s="6">
        <f ca="1">IFERROR(__xludf.DUMMYFUNCTION("""COMPUTED_VALUE"""),2)</f>
        <v>2</v>
      </c>
      <c r="D176" s="6" t="str">
        <f ca="1">IFERROR(__xludf.DUMMYFUNCTION("""COMPUTED_VALUE"""),"NO")</f>
        <v>NO</v>
      </c>
      <c r="E176" s="6" t="str">
        <f ca="1">IFERROR(__xludf.DUMMYFUNCTION("""COMPUTED_VALUE"""),"Valencia- Parra")</f>
        <v>Valencia- Parra</v>
      </c>
      <c r="F176" s="16">
        <f ca="1">IFERROR(__xludf.DUMMYFUNCTION("""COMPUTED_VALUE"""),45700)</f>
        <v>45700</v>
      </c>
      <c r="G176" s="16">
        <f ca="1">IFERROR(__xludf.DUMMYFUNCTION("""COMPUTED_VALUE"""),45667)</f>
        <v>45667</v>
      </c>
      <c r="H176" s="6" t="str">
        <f ca="1">IFERROR(__xludf.DUMMYFUNCTION("""COMPUTED_VALUE"""),"Valencia- Parra")</f>
        <v>Valencia- Parra</v>
      </c>
      <c r="I176" s="6" t="str">
        <f ca="1">IFERROR(__xludf.DUMMYFUNCTION("""COMPUTED_VALUE"""),"C2025114163838863")</f>
        <v>C2025114163838863</v>
      </c>
      <c r="J176" s="6" t="str">
        <f ca="1">IFERROR(__xludf.DUMMYFUNCTION("""COMPUTED_VALUE"""),"MIGUEL ALBARRACIN DOMINGUEZ")</f>
        <v>MIGUEL ALBARRACIN DOMINGUEZ</v>
      </c>
      <c r="K176" s="6">
        <f ca="1">IFERROR(__xludf.DUMMYFUNCTION("""COMPUTED_VALUE"""),2)</f>
        <v>2</v>
      </c>
      <c r="L176" s="139">
        <f ca="1">IFERROR(__xludf.DUMMYFUNCTION("""COMPUTED_VALUE"""),4000)</f>
        <v>4000</v>
      </c>
      <c r="M176" s="6" t="str">
        <f ca="1">IFERROR(__xludf.DUMMYFUNCTION("""COMPUTED_VALUE"""),"03 ORL")</f>
        <v>03 ORL</v>
      </c>
      <c r="N176" s="6" t="str">
        <f ca="1">IFERROR(__xludf.DUMMYFUNCTION("""COMPUTED_VALUE"""),"06 ORL")</f>
        <v>06 ORL</v>
      </c>
      <c r="O176" s="6" t="str">
        <f ca="1">IFERROR(__xludf.DUMMYFUNCTION("""COMPUTED_VALUE"""),"Dr, Manuel Mateos Fernández")</f>
        <v>Dr, Manuel Mateos Fernández</v>
      </c>
      <c r="P176" s="6" t="str">
        <f ca="1">IFERROR(__xludf.DUMMYFUNCTION("""COMPUTED_VALUE"""),"Ramon Ferrando(Valencia)")</f>
        <v>Ramon Ferrando(Valencia)</v>
      </c>
    </row>
    <row r="177" spans="2:16">
      <c r="B177" s="6">
        <f ca="1">IFERROR(__xludf.DUMMYFUNCTION("""COMPUTED_VALUE"""),2025)</f>
        <v>2025</v>
      </c>
      <c r="C177" s="6">
        <f ca="1">IFERROR(__xludf.DUMMYFUNCTION("""COMPUTED_VALUE"""),2)</f>
        <v>2</v>
      </c>
      <c r="D177" s="6" t="str">
        <f ca="1">IFERROR(__xludf.DUMMYFUNCTION("""COMPUTED_VALUE"""),"NO")</f>
        <v>NO</v>
      </c>
      <c r="E177" s="6" t="str">
        <f ca="1">IFERROR(__xludf.DUMMYFUNCTION("""COMPUTED_VALUE"""),"Lugo")</f>
        <v>Lugo</v>
      </c>
      <c r="F177" s="16">
        <f ca="1">IFERROR(__xludf.DUMMYFUNCTION("""COMPUTED_VALUE"""),45700)</f>
        <v>45700</v>
      </c>
      <c r="G177" s="16">
        <f ca="1">IFERROR(__xludf.DUMMYFUNCTION("""COMPUTED_VALUE"""),45677)</f>
        <v>45677</v>
      </c>
      <c r="H177" s="6" t="str">
        <f ca="1">IFERROR(__xludf.DUMMYFUNCTION("""COMPUTED_VALUE"""),"Lugo")</f>
        <v>Lugo</v>
      </c>
      <c r="I177" s="6" t="str">
        <f ca="1">IFERROR(__xludf.DUMMYFUNCTION("""COMPUTED_VALUE"""),"C202512416465378")</f>
        <v>C202512416465378</v>
      </c>
      <c r="J177" s="6" t="str">
        <f ca="1">IFERROR(__xludf.DUMMYFUNCTION("""COMPUTED_VALUE"""),"JESUS LUIS FREIRE ANIDO")</f>
        <v>JESUS LUIS FREIRE ANIDO</v>
      </c>
      <c r="K177" s="6">
        <f ca="1">IFERROR(__xludf.DUMMYFUNCTION("""COMPUTED_VALUE"""),2)</f>
        <v>2</v>
      </c>
      <c r="L177" s="139">
        <f ca="1">IFERROR(__xludf.DUMMYFUNCTION("""COMPUTED_VALUE"""),2888.18)</f>
        <v>2888.18</v>
      </c>
      <c r="M177" s="6" t="str">
        <f ca="1">IFERROR(__xludf.DUMMYFUNCTION("""COMPUTED_VALUE"""),"03 ORL")</f>
        <v>03 ORL</v>
      </c>
      <c r="N177" s="6" t="str">
        <f ca="1">IFERROR(__xludf.DUMMYFUNCTION("""COMPUTED_VALUE"""),"06 ORL")</f>
        <v>06 ORL</v>
      </c>
      <c r="O177" s="6" t="str">
        <f ca="1">IFERROR(__xludf.DUMMYFUNCTION("""COMPUTED_VALUE"""),"Dr, Pedro Juiz López")</f>
        <v>Dr, Pedro Juiz López</v>
      </c>
      <c r="P177" s="6" t="str">
        <f ca="1">IFERROR(__xludf.DUMMYFUNCTION("""COMPUTED_VALUE"""),"Roberto Pereira (Galicia)")</f>
        <v>Roberto Pereira (Galicia)</v>
      </c>
    </row>
    <row r="178" spans="2:16">
      <c r="B178" s="6">
        <f ca="1">IFERROR(__xludf.DUMMYFUNCTION("""COMPUTED_VALUE"""),2025)</f>
        <v>2025</v>
      </c>
      <c r="C178" s="6">
        <f ca="1">IFERROR(__xludf.DUMMYFUNCTION("""COMPUTED_VALUE"""),2)</f>
        <v>2</v>
      </c>
      <c r="D178" s="6" t="str">
        <f ca="1">IFERROR(__xludf.DUMMYFUNCTION("""COMPUTED_VALUE"""),"NO")</f>
        <v>NO</v>
      </c>
      <c r="E178" s="6" t="str">
        <f ca="1">IFERROR(__xludf.DUMMYFUNCTION("""COMPUTED_VALUE"""),"Madrid- Canillas")</f>
        <v>Madrid- Canillas</v>
      </c>
      <c r="F178" s="16">
        <f ca="1">IFERROR(__xludf.DUMMYFUNCTION("""COMPUTED_VALUE"""),45700)</f>
        <v>45700</v>
      </c>
      <c r="G178" s="16">
        <f ca="1">IFERROR(__xludf.DUMMYFUNCTION("""COMPUTED_VALUE"""),45674)</f>
        <v>45674</v>
      </c>
      <c r="H178" s="6" t="str">
        <f ca="1">IFERROR(__xludf.DUMMYFUNCTION("""COMPUTED_VALUE"""),"Canillas")</f>
        <v>Canillas</v>
      </c>
      <c r="I178" s="6" t="str">
        <f ca="1">IFERROR(__xludf.DUMMYFUNCTION("""COMPUTED_VALUE"""),"C2025124115141405")</f>
        <v>C2025124115141405</v>
      </c>
      <c r="J178" s="6" t="str">
        <f ca="1">IFERROR(__xludf.DUMMYFUNCTION("""COMPUTED_VALUE"""),"JOSE MARIA DEL RIO DEL RIO")</f>
        <v>JOSE MARIA DEL RIO DEL RIO</v>
      </c>
      <c r="K178" s="6">
        <f ca="1">IFERROR(__xludf.DUMMYFUNCTION("""COMPUTED_VALUE"""),2)</f>
        <v>2</v>
      </c>
      <c r="L178" s="139">
        <f ca="1">IFERROR(__xludf.DUMMYFUNCTION("""COMPUTED_VALUE"""),3800)</f>
        <v>3800</v>
      </c>
      <c r="M178" s="6" t="str">
        <f ca="1">IFERROR(__xludf.DUMMYFUNCTION("""COMPUTED_VALUE"""),"03 ORL")</f>
        <v>03 ORL</v>
      </c>
      <c r="N178" s="6" t="str">
        <f ca="1">IFERROR(__xludf.DUMMYFUNCTION("""COMPUTED_VALUE"""),"06 ORL")</f>
        <v>06 ORL</v>
      </c>
      <c r="O178" s="1" t="str">
        <f ca="1">IFERROR(__xludf.DUMMYFUNCTION("""COMPUTED_VALUE"""),"Dr, José Gustavo Barroso Braojos")</f>
        <v>Dr, José Gustavo Barroso Braojos</v>
      </c>
      <c r="P178" s="6" t="str">
        <f ca="1">IFERROR(__xludf.DUMMYFUNCTION("""COMPUTED_VALUE"""),"Maika Blázquez (Madrid)")</f>
        <v>Maika Blázquez (Madrid)</v>
      </c>
    </row>
    <row r="179" spans="2:16">
      <c r="B179" s="6">
        <f ca="1">IFERROR(__xludf.DUMMYFUNCTION("""COMPUTED_VALUE"""),2025)</f>
        <v>2025</v>
      </c>
      <c r="C179" s="6">
        <f ca="1">IFERROR(__xludf.DUMMYFUNCTION("""COMPUTED_VALUE"""),2)</f>
        <v>2</v>
      </c>
      <c r="D179" s="6" t="str">
        <f ca="1">IFERROR(__xludf.DUMMYFUNCTION("""COMPUTED_VALUE"""),"NO")</f>
        <v>NO</v>
      </c>
      <c r="E179" s="6" t="str">
        <f ca="1">IFERROR(__xludf.DUMMYFUNCTION("""COMPUTED_VALUE"""),"Alicante")</f>
        <v>Alicante</v>
      </c>
      <c r="F179" s="16">
        <f ca="1">IFERROR(__xludf.DUMMYFUNCTION("""COMPUTED_VALUE"""),45700)</f>
        <v>45700</v>
      </c>
      <c r="G179" s="16">
        <f ca="1">IFERROR(__xludf.DUMMYFUNCTION("""COMPUTED_VALUE"""),45678)</f>
        <v>45678</v>
      </c>
      <c r="H179" s="6" t="str">
        <f ca="1">IFERROR(__xludf.DUMMYFUNCTION("""COMPUTED_VALUE"""),"Alicante")</f>
        <v>Alicante</v>
      </c>
      <c r="I179" s="6" t="str">
        <f ca="1">IFERROR(__xludf.DUMMYFUNCTION("""COMPUTED_VALUE"""),"C2025127152347878")</f>
        <v>C2025127152347878</v>
      </c>
      <c r="J179" s="6" t="str">
        <f ca="1">IFERROR(__xludf.DUMMYFUNCTION("""COMPUTED_VALUE"""),"JUAN FRANCISCO FUENTES BORDAS")</f>
        <v>JUAN FRANCISCO FUENTES BORDAS</v>
      </c>
      <c r="K179" s="6">
        <f ca="1">IFERROR(__xludf.DUMMYFUNCTION("""COMPUTED_VALUE"""),2)</f>
        <v>2</v>
      </c>
      <c r="L179" s="139">
        <f ca="1">IFERROR(__xludf.DUMMYFUNCTION("""COMPUTED_VALUE"""),3710)</f>
        <v>3710</v>
      </c>
      <c r="M179" s="6" t="str">
        <f ca="1">IFERROR(__xludf.DUMMYFUNCTION("""COMPUTED_VALUE"""),"03 ORL")</f>
        <v>03 ORL</v>
      </c>
      <c r="N179" s="6" t="str">
        <f ca="1">IFERROR(__xludf.DUMMYFUNCTION("""COMPUTED_VALUE"""),"06 ORL")</f>
        <v>06 ORL</v>
      </c>
      <c r="O179" s="6" t="str">
        <f ca="1">IFERROR(__xludf.DUMMYFUNCTION("""COMPUTED_VALUE"""),"Dr, Francisco Pastor Beviá")</f>
        <v>Dr, Francisco Pastor Beviá</v>
      </c>
      <c r="P179" s="6" t="str">
        <f ca="1">IFERROR(__xludf.DUMMYFUNCTION("""COMPUTED_VALUE"""),"Iván Sánchez (Levante Y Albacete)")</f>
        <v>Iván Sánchez (Levante Y Albacete)</v>
      </c>
    </row>
    <row r="180" spans="2:16">
      <c r="B180" s="6">
        <f ca="1">IFERROR(__xludf.DUMMYFUNCTION("""COMPUTED_VALUE"""),2025)</f>
        <v>2025</v>
      </c>
      <c r="C180" s="6">
        <f ca="1">IFERROR(__xludf.DUMMYFUNCTION("""COMPUTED_VALUE"""),2)</f>
        <v>2</v>
      </c>
      <c r="D180" s="6" t="str">
        <f ca="1">IFERROR(__xludf.DUMMYFUNCTION("""COMPUTED_VALUE"""),"NO")</f>
        <v>NO</v>
      </c>
      <c r="E180" s="6" t="str">
        <f ca="1">IFERROR(__xludf.DUMMYFUNCTION("""COMPUTED_VALUE"""),"Alicante")</f>
        <v>Alicante</v>
      </c>
      <c r="F180" s="16">
        <f ca="1">IFERROR(__xludf.DUMMYFUNCTION("""COMPUTED_VALUE"""),45700)</f>
        <v>45700</v>
      </c>
      <c r="G180" s="16">
        <f ca="1">IFERROR(__xludf.DUMMYFUNCTION("""COMPUTED_VALUE"""),45677)</f>
        <v>45677</v>
      </c>
      <c r="H180" s="6" t="str">
        <f ca="1">IFERROR(__xludf.DUMMYFUNCTION("""COMPUTED_VALUE"""),"Alicante")</f>
        <v>Alicante</v>
      </c>
      <c r="I180" s="6" t="str">
        <f ca="1">IFERROR(__xludf.DUMMYFUNCTION("""COMPUTED_VALUE"""),"C20251291168434")</f>
        <v>C20251291168434</v>
      </c>
      <c r="J180" s="6" t="str">
        <f ca="1">IFERROR(__xludf.DUMMYFUNCTION("""COMPUTED_VALUE"""),"JUAN MANUEL MONTAHUD ESPI")</f>
        <v>JUAN MANUEL MONTAHUD ESPI</v>
      </c>
      <c r="K180" s="6">
        <f ca="1">IFERROR(__xludf.DUMMYFUNCTION("""COMPUTED_VALUE"""),2)</f>
        <v>2</v>
      </c>
      <c r="L180" s="139">
        <f ca="1">IFERROR(__xludf.DUMMYFUNCTION("""COMPUTED_VALUE"""),3710)</f>
        <v>3710</v>
      </c>
      <c r="M180" s="6" t="str">
        <f ca="1">IFERROR(__xludf.DUMMYFUNCTION("""COMPUTED_VALUE"""),"03 ORL")</f>
        <v>03 ORL</v>
      </c>
      <c r="N180" s="6" t="str">
        <f ca="1">IFERROR(__xludf.DUMMYFUNCTION("""COMPUTED_VALUE"""),"06 ORL")</f>
        <v>06 ORL</v>
      </c>
      <c r="O180" s="6" t="str">
        <f ca="1">IFERROR(__xludf.DUMMYFUNCTION("""COMPUTED_VALUE"""),"Dra, Mónica Rodríguez Valero")</f>
        <v>Dra, Mónica Rodríguez Valero</v>
      </c>
      <c r="P180" s="6" t="str">
        <f ca="1">IFERROR(__xludf.DUMMYFUNCTION("""COMPUTED_VALUE"""),"Iván Sánchez (Levante Y Albacete)")</f>
        <v>Iván Sánchez (Levante Y Albacete)</v>
      </c>
    </row>
    <row r="181" spans="2:16">
      <c r="B181" s="6">
        <f ca="1">IFERROR(__xludf.DUMMYFUNCTION("""COMPUTED_VALUE"""),2025)</f>
        <v>2025</v>
      </c>
      <c r="C181" s="6">
        <f ca="1">IFERROR(__xludf.DUMMYFUNCTION("""COMPUTED_VALUE"""),2)</f>
        <v>2</v>
      </c>
      <c r="D181" s="6" t="str">
        <f ca="1">IFERROR(__xludf.DUMMYFUNCTION("""COMPUTED_VALUE"""),"NO")</f>
        <v>NO</v>
      </c>
      <c r="E181" s="6" t="str">
        <f ca="1">IFERROR(__xludf.DUMMYFUNCTION("""COMPUTED_VALUE"""),"Leganés")</f>
        <v>Leganés</v>
      </c>
      <c r="F181" s="16">
        <f ca="1">IFERROR(__xludf.DUMMYFUNCTION("""COMPUTED_VALUE"""),45700)</f>
        <v>45700</v>
      </c>
      <c r="G181" s="16">
        <f ca="1">IFERROR(__xludf.DUMMYFUNCTION("""COMPUTED_VALUE"""),45644)</f>
        <v>45644</v>
      </c>
      <c r="H181" s="6" t="str">
        <f ca="1">IFERROR(__xludf.DUMMYFUNCTION("""COMPUTED_VALUE"""),"Leganés")</f>
        <v>Leganés</v>
      </c>
      <c r="I181" s="6" t="str">
        <f ca="1">IFERROR(__xludf.DUMMYFUNCTION("""COMPUTED_VALUE"""),"C20241218181811576")</f>
        <v>C20241218181811576</v>
      </c>
      <c r="J181" s="6" t="str">
        <f ca="1">IFERROR(__xludf.DUMMYFUNCTION("""COMPUTED_VALUE"""),"LOURDES GUTIERREZ RAMOS")</f>
        <v>LOURDES GUTIERREZ RAMOS</v>
      </c>
      <c r="K181" s="6">
        <f ca="1">IFERROR(__xludf.DUMMYFUNCTION("""COMPUTED_VALUE"""),2)</f>
        <v>2</v>
      </c>
      <c r="L181" s="139">
        <f ca="1">IFERROR(__xludf.DUMMYFUNCTION("""COMPUTED_VALUE"""),4000)</f>
        <v>4000</v>
      </c>
      <c r="M181" s="6" t="str">
        <f ca="1">IFERROR(__xludf.DUMMYFUNCTION("""COMPUTED_VALUE"""),"03 ORL")</f>
        <v>03 ORL</v>
      </c>
      <c r="N181" s="6" t="str">
        <f ca="1">IFERROR(__xludf.DUMMYFUNCTION("""COMPUTED_VALUE"""),"06 ORL")</f>
        <v>06 ORL</v>
      </c>
      <c r="O181" s="6" t="str">
        <f ca="1">IFERROR(__xludf.DUMMYFUNCTION("""COMPUTED_VALUE"""),"Dr, Ricardo González-Orus")</f>
        <v>Dr, Ricardo González-Orus</v>
      </c>
      <c r="P181" s="6" t="str">
        <f ca="1">IFERROR(__xludf.DUMMYFUNCTION("""COMPUTED_VALUE"""),"Maika Blázquez (Madrid)")</f>
        <v>Maika Blázquez (Madrid)</v>
      </c>
    </row>
    <row r="182" spans="2:16">
      <c r="B182" s="6">
        <f ca="1">IFERROR(__xludf.DUMMYFUNCTION("""COMPUTED_VALUE"""),2025)</f>
        <v>2025</v>
      </c>
      <c r="C182" s="6">
        <f ca="1">IFERROR(__xludf.DUMMYFUNCTION("""COMPUTED_VALUE"""),2)</f>
        <v>2</v>
      </c>
      <c r="D182" s="6" t="str">
        <f ca="1">IFERROR(__xludf.DUMMYFUNCTION("""COMPUTED_VALUE"""),"NO")</f>
        <v>NO</v>
      </c>
      <c r="E182" s="6" t="str">
        <f ca="1">IFERROR(__xludf.DUMMYFUNCTION("""COMPUTED_VALUE"""),"Talavera")</f>
        <v>Talavera</v>
      </c>
      <c r="F182" s="16">
        <f ca="1">IFERROR(__xludf.DUMMYFUNCTION("""COMPUTED_VALUE"""),45701)</f>
        <v>45701</v>
      </c>
      <c r="G182" s="16">
        <f ca="1">IFERROR(__xludf.DUMMYFUNCTION("""COMPUTED_VALUE"""),45670)</f>
        <v>45670</v>
      </c>
      <c r="H182" s="6" t="str">
        <f ca="1">IFERROR(__xludf.DUMMYFUNCTION("""COMPUTED_VALUE"""),"Talavera")</f>
        <v>Talavera</v>
      </c>
      <c r="I182" s="6" t="str">
        <f ca="1">IFERROR(__xludf.DUMMYFUNCTION("""COMPUTED_VALUE"""),"C2025117104426138")</f>
        <v>C2025117104426138</v>
      </c>
      <c r="J182" s="6" t="str">
        <f ca="1">IFERROR(__xludf.DUMMYFUNCTION("""COMPUTED_VALUE"""),"MARIA LUZ LAGARTERA GOMEZ")</f>
        <v>MARIA LUZ LAGARTERA GOMEZ</v>
      </c>
      <c r="K182" s="6">
        <f ca="1">IFERROR(__xludf.DUMMYFUNCTION("""COMPUTED_VALUE"""),1)</f>
        <v>1</v>
      </c>
      <c r="L182" s="139">
        <f ca="1">IFERROR(__xludf.DUMMYFUNCTION("""COMPUTED_VALUE"""),2400)</f>
        <v>2400</v>
      </c>
      <c r="M182" s="6" t="str">
        <f ca="1">IFERROR(__xludf.DUMMYFUNCTION("""COMPUTED_VALUE"""),"03 ORL")</f>
        <v>03 ORL</v>
      </c>
      <c r="N182" s="6" t="str">
        <f ca="1">IFERROR(__xludf.DUMMYFUNCTION("""COMPUTED_VALUE"""),"06 ORL")</f>
        <v>06 ORL</v>
      </c>
      <c r="O182" s="6" t="str">
        <f ca="1">IFERROR(__xludf.DUMMYFUNCTION("""COMPUTED_VALUE"""),"Dra, Natalia Gisseth Pulido Fonseca")</f>
        <v>Dra, Natalia Gisseth Pulido Fonseca</v>
      </c>
      <c r="P182" s="6" t="str">
        <f ca="1">IFERROR(__xludf.DUMMYFUNCTION("""COMPUTED_VALUE"""),"Lisandro Russian (Madrid, Cáceres, Toledo, Talavera Y Logroño)")</f>
        <v>Lisandro Russian (Madrid, Cáceres, Toledo, Talavera Y Logroño)</v>
      </c>
    </row>
    <row r="183" spans="2:16">
      <c r="B183" s="6">
        <f ca="1">IFERROR(__xludf.DUMMYFUNCTION("""COMPUTED_VALUE"""),2025)</f>
        <v>2025</v>
      </c>
      <c r="C183" s="6">
        <f ca="1">IFERROR(__xludf.DUMMYFUNCTION("""COMPUTED_VALUE"""),2)</f>
        <v>2</v>
      </c>
      <c r="D183" s="6" t="str">
        <f ca="1">IFERROR(__xludf.DUMMYFUNCTION("""COMPUTED_VALUE"""),"NO")</f>
        <v>NO</v>
      </c>
      <c r="E183" s="6" t="str">
        <f ca="1">IFERROR(__xludf.DUMMYFUNCTION("""COMPUTED_VALUE"""),"Móstoles")</f>
        <v>Móstoles</v>
      </c>
      <c r="F183" s="16">
        <f ca="1">IFERROR(__xludf.DUMMYFUNCTION("""COMPUTED_VALUE"""),45701)</f>
        <v>45701</v>
      </c>
      <c r="G183" s="16">
        <f ca="1">IFERROR(__xludf.DUMMYFUNCTION("""COMPUTED_VALUE"""),45699)</f>
        <v>45699</v>
      </c>
      <c r="H183" s="6" t="str">
        <f ca="1">IFERROR(__xludf.DUMMYFUNCTION("""COMPUTED_VALUE"""),"Móstoles")</f>
        <v>Móstoles</v>
      </c>
      <c r="I183" s="6" t="str">
        <f ca="1">IFERROR(__xludf.DUMMYFUNCTION("""COMPUTED_VALUE"""),"C202521113312813")</f>
        <v>C202521113312813</v>
      </c>
      <c r="J183" s="6" t="str">
        <f ca="1">IFERROR(__xludf.DUMMYFUNCTION("""COMPUTED_VALUE"""),"RAMON RODRIGUEZ SIMANCAS")</f>
        <v>RAMON RODRIGUEZ SIMANCAS</v>
      </c>
      <c r="K183" s="6">
        <f ca="1">IFERROR(__xludf.DUMMYFUNCTION("""COMPUTED_VALUE"""),2)</f>
        <v>2</v>
      </c>
      <c r="L183" s="139">
        <f ca="1">IFERROR(__xludf.DUMMYFUNCTION("""COMPUTED_VALUE"""),2888.18)</f>
        <v>2888.18</v>
      </c>
      <c r="M183" s="6" t="str">
        <f ca="1">IFERROR(__xludf.DUMMYFUNCTION("""COMPUTED_VALUE"""),"03 ORL")</f>
        <v>03 ORL</v>
      </c>
      <c r="N183" s="6" t="str">
        <f ca="1">IFERROR(__xludf.DUMMYFUNCTION("""COMPUTED_VALUE"""),"06 ORL")</f>
        <v>06 ORL</v>
      </c>
      <c r="O183" s="6" t="str">
        <f ca="1">IFERROR(__xludf.DUMMYFUNCTION("""COMPUTED_VALUE"""),"No Recuerda Orl")</f>
        <v>No Recuerda Orl</v>
      </c>
      <c r="P183" s="6" t="str">
        <f ca="1">IFERROR(__xludf.DUMMYFUNCTION("""COMPUTED_VALUE"""),"Maika Blázquez (Madrid)")</f>
        <v>Maika Blázquez (Madrid)</v>
      </c>
    </row>
    <row r="184" spans="2:16">
      <c r="B184" s="6">
        <f ca="1">IFERROR(__xludf.DUMMYFUNCTION("""COMPUTED_VALUE"""),2025)</f>
        <v>2025</v>
      </c>
      <c r="C184" s="6">
        <f ca="1">IFERROR(__xludf.DUMMYFUNCTION("""COMPUTED_VALUE"""),2)</f>
        <v>2</v>
      </c>
      <c r="D184" s="6" t="str">
        <f ca="1">IFERROR(__xludf.DUMMYFUNCTION("""COMPUTED_VALUE"""),"NO")</f>
        <v>NO</v>
      </c>
      <c r="E184" s="6" t="str">
        <f ca="1">IFERROR(__xludf.DUMMYFUNCTION("""COMPUTED_VALUE"""),"Madrid- La Oca")</f>
        <v>Madrid- La Oca</v>
      </c>
      <c r="F184" s="16">
        <f ca="1">IFERROR(__xludf.DUMMYFUNCTION("""COMPUTED_VALUE"""),45701)</f>
        <v>45701</v>
      </c>
      <c r="G184" s="16">
        <f ca="1">IFERROR(__xludf.DUMMYFUNCTION("""COMPUTED_VALUE"""),45664)</f>
        <v>45664</v>
      </c>
      <c r="H184" s="6" t="str">
        <f ca="1">IFERROR(__xludf.DUMMYFUNCTION("""COMPUTED_VALUE"""),"La Oca")</f>
        <v>La Oca</v>
      </c>
      <c r="I184" s="6" t="str">
        <f ca="1">IFERROR(__xludf.DUMMYFUNCTION("""COMPUTED_VALUE"""),"C2025113123026532")</f>
        <v>C2025113123026532</v>
      </c>
      <c r="J184" s="6" t="str">
        <f ca="1">IFERROR(__xludf.DUMMYFUNCTION("""COMPUTED_VALUE"""),"FRANCISCO CONTRERAS LORENZO")</f>
        <v>FRANCISCO CONTRERAS LORENZO</v>
      </c>
      <c r="K184" s="6">
        <f ca="1">IFERROR(__xludf.DUMMYFUNCTION("""COMPUTED_VALUE"""),1)</f>
        <v>1</v>
      </c>
      <c r="L184" s="139">
        <f ca="1">IFERROR(__xludf.DUMMYFUNCTION("""COMPUTED_VALUE"""),1732.73)</f>
        <v>1732.73</v>
      </c>
      <c r="M184" s="6" t="str">
        <f ca="1">IFERROR(__xludf.DUMMYFUNCTION("""COMPUTED_VALUE"""),"03 ORL")</f>
        <v>03 ORL</v>
      </c>
      <c r="N184" s="6" t="str">
        <f ca="1">IFERROR(__xludf.DUMMYFUNCTION("""COMPUTED_VALUE"""),"06 ORL")</f>
        <v>06 ORL</v>
      </c>
      <c r="O184" s="6" t="str">
        <f ca="1">IFERROR(__xludf.DUMMYFUNCTION("""COMPUTED_VALUE"""),"Dr, Ricardo González-Orus")</f>
        <v>Dr, Ricardo González-Orus</v>
      </c>
      <c r="P184" s="6" t="str">
        <f ca="1">IFERROR(__xludf.DUMMYFUNCTION("""COMPUTED_VALUE"""),"Maika Blázquez (Madrid)")</f>
        <v>Maika Blázquez (Madrid)</v>
      </c>
    </row>
    <row r="185" spans="2:16">
      <c r="B185" s="6">
        <f ca="1">IFERROR(__xludf.DUMMYFUNCTION("""COMPUTED_VALUE"""),2025)</f>
        <v>2025</v>
      </c>
      <c r="C185" s="6">
        <f ca="1">IFERROR(__xludf.DUMMYFUNCTION("""COMPUTED_VALUE"""),2)</f>
        <v>2</v>
      </c>
      <c r="D185" s="6" t="str">
        <f ca="1">IFERROR(__xludf.DUMMYFUNCTION("""COMPUTED_VALUE"""),"NO")</f>
        <v>NO</v>
      </c>
      <c r="E185" s="6" t="str">
        <f ca="1">IFERROR(__xludf.DUMMYFUNCTION("""COMPUTED_VALUE"""),"Barcelona- Córcega")</f>
        <v>Barcelona- Córcega</v>
      </c>
      <c r="F185" s="16">
        <f ca="1">IFERROR(__xludf.DUMMYFUNCTION("""COMPUTED_VALUE"""),45701)</f>
        <v>45701</v>
      </c>
      <c r="G185" s="16">
        <f ca="1">IFERROR(__xludf.DUMMYFUNCTION("""COMPUTED_VALUE"""),45681)</f>
        <v>45681</v>
      </c>
      <c r="H185" s="6" t="str">
        <f ca="1">IFERROR(__xludf.DUMMYFUNCTION("""COMPUTED_VALUE"""),"Córcega")</f>
        <v>Córcega</v>
      </c>
      <c r="I185" s="6" t="str">
        <f ca="1">IFERROR(__xludf.DUMMYFUNCTION("""COMPUTED_VALUE"""),"C2025129111635277")</f>
        <v>C2025129111635277</v>
      </c>
      <c r="J185" s="6" t="str">
        <f ca="1">IFERROR(__xludf.DUMMYFUNCTION("""COMPUTED_VALUE"""),"FRANCISCA JIMENEZ PEREZ")</f>
        <v>FRANCISCA JIMENEZ PEREZ</v>
      </c>
      <c r="K185" s="6">
        <f ca="1">IFERROR(__xludf.DUMMYFUNCTION("""COMPUTED_VALUE"""),2)</f>
        <v>2</v>
      </c>
      <c r="L185" s="139">
        <f ca="1">IFERROR(__xludf.DUMMYFUNCTION("""COMPUTED_VALUE"""),2722.73)</f>
        <v>2722.73</v>
      </c>
      <c r="M185" s="6" t="str">
        <f ca="1">IFERROR(__xludf.DUMMYFUNCTION("""COMPUTED_VALUE"""),"03 ORL")</f>
        <v>03 ORL</v>
      </c>
      <c r="N185" s="6" t="str">
        <f ca="1">IFERROR(__xludf.DUMMYFUNCTION("""COMPUTED_VALUE"""),"06 ORL")</f>
        <v>06 ORL</v>
      </c>
      <c r="O185" s="6" t="str">
        <f ca="1">IFERROR(__xludf.DUMMYFUNCTION("""COMPUTED_VALUE"""),"Dr, Jesus-Maria Grasa Pérez")</f>
        <v>Dr, Jesus-Maria Grasa Pérez</v>
      </c>
      <c r="P185" s="6" t="str">
        <f ca="1">IFERROR(__xludf.DUMMYFUNCTION("""COMPUTED_VALUE"""),"Mercè Cabrera (Cataluña Y Baleares)")</f>
        <v>Mercè Cabrera (Cataluña Y Baleares)</v>
      </c>
    </row>
    <row r="186" spans="2:16">
      <c r="B186" s="6">
        <f ca="1">IFERROR(__xludf.DUMMYFUNCTION("""COMPUTED_VALUE"""),2025)</f>
        <v>2025</v>
      </c>
      <c r="C186" s="6">
        <f ca="1">IFERROR(__xludf.DUMMYFUNCTION("""COMPUTED_VALUE"""),2)</f>
        <v>2</v>
      </c>
      <c r="D186" s="6" t="str">
        <f ca="1">IFERROR(__xludf.DUMMYFUNCTION("""COMPUTED_VALUE"""),"NO")</f>
        <v>NO</v>
      </c>
      <c r="E186" s="6" t="str">
        <f ca="1">IFERROR(__xludf.DUMMYFUNCTION("""COMPUTED_VALUE"""),"Logroño")</f>
        <v>Logroño</v>
      </c>
      <c r="F186" s="16">
        <f ca="1">IFERROR(__xludf.DUMMYFUNCTION("""COMPUTED_VALUE"""),45701)</f>
        <v>45701</v>
      </c>
      <c r="G186" s="16">
        <f ca="1">IFERROR(__xludf.DUMMYFUNCTION("""COMPUTED_VALUE"""),45674)</f>
        <v>45674</v>
      </c>
      <c r="H186" s="6" t="str">
        <f ca="1">IFERROR(__xludf.DUMMYFUNCTION("""COMPUTED_VALUE"""),"Logroño")</f>
        <v>Logroño</v>
      </c>
      <c r="I186" s="6" t="str">
        <f ca="1">IFERROR(__xludf.DUMMYFUNCTION("""COMPUTED_VALUE"""),"C202512117395583")</f>
        <v>C202512117395583</v>
      </c>
      <c r="J186" s="6" t="str">
        <f ca="1">IFERROR(__xludf.DUMMYFUNCTION("""COMPUTED_VALUE"""),"MARÍA VEGA GONZÁLEZ IZQUIERDO")</f>
        <v>MARÍA VEGA GONZÁLEZ IZQUIERDO</v>
      </c>
      <c r="K186" s="6">
        <f ca="1">IFERROR(__xludf.DUMMYFUNCTION("""COMPUTED_VALUE"""),2)</f>
        <v>2</v>
      </c>
      <c r="L186" s="139">
        <f ca="1">IFERROR(__xludf.DUMMYFUNCTION("""COMPUTED_VALUE"""),4000)</f>
        <v>4000</v>
      </c>
      <c r="M186" s="6" t="str">
        <f ca="1">IFERROR(__xludf.DUMMYFUNCTION("""COMPUTED_VALUE"""),"03 ORL")</f>
        <v>03 ORL</v>
      </c>
      <c r="N186" s="6" t="str">
        <f ca="1">IFERROR(__xludf.DUMMYFUNCTION("""COMPUTED_VALUE"""),"06 ORL")</f>
        <v>06 ORL</v>
      </c>
      <c r="O186" s="6" t="str">
        <f ca="1">IFERROR(__xludf.DUMMYFUNCTION("""COMPUTED_VALUE"""),"Dr, Fernando Salazar Barcelona")</f>
        <v>Dr, Fernando Salazar Barcelona</v>
      </c>
      <c r="P186" s="6" t="str">
        <f ca="1">IFERROR(__xludf.DUMMYFUNCTION("""COMPUTED_VALUE"""),"Lisandro Russian (Madrid, Cáceres, Toledo, Talavera Y Logroño)")</f>
        <v>Lisandro Russian (Madrid, Cáceres, Toledo, Talavera Y Logroño)</v>
      </c>
    </row>
    <row r="187" spans="2:16">
      <c r="B187" s="6">
        <f ca="1">IFERROR(__xludf.DUMMYFUNCTION("""COMPUTED_VALUE"""),2025)</f>
        <v>2025</v>
      </c>
      <c r="C187" s="6">
        <f ca="1">IFERROR(__xludf.DUMMYFUNCTION("""COMPUTED_VALUE"""),2)</f>
        <v>2</v>
      </c>
      <c r="D187" s="6" t="str">
        <f ca="1">IFERROR(__xludf.DUMMYFUNCTION("""COMPUTED_VALUE"""),"NO")</f>
        <v>NO</v>
      </c>
      <c r="E187" s="6" t="str">
        <f ca="1">IFERROR(__xludf.DUMMYFUNCTION("""COMPUTED_VALUE"""),"Madrid- Canillas")</f>
        <v>Madrid- Canillas</v>
      </c>
      <c r="F187" s="16">
        <f ca="1">IFERROR(__xludf.DUMMYFUNCTION("""COMPUTED_VALUE"""),45702)</f>
        <v>45702</v>
      </c>
      <c r="G187" s="16">
        <f ca="1">IFERROR(__xludf.DUMMYFUNCTION("""COMPUTED_VALUE"""),45687)</f>
        <v>45687</v>
      </c>
      <c r="H187" s="6" t="str">
        <f ca="1">IFERROR(__xludf.DUMMYFUNCTION("""COMPUTED_VALUE"""),"Canillas")</f>
        <v>Canillas</v>
      </c>
      <c r="I187" s="6" t="str">
        <f ca="1">IFERROR(__xludf.DUMMYFUNCTION("""COMPUTED_VALUE"""),"C20252711149997")</f>
        <v>C20252711149997</v>
      </c>
      <c r="J187" s="6" t="str">
        <f ca="1">IFERROR(__xludf.DUMMYFUNCTION("""COMPUTED_VALUE"""),"ALICIA EXPÓSITO NOGALES")</f>
        <v>ALICIA EXPÓSITO NOGALES</v>
      </c>
      <c r="K187" s="6">
        <f ca="1">IFERROR(__xludf.DUMMYFUNCTION("""COMPUTED_VALUE"""),2)</f>
        <v>2</v>
      </c>
      <c r="L187" s="139">
        <f ca="1">IFERROR(__xludf.DUMMYFUNCTION("""COMPUTED_VALUE"""),3710)</f>
        <v>3710</v>
      </c>
      <c r="M187" s="6" t="str">
        <f ca="1">IFERROR(__xludf.DUMMYFUNCTION("""COMPUTED_VALUE"""),"03 ORL")</f>
        <v>03 ORL</v>
      </c>
      <c r="N187" s="6" t="str">
        <f ca="1">IFERROR(__xludf.DUMMYFUNCTION("""COMPUTED_VALUE"""),"06 ORL")</f>
        <v>06 ORL</v>
      </c>
      <c r="O187" s="6" t="str">
        <f ca="1">IFERROR(__xludf.DUMMYFUNCTION("""COMPUTED_VALUE"""),"Dr, José Gustavo Barroso Braojos")</f>
        <v>Dr, José Gustavo Barroso Braojos</v>
      </c>
      <c r="P187" s="6" t="str">
        <f ca="1">IFERROR(__xludf.DUMMYFUNCTION("""COMPUTED_VALUE"""),"Maika Blázquez (Madrid)")</f>
        <v>Maika Blázquez (Madrid)</v>
      </c>
    </row>
    <row r="188" spans="2:16">
      <c r="B188" s="6">
        <f ca="1">IFERROR(__xludf.DUMMYFUNCTION("""COMPUTED_VALUE"""),2025)</f>
        <v>2025</v>
      </c>
      <c r="C188" s="6">
        <f ca="1">IFERROR(__xludf.DUMMYFUNCTION("""COMPUTED_VALUE"""),2)</f>
        <v>2</v>
      </c>
      <c r="D188" s="6" t="str">
        <f ca="1">IFERROR(__xludf.DUMMYFUNCTION("""COMPUTED_VALUE"""),"NO")</f>
        <v>NO</v>
      </c>
      <c r="E188" s="6" t="str">
        <f ca="1">IFERROR(__xludf.DUMMYFUNCTION("""COMPUTED_VALUE"""),"San Javier")</f>
        <v>San Javier</v>
      </c>
      <c r="F188" s="16">
        <f ca="1">IFERROR(__xludf.DUMMYFUNCTION("""COMPUTED_VALUE"""),45702)</f>
        <v>45702</v>
      </c>
      <c r="G188" s="16">
        <f ca="1">IFERROR(__xludf.DUMMYFUNCTION("""COMPUTED_VALUE"""),45684)</f>
        <v>45684</v>
      </c>
      <c r="H188" s="6" t="str">
        <f ca="1">IFERROR(__xludf.DUMMYFUNCTION("""COMPUTED_VALUE"""),"San Javier")</f>
        <v>San Javier</v>
      </c>
      <c r="I188" s="6" t="str">
        <f ca="1">IFERROR(__xludf.DUMMYFUNCTION("""COMPUTED_VALUE"""),"MSJ-00442")</f>
        <v>MSJ-00442</v>
      </c>
      <c r="J188" s="6" t="str">
        <f ca="1">IFERROR(__xludf.DUMMYFUNCTION("""COMPUTED_VALUE"""),"STEPHEN BEACH")</f>
        <v>STEPHEN BEACH</v>
      </c>
      <c r="K188" s="6">
        <f ca="1">IFERROR(__xludf.DUMMYFUNCTION("""COMPUTED_VALUE"""),2)</f>
        <v>2</v>
      </c>
      <c r="L188" s="139">
        <f ca="1">IFERROR(__xludf.DUMMYFUNCTION("""COMPUTED_VALUE"""),4000)</f>
        <v>4000</v>
      </c>
      <c r="M188" s="6" t="str">
        <f ca="1">IFERROR(__xludf.DUMMYFUNCTION("""COMPUTED_VALUE"""),"01 MARKETING ON LINE")</f>
        <v>01 MARKETING ON LINE</v>
      </c>
      <c r="N188" s="6" t="str">
        <f ca="1">IFERROR(__xludf.DUMMYFUNCTION("""COMPUTED_VALUE"""),"04 AUDIFONO,ES")</f>
        <v>04 AUDIFONO,ES</v>
      </c>
      <c r="O188" s="6" t="str">
        <f ca="1">IFERROR(__xludf.DUMMYFUNCTION("""COMPUTED_VALUE"""),"Dr, José Miguel Osete Albaladejo")</f>
        <v>Dr, José Miguel Osete Albaladejo</v>
      </c>
      <c r="P188" s="6" t="str">
        <f ca="1">IFERROR(__xludf.DUMMYFUNCTION("""COMPUTED_VALUE"""),"Iván Sánchez (Levante Y Albacete)")</f>
        <v>Iván Sánchez (Levante Y Albacete)</v>
      </c>
    </row>
    <row r="189" spans="2:16">
      <c r="B189" s="6">
        <f ca="1">IFERROR(__xludf.DUMMYFUNCTION("""COMPUTED_VALUE"""),2025)</f>
        <v>2025</v>
      </c>
      <c r="C189" s="6">
        <f ca="1">IFERROR(__xludf.DUMMYFUNCTION("""COMPUTED_VALUE"""),2)</f>
        <v>2</v>
      </c>
      <c r="D189" s="6" t="str">
        <f ca="1">IFERROR(__xludf.DUMMYFUNCTION("""COMPUTED_VALUE"""),"NO")</f>
        <v>NO</v>
      </c>
      <c r="E189" s="6" t="str">
        <f ca="1">IFERROR(__xludf.DUMMYFUNCTION("""COMPUTED_VALUE"""),"Murcia")</f>
        <v>Murcia</v>
      </c>
      <c r="F189" s="16">
        <f ca="1">IFERROR(__xludf.DUMMYFUNCTION("""COMPUTED_VALUE"""),45702)</f>
        <v>45702</v>
      </c>
      <c r="G189" s="16">
        <f ca="1">IFERROR(__xludf.DUMMYFUNCTION("""COMPUTED_VALUE"""),45631)</f>
        <v>45631</v>
      </c>
      <c r="H189" s="6" t="str">
        <f ca="1">IFERROR(__xludf.DUMMYFUNCTION("""COMPUTED_VALUE"""),"Murcia")</f>
        <v>Murcia</v>
      </c>
      <c r="I189" s="6" t="str">
        <f ca="1">IFERROR(__xludf.DUMMYFUNCTION("""COMPUTED_VALUE"""),"C202412261718823")</f>
        <v>C202412261718823</v>
      </c>
      <c r="J189" s="6" t="str">
        <f ca="1">IFERROR(__xludf.DUMMYFUNCTION("""COMPUTED_VALUE"""),"MARIA ANGELES SALINAS VELAZQUEZ")</f>
        <v>MARIA ANGELES SALINAS VELAZQUEZ</v>
      </c>
      <c r="K189" s="6">
        <f ca="1">IFERROR(__xludf.DUMMYFUNCTION("""COMPUTED_VALUE"""),2)</f>
        <v>2</v>
      </c>
      <c r="L189" s="139">
        <f ca="1">IFERROR(__xludf.DUMMYFUNCTION("""COMPUTED_VALUE"""),4000)</f>
        <v>4000</v>
      </c>
      <c r="M189" s="6" t="str">
        <f ca="1">IFERROR(__xludf.DUMMYFUNCTION("""COMPUTED_VALUE"""),"03 ORL")</f>
        <v>03 ORL</v>
      </c>
      <c r="N189" s="6" t="str">
        <f ca="1">IFERROR(__xludf.DUMMYFUNCTION("""COMPUTED_VALUE"""),"06 ORL")</f>
        <v>06 ORL</v>
      </c>
      <c r="O189" s="6" t="str">
        <f ca="1">IFERROR(__xludf.DUMMYFUNCTION("""COMPUTED_VALUE"""),"Dra, María Agustina Sevilla García")</f>
        <v>Dra, María Agustina Sevilla García</v>
      </c>
      <c r="P189" s="6" t="str">
        <f ca="1">IFERROR(__xludf.DUMMYFUNCTION("""COMPUTED_VALUE"""),"Iván Sánchez (Levante Y Albacete)")</f>
        <v>Iván Sánchez (Levante Y Albacete)</v>
      </c>
    </row>
    <row r="190" spans="2:16">
      <c r="B190" s="6">
        <f ca="1">IFERROR(__xludf.DUMMYFUNCTION("""COMPUTED_VALUE"""),2025)</f>
        <v>2025</v>
      </c>
      <c r="C190" s="6">
        <f ca="1">IFERROR(__xludf.DUMMYFUNCTION("""COMPUTED_VALUE"""),2)</f>
        <v>2</v>
      </c>
      <c r="D190" s="6" t="str">
        <f ca="1">IFERROR(__xludf.DUMMYFUNCTION("""COMPUTED_VALUE"""),"NO")</f>
        <v>NO</v>
      </c>
      <c r="E190" s="6" t="str">
        <f ca="1">IFERROR(__xludf.DUMMYFUNCTION("""COMPUTED_VALUE"""),"Sevilla- Montoto")</f>
        <v>Sevilla- Montoto</v>
      </c>
      <c r="F190" s="16">
        <f ca="1">IFERROR(__xludf.DUMMYFUNCTION("""COMPUTED_VALUE"""),45705)</f>
        <v>45705</v>
      </c>
      <c r="G190" s="16">
        <f ca="1">IFERROR(__xludf.DUMMYFUNCTION("""COMPUTED_VALUE"""),45678)</f>
        <v>45678</v>
      </c>
      <c r="H190" s="6" t="str">
        <f ca="1">IFERROR(__xludf.DUMMYFUNCTION("""COMPUTED_VALUE"""),"Montoto")</f>
        <v>Montoto</v>
      </c>
      <c r="I190" s="6" t="str">
        <f ca="1">IFERROR(__xludf.DUMMYFUNCTION("""COMPUTED_VALUE"""),"C2025128105048281")</f>
        <v>C2025128105048281</v>
      </c>
      <c r="J190" s="6" t="str">
        <f ca="1">IFERROR(__xludf.DUMMYFUNCTION("""COMPUTED_VALUE"""),"DOLORES CEBALLOS BALLESTEROS")</f>
        <v>DOLORES CEBALLOS BALLESTEROS</v>
      </c>
      <c r="K190" s="6">
        <f ca="1">IFERROR(__xludf.DUMMYFUNCTION("""COMPUTED_VALUE"""),2)</f>
        <v>2</v>
      </c>
      <c r="L190" s="139">
        <f ca="1">IFERROR(__xludf.DUMMYFUNCTION("""COMPUTED_VALUE"""),4000)</f>
        <v>4000</v>
      </c>
      <c r="M190" s="6" t="str">
        <f ca="1">IFERROR(__xludf.DUMMYFUNCTION("""COMPUTED_VALUE"""),"03 ORL")</f>
        <v>03 ORL</v>
      </c>
      <c r="N190" s="6" t="str">
        <f ca="1">IFERROR(__xludf.DUMMYFUNCTION("""COMPUTED_VALUE"""),"06 ORL")</f>
        <v>06 ORL</v>
      </c>
      <c r="O190" s="6" t="str">
        <f ca="1">IFERROR(__xludf.DUMMYFUNCTION("""COMPUTED_VALUE"""),"Dr, David Castro Gutiérrez De Agüero")</f>
        <v>Dr, David Castro Gutiérrez De Agüero</v>
      </c>
      <c r="P190" s="6" t="str">
        <f ca="1">IFERROR(__xludf.DUMMYFUNCTION("""COMPUTED_VALUE"""),"Luis Alberto Rodríguez (Andalucía Y Badajoz)")</f>
        <v>Luis Alberto Rodríguez (Andalucía Y Badajoz)</v>
      </c>
    </row>
    <row r="191" spans="2:16">
      <c r="B191" s="6">
        <f ca="1">IFERROR(__xludf.DUMMYFUNCTION("""COMPUTED_VALUE"""),2025)</f>
        <v>2025</v>
      </c>
      <c r="C191" s="6">
        <f ca="1">IFERROR(__xludf.DUMMYFUNCTION("""COMPUTED_VALUE"""),2)</f>
        <v>2</v>
      </c>
      <c r="D191" s="6" t="str">
        <f ca="1">IFERROR(__xludf.DUMMYFUNCTION("""COMPUTED_VALUE"""),"SI")</f>
        <v>SI</v>
      </c>
      <c r="E191" s="6" t="str">
        <f ca="1">IFERROR(__xludf.DUMMYFUNCTION("""COMPUTED_VALUE"""),"Madrid- Monforte de Lemos")</f>
        <v>Madrid- Monforte de Lemos</v>
      </c>
      <c r="F191" s="16">
        <f ca="1">IFERROR(__xludf.DUMMYFUNCTION("""COMPUTED_VALUE"""),45705)</f>
        <v>45705</v>
      </c>
      <c r="G191" s="16">
        <f ca="1">IFERROR(__xludf.DUMMYFUNCTION("""COMPUTED_VALUE"""),45362)</f>
        <v>45362</v>
      </c>
      <c r="H191" s="6" t="str">
        <f ca="1">IFERROR(__xludf.DUMMYFUNCTION("""COMPUTED_VALUE"""),"La Vaguada")</f>
        <v>La Vaguada</v>
      </c>
      <c r="I191" s="6" t="str">
        <f ca="1">IFERROR(__xludf.DUMMYFUNCTION("""COMPUTED_VALUE"""),"VAG-5301")</f>
        <v>VAG-5301</v>
      </c>
      <c r="J191" s="6" t="str">
        <f ca="1">IFERROR(__xludf.DUMMYFUNCTION("""COMPUTED_VALUE"""),"ANICETA GARCIA PEREZ")</f>
        <v>ANICETA GARCIA PEREZ</v>
      </c>
      <c r="K191" s="6">
        <f ca="1">IFERROR(__xludf.DUMMYFUNCTION("""COMPUTED_VALUE"""),1)</f>
        <v>1</v>
      </c>
      <c r="L191" s="139">
        <f ca="1">IFERROR(__xludf.DUMMYFUNCTION("""COMPUTED_VALUE"""),1444.55)</f>
        <v>1444.55</v>
      </c>
      <c r="M191" s="6" t="str">
        <f ca="1">IFERROR(__xludf.DUMMYFUNCTION("""COMPUTED_VALUE"""),"04 TIENDA")</f>
        <v>04 TIENDA</v>
      </c>
      <c r="N191" s="6" t="str">
        <f ca="1">IFERROR(__xludf.DUMMYFUNCTION("""COMPUTED_VALUE"""),"19 CLIENTE RECOMPRA ESPONTANEA")</f>
        <v>19 CLIENTE RECOMPRA ESPONTANEA</v>
      </c>
      <c r="O191" s="6" t="str">
        <f ca="1">IFERROR(__xludf.DUMMYFUNCTION("""COMPUTED_VALUE"""),"Dr, Miguel Vaca González")</f>
        <v>Dr, Miguel Vaca González</v>
      </c>
      <c r="P191" s="6" t="str">
        <f ca="1">IFERROR(__xludf.DUMMYFUNCTION("""COMPUTED_VALUE"""),"Maika Blázquez (Madrid)")</f>
        <v>Maika Blázquez (Madrid)</v>
      </c>
    </row>
    <row r="192" spans="2:16">
      <c r="B192" s="6">
        <f ca="1">IFERROR(__xludf.DUMMYFUNCTION("""COMPUTED_VALUE"""),2025)</f>
        <v>2025</v>
      </c>
      <c r="C192" s="6">
        <f ca="1">IFERROR(__xludf.DUMMYFUNCTION("""COMPUTED_VALUE"""),2)</f>
        <v>2</v>
      </c>
      <c r="D192" s="6" t="str">
        <f ca="1">IFERROR(__xludf.DUMMYFUNCTION("""COMPUTED_VALUE"""),"NO")</f>
        <v>NO</v>
      </c>
      <c r="E192" s="6" t="str">
        <f ca="1">IFERROR(__xludf.DUMMYFUNCTION("""COMPUTED_VALUE"""),"Madrid- Canillas")</f>
        <v>Madrid- Canillas</v>
      </c>
      <c r="F192" s="16">
        <f ca="1">IFERROR(__xludf.DUMMYFUNCTION("""COMPUTED_VALUE"""),45705)</f>
        <v>45705</v>
      </c>
      <c r="G192" s="16">
        <f ca="1">IFERROR(__xludf.DUMMYFUNCTION("""COMPUTED_VALUE"""),45670)</f>
        <v>45670</v>
      </c>
      <c r="H192" s="6" t="str">
        <f ca="1">IFERROR(__xludf.DUMMYFUNCTION("""COMPUTED_VALUE"""),"Canillas")</f>
        <v>Canillas</v>
      </c>
      <c r="I192" s="6" t="str">
        <f ca="1">IFERROR(__xludf.DUMMYFUNCTION("""COMPUTED_VALUE"""),"C2025124152314357")</f>
        <v>C2025124152314357</v>
      </c>
      <c r="J192" s="6" t="str">
        <f ca="1">IFERROR(__xludf.DUMMYFUNCTION("""COMPUTED_VALUE"""),"JOSE JUAN GORMAZ")</f>
        <v>JOSE JUAN GORMAZ</v>
      </c>
      <c r="K192" s="6">
        <f ca="1">IFERROR(__xludf.DUMMYFUNCTION("""COMPUTED_VALUE"""),2)</f>
        <v>2</v>
      </c>
      <c r="L192" s="139">
        <f ca="1">IFERROR(__xludf.DUMMYFUNCTION("""COMPUTED_VALUE"""),4000)</f>
        <v>4000</v>
      </c>
      <c r="M192" s="6" t="str">
        <f ca="1">IFERROR(__xludf.DUMMYFUNCTION("""COMPUTED_VALUE"""),"03 ORL")</f>
        <v>03 ORL</v>
      </c>
      <c r="N192" s="6" t="str">
        <f ca="1">IFERROR(__xludf.DUMMYFUNCTION("""COMPUTED_VALUE"""),"06 ORL")</f>
        <v>06 ORL</v>
      </c>
      <c r="O192" s="6" t="str">
        <f ca="1">IFERROR(__xludf.DUMMYFUNCTION("""COMPUTED_VALUE"""),"Dr, José Gustavo Barroso Braojos")</f>
        <v>Dr, José Gustavo Barroso Braojos</v>
      </c>
      <c r="P192" s="6" t="str">
        <f ca="1">IFERROR(__xludf.DUMMYFUNCTION("""COMPUTED_VALUE"""),"Maika Blázquez (Madrid)")</f>
        <v>Maika Blázquez (Madrid)</v>
      </c>
    </row>
    <row r="193" spans="2:16">
      <c r="B193" s="6">
        <f ca="1">IFERROR(__xludf.DUMMYFUNCTION("""COMPUTED_VALUE"""),2025)</f>
        <v>2025</v>
      </c>
      <c r="C193" s="6">
        <f ca="1">IFERROR(__xludf.DUMMYFUNCTION("""COMPUTED_VALUE"""),2)</f>
        <v>2</v>
      </c>
      <c r="D193" s="6" t="str">
        <f ca="1">IFERROR(__xludf.DUMMYFUNCTION("""COMPUTED_VALUE"""),"NO")</f>
        <v>NO</v>
      </c>
      <c r="E193" s="6" t="str">
        <f ca="1">IFERROR(__xludf.DUMMYFUNCTION("""COMPUTED_VALUE"""),"Madrid- Moratalaz")</f>
        <v>Madrid- Moratalaz</v>
      </c>
      <c r="F193" s="16">
        <f ca="1">IFERROR(__xludf.DUMMYFUNCTION("""COMPUTED_VALUE"""),45705)</f>
        <v>45705</v>
      </c>
      <c r="G193" s="16">
        <f ca="1">IFERROR(__xludf.DUMMYFUNCTION("""COMPUTED_VALUE"""),45680)</f>
        <v>45680</v>
      </c>
      <c r="H193" s="6" t="str">
        <f ca="1">IFERROR(__xludf.DUMMYFUNCTION("""COMPUTED_VALUE"""),"Moratalaz")</f>
        <v>Moratalaz</v>
      </c>
      <c r="I193" s="6" t="str">
        <f ca="1">IFERROR(__xludf.DUMMYFUNCTION("""COMPUTED_VALUE"""),"C2025130164650836")</f>
        <v>C2025130164650836</v>
      </c>
      <c r="J193" s="6" t="str">
        <f ca="1">IFERROR(__xludf.DUMMYFUNCTION("""COMPUTED_VALUE"""),"IGNACIA JIMENEZ CURIEL")</f>
        <v>IGNACIA JIMENEZ CURIEL</v>
      </c>
      <c r="K193" s="6">
        <f ca="1">IFERROR(__xludf.DUMMYFUNCTION("""COMPUTED_VALUE"""),1)</f>
        <v>1</v>
      </c>
      <c r="L193" s="139">
        <f ca="1">IFERROR(__xludf.DUMMYFUNCTION("""COMPUTED_VALUE"""),2400)</f>
        <v>2400</v>
      </c>
      <c r="M193" s="6" t="str">
        <f ca="1">IFERROR(__xludf.DUMMYFUNCTION("""COMPUTED_VALUE"""),"03 ORL")</f>
        <v>03 ORL</v>
      </c>
      <c r="N193" s="6" t="str">
        <f ca="1">IFERROR(__xludf.DUMMYFUNCTION("""COMPUTED_VALUE"""),"06 ORL")</f>
        <v>06 ORL</v>
      </c>
      <c r="O193" s="6" t="str">
        <f ca="1">IFERROR(__xludf.DUMMYFUNCTION("""COMPUTED_VALUE"""),"Dr, Esteban Scola Pliego")</f>
        <v>Dr, Esteban Scola Pliego</v>
      </c>
      <c r="P193" s="6" t="str">
        <f ca="1">IFERROR(__xludf.DUMMYFUNCTION("""COMPUTED_VALUE"""),"Maika Blázquez (Madrid)")</f>
        <v>Maika Blázquez (Madrid)</v>
      </c>
    </row>
    <row r="194" spans="2:16">
      <c r="B194" s="6">
        <f ca="1">IFERROR(__xludf.DUMMYFUNCTION("""COMPUTED_VALUE"""),2025)</f>
        <v>2025</v>
      </c>
      <c r="C194" s="6">
        <f ca="1">IFERROR(__xludf.DUMMYFUNCTION("""COMPUTED_VALUE"""),2)</f>
        <v>2</v>
      </c>
      <c r="D194" s="6" t="str">
        <f ca="1">IFERROR(__xludf.DUMMYFUNCTION("""COMPUTED_VALUE"""),"NO")</f>
        <v>NO</v>
      </c>
      <c r="E194" s="6" t="str">
        <f ca="1">IFERROR(__xludf.DUMMYFUNCTION("""COMPUTED_VALUE"""),"Madrid- Juan Bravo")</f>
        <v>Madrid- Juan Bravo</v>
      </c>
      <c r="F194" s="16">
        <f ca="1">IFERROR(__xludf.DUMMYFUNCTION("""COMPUTED_VALUE"""),45706)</f>
        <v>45706</v>
      </c>
      <c r="G194" s="16">
        <f ca="1">IFERROR(__xludf.DUMMYFUNCTION("""COMPUTED_VALUE"""),45674)</f>
        <v>45674</v>
      </c>
      <c r="H194" s="6" t="str">
        <f ca="1">IFERROR(__xludf.DUMMYFUNCTION("""COMPUTED_VALUE"""),"Juan Bravo")</f>
        <v>Juan Bravo</v>
      </c>
      <c r="I194" s="6" t="str">
        <f ca="1">IFERROR(__xludf.DUMMYFUNCTION("""COMPUTED_VALUE"""),"C2025122115441159")</f>
        <v>C2025122115441159</v>
      </c>
      <c r="J194" s="6" t="str">
        <f ca="1">IFERROR(__xludf.DUMMYFUNCTION("""COMPUTED_VALUE"""),"JACOB ABECASIS HACHUEL")</f>
        <v>JACOB ABECASIS HACHUEL</v>
      </c>
      <c r="K194" s="6">
        <f ca="1">IFERROR(__xludf.DUMMYFUNCTION("""COMPUTED_VALUE"""),1)</f>
        <v>1</v>
      </c>
      <c r="L194" s="139">
        <f ca="1">IFERROR(__xludf.DUMMYFUNCTION("""COMPUTED_VALUE"""),2081.82)</f>
        <v>2081.8200000000002</v>
      </c>
      <c r="M194" s="6" t="str">
        <f ca="1">IFERROR(__xludf.DUMMYFUNCTION("""COMPUTED_VALUE"""),"03 ORL")</f>
        <v>03 ORL</v>
      </c>
      <c r="N194" s="6" t="str">
        <f ca="1">IFERROR(__xludf.DUMMYFUNCTION("""COMPUTED_VALUE"""),"06 ORL")</f>
        <v>06 ORL</v>
      </c>
      <c r="O194" s="6" t="str">
        <f ca="1">IFERROR(__xludf.DUMMYFUNCTION("""COMPUTED_VALUE"""),"Dr, Carlos Barajas Del Rosal")</f>
        <v>Dr, Carlos Barajas Del Rosal</v>
      </c>
      <c r="P194" s="6" t="str">
        <f ca="1">IFERROR(__xludf.DUMMYFUNCTION("""COMPUTED_VALUE"""),"Lisandro Russian (Madrid, Cáceres, Toledo, Talavera Y Logroño)")</f>
        <v>Lisandro Russian (Madrid, Cáceres, Toledo, Talavera Y Logroño)</v>
      </c>
    </row>
    <row r="195" spans="2:16">
      <c r="B195" s="6">
        <f ca="1">IFERROR(__xludf.DUMMYFUNCTION("""COMPUTED_VALUE"""),2025)</f>
        <v>2025</v>
      </c>
      <c r="C195" s="6">
        <f ca="1">IFERROR(__xludf.DUMMYFUNCTION("""COMPUTED_VALUE"""),2)</f>
        <v>2</v>
      </c>
      <c r="D195" s="6" t="str">
        <f ca="1">IFERROR(__xludf.DUMMYFUNCTION("""COMPUTED_VALUE"""),"NO")</f>
        <v>NO</v>
      </c>
      <c r="E195" s="6" t="str">
        <f ca="1">IFERROR(__xludf.DUMMYFUNCTION("""COMPUTED_VALUE"""),"Valencia- Cádiz")</f>
        <v>Valencia- Cádiz</v>
      </c>
      <c r="F195" s="16">
        <f ca="1">IFERROR(__xludf.DUMMYFUNCTION("""COMPUTED_VALUE"""),45706)</f>
        <v>45706</v>
      </c>
      <c r="G195" s="16">
        <f ca="1">IFERROR(__xludf.DUMMYFUNCTION("""COMPUTED_VALUE"""),45673)</f>
        <v>45673</v>
      </c>
      <c r="H195" s="6" t="str">
        <f ca="1">IFERROR(__xludf.DUMMYFUNCTION("""COMPUTED_VALUE"""),"Valencia- Cádiz")</f>
        <v>Valencia- Cádiz</v>
      </c>
      <c r="I195" s="6" t="str">
        <f ca="1">IFERROR(__xludf.DUMMYFUNCTION("""COMPUTED_VALUE"""),"C2025121114025142")</f>
        <v>C2025121114025142</v>
      </c>
      <c r="J195" s="6" t="str">
        <f ca="1">IFERROR(__xludf.DUMMYFUNCTION("""COMPUTED_VALUE"""),"AMPARO LLORENS GORRIZ")</f>
        <v>AMPARO LLORENS GORRIZ</v>
      </c>
      <c r="K195" s="6">
        <f ca="1">IFERROR(__xludf.DUMMYFUNCTION("""COMPUTED_VALUE"""),1)</f>
        <v>1</v>
      </c>
      <c r="L195" s="139">
        <f ca="1">IFERROR(__xludf.DUMMYFUNCTION("""COMPUTED_VALUE"""),1732.73)</f>
        <v>1732.73</v>
      </c>
      <c r="M195" s="6" t="str">
        <f ca="1">IFERROR(__xludf.DUMMYFUNCTION("""COMPUTED_VALUE"""),"03 ORL")</f>
        <v>03 ORL</v>
      </c>
      <c r="N195" s="6" t="str">
        <f ca="1">IFERROR(__xludf.DUMMYFUNCTION("""COMPUTED_VALUE"""),"06 ORL")</f>
        <v>06 ORL</v>
      </c>
      <c r="O195" s="6" t="str">
        <f ca="1">IFERROR(__xludf.DUMMYFUNCTION("""COMPUTED_VALUE"""),"Dr, Álvaro Pérez Llinares")</f>
        <v>Dr, Álvaro Pérez Llinares</v>
      </c>
      <c r="P195" s="6" t="str">
        <f ca="1">IFERROR(__xludf.DUMMYFUNCTION("""COMPUTED_VALUE"""),"Ramon Ferrando(Valencia)")</f>
        <v>Ramon Ferrando(Valencia)</v>
      </c>
    </row>
    <row r="196" spans="2:16">
      <c r="B196" s="6">
        <f ca="1">IFERROR(__xludf.DUMMYFUNCTION("""COMPUTED_VALUE"""),2025)</f>
        <v>2025</v>
      </c>
      <c r="C196" s="6">
        <f ca="1">IFERROR(__xludf.DUMMYFUNCTION("""COMPUTED_VALUE"""),2)</f>
        <v>2</v>
      </c>
      <c r="D196" s="6" t="str">
        <f ca="1">IFERROR(__xludf.DUMMYFUNCTION("""COMPUTED_VALUE"""),"NO")</f>
        <v>NO</v>
      </c>
      <c r="E196" s="6" t="str">
        <f ca="1">IFERROR(__xludf.DUMMYFUNCTION("""COMPUTED_VALUE"""),"Madrid- La Oca")</f>
        <v>Madrid- La Oca</v>
      </c>
      <c r="F196" s="16">
        <f ca="1">IFERROR(__xludf.DUMMYFUNCTION("""COMPUTED_VALUE"""),45706)</f>
        <v>45706</v>
      </c>
      <c r="G196" s="16">
        <f ca="1">IFERROR(__xludf.DUMMYFUNCTION("""COMPUTED_VALUE"""),45664)</f>
        <v>45664</v>
      </c>
      <c r="H196" s="6" t="str">
        <f ca="1">IFERROR(__xludf.DUMMYFUNCTION("""COMPUTED_VALUE"""),"La Oca")</f>
        <v>La Oca</v>
      </c>
      <c r="I196" s="6" t="str">
        <f ca="1">IFERROR(__xludf.DUMMYFUNCTION("""COMPUTED_VALUE"""),"C2025116172116357")</f>
        <v>C2025116172116357</v>
      </c>
      <c r="J196" s="6" t="str">
        <f ca="1">IFERROR(__xludf.DUMMYFUNCTION("""COMPUTED_VALUE"""),"TEOFILO MARTINEZ ROMERA")</f>
        <v>TEOFILO MARTINEZ ROMERA</v>
      </c>
      <c r="K196" s="6">
        <f ca="1">IFERROR(__xludf.DUMMYFUNCTION("""COMPUTED_VALUE"""),2)</f>
        <v>2</v>
      </c>
      <c r="L196" s="139">
        <f ca="1">IFERROR(__xludf.DUMMYFUNCTION("""COMPUTED_VALUE"""),2888.18)</f>
        <v>2888.18</v>
      </c>
      <c r="M196" s="6" t="str">
        <f ca="1">IFERROR(__xludf.DUMMYFUNCTION("""COMPUTED_VALUE"""),"03 ORL")</f>
        <v>03 ORL</v>
      </c>
      <c r="N196" s="6" t="str">
        <f ca="1">IFERROR(__xludf.DUMMYFUNCTION("""COMPUTED_VALUE"""),"06 ORL")</f>
        <v>06 ORL</v>
      </c>
      <c r="O196" s="6" t="str">
        <f ca="1">IFERROR(__xludf.DUMMYFUNCTION("""COMPUTED_VALUE"""),"Dra, Bárbara Castillo Ávila")</f>
        <v>Dra, Bárbara Castillo Ávila</v>
      </c>
      <c r="P196" s="6" t="str">
        <f ca="1">IFERROR(__xludf.DUMMYFUNCTION("""COMPUTED_VALUE"""),"Maika Blázquez (Madrid)")</f>
        <v>Maika Blázquez (Madrid)</v>
      </c>
    </row>
    <row r="197" spans="2:16">
      <c r="B197" s="6">
        <f ca="1">IFERROR(__xludf.DUMMYFUNCTION("""COMPUTED_VALUE"""),2025)</f>
        <v>2025</v>
      </c>
      <c r="C197" s="6">
        <f ca="1">IFERROR(__xludf.DUMMYFUNCTION("""COMPUTED_VALUE"""),2)</f>
        <v>2</v>
      </c>
      <c r="D197" s="6" t="str">
        <f ca="1">IFERROR(__xludf.DUMMYFUNCTION("""COMPUTED_VALUE"""),"NO")</f>
        <v>NO</v>
      </c>
      <c r="E197" s="6" t="str">
        <f ca="1">IFERROR(__xludf.DUMMYFUNCTION("""COMPUTED_VALUE"""),"Madrid- Costa Rica")</f>
        <v>Madrid- Costa Rica</v>
      </c>
      <c r="F197" s="16">
        <f ca="1">IFERROR(__xludf.DUMMYFUNCTION("""COMPUTED_VALUE"""),45707)</f>
        <v>45707</v>
      </c>
      <c r="G197" s="16">
        <f ca="1">IFERROR(__xludf.DUMMYFUNCTION("""COMPUTED_VALUE"""),45666)</f>
        <v>45666</v>
      </c>
      <c r="H197" s="6" t="str">
        <f ca="1">IFERROR(__xludf.DUMMYFUNCTION("""COMPUTED_VALUE"""),"Costa Rica")</f>
        <v>Costa Rica</v>
      </c>
      <c r="I197" s="6" t="str">
        <f ca="1">IFERROR(__xludf.DUMMYFUNCTION("""COMPUTED_VALUE"""),"C202512795336841")</f>
        <v>C202512795336841</v>
      </c>
      <c r="J197" s="6" t="str">
        <f ca="1">IFERROR(__xludf.DUMMYFUNCTION("""COMPUTED_VALUE"""),"CARMEN GALAN MIGUEL")</f>
        <v>CARMEN GALAN MIGUEL</v>
      </c>
      <c r="K197" s="6">
        <f ca="1">IFERROR(__xludf.DUMMYFUNCTION("""COMPUTED_VALUE"""),2)</f>
        <v>2</v>
      </c>
      <c r="L197" s="139">
        <f ca="1">IFERROR(__xludf.DUMMYFUNCTION("""COMPUTED_VALUE"""),2450.13)</f>
        <v>2450.13</v>
      </c>
      <c r="M197" s="6" t="str">
        <f ca="1">IFERROR(__xludf.DUMMYFUNCTION("""COMPUTED_VALUE"""),"03 ORL")</f>
        <v>03 ORL</v>
      </c>
      <c r="N197" s="6" t="str">
        <f ca="1">IFERROR(__xludf.DUMMYFUNCTION("""COMPUTED_VALUE"""),"06 ORL")</f>
        <v>06 ORL</v>
      </c>
      <c r="O197" s="6" t="str">
        <f ca="1">IFERROR(__xludf.DUMMYFUNCTION("""COMPUTED_VALUE"""),"Dr, Alejandro Harguindey Antoli-Candela")</f>
        <v>Dr, Alejandro Harguindey Antoli-Candela</v>
      </c>
      <c r="P197" s="6" t="str">
        <f ca="1">IFERROR(__xludf.DUMMYFUNCTION("""COMPUTED_VALUE"""),"Maika Blázquez (Madrid)")</f>
        <v>Maika Blázquez (Madrid)</v>
      </c>
    </row>
    <row r="198" spans="2:16">
      <c r="B198" s="6">
        <f ca="1">IFERROR(__xludf.DUMMYFUNCTION("""COMPUTED_VALUE"""),2025)</f>
        <v>2025</v>
      </c>
      <c r="C198" s="6">
        <f ca="1">IFERROR(__xludf.DUMMYFUNCTION("""COMPUTED_VALUE"""),2)</f>
        <v>2</v>
      </c>
      <c r="D198" s="6" t="str">
        <f ca="1">IFERROR(__xludf.DUMMYFUNCTION("""COMPUTED_VALUE"""),"NO")</f>
        <v>NO</v>
      </c>
      <c r="E198" s="6" t="str">
        <f ca="1">IFERROR(__xludf.DUMMYFUNCTION("""COMPUTED_VALUE"""),"Fuenlabrada")</f>
        <v>Fuenlabrada</v>
      </c>
      <c r="F198" s="16">
        <f ca="1">IFERROR(__xludf.DUMMYFUNCTION("""COMPUTED_VALUE"""),45707)</f>
        <v>45707</v>
      </c>
      <c r="G198" s="16">
        <f ca="1">IFERROR(__xludf.DUMMYFUNCTION("""COMPUTED_VALUE"""),45687)</f>
        <v>45687</v>
      </c>
      <c r="H198" s="6" t="str">
        <f ca="1">IFERROR(__xludf.DUMMYFUNCTION("""COMPUTED_VALUE"""),"Fuenlabrada")</f>
        <v>Fuenlabrada</v>
      </c>
      <c r="I198" s="6" t="str">
        <f ca="1">IFERROR(__xludf.DUMMYFUNCTION("""COMPUTED_VALUE"""),"C20252412446666")</f>
        <v>C20252412446666</v>
      </c>
      <c r="J198" s="6" t="str">
        <f ca="1">IFERROR(__xludf.DUMMYFUNCTION("""COMPUTED_VALUE"""),"ELVIRA ENGUIDANOS PINO")</f>
        <v>ELVIRA ENGUIDANOS PINO</v>
      </c>
      <c r="K198" s="6">
        <f ca="1">IFERROR(__xludf.DUMMYFUNCTION("""COMPUTED_VALUE"""),2)</f>
        <v>2</v>
      </c>
      <c r="L198" s="139">
        <f ca="1">IFERROR(__xludf.DUMMYFUNCTION("""COMPUTED_VALUE"""),3710)</f>
        <v>3710</v>
      </c>
      <c r="M198" s="6" t="str">
        <f ca="1">IFERROR(__xludf.DUMMYFUNCTION("""COMPUTED_VALUE"""),"03 ORL")</f>
        <v>03 ORL</v>
      </c>
      <c r="N198" s="6" t="str">
        <f ca="1">IFERROR(__xludf.DUMMYFUNCTION("""COMPUTED_VALUE"""),"06 ORL")</f>
        <v>06 ORL</v>
      </c>
      <c r="O198" s="6" t="str">
        <f ca="1">IFERROR(__xludf.DUMMYFUNCTION("""COMPUTED_VALUE"""),"Dra, María Gabriela Bosco Morales")</f>
        <v>Dra, María Gabriela Bosco Morales</v>
      </c>
      <c r="P198" s="6" t="str">
        <f ca="1">IFERROR(__xludf.DUMMYFUNCTION("""COMPUTED_VALUE"""),"Maika Blázquez (Madrid)")</f>
        <v>Maika Blázquez (Madrid)</v>
      </c>
    </row>
    <row r="199" spans="2:16">
      <c r="B199" s="6">
        <f ca="1">IFERROR(__xludf.DUMMYFUNCTION("""COMPUTED_VALUE"""),2025)</f>
        <v>2025</v>
      </c>
      <c r="C199" s="6">
        <f ca="1">IFERROR(__xludf.DUMMYFUNCTION("""COMPUTED_VALUE"""),2)</f>
        <v>2</v>
      </c>
      <c r="D199" s="6" t="str">
        <f ca="1">IFERROR(__xludf.DUMMYFUNCTION("""COMPUTED_VALUE"""),"NO")</f>
        <v>NO</v>
      </c>
      <c r="E199" s="6" t="str">
        <f ca="1">IFERROR(__xludf.DUMMYFUNCTION("""COMPUTED_VALUE"""),"Torrejón de Ardoz")</f>
        <v>Torrejón de Ardoz</v>
      </c>
      <c r="F199" s="16">
        <f ca="1">IFERROR(__xludf.DUMMYFUNCTION("""COMPUTED_VALUE"""),45707)</f>
        <v>45707</v>
      </c>
      <c r="G199" s="16">
        <f ca="1">IFERROR(__xludf.DUMMYFUNCTION("""COMPUTED_VALUE"""),45692)</f>
        <v>45692</v>
      </c>
      <c r="H199" s="6" t="str">
        <f ca="1">IFERROR(__xludf.DUMMYFUNCTION("""COMPUTED_VALUE"""),"Torrejón")</f>
        <v>Torrejón</v>
      </c>
      <c r="I199" s="6" t="str">
        <f ca="1">IFERROR(__xludf.DUMMYFUNCTION("""COMPUTED_VALUE"""),"C202524192528978")</f>
        <v>C202524192528978</v>
      </c>
      <c r="J199" s="6" t="str">
        <f ca="1">IFERROR(__xludf.DUMMYFUNCTION("""COMPUTED_VALUE"""),"CESAR DEL ALAMO BARRAS")</f>
        <v>CESAR DEL ALAMO BARRAS</v>
      </c>
      <c r="K199" s="6">
        <f ca="1">IFERROR(__xludf.DUMMYFUNCTION("""COMPUTED_VALUE"""),2)</f>
        <v>2</v>
      </c>
      <c r="L199" s="139">
        <f ca="1">IFERROR(__xludf.DUMMYFUNCTION("""COMPUTED_VALUE"""),4000)</f>
        <v>4000</v>
      </c>
      <c r="M199" s="6" t="str">
        <f ca="1">IFERROR(__xludf.DUMMYFUNCTION("""COMPUTED_VALUE"""),"03 ORL")</f>
        <v>03 ORL</v>
      </c>
      <c r="N199" s="6" t="str">
        <f ca="1">IFERROR(__xludf.DUMMYFUNCTION("""COMPUTED_VALUE"""),"06 ORL")</f>
        <v>06 ORL</v>
      </c>
      <c r="O199" s="6" t="str">
        <f ca="1">IFERROR(__xludf.DUMMYFUNCTION("""COMPUTED_VALUE"""),"Dr, Abel Bogoya Castaño")</f>
        <v>Dr, Abel Bogoya Castaño</v>
      </c>
      <c r="P199" s="6" t="str">
        <f ca="1">IFERROR(__xludf.DUMMYFUNCTION("""COMPUTED_VALUE"""),"Maika Blázquez (Madrid)")</f>
        <v>Maika Blázquez (Madrid)</v>
      </c>
    </row>
    <row r="200" spans="2:16">
      <c r="B200" s="6">
        <f ca="1">IFERROR(__xludf.DUMMYFUNCTION("""COMPUTED_VALUE"""),2025)</f>
        <v>2025</v>
      </c>
      <c r="C200" s="6">
        <f ca="1">IFERROR(__xludf.DUMMYFUNCTION("""COMPUTED_VALUE"""),2)</f>
        <v>2</v>
      </c>
      <c r="D200" s="6" t="str">
        <f ca="1">IFERROR(__xludf.DUMMYFUNCTION("""COMPUTED_VALUE"""),"NO")</f>
        <v>NO</v>
      </c>
      <c r="E200" s="6" t="str">
        <f ca="1">IFERROR(__xludf.DUMMYFUNCTION("""COMPUTED_VALUE"""),"Ourense")</f>
        <v>Ourense</v>
      </c>
      <c r="F200" s="16">
        <f ca="1">IFERROR(__xludf.DUMMYFUNCTION("""COMPUTED_VALUE"""),45707)</f>
        <v>45707</v>
      </c>
      <c r="G200" s="16">
        <f ca="1">IFERROR(__xludf.DUMMYFUNCTION("""COMPUTED_VALUE"""),45624)</f>
        <v>45624</v>
      </c>
      <c r="H200" s="6" t="str">
        <f ca="1">IFERROR(__xludf.DUMMYFUNCTION("""COMPUTED_VALUE"""),"Orense")</f>
        <v>Orense</v>
      </c>
      <c r="I200" s="6" t="str">
        <f ca="1">IFERROR(__xludf.DUMMYFUNCTION("""COMPUTED_VALUE"""),"ORS-435")</f>
        <v>ORS-435</v>
      </c>
      <c r="J200" s="6" t="str">
        <f ca="1">IFERROR(__xludf.DUMMYFUNCTION("""COMPUTED_VALUE"""),"JUAN PEREZ FEIJOO")</f>
        <v>JUAN PEREZ FEIJOO</v>
      </c>
      <c r="K200" s="6">
        <f ca="1">IFERROR(__xludf.DUMMYFUNCTION("""COMPUTED_VALUE"""),2)</f>
        <v>2</v>
      </c>
      <c r="L200" s="139">
        <f ca="1">IFERROR(__xludf.DUMMYFUNCTION("""COMPUTED_VALUE"""),3998.18)</f>
        <v>3998.18</v>
      </c>
      <c r="M200" s="6" t="str">
        <f ca="1">IFERROR(__xludf.DUMMYFUNCTION("""COMPUTED_VALUE"""),"03 ORL")</f>
        <v>03 ORL</v>
      </c>
      <c r="N200" s="6" t="str">
        <f ca="1">IFERROR(__xludf.DUMMYFUNCTION("""COMPUTED_VALUE"""),"06 ORL")</f>
        <v>06 ORL</v>
      </c>
      <c r="O200" s="6" t="str">
        <f ca="1">IFERROR(__xludf.DUMMYFUNCTION("""COMPUTED_VALUE"""),"Dr, Gonzalo Dorado Gutiérrez")</f>
        <v>Dr, Gonzalo Dorado Gutiérrez</v>
      </c>
      <c r="P200" s="6" t="str">
        <f ca="1">IFERROR(__xludf.DUMMYFUNCTION("""COMPUTED_VALUE"""),"Roberto Pereira (Galicia)")</f>
        <v>Roberto Pereira (Galicia)</v>
      </c>
    </row>
    <row r="201" spans="2:16">
      <c r="B201" s="6">
        <f ca="1">IFERROR(__xludf.DUMMYFUNCTION("""COMPUTED_VALUE"""),2025)</f>
        <v>2025</v>
      </c>
      <c r="C201" s="6">
        <f ca="1">IFERROR(__xludf.DUMMYFUNCTION("""COMPUTED_VALUE"""),2)</f>
        <v>2</v>
      </c>
      <c r="D201" s="6" t="str">
        <f ca="1">IFERROR(__xludf.DUMMYFUNCTION("""COMPUTED_VALUE"""),"NO")</f>
        <v>NO</v>
      </c>
      <c r="E201" s="6" t="str">
        <f ca="1">IFERROR(__xludf.DUMMYFUNCTION("""COMPUTED_VALUE"""),"Valencia- Cádiz")</f>
        <v>Valencia- Cádiz</v>
      </c>
      <c r="F201" s="16">
        <f ca="1">IFERROR(__xludf.DUMMYFUNCTION("""COMPUTED_VALUE"""),45707)</f>
        <v>45707</v>
      </c>
      <c r="G201" s="16">
        <f ca="1">IFERROR(__xludf.DUMMYFUNCTION("""COMPUTED_VALUE"""),45610)</f>
        <v>45610</v>
      </c>
      <c r="H201" s="6" t="str">
        <f ca="1">IFERROR(__xludf.DUMMYFUNCTION("""COMPUTED_VALUE"""),"Valencia- Cádiz")</f>
        <v>Valencia- Cádiz</v>
      </c>
      <c r="I201" s="6" t="str">
        <f ca="1">IFERROR(__xludf.DUMMYFUNCTION("""COMPUTED_VALUE"""),"C2024112111716344")</f>
        <v>C2024112111716344</v>
      </c>
      <c r="J201" s="6" t="str">
        <f ca="1">IFERROR(__xludf.DUMMYFUNCTION("""COMPUTED_VALUE"""),"CONCHA LLACER PEREZ")</f>
        <v>CONCHA LLACER PEREZ</v>
      </c>
      <c r="K201" s="6">
        <f ca="1">IFERROR(__xludf.DUMMYFUNCTION("""COMPUTED_VALUE"""),1)</f>
        <v>1</v>
      </c>
      <c r="L201" s="139">
        <f ca="1">IFERROR(__xludf.DUMMYFUNCTION("""COMPUTED_VALUE"""),2400)</f>
        <v>2400</v>
      </c>
      <c r="M201" s="6" t="str">
        <f ca="1">IFERROR(__xludf.DUMMYFUNCTION("""COMPUTED_VALUE"""),"03 ORL")</f>
        <v>03 ORL</v>
      </c>
      <c r="N201" s="6" t="str">
        <f ca="1">IFERROR(__xludf.DUMMYFUNCTION("""COMPUTED_VALUE"""),"06 ORL")</f>
        <v>06 ORL</v>
      </c>
      <c r="O201" s="6" t="str">
        <f ca="1">IFERROR(__xludf.DUMMYFUNCTION("""COMPUTED_VALUE"""),"Dr, Manuel Mateos Fernández")</f>
        <v>Dr, Manuel Mateos Fernández</v>
      </c>
      <c r="P201" s="6" t="str">
        <f ca="1">IFERROR(__xludf.DUMMYFUNCTION("""COMPUTED_VALUE"""),"Ramon Ferrando(Valencia)")</f>
        <v>Ramon Ferrando(Valencia)</v>
      </c>
    </row>
    <row r="202" spans="2:16">
      <c r="B202" s="6">
        <f ca="1">IFERROR(__xludf.DUMMYFUNCTION("""COMPUTED_VALUE"""),2025)</f>
        <v>2025</v>
      </c>
      <c r="C202" s="6">
        <f ca="1">IFERROR(__xludf.DUMMYFUNCTION("""COMPUTED_VALUE"""),2)</f>
        <v>2</v>
      </c>
      <c r="D202" s="6" t="str">
        <f ca="1">IFERROR(__xludf.DUMMYFUNCTION("""COMPUTED_VALUE"""),"NO")</f>
        <v>NO</v>
      </c>
      <c r="E202" s="6" t="str">
        <f ca="1">IFERROR(__xludf.DUMMYFUNCTION("""COMPUTED_VALUE"""),"Talavera")</f>
        <v>Talavera</v>
      </c>
      <c r="F202" s="16">
        <f ca="1">IFERROR(__xludf.DUMMYFUNCTION("""COMPUTED_VALUE"""),45708)</f>
        <v>45708</v>
      </c>
      <c r="G202" s="16">
        <f ca="1">IFERROR(__xludf.DUMMYFUNCTION("""COMPUTED_VALUE"""),45670)</f>
        <v>45670</v>
      </c>
      <c r="H202" s="6" t="str">
        <f ca="1">IFERROR(__xludf.DUMMYFUNCTION("""COMPUTED_VALUE"""),"Talavera")</f>
        <v>Talavera</v>
      </c>
      <c r="I202" s="6" t="str">
        <f ca="1">IFERROR(__xludf.DUMMYFUNCTION("""COMPUTED_VALUE"""),"C2025115165722258")</f>
        <v>C2025115165722258</v>
      </c>
      <c r="J202" s="6" t="str">
        <f ca="1">IFERROR(__xludf.DUMMYFUNCTION("""COMPUTED_VALUE"""),"ANGELA CUESTA CUESTA")</f>
        <v>ANGELA CUESTA CUESTA</v>
      </c>
      <c r="K202" s="6">
        <f ca="1">IFERROR(__xludf.DUMMYFUNCTION("""COMPUTED_VALUE"""),2)</f>
        <v>2</v>
      </c>
      <c r="L202" s="139">
        <f ca="1">IFERROR(__xludf.DUMMYFUNCTION("""COMPUTED_VALUE"""),3710)</f>
        <v>3710</v>
      </c>
      <c r="M202" s="6" t="str">
        <f ca="1">IFERROR(__xludf.DUMMYFUNCTION("""COMPUTED_VALUE"""),"03 ORL")</f>
        <v>03 ORL</v>
      </c>
      <c r="N202" s="6" t="str">
        <f ca="1">IFERROR(__xludf.DUMMYFUNCTION("""COMPUTED_VALUE"""),"06 ORL")</f>
        <v>06 ORL</v>
      </c>
      <c r="O202" s="6" t="str">
        <f ca="1">IFERROR(__xludf.DUMMYFUNCTION("""COMPUTED_VALUE"""),"Dra, Cristina Povedano Fernández")</f>
        <v>Dra, Cristina Povedano Fernández</v>
      </c>
      <c r="P202" s="6" t="str">
        <f ca="1">IFERROR(__xludf.DUMMYFUNCTION("""COMPUTED_VALUE"""),"Maika Blázquez (Madrid)")</f>
        <v>Maika Blázquez (Madrid)</v>
      </c>
    </row>
    <row r="203" spans="2:16">
      <c r="B203" s="6">
        <f ca="1">IFERROR(__xludf.DUMMYFUNCTION("""COMPUTED_VALUE"""),2025)</f>
        <v>2025</v>
      </c>
      <c r="C203" s="6">
        <f ca="1">IFERROR(__xludf.DUMMYFUNCTION("""COMPUTED_VALUE"""),2)</f>
        <v>2</v>
      </c>
      <c r="D203" s="6" t="str">
        <f ca="1">IFERROR(__xludf.DUMMYFUNCTION("""COMPUTED_VALUE"""),"NO")</f>
        <v>NO</v>
      </c>
      <c r="E203" s="6" t="str">
        <f ca="1">IFERROR(__xludf.DUMMYFUNCTION("""COMPUTED_VALUE"""),"Murcia")</f>
        <v>Murcia</v>
      </c>
      <c r="F203" s="16">
        <f ca="1">IFERROR(__xludf.DUMMYFUNCTION("""COMPUTED_VALUE"""),45708)</f>
        <v>45708</v>
      </c>
      <c r="G203" s="16">
        <f ca="1">IFERROR(__xludf.DUMMYFUNCTION("""COMPUTED_VALUE"""),45321)</f>
        <v>45321</v>
      </c>
      <c r="H203" s="6" t="str">
        <f ca="1">IFERROR(__xludf.DUMMYFUNCTION("""COMPUTED_VALUE"""),"Murcia")</f>
        <v>Murcia</v>
      </c>
      <c r="I203" s="6" t="str">
        <f ca="1">IFERROR(__xludf.DUMMYFUNCTION("""COMPUTED_VALUE"""),"MUR-1837")</f>
        <v>MUR-1837</v>
      </c>
      <c r="J203" s="6" t="str">
        <f ca="1">IFERROR(__xludf.DUMMYFUNCTION("""COMPUTED_VALUE"""),"ANDREA VENTURA RUIZ")</f>
        <v>ANDREA VENTURA RUIZ</v>
      </c>
      <c r="K203" s="6">
        <f ca="1">IFERROR(__xludf.DUMMYFUNCTION("""COMPUTED_VALUE"""),2)</f>
        <v>2</v>
      </c>
      <c r="L203" s="139">
        <f ca="1">IFERROR(__xludf.DUMMYFUNCTION("""COMPUTED_VALUE"""),2780.91)</f>
        <v>2780.91</v>
      </c>
      <c r="M203" s="6" t="str">
        <f ca="1">IFERROR(__xludf.DUMMYFUNCTION("""COMPUTED_VALUE"""),"03 ORL")</f>
        <v>03 ORL</v>
      </c>
      <c r="N203" s="6" t="str">
        <f ca="1">IFERROR(__xludf.DUMMYFUNCTION("""COMPUTED_VALUE"""),"06 ORL")</f>
        <v>06 ORL</v>
      </c>
      <c r="O203" s="6" t="str">
        <f ca="1">IFERROR(__xludf.DUMMYFUNCTION("""COMPUTED_VALUE"""),"Dra, María Agustina Sevilla García")</f>
        <v>Dra, María Agustina Sevilla García</v>
      </c>
      <c r="P203" s="6" t="str">
        <f ca="1">IFERROR(__xludf.DUMMYFUNCTION("""COMPUTED_VALUE"""),"Iván Sánchez (Levante Y Albacete)")</f>
        <v>Iván Sánchez (Levante Y Albacete)</v>
      </c>
    </row>
    <row r="204" spans="2:16">
      <c r="B204" s="6">
        <f ca="1">IFERROR(__xludf.DUMMYFUNCTION("""COMPUTED_VALUE"""),2025)</f>
        <v>2025</v>
      </c>
      <c r="C204" s="6">
        <f ca="1">IFERROR(__xludf.DUMMYFUNCTION("""COMPUTED_VALUE"""),2)</f>
        <v>2</v>
      </c>
      <c r="D204" s="6" t="str">
        <f ca="1">IFERROR(__xludf.DUMMYFUNCTION("""COMPUTED_VALUE"""),"NO")</f>
        <v>NO</v>
      </c>
      <c r="E204" s="6" t="str">
        <f ca="1">IFERROR(__xludf.DUMMYFUNCTION("""COMPUTED_VALUE"""),"Santiago de Compostela")</f>
        <v>Santiago de Compostela</v>
      </c>
      <c r="F204" s="16">
        <f ca="1">IFERROR(__xludf.DUMMYFUNCTION("""COMPUTED_VALUE"""),45708)</f>
        <v>45708</v>
      </c>
      <c r="G204" s="16">
        <f ca="1">IFERROR(__xludf.DUMMYFUNCTION("""COMPUTED_VALUE"""),45678)</f>
        <v>45678</v>
      </c>
      <c r="H204" s="6" t="str">
        <f ca="1">IFERROR(__xludf.DUMMYFUNCTION("""COMPUTED_VALUE"""),"Santiago")</f>
        <v>Santiago</v>
      </c>
      <c r="I204" s="6" t="str">
        <f ca="1">IFERROR(__xludf.DUMMYFUNCTION("""COMPUTED_VALUE"""),"C202513010579392")</f>
        <v>C202513010579392</v>
      </c>
      <c r="J204" s="6" t="str">
        <f ca="1">IFERROR(__xludf.DUMMYFUNCTION("""COMPUTED_VALUE"""),"FELIPE SANTIAGO JOSE RIVERO DE AGUILAR SOBRINO")</f>
        <v>FELIPE SANTIAGO JOSE RIVERO DE AGUILAR SOBRINO</v>
      </c>
      <c r="K204" s="6">
        <f ca="1">IFERROR(__xludf.DUMMYFUNCTION("""COMPUTED_VALUE"""),2)</f>
        <v>2</v>
      </c>
      <c r="L204" s="139">
        <f ca="1">IFERROR(__xludf.DUMMYFUNCTION("""COMPUTED_VALUE"""),4000)</f>
        <v>4000</v>
      </c>
      <c r="M204" s="6" t="str">
        <f ca="1">IFERROR(__xludf.DUMMYFUNCTION("""COMPUTED_VALUE"""),"03 ORL")</f>
        <v>03 ORL</v>
      </c>
      <c r="N204" s="6" t="str">
        <f ca="1">IFERROR(__xludf.DUMMYFUNCTION("""COMPUTED_VALUE"""),"06 ORL")</f>
        <v>06 ORL</v>
      </c>
      <c r="O204" s="6" t="str">
        <f ca="1">IFERROR(__xludf.DUMMYFUNCTION("""COMPUTED_VALUE"""),"Dr, Joaquín Guerra Gómez")</f>
        <v>Dr, Joaquín Guerra Gómez</v>
      </c>
      <c r="P204" s="6" t="str">
        <f ca="1">IFERROR(__xludf.DUMMYFUNCTION("""COMPUTED_VALUE"""),"Roberto Pereira (Galicia)")</f>
        <v>Roberto Pereira (Galicia)</v>
      </c>
    </row>
    <row r="205" spans="2:16">
      <c r="B205" s="6">
        <f ca="1">IFERROR(__xludf.DUMMYFUNCTION("""COMPUTED_VALUE"""),2025)</f>
        <v>2025</v>
      </c>
      <c r="C205" s="6">
        <f ca="1">IFERROR(__xludf.DUMMYFUNCTION("""COMPUTED_VALUE"""),2)</f>
        <v>2</v>
      </c>
      <c r="D205" s="6" t="str">
        <f ca="1">IFERROR(__xludf.DUMMYFUNCTION("""COMPUTED_VALUE"""),"NO")</f>
        <v>NO</v>
      </c>
      <c r="E205" s="6" t="str">
        <f ca="1">IFERROR(__xludf.DUMMYFUNCTION("""COMPUTED_VALUE"""),"Albacete")</f>
        <v>Albacete</v>
      </c>
      <c r="F205" s="16">
        <f ca="1">IFERROR(__xludf.DUMMYFUNCTION("""COMPUTED_VALUE"""),45708)</f>
        <v>45708</v>
      </c>
      <c r="G205" s="16">
        <f ca="1">IFERROR(__xludf.DUMMYFUNCTION("""COMPUTED_VALUE"""),45706)</f>
        <v>45706</v>
      </c>
      <c r="H205" s="6" t="str">
        <f ca="1">IFERROR(__xludf.DUMMYFUNCTION("""COMPUTED_VALUE"""),"Albacete")</f>
        <v>Albacete</v>
      </c>
      <c r="I205" s="6" t="str">
        <f ca="1">IFERROR(__xludf.DUMMYFUNCTION("""COMPUTED_VALUE"""),"C2025220182814744")</f>
        <v>C2025220182814744</v>
      </c>
      <c r="J205" s="6" t="str">
        <f ca="1">IFERROR(__xludf.DUMMYFUNCTION("""COMPUTED_VALUE"""),"JUANA MOROTE ARANOS [RUBEN GONZALEZ MOROTE]")</f>
        <v>JUANA MOROTE ARANOS [RUBEN GONZALEZ MOROTE]</v>
      </c>
      <c r="K205" s="6">
        <f ca="1">IFERROR(__xludf.DUMMYFUNCTION("""COMPUTED_VALUE"""),1)</f>
        <v>1</v>
      </c>
      <c r="L205" s="139">
        <f ca="1">IFERROR(__xludf.DUMMYFUNCTION("""COMPUTED_VALUE"""),2400)</f>
        <v>2400</v>
      </c>
      <c r="M205" s="6" t="str">
        <f ca="1">IFERROR(__xludf.DUMMYFUNCTION("""COMPUTED_VALUE"""),"03 ORL")</f>
        <v>03 ORL</v>
      </c>
      <c r="N205" s="6" t="str">
        <f ca="1">IFERROR(__xludf.DUMMYFUNCTION("""COMPUTED_VALUE"""),"06 ORL")</f>
        <v>06 ORL</v>
      </c>
      <c r="O205" s="6" t="str">
        <f ca="1">IFERROR(__xludf.DUMMYFUNCTION("""COMPUTED_VALUE"""),"No Recuerda Orl")</f>
        <v>No Recuerda Orl</v>
      </c>
      <c r="P205" s="6" t="str">
        <f ca="1">IFERROR(__xludf.DUMMYFUNCTION("""COMPUTED_VALUE"""),"Iván Sánchez (Levante Y Albacete)")</f>
        <v>Iván Sánchez (Levante Y Albacete)</v>
      </c>
    </row>
    <row r="206" spans="2:16">
      <c r="B206" s="6">
        <f ca="1">IFERROR(__xludf.DUMMYFUNCTION("""COMPUTED_VALUE"""),2025)</f>
        <v>2025</v>
      </c>
      <c r="C206" s="6">
        <f ca="1">IFERROR(__xludf.DUMMYFUNCTION("""COMPUTED_VALUE"""),2)</f>
        <v>2</v>
      </c>
      <c r="D206" s="6" t="str">
        <f ca="1">IFERROR(__xludf.DUMMYFUNCTION("""COMPUTED_VALUE"""),"NO")</f>
        <v>NO</v>
      </c>
      <c r="E206" s="6" t="str">
        <f ca="1">IFERROR(__xludf.DUMMYFUNCTION("""COMPUTED_VALUE"""),"Hospitalet de Llobregat")</f>
        <v>Hospitalet de Llobregat</v>
      </c>
      <c r="F206" s="16">
        <f ca="1">IFERROR(__xludf.DUMMYFUNCTION("""COMPUTED_VALUE"""),45708)</f>
        <v>45708</v>
      </c>
      <c r="G206" s="16">
        <f ca="1">IFERROR(__xludf.DUMMYFUNCTION("""COMPUTED_VALUE"""),45681)</f>
        <v>45681</v>
      </c>
      <c r="H206" s="6" t="str">
        <f ca="1">IFERROR(__xludf.DUMMYFUNCTION("""COMPUTED_VALUE"""),"Hospitalet")</f>
        <v>Hospitalet</v>
      </c>
      <c r="I206" s="6" t="str">
        <f ca="1">IFERROR(__xludf.DUMMYFUNCTION("""COMPUTED_VALUE"""),"C202512910319767")</f>
        <v>C202512910319767</v>
      </c>
      <c r="J206" s="6" t="str">
        <f ca="1">IFERROR(__xludf.DUMMYFUNCTION("""COMPUTED_VALUE"""),"ANGELES BROTONS BEIVELL")</f>
        <v>ANGELES BROTONS BEIVELL</v>
      </c>
      <c r="K206" s="6">
        <f ca="1">IFERROR(__xludf.DUMMYFUNCTION("""COMPUTED_VALUE"""),2)</f>
        <v>2</v>
      </c>
      <c r="L206" s="139">
        <f ca="1">IFERROR(__xludf.DUMMYFUNCTION("""COMPUTED_VALUE"""),2722.73)</f>
        <v>2722.73</v>
      </c>
      <c r="M206" s="6" t="str">
        <f ca="1">IFERROR(__xludf.DUMMYFUNCTION("""COMPUTED_VALUE"""),"03 ORL")</f>
        <v>03 ORL</v>
      </c>
      <c r="N206" s="6" t="str">
        <f ca="1">IFERROR(__xludf.DUMMYFUNCTION("""COMPUTED_VALUE"""),"06 ORL")</f>
        <v>06 ORL</v>
      </c>
      <c r="O206" s="6" t="str">
        <f ca="1">IFERROR(__xludf.DUMMYFUNCTION("""COMPUTED_VALUE"""),"Dr, Jesus-Maria Grasa Pérez")</f>
        <v>Dr, Jesus-Maria Grasa Pérez</v>
      </c>
      <c r="P206" s="6" t="str">
        <f ca="1">IFERROR(__xludf.DUMMYFUNCTION("""COMPUTED_VALUE"""),"Mercè Cabrera (Cataluña Y Baleares)")</f>
        <v>Mercè Cabrera (Cataluña Y Baleares)</v>
      </c>
    </row>
    <row r="207" spans="2:16">
      <c r="B207" s="6">
        <f ca="1">IFERROR(__xludf.DUMMYFUNCTION("""COMPUTED_VALUE"""),2025)</f>
        <v>2025</v>
      </c>
      <c r="C207" s="6">
        <f ca="1">IFERROR(__xludf.DUMMYFUNCTION("""COMPUTED_VALUE"""),2)</f>
        <v>2</v>
      </c>
      <c r="D207" s="6" t="str">
        <f ca="1">IFERROR(__xludf.DUMMYFUNCTION("""COMPUTED_VALUE"""),"NO")</f>
        <v>NO</v>
      </c>
      <c r="E207" s="6" t="str">
        <f ca="1">IFERROR(__xludf.DUMMYFUNCTION("""COMPUTED_VALUE"""),"Torrejón de Ardoz")</f>
        <v>Torrejón de Ardoz</v>
      </c>
      <c r="F207" s="16">
        <f ca="1">IFERROR(__xludf.DUMMYFUNCTION("""COMPUTED_VALUE"""),45708)</f>
        <v>45708</v>
      </c>
      <c r="G207" s="16">
        <f ca="1">IFERROR(__xludf.DUMMYFUNCTION("""COMPUTED_VALUE"""),45695)</f>
        <v>45695</v>
      </c>
      <c r="H207" s="6" t="str">
        <f ca="1">IFERROR(__xludf.DUMMYFUNCTION("""COMPUTED_VALUE"""),"Torrejón")</f>
        <v>Torrejón</v>
      </c>
      <c r="I207" s="6" t="str">
        <f ca="1">IFERROR(__xludf.DUMMYFUNCTION("""COMPUTED_VALUE"""),"C20252711345593")</f>
        <v>C20252711345593</v>
      </c>
      <c r="J207" s="6" t="str">
        <f ca="1">IFERROR(__xludf.DUMMYFUNCTION("""COMPUTED_VALUE"""),"LUIS REFOLIO REFOLIO")</f>
        <v>LUIS REFOLIO REFOLIO</v>
      </c>
      <c r="K207" s="6">
        <f ca="1">IFERROR(__xludf.DUMMYFUNCTION("""COMPUTED_VALUE"""),2)</f>
        <v>2</v>
      </c>
      <c r="L207" s="139">
        <f ca="1">IFERROR(__xludf.DUMMYFUNCTION("""COMPUTED_VALUE"""),2888.18)</f>
        <v>2888.18</v>
      </c>
      <c r="M207" s="6" t="str">
        <f ca="1">IFERROR(__xludf.DUMMYFUNCTION("""COMPUTED_VALUE"""),"03 ORL")</f>
        <v>03 ORL</v>
      </c>
      <c r="N207" s="6" t="str">
        <f ca="1">IFERROR(__xludf.DUMMYFUNCTION("""COMPUTED_VALUE"""),"06 ORL")</f>
        <v>06 ORL</v>
      </c>
      <c r="O207" s="6" t="str">
        <f ca="1">IFERROR(__xludf.DUMMYFUNCTION("""COMPUTED_VALUE"""),"Dra, María Garrote Garrote")</f>
        <v>Dra, María Garrote Garrote</v>
      </c>
      <c r="P207" s="6" t="str">
        <f ca="1">IFERROR(__xludf.DUMMYFUNCTION("""COMPUTED_VALUE"""),"Maika Blázquez (Madrid)")</f>
        <v>Maika Blázquez (Madrid)</v>
      </c>
    </row>
    <row r="208" spans="2:16">
      <c r="B208" s="6">
        <f ca="1">IFERROR(__xludf.DUMMYFUNCTION("""COMPUTED_VALUE"""),2025)</f>
        <v>2025</v>
      </c>
      <c r="C208" s="6">
        <f ca="1">IFERROR(__xludf.DUMMYFUNCTION("""COMPUTED_VALUE"""),2)</f>
        <v>2</v>
      </c>
      <c r="D208" s="6" t="str">
        <f ca="1">IFERROR(__xludf.DUMMYFUNCTION("""COMPUTED_VALUE"""),"NO")</f>
        <v>NO</v>
      </c>
      <c r="E208" s="6" t="str">
        <f ca="1">IFERROR(__xludf.DUMMYFUNCTION("""COMPUTED_VALUE"""),"Madrid- La Oca")</f>
        <v>Madrid- La Oca</v>
      </c>
      <c r="F208" s="16">
        <f ca="1">IFERROR(__xludf.DUMMYFUNCTION("""COMPUTED_VALUE"""),45709)</f>
        <v>45709</v>
      </c>
      <c r="G208" s="16">
        <f ca="1">IFERROR(__xludf.DUMMYFUNCTION("""COMPUTED_VALUE"""),45616)</f>
        <v>45616</v>
      </c>
      <c r="H208" s="6" t="str">
        <f ca="1">IFERROR(__xludf.DUMMYFUNCTION("""COMPUTED_VALUE"""),"La Oca")</f>
        <v>La Oca</v>
      </c>
      <c r="I208" s="6" t="str">
        <f ca="1">IFERROR(__xludf.DUMMYFUNCTION("""COMPUTED_VALUE"""),"C202519125534361")</f>
        <v>C202519125534361</v>
      </c>
      <c r="J208" s="6" t="str">
        <f ca="1">IFERROR(__xludf.DUMMYFUNCTION("""COMPUTED_VALUE"""),"MARINA DOMINGUEZ GONZALEZ")</f>
        <v>MARINA DOMINGUEZ GONZALEZ</v>
      </c>
      <c r="K208" s="6">
        <f ca="1">IFERROR(__xludf.DUMMYFUNCTION("""COMPUTED_VALUE"""),1)</f>
        <v>1</v>
      </c>
      <c r="L208" s="139">
        <f ca="1">IFERROR(__xludf.DUMMYFUNCTION("""COMPUTED_VALUE"""),2226.36)</f>
        <v>2226.36</v>
      </c>
      <c r="M208" s="6" t="str">
        <f ca="1">IFERROR(__xludf.DUMMYFUNCTION("""COMPUTED_VALUE"""),"03 ORL")</f>
        <v>03 ORL</v>
      </c>
      <c r="N208" s="6" t="str">
        <f ca="1">IFERROR(__xludf.DUMMYFUNCTION("""COMPUTED_VALUE"""),"22 AUDIOMETRIA CLINICA")</f>
        <v>22 AUDIOMETRIA CLINICA</v>
      </c>
      <c r="O208" s="6" t="str">
        <f ca="1">IFERROR(__xludf.DUMMYFUNCTION("""COMPUTED_VALUE"""),"Dra, María Pérez Sepúlveda")</f>
        <v>Dra, María Pérez Sepúlveda</v>
      </c>
      <c r="P208" s="6" t="str">
        <f ca="1">IFERROR(__xludf.DUMMYFUNCTION("""COMPUTED_VALUE"""),"Maika Blázquez (Madrid)")</f>
        <v>Maika Blázquez (Madrid)</v>
      </c>
    </row>
    <row r="209" spans="2:16">
      <c r="B209" s="6">
        <f ca="1">IFERROR(__xludf.DUMMYFUNCTION("""COMPUTED_VALUE"""),2025)</f>
        <v>2025</v>
      </c>
      <c r="C209" s="6">
        <f ca="1">IFERROR(__xludf.DUMMYFUNCTION("""COMPUTED_VALUE"""),2)</f>
        <v>2</v>
      </c>
      <c r="D209" s="6" t="str">
        <f ca="1">IFERROR(__xludf.DUMMYFUNCTION("""COMPUTED_VALUE"""),"NO")</f>
        <v>NO</v>
      </c>
      <c r="E209" s="6" t="str">
        <f ca="1">IFERROR(__xludf.DUMMYFUNCTION("""COMPUTED_VALUE"""),"San Javier")</f>
        <v>San Javier</v>
      </c>
      <c r="F209" s="16">
        <f ca="1">IFERROR(__xludf.DUMMYFUNCTION("""COMPUTED_VALUE"""),45709)</f>
        <v>45709</v>
      </c>
      <c r="G209" s="16">
        <f ca="1">IFERROR(__xludf.DUMMYFUNCTION("""COMPUTED_VALUE"""),45649)</f>
        <v>45649</v>
      </c>
      <c r="H209" s="6" t="str">
        <f ca="1">IFERROR(__xludf.DUMMYFUNCTION("""COMPUTED_VALUE"""),"San Javier")</f>
        <v>San Javier</v>
      </c>
      <c r="I209" s="6" t="str">
        <f ca="1">IFERROR(__xludf.DUMMYFUNCTION("""COMPUTED_VALUE"""),"C20241230165138796")</f>
        <v>C20241230165138796</v>
      </c>
      <c r="J209" s="6" t="str">
        <f ca="1">IFERROR(__xludf.DUMMYFUNCTION("""COMPUTED_VALUE"""),"MOHAMMED BOURHAHA")</f>
        <v>MOHAMMED BOURHAHA</v>
      </c>
      <c r="K209" s="6">
        <f ca="1">IFERROR(__xludf.DUMMYFUNCTION("""COMPUTED_VALUE"""),2)</f>
        <v>2</v>
      </c>
      <c r="L209" s="139">
        <f ca="1">IFERROR(__xludf.DUMMYFUNCTION("""COMPUTED_VALUE"""),2579.09)</f>
        <v>2579.09</v>
      </c>
      <c r="M209" s="6" t="str">
        <f ca="1">IFERROR(__xludf.DUMMYFUNCTION("""COMPUTED_VALUE"""),"03 ORL")</f>
        <v>03 ORL</v>
      </c>
      <c r="N209" s="6" t="str">
        <f ca="1">IFERROR(__xludf.DUMMYFUNCTION("""COMPUTED_VALUE"""),"06 ORL")</f>
        <v>06 ORL</v>
      </c>
      <c r="O209" s="6" t="str">
        <f ca="1">IFERROR(__xludf.DUMMYFUNCTION("""COMPUTED_VALUE"""),"Dra, María Teresa Herrera Mera")</f>
        <v>Dra, María Teresa Herrera Mera</v>
      </c>
      <c r="P209" s="6" t="str">
        <f ca="1">IFERROR(__xludf.DUMMYFUNCTION("""COMPUTED_VALUE"""),"Iván Sánchez (Levante Y Albacete)")</f>
        <v>Iván Sánchez (Levante Y Albacete)</v>
      </c>
    </row>
    <row r="210" spans="2:16">
      <c r="B210" s="6">
        <f ca="1">IFERROR(__xludf.DUMMYFUNCTION("""COMPUTED_VALUE"""),2025)</f>
        <v>2025</v>
      </c>
      <c r="C210" s="6">
        <f ca="1">IFERROR(__xludf.DUMMYFUNCTION("""COMPUTED_VALUE"""),2)</f>
        <v>2</v>
      </c>
      <c r="D210" s="6" t="str">
        <f ca="1">IFERROR(__xludf.DUMMYFUNCTION("""COMPUTED_VALUE"""),"NO")</f>
        <v>NO</v>
      </c>
      <c r="E210" s="6" t="str">
        <f ca="1">IFERROR(__xludf.DUMMYFUNCTION("""COMPUTED_VALUE"""),"Logroño")</f>
        <v>Logroño</v>
      </c>
      <c r="F210" s="16">
        <f ca="1">IFERROR(__xludf.DUMMYFUNCTION("""COMPUTED_VALUE"""),45709)</f>
        <v>45709</v>
      </c>
      <c r="G210" s="16">
        <f ca="1">IFERROR(__xludf.DUMMYFUNCTION("""COMPUTED_VALUE"""),45670)</f>
        <v>45670</v>
      </c>
      <c r="H210" s="6" t="str">
        <f ca="1">IFERROR(__xludf.DUMMYFUNCTION("""COMPUTED_VALUE"""),"Logroño")</f>
        <v>Logroño</v>
      </c>
      <c r="I210" s="6" t="str">
        <f ca="1">IFERROR(__xludf.DUMMYFUNCTION("""COMPUTED_VALUE"""),"C202512111579152")</f>
        <v>C202512111579152</v>
      </c>
      <c r="J210" s="6" t="str">
        <f ca="1">IFERROR(__xludf.DUMMYFUNCTION("""COMPUTED_VALUE"""),"SIMÓN PÉREZ FERNÁNDEZ")</f>
        <v>SIMÓN PÉREZ FERNÁNDEZ</v>
      </c>
      <c r="K210" s="6">
        <f ca="1">IFERROR(__xludf.DUMMYFUNCTION("""COMPUTED_VALUE"""),2)</f>
        <v>2</v>
      </c>
      <c r="L210" s="139">
        <f ca="1">IFERROR(__xludf.DUMMYFUNCTION("""COMPUTED_VALUE"""),3909.09)</f>
        <v>3909.09</v>
      </c>
      <c r="M210" s="6" t="str">
        <f ca="1">IFERROR(__xludf.DUMMYFUNCTION("""COMPUTED_VALUE"""),"03 ORL")</f>
        <v>03 ORL</v>
      </c>
      <c r="N210" s="6" t="str">
        <f ca="1">IFERROR(__xludf.DUMMYFUNCTION("""COMPUTED_VALUE"""),"06 ORL")</f>
        <v>06 ORL</v>
      </c>
      <c r="O210" s="6" t="str">
        <f ca="1">IFERROR(__xludf.DUMMYFUNCTION("""COMPUTED_VALUE"""),"Dr, Garikoitz Calzada Uriondo")</f>
        <v>Dr, Garikoitz Calzada Uriondo</v>
      </c>
      <c r="P210" s="6" t="str">
        <f ca="1">IFERROR(__xludf.DUMMYFUNCTION("""COMPUTED_VALUE"""),"Lisandro Russian (Madrid, Cáceres, Toledo, Talavera Y Logroño)")</f>
        <v>Lisandro Russian (Madrid, Cáceres, Toledo, Talavera Y Logroño)</v>
      </c>
    </row>
    <row r="211" spans="2:16">
      <c r="B211" s="6">
        <f ca="1">IFERROR(__xludf.DUMMYFUNCTION("""COMPUTED_VALUE"""),2025)</f>
        <v>2025</v>
      </c>
      <c r="C211" s="6">
        <f ca="1">IFERROR(__xludf.DUMMYFUNCTION("""COMPUTED_VALUE"""),2)</f>
        <v>2</v>
      </c>
      <c r="D211" s="6" t="str">
        <f ca="1">IFERROR(__xludf.DUMMYFUNCTION("""COMPUTED_VALUE"""),"NO")</f>
        <v>NO</v>
      </c>
      <c r="E211" s="6" t="str">
        <f ca="1">IFERROR(__xludf.DUMMYFUNCTION("""COMPUTED_VALUE"""),"Fuenlabrada")</f>
        <v>Fuenlabrada</v>
      </c>
      <c r="F211" s="16">
        <f ca="1">IFERROR(__xludf.DUMMYFUNCTION("""COMPUTED_VALUE"""),45709)</f>
        <v>45709</v>
      </c>
      <c r="G211" s="16">
        <f ca="1">IFERROR(__xludf.DUMMYFUNCTION("""COMPUTED_VALUE"""),45474)</f>
        <v>45474</v>
      </c>
      <c r="H211" s="6" t="str">
        <f ca="1">IFERROR(__xludf.DUMMYFUNCTION("""COMPUTED_VALUE"""),"Fuenlabrada")</f>
        <v>Fuenlabrada</v>
      </c>
      <c r="I211" s="6" t="str">
        <f ca="1">IFERROR(__xludf.DUMMYFUNCTION("""COMPUTED_VALUE"""),"C202485103210192")</f>
        <v>C202485103210192</v>
      </c>
      <c r="J211" s="6" t="str">
        <f ca="1">IFERROR(__xludf.DUMMYFUNCTION("""COMPUTED_VALUE"""),"MARICARMEN CHINARRO BLAZQUEZ")</f>
        <v>MARICARMEN CHINARRO BLAZQUEZ</v>
      </c>
      <c r="K211" s="6">
        <f ca="1">IFERROR(__xludf.DUMMYFUNCTION("""COMPUTED_VALUE"""),2)</f>
        <v>2</v>
      </c>
      <c r="L211" s="139">
        <f ca="1">IFERROR(__xludf.DUMMYFUNCTION("""COMPUTED_VALUE"""),2888.18)</f>
        <v>2888.18</v>
      </c>
      <c r="M211" s="6" t="str">
        <f ca="1">IFERROR(__xludf.DUMMYFUNCTION("""COMPUTED_VALUE"""),"03 ORL")</f>
        <v>03 ORL</v>
      </c>
      <c r="N211" s="6" t="str">
        <f ca="1">IFERROR(__xludf.DUMMYFUNCTION("""COMPUTED_VALUE"""),"06 ORL")</f>
        <v>06 ORL</v>
      </c>
      <c r="O211" s="6" t="str">
        <f ca="1">IFERROR(__xludf.DUMMYFUNCTION("""COMPUTED_VALUE"""),"Dra, María Teresa Herrera Mera")</f>
        <v>Dra, María Teresa Herrera Mera</v>
      </c>
      <c r="P211" s="6" t="str">
        <f ca="1">IFERROR(__xludf.DUMMYFUNCTION("""COMPUTED_VALUE"""),"Maika Blázquez (Madrid)")</f>
        <v>Maika Blázquez (Madrid)</v>
      </c>
    </row>
    <row r="212" spans="2:16">
      <c r="B212" s="6">
        <f ca="1">IFERROR(__xludf.DUMMYFUNCTION("""COMPUTED_VALUE"""),2025)</f>
        <v>2025</v>
      </c>
      <c r="C212" s="6">
        <f ca="1">IFERROR(__xludf.DUMMYFUNCTION("""COMPUTED_VALUE"""),2)</f>
        <v>2</v>
      </c>
      <c r="D212" s="6" t="str">
        <f ca="1">IFERROR(__xludf.DUMMYFUNCTION("""COMPUTED_VALUE"""),"NO")</f>
        <v>NO</v>
      </c>
      <c r="E212" s="6" t="str">
        <f ca="1">IFERROR(__xludf.DUMMYFUNCTION("""COMPUTED_VALUE"""),"Logroño")</f>
        <v>Logroño</v>
      </c>
      <c r="F212" s="16">
        <f ca="1">IFERROR(__xludf.DUMMYFUNCTION("""COMPUTED_VALUE"""),45709)</f>
        <v>45709</v>
      </c>
      <c r="G212" s="16">
        <f ca="1">IFERROR(__xludf.DUMMYFUNCTION("""COMPUTED_VALUE"""),45671)</f>
        <v>45671</v>
      </c>
      <c r="H212" s="6" t="str">
        <f ca="1">IFERROR(__xludf.DUMMYFUNCTION("""COMPUTED_VALUE"""),"Logroño")</f>
        <v>Logroño</v>
      </c>
      <c r="I212" s="6" t="str">
        <f ca="1">IFERROR(__xludf.DUMMYFUNCTION("""COMPUTED_VALUE"""),"C2025114122147489")</f>
        <v>C2025114122147489</v>
      </c>
      <c r="J212" s="6" t="str">
        <f ca="1">IFERROR(__xludf.DUMMYFUNCTION("""COMPUTED_VALUE"""),"MIGUEL ANGEL RUIZ HARO")</f>
        <v>MIGUEL ANGEL RUIZ HARO</v>
      </c>
      <c r="K212" s="6">
        <f ca="1">IFERROR(__xludf.DUMMYFUNCTION("""COMPUTED_VALUE"""),2)</f>
        <v>2</v>
      </c>
      <c r="L212" s="139">
        <f ca="1">IFERROR(__xludf.DUMMYFUNCTION("""COMPUTED_VALUE"""),3710)</f>
        <v>3710</v>
      </c>
      <c r="M212" s="6" t="str">
        <f ca="1">IFERROR(__xludf.DUMMYFUNCTION("""COMPUTED_VALUE"""),"03 ORL")</f>
        <v>03 ORL</v>
      </c>
      <c r="N212" s="6" t="str">
        <f ca="1">IFERROR(__xludf.DUMMYFUNCTION("""COMPUTED_VALUE"""),"06 ORL")</f>
        <v>06 ORL</v>
      </c>
      <c r="O212" s="6" t="str">
        <f ca="1">IFERROR(__xludf.DUMMYFUNCTION("""COMPUTED_VALUE"""),"Dr, Fernando Salazar Barcelona")</f>
        <v>Dr, Fernando Salazar Barcelona</v>
      </c>
      <c r="P212" s="6" t="str">
        <f ca="1">IFERROR(__xludf.DUMMYFUNCTION("""COMPUTED_VALUE"""),"Lisandro Russian (Madrid, Cáceres, Toledo, Talavera Y Logroño)")</f>
        <v>Lisandro Russian (Madrid, Cáceres, Toledo, Talavera Y Logroño)</v>
      </c>
    </row>
    <row r="213" spans="2:16">
      <c r="B213" s="6">
        <f ca="1">IFERROR(__xludf.DUMMYFUNCTION("""COMPUTED_VALUE"""),2025)</f>
        <v>2025</v>
      </c>
      <c r="C213" s="6">
        <f ca="1">IFERROR(__xludf.DUMMYFUNCTION("""COMPUTED_VALUE"""),2)</f>
        <v>2</v>
      </c>
      <c r="D213" s="6" t="str">
        <f ca="1">IFERROR(__xludf.DUMMYFUNCTION("""COMPUTED_VALUE"""),"NO")</f>
        <v>NO</v>
      </c>
      <c r="E213" s="6" t="str">
        <f ca="1">IFERROR(__xludf.DUMMYFUNCTION("""COMPUTED_VALUE"""),"Leganés")</f>
        <v>Leganés</v>
      </c>
      <c r="F213" s="16">
        <f ca="1">IFERROR(__xludf.DUMMYFUNCTION("""COMPUTED_VALUE"""),45709)</f>
        <v>45709</v>
      </c>
      <c r="G213" s="16">
        <f ca="1">IFERROR(__xludf.DUMMYFUNCTION("""COMPUTED_VALUE"""),45650)</f>
        <v>45650</v>
      </c>
      <c r="H213" s="6" t="str">
        <f ca="1">IFERROR(__xludf.DUMMYFUNCTION("""COMPUTED_VALUE"""),"Leganés")</f>
        <v>Leganés</v>
      </c>
      <c r="I213" s="6" t="str">
        <f ca="1">IFERROR(__xludf.DUMMYFUNCTION("""COMPUTED_VALUE"""),"C2025121183522208")</f>
        <v>C2025121183522208</v>
      </c>
      <c r="J213" s="6" t="str">
        <f ca="1">IFERROR(__xludf.DUMMYFUNCTION("""COMPUTED_VALUE"""),"MARIA PAZ MUÑOZ SANCHEZ")</f>
        <v>MARIA PAZ MUÑOZ SANCHEZ</v>
      </c>
      <c r="K213" s="6">
        <f ca="1">IFERROR(__xludf.DUMMYFUNCTION("""COMPUTED_VALUE"""),2)</f>
        <v>2</v>
      </c>
      <c r="L213" s="139">
        <f ca="1">IFERROR(__xludf.DUMMYFUNCTION("""COMPUTED_VALUE"""),3604.55)</f>
        <v>3604.55</v>
      </c>
      <c r="M213" s="6" t="str">
        <f ca="1">IFERROR(__xludf.DUMMYFUNCTION("""COMPUTED_VALUE"""),"03 ORL")</f>
        <v>03 ORL</v>
      </c>
      <c r="N213" s="6" t="str">
        <f ca="1">IFERROR(__xludf.DUMMYFUNCTION("""COMPUTED_VALUE"""),"06 ORL")</f>
        <v>06 ORL</v>
      </c>
      <c r="O213" s="6" t="str">
        <f ca="1">IFERROR(__xludf.DUMMYFUNCTION("""COMPUTED_VALUE"""),"Dra, Sara Reda Del Barrio")</f>
        <v>Dra, Sara Reda Del Barrio</v>
      </c>
      <c r="P213" s="6" t="str">
        <f ca="1">IFERROR(__xludf.DUMMYFUNCTION("""COMPUTED_VALUE"""),"Maika Blázquez (Madrid)")</f>
        <v>Maika Blázquez (Madrid)</v>
      </c>
    </row>
    <row r="214" spans="2:16">
      <c r="B214" s="6">
        <f ca="1">IFERROR(__xludf.DUMMYFUNCTION("""COMPUTED_VALUE"""),2025)</f>
        <v>2025</v>
      </c>
      <c r="C214" s="6">
        <f ca="1">IFERROR(__xludf.DUMMYFUNCTION("""COMPUTED_VALUE"""),2)</f>
        <v>2</v>
      </c>
      <c r="D214" s="6" t="str">
        <f ca="1">IFERROR(__xludf.DUMMYFUNCTION("""COMPUTED_VALUE"""),"NO")</f>
        <v>NO</v>
      </c>
      <c r="E214" s="6" t="str">
        <f ca="1">IFERROR(__xludf.DUMMYFUNCTION("""COMPUTED_VALUE"""),"Madrid- Juan Bravo")</f>
        <v>Madrid- Juan Bravo</v>
      </c>
      <c r="F214" s="16">
        <f ca="1">IFERROR(__xludf.DUMMYFUNCTION("""COMPUTED_VALUE"""),45709)</f>
        <v>45709</v>
      </c>
      <c r="G214" s="16">
        <f ca="1">IFERROR(__xludf.DUMMYFUNCTION("""COMPUTED_VALUE"""),45692)</f>
        <v>45692</v>
      </c>
      <c r="H214" s="6" t="str">
        <f ca="1">IFERROR(__xludf.DUMMYFUNCTION("""COMPUTED_VALUE"""),"Juan Bravo")</f>
        <v>Juan Bravo</v>
      </c>
      <c r="I214" s="6" t="str">
        <f ca="1">IFERROR(__xludf.DUMMYFUNCTION("""COMPUTED_VALUE"""),"C202525105521192")</f>
        <v>C202525105521192</v>
      </c>
      <c r="J214" s="6" t="str">
        <f ca="1">IFERROR(__xludf.DUMMYFUNCTION("""COMPUTED_VALUE"""),"BERNARDO MORENO CARRILLO")</f>
        <v>BERNARDO MORENO CARRILLO</v>
      </c>
      <c r="K214" s="6">
        <f ca="1">IFERROR(__xludf.DUMMYFUNCTION("""COMPUTED_VALUE"""),2)</f>
        <v>2</v>
      </c>
      <c r="L214" s="139">
        <f ca="1">IFERROR(__xludf.DUMMYFUNCTION("""COMPUTED_VALUE"""),3710)</f>
        <v>3710</v>
      </c>
      <c r="M214" s="6" t="str">
        <f ca="1">IFERROR(__xludf.DUMMYFUNCTION("""COMPUTED_VALUE"""),"03 ORL")</f>
        <v>03 ORL</v>
      </c>
      <c r="N214" s="6" t="str">
        <f ca="1">IFERROR(__xludf.DUMMYFUNCTION("""COMPUTED_VALUE"""),"06 ORL")</f>
        <v>06 ORL</v>
      </c>
      <c r="O214" s="6" t="str">
        <f ca="1">IFERROR(__xludf.DUMMYFUNCTION("""COMPUTED_VALUE"""),"Dr, Javier Olarieta Soto")</f>
        <v>Dr, Javier Olarieta Soto</v>
      </c>
      <c r="P214" s="6" t="str">
        <f ca="1">IFERROR(__xludf.DUMMYFUNCTION("""COMPUTED_VALUE"""),"Maika Blázquez (Madrid)")</f>
        <v>Maika Blázquez (Madrid)</v>
      </c>
    </row>
    <row r="215" spans="2:16">
      <c r="B215" s="6">
        <f ca="1">IFERROR(__xludf.DUMMYFUNCTION("""COMPUTED_VALUE"""),2025)</f>
        <v>2025</v>
      </c>
      <c r="C215" s="6">
        <f ca="1">IFERROR(__xludf.DUMMYFUNCTION("""COMPUTED_VALUE"""),2)</f>
        <v>2</v>
      </c>
      <c r="D215" s="6" t="str">
        <f ca="1">IFERROR(__xludf.DUMMYFUNCTION("""COMPUTED_VALUE"""),"NO")</f>
        <v>NO</v>
      </c>
      <c r="E215" s="6" t="str">
        <f ca="1">IFERROR(__xludf.DUMMYFUNCTION("""COMPUTED_VALUE"""),"Móstoles")</f>
        <v>Móstoles</v>
      </c>
      <c r="F215" s="16">
        <f ca="1">IFERROR(__xludf.DUMMYFUNCTION("""COMPUTED_VALUE"""),45709)</f>
        <v>45709</v>
      </c>
      <c r="G215" s="16">
        <f ca="1">IFERROR(__xludf.DUMMYFUNCTION("""COMPUTED_VALUE"""),45677)</f>
        <v>45677</v>
      </c>
      <c r="H215" s="6" t="str">
        <f ca="1">IFERROR(__xludf.DUMMYFUNCTION("""COMPUTED_VALUE"""),"Móstoles")</f>
        <v>Móstoles</v>
      </c>
      <c r="I215" s="6" t="str">
        <f ca="1">IFERROR(__xludf.DUMMYFUNCTION("""COMPUTED_VALUE"""),"C202512415446234")</f>
        <v>C202512415446234</v>
      </c>
      <c r="J215" s="6" t="str">
        <f ca="1">IFERROR(__xludf.DUMMYFUNCTION("""COMPUTED_VALUE"""),"JESUS FERNANDEZ GONZALEZ")</f>
        <v>JESUS FERNANDEZ GONZALEZ</v>
      </c>
      <c r="K215" s="6">
        <f ca="1">IFERROR(__xludf.DUMMYFUNCTION("""COMPUTED_VALUE"""),2)</f>
        <v>2</v>
      </c>
      <c r="L215" s="139">
        <f ca="1">IFERROR(__xludf.DUMMYFUNCTION("""COMPUTED_VALUE"""),3710)</f>
        <v>3710</v>
      </c>
      <c r="M215" s="6" t="str">
        <f ca="1">IFERROR(__xludf.DUMMYFUNCTION("""COMPUTED_VALUE"""),"03 ORL")</f>
        <v>03 ORL</v>
      </c>
      <c r="N215" s="6" t="str">
        <f ca="1">IFERROR(__xludf.DUMMYFUNCTION("""COMPUTED_VALUE"""),"06 ORL")</f>
        <v>06 ORL</v>
      </c>
      <c r="O215" s="6" t="str">
        <f ca="1">IFERROR(__xludf.DUMMYFUNCTION("""COMPUTED_VALUE"""),"No Recuerda Orl")</f>
        <v>No Recuerda Orl</v>
      </c>
      <c r="P215" s="6" t="str">
        <f ca="1">IFERROR(__xludf.DUMMYFUNCTION("""COMPUTED_VALUE"""),"Maika Blázquez (Madrid)")</f>
        <v>Maika Blázquez (Madrid)</v>
      </c>
    </row>
    <row r="216" spans="2:16">
      <c r="B216" s="6">
        <f ca="1">IFERROR(__xludf.DUMMYFUNCTION("""COMPUTED_VALUE"""),2025)</f>
        <v>2025</v>
      </c>
      <c r="C216" s="6">
        <f ca="1">IFERROR(__xludf.DUMMYFUNCTION("""COMPUTED_VALUE"""),2)</f>
        <v>2</v>
      </c>
      <c r="D216" s="6" t="str">
        <f ca="1">IFERROR(__xludf.DUMMYFUNCTION("""COMPUTED_VALUE"""),"NO")</f>
        <v>NO</v>
      </c>
      <c r="E216" s="6" t="str">
        <f ca="1">IFERROR(__xludf.DUMMYFUNCTION("""COMPUTED_VALUE"""),"Torrejón de Ardoz")</f>
        <v>Torrejón de Ardoz</v>
      </c>
      <c r="F216" s="16">
        <f ca="1">IFERROR(__xludf.DUMMYFUNCTION("""COMPUTED_VALUE"""),45712)</f>
        <v>45712</v>
      </c>
      <c r="G216" s="16">
        <f ca="1">IFERROR(__xludf.DUMMYFUNCTION("""COMPUTED_VALUE"""),45684)</f>
        <v>45684</v>
      </c>
      <c r="H216" s="6" t="str">
        <f ca="1">IFERROR(__xludf.DUMMYFUNCTION("""COMPUTED_VALUE"""),"Torrejón")</f>
        <v>Torrejón</v>
      </c>
      <c r="I216" s="6" t="str">
        <f ca="1">IFERROR(__xludf.DUMMYFUNCTION("""COMPUTED_VALUE"""),"C2025130182728223")</f>
        <v>C2025130182728223</v>
      </c>
      <c r="J216" s="6" t="str">
        <f ca="1">IFERROR(__xludf.DUMMYFUNCTION("""COMPUTED_VALUE"""),"AMALIA DOMINGO PALACIOS")</f>
        <v>AMALIA DOMINGO PALACIOS</v>
      </c>
      <c r="K216" s="6">
        <f ca="1">IFERROR(__xludf.DUMMYFUNCTION("""COMPUTED_VALUE"""),2)</f>
        <v>2</v>
      </c>
      <c r="L216" s="139">
        <f ca="1">IFERROR(__xludf.DUMMYFUNCTION("""COMPUTED_VALUE"""),3454.55)</f>
        <v>3454.55</v>
      </c>
      <c r="M216" s="6" t="str">
        <f ca="1">IFERROR(__xludf.DUMMYFUNCTION("""COMPUTED_VALUE"""),"03 ORL")</f>
        <v>03 ORL</v>
      </c>
      <c r="N216" s="6" t="str">
        <f ca="1">IFERROR(__xludf.DUMMYFUNCTION("""COMPUTED_VALUE"""),"06 ORL")</f>
        <v>06 ORL</v>
      </c>
      <c r="O216" s="6" t="str">
        <f ca="1">IFERROR(__xludf.DUMMYFUNCTION("""COMPUTED_VALUE"""),"Dra, María Garrote Garrote")</f>
        <v>Dra, María Garrote Garrote</v>
      </c>
      <c r="P216" s="6" t="str">
        <f ca="1">IFERROR(__xludf.DUMMYFUNCTION("""COMPUTED_VALUE"""),"Maika Blázquez (Madrid)")</f>
        <v>Maika Blázquez (Madrid)</v>
      </c>
    </row>
    <row r="217" spans="2:16">
      <c r="B217" s="6">
        <f ca="1">IFERROR(__xludf.DUMMYFUNCTION("""COMPUTED_VALUE"""),2025)</f>
        <v>2025</v>
      </c>
      <c r="C217" s="6">
        <f ca="1">IFERROR(__xludf.DUMMYFUNCTION("""COMPUTED_VALUE"""),2)</f>
        <v>2</v>
      </c>
      <c r="D217" s="6" t="str">
        <f ca="1">IFERROR(__xludf.DUMMYFUNCTION("""COMPUTED_VALUE"""),"NO")</f>
        <v>NO</v>
      </c>
      <c r="E217" s="6" t="str">
        <f ca="1">IFERROR(__xludf.DUMMYFUNCTION("""COMPUTED_VALUE"""),"San Javier")</f>
        <v>San Javier</v>
      </c>
      <c r="F217" s="16">
        <f ca="1">IFERROR(__xludf.DUMMYFUNCTION("""COMPUTED_VALUE"""),45712)</f>
        <v>45712</v>
      </c>
      <c r="G217" s="16">
        <f ca="1">IFERROR(__xludf.DUMMYFUNCTION("""COMPUTED_VALUE"""),45692)</f>
        <v>45692</v>
      </c>
      <c r="H217" s="6" t="str">
        <f ca="1">IFERROR(__xludf.DUMMYFUNCTION("""COMPUTED_VALUE"""),"San Javier")</f>
        <v>San Javier</v>
      </c>
      <c r="I217" s="6" t="str">
        <f ca="1">IFERROR(__xludf.DUMMYFUNCTION("""COMPUTED_VALUE"""),"C202521016309103")</f>
        <v>C202521016309103</v>
      </c>
      <c r="J217" s="6" t="str">
        <f ca="1">IFERROR(__xludf.DUMMYFUNCTION("""COMPUTED_VALUE"""),"TRINIDAD RODRIGUEZ ALAMEDA")</f>
        <v>TRINIDAD RODRIGUEZ ALAMEDA</v>
      </c>
      <c r="K217" s="6">
        <f ca="1">IFERROR(__xludf.DUMMYFUNCTION("""COMPUTED_VALUE"""),2)</f>
        <v>2</v>
      </c>
      <c r="L217" s="139">
        <f ca="1">IFERROR(__xludf.DUMMYFUNCTION("""COMPUTED_VALUE"""),2888.19)</f>
        <v>2888.19</v>
      </c>
      <c r="M217" s="6" t="str">
        <f ca="1">IFERROR(__xludf.DUMMYFUNCTION("""COMPUTED_VALUE"""),"03 ORL")</f>
        <v>03 ORL</v>
      </c>
      <c r="N217" s="6" t="str">
        <f ca="1">IFERROR(__xludf.DUMMYFUNCTION("""COMPUTED_VALUE"""),"06 ORL")</f>
        <v>06 ORL</v>
      </c>
      <c r="O217" s="6" t="str">
        <f ca="1">IFERROR(__xludf.DUMMYFUNCTION("""COMPUTED_VALUE"""),"No Recuerda Orl")</f>
        <v>No Recuerda Orl</v>
      </c>
      <c r="P217" s="6" t="str">
        <f ca="1">IFERROR(__xludf.DUMMYFUNCTION("""COMPUTED_VALUE"""),"Iván Sánchez (Levante Y Albacete)")</f>
        <v>Iván Sánchez (Levante Y Albacete)</v>
      </c>
    </row>
    <row r="218" spans="2:16">
      <c r="B218" s="6">
        <f ca="1">IFERROR(__xludf.DUMMYFUNCTION("""COMPUTED_VALUE"""),2025)</f>
        <v>2025</v>
      </c>
      <c r="C218" s="6">
        <f ca="1">IFERROR(__xludf.DUMMYFUNCTION("""COMPUTED_VALUE"""),2)</f>
        <v>2</v>
      </c>
      <c r="D218" s="6" t="str">
        <f ca="1">IFERROR(__xludf.DUMMYFUNCTION("""COMPUTED_VALUE"""),"NO")</f>
        <v>NO</v>
      </c>
      <c r="E218" s="6" t="str">
        <f ca="1">IFERROR(__xludf.DUMMYFUNCTION("""COMPUTED_VALUE"""),"Fuenlabrada")</f>
        <v>Fuenlabrada</v>
      </c>
      <c r="F218" s="16">
        <f ca="1">IFERROR(__xludf.DUMMYFUNCTION("""COMPUTED_VALUE"""),45712)</f>
        <v>45712</v>
      </c>
      <c r="G218" s="16">
        <f ca="1">IFERROR(__xludf.DUMMYFUNCTION("""COMPUTED_VALUE"""),45673)</f>
        <v>45673</v>
      </c>
      <c r="H218" s="6" t="str">
        <f ca="1">IFERROR(__xludf.DUMMYFUNCTION("""COMPUTED_VALUE"""),"Fuenlabrada")</f>
        <v>Fuenlabrada</v>
      </c>
      <c r="I218" s="6" t="str">
        <f ca="1">IFERROR(__xludf.DUMMYFUNCTION("""COMPUTED_VALUE"""),"C2025120111229197")</f>
        <v>C2025120111229197</v>
      </c>
      <c r="J218" s="6" t="str">
        <f ca="1">IFERROR(__xludf.DUMMYFUNCTION("""COMPUTED_VALUE"""),"SANTIAGA ZAMORA CAÑADILLA")</f>
        <v>SANTIAGA ZAMORA CAÑADILLA</v>
      </c>
      <c r="K218" s="6">
        <f ca="1">IFERROR(__xludf.DUMMYFUNCTION("""COMPUTED_VALUE"""),1)</f>
        <v>1</v>
      </c>
      <c r="L218" s="139">
        <f ca="1">IFERROR(__xludf.DUMMYFUNCTION("""COMPUTED_VALUE"""),2640)</f>
        <v>2640</v>
      </c>
      <c r="M218" s="6" t="str">
        <f ca="1">IFERROR(__xludf.DUMMYFUNCTION("""COMPUTED_VALUE"""),"03 ORL")</f>
        <v>03 ORL</v>
      </c>
      <c r="N218" s="6" t="str">
        <f ca="1">IFERROR(__xludf.DUMMYFUNCTION("""COMPUTED_VALUE"""),"06 ORL")</f>
        <v>06 ORL</v>
      </c>
      <c r="O218" s="6" t="str">
        <f ca="1">IFERROR(__xludf.DUMMYFUNCTION("""COMPUTED_VALUE"""),"Dra, Cristina García García")</f>
        <v>Dra, Cristina García García</v>
      </c>
      <c r="P218" s="6" t="str">
        <f ca="1">IFERROR(__xludf.DUMMYFUNCTION("""COMPUTED_VALUE"""),"Maika Blázquez (Madrid)")</f>
        <v>Maika Blázquez (Madrid)</v>
      </c>
    </row>
    <row r="219" spans="2:16">
      <c r="B219" s="6">
        <f ca="1">IFERROR(__xludf.DUMMYFUNCTION("""COMPUTED_VALUE"""),2025)</f>
        <v>2025</v>
      </c>
      <c r="C219" s="6">
        <f ca="1">IFERROR(__xludf.DUMMYFUNCTION("""COMPUTED_VALUE"""),2)</f>
        <v>2</v>
      </c>
      <c r="D219" s="6" t="str">
        <f ca="1">IFERROR(__xludf.DUMMYFUNCTION("""COMPUTED_VALUE"""),"NO")</f>
        <v>NO</v>
      </c>
      <c r="E219" s="6" t="str">
        <f ca="1">IFERROR(__xludf.DUMMYFUNCTION("""COMPUTED_VALUE"""),"Madrid- Monforte de Lemos")</f>
        <v>Madrid- Monforte de Lemos</v>
      </c>
      <c r="F219" s="16">
        <f ca="1">IFERROR(__xludf.DUMMYFUNCTION("""COMPUTED_VALUE"""),45712)</f>
        <v>45712</v>
      </c>
      <c r="G219" s="16">
        <f ca="1">IFERROR(__xludf.DUMMYFUNCTION("""COMPUTED_VALUE"""),45621)</f>
        <v>45621</v>
      </c>
      <c r="H219" s="6" t="str">
        <f ca="1">IFERROR(__xludf.DUMMYFUNCTION("""COMPUTED_VALUE"""),"La Vaguada")</f>
        <v>La Vaguada</v>
      </c>
      <c r="I219" s="6" t="str">
        <f ca="1">IFERROR(__xludf.DUMMYFUNCTION("""COMPUTED_VALUE"""),"C2025115113626365")</f>
        <v>C2025115113626365</v>
      </c>
      <c r="J219" s="6" t="str">
        <f ca="1">IFERROR(__xludf.DUMMYFUNCTION("""COMPUTED_VALUE"""),"LUIS MARIA BENITO DE SANZ")</f>
        <v>LUIS MARIA BENITO DE SANZ</v>
      </c>
      <c r="K219" s="6">
        <f ca="1">IFERROR(__xludf.DUMMYFUNCTION("""COMPUTED_VALUE"""),2)</f>
        <v>2</v>
      </c>
      <c r="L219" s="139">
        <f ca="1">IFERROR(__xludf.DUMMYFUNCTION("""COMPUTED_VALUE"""),4400)</f>
        <v>4400</v>
      </c>
      <c r="M219" s="6" t="str">
        <f ca="1">IFERROR(__xludf.DUMMYFUNCTION("""COMPUTED_VALUE"""),"03 ORL")</f>
        <v>03 ORL</v>
      </c>
      <c r="N219" s="6" t="str">
        <f ca="1">IFERROR(__xludf.DUMMYFUNCTION("""COMPUTED_VALUE"""),"06 ORL")</f>
        <v>06 ORL</v>
      </c>
      <c r="O219" s="6" t="str">
        <f ca="1">IFERROR(__xludf.DUMMYFUNCTION("""COMPUTED_VALUE"""),"Dr, Alejandro Harguindey Antoli-Candela")</f>
        <v>Dr, Alejandro Harguindey Antoli-Candela</v>
      </c>
      <c r="P219" s="6" t="str">
        <f ca="1">IFERROR(__xludf.DUMMYFUNCTION("""COMPUTED_VALUE"""),"Maika Blázquez (Madrid)")</f>
        <v>Maika Blázquez (Madrid)</v>
      </c>
    </row>
    <row r="220" spans="2:16">
      <c r="B220" s="6">
        <f ca="1">IFERROR(__xludf.DUMMYFUNCTION("""COMPUTED_VALUE"""),2025)</f>
        <v>2025</v>
      </c>
      <c r="C220" s="6">
        <f ca="1">IFERROR(__xludf.DUMMYFUNCTION("""COMPUTED_VALUE"""),2)</f>
        <v>2</v>
      </c>
      <c r="D220" s="6" t="str">
        <f ca="1">IFERROR(__xludf.DUMMYFUNCTION("""COMPUTED_VALUE"""),"NO")</f>
        <v>NO</v>
      </c>
      <c r="E220" s="6" t="str">
        <f ca="1">IFERROR(__xludf.DUMMYFUNCTION("""COMPUTED_VALUE"""),"Madrid- Moratalaz")</f>
        <v>Madrid- Moratalaz</v>
      </c>
      <c r="F220" s="16">
        <f ca="1">IFERROR(__xludf.DUMMYFUNCTION("""COMPUTED_VALUE"""),45712)</f>
        <v>45712</v>
      </c>
      <c r="G220" s="16">
        <f ca="1">IFERROR(__xludf.DUMMYFUNCTION("""COMPUTED_VALUE"""),45706)</f>
        <v>45706</v>
      </c>
      <c r="H220" s="6" t="str">
        <f ca="1">IFERROR(__xludf.DUMMYFUNCTION("""COMPUTED_VALUE"""),"Moratalaz")</f>
        <v>Moratalaz</v>
      </c>
      <c r="I220" s="6" t="str">
        <f ca="1">IFERROR(__xludf.DUMMYFUNCTION("""COMPUTED_VALUE"""),"C202521817582713")</f>
        <v>C202521817582713</v>
      </c>
      <c r="J220" s="6" t="str">
        <f ca="1">IFERROR(__xludf.DUMMYFUNCTION("""COMPUTED_VALUE"""),"SANTIAGO REGIDOR GUERRERO")</f>
        <v>SANTIAGO REGIDOR GUERRERO</v>
      </c>
      <c r="K220" s="6">
        <f ca="1">IFERROR(__xludf.DUMMYFUNCTION("""COMPUTED_VALUE"""),2)</f>
        <v>2</v>
      </c>
      <c r="L220" s="139">
        <f ca="1">IFERROR(__xludf.DUMMYFUNCTION("""COMPUTED_VALUE"""),4000)</f>
        <v>4000</v>
      </c>
      <c r="M220" s="6" t="str">
        <f ca="1">IFERROR(__xludf.DUMMYFUNCTION("""COMPUTED_VALUE"""),"03 ORL")</f>
        <v>03 ORL</v>
      </c>
      <c r="N220" s="6" t="str">
        <f ca="1">IFERROR(__xludf.DUMMYFUNCTION("""COMPUTED_VALUE"""),"06 ORL")</f>
        <v>06 ORL</v>
      </c>
      <c r="O220" s="6" t="str">
        <f ca="1">IFERROR(__xludf.DUMMYFUNCTION("""COMPUTED_VALUE"""),"Dr, Esteban Scola Pliego")</f>
        <v>Dr, Esteban Scola Pliego</v>
      </c>
      <c r="P220" s="6" t="str">
        <f ca="1">IFERROR(__xludf.DUMMYFUNCTION("""COMPUTED_VALUE"""),"Maika Blázquez (Madrid)")</f>
        <v>Maika Blázquez (Madrid)</v>
      </c>
    </row>
    <row r="221" spans="2:16">
      <c r="B221" s="6">
        <f ca="1">IFERROR(__xludf.DUMMYFUNCTION("""COMPUTED_VALUE"""),2025)</f>
        <v>2025</v>
      </c>
      <c r="C221" s="6">
        <f ca="1">IFERROR(__xludf.DUMMYFUNCTION("""COMPUTED_VALUE"""),2)</f>
        <v>2</v>
      </c>
      <c r="D221" s="6" t="str">
        <f ca="1">IFERROR(__xludf.DUMMYFUNCTION("""COMPUTED_VALUE"""),"NO")</f>
        <v>NO</v>
      </c>
      <c r="E221" s="6" t="str">
        <f ca="1">IFERROR(__xludf.DUMMYFUNCTION("""COMPUTED_VALUE"""),"Alicante")</f>
        <v>Alicante</v>
      </c>
      <c r="F221" s="16">
        <f ca="1">IFERROR(__xludf.DUMMYFUNCTION("""COMPUTED_VALUE"""),45712)</f>
        <v>45712</v>
      </c>
      <c r="G221" s="16">
        <f ca="1">IFERROR(__xludf.DUMMYFUNCTION("""COMPUTED_VALUE"""),45680)</f>
        <v>45680</v>
      </c>
      <c r="H221" s="6" t="str">
        <f ca="1">IFERROR(__xludf.DUMMYFUNCTION("""COMPUTED_VALUE"""),"Alicante")</f>
        <v>Alicante</v>
      </c>
      <c r="I221" s="6" t="str">
        <f ca="1">IFERROR(__xludf.DUMMYFUNCTION("""COMPUTED_VALUE"""),"C202526112944128")</f>
        <v>C202526112944128</v>
      </c>
      <c r="J221" s="6" t="str">
        <f ca="1">IFERROR(__xludf.DUMMYFUNCTION("""COMPUTED_VALUE"""),"ISABEL GARCIA ABELLAN")</f>
        <v>ISABEL GARCIA ABELLAN</v>
      </c>
      <c r="K221" s="6">
        <f ca="1">IFERROR(__xludf.DUMMYFUNCTION("""COMPUTED_VALUE"""),2)</f>
        <v>2</v>
      </c>
      <c r="L221" s="139">
        <f ca="1">IFERROR(__xludf.DUMMYFUNCTION("""COMPUTED_VALUE"""),3710)</f>
        <v>3710</v>
      </c>
      <c r="M221" s="6" t="str">
        <f ca="1">IFERROR(__xludf.DUMMYFUNCTION("""COMPUTED_VALUE"""),"03 ORL")</f>
        <v>03 ORL</v>
      </c>
      <c r="N221" s="6" t="str">
        <f ca="1">IFERROR(__xludf.DUMMYFUNCTION("""COMPUTED_VALUE"""),"06 ORL")</f>
        <v>06 ORL</v>
      </c>
      <c r="O221" s="6" t="str">
        <f ca="1">IFERROR(__xludf.DUMMYFUNCTION("""COMPUTED_VALUE"""),"Dr, Guillermo Severá Ferrándiz")</f>
        <v>Dr, Guillermo Severá Ferrándiz</v>
      </c>
      <c r="P221" s="6" t="str">
        <f ca="1">IFERROR(__xludf.DUMMYFUNCTION("""COMPUTED_VALUE"""),"Iván Sánchez (Levante Y Albacete)")</f>
        <v>Iván Sánchez (Levante Y Albacete)</v>
      </c>
    </row>
    <row r="222" spans="2:16">
      <c r="B222" s="6">
        <f ca="1">IFERROR(__xludf.DUMMYFUNCTION("""COMPUTED_VALUE"""),2025)</f>
        <v>2025</v>
      </c>
      <c r="C222" s="6">
        <f ca="1">IFERROR(__xludf.DUMMYFUNCTION("""COMPUTED_VALUE"""),2)</f>
        <v>2</v>
      </c>
      <c r="D222" s="6" t="str">
        <f ca="1">IFERROR(__xludf.DUMMYFUNCTION("""COMPUTED_VALUE"""),"NO")</f>
        <v>NO</v>
      </c>
      <c r="E222" s="6" t="str">
        <f ca="1">IFERROR(__xludf.DUMMYFUNCTION("""COMPUTED_VALUE"""),"Alicante")</f>
        <v>Alicante</v>
      </c>
      <c r="F222" s="16">
        <f ca="1">IFERROR(__xludf.DUMMYFUNCTION("""COMPUTED_VALUE"""),45712)</f>
        <v>45712</v>
      </c>
      <c r="G222" s="16">
        <f ca="1">IFERROR(__xludf.DUMMYFUNCTION("""COMPUTED_VALUE"""),45665)</f>
        <v>45665</v>
      </c>
      <c r="H222" s="6" t="str">
        <f ca="1">IFERROR(__xludf.DUMMYFUNCTION("""COMPUTED_VALUE"""),"Alicante")</f>
        <v>Alicante</v>
      </c>
      <c r="I222" s="6" t="str">
        <f ca="1">IFERROR(__xludf.DUMMYFUNCTION("""COMPUTED_VALUE"""),"C2025122124357865")</f>
        <v>C2025122124357865</v>
      </c>
      <c r="J222" s="6" t="str">
        <f ca="1">IFERROR(__xludf.DUMMYFUNCTION("""COMPUTED_VALUE"""),"CESAR CUTILLAS DOMENECH")</f>
        <v>CESAR CUTILLAS DOMENECH</v>
      </c>
      <c r="K222" s="6">
        <f ca="1">IFERROR(__xludf.DUMMYFUNCTION("""COMPUTED_VALUE"""),1)</f>
        <v>1</v>
      </c>
      <c r="L222" s="139">
        <f ca="1">IFERROR(__xludf.DUMMYFUNCTION("""COMPUTED_VALUE"""),2400)</f>
        <v>2400</v>
      </c>
      <c r="M222" s="6" t="str">
        <f ca="1">IFERROR(__xludf.DUMMYFUNCTION("""COMPUTED_VALUE"""),"03 ORL")</f>
        <v>03 ORL</v>
      </c>
      <c r="N222" s="6" t="str">
        <f ca="1">IFERROR(__xludf.DUMMYFUNCTION("""COMPUTED_VALUE"""),"06 ORL")</f>
        <v>06 ORL</v>
      </c>
      <c r="O222" s="6" t="str">
        <f ca="1">IFERROR(__xludf.DUMMYFUNCTION("""COMPUTED_VALUE"""),"Dr, Félix Ruíz de la Cuesta Juste")</f>
        <v>Dr, Félix Ruíz de la Cuesta Juste</v>
      </c>
      <c r="P222" s="6" t="str">
        <f ca="1">IFERROR(__xludf.DUMMYFUNCTION("""COMPUTED_VALUE"""),"Iván Sánchez (Levante Y Albacete)")</f>
        <v>Iván Sánchez (Levante Y Albacete)</v>
      </c>
    </row>
    <row r="223" spans="2:16">
      <c r="B223" s="6">
        <f ca="1">IFERROR(__xludf.DUMMYFUNCTION("""COMPUTED_VALUE"""),2025)</f>
        <v>2025</v>
      </c>
      <c r="C223" s="6">
        <f ca="1">IFERROR(__xludf.DUMMYFUNCTION("""COMPUTED_VALUE"""),2)</f>
        <v>2</v>
      </c>
      <c r="D223" s="6" t="str">
        <f ca="1">IFERROR(__xludf.DUMMYFUNCTION("""COMPUTED_VALUE"""),"NO")</f>
        <v>NO</v>
      </c>
      <c r="E223" s="6" t="str">
        <f ca="1">IFERROR(__xludf.DUMMYFUNCTION("""COMPUTED_VALUE"""),"Fuenlabrada")</f>
        <v>Fuenlabrada</v>
      </c>
      <c r="F223" s="16">
        <f ca="1">IFERROR(__xludf.DUMMYFUNCTION("""COMPUTED_VALUE"""),45712)</f>
        <v>45712</v>
      </c>
      <c r="G223" s="16">
        <f ca="1">IFERROR(__xludf.DUMMYFUNCTION("""COMPUTED_VALUE"""),45686)</f>
        <v>45686</v>
      </c>
      <c r="H223" s="6" t="str">
        <f ca="1">IFERROR(__xludf.DUMMYFUNCTION("""COMPUTED_VALUE"""),"Fuenlabrada")</f>
        <v>Fuenlabrada</v>
      </c>
      <c r="I223" s="6" t="str">
        <f ca="1">IFERROR(__xludf.DUMMYFUNCTION("""COMPUTED_VALUE"""),"C202513111448686")</f>
        <v>C202513111448686</v>
      </c>
      <c r="J223" s="6" t="str">
        <f ca="1">IFERROR(__xludf.DUMMYFUNCTION("""COMPUTED_VALUE"""),"ISMAEL RICARDO LOPEZ OLLERO")</f>
        <v>ISMAEL RICARDO LOPEZ OLLERO</v>
      </c>
      <c r="K223" s="6">
        <f ca="1">IFERROR(__xludf.DUMMYFUNCTION("""COMPUTED_VALUE"""),2)</f>
        <v>2</v>
      </c>
      <c r="L223" s="139">
        <f ca="1">IFERROR(__xludf.DUMMYFUNCTION("""COMPUTED_VALUE"""),4000)</f>
        <v>4000</v>
      </c>
      <c r="M223" s="6" t="str">
        <f ca="1">IFERROR(__xludf.DUMMYFUNCTION("""COMPUTED_VALUE"""),"03 ORL")</f>
        <v>03 ORL</v>
      </c>
      <c r="N223" s="6" t="str">
        <f ca="1">IFERROR(__xludf.DUMMYFUNCTION("""COMPUTED_VALUE"""),"06 ORL")</f>
        <v>06 ORL</v>
      </c>
      <c r="O223" s="6" t="str">
        <f ca="1">IFERROR(__xludf.DUMMYFUNCTION("""COMPUTED_VALUE"""),"Dra, Elisabeth Amarillo Espitia")</f>
        <v>Dra, Elisabeth Amarillo Espitia</v>
      </c>
      <c r="P223" s="6" t="str">
        <f ca="1">IFERROR(__xludf.DUMMYFUNCTION("""COMPUTED_VALUE"""),"Maika Blázquez (Madrid)")</f>
        <v>Maika Blázquez (Madrid)</v>
      </c>
    </row>
    <row r="224" spans="2:16">
      <c r="B224" s="6">
        <f ca="1">IFERROR(__xludf.DUMMYFUNCTION("""COMPUTED_VALUE"""),2025)</f>
        <v>2025</v>
      </c>
      <c r="C224" s="6">
        <f ca="1">IFERROR(__xludf.DUMMYFUNCTION("""COMPUTED_VALUE"""),2)</f>
        <v>2</v>
      </c>
      <c r="D224" s="6" t="str">
        <f ca="1">IFERROR(__xludf.DUMMYFUNCTION("""COMPUTED_VALUE"""),"NO")</f>
        <v>NO</v>
      </c>
      <c r="E224" s="6" t="str">
        <f ca="1">IFERROR(__xludf.DUMMYFUNCTION("""COMPUTED_VALUE"""),"Fuenlabrada")</f>
        <v>Fuenlabrada</v>
      </c>
      <c r="F224" s="16">
        <f ca="1">IFERROR(__xludf.DUMMYFUNCTION("""COMPUTED_VALUE"""),45712)</f>
        <v>45712</v>
      </c>
      <c r="G224" s="16">
        <f ca="1">IFERROR(__xludf.DUMMYFUNCTION("""COMPUTED_VALUE"""),45691)</f>
        <v>45691</v>
      </c>
      <c r="H224" s="6" t="str">
        <f ca="1">IFERROR(__xludf.DUMMYFUNCTION("""COMPUTED_VALUE"""),"Fuenlabrada")</f>
        <v>Fuenlabrada</v>
      </c>
      <c r="I224" s="6" t="str">
        <f ca="1">IFERROR(__xludf.DUMMYFUNCTION("""COMPUTED_VALUE"""),"C20252617251623")</f>
        <v>C20252617251623</v>
      </c>
      <c r="J224" s="6" t="str">
        <f ca="1">IFERROR(__xludf.DUMMYFUNCTION("""COMPUTED_VALUE"""),"ANTONIO MUÑOZ TAMARAL")</f>
        <v>ANTONIO MUÑOZ TAMARAL</v>
      </c>
      <c r="K224" s="6">
        <f ca="1">IFERROR(__xludf.DUMMYFUNCTION("""COMPUTED_VALUE"""),2)</f>
        <v>2</v>
      </c>
      <c r="L224" s="139">
        <f ca="1">IFERROR(__xludf.DUMMYFUNCTION("""COMPUTED_VALUE"""),3710)</f>
        <v>3710</v>
      </c>
      <c r="M224" s="6" t="str">
        <f ca="1">IFERROR(__xludf.DUMMYFUNCTION("""COMPUTED_VALUE"""),"03 ORL")</f>
        <v>03 ORL</v>
      </c>
      <c r="N224" s="6" t="str">
        <f ca="1">IFERROR(__xludf.DUMMYFUNCTION("""COMPUTED_VALUE"""),"06 ORL")</f>
        <v>06 ORL</v>
      </c>
      <c r="O224" s="6" t="str">
        <f ca="1">IFERROR(__xludf.DUMMYFUNCTION("""COMPUTED_VALUE"""),"Dra, Victoria García Peces")</f>
        <v>Dra, Victoria García Peces</v>
      </c>
      <c r="P224" s="6" t="str">
        <f ca="1">IFERROR(__xludf.DUMMYFUNCTION("""COMPUTED_VALUE"""),"Maika Blázquez (Madrid)")</f>
        <v>Maika Blázquez (Madrid)</v>
      </c>
    </row>
    <row r="225" spans="2:16">
      <c r="B225" s="6">
        <f ca="1">IFERROR(__xludf.DUMMYFUNCTION("""COMPUTED_VALUE"""),2025)</f>
        <v>2025</v>
      </c>
      <c r="C225" s="6">
        <f ca="1">IFERROR(__xludf.DUMMYFUNCTION("""COMPUTED_VALUE"""),2)</f>
        <v>2</v>
      </c>
      <c r="D225" s="6" t="str">
        <f ca="1">IFERROR(__xludf.DUMMYFUNCTION("""COMPUTED_VALUE"""),"NO")</f>
        <v>NO</v>
      </c>
      <c r="E225" s="6" t="str">
        <f ca="1">IFERROR(__xludf.DUMMYFUNCTION("""COMPUTED_VALUE"""),"Valencia- Cádiz")</f>
        <v>Valencia- Cádiz</v>
      </c>
      <c r="F225" s="16">
        <f ca="1">IFERROR(__xludf.DUMMYFUNCTION("""COMPUTED_VALUE"""),45712)</f>
        <v>45712</v>
      </c>
      <c r="G225" s="16">
        <f ca="1">IFERROR(__xludf.DUMMYFUNCTION("""COMPUTED_VALUE"""),45674)</f>
        <v>45674</v>
      </c>
      <c r="H225" s="6" t="str">
        <f ca="1">IFERROR(__xludf.DUMMYFUNCTION("""COMPUTED_VALUE"""),"Valencia- Cádiz")</f>
        <v>Valencia- Cádiz</v>
      </c>
      <c r="I225" s="6" t="str">
        <f ca="1">IFERROR(__xludf.DUMMYFUNCTION("""COMPUTED_VALUE"""),"C20251241223661")</f>
        <v>C20251241223661</v>
      </c>
      <c r="J225" s="6" t="str">
        <f ca="1">IFERROR(__xludf.DUMMYFUNCTION("""COMPUTED_VALUE"""),"JESUS VILLAR ALVAREZ")</f>
        <v>JESUS VILLAR ALVAREZ</v>
      </c>
      <c r="K225" s="6">
        <f ca="1">IFERROR(__xludf.DUMMYFUNCTION("""COMPUTED_VALUE"""),2)</f>
        <v>2</v>
      </c>
      <c r="L225" s="139">
        <f ca="1">IFERROR(__xludf.DUMMYFUNCTION("""COMPUTED_VALUE"""),2888.18)</f>
        <v>2888.18</v>
      </c>
      <c r="M225" s="6" t="str">
        <f ca="1">IFERROR(__xludf.DUMMYFUNCTION("""COMPUTED_VALUE"""),"03 ORL")</f>
        <v>03 ORL</v>
      </c>
      <c r="N225" s="6" t="str">
        <f ca="1">IFERROR(__xludf.DUMMYFUNCTION("""COMPUTED_VALUE"""),"06 ORL")</f>
        <v>06 ORL</v>
      </c>
      <c r="O225" s="6" t="str">
        <f ca="1">IFERROR(__xludf.DUMMYFUNCTION("""COMPUTED_VALUE"""),"Dr, Jean Franco Intraprendente Martini")</f>
        <v>Dr, Jean Franco Intraprendente Martini</v>
      </c>
      <c r="P225" s="6" t="str">
        <f ca="1">IFERROR(__xludf.DUMMYFUNCTION("""COMPUTED_VALUE"""),"Ramon Ferrando(Valencia)")</f>
        <v>Ramon Ferrando(Valencia)</v>
      </c>
    </row>
    <row r="226" spans="2:16">
      <c r="B226" s="6">
        <f ca="1">IFERROR(__xludf.DUMMYFUNCTION("""COMPUTED_VALUE"""),2025)</f>
        <v>2025</v>
      </c>
      <c r="C226" s="6">
        <f ca="1">IFERROR(__xludf.DUMMYFUNCTION("""COMPUTED_VALUE"""),2)</f>
        <v>2</v>
      </c>
      <c r="D226" s="6" t="str">
        <f ca="1">IFERROR(__xludf.DUMMYFUNCTION("""COMPUTED_VALUE"""),"NO")</f>
        <v>NO</v>
      </c>
      <c r="E226" s="6" t="str">
        <f ca="1">IFERROR(__xludf.DUMMYFUNCTION("""COMPUTED_VALUE"""),"Hospitalet de Llobregat")</f>
        <v>Hospitalet de Llobregat</v>
      </c>
      <c r="F226" s="16">
        <f ca="1">IFERROR(__xludf.DUMMYFUNCTION("""COMPUTED_VALUE"""),45712)</f>
        <v>45712</v>
      </c>
      <c r="G226" s="16">
        <f ca="1">IFERROR(__xludf.DUMMYFUNCTION("""COMPUTED_VALUE"""),45687)</f>
        <v>45687</v>
      </c>
      <c r="H226" s="6" t="str">
        <f ca="1">IFERROR(__xludf.DUMMYFUNCTION("""COMPUTED_VALUE"""),"Hospitalet")</f>
        <v>Hospitalet</v>
      </c>
      <c r="I226" s="6" t="str">
        <f ca="1">IFERROR(__xludf.DUMMYFUNCTION("""COMPUTED_VALUE"""),"C20252616125252")</f>
        <v>C20252616125252</v>
      </c>
      <c r="J226" s="6" t="str">
        <f ca="1">IFERROR(__xludf.DUMMYFUNCTION("""COMPUTED_VALUE"""),"MARIA JARNE GAN")</f>
        <v>MARIA JARNE GAN</v>
      </c>
      <c r="K226" s="6">
        <f ca="1">IFERROR(__xludf.DUMMYFUNCTION("""COMPUTED_VALUE"""),2)</f>
        <v>2</v>
      </c>
      <c r="L226" s="139">
        <f ca="1">IFERROR(__xludf.DUMMYFUNCTION("""COMPUTED_VALUE"""),3356.36)</f>
        <v>3356.36</v>
      </c>
      <c r="M226" s="6" t="str">
        <f ca="1">IFERROR(__xludf.DUMMYFUNCTION("""COMPUTED_VALUE"""),"03 ORL")</f>
        <v>03 ORL</v>
      </c>
      <c r="N226" s="6" t="str">
        <f ca="1">IFERROR(__xludf.DUMMYFUNCTION("""COMPUTED_VALUE"""),"06 ORL")</f>
        <v>06 ORL</v>
      </c>
      <c r="O226" s="6" t="str">
        <f ca="1">IFERROR(__xludf.DUMMYFUNCTION("""COMPUTED_VALUE"""),"Dr, Jesus-Maria Grasa Pérez")</f>
        <v>Dr, Jesus-Maria Grasa Pérez</v>
      </c>
      <c r="P226" s="6" t="str">
        <f ca="1">IFERROR(__xludf.DUMMYFUNCTION("""COMPUTED_VALUE"""),"Mercè Cabrera (Cataluña Y Baleares)")</f>
        <v>Mercè Cabrera (Cataluña Y Baleares)</v>
      </c>
    </row>
    <row r="227" spans="2:16">
      <c r="B227" s="6">
        <f ca="1">IFERROR(__xludf.DUMMYFUNCTION("""COMPUTED_VALUE"""),2025)</f>
        <v>2025</v>
      </c>
      <c r="C227" s="6">
        <f ca="1">IFERROR(__xludf.DUMMYFUNCTION("""COMPUTED_VALUE"""),2)</f>
        <v>2</v>
      </c>
      <c r="D227" s="6" t="str">
        <f ca="1">IFERROR(__xludf.DUMMYFUNCTION("""COMPUTED_VALUE"""),"SI")</f>
        <v>SI</v>
      </c>
      <c r="E227" s="6" t="str">
        <f ca="1">IFERROR(__xludf.DUMMYFUNCTION("""COMPUTED_VALUE"""),"Móstoles")</f>
        <v>Móstoles</v>
      </c>
      <c r="F227" s="16">
        <f ca="1">IFERROR(__xludf.DUMMYFUNCTION("""COMPUTED_VALUE"""),45713)</f>
        <v>45713</v>
      </c>
      <c r="G227" s="16">
        <f ca="1">IFERROR(__xludf.DUMMYFUNCTION("""COMPUTED_VALUE"""),45644)</f>
        <v>45644</v>
      </c>
      <c r="H227" s="6" t="str">
        <f ca="1">IFERROR(__xludf.DUMMYFUNCTION("""COMPUTED_VALUE"""),"Móstoles")</f>
        <v>Móstoles</v>
      </c>
      <c r="I227" s="6" t="str">
        <f ca="1">IFERROR(__xludf.DUMMYFUNCTION("""COMPUTED_VALUE"""),"C2024122792916323")</f>
        <v>C2024122792916323</v>
      </c>
      <c r="J227" s="6" t="str">
        <f ca="1">IFERROR(__xludf.DUMMYFUNCTION("""COMPUTED_VALUE"""),"FRANCISCO REYERO RODRIGUEZ")</f>
        <v>FRANCISCO REYERO RODRIGUEZ</v>
      </c>
      <c r="K227" s="6">
        <f ca="1">IFERROR(__xludf.DUMMYFUNCTION("""COMPUTED_VALUE"""),1)</f>
        <v>1</v>
      </c>
      <c r="L227" s="139">
        <f ca="1">IFERROR(__xludf.DUMMYFUNCTION("""COMPUTED_VALUE"""),1113.18)</f>
        <v>1113.18</v>
      </c>
      <c r="M227" s="6" t="str">
        <f ca="1">IFERROR(__xludf.DUMMYFUNCTION("""COMPUTED_VALUE"""),"04 TIENDA")</f>
        <v>04 TIENDA</v>
      </c>
      <c r="N227" s="6" t="str">
        <f ca="1">IFERROR(__xludf.DUMMYFUNCTION("""COMPUTED_VALUE"""),"19 CLIENTE RECOMPRA ESPONTANEA")</f>
        <v>19 CLIENTE RECOMPRA ESPONTANEA</v>
      </c>
      <c r="O227" s="6" t="str">
        <f ca="1">IFERROR(__xludf.DUMMYFUNCTION("""COMPUTED_VALUE"""),"Dr, Víctor José González Arias")</f>
        <v>Dr, Víctor José González Arias</v>
      </c>
      <c r="P227" s="6" t="str">
        <f ca="1">IFERROR(__xludf.DUMMYFUNCTION("""COMPUTED_VALUE"""),"Maika Blázquez (Madrid)")</f>
        <v>Maika Blázquez (Madrid)</v>
      </c>
    </row>
    <row r="228" spans="2:16">
      <c r="B228" s="6">
        <f ca="1">IFERROR(__xludf.DUMMYFUNCTION("""COMPUTED_VALUE"""),2025)</f>
        <v>2025</v>
      </c>
      <c r="C228" s="6">
        <f ca="1">IFERROR(__xludf.DUMMYFUNCTION("""COMPUTED_VALUE"""),2)</f>
        <v>2</v>
      </c>
      <c r="D228" s="6" t="str">
        <f ca="1">IFERROR(__xludf.DUMMYFUNCTION("""COMPUTED_VALUE"""),"NO")</f>
        <v>NO</v>
      </c>
      <c r="E228" s="6" t="str">
        <f ca="1">IFERROR(__xludf.DUMMYFUNCTION("""COMPUTED_VALUE"""),"Logroño")</f>
        <v>Logroño</v>
      </c>
      <c r="F228" s="16">
        <f ca="1">IFERROR(__xludf.DUMMYFUNCTION("""COMPUTED_VALUE"""),45713)</f>
        <v>45713</v>
      </c>
      <c r="G228" s="16">
        <f ca="1">IFERROR(__xludf.DUMMYFUNCTION("""COMPUTED_VALUE"""),45677)</f>
        <v>45677</v>
      </c>
      <c r="H228" s="6" t="str">
        <f ca="1">IFERROR(__xludf.DUMMYFUNCTION("""COMPUTED_VALUE"""),"Logroño")</f>
        <v>Logroño</v>
      </c>
      <c r="I228" s="6" t="str">
        <f ca="1">IFERROR(__xludf.DUMMYFUNCTION("""COMPUTED_VALUE"""),"C202512710843940")</f>
        <v>C202512710843940</v>
      </c>
      <c r="J228" s="6" t="str">
        <f ca="1">IFERROR(__xludf.DUMMYFUNCTION("""COMPUTED_VALUE"""),"GUSTAVO OLARIAGA RODRÍGUEZ")</f>
        <v>GUSTAVO OLARIAGA RODRÍGUEZ</v>
      </c>
      <c r="K228" s="6">
        <f ca="1">IFERROR(__xludf.DUMMYFUNCTION("""COMPUTED_VALUE"""),2)</f>
        <v>2</v>
      </c>
      <c r="L228" s="139">
        <f ca="1">IFERROR(__xludf.DUMMYFUNCTION("""COMPUTED_VALUE"""),3710)</f>
        <v>3710</v>
      </c>
      <c r="M228" s="6" t="str">
        <f ca="1">IFERROR(__xludf.DUMMYFUNCTION("""COMPUTED_VALUE"""),"03 ORL")</f>
        <v>03 ORL</v>
      </c>
      <c r="N228" s="6" t="str">
        <f ca="1">IFERROR(__xludf.DUMMYFUNCTION("""COMPUTED_VALUE"""),"06 ORL")</f>
        <v>06 ORL</v>
      </c>
      <c r="O228" s="6" t="str">
        <f ca="1">IFERROR(__xludf.DUMMYFUNCTION("""COMPUTED_VALUE"""),"Dr, Fernando Salazar Barcelona")</f>
        <v>Dr, Fernando Salazar Barcelona</v>
      </c>
      <c r="P228" s="6" t="str">
        <f ca="1">IFERROR(__xludf.DUMMYFUNCTION("""COMPUTED_VALUE"""),"Lisandro Russian (Madrid, Cáceres, Toledo, Talavera Y Logroño)")</f>
        <v>Lisandro Russian (Madrid, Cáceres, Toledo, Talavera Y Logroño)</v>
      </c>
    </row>
    <row r="229" spans="2:16">
      <c r="B229" s="6">
        <f ca="1">IFERROR(__xludf.DUMMYFUNCTION("""COMPUTED_VALUE"""),2025)</f>
        <v>2025</v>
      </c>
      <c r="C229" s="6">
        <f ca="1">IFERROR(__xludf.DUMMYFUNCTION("""COMPUTED_VALUE"""),2)</f>
        <v>2</v>
      </c>
      <c r="D229" s="6" t="str">
        <f ca="1">IFERROR(__xludf.DUMMYFUNCTION("""COMPUTED_VALUE"""),"NO")</f>
        <v>NO</v>
      </c>
      <c r="E229" s="6" t="str">
        <f ca="1">IFERROR(__xludf.DUMMYFUNCTION("""COMPUTED_VALUE"""),"Alicante")</f>
        <v>Alicante</v>
      </c>
      <c r="F229" s="16">
        <f ca="1">IFERROR(__xludf.DUMMYFUNCTION("""COMPUTED_VALUE"""),45713)</f>
        <v>45713</v>
      </c>
      <c r="G229" s="16">
        <f ca="1">IFERROR(__xludf.DUMMYFUNCTION("""COMPUTED_VALUE"""),45686)</f>
        <v>45686</v>
      </c>
      <c r="H229" s="6" t="str">
        <f ca="1">IFERROR(__xludf.DUMMYFUNCTION("""COMPUTED_VALUE"""),"Alicante")</f>
        <v>Alicante</v>
      </c>
      <c r="I229" s="6" t="str">
        <f ca="1">IFERROR(__xludf.DUMMYFUNCTION("""COMPUTED_VALUE"""),"C20252312397959")</f>
        <v>C20252312397959</v>
      </c>
      <c r="J229" s="6" t="str">
        <f ca="1">IFERROR(__xludf.DUMMYFUNCTION("""COMPUTED_VALUE"""),"VICTORIA GRAU PEREZ")</f>
        <v>VICTORIA GRAU PEREZ</v>
      </c>
      <c r="K229" s="6">
        <f ca="1">IFERROR(__xludf.DUMMYFUNCTION("""COMPUTED_VALUE"""),1)</f>
        <v>1</v>
      </c>
      <c r="L229" s="139">
        <f ca="1">IFERROR(__xludf.DUMMYFUNCTION("""COMPUTED_VALUE"""),2400)</f>
        <v>2400</v>
      </c>
      <c r="M229" s="6" t="str">
        <f ca="1">IFERROR(__xludf.DUMMYFUNCTION("""COMPUTED_VALUE"""),"03 ORL")</f>
        <v>03 ORL</v>
      </c>
      <c r="N229" s="6" t="str">
        <f ca="1">IFERROR(__xludf.DUMMYFUNCTION("""COMPUTED_VALUE"""),"06 ORL")</f>
        <v>06 ORL</v>
      </c>
      <c r="O229" s="6" t="str">
        <f ca="1">IFERROR(__xludf.DUMMYFUNCTION("""COMPUTED_VALUE"""),"Dra, Ana Gabriela Jover Espla")</f>
        <v>Dra, Ana Gabriela Jover Espla</v>
      </c>
      <c r="P229" s="6" t="str">
        <f ca="1">IFERROR(__xludf.DUMMYFUNCTION("""COMPUTED_VALUE"""),"Iván Sánchez (Levante Y Albacete)")</f>
        <v>Iván Sánchez (Levante Y Albacete)</v>
      </c>
    </row>
    <row r="230" spans="2:16">
      <c r="B230" s="6">
        <f ca="1">IFERROR(__xludf.DUMMYFUNCTION("""COMPUTED_VALUE"""),2025)</f>
        <v>2025</v>
      </c>
      <c r="C230" s="6">
        <f ca="1">IFERROR(__xludf.DUMMYFUNCTION("""COMPUTED_VALUE"""),2)</f>
        <v>2</v>
      </c>
      <c r="D230" s="6" t="str">
        <f ca="1">IFERROR(__xludf.DUMMYFUNCTION("""COMPUTED_VALUE"""),"NO")</f>
        <v>NO</v>
      </c>
      <c r="E230" s="6" t="str">
        <f ca="1">IFERROR(__xludf.DUMMYFUNCTION("""COMPUTED_VALUE"""),"Getafe")</f>
        <v>Getafe</v>
      </c>
      <c r="F230" s="16">
        <f ca="1">IFERROR(__xludf.DUMMYFUNCTION("""COMPUTED_VALUE"""),45713)</f>
        <v>45713</v>
      </c>
      <c r="G230" s="16">
        <f ca="1">IFERROR(__xludf.DUMMYFUNCTION("""COMPUTED_VALUE"""),45685)</f>
        <v>45685</v>
      </c>
      <c r="H230" s="6" t="str">
        <f ca="1">IFERROR(__xludf.DUMMYFUNCTION("""COMPUTED_VALUE"""),"Getafe")</f>
        <v>Getafe</v>
      </c>
      <c r="I230" s="6" t="str">
        <f ca="1">IFERROR(__xludf.DUMMYFUNCTION("""COMPUTED_VALUE"""),"C20252316216614")</f>
        <v>C20252316216614</v>
      </c>
      <c r="J230" s="6" t="str">
        <f ca="1">IFERROR(__xludf.DUMMYFUNCTION("""COMPUTED_VALUE"""),"FELICISIMA GARCIA PINTO")</f>
        <v>FELICISIMA GARCIA PINTO</v>
      </c>
      <c r="K230" s="6">
        <f ca="1">IFERROR(__xludf.DUMMYFUNCTION("""COMPUTED_VALUE"""),2)</f>
        <v>2</v>
      </c>
      <c r="L230" s="139">
        <f ca="1">IFERROR(__xludf.DUMMYFUNCTION("""COMPUTED_VALUE"""),4180)</f>
        <v>4180</v>
      </c>
      <c r="M230" s="6" t="str">
        <f ca="1">IFERROR(__xludf.DUMMYFUNCTION("""COMPUTED_VALUE"""),"03 ORL")</f>
        <v>03 ORL</v>
      </c>
      <c r="N230" s="6" t="str">
        <f ca="1">IFERROR(__xludf.DUMMYFUNCTION("""COMPUTED_VALUE"""),"06 ORL")</f>
        <v>06 ORL</v>
      </c>
      <c r="O230" s="6" t="str">
        <f ca="1">IFERROR(__xludf.DUMMYFUNCTION("""COMPUTED_VALUE"""),"Dra, María Garrote Garrote")</f>
        <v>Dra, María Garrote Garrote</v>
      </c>
      <c r="P230" s="6" t="str">
        <f ca="1">IFERROR(__xludf.DUMMYFUNCTION("""COMPUTED_VALUE"""),"Maika Blázquez (Madrid)")</f>
        <v>Maika Blázquez (Madrid)</v>
      </c>
    </row>
    <row r="231" spans="2:16">
      <c r="B231" s="6">
        <f ca="1">IFERROR(__xludf.DUMMYFUNCTION("""COMPUTED_VALUE"""),2025)</f>
        <v>2025</v>
      </c>
      <c r="C231" s="6">
        <f ca="1">IFERROR(__xludf.DUMMYFUNCTION("""COMPUTED_VALUE"""),2)</f>
        <v>2</v>
      </c>
      <c r="D231" s="6" t="str">
        <f ca="1">IFERROR(__xludf.DUMMYFUNCTION("""COMPUTED_VALUE"""),"NO")</f>
        <v>NO</v>
      </c>
      <c r="E231" s="6" t="str">
        <f ca="1">IFERROR(__xludf.DUMMYFUNCTION("""COMPUTED_VALUE"""),"Orihuela")</f>
        <v>Orihuela</v>
      </c>
      <c r="F231" s="16">
        <f ca="1">IFERROR(__xludf.DUMMYFUNCTION("""COMPUTED_VALUE"""),45713)</f>
        <v>45713</v>
      </c>
      <c r="G231" s="16">
        <f ca="1">IFERROR(__xludf.DUMMYFUNCTION("""COMPUTED_VALUE"""),45678)</f>
        <v>45678</v>
      </c>
      <c r="H231" s="6" t="str">
        <f ca="1">IFERROR(__xludf.DUMMYFUNCTION("""COMPUTED_VALUE"""),"La Zenia")</f>
        <v>La Zenia</v>
      </c>
      <c r="I231" s="6" t="str">
        <f ca="1">IFERROR(__xludf.DUMMYFUNCTION("""COMPUTED_VALUE"""),"C20252311520480")</f>
        <v>C20252311520480</v>
      </c>
      <c r="J231" s="6" t="str">
        <f ca="1">IFERROR(__xludf.DUMMYFUNCTION("""COMPUTED_VALUE"""),"JOHN ROLAND LAWRENCE BATHE")</f>
        <v>JOHN ROLAND LAWRENCE BATHE</v>
      </c>
      <c r="K231" s="6">
        <f ca="1">IFERROR(__xludf.DUMMYFUNCTION("""COMPUTED_VALUE"""),2)</f>
        <v>2</v>
      </c>
      <c r="L231" s="139">
        <f ca="1">IFERROR(__xludf.DUMMYFUNCTION("""COMPUTED_VALUE"""),4000)</f>
        <v>4000</v>
      </c>
      <c r="M231" s="6" t="str">
        <f ca="1">IFERROR(__xludf.DUMMYFUNCTION("""COMPUTED_VALUE"""),"03 ORL")</f>
        <v>03 ORL</v>
      </c>
      <c r="N231" s="6" t="str">
        <f ca="1">IFERROR(__xludf.DUMMYFUNCTION("""COMPUTED_VALUE"""),"06 ORL")</f>
        <v>06 ORL</v>
      </c>
      <c r="O231" s="6" t="str">
        <f ca="1">IFERROR(__xludf.DUMMYFUNCTION("""COMPUTED_VALUE"""),"Dr, Santiago Moreno Paredes")</f>
        <v>Dr, Santiago Moreno Paredes</v>
      </c>
      <c r="P231" s="6" t="str">
        <f ca="1">IFERROR(__xludf.DUMMYFUNCTION("""COMPUTED_VALUE"""),"Iván Sánchez (Levante Y Albacete)")</f>
        <v>Iván Sánchez (Levante Y Albacete)</v>
      </c>
    </row>
    <row r="232" spans="2:16">
      <c r="B232" s="6">
        <f ca="1">IFERROR(__xludf.DUMMYFUNCTION("""COMPUTED_VALUE"""),2025)</f>
        <v>2025</v>
      </c>
      <c r="C232" s="6">
        <f ca="1">IFERROR(__xludf.DUMMYFUNCTION("""COMPUTED_VALUE"""),2)</f>
        <v>2</v>
      </c>
      <c r="D232" s="6" t="str">
        <f ca="1">IFERROR(__xludf.DUMMYFUNCTION("""COMPUTED_VALUE"""),"NO")</f>
        <v>NO</v>
      </c>
      <c r="E232" s="6" t="str">
        <f ca="1">IFERROR(__xludf.DUMMYFUNCTION("""COMPUTED_VALUE"""),"Orihuela")</f>
        <v>Orihuela</v>
      </c>
      <c r="F232" s="16">
        <f ca="1">IFERROR(__xludf.DUMMYFUNCTION("""COMPUTED_VALUE"""),45713)</f>
        <v>45713</v>
      </c>
      <c r="G232" s="16">
        <f ca="1">IFERROR(__xludf.DUMMYFUNCTION("""COMPUTED_VALUE"""),45664)</f>
        <v>45664</v>
      </c>
      <c r="H232" s="6" t="str">
        <f ca="1">IFERROR(__xludf.DUMMYFUNCTION("""COMPUTED_VALUE"""),"La Zenia")</f>
        <v>La Zenia</v>
      </c>
      <c r="I232" s="6" t="str">
        <f ca="1">IFERROR(__xludf.DUMMYFUNCTION("""COMPUTED_VALUE"""),"C202511617243631")</f>
        <v>C202511617243631</v>
      </c>
      <c r="J232" s="6" t="str">
        <f ca="1">IFERROR(__xludf.DUMMYFUNCTION("""COMPUTED_VALUE"""),"MARGIT PANCZEL")</f>
        <v>MARGIT PANCZEL</v>
      </c>
      <c r="K232" s="6">
        <f ca="1">IFERROR(__xludf.DUMMYFUNCTION("""COMPUTED_VALUE"""),1)</f>
        <v>1</v>
      </c>
      <c r="L232" s="139">
        <f ca="1">IFERROR(__xludf.DUMMYFUNCTION("""COMPUTED_VALUE"""),2400)</f>
        <v>2400</v>
      </c>
      <c r="M232" s="6" t="str">
        <f ca="1">IFERROR(__xludf.DUMMYFUNCTION("""COMPUTED_VALUE"""),"03 ORL")</f>
        <v>03 ORL</v>
      </c>
      <c r="N232" s="6" t="str">
        <f ca="1">IFERROR(__xludf.DUMMYFUNCTION("""COMPUTED_VALUE"""),"06 ORL")</f>
        <v>06 ORL</v>
      </c>
      <c r="O232" s="6" t="str">
        <f ca="1">IFERROR(__xludf.DUMMYFUNCTION("""COMPUTED_VALUE"""),"Dr, Fiorella Marcino Moreira")</f>
        <v>Dr, Fiorella Marcino Moreira</v>
      </c>
      <c r="P232" s="6" t="str">
        <f ca="1">IFERROR(__xludf.DUMMYFUNCTION("""COMPUTED_VALUE"""),"Iván Sánchez (Levante Y Albacete)")</f>
        <v>Iván Sánchez (Levante Y Albacete)</v>
      </c>
    </row>
    <row r="233" spans="2:16">
      <c r="B233" s="6">
        <f ca="1">IFERROR(__xludf.DUMMYFUNCTION("""COMPUTED_VALUE"""),2025)</f>
        <v>2025</v>
      </c>
      <c r="C233" s="6">
        <f ca="1">IFERROR(__xludf.DUMMYFUNCTION("""COMPUTED_VALUE"""),2)</f>
        <v>2</v>
      </c>
      <c r="D233" s="6" t="str">
        <f ca="1">IFERROR(__xludf.DUMMYFUNCTION("""COMPUTED_VALUE"""),"NO")</f>
        <v>NO</v>
      </c>
      <c r="E233" s="6" t="str">
        <f ca="1">IFERROR(__xludf.DUMMYFUNCTION("""COMPUTED_VALUE"""),"Talavera")</f>
        <v>Talavera</v>
      </c>
      <c r="F233" s="16">
        <f ca="1">IFERROR(__xludf.DUMMYFUNCTION("""COMPUTED_VALUE"""),45713)</f>
        <v>45713</v>
      </c>
      <c r="G233" s="16">
        <f ca="1">IFERROR(__xludf.DUMMYFUNCTION("""COMPUTED_VALUE"""),45686)</f>
        <v>45686</v>
      </c>
      <c r="H233" s="6" t="str">
        <f ca="1">IFERROR(__xludf.DUMMYFUNCTION("""COMPUTED_VALUE"""),"Talavera")</f>
        <v>Talavera</v>
      </c>
      <c r="I233" s="6" t="str">
        <f ca="1">IFERROR(__xludf.DUMMYFUNCTION("""COMPUTED_VALUE"""),"C2025241653871")</f>
        <v>C2025241653871</v>
      </c>
      <c r="J233" s="6" t="str">
        <f ca="1">IFERROR(__xludf.DUMMYFUNCTION("""COMPUTED_VALUE"""),"JOSE RINCON MORENO")</f>
        <v>JOSE RINCON MORENO</v>
      </c>
      <c r="K233" s="6">
        <f ca="1">IFERROR(__xludf.DUMMYFUNCTION("""COMPUTED_VALUE"""),1)</f>
        <v>1</v>
      </c>
      <c r="L233" s="139">
        <f ca="1">IFERROR(__xludf.DUMMYFUNCTION("""COMPUTED_VALUE"""),2640)</f>
        <v>2640</v>
      </c>
      <c r="M233" s="6" t="str">
        <f ca="1">IFERROR(__xludf.DUMMYFUNCTION("""COMPUTED_VALUE"""),"03 ORL")</f>
        <v>03 ORL</v>
      </c>
      <c r="N233" s="6" t="str">
        <f ca="1">IFERROR(__xludf.DUMMYFUNCTION("""COMPUTED_VALUE"""),"06 ORL")</f>
        <v>06 ORL</v>
      </c>
      <c r="O233" s="6" t="str">
        <f ca="1">IFERROR(__xludf.DUMMYFUNCTION("""COMPUTED_VALUE"""),"Dr, Carlos Félix Asensio Nieto")</f>
        <v>Dr, Carlos Félix Asensio Nieto</v>
      </c>
      <c r="P233" s="6" t="str">
        <f ca="1">IFERROR(__xludf.DUMMYFUNCTION("""COMPUTED_VALUE"""),"Lisandro Russian (Madrid, Cáceres, Toledo, Talavera Y Logroño)")</f>
        <v>Lisandro Russian (Madrid, Cáceres, Toledo, Talavera Y Logroño)</v>
      </c>
    </row>
    <row r="234" spans="2:16">
      <c r="B234" s="6">
        <f ca="1">IFERROR(__xludf.DUMMYFUNCTION("""COMPUTED_VALUE"""),2025)</f>
        <v>2025</v>
      </c>
      <c r="C234" s="6">
        <f ca="1">IFERROR(__xludf.DUMMYFUNCTION("""COMPUTED_VALUE"""),2)</f>
        <v>2</v>
      </c>
      <c r="D234" s="6" t="str">
        <f ca="1">IFERROR(__xludf.DUMMYFUNCTION("""COMPUTED_VALUE"""),"NO")</f>
        <v>NO</v>
      </c>
      <c r="E234" s="6" t="str">
        <f ca="1">IFERROR(__xludf.DUMMYFUNCTION("""COMPUTED_VALUE"""),"Madrid- Juan Bravo")</f>
        <v>Madrid- Juan Bravo</v>
      </c>
      <c r="F234" s="16">
        <f ca="1">IFERROR(__xludf.DUMMYFUNCTION("""COMPUTED_VALUE"""),45713)</f>
        <v>45713</v>
      </c>
      <c r="G234" s="16">
        <f ca="1">IFERROR(__xludf.DUMMYFUNCTION("""COMPUTED_VALUE"""),45694)</f>
        <v>45694</v>
      </c>
      <c r="H234" s="6" t="str">
        <f ca="1">IFERROR(__xludf.DUMMYFUNCTION("""COMPUTED_VALUE"""),"Juan Bravo")</f>
        <v>Juan Bravo</v>
      </c>
      <c r="I234" s="6" t="str">
        <f ca="1">IFERROR(__xludf.DUMMYFUNCTION("""COMPUTED_VALUE"""),"C202526184934908")</f>
        <v>C202526184934908</v>
      </c>
      <c r="J234" s="6" t="str">
        <f ca="1">IFERROR(__xludf.DUMMYFUNCTION("""COMPUTED_VALUE"""),"MARIA ISABEL GUILLEN GARRIDO")</f>
        <v>MARIA ISABEL GUILLEN GARRIDO</v>
      </c>
      <c r="K234" s="6">
        <f ca="1">IFERROR(__xludf.DUMMYFUNCTION("""COMPUTED_VALUE"""),1)</f>
        <v>1</v>
      </c>
      <c r="L234" s="139">
        <f ca="1">IFERROR(__xludf.DUMMYFUNCTION("""COMPUTED_VALUE"""),2280)</f>
        <v>2280</v>
      </c>
      <c r="M234" s="6" t="str">
        <f ca="1">IFERROR(__xludf.DUMMYFUNCTION("""COMPUTED_VALUE"""),"03 ORL")</f>
        <v>03 ORL</v>
      </c>
      <c r="N234" s="6" t="str">
        <f ca="1">IFERROR(__xludf.DUMMYFUNCTION("""COMPUTED_VALUE"""),"06 ORL")</f>
        <v>06 ORL</v>
      </c>
      <c r="O234" s="6" t="str">
        <f ca="1">IFERROR(__xludf.DUMMYFUNCTION("""COMPUTED_VALUE"""),"Dr, Joaquín Alacio Casero")</f>
        <v>Dr, Joaquín Alacio Casero</v>
      </c>
      <c r="P234" s="6" t="str">
        <f ca="1">IFERROR(__xludf.DUMMYFUNCTION("""COMPUTED_VALUE"""),"Maika Blázquez (Madrid)")</f>
        <v>Maika Blázquez (Madrid)</v>
      </c>
    </row>
    <row r="235" spans="2:16">
      <c r="B235" s="6">
        <f ca="1">IFERROR(__xludf.DUMMYFUNCTION("""COMPUTED_VALUE"""),2025)</f>
        <v>2025</v>
      </c>
      <c r="C235" s="6">
        <f ca="1">IFERROR(__xludf.DUMMYFUNCTION("""COMPUTED_VALUE"""),2)</f>
        <v>2</v>
      </c>
      <c r="D235" s="6" t="str">
        <f ca="1">IFERROR(__xludf.DUMMYFUNCTION("""COMPUTED_VALUE"""),"NO")</f>
        <v>NO</v>
      </c>
      <c r="E235" s="6" t="str">
        <f ca="1">IFERROR(__xludf.DUMMYFUNCTION("""COMPUTED_VALUE"""),"Madrid- Galileo")</f>
        <v>Madrid- Galileo</v>
      </c>
      <c r="F235" s="16">
        <f ca="1">IFERROR(__xludf.DUMMYFUNCTION("""COMPUTED_VALUE"""),45713)</f>
        <v>45713</v>
      </c>
      <c r="G235" s="16">
        <f ca="1">IFERROR(__xludf.DUMMYFUNCTION("""COMPUTED_VALUE"""),45691)</f>
        <v>45691</v>
      </c>
      <c r="H235" s="6" t="str">
        <f ca="1">IFERROR(__xludf.DUMMYFUNCTION("""COMPUTED_VALUE"""),"Moncloa")</f>
        <v>Moncloa</v>
      </c>
      <c r="I235" s="6" t="str">
        <f ca="1">IFERROR(__xludf.DUMMYFUNCTION("""COMPUTED_VALUE"""),"C2025212162612372")</f>
        <v>C2025212162612372</v>
      </c>
      <c r="J235" s="6" t="str">
        <f ca="1">IFERROR(__xludf.DUMMYFUNCTION("""COMPUTED_VALUE"""),"ISABEL SANCHEZ FERNANDEZ")</f>
        <v>ISABEL SANCHEZ FERNANDEZ</v>
      </c>
      <c r="K235" s="6">
        <f ca="1">IFERROR(__xludf.DUMMYFUNCTION("""COMPUTED_VALUE"""),2)</f>
        <v>2</v>
      </c>
      <c r="L235" s="139">
        <f ca="1">IFERROR(__xludf.DUMMYFUNCTION("""COMPUTED_VALUE"""),3710)</f>
        <v>3710</v>
      </c>
      <c r="M235" s="6" t="str">
        <f ca="1">IFERROR(__xludf.DUMMYFUNCTION("""COMPUTED_VALUE"""),"03 ORL")</f>
        <v>03 ORL</v>
      </c>
      <c r="N235" s="6" t="str">
        <f ca="1">IFERROR(__xludf.DUMMYFUNCTION("""COMPUTED_VALUE"""),"06 ORL")</f>
        <v>06 ORL</v>
      </c>
      <c r="O235" s="6" t="str">
        <f ca="1">IFERROR(__xludf.DUMMYFUNCTION("""COMPUTED_VALUE"""),"Dr, Ramón González Herranz")</f>
        <v>Dr, Ramón González Herranz</v>
      </c>
      <c r="P235" s="6" t="str">
        <f ca="1">IFERROR(__xludf.DUMMYFUNCTION("""COMPUTED_VALUE"""),"Maika Blázquez (Madrid)")</f>
        <v>Maika Blázquez (Madrid)</v>
      </c>
    </row>
    <row r="236" spans="2:16">
      <c r="B236" s="6">
        <f ca="1">IFERROR(__xludf.DUMMYFUNCTION("""COMPUTED_VALUE"""),2025)</f>
        <v>2025</v>
      </c>
      <c r="C236" s="6">
        <f ca="1">IFERROR(__xludf.DUMMYFUNCTION("""COMPUTED_VALUE"""),2)</f>
        <v>2</v>
      </c>
      <c r="D236" s="6" t="str">
        <f ca="1">IFERROR(__xludf.DUMMYFUNCTION("""COMPUTED_VALUE"""),"NO")</f>
        <v>NO</v>
      </c>
      <c r="E236" s="6" t="str">
        <f ca="1">IFERROR(__xludf.DUMMYFUNCTION("""COMPUTED_VALUE"""),"Almería")</f>
        <v>Almería</v>
      </c>
      <c r="F236" s="16">
        <f ca="1">IFERROR(__xludf.DUMMYFUNCTION("""COMPUTED_VALUE"""),45713)</f>
        <v>45713</v>
      </c>
      <c r="G236" s="16">
        <f ca="1">IFERROR(__xludf.DUMMYFUNCTION("""COMPUTED_VALUE"""),45691)</f>
        <v>45691</v>
      </c>
      <c r="H236" s="6" t="str">
        <f ca="1">IFERROR(__xludf.DUMMYFUNCTION("""COMPUTED_VALUE"""),"Almería")</f>
        <v>Almería</v>
      </c>
      <c r="I236" s="6" t="str">
        <f ca="1">IFERROR(__xludf.DUMMYFUNCTION("""COMPUTED_VALUE"""),"C20252616128199")</f>
        <v>C20252616128199</v>
      </c>
      <c r="J236" s="6" t="str">
        <f ca="1">IFERROR(__xludf.DUMMYFUNCTION("""COMPUTED_VALUE"""),"ANA DE LOS ANGELES HERNANDEZ CARRILLO")</f>
        <v>ANA DE LOS ANGELES HERNANDEZ CARRILLO</v>
      </c>
      <c r="K236" s="6">
        <f ca="1">IFERROR(__xludf.DUMMYFUNCTION("""COMPUTED_VALUE"""),2)</f>
        <v>2</v>
      </c>
      <c r="L236" s="139">
        <f ca="1">IFERROR(__xludf.DUMMYFUNCTION("""COMPUTED_VALUE"""),4000)</f>
        <v>4000</v>
      </c>
      <c r="M236" s="6" t="str">
        <f ca="1">IFERROR(__xludf.DUMMYFUNCTION("""COMPUTED_VALUE"""),"01 MARKETING ON LINE")</f>
        <v>01 MARKETING ON LINE</v>
      </c>
      <c r="N236" s="6" t="str">
        <f ca="1">IFERROR(__xludf.DUMMYFUNCTION("""COMPUTED_VALUE"""),"04 AUDIFONO,ES")</f>
        <v>04 AUDIFONO,ES</v>
      </c>
      <c r="O236" s="6" t="str">
        <f ca="1">IFERROR(__xludf.DUMMYFUNCTION("""COMPUTED_VALUE"""),"Dr, Antonio José Fernández Pérez")</f>
        <v>Dr, Antonio José Fernández Pérez</v>
      </c>
      <c r="P236" s="6" t="str">
        <f ca="1">IFERROR(__xludf.DUMMYFUNCTION("""COMPUTED_VALUE"""),"Ramon Ferrando(Valencia)")</f>
        <v>Ramon Ferrando(Valencia)</v>
      </c>
    </row>
    <row r="237" spans="2:16">
      <c r="B237" s="6">
        <f ca="1">IFERROR(__xludf.DUMMYFUNCTION("""COMPUTED_VALUE"""),2025)</f>
        <v>2025</v>
      </c>
      <c r="C237" s="6">
        <f ca="1">IFERROR(__xludf.DUMMYFUNCTION("""COMPUTED_VALUE"""),2)</f>
        <v>2</v>
      </c>
      <c r="D237" s="6" t="str">
        <f ca="1">IFERROR(__xludf.DUMMYFUNCTION("""COMPUTED_VALUE"""),"NO")</f>
        <v>NO</v>
      </c>
      <c r="E237" s="6" t="str">
        <f ca="1">IFERROR(__xludf.DUMMYFUNCTION("""COMPUTED_VALUE"""),"Alcorcón")</f>
        <v>Alcorcón</v>
      </c>
      <c r="F237" s="16">
        <f ca="1">IFERROR(__xludf.DUMMYFUNCTION("""COMPUTED_VALUE"""),45714)</f>
        <v>45714</v>
      </c>
      <c r="G237" s="16">
        <f ca="1">IFERROR(__xludf.DUMMYFUNCTION("""COMPUTED_VALUE"""),45685)</f>
        <v>45685</v>
      </c>
      <c r="H237" s="6" t="str">
        <f ca="1">IFERROR(__xludf.DUMMYFUNCTION("""COMPUTED_VALUE"""),"Alcorcón")</f>
        <v>Alcorcón</v>
      </c>
      <c r="I237" s="6" t="str">
        <f ca="1">IFERROR(__xludf.DUMMYFUNCTION("""COMPUTED_VALUE"""),"C2025130185486")</f>
        <v>C2025130185486</v>
      </c>
      <c r="J237" s="6" t="str">
        <f ca="1">IFERROR(__xludf.DUMMYFUNCTION("""COMPUTED_VALUE"""),"JUANA GRANIZO HENCHE")</f>
        <v>JUANA GRANIZO HENCHE</v>
      </c>
      <c r="K237" s="6">
        <f ca="1">IFERROR(__xludf.DUMMYFUNCTION("""COMPUTED_VALUE"""),1)</f>
        <v>1</v>
      </c>
      <c r="L237" s="139">
        <f ca="1">IFERROR(__xludf.DUMMYFUNCTION("""COMPUTED_VALUE"""),2400)</f>
        <v>2400</v>
      </c>
      <c r="M237" s="6" t="str">
        <f ca="1">IFERROR(__xludf.DUMMYFUNCTION("""COMPUTED_VALUE"""),"03 ORL")</f>
        <v>03 ORL</v>
      </c>
      <c r="N237" s="6" t="str">
        <f ca="1">IFERROR(__xludf.DUMMYFUNCTION("""COMPUTED_VALUE"""),"06 ORL")</f>
        <v>06 ORL</v>
      </c>
      <c r="O237" s="6" t="str">
        <f ca="1">IFERROR(__xludf.DUMMYFUNCTION("""COMPUTED_VALUE"""),"Dr, Álvaro Sánchez Álvarez")</f>
        <v>Dr, Álvaro Sánchez Álvarez</v>
      </c>
      <c r="P237" s="6" t="str">
        <f ca="1">IFERROR(__xludf.DUMMYFUNCTION("""COMPUTED_VALUE"""),"Lisandro Russian (Madrid, Cáceres, Toledo, Talavera Y Logroño)")</f>
        <v>Lisandro Russian (Madrid, Cáceres, Toledo, Talavera Y Logroño)</v>
      </c>
    </row>
    <row r="238" spans="2:16">
      <c r="B238" s="6">
        <f ca="1">IFERROR(__xludf.DUMMYFUNCTION("""COMPUTED_VALUE"""),2025)</f>
        <v>2025</v>
      </c>
      <c r="C238" s="6">
        <f ca="1">IFERROR(__xludf.DUMMYFUNCTION("""COMPUTED_VALUE"""),2)</f>
        <v>2</v>
      </c>
      <c r="D238" s="6" t="str">
        <f ca="1">IFERROR(__xludf.DUMMYFUNCTION("""COMPUTED_VALUE"""),"SI")</f>
        <v>SI</v>
      </c>
      <c r="E238" s="6" t="str">
        <f ca="1">IFERROR(__xludf.DUMMYFUNCTION("""COMPUTED_VALUE"""),"Logroño")</f>
        <v>Logroño</v>
      </c>
      <c r="F238" s="16">
        <f ca="1">IFERROR(__xludf.DUMMYFUNCTION("""COMPUTED_VALUE"""),45714)</f>
        <v>45714</v>
      </c>
      <c r="G238" s="16">
        <f ca="1">IFERROR(__xludf.DUMMYFUNCTION("""COMPUTED_VALUE"""),44980)</f>
        <v>44980</v>
      </c>
      <c r="H238" s="6" t="str">
        <f ca="1">IFERROR(__xludf.DUMMYFUNCTION("""COMPUTED_VALUE"""),"Logroño")</f>
        <v>Logroño</v>
      </c>
      <c r="I238" s="6" t="str">
        <f ca="1">IFERROR(__xludf.DUMMYFUNCTION("""COMPUTED_VALUE"""),"LOG-1059")</f>
        <v>LOG-1059</v>
      </c>
      <c r="J238" s="6" t="str">
        <f ca="1">IFERROR(__xludf.DUMMYFUNCTION("""COMPUTED_VALUE"""),"JULIO PASCUAL FERNÁNDEZ")</f>
        <v>JULIO PASCUAL FERNÁNDEZ</v>
      </c>
      <c r="K238" s="6">
        <f ca="1">IFERROR(__xludf.DUMMYFUNCTION("""COMPUTED_VALUE"""),1)</f>
        <v>1</v>
      </c>
      <c r="L238" s="139">
        <f ca="1">IFERROR(__xludf.DUMMYFUNCTION("""COMPUTED_VALUE"""),2563.64)</f>
        <v>2563.64</v>
      </c>
      <c r="M238" s="6" t="str">
        <f ca="1">IFERROR(__xludf.DUMMYFUNCTION("""COMPUTED_VALUE"""),"03 ORL")</f>
        <v>03 ORL</v>
      </c>
      <c r="N238" s="6" t="str">
        <f ca="1">IFERROR(__xludf.DUMMYFUNCTION("""COMPUTED_VALUE"""),"06 ORL")</f>
        <v>06 ORL</v>
      </c>
      <c r="O238" s="6" t="str">
        <f ca="1">IFERROR(__xludf.DUMMYFUNCTION("""COMPUTED_VALUE"""),"Dra, Rebeca Barrios Gonzalo")</f>
        <v>Dra, Rebeca Barrios Gonzalo</v>
      </c>
      <c r="P238" s="6" t="str">
        <f ca="1">IFERROR(__xludf.DUMMYFUNCTION("""COMPUTED_VALUE"""),"Lisandro Russian (Madrid, Cáceres, Toledo, Talavera Y Logroño)")</f>
        <v>Lisandro Russian (Madrid, Cáceres, Toledo, Talavera Y Logroño)</v>
      </c>
    </row>
    <row r="239" spans="2:16">
      <c r="B239" s="6">
        <f ca="1">IFERROR(__xludf.DUMMYFUNCTION("""COMPUTED_VALUE"""),2025)</f>
        <v>2025</v>
      </c>
      <c r="C239" s="6">
        <f ca="1">IFERROR(__xludf.DUMMYFUNCTION("""COMPUTED_VALUE"""),2)</f>
        <v>2</v>
      </c>
      <c r="D239" s="6" t="str">
        <f ca="1">IFERROR(__xludf.DUMMYFUNCTION("""COMPUTED_VALUE"""),"NO")</f>
        <v>NO</v>
      </c>
      <c r="E239" s="6" t="str">
        <f ca="1">IFERROR(__xludf.DUMMYFUNCTION("""COMPUTED_VALUE"""),"Móstoles")</f>
        <v>Móstoles</v>
      </c>
      <c r="F239" s="16">
        <f ca="1">IFERROR(__xludf.DUMMYFUNCTION("""COMPUTED_VALUE"""),45714)</f>
        <v>45714</v>
      </c>
      <c r="G239" s="16">
        <f ca="1">IFERROR(__xludf.DUMMYFUNCTION("""COMPUTED_VALUE"""),45631)</f>
        <v>45631</v>
      </c>
      <c r="H239" s="6" t="str">
        <f ca="1">IFERROR(__xludf.DUMMYFUNCTION("""COMPUTED_VALUE"""),"Móstoles")</f>
        <v>Móstoles</v>
      </c>
      <c r="I239" s="6" t="str">
        <f ca="1">IFERROR(__xludf.DUMMYFUNCTION("""COMPUTED_VALUE"""),"C2024121211315995")</f>
        <v>C2024121211315995</v>
      </c>
      <c r="J239" s="6" t="str">
        <f ca="1">IFERROR(__xludf.DUMMYFUNCTION("""COMPUTED_VALUE"""),"MIGUEL PIZARRO LORO")</f>
        <v>MIGUEL PIZARRO LORO</v>
      </c>
      <c r="K239" s="6">
        <f ca="1">IFERROR(__xludf.DUMMYFUNCTION("""COMPUTED_VALUE"""),1)</f>
        <v>1</v>
      </c>
      <c r="L239" s="139">
        <f ca="1">IFERROR(__xludf.DUMMYFUNCTION("""COMPUTED_VALUE"""),1732.73)</f>
        <v>1732.73</v>
      </c>
      <c r="M239" s="6" t="str">
        <f ca="1">IFERROR(__xludf.DUMMYFUNCTION("""COMPUTED_VALUE"""),"03 ORL")</f>
        <v>03 ORL</v>
      </c>
      <c r="N239" s="6" t="str">
        <f ca="1">IFERROR(__xludf.DUMMYFUNCTION("""COMPUTED_VALUE"""),"06 ORL")</f>
        <v>06 ORL</v>
      </c>
      <c r="O239" s="6" t="str">
        <f ca="1">IFERROR(__xludf.DUMMYFUNCTION("""COMPUTED_VALUE"""),"Dr, Àlex Ramírez Rosa")</f>
        <v>Dr, Àlex Ramírez Rosa</v>
      </c>
      <c r="P239" s="6" t="str">
        <f ca="1">IFERROR(__xludf.DUMMYFUNCTION("""COMPUTED_VALUE"""),"Maika Blázquez (Madrid)")</f>
        <v>Maika Blázquez (Madrid)</v>
      </c>
    </row>
    <row r="240" spans="2:16">
      <c r="B240" s="6">
        <f ca="1">IFERROR(__xludf.DUMMYFUNCTION("""COMPUTED_VALUE"""),2025)</f>
        <v>2025</v>
      </c>
      <c r="C240" s="6">
        <f ca="1">IFERROR(__xludf.DUMMYFUNCTION("""COMPUTED_VALUE"""),2)</f>
        <v>2</v>
      </c>
      <c r="D240" s="6" t="str">
        <f ca="1">IFERROR(__xludf.DUMMYFUNCTION("""COMPUTED_VALUE"""),"NO")</f>
        <v>NO</v>
      </c>
      <c r="E240" s="6" t="str">
        <f ca="1">IFERROR(__xludf.DUMMYFUNCTION("""COMPUTED_VALUE"""),"Madrid- Monforte de Lemos")</f>
        <v>Madrid- Monforte de Lemos</v>
      </c>
      <c r="F240" s="16">
        <f ca="1">IFERROR(__xludf.DUMMYFUNCTION("""COMPUTED_VALUE"""),45714)</f>
        <v>45714</v>
      </c>
      <c r="G240" s="16">
        <f ca="1">IFERROR(__xludf.DUMMYFUNCTION("""COMPUTED_VALUE"""),45678)</f>
        <v>45678</v>
      </c>
      <c r="H240" s="6" t="str">
        <f ca="1">IFERROR(__xludf.DUMMYFUNCTION("""COMPUTED_VALUE"""),"La Vaguada")</f>
        <v>La Vaguada</v>
      </c>
      <c r="I240" s="6" t="str">
        <f ca="1">IFERROR(__xludf.DUMMYFUNCTION("""COMPUTED_VALUE"""),"C202525103535787")</f>
        <v>C202525103535787</v>
      </c>
      <c r="J240" s="6" t="str">
        <f ca="1">IFERROR(__xludf.DUMMYFUNCTION("""COMPUTED_VALUE"""),"MARIA ASUNCION BERNAT FERNANDEZ")</f>
        <v>MARIA ASUNCION BERNAT FERNANDEZ</v>
      </c>
      <c r="K240" s="6">
        <f ca="1">IFERROR(__xludf.DUMMYFUNCTION("""COMPUTED_VALUE"""),2)</f>
        <v>2</v>
      </c>
      <c r="L240" s="139">
        <f ca="1">IFERROR(__xludf.DUMMYFUNCTION("""COMPUTED_VALUE"""),4000)</f>
        <v>4000</v>
      </c>
      <c r="M240" s="6" t="str">
        <f ca="1">IFERROR(__xludf.DUMMYFUNCTION("""COMPUTED_VALUE"""),"01 MARKETING ON LINE")</f>
        <v>01 MARKETING ON LINE</v>
      </c>
      <c r="N240" s="6" t="str">
        <f ca="1">IFERROR(__xludf.DUMMYFUNCTION("""COMPUTED_VALUE"""),"02 GOOGLE")</f>
        <v>02 GOOGLE</v>
      </c>
      <c r="O240" s="6" t="str">
        <f ca="1">IFERROR(__xludf.DUMMYFUNCTION("""COMPUTED_VALUE"""),"Dra, Itziar Álvarez Palacios")</f>
        <v>Dra, Itziar Álvarez Palacios</v>
      </c>
      <c r="P240" s="6" t="str">
        <f ca="1">IFERROR(__xludf.DUMMYFUNCTION("""COMPUTED_VALUE"""),"Maika Blázquez (Madrid)")</f>
        <v>Maika Blázquez (Madrid)</v>
      </c>
    </row>
    <row r="241" spans="2:16">
      <c r="B241" s="6">
        <f ca="1">IFERROR(__xludf.DUMMYFUNCTION("""COMPUTED_VALUE"""),2025)</f>
        <v>2025</v>
      </c>
      <c r="C241" s="6">
        <f ca="1">IFERROR(__xludf.DUMMYFUNCTION("""COMPUTED_VALUE"""),2)</f>
        <v>2</v>
      </c>
      <c r="D241" s="6" t="str">
        <f ca="1">IFERROR(__xludf.DUMMYFUNCTION("""COMPUTED_VALUE"""),"NO")</f>
        <v>NO</v>
      </c>
      <c r="E241" s="6" t="str">
        <f ca="1">IFERROR(__xludf.DUMMYFUNCTION("""COMPUTED_VALUE"""),"Lugo")</f>
        <v>Lugo</v>
      </c>
      <c r="F241" s="16">
        <f ca="1">IFERROR(__xludf.DUMMYFUNCTION("""COMPUTED_VALUE"""),45714)</f>
        <v>45714</v>
      </c>
      <c r="G241" s="16">
        <f ca="1">IFERROR(__xludf.DUMMYFUNCTION("""COMPUTED_VALUE"""),45671)</f>
        <v>45671</v>
      </c>
      <c r="H241" s="6" t="str">
        <f ca="1">IFERROR(__xludf.DUMMYFUNCTION("""COMPUTED_VALUE"""),"Lugo")</f>
        <v>Lugo</v>
      </c>
      <c r="I241" s="6" t="str">
        <f ca="1">IFERROR(__xludf.DUMMYFUNCTION("""COMPUTED_VALUE"""),"C20251141735539")</f>
        <v>C20251141735539</v>
      </c>
      <c r="J241" s="6" t="str">
        <f ca="1">IFERROR(__xludf.DUMMYFUNCTION("""COMPUTED_VALUE"""),"FERNANDO CABADO ROCA")</f>
        <v>FERNANDO CABADO ROCA</v>
      </c>
      <c r="K241" s="6">
        <f ca="1">IFERROR(__xludf.DUMMYFUNCTION("""COMPUTED_VALUE"""),2)</f>
        <v>2</v>
      </c>
      <c r="L241" s="139">
        <f ca="1">IFERROR(__xludf.DUMMYFUNCTION("""COMPUTED_VALUE"""),4000)</f>
        <v>4000</v>
      </c>
      <c r="M241" s="6" t="str">
        <f ca="1">IFERROR(__xludf.DUMMYFUNCTION("""COMPUTED_VALUE"""),"03 ORL")</f>
        <v>03 ORL</v>
      </c>
      <c r="N241" s="6" t="str">
        <f ca="1">IFERROR(__xludf.DUMMYFUNCTION("""COMPUTED_VALUE"""),"06 ORL")</f>
        <v>06 ORL</v>
      </c>
      <c r="O241" s="6" t="str">
        <f ca="1">IFERROR(__xludf.DUMMYFUNCTION("""COMPUTED_VALUE"""),"Dr, Pedro Juiz López")</f>
        <v>Dr, Pedro Juiz López</v>
      </c>
      <c r="P241" s="6" t="str">
        <f ca="1">IFERROR(__xludf.DUMMYFUNCTION("""COMPUTED_VALUE"""),"Roberto Pereira (Galicia)")</f>
        <v>Roberto Pereira (Galicia)</v>
      </c>
    </row>
    <row r="242" spans="2:16">
      <c r="B242" s="6">
        <f ca="1">IFERROR(__xludf.DUMMYFUNCTION("""COMPUTED_VALUE"""),2025)</f>
        <v>2025</v>
      </c>
      <c r="C242" s="6">
        <f ca="1">IFERROR(__xludf.DUMMYFUNCTION("""COMPUTED_VALUE"""),2)</f>
        <v>2</v>
      </c>
      <c r="D242" s="6" t="str">
        <f ca="1">IFERROR(__xludf.DUMMYFUNCTION("""COMPUTED_VALUE"""),"NO")</f>
        <v>NO</v>
      </c>
      <c r="E242" s="6" t="str">
        <f ca="1">IFERROR(__xludf.DUMMYFUNCTION("""COMPUTED_VALUE"""),"Alicante")</f>
        <v>Alicante</v>
      </c>
      <c r="F242" s="16">
        <f ca="1">IFERROR(__xludf.DUMMYFUNCTION("""COMPUTED_VALUE"""),45714)</f>
        <v>45714</v>
      </c>
      <c r="G242" s="16">
        <f ca="1">IFERROR(__xludf.DUMMYFUNCTION("""COMPUTED_VALUE"""),45588)</f>
        <v>45588</v>
      </c>
      <c r="H242" s="6" t="str">
        <f ca="1">IFERROR(__xludf.DUMMYFUNCTION("""COMPUTED_VALUE"""),"Alicante")</f>
        <v>Alicante</v>
      </c>
      <c r="I242" s="6" t="str">
        <f ca="1">IFERROR(__xludf.DUMMYFUNCTION("""COMPUTED_VALUE"""),"C20241028105133742")</f>
        <v>C20241028105133742</v>
      </c>
      <c r="J242" s="6" t="str">
        <f ca="1">IFERROR(__xludf.DUMMYFUNCTION("""COMPUTED_VALUE"""),"JOSEFA GOMEZ RUBIO")</f>
        <v>JOSEFA GOMEZ RUBIO</v>
      </c>
      <c r="K242" s="6">
        <f ca="1">IFERROR(__xludf.DUMMYFUNCTION("""COMPUTED_VALUE"""),2)</f>
        <v>2</v>
      </c>
      <c r="L242" s="139">
        <f ca="1">IFERROR(__xludf.DUMMYFUNCTION("""COMPUTED_VALUE"""),3710)</f>
        <v>3710</v>
      </c>
      <c r="M242" s="6" t="str">
        <f ca="1">IFERROR(__xludf.DUMMYFUNCTION("""COMPUTED_VALUE"""),"04 TIENDA")</f>
        <v>04 TIENDA</v>
      </c>
      <c r="N242" s="6" t="str">
        <f ca="1">IFERROR(__xludf.DUMMYFUNCTION("""COMPUTED_VALUE"""),"07 BOCA/BOCA")</f>
        <v>07 BOCA/BOCA</v>
      </c>
      <c r="O242" s="6" t="str">
        <f ca="1">IFERROR(__xludf.DUMMYFUNCTION("""COMPUTED_VALUE"""),"Dra, Isabel Menaches Guardiola")</f>
        <v>Dra, Isabel Menaches Guardiola</v>
      </c>
      <c r="P242" s="6" t="str">
        <f ca="1">IFERROR(__xludf.DUMMYFUNCTION("""COMPUTED_VALUE"""),"Iván Sánchez (Levante Y Albacete)")</f>
        <v>Iván Sánchez (Levante Y Albacete)</v>
      </c>
    </row>
    <row r="243" spans="2:16">
      <c r="B243" s="6">
        <f ca="1">IFERROR(__xludf.DUMMYFUNCTION("""COMPUTED_VALUE"""),2025)</f>
        <v>2025</v>
      </c>
      <c r="C243" s="6">
        <f ca="1">IFERROR(__xludf.DUMMYFUNCTION("""COMPUTED_VALUE"""),2)</f>
        <v>2</v>
      </c>
      <c r="D243" s="6" t="str">
        <f ca="1">IFERROR(__xludf.DUMMYFUNCTION("""COMPUTED_VALUE"""),"NO")</f>
        <v>NO</v>
      </c>
      <c r="E243" s="6" t="str">
        <f ca="1">IFERROR(__xludf.DUMMYFUNCTION("""COMPUTED_VALUE"""),"Madrid- Monforte de Lemos")</f>
        <v>Madrid- Monforte de Lemos</v>
      </c>
      <c r="F243" s="16">
        <f ca="1">IFERROR(__xludf.DUMMYFUNCTION("""COMPUTED_VALUE"""),45714)</f>
        <v>45714</v>
      </c>
      <c r="G243" s="16">
        <f ca="1">IFERROR(__xludf.DUMMYFUNCTION("""COMPUTED_VALUE"""),45547)</f>
        <v>45547</v>
      </c>
      <c r="H243" s="6" t="str">
        <f ca="1">IFERROR(__xludf.DUMMYFUNCTION("""COMPUTED_VALUE"""),"La Vaguada")</f>
        <v>La Vaguada</v>
      </c>
      <c r="I243" s="6" t="str">
        <f ca="1">IFERROR(__xludf.DUMMYFUNCTION("""COMPUTED_VALUE"""),"C2024924182958416")</f>
        <v>C2024924182958416</v>
      </c>
      <c r="J243" s="6" t="str">
        <f ca="1">IFERROR(__xludf.DUMMYFUNCTION("""COMPUTED_VALUE"""),"NIEVES LLORENTE PEREZ")</f>
        <v>NIEVES LLORENTE PEREZ</v>
      </c>
      <c r="K243" s="6">
        <f ca="1">IFERROR(__xludf.DUMMYFUNCTION("""COMPUTED_VALUE"""),2)</f>
        <v>2</v>
      </c>
      <c r="L243" s="139">
        <f ca="1">IFERROR(__xludf.DUMMYFUNCTION("""COMPUTED_VALUE"""),4000)</f>
        <v>4000</v>
      </c>
      <c r="M243" s="6" t="str">
        <f ca="1">IFERROR(__xludf.DUMMYFUNCTION("""COMPUTED_VALUE"""),"03 ORL")</f>
        <v>03 ORL</v>
      </c>
      <c r="N243" s="6" t="str">
        <f ca="1">IFERROR(__xludf.DUMMYFUNCTION("""COMPUTED_VALUE"""),"06 ORL")</f>
        <v>06 ORL</v>
      </c>
      <c r="O243" s="6" t="str">
        <f ca="1">IFERROR(__xludf.DUMMYFUNCTION("""COMPUTED_VALUE"""),"Dra, Beatriz Arana Fernández")</f>
        <v>Dra, Beatriz Arana Fernández</v>
      </c>
      <c r="P243" s="6" t="str">
        <f ca="1">IFERROR(__xludf.DUMMYFUNCTION("""COMPUTED_VALUE"""),"Maika Blázquez (Madrid)")</f>
        <v>Maika Blázquez (Madrid)</v>
      </c>
    </row>
    <row r="244" spans="2:16">
      <c r="B244" s="6">
        <f ca="1">IFERROR(__xludf.DUMMYFUNCTION("""COMPUTED_VALUE"""),2025)</f>
        <v>2025</v>
      </c>
      <c r="C244" s="6">
        <f ca="1">IFERROR(__xludf.DUMMYFUNCTION("""COMPUTED_VALUE"""),2)</f>
        <v>2</v>
      </c>
      <c r="D244" s="6" t="str">
        <f ca="1">IFERROR(__xludf.DUMMYFUNCTION("""COMPUTED_VALUE"""),"NO")</f>
        <v>NO</v>
      </c>
      <c r="E244" s="6" t="str">
        <f ca="1">IFERROR(__xludf.DUMMYFUNCTION("""COMPUTED_VALUE"""),"Alicante")</f>
        <v>Alicante</v>
      </c>
      <c r="F244" s="16">
        <f ca="1">IFERROR(__xludf.DUMMYFUNCTION("""COMPUTED_VALUE"""),45714)</f>
        <v>45714</v>
      </c>
      <c r="G244" s="16">
        <f ca="1">IFERROR(__xludf.DUMMYFUNCTION("""COMPUTED_VALUE"""),45667)</f>
        <v>45667</v>
      </c>
      <c r="H244" s="6" t="str">
        <f ca="1">IFERROR(__xludf.DUMMYFUNCTION("""COMPUTED_VALUE"""),"Alicante")</f>
        <v>Alicante</v>
      </c>
      <c r="I244" s="6" t="str">
        <f ca="1">IFERROR(__xludf.DUMMYFUNCTION("""COMPUTED_VALUE"""),"C202511715156935")</f>
        <v>C202511715156935</v>
      </c>
      <c r="J244" s="6" t="str">
        <f ca="1">IFERROR(__xludf.DUMMYFUNCTION("""COMPUTED_VALUE"""),"ESPERANZA CUBAS PINTADO")</f>
        <v>ESPERANZA CUBAS PINTADO</v>
      </c>
      <c r="K244" s="6">
        <f ca="1">IFERROR(__xludf.DUMMYFUNCTION("""COMPUTED_VALUE"""),2)</f>
        <v>2</v>
      </c>
      <c r="L244" s="139">
        <f ca="1">IFERROR(__xludf.DUMMYFUNCTION("""COMPUTED_VALUE"""),3800)</f>
        <v>3800</v>
      </c>
      <c r="M244" s="6" t="str">
        <f ca="1">IFERROR(__xludf.DUMMYFUNCTION("""COMPUTED_VALUE"""),"03 ORL")</f>
        <v>03 ORL</v>
      </c>
      <c r="N244" s="6" t="str">
        <f ca="1">IFERROR(__xludf.DUMMYFUNCTION("""COMPUTED_VALUE"""),"06 ORL")</f>
        <v>06 ORL</v>
      </c>
      <c r="O244" s="6" t="str">
        <f ca="1">IFERROR(__xludf.DUMMYFUNCTION("""COMPUTED_VALUE"""),"Dra, Alicia Mateo Espinosa")</f>
        <v>Dra, Alicia Mateo Espinosa</v>
      </c>
      <c r="P244" s="6" t="str">
        <f ca="1">IFERROR(__xludf.DUMMYFUNCTION("""COMPUTED_VALUE"""),"Iván Sánchez (Levante Y Albacete)")</f>
        <v>Iván Sánchez (Levante Y Albacete)</v>
      </c>
    </row>
    <row r="245" spans="2:16">
      <c r="B245" s="6">
        <f ca="1">IFERROR(__xludf.DUMMYFUNCTION("""COMPUTED_VALUE"""),2025)</f>
        <v>2025</v>
      </c>
      <c r="C245" s="6">
        <f ca="1">IFERROR(__xludf.DUMMYFUNCTION("""COMPUTED_VALUE"""),2)</f>
        <v>2</v>
      </c>
      <c r="D245" s="6" t="str">
        <f ca="1">IFERROR(__xludf.DUMMYFUNCTION("""COMPUTED_VALUE"""),"NO")</f>
        <v>NO</v>
      </c>
      <c r="E245" s="6" t="str">
        <f ca="1">IFERROR(__xludf.DUMMYFUNCTION("""COMPUTED_VALUE"""),"Sevilla- Montoto")</f>
        <v>Sevilla- Montoto</v>
      </c>
      <c r="F245" s="16">
        <f ca="1">IFERROR(__xludf.DUMMYFUNCTION("""COMPUTED_VALUE"""),45714)</f>
        <v>45714</v>
      </c>
      <c r="G245" s="16">
        <f ca="1">IFERROR(__xludf.DUMMYFUNCTION("""COMPUTED_VALUE"""),45684)</f>
        <v>45684</v>
      </c>
      <c r="H245" s="6" t="str">
        <f ca="1">IFERROR(__xludf.DUMMYFUNCTION("""COMPUTED_VALUE"""),"Montoto")</f>
        <v>Montoto</v>
      </c>
      <c r="I245" s="6" t="str">
        <f ca="1">IFERROR(__xludf.DUMMYFUNCTION("""COMPUTED_VALUE"""),"C202526164926367")</f>
        <v>C202526164926367</v>
      </c>
      <c r="J245" s="6" t="str">
        <f ca="1">IFERROR(__xludf.DUMMYFUNCTION("""COMPUTED_VALUE"""),"MANUEL GOMEZ VERA")</f>
        <v>MANUEL GOMEZ VERA</v>
      </c>
      <c r="K245" s="6">
        <f ca="1">IFERROR(__xludf.DUMMYFUNCTION("""COMPUTED_VALUE"""),2)</f>
        <v>2</v>
      </c>
      <c r="L245" s="139">
        <f ca="1">IFERROR(__xludf.DUMMYFUNCTION("""COMPUTED_VALUE"""),3710)</f>
        <v>3710</v>
      </c>
      <c r="M245" s="6" t="str">
        <f ca="1">IFERROR(__xludf.DUMMYFUNCTION("""COMPUTED_VALUE"""),"03 ORL")</f>
        <v>03 ORL</v>
      </c>
      <c r="N245" s="6" t="str">
        <f ca="1">IFERROR(__xludf.DUMMYFUNCTION("""COMPUTED_VALUE"""),"06 ORL")</f>
        <v>06 ORL</v>
      </c>
      <c r="O245" s="6" t="str">
        <f ca="1">IFERROR(__xludf.DUMMYFUNCTION("""COMPUTED_VALUE"""),"Dr, Antonio Gandúl Merchán")</f>
        <v>Dr, Antonio Gandúl Merchán</v>
      </c>
      <c r="P245" s="6" t="str">
        <f ca="1">IFERROR(__xludf.DUMMYFUNCTION("""COMPUTED_VALUE"""),"Luis Alberto Rodríguez (Andalucía Y Badajoz)")</f>
        <v>Luis Alberto Rodríguez (Andalucía Y Badajoz)</v>
      </c>
    </row>
    <row r="246" spans="2:16">
      <c r="B246" s="6">
        <f ca="1">IFERROR(__xludf.DUMMYFUNCTION("""COMPUTED_VALUE"""),2025)</f>
        <v>2025</v>
      </c>
      <c r="C246" s="6">
        <f ca="1">IFERROR(__xludf.DUMMYFUNCTION("""COMPUTED_VALUE"""),2)</f>
        <v>2</v>
      </c>
      <c r="D246" s="6" t="str">
        <f ca="1">IFERROR(__xludf.DUMMYFUNCTION("""COMPUTED_VALUE"""),"NO")</f>
        <v>NO</v>
      </c>
      <c r="E246" s="6" t="str">
        <f ca="1">IFERROR(__xludf.DUMMYFUNCTION("""COMPUTED_VALUE"""),"San Javier")</f>
        <v>San Javier</v>
      </c>
      <c r="F246" s="16">
        <f ca="1">IFERROR(__xludf.DUMMYFUNCTION("""COMPUTED_VALUE"""),45715)</f>
        <v>45715</v>
      </c>
      <c r="G246" s="16">
        <f ca="1">IFERROR(__xludf.DUMMYFUNCTION("""COMPUTED_VALUE"""),45680)</f>
        <v>45680</v>
      </c>
      <c r="H246" s="6" t="str">
        <f ca="1">IFERROR(__xludf.DUMMYFUNCTION("""COMPUTED_VALUE"""),"San Javier")</f>
        <v>San Javier</v>
      </c>
      <c r="I246" s="6" t="str">
        <f ca="1">IFERROR(__xludf.DUMMYFUNCTION("""COMPUTED_VALUE"""),"C2025128104957395")</f>
        <v>C2025128104957395</v>
      </c>
      <c r="J246" s="6" t="str">
        <f ca="1">IFERROR(__xludf.DUMMYFUNCTION("""COMPUTED_VALUE"""),"ANABEL GUILLEN MARTINEZ")</f>
        <v>ANABEL GUILLEN MARTINEZ</v>
      </c>
      <c r="K246" s="6">
        <f ca="1">IFERROR(__xludf.DUMMYFUNCTION("""COMPUTED_VALUE"""),2)</f>
        <v>2</v>
      </c>
      <c r="L246" s="139">
        <f ca="1">IFERROR(__xludf.DUMMYFUNCTION("""COMPUTED_VALUE"""),3710)</f>
        <v>3710</v>
      </c>
      <c r="M246" s="6" t="str">
        <f ca="1">IFERROR(__xludf.DUMMYFUNCTION("""COMPUTED_VALUE"""),"03 ORL")</f>
        <v>03 ORL</v>
      </c>
      <c r="N246" s="6" t="str">
        <f ca="1">IFERROR(__xludf.DUMMYFUNCTION("""COMPUTED_VALUE"""),"06 ORL")</f>
        <v>06 ORL</v>
      </c>
      <c r="O246" s="6" t="str">
        <f ca="1">IFERROR(__xludf.DUMMYFUNCTION("""COMPUTED_VALUE"""),"Dr, Francisco García Purriños")</f>
        <v>Dr, Francisco García Purriños</v>
      </c>
      <c r="P246" s="6" t="str">
        <f ca="1">IFERROR(__xludf.DUMMYFUNCTION("""COMPUTED_VALUE"""),"Iván Sánchez (Levante Y Albacete)")</f>
        <v>Iván Sánchez (Levante Y Albacete)</v>
      </c>
    </row>
    <row r="247" spans="2:16">
      <c r="B247" s="6">
        <f ca="1">IFERROR(__xludf.DUMMYFUNCTION("""COMPUTED_VALUE"""),2025)</f>
        <v>2025</v>
      </c>
      <c r="C247" s="6">
        <f ca="1">IFERROR(__xludf.DUMMYFUNCTION("""COMPUTED_VALUE"""),2)</f>
        <v>2</v>
      </c>
      <c r="D247" s="6" t="str">
        <f ca="1">IFERROR(__xludf.DUMMYFUNCTION("""COMPUTED_VALUE"""),"NO")</f>
        <v>NO</v>
      </c>
      <c r="E247" s="6" t="str">
        <f ca="1">IFERROR(__xludf.DUMMYFUNCTION("""COMPUTED_VALUE"""),"Ourense")</f>
        <v>Ourense</v>
      </c>
      <c r="F247" s="16">
        <f ca="1">IFERROR(__xludf.DUMMYFUNCTION("""COMPUTED_VALUE"""),45715)</f>
        <v>45715</v>
      </c>
      <c r="G247" s="16">
        <f ca="1">IFERROR(__xludf.DUMMYFUNCTION("""COMPUTED_VALUE"""),45672)</f>
        <v>45672</v>
      </c>
      <c r="H247" s="6" t="str">
        <f ca="1">IFERROR(__xludf.DUMMYFUNCTION("""COMPUTED_VALUE"""),"Orense")</f>
        <v>Orense</v>
      </c>
      <c r="I247" s="6" t="str">
        <f ca="1">IFERROR(__xludf.DUMMYFUNCTION("""COMPUTED_VALUE"""),"C2025123155834439")</f>
        <v>C2025123155834439</v>
      </c>
      <c r="J247" s="6" t="str">
        <f ca="1">IFERROR(__xludf.DUMMYFUNCTION("""COMPUTED_VALUE"""),"SARA CID BELMONTE")</f>
        <v>SARA CID BELMONTE</v>
      </c>
      <c r="K247" s="6">
        <f ca="1">IFERROR(__xludf.DUMMYFUNCTION("""COMPUTED_VALUE"""),2)</f>
        <v>2</v>
      </c>
      <c r="L247" s="139">
        <f ca="1">IFERROR(__xludf.DUMMYFUNCTION("""COMPUTED_VALUE"""),4400)</f>
        <v>4400</v>
      </c>
      <c r="M247" s="6" t="str">
        <f ca="1">IFERROR(__xludf.DUMMYFUNCTION("""COMPUTED_VALUE"""),"03 ORL")</f>
        <v>03 ORL</v>
      </c>
      <c r="N247" s="6" t="str">
        <f ca="1">IFERROR(__xludf.DUMMYFUNCTION("""COMPUTED_VALUE"""),"06 ORL")</f>
        <v>06 ORL</v>
      </c>
      <c r="O247" s="6" t="str">
        <f ca="1">IFERROR(__xludf.DUMMYFUNCTION("""COMPUTED_VALUE"""),"Dra, María Rey Marcos")</f>
        <v>Dra, María Rey Marcos</v>
      </c>
      <c r="P247" s="6" t="str">
        <f ca="1">IFERROR(__xludf.DUMMYFUNCTION("""COMPUTED_VALUE"""),"Roberto Pereira (Galicia)")</f>
        <v>Roberto Pereira (Galicia)</v>
      </c>
    </row>
    <row r="248" spans="2:16">
      <c r="B248" s="6">
        <f ca="1">IFERROR(__xludf.DUMMYFUNCTION("""COMPUTED_VALUE"""),2025)</f>
        <v>2025</v>
      </c>
      <c r="C248" s="6">
        <f ca="1">IFERROR(__xludf.DUMMYFUNCTION("""COMPUTED_VALUE"""),2)</f>
        <v>2</v>
      </c>
      <c r="D248" s="6" t="str">
        <f ca="1">IFERROR(__xludf.DUMMYFUNCTION("""COMPUTED_VALUE"""),"NO")</f>
        <v>NO</v>
      </c>
      <c r="E248" s="6" t="str">
        <f ca="1">IFERROR(__xludf.DUMMYFUNCTION("""COMPUTED_VALUE"""),"El Albir (Benidorm)")</f>
        <v>El Albir (Benidorm)</v>
      </c>
      <c r="F248" s="16">
        <f ca="1">IFERROR(__xludf.DUMMYFUNCTION("""COMPUTED_VALUE"""),45715)</f>
        <v>45715</v>
      </c>
      <c r="G248" s="16">
        <f ca="1">IFERROR(__xludf.DUMMYFUNCTION("""COMPUTED_VALUE"""),45692)</f>
        <v>45692</v>
      </c>
      <c r="H248" s="6" t="str">
        <f ca="1">IFERROR(__xludf.DUMMYFUNCTION("""COMPUTED_VALUE"""),"El Albir (Benidorm)")</f>
        <v>El Albir (Benidorm)</v>
      </c>
      <c r="I248" s="6" t="str">
        <f ca="1">IFERROR(__xludf.DUMMYFUNCTION("""COMPUTED_VALUE"""),"C20252616452209")</f>
        <v>C20252616452209</v>
      </c>
      <c r="J248" s="6" t="str">
        <f ca="1">IFERROR(__xludf.DUMMYFUNCTION("""COMPUTED_VALUE"""),"JUAN FRANCISCO SEQUERO RAMIREZ")</f>
        <v>JUAN FRANCISCO SEQUERO RAMIREZ</v>
      </c>
      <c r="K248" s="6">
        <f ca="1">IFERROR(__xludf.DUMMYFUNCTION("""COMPUTED_VALUE"""),1)</f>
        <v>1</v>
      </c>
      <c r="L248" s="139">
        <f ca="1">IFERROR(__xludf.DUMMYFUNCTION("""COMPUTED_VALUE"""),1732.73)</f>
        <v>1732.73</v>
      </c>
      <c r="M248" s="6" t="str">
        <f ca="1">IFERROR(__xludf.DUMMYFUNCTION("""COMPUTED_VALUE"""),"03 ORL")</f>
        <v>03 ORL</v>
      </c>
      <c r="N248" s="6" t="str">
        <f ca="1">IFERROR(__xludf.DUMMYFUNCTION("""COMPUTED_VALUE"""),"06 ORL")</f>
        <v>06 ORL</v>
      </c>
      <c r="O248" s="6" t="str">
        <f ca="1">IFERROR(__xludf.DUMMYFUNCTION("""COMPUTED_VALUE"""),"Dra, Isabel Polo Tomás")</f>
        <v>Dra, Isabel Polo Tomás</v>
      </c>
      <c r="P248" s="6" t="str">
        <f ca="1">IFERROR(__xludf.DUMMYFUNCTION("""COMPUTED_VALUE"""),"Ramon Ferrando(Valencia)")</f>
        <v>Ramon Ferrando(Valencia)</v>
      </c>
    </row>
    <row r="249" spans="2:16">
      <c r="B249" s="6">
        <f ca="1">IFERROR(__xludf.DUMMYFUNCTION("""COMPUTED_VALUE"""),2025)</f>
        <v>2025</v>
      </c>
      <c r="C249" s="6">
        <f ca="1">IFERROR(__xludf.DUMMYFUNCTION("""COMPUTED_VALUE"""),2)</f>
        <v>2</v>
      </c>
      <c r="D249" s="6" t="str">
        <f ca="1">IFERROR(__xludf.DUMMYFUNCTION("""COMPUTED_VALUE"""),"NO")</f>
        <v>NO</v>
      </c>
      <c r="E249" s="6" t="str">
        <f ca="1">IFERROR(__xludf.DUMMYFUNCTION("""COMPUTED_VALUE"""),"Leganés")</f>
        <v>Leganés</v>
      </c>
      <c r="F249" s="16">
        <f ca="1">IFERROR(__xludf.DUMMYFUNCTION("""COMPUTED_VALUE"""),45715)</f>
        <v>45715</v>
      </c>
      <c r="G249" s="16">
        <f ca="1">IFERROR(__xludf.DUMMYFUNCTION("""COMPUTED_VALUE"""),45628)</f>
        <v>45628</v>
      </c>
      <c r="H249" s="6" t="str">
        <f ca="1">IFERROR(__xludf.DUMMYFUNCTION("""COMPUTED_VALUE"""),"Leganés")</f>
        <v>Leganés</v>
      </c>
      <c r="I249" s="6" t="str">
        <f ca="1">IFERROR(__xludf.DUMMYFUNCTION("""COMPUTED_VALUE"""),"C202511711515664")</f>
        <v>C202511711515664</v>
      </c>
      <c r="J249" s="6" t="str">
        <f ca="1">IFERROR(__xludf.DUMMYFUNCTION("""COMPUTED_VALUE"""),"JOSEFA ORTEGA RABAL")</f>
        <v>JOSEFA ORTEGA RABAL</v>
      </c>
      <c r="K249" s="6">
        <f ca="1">IFERROR(__xludf.DUMMYFUNCTION("""COMPUTED_VALUE"""),2)</f>
        <v>2</v>
      </c>
      <c r="L249" s="139">
        <f ca="1">IFERROR(__xludf.DUMMYFUNCTION("""COMPUTED_VALUE"""),2677.27)</f>
        <v>2677.27</v>
      </c>
      <c r="M249" s="6" t="str">
        <f ca="1">IFERROR(__xludf.DUMMYFUNCTION("""COMPUTED_VALUE"""),"03 ORL")</f>
        <v>03 ORL</v>
      </c>
      <c r="N249" s="6" t="str">
        <f ca="1">IFERROR(__xludf.DUMMYFUNCTION("""COMPUTED_VALUE"""),"06 ORL")</f>
        <v>06 ORL</v>
      </c>
      <c r="O249" s="6" t="str">
        <f ca="1">IFERROR(__xludf.DUMMYFUNCTION("""COMPUTED_VALUE"""),"Dr, Julio López Moya")</f>
        <v>Dr, Julio López Moya</v>
      </c>
      <c r="P249" s="6" t="str">
        <f ca="1">IFERROR(__xludf.DUMMYFUNCTION("""COMPUTED_VALUE"""),"Maika Blázquez (Madrid)")</f>
        <v>Maika Blázquez (Madrid)</v>
      </c>
    </row>
    <row r="250" spans="2:16">
      <c r="B250" s="6">
        <f ca="1">IFERROR(__xludf.DUMMYFUNCTION("""COMPUTED_VALUE"""),2025)</f>
        <v>2025</v>
      </c>
      <c r="C250" s="6">
        <f ca="1">IFERROR(__xludf.DUMMYFUNCTION("""COMPUTED_VALUE"""),2)</f>
        <v>2</v>
      </c>
      <c r="D250" s="6" t="str">
        <f ca="1">IFERROR(__xludf.DUMMYFUNCTION("""COMPUTED_VALUE"""),"NO")</f>
        <v>NO</v>
      </c>
      <c r="E250" s="6" t="str">
        <f ca="1">IFERROR(__xludf.DUMMYFUNCTION("""COMPUTED_VALUE"""),"Leganés")</f>
        <v>Leganés</v>
      </c>
      <c r="F250" s="16">
        <f ca="1">IFERROR(__xludf.DUMMYFUNCTION("""COMPUTED_VALUE"""),45715)</f>
        <v>45715</v>
      </c>
      <c r="G250" s="16">
        <f ca="1">IFERROR(__xludf.DUMMYFUNCTION("""COMPUTED_VALUE"""),45672)</f>
        <v>45672</v>
      </c>
      <c r="H250" s="6" t="str">
        <f ca="1">IFERROR(__xludf.DUMMYFUNCTION("""COMPUTED_VALUE"""),"Leganés")</f>
        <v>Leganés</v>
      </c>
      <c r="I250" s="6" t="str">
        <f ca="1">IFERROR(__xludf.DUMMYFUNCTION("""COMPUTED_VALUE"""),"C2025121162217384")</f>
        <v>C2025121162217384</v>
      </c>
      <c r="J250" s="6" t="str">
        <f ca="1">IFERROR(__xludf.DUMMYFUNCTION("""COMPUTED_VALUE"""),"MERCEDES RODRIGUEZ REGO")</f>
        <v>MERCEDES RODRIGUEZ REGO</v>
      </c>
      <c r="K250" s="6">
        <f ca="1">IFERROR(__xludf.DUMMYFUNCTION("""COMPUTED_VALUE"""),2)</f>
        <v>2</v>
      </c>
      <c r="L250" s="139">
        <f ca="1">IFERROR(__xludf.DUMMYFUNCTION("""COMPUTED_VALUE"""),4400)</f>
        <v>4400</v>
      </c>
      <c r="M250" s="6" t="str">
        <f ca="1">IFERROR(__xludf.DUMMYFUNCTION("""COMPUTED_VALUE"""),"03 ORL")</f>
        <v>03 ORL</v>
      </c>
      <c r="N250" s="6" t="str">
        <f ca="1">IFERROR(__xludf.DUMMYFUNCTION("""COMPUTED_VALUE"""),"06 ORL")</f>
        <v>06 ORL</v>
      </c>
      <c r="O250" s="6" t="str">
        <f ca="1">IFERROR(__xludf.DUMMYFUNCTION("""COMPUTED_VALUE"""),"Dra, Ana Ruiz Fornells Noreña")</f>
        <v>Dra, Ana Ruiz Fornells Noreña</v>
      </c>
      <c r="P250" s="6" t="str">
        <f ca="1">IFERROR(__xludf.DUMMYFUNCTION("""COMPUTED_VALUE"""),"Maika Blázquez (Madrid)")</f>
        <v>Maika Blázquez (Madrid)</v>
      </c>
    </row>
    <row r="251" spans="2:16">
      <c r="B251" s="6">
        <f ca="1">IFERROR(__xludf.DUMMYFUNCTION("""COMPUTED_VALUE"""),2025)</f>
        <v>2025</v>
      </c>
      <c r="C251" s="6">
        <f ca="1">IFERROR(__xludf.DUMMYFUNCTION("""COMPUTED_VALUE"""),2)</f>
        <v>2</v>
      </c>
      <c r="D251" s="6" t="str">
        <f ca="1">IFERROR(__xludf.DUMMYFUNCTION("""COMPUTED_VALUE"""),"NO")</f>
        <v>NO</v>
      </c>
      <c r="E251" s="6" t="str">
        <f ca="1">IFERROR(__xludf.DUMMYFUNCTION("""COMPUTED_VALUE"""),"Sevilla- Montoto")</f>
        <v>Sevilla- Montoto</v>
      </c>
      <c r="F251" s="16">
        <f ca="1">IFERROR(__xludf.DUMMYFUNCTION("""COMPUTED_VALUE"""),45715)</f>
        <v>45715</v>
      </c>
      <c r="G251" s="16">
        <f ca="1">IFERROR(__xludf.DUMMYFUNCTION("""COMPUTED_VALUE"""),45706)</f>
        <v>45706</v>
      </c>
      <c r="H251" s="6" t="str">
        <f ca="1">IFERROR(__xludf.DUMMYFUNCTION("""COMPUTED_VALUE"""),"Montoto")</f>
        <v>Montoto</v>
      </c>
      <c r="I251" s="6" t="str">
        <f ca="1">IFERROR(__xludf.DUMMYFUNCTION("""COMPUTED_VALUE"""),"C202522016543251")</f>
        <v>C202522016543251</v>
      </c>
      <c r="J251" s="6" t="str">
        <f ca="1">IFERROR(__xludf.DUMMYFUNCTION("""COMPUTED_VALUE"""),"MARIANO GALAN LUENGO")</f>
        <v>MARIANO GALAN LUENGO</v>
      </c>
      <c r="K251" s="6">
        <f ca="1">IFERROR(__xludf.DUMMYFUNCTION("""COMPUTED_VALUE"""),2)</f>
        <v>2</v>
      </c>
      <c r="L251" s="139">
        <f ca="1">IFERROR(__xludf.DUMMYFUNCTION("""COMPUTED_VALUE"""),3524.5)</f>
        <v>3524.5</v>
      </c>
      <c r="M251" s="6" t="str">
        <f ca="1">IFERROR(__xludf.DUMMYFUNCTION("""COMPUTED_VALUE"""),"03 ORL")</f>
        <v>03 ORL</v>
      </c>
      <c r="N251" s="6" t="str">
        <f ca="1">IFERROR(__xludf.DUMMYFUNCTION("""COMPUTED_VALUE"""),"06 ORL")</f>
        <v>06 ORL</v>
      </c>
      <c r="O251" s="6" t="str">
        <f ca="1">IFERROR(__xludf.DUMMYFUNCTION("""COMPUTED_VALUE"""),"Dr, Enrique Gómez Aldaz")</f>
        <v>Dr, Enrique Gómez Aldaz</v>
      </c>
      <c r="P251" s="6" t="str">
        <f ca="1">IFERROR(__xludf.DUMMYFUNCTION("""COMPUTED_VALUE"""),"Luis Alberto Rodríguez (Andalucía Y Badajoz)")</f>
        <v>Luis Alberto Rodríguez (Andalucía Y Badajoz)</v>
      </c>
    </row>
    <row r="252" spans="2:16">
      <c r="B252" s="6">
        <f ca="1">IFERROR(__xludf.DUMMYFUNCTION("""COMPUTED_VALUE"""),2025)</f>
        <v>2025</v>
      </c>
      <c r="C252" s="6">
        <f ca="1">IFERROR(__xludf.DUMMYFUNCTION("""COMPUTED_VALUE"""),2)</f>
        <v>2</v>
      </c>
      <c r="D252" s="6" t="str">
        <f ca="1">IFERROR(__xludf.DUMMYFUNCTION("""COMPUTED_VALUE"""),"NO")</f>
        <v>NO</v>
      </c>
      <c r="E252" s="6" t="str">
        <f ca="1">IFERROR(__xludf.DUMMYFUNCTION("""COMPUTED_VALUE"""),"Getafe")</f>
        <v>Getafe</v>
      </c>
      <c r="F252" s="16">
        <f ca="1">IFERROR(__xludf.DUMMYFUNCTION("""COMPUTED_VALUE"""),45715)</f>
        <v>45715</v>
      </c>
      <c r="G252" s="16">
        <f ca="1">IFERROR(__xludf.DUMMYFUNCTION("""COMPUTED_VALUE"""),45688)</f>
        <v>45688</v>
      </c>
      <c r="H252" s="6" t="str">
        <f ca="1">IFERROR(__xludf.DUMMYFUNCTION("""COMPUTED_VALUE"""),"Getafe")</f>
        <v>Getafe</v>
      </c>
      <c r="I252" s="6" t="str">
        <f ca="1">IFERROR(__xludf.DUMMYFUNCTION("""COMPUTED_VALUE"""),"C2025211182037420")</f>
        <v>C2025211182037420</v>
      </c>
      <c r="J252" s="6" t="str">
        <f ca="1">IFERROR(__xludf.DUMMYFUNCTION("""COMPUTED_VALUE"""),"MARIA JOSE VALENZUELA MARTINEZ")</f>
        <v>MARIA JOSE VALENZUELA MARTINEZ</v>
      </c>
      <c r="K252" s="6">
        <f ca="1">IFERROR(__xludf.DUMMYFUNCTION("""COMPUTED_VALUE"""),2)</f>
        <v>2</v>
      </c>
      <c r="L252" s="139">
        <f ca="1">IFERROR(__xludf.DUMMYFUNCTION("""COMPUTED_VALUE"""),4000)</f>
        <v>4000</v>
      </c>
      <c r="M252" s="6" t="str">
        <f ca="1">IFERROR(__xludf.DUMMYFUNCTION("""COMPUTED_VALUE"""),"03 ORL")</f>
        <v>03 ORL</v>
      </c>
      <c r="N252" s="6" t="str">
        <f ca="1">IFERROR(__xludf.DUMMYFUNCTION("""COMPUTED_VALUE"""),"06 ORL")</f>
        <v>06 ORL</v>
      </c>
      <c r="O252" s="6" t="str">
        <f ca="1">IFERROR(__xludf.DUMMYFUNCTION("""COMPUTED_VALUE"""),"Dra, Beatriz Santos Duque")</f>
        <v>Dra, Beatriz Santos Duque</v>
      </c>
      <c r="P252" s="6" t="str">
        <f ca="1">IFERROR(__xludf.DUMMYFUNCTION("""COMPUTED_VALUE"""),"Maika Blázquez (Madrid)")</f>
        <v>Maika Blázquez (Madrid)</v>
      </c>
    </row>
    <row r="253" spans="2:16">
      <c r="B253" s="6">
        <f ca="1">IFERROR(__xludf.DUMMYFUNCTION("""COMPUTED_VALUE"""),2025)</f>
        <v>2025</v>
      </c>
      <c r="C253" s="6">
        <f ca="1">IFERROR(__xludf.DUMMYFUNCTION("""COMPUTED_VALUE"""),2)</f>
        <v>2</v>
      </c>
      <c r="D253" s="6" t="str">
        <f ca="1">IFERROR(__xludf.DUMMYFUNCTION("""COMPUTED_VALUE"""),"NO")</f>
        <v>NO</v>
      </c>
      <c r="E253" s="6" t="str">
        <f ca="1">IFERROR(__xludf.DUMMYFUNCTION("""COMPUTED_VALUE"""),"Torrejón de Ardoz")</f>
        <v>Torrejón de Ardoz</v>
      </c>
      <c r="F253" s="16">
        <f ca="1">IFERROR(__xludf.DUMMYFUNCTION("""COMPUTED_VALUE"""),45715)</f>
        <v>45715</v>
      </c>
      <c r="G253" s="16">
        <f ca="1">IFERROR(__xludf.DUMMYFUNCTION("""COMPUTED_VALUE"""),45693)</f>
        <v>45693</v>
      </c>
      <c r="H253" s="6" t="str">
        <f ca="1">IFERROR(__xludf.DUMMYFUNCTION("""COMPUTED_VALUE"""),"Torrejón")</f>
        <v>Torrejón</v>
      </c>
      <c r="I253" s="6" t="str">
        <f ca="1">IFERROR(__xludf.DUMMYFUNCTION("""COMPUTED_VALUE"""),"C202526183311473")</f>
        <v>C202526183311473</v>
      </c>
      <c r="J253" s="6" t="str">
        <f ca="1">IFERROR(__xludf.DUMMYFUNCTION("""COMPUTED_VALUE"""),"ANDREA NAVARRO GARRIDO")</f>
        <v>ANDREA NAVARRO GARRIDO</v>
      </c>
      <c r="K253" s="6">
        <f ca="1">IFERROR(__xludf.DUMMYFUNCTION("""COMPUTED_VALUE"""),2)</f>
        <v>2</v>
      </c>
      <c r="L253" s="139">
        <f ca="1">IFERROR(__xludf.DUMMYFUNCTION("""COMPUTED_VALUE"""),4000)</f>
        <v>4000</v>
      </c>
      <c r="M253" s="6" t="str">
        <f ca="1">IFERROR(__xludf.DUMMYFUNCTION("""COMPUTED_VALUE"""),"03 ORL")</f>
        <v>03 ORL</v>
      </c>
      <c r="N253" s="6" t="str">
        <f ca="1">IFERROR(__xludf.DUMMYFUNCTION("""COMPUTED_VALUE"""),"06 ORL")</f>
        <v>06 ORL</v>
      </c>
      <c r="O253" s="6" t="str">
        <f ca="1">IFERROR(__xludf.DUMMYFUNCTION("""COMPUTED_VALUE"""),"Dra, María Garrote Garrote")</f>
        <v>Dra, María Garrote Garrote</v>
      </c>
      <c r="P253" s="6" t="str">
        <f ca="1">IFERROR(__xludf.DUMMYFUNCTION("""COMPUTED_VALUE"""),"Maika Blázquez (Madrid)")</f>
        <v>Maika Blázquez (Madrid)</v>
      </c>
    </row>
    <row r="254" spans="2:16">
      <c r="B254" s="6">
        <f ca="1">IFERROR(__xludf.DUMMYFUNCTION("""COMPUTED_VALUE"""),2025)</f>
        <v>2025</v>
      </c>
      <c r="C254" s="6">
        <f ca="1">IFERROR(__xludf.DUMMYFUNCTION("""COMPUTED_VALUE"""),2)</f>
        <v>2</v>
      </c>
      <c r="D254" s="6" t="str">
        <f ca="1">IFERROR(__xludf.DUMMYFUNCTION("""COMPUTED_VALUE"""),"NO")</f>
        <v>NO</v>
      </c>
      <c r="E254" s="6" t="str">
        <f ca="1">IFERROR(__xludf.DUMMYFUNCTION("""COMPUTED_VALUE"""),"Madrid- Monforte de Lemos")</f>
        <v>Madrid- Monforte de Lemos</v>
      </c>
      <c r="F254" s="16">
        <f ca="1">IFERROR(__xludf.DUMMYFUNCTION("""COMPUTED_VALUE"""),45715)</f>
        <v>45715</v>
      </c>
      <c r="G254" s="16">
        <f ca="1">IFERROR(__xludf.DUMMYFUNCTION("""COMPUTED_VALUE"""),45635)</f>
        <v>45635</v>
      </c>
      <c r="H254" s="6" t="str">
        <f ca="1">IFERROR(__xludf.DUMMYFUNCTION("""COMPUTED_VALUE"""),"La Vaguada")</f>
        <v>La Vaguada</v>
      </c>
      <c r="I254" s="6" t="str">
        <f ca="1">IFERROR(__xludf.DUMMYFUNCTION("""COMPUTED_VALUE"""),"C20241217182425568")</f>
        <v>C20241217182425568</v>
      </c>
      <c r="J254" s="6" t="str">
        <f ca="1">IFERROR(__xludf.DUMMYFUNCTION("""COMPUTED_VALUE"""),"ISIDORO JIMENEZ BLAZQUEZ")</f>
        <v>ISIDORO JIMENEZ BLAZQUEZ</v>
      </c>
      <c r="K254" s="6">
        <f ca="1">IFERROR(__xludf.DUMMYFUNCTION("""COMPUTED_VALUE"""),2)</f>
        <v>2</v>
      </c>
      <c r="L254" s="139">
        <f ca="1">IFERROR(__xludf.DUMMYFUNCTION("""COMPUTED_VALUE"""),3846.36)</f>
        <v>3846.36</v>
      </c>
      <c r="M254" s="6" t="str">
        <f ca="1">IFERROR(__xludf.DUMMYFUNCTION("""COMPUTED_VALUE"""),"03 ORL")</f>
        <v>03 ORL</v>
      </c>
      <c r="N254" s="6" t="str">
        <f ca="1">IFERROR(__xludf.DUMMYFUNCTION("""COMPUTED_VALUE"""),"06 ORL")</f>
        <v>06 ORL</v>
      </c>
      <c r="O254" s="6" t="str">
        <f ca="1">IFERROR(__xludf.DUMMYFUNCTION("""COMPUTED_VALUE"""),"Dra, Laura Garrido García")</f>
        <v>Dra, Laura Garrido García</v>
      </c>
      <c r="P254" s="6" t="str">
        <f ca="1">IFERROR(__xludf.DUMMYFUNCTION("""COMPUTED_VALUE"""),"Maika Blázquez (Madrid)")</f>
        <v>Maika Blázquez (Madrid)</v>
      </c>
    </row>
    <row r="255" spans="2:16">
      <c r="B255" s="6">
        <f ca="1">IFERROR(__xludf.DUMMYFUNCTION("""COMPUTED_VALUE"""),2025)</f>
        <v>2025</v>
      </c>
      <c r="C255" s="6">
        <f ca="1">IFERROR(__xludf.DUMMYFUNCTION("""COMPUTED_VALUE"""),2)</f>
        <v>2</v>
      </c>
      <c r="D255" s="6" t="str">
        <f ca="1">IFERROR(__xludf.DUMMYFUNCTION("""COMPUTED_VALUE"""),"NO")</f>
        <v>NO</v>
      </c>
      <c r="E255" s="6" t="str">
        <f ca="1">IFERROR(__xludf.DUMMYFUNCTION("""COMPUTED_VALUE"""),"Madrid- Juan Bravo")</f>
        <v>Madrid- Juan Bravo</v>
      </c>
      <c r="F255" s="16">
        <f ca="1">IFERROR(__xludf.DUMMYFUNCTION("""COMPUTED_VALUE"""),45715)</f>
        <v>45715</v>
      </c>
      <c r="G255" s="16">
        <f ca="1">IFERROR(__xludf.DUMMYFUNCTION("""COMPUTED_VALUE"""),45715)</f>
        <v>45715</v>
      </c>
      <c r="H255" s="6" t="str">
        <f ca="1">IFERROR(__xludf.DUMMYFUNCTION("""COMPUTED_VALUE"""),"Juan Bravo")</f>
        <v>Juan Bravo</v>
      </c>
      <c r="I255" s="6" t="str">
        <f ca="1">IFERROR(__xludf.DUMMYFUNCTION("""COMPUTED_VALUE"""),"C202522719141244")</f>
        <v>C202522719141244</v>
      </c>
      <c r="J255" s="6" t="str">
        <f ca="1">IFERROR(__xludf.DUMMYFUNCTION("""COMPUTED_VALUE"""),"FAMORCA TRES S,L [JOSE MARIA VARA IZQUIERDO]")</f>
        <v>FAMORCA TRES S,L [JOSE MARIA VARA IZQUIERDO]</v>
      </c>
      <c r="K255" s="6">
        <f ca="1">IFERROR(__xludf.DUMMYFUNCTION("""COMPUTED_VALUE"""),2)</f>
        <v>2</v>
      </c>
      <c r="L255" s="139">
        <f ca="1">IFERROR(__xludf.DUMMYFUNCTION("""COMPUTED_VALUE"""),4400)</f>
        <v>4400</v>
      </c>
      <c r="M255" s="6" t="str">
        <f ca="1">IFERROR(__xludf.DUMMYFUNCTION("""COMPUTED_VALUE"""),"03 ORL")</f>
        <v>03 ORL</v>
      </c>
      <c r="N255" s="6" t="str">
        <f ca="1">IFERROR(__xludf.DUMMYFUNCTION("""COMPUTED_VALUE"""),"06 ORL")</f>
        <v>06 ORL</v>
      </c>
      <c r="O255" s="6" t="str">
        <f ca="1">IFERROR(__xludf.DUMMYFUNCTION("""COMPUTED_VALUE"""),"Dr, Julio López Moya")</f>
        <v>Dr, Julio López Moya</v>
      </c>
      <c r="P255" s="6" t="str">
        <f ca="1">IFERROR(__xludf.DUMMYFUNCTION("""COMPUTED_VALUE"""),"Maika Blázquez (Madrid)")</f>
        <v>Maika Blázquez (Madrid)</v>
      </c>
    </row>
    <row r="256" spans="2:16">
      <c r="B256" s="6">
        <f ca="1">IFERROR(__xludf.DUMMYFUNCTION("""COMPUTED_VALUE"""),2025)</f>
        <v>2025</v>
      </c>
      <c r="C256" s="6">
        <f ca="1">IFERROR(__xludf.DUMMYFUNCTION("""COMPUTED_VALUE"""),2)</f>
        <v>2</v>
      </c>
      <c r="D256" s="6" t="str">
        <f ca="1">IFERROR(__xludf.DUMMYFUNCTION("""COMPUTED_VALUE"""),"NO")</f>
        <v>NO</v>
      </c>
      <c r="E256" s="6" t="str">
        <f ca="1">IFERROR(__xludf.DUMMYFUNCTION("""COMPUTED_VALUE"""),"Ourense")</f>
        <v>Ourense</v>
      </c>
      <c r="F256" s="16">
        <f ca="1">IFERROR(__xludf.DUMMYFUNCTION("""COMPUTED_VALUE"""),45716)</f>
        <v>45716</v>
      </c>
      <c r="G256" s="16">
        <f ca="1">IFERROR(__xludf.DUMMYFUNCTION("""COMPUTED_VALUE"""),45678)</f>
        <v>45678</v>
      </c>
      <c r="H256" s="6" t="str">
        <f ca="1">IFERROR(__xludf.DUMMYFUNCTION("""COMPUTED_VALUE"""),"Orense")</f>
        <v>Orense</v>
      </c>
      <c r="I256" s="6" t="str">
        <f ca="1">IFERROR(__xludf.DUMMYFUNCTION("""COMPUTED_VALUE"""),"C202512716334143")</f>
        <v>C202512716334143</v>
      </c>
      <c r="J256" s="6" t="str">
        <f ca="1">IFERROR(__xludf.DUMMYFUNCTION("""COMPUTED_VALUE"""),"MANUEL PROL GARRIDO")</f>
        <v>MANUEL PROL GARRIDO</v>
      </c>
      <c r="K256" s="6">
        <f ca="1">IFERROR(__xludf.DUMMYFUNCTION("""COMPUTED_VALUE"""),1)</f>
        <v>1</v>
      </c>
      <c r="L256" s="139">
        <f ca="1">IFERROR(__xludf.DUMMYFUNCTION("""COMPUTED_VALUE"""),1645.45)</f>
        <v>1645.45</v>
      </c>
      <c r="M256" s="6" t="str">
        <f ca="1">IFERROR(__xludf.DUMMYFUNCTION("""COMPUTED_VALUE"""),"03 ORL")</f>
        <v>03 ORL</v>
      </c>
      <c r="N256" s="6" t="str">
        <f ca="1">IFERROR(__xludf.DUMMYFUNCTION("""COMPUTED_VALUE"""),"06 ORL")</f>
        <v>06 ORL</v>
      </c>
      <c r="O256" s="6" t="str">
        <f ca="1">IFERROR(__xludf.DUMMYFUNCTION("""COMPUTED_VALUE"""),"No Recuerda Orl")</f>
        <v>No Recuerda Orl</v>
      </c>
      <c r="P256" s="6" t="str">
        <f ca="1">IFERROR(__xludf.DUMMYFUNCTION("""COMPUTED_VALUE"""),"Roberto Pereira (Galicia)")</f>
        <v>Roberto Pereira (Galicia)</v>
      </c>
    </row>
    <row r="257" spans="2:16">
      <c r="B257" s="6">
        <f ca="1">IFERROR(__xludf.DUMMYFUNCTION("""COMPUTED_VALUE"""),2025)</f>
        <v>2025</v>
      </c>
      <c r="C257" s="6">
        <f ca="1">IFERROR(__xludf.DUMMYFUNCTION("""COMPUTED_VALUE"""),2)</f>
        <v>2</v>
      </c>
      <c r="D257" s="6" t="str">
        <f ca="1">IFERROR(__xludf.DUMMYFUNCTION("""COMPUTED_VALUE"""),"NO")</f>
        <v>NO</v>
      </c>
      <c r="E257" s="6" t="str">
        <f ca="1">IFERROR(__xludf.DUMMYFUNCTION("""COMPUTED_VALUE"""),"Madrid- Galileo")</f>
        <v>Madrid- Galileo</v>
      </c>
      <c r="F257" s="16">
        <f ca="1">IFERROR(__xludf.DUMMYFUNCTION("""COMPUTED_VALUE"""),45716)</f>
        <v>45716</v>
      </c>
      <c r="G257" s="16">
        <f ca="1">IFERROR(__xludf.DUMMYFUNCTION("""COMPUTED_VALUE"""),45677)</f>
        <v>45677</v>
      </c>
      <c r="H257" s="6" t="str">
        <f ca="1">IFERROR(__xludf.DUMMYFUNCTION("""COMPUTED_VALUE"""),"Moncloa")</f>
        <v>Moncloa</v>
      </c>
      <c r="I257" s="6" t="str">
        <f ca="1">IFERROR(__xludf.DUMMYFUNCTION("""COMPUTED_VALUE"""),"C2025123103424739")</f>
        <v>C2025123103424739</v>
      </c>
      <c r="J257" s="6" t="str">
        <f ca="1">IFERROR(__xludf.DUMMYFUNCTION("""COMPUTED_VALUE"""),"AGUSTIN PINO BARRIGA")</f>
        <v>AGUSTIN PINO BARRIGA</v>
      </c>
      <c r="K257" s="6">
        <f ca="1">IFERROR(__xludf.DUMMYFUNCTION("""COMPUTED_VALUE"""),1)</f>
        <v>1</v>
      </c>
      <c r="L257" s="139">
        <f ca="1">IFERROR(__xludf.DUMMYFUNCTION("""COMPUTED_VALUE"""),2400)</f>
        <v>2400</v>
      </c>
      <c r="M257" s="6" t="str">
        <f ca="1">IFERROR(__xludf.DUMMYFUNCTION("""COMPUTED_VALUE"""),"03 ORL")</f>
        <v>03 ORL</v>
      </c>
      <c r="N257" s="6" t="str">
        <f ca="1">IFERROR(__xludf.DUMMYFUNCTION("""COMPUTED_VALUE"""),"06 ORL")</f>
        <v>06 ORL</v>
      </c>
      <c r="O257" s="6" t="str">
        <f ca="1">IFERROR(__xludf.DUMMYFUNCTION("""COMPUTED_VALUE"""),"Dra, María Teresa Herrera Mera")</f>
        <v>Dra, María Teresa Herrera Mera</v>
      </c>
      <c r="P257" s="6" t="str">
        <f ca="1">IFERROR(__xludf.DUMMYFUNCTION("""COMPUTED_VALUE"""),"Maika Blázquez (Madrid)")</f>
        <v>Maika Blázquez (Madrid)</v>
      </c>
    </row>
    <row r="258" spans="2:16">
      <c r="B258" s="6">
        <f ca="1">IFERROR(__xludf.DUMMYFUNCTION("""COMPUTED_VALUE"""),2025)</f>
        <v>2025</v>
      </c>
      <c r="C258" s="6">
        <f ca="1">IFERROR(__xludf.DUMMYFUNCTION("""COMPUTED_VALUE"""),2)</f>
        <v>2</v>
      </c>
      <c r="D258" s="6" t="str">
        <f ca="1">IFERROR(__xludf.DUMMYFUNCTION("""COMPUTED_VALUE"""),"NO")</f>
        <v>NO</v>
      </c>
      <c r="E258" s="6" t="str">
        <f ca="1">IFERROR(__xludf.DUMMYFUNCTION("""COMPUTED_VALUE"""),"Leganés")</f>
        <v>Leganés</v>
      </c>
      <c r="F258" s="16">
        <f ca="1">IFERROR(__xludf.DUMMYFUNCTION("""COMPUTED_VALUE"""),45716)</f>
        <v>45716</v>
      </c>
      <c r="G258" s="16">
        <f ca="1">IFERROR(__xludf.DUMMYFUNCTION("""COMPUTED_VALUE"""),45660)</f>
        <v>45660</v>
      </c>
      <c r="H258" s="6" t="str">
        <f ca="1">IFERROR(__xludf.DUMMYFUNCTION("""COMPUTED_VALUE"""),"Leganés")</f>
        <v>Leganés</v>
      </c>
      <c r="I258" s="6" t="str">
        <f ca="1">IFERROR(__xludf.DUMMYFUNCTION("""COMPUTED_VALUE"""),"C202511517950582")</f>
        <v>C202511517950582</v>
      </c>
      <c r="J258" s="6" t="str">
        <f ca="1">IFERROR(__xludf.DUMMYFUNCTION("""COMPUTED_VALUE"""),"SUSANA ESTEBAN ARRIAZÚ")</f>
        <v>SUSANA ESTEBAN ARRIAZÚ</v>
      </c>
      <c r="K258" s="6">
        <f ca="1">IFERROR(__xludf.DUMMYFUNCTION("""COMPUTED_VALUE"""),1)</f>
        <v>1</v>
      </c>
      <c r="L258" s="139">
        <f ca="1">IFERROR(__xludf.DUMMYFUNCTION("""COMPUTED_VALUE"""),1500)</f>
        <v>1500</v>
      </c>
      <c r="M258" s="6" t="str">
        <f ca="1">IFERROR(__xludf.DUMMYFUNCTION("""COMPUTED_VALUE"""),"03 ORL")</f>
        <v>03 ORL</v>
      </c>
      <c r="N258" s="6" t="str">
        <f ca="1">IFERROR(__xludf.DUMMYFUNCTION("""COMPUTED_VALUE"""),"06 ORL")</f>
        <v>06 ORL</v>
      </c>
      <c r="O258" s="6" t="str">
        <f ca="1">IFERROR(__xludf.DUMMYFUNCTION("""COMPUTED_VALUE"""),"Dr, Jesús Atalaya Díaz")</f>
        <v>Dr, Jesús Atalaya Díaz</v>
      </c>
      <c r="P258" s="6" t="str">
        <f ca="1">IFERROR(__xludf.DUMMYFUNCTION("""COMPUTED_VALUE"""),"Maika Blázquez (Madrid)")</f>
        <v>Maika Blázquez (Madrid)</v>
      </c>
    </row>
    <row r="259" spans="2:16">
      <c r="B259" s="6">
        <f ca="1">IFERROR(__xludf.DUMMYFUNCTION("""COMPUTED_VALUE"""),2025)</f>
        <v>2025</v>
      </c>
      <c r="C259" s="6">
        <f ca="1">IFERROR(__xludf.DUMMYFUNCTION("""COMPUTED_VALUE"""),2)</f>
        <v>2</v>
      </c>
      <c r="D259" s="6" t="str">
        <f ca="1">IFERROR(__xludf.DUMMYFUNCTION("""COMPUTED_VALUE"""),"NO")</f>
        <v>NO</v>
      </c>
      <c r="E259" s="6" t="str">
        <f ca="1">IFERROR(__xludf.DUMMYFUNCTION("""COMPUTED_VALUE"""),"Leganés")</f>
        <v>Leganés</v>
      </c>
      <c r="F259" s="16">
        <f ca="1">IFERROR(__xludf.DUMMYFUNCTION("""COMPUTED_VALUE"""),45716)</f>
        <v>45716</v>
      </c>
      <c r="G259" s="16">
        <f ca="1">IFERROR(__xludf.DUMMYFUNCTION("""COMPUTED_VALUE"""),45667)</f>
        <v>45667</v>
      </c>
      <c r="H259" s="6" t="str">
        <f ca="1">IFERROR(__xludf.DUMMYFUNCTION("""COMPUTED_VALUE"""),"Leganés")</f>
        <v>Leganés</v>
      </c>
      <c r="I259" s="6" t="str">
        <f ca="1">IFERROR(__xludf.DUMMYFUNCTION("""COMPUTED_VALUE"""),"C2025128115357750")</f>
        <v>C2025128115357750</v>
      </c>
      <c r="J259" s="6" t="str">
        <f ca="1">IFERROR(__xludf.DUMMYFUNCTION("""COMPUTED_VALUE"""),"MARIA ANGELES PEREZ GOMEZ")</f>
        <v>MARIA ANGELES PEREZ GOMEZ</v>
      </c>
      <c r="K259" s="6">
        <f ca="1">IFERROR(__xludf.DUMMYFUNCTION("""COMPUTED_VALUE"""),1)</f>
        <v>1</v>
      </c>
      <c r="L259" s="139">
        <f ca="1">IFERROR(__xludf.DUMMYFUNCTION("""COMPUTED_VALUE"""),1634.62)</f>
        <v>1634.62</v>
      </c>
      <c r="M259" s="6" t="str">
        <f ca="1">IFERROR(__xludf.DUMMYFUNCTION("""COMPUTED_VALUE"""),"03 ORL")</f>
        <v>03 ORL</v>
      </c>
      <c r="N259" s="6" t="str">
        <f ca="1">IFERROR(__xludf.DUMMYFUNCTION("""COMPUTED_VALUE"""),"06 ORL")</f>
        <v>06 ORL</v>
      </c>
      <c r="O259" s="6" t="str">
        <f ca="1">IFERROR(__xludf.DUMMYFUNCTION("""COMPUTED_VALUE"""),"Dra, Ana Ruiz Fornells Noreña")</f>
        <v>Dra, Ana Ruiz Fornells Noreña</v>
      </c>
      <c r="P259" s="6" t="str">
        <f ca="1">IFERROR(__xludf.DUMMYFUNCTION("""COMPUTED_VALUE"""),"Maika Blázquez (Madrid)")</f>
        <v>Maika Blázquez (Madrid)</v>
      </c>
    </row>
    <row r="260" spans="2:16">
      <c r="B260" s="6">
        <f ca="1">IFERROR(__xludf.DUMMYFUNCTION("""COMPUTED_VALUE"""),2025)</f>
        <v>2025</v>
      </c>
      <c r="C260" s="6">
        <f ca="1">IFERROR(__xludf.DUMMYFUNCTION("""COMPUTED_VALUE"""),2)</f>
        <v>2</v>
      </c>
      <c r="D260" s="6" t="str">
        <f ca="1">IFERROR(__xludf.DUMMYFUNCTION("""COMPUTED_VALUE"""),"NO")</f>
        <v>NO</v>
      </c>
      <c r="E260" s="6" t="str">
        <f ca="1">IFERROR(__xludf.DUMMYFUNCTION("""COMPUTED_VALUE"""),"Ourense")</f>
        <v>Ourense</v>
      </c>
      <c r="F260" s="16">
        <f ca="1">IFERROR(__xludf.DUMMYFUNCTION("""COMPUTED_VALUE"""),45716)</f>
        <v>45716</v>
      </c>
      <c r="G260" s="16">
        <f ca="1">IFERROR(__xludf.DUMMYFUNCTION("""COMPUTED_VALUE"""),45646)</f>
        <v>45646</v>
      </c>
      <c r="H260" s="6" t="str">
        <f ca="1">IFERROR(__xludf.DUMMYFUNCTION("""COMPUTED_VALUE"""),"Orense")</f>
        <v>Orense</v>
      </c>
      <c r="I260" s="6" t="str">
        <f ca="1">IFERROR(__xludf.DUMMYFUNCTION("""COMPUTED_VALUE"""),"C20241227105840801")</f>
        <v>C20241227105840801</v>
      </c>
      <c r="J260" s="6" t="str">
        <f ca="1">IFERROR(__xludf.DUMMYFUNCTION("""COMPUTED_VALUE"""),"MARIA SOLEDAD LUDGERO PINTO")</f>
        <v>MARIA SOLEDAD LUDGERO PINTO</v>
      </c>
      <c r="K260" s="6">
        <f ca="1">IFERROR(__xludf.DUMMYFUNCTION("""COMPUTED_VALUE"""),2)</f>
        <v>2</v>
      </c>
      <c r="L260" s="139">
        <f ca="1">IFERROR(__xludf.DUMMYFUNCTION("""COMPUTED_VALUE"""),3391.82)</f>
        <v>3391.82</v>
      </c>
      <c r="M260" s="6" t="str">
        <f ca="1">IFERROR(__xludf.DUMMYFUNCTION("""COMPUTED_VALUE"""),"03 ORL")</f>
        <v>03 ORL</v>
      </c>
      <c r="N260" s="6" t="str">
        <f ca="1">IFERROR(__xludf.DUMMYFUNCTION("""COMPUTED_VALUE"""),"06 ORL")</f>
        <v>06 ORL</v>
      </c>
      <c r="O260" s="6" t="str">
        <f ca="1">IFERROR(__xludf.DUMMYFUNCTION("""COMPUTED_VALUE"""),"Dra, María Rey Marcos")</f>
        <v>Dra, María Rey Marcos</v>
      </c>
      <c r="P260" s="6" t="str">
        <f ca="1">IFERROR(__xludf.DUMMYFUNCTION("""COMPUTED_VALUE"""),"Roberto Pereira (Galicia)")</f>
        <v>Roberto Pereira (Galicia)</v>
      </c>
    </row>
    <row r="261" spans="2:16">
      <c r="B261" s="6">
        <f ca="1">IFERROR(__xludf.DUMMYFUNCTION("""COMPUTED_VALUE"""),2025)</f>
        <v>2025</v>
      </c>
      <c r="C261" s="6">
        <f ca="1">IFERROR(__xludf.DUMMYFUNCTION("""COMPUTED_VALUE"""),2)</f>
        <v>2</v>
      </c>
      <c r="D261" s="6" t="str">
        <f ca="1">IFERROR(__xludf.DUMMYFUNCTION("""COMPUTED_VALUE"""),"NO")</f>
        <v>NO</v>
      </c>
      <c r="E261" s="6" t="str">
        <f ca="1">IFERROR(__xludf.DUMMYFUNCTION("""COMPUTED_VALUE"""),"Madrid- Galileo")</f>
        <v>Madrid- Galileo</v>
      </c>
      <c r="F261" s="16">
        <f ca="1">IFERROR(__xludf.DUMMYFUNCTION("""COMPUTED_VALUE"""),45716)</f>
        <v>45716</v>
      </c>
      <c r="G261" s="16">
        <f ca="1">IFERROR(__xludf.DUMMYFUNCTION("""COMPUTED_VALUE"""),45701)</f>
        <v>45701</v>
      </c>
      <c r="H261" s="6" t="str">
        <f ca="1">IFERROR(__xludf.DUMMYFUNCTION("""COMPUTED_VALUE"""),"Moncloa")</f>
        <v>Moncloa</v>
      </c>
      <c r="I261" s="6" t="str">
        <f ca="1">IFERROR(__xludf.DUMMYFUNCTION("""COMPUTED_VALUE"""),"C202521412254134")</f>
        <v>C202521412254134</v>
      </c>
      <c r="J261" s="6" t="str">
        <f ca="1">IFERROR(__xludf.DUMMYFUNCTION("""COMPUTED_VALUE"""),"FELICIANO GARCIA ARNANZ")</f>
        <v>FELICIANO GARCIA ARNANZ</v>
      </c>
      <c r="K261" s="6">
        <f ca="1">IFERROR(__xludf.DUMMYFUNCTION("""COMPUTED_VALUE"""),2)</f>
        <v>2</v>
      </c>
      <c r="L261" s="139">
        <f ca="1">IFERROR(__xludf.DUMMYFUNCTION("""COMPUTED_VALUE"""),3800)</f>
        <v>3800</v>
      </c>
      <c r="M261" s="6" t="str">
        <f ca="1">IFERROR(__xludf.DUMMYFUNCTION("""COMPUTED_VALUE"""),"03 ORL")</f>
        <v>03 ORL</v>
      </c>
      <c r="N261" s="6" t="str">
        <f ca="1">IFERROR(__xludf.DUMMYFUNCTION("""COMPUTED_VALUE"""),"06 ORL")</f>
        <v>06 ORL</v>
      </c>
      <c r="O261" s="6" t="str">
        <f ca="1">IFERROR(__xludf.DUMMYFUNCTION("""COMPUTED_VALUE"""),"Dr, Esteban Scola Pliego")</f>
        <v>Dr, Esteban Scola Pliego</v>
      </c>
      <c r="P261" s="6" t="str">
        <f ca="1">IFERROR(__xludf.DUMMYFUNCTION("""COMPUTED_VALUE"""),"Maika Blázquez (Madrid)")</f>
        <v>Maika Blázquez (Madrid)</v>
      </c>
    </row>
    <row r="262" spans="2:16">
      <c r="B262" s="6">
        <f ca="1">IFERROR(__xludf.DUMMYFUNCTION("""COMPUTED_VALUE"""),2025)</f>
        <v>2025</v>
      </c>
      <c r="C262" s="6">
        <f ca="1">IFERROR(__xludf.DUMMYFUNCTION("""COMPUTED_VALUE"""),2)</f>
        <v>2</v>
      </c>
      <c r="D262" s="6" t="str">
        <f ca="1">IFERROR(__xludf.DUMMYFUNCTION("""COMPUTED_VALUE"""),"NO")</f>
        <v>NO</v>
      </c>
      <c r="E262" s="6" t="str">
        <f ca="1">IFERROR(__xludf.DUMMYFUNCTION("""COMPUTED_VALUE"""),"Valencia- Cádiz")</f>
        <v>Valencia- Cádiz</v>
      </c>
      <c r="F262" s="16">
        <f ca="1">IFERROR(__xludf.DUMMYFUNCTION("""COMPUTED_VALUE"""),45716)</f>
        <v>45716</v>
      </c>
      <c r="G262" s="16">
        <f ca="1">IFERROR(__xludf.DUMMYFUNCTION("""COMPUTED_VALUE"""),45659)</f>
        <v>45659</v>
      </c>
      <c r="H262" s="6" t="str">
        <f ca="1">IFERROR(__xludf.DUMMYFUNCTION("""COMPUTED_VALUE"""),"Valencia- Cádiz")</f>
        <v>Valencia- Cádiz</v>
      </c>
      <c r="I262" s="6" t="str">
        <f ca="1">IFERROR(__xludf.DUMMYFUNCTION("""COMPUTED_VALUE"""),"C2025116173758738")</f>
        <v>C2025116173758738</v>
      </c>
      <c r="J262" s="6" t="str">
        <f ca="1">IFERROR(__xludf.DUMMYFUNCTION("""COMPUTED_VALUE"""),"JOSE FUSTER BURGOS")</f>
        <v>JOSE FUSTER BURGOS</v>
      </c>
      <c r="K262" s="6">
        <f ca="1">IFERROR(__xludf.DUMMYFUNCTION("""COMPUTED_VALUE"""),2)</f>
        <v>2</v>
      </c>
      <c r="L262" s="139">
        <f ca="1">IFERROR(__xludf.DUMMYFUNCTION("""COMPUTED_VALUE"""),4000)</f>
        <v>4000</v>
      </c>
      <c r="M262" s="6" t="str">
        <f ca="1">IFERROR(__xludf.DUMMYFUNCTION("""COMPUTED_VALUE"""),"03 ORL")</f>
        <v>03 ORL</v>
      </c>
      <c r="N262" s="6" t="str">
        <f ca="1">IFERROR(__xludf.DUMMYFUNCTION("""COMPUTED_VALUE"""),"06 ORL")</f>
        <v>06 ORL</v>
      </c>
      <c r="O262" s="6" t="str">
        <f ca="1">IFERROR(__xludf.DUMMYFUNCTION("""COMPUTED_VALUE"""),"Dr, Jean Franco Intraprendente Martini")</f>
        <v>Dr, Jean Franco Intraprendente Martini</v>
      </c>
      <c r="P262" s="6" t="str">
        <f ca="1">IFERROR(__xludf.DUMMYFUNCTION("""COMPUTED_VALUE"""),"Ramon Ferrando(Valencia)")</f>
        <v>Ramon Ferrando(Valencia)</v>
      </c>
    </row>
    <row r="263" spans="2:16">
      <c r="B263" s="6">
        <f ca="1">IFERROR(__xludf.DUMMYFUNCTION("""COMPUTED_VALUE"""),2025)</f>
        <v>2025</v>
      </c>
      <c r="C263" s="6">
        <f ca="1">IFERROR(__xludf.DUMMYFUNCTION("""COMPUTED_VALUE"""),2)</f>
        <v>2</v>
      </c>
      <c r="D263" s="6" t="str">
        <f ca="1">IFERROR(__xludf.DUMMYFUNCTION("""COMPUTED_VALUE"""),"NO")</f>
        <v>NO</v>
      </c>
      <c r="E263" s="6" t="str">
        <f ca="1">IFERROR(__xludf.DUMMYFUNCTION("""COMPUTED_VALUE"""),"Oviedo")</f>
        <v>Oviedo</v>
      </c>
      <c r="F263" s="16">
        <f ca="1">IFERROR(__xludf.DUMMYFUNCTION("""COMPUTED_VALUE"""),45716)</f>
        <v>45716</v>
      </c>
      <c r="G263" s="16">
        <f ca="1">IFERROR(__xludf.DUMMYFUNCTION("""COMPUTED_VALUE"""),45677)</f>
        <v>45677</v>
      </c>
      <c r="H263" s="6" t="str">
        <f ca="1">IFERROR(__xludf.DUMMYFUNCTION("""COMPUTED_VALUE"""),"Oviedo")</f>
        <v>Oviedo</v>
      </c>
      <c r="I263" s="6" t="str">
        <f ca="1">IFERROR(__xludf.DUMMYFUNCTION("""COMPUTED_VALUE"""),"C2025120122611220")</f>
        <v>C2025120122611220</v>
      </c>
      <c r="J263" s="6" t="str">
        <f ca="1">IFERROR(__xludf.DUMMYFUNCTION("""COMPUTED_VALUE"""),"ROSA MARÍA CAMPORRO FERNÁNDEZ")</f>
        <v>ROSA MARÍA CAMPORRO FERNÁNDEZ</v>
      </c>
      <c r="K263" s="6">
        <f ca="1">IFERROR(__xludf.DUMMYFUNCTION("""COMPUTED_VALUE"""),2)</f>
        <v>2</v>
      </c>
      <c r="L263" s="139">
        <f ca="1">IFERROR(__xludf.DUMMYFUNCTION("""COMPUTED_VALUE"""),4000)</f>
        <v>4000</v>
      </c>
      <c r="M263" s="6" t="str">
        <f ca="1">IFERROR(__xludf.DUMMYFUNCTION("""COMPUTED_VALUE"""),"03 ORL")</f>
        <v>03 ORL</v>
      </c>
      <c r="N263" s="6" t="str">
        <f ca="1">IFERROR(__xludf.DUMMYFUNCTION("""COMPUTED_VALUE"""),"06 ORL")</f>
        <v>06 ORL</v>
      </c>
      <c r="O263" s="6" t="str">
        <f ca="1">IFERROR(__xludf.DUMMYFUNCTION("""COMPUTED_VALUE"""),"No Recuerda Orl")</f>
        <v>No Recuerda Orl</v>
      </c>
      <c r="P263" s="6" t="str">
        <f ca="1">IFERROR(__xludf.DUMMYFUNCTION("""COMPUTED_VALUE"""),"Alberto Moreno")</f>
        <v>Alberto Moreno</v>
      </c>
    </row>
    <row r="264" spans="2:16">
      <c r="B264" s="6">
        <f ca="1">IFERROR(__xludf.DUMMYFUNCTION("""COMPUTED_VALUE"""),2025)</f>
        <v>2025</v>
      </c>
      <c r="C264" s="6">
        <f ca="1">IFERROR(__xludf.DUMMYFUNCTION("""COMPUTED_VALUE"""),2)</f>
        <v>2</v>
      </c>
      <c r="D264" s="6" t="str">
        <f ca="1">IFERROR(__xludf.DUMMYFUNCTION("""COMPUTED_VALUE"""),"NO")</f>
        <v>NO</v>
      </c>
      <c r="E264" s="6" t="str">
        <f ca="1">IFERROR(__xludf.DUMMYFUNCTION("""COMPUTED_VALUE"""),"Cáceres")</f>
        <v>Cáceres</v>
      </c>
      <c r="F264" s="16">
        <f ca="1">IFERROR(__xludf.DUMMYFUNCTION("""COMPUTED_VALUE"""),45692)</f>
        <v>45692</v>
      </c>
      <c r="G264" s="16">
        <f ca="1">IFERROR(__xludf.DUMMYFUNCTION("""COMPUTED_VALUE"""),45652)</f>
        <v>45652</v>
      </c>
      <c r="H264" s="6" t="str">
        <f ca="1">IFERROR(__xludf.DUMMYFUNCTION("""COMPUTED_VALUE"""),"Cáceres")</f>
        <v>Cáceres</v>
      </c>
      <c r="I264" s="6" t="str">
        <f ca="1">IFERROR(__xludf.DUMMYFUNCTION("""COMPUTED_VALUE"""),"CAC-218")</f>
        <v>CAC-218</v>
      </c>
      <c r="J264" s="6" t="str">
        <f ca="1">IFERROR(__xludf.DUMMYFUNCTION("""COMPUTED_VALUE"""),"FRANCISCO ROSA VIDARTE")</f>
        <v>FRANCISCO ROSA VIDARTE</v>
      </c>
      <c r="K264" s="6">
        <f ca="1">IFERROR(__xludf.DUMMYFUNCTION("""COMPUTED_VALUE"""),2)</f>
        <v>2</v>
      </c>
      <c r="L264" s="139">
        <f ca="1">IFERROR(__xludf.DUMMYFUNCTION("""COMPUTED_VALUE"""),2953.64)</f>
        <v>2953.64</v>
      </c>
      <c r="M264" s="6" t="str">
        <f ca="1">IFERROR(__xludf.DUMMYFUNCTION("""COMPUTED_VALUE"""),"03 ORL")</f>
        <v>03 ORL</v>
      </c>
      <c r="N264" s="6" t="str">
        <f ca="1">IFERROR(__xludf.DUMMYFUNCTION("""COMPUTED_VALUE"""),"06 ORL")</f>
        <v>06 ORL</v>
      </c>
      <c r="O264" s="6" t="str">
        <f ca="1">IFERROR(__xludf.DUMMYFUNCTION("""COMPUTED_VALUE"""),"Dr, Javier García Gómez")</f>
        <v>Dr, Javier García Gómez</v>
      </c>
      <c r="P264" s="6" t="str">
        <f ca="1">IFERROR(__xludf.DUMMYFUNCTION("""COMPUTED_VALUE"""),"Lisandro Russian (Madrid, Cáceres, Toledo, Talavera Y Logroño)")</f>
        <v>Lisandro Russian (Madrid, Cáceres, Toledo, Talavera Y Logroño)</v>
      </c>
    </row>
    <row r="265" spans="2:16">
      <c r="B265" s="6">
        <f ca="1">IFERROR(__xludf.DUMMYFUNCTION("""COMPUTED_VALUE"""),2025)</f>
        <v>2025</v>
      </c>
      <c r="C265" s="6">
        <f ca="1">IFERROR(__xludf.DUMMYFUNCTION("""COMPUTED_VALUE"""),2)</f>
        <v>2</v>
      </c>
      <c r="D265" s="6" t="str">
        <f ca="1">IFERROR(__xludf.DUMMYFUNCTION("""COMPUTED_VALUE"""),"NO")</f>
        <v>NO</v>
      </c>
      <c r="E265" s="6" t="str">
        <f ca="1">IFERROR(__xludf.DUMMYFUNCTION("""COMPUTED_VALUE"""),"Culleredo")</f>
        <v>Culleredo</v>
      </c>
      <c r="F265" s="16">
        <f ca="1">IFERROR(__xludf.DUMMYFUNCTION("""COMPUTED_VALUE"""),45692)</f>
        <v>45692</v>
      </c>
      <c r="G265" s="16">
        <f ca="1">IFERROR(__xludf.DUMMYFUNCTION("""COMPUTED_VALUE"""),45665)</f>
        <v>45665</v>
      </c>
      <c r="H265" s="6" t="str">
        <f ca="1">IFERROR(__xludf.DUMMYFUNCTION("""COMPUTED_VALUE"""),"Culleredo")</f>
        <v>Culleredo</v>
      </c>
      <c r="I265" s="6" t="str">
        <f ca="1">IFERROR(__xludf.DUMMYFUNCTION("""COMPUTED_VALUE"""),"CULL-150")</f>
        <v>CULL-150</v>
      </c>
      <c r="J265" s="6" t="str">
        <f ca="1">IFERROR(__xludf.DUMMYFUNCTION("""COMPUTED_VALUE"""),"PAZ VAZQUEZ CORTON")</f>
        <v>PAZ VAZQUEZ CORTON</v>
      </c>
      <c r="K265" s="6">
        <f ca="1">IFERROR(__xludf.DUMMYFUNCTION("""COMPUTED_VALUE"""),2)</f>
        <v>2</v>
      </c>
      <c r="L265" s="139">
        <f ca="1">IFERROR(__xludf.DUMMYFUNCTION("""COMPUTED_VALUE"""),3618.18)</f>
        <v>3618.18</v>
      </c>
      <c r="M265" s="6" t="str">
        <f ca="1">IFERROR(__xludf.DUMMYFUNCTION("""COMPUTED_VALUE"""),"03 ORL")</f>
        <v>03 ORL</v>
      </c>
      <c r="N265" s="6" t="str">
        <f ca="1">IFERROR(__xludf.DUMMYFUNCTION("""COMPUTED_VALUE"""),"06 ORL")</f>
        <v>06 ORL</v>
      </c>
      <c r="O265" s="6" t="str">
        <f ca="1">IFERROR(__xludf.DUMMYFUNCTION("""COMPUTED_VALUE"""),"Dr, Miguel Mayo Yáñez")</f>
        <v>Dr, Miguel Mayo Yáñez</v>
      </c>
      <c r="P265" s="6" t="str">
        <f ca="1">IFERROR(__xludf.DUMMYFUNCTION("""COMPUTED_VALUE"""),"Roberto Pereira (Galicia)")</f>
        <v>Roberto Pereira (Galicia)</v>
      </c>
    </row>
    <row r="266" spans="2:16">
      <c r="B266" s="6">
        <f ca="1">IFERROR(__xludf.DUMMYFUNCTION("""COMPUTED_VALUE"""),2025)</f>
        <v>2025</v>
      </c>
      <c r="C266" s="6">
        <f ca="1">IFERROR(__xludf.DUMMYFUNCTION("""COMPUTED_VALUE"""),2)</f>
        <v>2</v>
      </c>
      <c r="D266" s="6" t="str">
        <f ca="1">IFERROR(__xludf.DUMMYFUNCTION("""COMPUTED_VALUE"""),"NO")</f>
        <v>NO</v>
      </c>
      <c r="E266" s="6" t="str">
        <f ca="1">IFERROR(__xludf.DUMMYFUNCTION("""COMPUTED_VALUE"""),"Cáceres")</f>
        <v>Cáceres</v>
      </c>
      <c r="F266" s="16">
        <f ca="1">IFERROR(__xludf.DUMMYFUNCTION("""COMPUTED_VALUE"""),45693)</f>
        <v>45693</v>
      </c>
      <c r="G266" s="16">
        <f ca="1">IFERROR(__xludf.DUMMYFUNCTION("""COMPUTED_VALUE"""),45664)</f>
        <v>45664</v>
      </c>
      <c r="H266" s="6" t="str">
        <f ca="1">IFERROR(__xludf.DUMMYFUNCTION("""COMPUTED_VALUE"""),"Cáceres")</f>
        <v>Cáceres</v>
      </c>
      <c r="I266" s="6" t="str">
        <f ca="1">IFERROR(__xludf.DUMMYFUNCTION("""COMPUTED_VALUE"""),"CAC-222")</f>
        <v>CAC-222</v>
      </c>
      <c r="J266" s="6" t="str">
        <f ca="1">IFERROR(__xludf.DUMMYFUNCTION("""COMPUTED_VALUE"""),"FELISA ROMERO REY")</f>
        <v>FELISA ROMERO REY</v>
      </c>
      <c r="K266" s="6">
        <f ca="1">IFERROR(__xludf.DUMMYFUNCTION("""COMPUTED_VALUE"""),2)</f>
        <v>2</v>
      </c>
      <c r="L266" s="139">
        <f ca="1">IFERROR(__xludf.DUMMYFUNCTION("""COMPUTED_VALUE"""),3454.55)</f>
        <v>3454.55</v>
      </c>
      <c r="M266" s="6" t="str">
        <f ca="1">IFERROR(__xludf.DUMMYFUNCTION("""COMPUTED_VALUE"""),"03 ORL")</f>
        <v>03 ORL</v>
      </c>
      <c r="N266" s="6" t="str">
        <f ca="1">IFERROR(__xludf.DUMMYFUNCTION("""COMPUTED_VALUE"""),"06 ORL")</f>
        <v>06 ORL</v>
      </c>
      <c r="O266" s="6" t="str">
        <f ca="1">IFERROR(__xludf.DUMMYFUNCTION("""COMPUTED_VALUE"""),"Dra, Daniela Carolina Laguado Bulgheroni")</f>
        <v>Dra, Daniela Carolina Laguado Bulgheroni</v>
      </c>
      <c r="P266" s="6" t="str">
        <f ca="1">IFERROR(__xludf.DUMMYFUNCTION("""COMPUTED_VALUE"""),"Lisandro Russian (Madrid, Cáceres, Toledo, Talavera Y Logroño)")</f>
        <v>Lisandro Russian (Madrid, Cáceres, Toledo, Talavera Y Logroño)</v>
      </c>
    </row>
    <row r="267" spans="2:16">
      <c r="B267" s="6">
        <f ca="1">IFERROR(__xludf.DUMMYFUNCTION("""COMPUTED_VALUE"""),2025)</f>
        <v>2025</v>
      </c>
      <c r="C267" s="6">
        <f ca="1">IFERROR(__xludf.DUMMYFUNCTION("""COMPUTED_VALUE"""),2)</f>
        <v>2</v>
      </c>
      <c r="D267" s="6" t="str">
        <f ca="1">IFERROR(__xludf.DUMMYFUNCTION("""COMPUTED_VALUE"""),"NO")</f>
        <v>NO</v>
      </c>
      <c r="E267" s="6" t="str">
        <f ca="1">IFERROR(__xludf.DUMMYFUNCTION("""COMPUTED_VALUE"""),"Salamanca")</f>
        <v>Salamanca</v>
      </c>
      <c r="F267" s="16">
        <f ca="1">IFERROR(__xludf.DUMMYFUNCTION("""COMPUTED_VALUE"""),45694)</f>
        <v>45694</v>
      </c>
      <c r="G267" s="16">
        <f ca="1">IFERROR(__xludf.DUMMYFUNCTION("""COMPUTED_VALUE"""),45645)</f>
        <v>45645</v>
      </c>
      <c r="H267" s="6" t="str">
        <f ca="1">IFERROR(__xludf.DUMMYFUNCTION("""COMPUTED_VALUE"""),"Salamanca")</f>
        <v>Salamanca</v>
      </c>
      <c r="I267" s="6" t="str">
        <f ca="1">IFERROR(__xludf.DUMMYFUNCTION("""COMPUTED_VALUE"""),"SLM-426")</f>
        <v>SLM-426</v>
      </c>
      <c r="J267" s="6" t="str">
        <f ca="1">IFERROR(__xludf.DUMMYFUNCTION("""COMPUTED_VALUE"""),"MARIA DE LAS MERCEDES CASTAÑO SANCHEZ")</f>
        <v>MARIA DE LAS MERCEDES CASTAÑO SANCHEZ</v>
      </c>
      <c r="K267" s="6">
        <f ca="1">IFERROR(__xludf.DUMMYFUNCTION("""COMPUTED_VALUE"""),2)</f>
        <v>2</v>
      </c>
      <c r="L267" s="139">
        <f ca="1">IFERROR(__xludf.DUMMYFUNCTION("""COMPUTED_VALUE"""),3809.09)</f>
        <v>3809.09</v>
      </c>
      <c r="M267" s="6" t="str">
        <f ca="1">IFERROR(__xludf.DUMMYFUNCTION("""COMPUTED_VALUE"""),"01 MARKETING ON LINE")</f>
        <v>01 MARKETING ON LINE</v>
      </c>
      <c r="N267" s="6" t="str">
        <f ca="1">IFERROR(__xludf.DUMMYFUNCTION("""COMPUTED_VALUE"""),"04 AUDIFONO,ES")</f>
        <v>04 AUDIFONO,ES</v>
      </c>
      <c r="O267" s="6" t="str">
        <f ca="1">IFERROR(__xludf.DUMMYFUNCTION("""COMPUTED_VALUE"""),"Dr, Ángel Muñoz Herrera")</f>
        <v>Dr, Ángel Muñoz Herrera</v>
      </c>
      <c r="P267" s="6" t="str">
        <f ca="1">IFERROR(__xludf.DUMMYFUNCTION("""COMPUTED_VALUE"""),"Patricia Solache (Castilla Y León)")</f>
        <v>Patricia Solache (Castilla Y León)</v>
      </c>
    </row>
    <row r="268" spans="2:16">
      <c r="B268" s="6">
        <f ca="1">IFERROR(__xludf.DUMMYFUNCTION("""COMPUTED_VALUE"""),2025)</f>
        <v>2025</v>
      </c>
      <c r="C268" s="6">
        <f ca="1">IFERROR(__xludf.DUMMYFUNCTION("""COMPUTED_VALUE"""),2)</f>
        <v>2</v>
      </c>
      <c r="D268" s="6" t="str">
        <f ca="1">IFERROR(__xludf.DUMMYFUNCTION("""COMPUTED_VALUE"""),"NO")</f>
        <v>NO</v>
      </c>
      <c r="E268" s="6" t="str">
        <f ca="1">IFERROR(__xludf.DUMMYFUNCTION("""COMPUTED_VALUE"""),"Ponferrada")</f>
        <v>Ponferrada</v>
      </c>
      <c r="F268" s="16">
        <f ca="1">IFERROR(__xludf.DUMMYFUNCTION("""COMPUTED_VALUE"""),45695)</f>
        <v>45695</v>
      </c>
      <c r="G268" s="16">
        <f ca="1">IFERROR(__xludf.DUMMYFUNCTION("""COMPUTED_VALUE"""),45496)</f>
        <v>45496</v>
      </c>
      <c r="H268" s="6" t="str">
        <f ca="1">IFERROR(__xludf.DUMMYFUNCTION("""COMPUTED_VALUE"""),"Ponferrada")</f>
        <v>Ponferrada</v>
      </c>
      <c r="I268" s="6" t="str">
        <f ca="1">IFERROR(__xludf.DUMMYFUNCTION("""COMPUTED_VALUE"""),"PON-735")</f>
        <v>PON-735</v>
      </c>
      <c r="J268" s="6" t="str">
        <f ca="1">IFERROR(__xludf.DUMMYFUNCTION("""COMPUTED_VALUE"""),"ANGELINA DEL CANO SALAN")</f>
        <v>ANGELINA DEL CANO SALAN</v>
      </c>
      <c r="K268" s="6">
        <f ca="1">IFERROR(__xludf.DUMMYFUNCTION("""COMPUTED_VALUE"""),2)</f>
        <v>2</v>
      </c>
      <c r="L268" s="139">
        <f ca="1">IFERROR(__xludf.DUMMYFUNCTION("""COMPUTED_VALUE"""),3909.09)</f>
        <v>3909.09</v>
      </c>
      <c r="M268" s="6" t="str">
        <f ca="1">IFERROR(__xludf.DUMMYFUNCTION("""COMPUTED_VALUE"""),"03 ORL")</f>
        <v>03 ORL</v>
      </c>
      <c r="N268" s="6" t="str">
        <f ca="1">IFERROR(__xludf.DUMMYFUNCTION("""COMPUTED_VALUE"""),"06 ORL")</f>
        <v>06 ORL</v>
      </c>
      <c r="O268" s="6" t="str">
        <f ca="1">IFERROR(__xludf.DUMMYFUNCTION("""COMPUTED_VALUE"""),"Dra, Xenia Mota Rojas")</f>
        <v>Dra, Xenia Mota Rojas</v>
      </c>
      <c r="P268" s="6" t="str">
        <f ca="1">IFERROR(__xludf.DUMMYFUNCTION("""COMPUTED_VALUE"""),"Patricia Solache (Castilla Y León)")</f>
        <v>Patricia Solache (Castilla Y León)</v>
      </c>
    </row>
    <row r="269" spans="2:16">
      <c r="B269" s="6">
        <f ca="1">IFERROR(__xludf.DUMMYFUNCTION("""COMPUTED_VALUE"""),2025)</f>
        <v>2025</v>
      </c>
      <c r="C269" s="6">
        <f ca="1">IFERROR(__xludf.DUMMYFUNCTION("""COMPUTED_VALUE"""),2)</f>
        <v>2</v>
      </c>
      <c r="D269" s="6" t="str">
        <f ca="1">IFERROR(__xludf.DUMMYFUNCTION("""COMPUTED_VALUE"""),"NO")</f>
        <v>NO</v>
      </c>
      <c r="E269" s="6" t="str">
        <f ca="1">IFERROR(__xludf.DUMMYFUNCTION("""COMPUTED_VALUE"""),"Salamanca")</f>
        <v>Salamanca</v>
      </c>
      <c r="F269" s="16">
        <f ca="1">IFERROR(__xludf.DUMMYFUNCTION("""COMPUTED_VALUE"""),45698)</f>
        <v>45698</v>
      </c>
      <c r="G269" s="16">
        <f ca="1">IFERROR(__xludf.DUMMYFUNCTION("""COMPUTED_VALUE"""),45534)</f>
        <v>45534</v>
      </c>
      <c r="H269" s="6" t="str">
        <f ca="1">IFERROR(__xludf.DUMMYFUNCTION("""COMPUTED_VALUE"""),"Salamanca")</f>
        <v>Salamanca</v>
      </c>
      <c r="I269" s="6" t="str">
        <f ca="1">IFERROR(__xludf.DUMMYFUNCTION("""COMPUTED_VALUE"""),"SLM-352")</f>
        <v>SLM-352</v>
      </c>
      <c r="J269" s="6" t="str">
        <f ca="1">IFERROR(__xludf.DUMMYFUNCTION("""COMPUTED_VALUE"""),"CESAR RUBIO PRIETO")</f>
        <v>CESAR RUBIO PRIETO</v>
      </c>
      <c r="K269" s="6">
        <f ca="1">IFERROR(__xludf.DUMMYFUNCTION("""COMPUTED_VALUE"""),2)</f>
        <v>2</v>
      </c>
      <c r="L269" s="139">
        <f ca="1">IFERROR(__xludf.DUMMYFUNCTION("""COMPUTED_VALUE"""),2780.91)</f>
        <v>2780.91</v>
      </c>
      <c r="M269" s="6" t="str">
        <f ca="1">IFERROR(__xludf.DUMMYFUNCTION("""COMPUTED_VALUE"""),"03 ORL")</f>
        <v>03 ORL</v>
      </c>
      <c r="N269" s="6" t="str">
        <f ca="1">IFERROR(__xludf.DUMMYFUNCTION("""COMPUTED_VALUE"""),"06 ORL")</f>
        <v>06 ORL</v>
      </c>
      <c r="O269" s="6" t="str">
        <f ca="1">IFERROR(__xludf.DUMMYFUNCTION("""COMPUTED_VALUE"""),"No Recuerda Orl")</f>
        <v>No Recuerda Orl</v>
      </c>
      <c r="P269" s="6" t="str">
        <f ca="1">IFERROR(__xludf.DUMMYFUNCTION("""COMPUTED_VALUE"""),"Patricia Solache (Castilla Y León)")</f>
        <v>Patricia Solache (Castilla Y León)</v>
      </c>
    </row>
    <row r="270" spans="2:16">
      <c r="B270" s="6">
        <f ca="1">IFERROR(__xludf.DUMMYFUNCTION("""COMPUTED_VALUE"""),2025)</f>
        <v>2025</v>
      </c>
      <c r="C270" s="6">
        <f ca="1">IFERROR(__xludf.DUMMYFUNCTION("""COMPUTED_VALUE"""),2)</f>
        <v>2</v>
      </c>
      <c r="D270" s="6" t="str">
        <f ca="1">IFERROR(__xludf.DUMMYFUNCTION("""COMPUTED_VALUE"""),"NO")</f>
        <v>NO</v>
      </c>
      <c r="E270" s="6" t="str">
        <f ca="1">IFERROR(__xludf.DUMMYFUNCTION("""COMPUTED_VALUE"""),"Vigo")</f>
        <v>Vigo</v>
      </c>
      <c r="F270" s="16">
        <f ca="1">IFERROR(__xludf.DUMMYFUNCTION("""COMPUTED_VALUE"""),45698)</f>
        <v>45698</v>
      </c>
      <c r="G270" s="16">
        <f ca="1">IFERROR(__xludf.DUMMYFUNCTION("""COMPUTED_VALUE"""),45650)</f>
        <v>45650</v>
      </c>
      <c r="H270" s="6" t="str">
        <f ca="1">IFERROR(__xludf.DUMMYFUNCTION("""COMPUTED_VALUE"""),"Vigo")</f>
        <v>Vigo</v>
      </c>
      <c r="I270" s="6" t="str">
        <f ca="1">IFERROR(__xludf.DUMMYFUNCTION("""COMPUTED_VALUE"""),"VIG-523")</f>
        <v>VIG-523</v>
      </c>
      <c r="J270" s="6" t="str">
        <f ca="1">IFERROR(__xludf.DUMMYFUNCTION("""COMPUTED_VALUE"""),"FLORENCIO GONALEZ GONZALEZ")</f>
        <v>FLORENCIO GONALEZ GONZALEZ</v>
      </c>
      <c r="K270" s="6">
        <f ca="1">IFERROR(__xludf.DUMMYFUNCTION("""COMPUTED_VALUE"""),2)</f>
        <v>2</v>
      </c>
      <c r="L270" s="139">
        <f ca="1">IFERROR(__xludf.DUMMYFUNCTION("""COMPUTED_VALUE"""),3454.55)</f>
        <v>3454.55</v>
      </c>
      <c r="M270" s="6" t="str">
        <f ca="1">IFERROR(__xludf.DUMMYFUNCTION("""COMPUTED_VALUE"""),"03 ORL")</f>
        <v>03 ORL</v>
      </c>
      <c r="N270" s="6" t="str">
        <f ca="1">IFERROR(__xludf.DUMMYFUNCTION("""COMPUTED_VALUE"""),"06 ORL")</f>
        <v>06 ORL</v>
      </c>
      <c r="O270" s="6" t="str">
        <f ca="1">IFERROR(__xludf.DUMMYFUNCTION("""COMPUTED_VALUE"""),"Dra, Adela Pérez-Caro Ríos")</f>
        <v>Dra, Adela Pérez-Caro Ríos</v>
      </c>
      <c r="P270" s="6" t="str">
        <f ca="1">IFERROR(__xludf.DUMMYFUNCTION("""COMPUTED_VALUE"""),"Roberto Pereira (Galicia)")</f>
        <v>Roberto Pereira (Galicia)</v>
      </c>
    </row>
    <row r="271" spans="2:16">
      <c r="B271" s="6">
        <f ca="1">IFERROR(__xludf.DUMMYFUNCTION("""COMPUTED_VALUE"""),2025)</f>
        <v>2025</v>
      </c>
      <c r="C271" s="6">
        <f ca="1">IFERROR(__xludf.DUMMYFUNCTION("""COMPUTED_VALUE"""),2)</f>
        <v>2</v>
      </c>
      <c r="D271" s="6" t="str">
        <f ca="1">IFERROR(__xludf.DUMMYFUNCTION("""COMPUTED_VALUE"""),"NO")</f>
        <v>NO</v>
      </c>
      <c r="E271" s="6" t="str">
        <f ca="1">IFERROR(__xludf.DUMMYFUNCTION("""COMPUTED_VALUE"""),"Valladolid")</f>
        <v>Valladolid</v>
      </c>
      <c r="F271" s="16">
        <f ca="1">IFERROR(__xludf.DUMMYFUNCTION("""COMPUTED_VALUE"""),45698)</f>
        <v>45698</v>
      </c>
      <c r="G271" s="16">
        <f ca="1">IFERROR(__xludf.DUMMYFUNCTION("""COMPUTED_VALUE"""),45652)</f>
        <v>45652</v>
      </c>
      <c r="H271" s="6" t="str">
        <f ca="1">IFERROR(__xludf.DUMMYFUNCTION("""COMPUTED_VALUE"""),"Valladolid")</f>
        <v>Valladolid</v>
      </c>
      <c r="I271" s="6" t="str">
        <f ca="1">IFERROR(__xludf.DUMMYFUNCTION("""COMPUTED_VALUE"""),"VLL-310")</f>
        <v>VLL-310</v>
      </c>
      <c r="J271" s="6" t="str">
        <f ca="1">IFERROR(__xludf.DUMMYFUNCTION("""COMPUTED_VALUE"""),"ISIDRO HERNANZ LOZOYA")</f>
        <v>ISIDRO HERNANZ LOZOYA</v>
      </c>
      <c r="K271" s="6">
        <f ca="1">IFERROR(__xludf.DUMMYFUNCTION("""COMPUTED_VALUE"""),2)</f>
        <v>2</v>
      </c>
      <c r="L271" s="139">
        <f ca="1">IFERROR(__xludf.DUMMYFUNCTION("""COMPUTED_VALUE"""),3881.31)</f>
        <v>3881.31</v>
      </c>
      <c r="M271" s="6" t="str">
        <f ca="1">IFERROR(__xludf.DUMMYFUNCTION("""COMPUTED_VALUE"""),"03 ORL")</f>
        <v>03 ORL</v>
      </c>
      <c r="N271" s="6" t="str">
        <f ca="1">IFERROR(__xludf.DUMMYFUNCTION("""COMPUTED_VALUE"""),"06 ORL")</f>
        <v>06 ORL</v>
      </c>
      <c r="O271" s="6" t="str">
        <f ca="1">IFERROR(__xludf.DUMMYFUNCTION("""COMPUTED_VALUE"""),"Dr, Jesús Eduardo Ramírez Salas")</f>
        <v>Dr, Jesús Eduardo Ramírez Salas</v>
      </c>
      <c r="P271" s="6" t="str">
        <f ca="1">IFERROR(__xludf.DUMMYFUNCTION("""COMPUTED_VALUE"""),"Patricia Solache (Castilla Y León)")</f>
        <v>Patricia Solache (Castilla Y León)</v>
      </c>
    </row>
    <row r="272" spans="2:16">
      <c r="B272" s="6">
        <f ca="1">IFERROR(__xludf.DUMMYFUNCTION("""COMPUTED_VALUE"""),2025)</f>
        <v>2025</v>
      </c>
      <c r="C272" s="6">
        <f ca="1">IFERROR(__xludf.DUMMYFUNCTION("""COMPUTED_VALUE"""),2)</f>
        <v>2</v>
      </c>
      <c r="D272" s="6" t="str">
        <f ca="1">IFERROR(__xludf.DUMMYFUNCTION("""COMPUTED_VALUE"""),"NO")</f>
        <v>NO</v>
      </c>
      <c r="E272" s="6" t="str">
        <f ca="1">IFERROR(__xludf.DUMMYFUNCTION("""COMPUTED_VALUE"""),"Salamanca")</f>
        <v>Salamanca</v>
      </c>
      <c r="F272" s="16">
        <f ca="1">IFERROR(__xludf.DUMMYFUNCTION("""COMPUTED_VALUE"""),45699)</f>
        <v>45699</v>
      </c>
      <c r="G272" s="16">
        <f ca="1">IFERROR(__xludf.DUMMYFUNCTION("""COMPUTED_VALUE"""),45615)</f>
        <v>45615</v>
      </c>
      <c r="H272" s="6" t="str">
        <f ca="1">IFERROR(__xludf.DUMMYFUNCTION("""COMPUTED_VALUE"""),"Salamanca")</f>
        <v>Salamanca</v>
      </c>
      <c r="I272" s="6" t="str">
        <f ca="1">IFERROR(__xludf.DUMMYFUNCTION("""COMPUTED_VALUE"""),"SLM-406")</f>
        <v>SLM-406</v>
      </c>
      <c r="J272" s="6" t="str">
        <f ca="1">IFERROR(__xludf.DUMMYFUNCTION("""COMPUTED_VALUE"""),"PILAR GOMEZ-MALAGA SANCHEZ")</f>
        <v>PILAR GOMEZ-MALAGA SANCHEZ</v>
      </c>
      <c r="K272" s="6">
        <f ca="1">IFERROR(__xludf.DUMMYFUNCTION("""COMPUTED_VALUE"""),2)</f>
        <v>2</v>
      </c>
      <c r="L272" s="139">
        <f ca="1">IFERROR(__xludf.DUMMYFUNCTION("""COMPUTED_VALUE"""),3604.55)</f>
        <v>3604.55</v>
      </c>
      <c r="M272" s="6" t="str">
        <f ca="1">IFERROR(__xludf.DUMMYFUNCTION("""COMPUTED_VALUE"""),"03 ORL")</f>
        <v>03 ORL</v>
      </c>
      <c r="N272" s="6" t="str">
        <f ca="1">IFERROR(__xludf.DUMMYFUNCTION("""COMPUTED_VALUE"""),"06 ORL")</f>
        <v>06 ORL</v>
      </c>
      <c r="O272" s="6" t="str">
        <f ca="1">IFERROR(__xludf.DUMMYFUNCTION("""COMPUTED_VALUE"""),"Dr, Ángel Muñoz Herrera")</f>
        <v>Dr, Ángel Muñoz Herrera</v>
      </c>
      <c r="P272" s="6" t="str">
        <f ca="1">IFERROR(__xludf.DUMMYFUNCTION("""COMPUTED_VALUE"""),"Patricia Solache (Castilla Y León)")</f>
        <v>Patricia Solache (Castilla Y León)</v>
      </c>
    </row>
    <row r="273" spans="2:16">
      <c r="B273" s="6">
        <f ca="1">IFERROR(__xludf.DUMMYFUNCTION("""COMPUTED_VALUE"""),2025)</f>
        <v>2025</v>
      </c>
      <c r="C273" s="6">
        <f ca="1">IFERROR(__xludf.DUMMYFUNCTION("""COMPUTED_VALUE"""),2)</f>
        <v>2</v>
      </c>
      <c r="D273" s="6" t="str">
        <f ca="1">IFERROR(__xludf.DUMMYFUNCTION("""COMPUTED_VALUE"""),"NO")</f>
        <v>NO</v>
      </c>
      <c r="E273" s="6" t="str">
        <f ca="1">IFERROR(__xludf.DUMMYFUNCTION("""COMPUTED_VALUE"""),"Valladolid")</f>
        <v>Valladolid</v>
      </c>
      <c r="F273" s="16">
        <f ca="1">IFERROR(__xludf.DUMMYFUNCTION("""COMPUTED_VALUE"""),45699)</f>
        <v>45699</v>
      </c>
      <c r="G273" s="16">
        <f ca="1">IFERROR(__xludf.DUMMYFUNCTION("""COMPUTED_VALUE"""),45624)</f>
        <v>45624</v>
      </c>
      <c r="H273" s="6" t="str">
        <f ca="1">IFERROR(__xludf.DUMMYFUNCTION("""COMPUTED_VALUE"""),"Valladolid")</f>
        <v>Valladolid</v>
      </c>
      <c r="I273" s="6" t="str">
        <f ca="1">IFERROR(__xludf.DUMMYFUNCTION("""COMPUTED_VALUE"""),"VLL-300")</f>
        <v>VLL-300</v>
      </c>
      <c r="J273" s="6" t="str">
        <f ca="1">IFERROR(__xludf.DUMMYFUNCTION("""COMPUTED_VALUE"""),"JULIA ARROYO GONZALEZ")</f>
        <v>JULIA ARROYO GONZALEZ</v>
      </c>
      <c r="K273" s="6">
        <f ca="1">IFERROR(__xludf.DUMMYFUNCTION("""COMPUTED_VALUE"""),1)</f>
        <v>1</v>
      </c>
      <c r="L273" s="139">
        <f ca="1">IFERROR(__xludf.DUMMYFUNCTION("""COMPUTED_VALUE"""),1988.64)</f>
        <v>1988.64</v>
      </c>
      <c r="M273" s="6" t="str">
        <f ca="1">IFERROR(__xludf.DUMMYFUNCTION("""COMPUTED_VALUE"""),"03 ORL")</f>
        <v>03 ORL</v>
      </c>
      <c r="N273" s="6" t="str">
        <f ca="1">IFERROR(__xludf.DUMMYFUNCTION("""COMPUTED_VALUE"""),"06 ORL")</f>
        <v>06 ORL</v>
      </c>
      <c r="O273" s="6" t="str">
        <f ca="1">IFERROR(__xludf.DUMMYFUNCTION("""COMPUTED_VALUE"""),"Dra, Marina Madrigal Revuelta")</f>
        <v>Dra, Marina Madrigal Revuelta</v>
      </c>
      <c r="P273" s="6" t="str">
        <f ca="1">IFERROR(__xludf.DUMMYFUNCTION("""COMPUTED_VALUE"""),"Patricia Solache (Castilla Y León)")</f>
        <v>Patricia Solache (Castilla Y León)</v>
      </c>
    </row>
    <row r="274" spans="2:16">
      <c r="B274" s="6">
        <f ca="1">IFERROR(__xludf.DUMMYFUNCTION("""COMPUTED_VALUE"""),2025)</f>
        <v>2025</v>
      </c>
      <c r="C274" s="6">
        <f ca="1">IFERROR(__xludf.DUMMYFUNCTION("""COMPUTED_VALUE"""),2)</f>
        <v>2</v>
      </c>
      <c r="D274" s="6" t="str">
        <f ca="1">IFERROR(__xludf.DUMMYFUNCTION("""COMPUTED_VALUE"""),"NO")</f>
        <v>NO</v>
      </c>
      <c r="E274" s="6" t="str">
        <f ca="1">IFERROR(__xludf.DUMMYFUNCTION("""COMPUTED_VALUE"""),"O Barco")</f>
        <v>O Barco</v>
      </c>
      <c r="F274" s="16">
        <f ca="1">IFERROR(__xludf.DUMMYFUNCTION("""COMPUTED_VALUE"""),45700)</f>
        <v>45700</v>
      </c>
      <c r="G274" s="16">
        <f ca="1">IFERROR(__xludf.DUMMYFUNCTION("""COMPUTED_VALUE"""),45636)</f>
        <v>45636</v>
      </c>
      <c r="H274" s="6" t="str">
        <f ca="1">IFERROR(__xludf.DUMMYFUNCTION("""COMPUTED_VALUE"""),"O Barco")</f>
        <v>O Barco</v>
      </c>
      <c r="I274" s="6" t="str">
        <f ca="1">IFERROR(__xludf.DUMMYFUNCTION("""COMPUTED_VALUE"""),"OBR-43")</f>
        <v>OBR-43</v>
      </c>
      <c r="J274" s="6" t="str">
        <f ca="1">IFERROR(__xludf.DUMMYFUNCTION("""COMPUTED_VALUE"""),"DOMINGA FERREIRO FERREIRO")</f>
        <v>DOMINGA FERREIRO FERREIRO</v>
      </c>
      <c r="K274" s="6">
        <f ca="1">IFERROR(__xludf.DUMMYFUNCTION("""COMPUTED_VALUE"""),2)</f>
        <v>2</v>
      </c>
      <c r="L274" s="139">
        <f ca="1">IFERROR(__xludf.DUMMYFUNCTION("""COMPUTED_VALUE"""),3909.09)</f>
        <v>3909.09</v>
      </c>
      <c r="M274" s="6" t="str">
        <f ca="1">IFERROR(__xludf.DUMMYFUNCTION("""COMPUTED_VALUE"""),"03 ORL")</f>
        <v>03 ORL</v>
      </c>
      <c r="N274" s="6" t="str">
        <f ca="1">IFERROR(__xludf.DUMMYFUNCTION("""COMPUTED_VALUE"""),"06 ORL")</f>
        <v>06 ORL</v>
      </c>
      <c r="O274" s="6" t="str">
        <f ca="1">IFERROR(__xludf.DUMMYFUNCTION("""COMPUTED_VALUE"""),"Dra, Diana Lysbeth Lourido Piedrahita")</f>
        <v>Dra, Diana Lysbeth Lourido Piedrahita</v>
      </c>
      <c r="P274" s="6" t="str">
        <f ca="1">IFERROR(__xludf.DUMMYFUNCTION("""COMPUTED_VALUE"""),"Patricia Solache (Castilla Y León)")</f>
        <v>Patricia Solache (Castilla Y León)</v>
      </c>
    </row>
    <row r="275" spans="2:16">
      <c r="B275" s="6">
        <f ca="1">IFERROR(__xludf.DUMMYFUNCTION("""COMPUTED_VALUE"""),2025)</f>
        <v>2025</v>
      </c>
      <c r="C275" s="6">
        <f ca="1">IFERROR(__xludf.DUMMYFUNCTION("""COMPUTED_VALUE"""),2)</f>
        <v>2</v>
      </c>
      <c r="D275" s="6" t="str">
        <f ca="1">IFERROR(__xludf.DUMMYFUNCTION("""COMPUTED_VALUE"""),"NO")</f>
        <v>NO</v>
      </c>
      <c r="E275" s="6" t="str">
        <f ca="1">IFERROR(__xludf.DUMMYFUNCTION("""COMPUTED_VALUE"""),"Salamanca")</f>
        <v>Salamanca</v>
      </c>
      <c r="F275" s="16">
        <f ca="1">IFERROR(__xludf.DUMMYFUNCTION("""COMPUTED_VALUE"""),45700)</f>
        <v>45700</v>
      </c>
      <c r="G275" s="16">
        <f ca="1">IFERROR(__xludf.DUMMYFUNCTION("""COMPUTED_VALUE"""),45637)</f>
        <v>45637</v>
      </c>
      <c r="H275" s="6" t="str">
        <f ca="1">IFERROR(__xludf.DUMMYFUNCTION("""COMPUTED_VALUE"""),"Salamanca")</f>
        <v>Salamanca</v>
      </c>
      <c r="I275" s="6" t="str">
        <f ca="1">IFERROR(__xludf.DUMMYFUNCTION("""COMPUTED_VALUE"""),"SLM-421")</f>
        <v>SLM-421</v>
      </c>
      <c r="J275" s="6" t="str">
        <f ca="1">IFERROR(__xludf.DUMMYFUNCTION("""COMPUTED_VALUE"""),"SERAFINA BENITO PUENTES")</f>
        <v>SERAFINA BENITO PUENTES</v>
      </c>
      <c r="K275" s="6">
        <f ca="1">IFERROR(__xludf.DUMMYFUNCTION("""COMPUTED_VALUE"""),2)</f>
        <v>2</v>
      </c>
      <c r="L275" s="139">
        <f ca="1">IFERROR(__xludf.DUMMYFUNCTION("""COMPUTED_VALUE"""),3604.55)</f>
        <v>3604.55</v>
      </c>
      <c r="M275" s="6" t="str">
        <f ca="1">IFERROR(__xludf.DUMMYFUNCTION("""COMPUTED_VALUE"""),"03 ORL")</f>
        <v>03 ORL</v>
      </c>
      <c r="N275" s="6" t="str">
        <f ca="1">IFERROR(__xludf.DUMMYFUNCTION("""COMPUTED_VALUE"""),"06 ORL")</f>
        <v>06 ORL</v>
      </c>
      <c r="O275" s="6" t="str">
        <f ca="1">IFERROR(__xludf.DUMMYFUNCTION("""COMPUTED_VALUE"""),"Dr, María Jesús Cornejo Domínguez")</f>
        <v>Dr, María Jesús Cornejo Domínguez</v>
      </c>
      <c r="P275" s="6" t="str">
        <f ca="1">IFERROR(__xludf.DUMMYFUNCTION("""COMPUTED_VALUE"""),"Patricia Solache (Castilla Y León)")</f>
        <v>Patricia Solache (Castilla Y León)</v>
      </c>
    </row>
    <row r="276" spans="2:16">
      <c r="B276" s="6">
        <f ca="1">IFERROR(__xludf.DUMMYFUNCTION("""COMPUTED_VALUE"""),2025)</f>
        <v>2025</v>
      </c>
      <c r="C276" s="6">
        <f ca="1">IFERROR(__xludf.DUMMYFUNCTION("""COMPUTED_VALUE"""),2)</f>
        <v>2</v>
      </c>
      <c r="D276" s="6" t="str">
        <f ca="1">IFERROR(__xludf.DUMMYFUNCTION("""COMPUTED_VALUE"""),"NO")</f>
        <v>NO</v>
      </c>
      <c r="E276" s="6" t="str">
        <f ca="1">IFERROR(__xludf.DUMMYFUNCTION("""COMPUTED_VALUE"""),"Cáceres")</f>
        <v>Cáceres</v>
      </c>
      <c r="F276" s="16">
        <f ca="1">IFERROR(__xludf.DUMMYFUNCTION("""COMPUTED_VALUE"""),45700)</f>
        <v>45700</v>
      </c>
      <c r="G276" s="16">
        <f ca="1">IFERROR(__xludf.DUMMYFUNCTION("""COMPUTED_VALUE"""),45643)</f>
        <v>45643</v>
      </c>
      <c r="H276" s="6" t="str">
        <f ca="1">IFERROR(__xludf.DUMMYFUNCTION("""COMPUTED_VALUE"""),"Cáceres")</f>
        <v>Cáceres</v>
      </c>
      <c r="I276" s="6" t="str">
        <f ca="1">IFERROR(__xludf.DUMMYFUNCTION("""COMPUTED_VALUE"""),"CAC-211")</f>
        <v>CAC-211</v>
      </c>
      <c r="J276" s="6" t="str">
        <f ca="1">IFERROR(__xludf.DUMMYFUNCTION("""COMPUTED_VALUE"""),"VICENTE CORCHADO FLORIANO")</f>
        <v>VICENTE CORCHADO FLORIANO</v>
      </c>
      <c r="K276" s="6">
        <f ca="1">IFERROR(__xludf.DUMMYFUNCTION("""COMPUTED_VALUE"""),2)</f>
        <v>2</v>
      </c>
      <c r="L276" s="139">
        <f ca="1">IFERROR(__xludf.DUMMYFUNCTION("""COMPUTED_VALUE"""),3970.91)</f>
        <v>3970.91</v>
      </c>
      <c r="M276" s="6" t="str">
        <f ca="1">IFERROR(__xludf.DUMMYFUNCTION("""COMPUTED_VALUE"""),"03 ORL")</f>
        <v>03 ORL</v>
      </c>
      <c r="N276" s="6" t="str">
        <f ca="1">IFERROR(__xludf.DUMMYFUNCTION("""COMPUTED_VALUE"""),"06 ORL")</f>
        <v>06 ORL</v>
      </c>
      <c r="O276" s="6" t="str">
        <f ca="1">IFERROR(__xludf.DUMMYFUNCTION("""COMPUTED_VALUE"""),"Dra, Daniela Carolina Laguado Bulgheroni")</f>
        <v>Dra, Daniela Carolina Laguado Bulgheroni</v>
      </c>
      <c r="P276" s="6" t="str">
        <f ca="1">IFERROR(__xludf.DUMMYFUNCTION("""COMPUTED_VALUE"""),"Lisandro Russian (Madrid, Cáceres, Toledo, Talavera Y Logroño)")</f>
        <v>Lisandro Russian (Madrid, Cáceres, Toledo, Talavera Y Logroño)</v>
      </c>
    </row>
    <row r="277" spans="2:16">
      <c r="B277" s="6">
        <f ca="1">IFERROR(__xludf.DUMMYFUNCTION("""COMPUTED_VALUE"""),2025)</f>
        <v>2025</v>
      </c>
      <c r="C277" s="6">
        <f ca="1">IFERROR(__xludf.DUMMYFUNCTION("""COMPUTED_VALUE"""),2)</f>
        <v>2</v>
      </c>
      <c r="D277" s="6" t="str">
        <f ca="1">IFERROR(__xludf.DUMMYFUNCTION("""COMPUTED_VALUE"""),"NO")</f>
        <v>NO</v>
      </c>
      <c r="E277" s="6" t="str">
        <f ca="1">IFERROR(__xludf.DUMMYFUNCTION("""COMPUTED_VALUE"""),"Cáceres")</f>
        <v>Cáceres</v>
      </c>
      <c r="F277" s="16">
        <f ca="1">IFERROR(__xludf.DUMMYFUNCTION("""COMPUTED_VALUE"""),45700)</f>
        <v>45700</v>
      </c>
      <c r="G277" s="16">
        <f ca="1">IFERROR(__xludf.DUMMYFUNCTION("""COMPUTED_VALUE"""),45657)</f>
        <v>45657</v>
      </c>
      <c r="H277" s="6" t="str">
        <f ca="1">IFERROR(__xludf.DUMMYFUNCTION("""COMPUTED_VALUE"""),"Cáceres")</f>
        <v>Cáceres</v>
      </c>
      <c r="I277" s="6" t="str">
        <f ca="1">IFERROR(__xludf.DUMMYFUNCTION("""COMPUTED_VALUE"""),"CAC-220")</f>
        <v>CAC-220</v>
      </c>
      <c r="J277" s="6" t="str">
        <f ca="1">IFERROR(__xludf.DUMMYFUNCTION("""COMPUTED_VALUE"""),"MARTIN ARROYO MOLANO")</f>
        <v>MARTIN ARROYO MOLANO</v>
      </c>
      <c r="K277" s="6">
        <f ca="1">IFERROR(__xludf.DUMMYFUNCTION("""COMPUTED_VALUE"""),2)</f>
        <v>2</v>
      </c>
      <c r="L277" s="139">
        <f ca="1">IFERROR(__xludf.DUMMYFUNCTION("""COMPUTED_VALUE"""),3090.91)</f>
        <v>3090.91</v>
      </c>
      <c r="M277" s="6" t="str">
        <f ca="1">IFERROR(__xludf.DUMMYFUNCTION("""COMPUTED_VALUE"""),"03 ORL")</f>
        <v>03 ORL</v>
      </c>
      <c r="N277" s="6" t="str">
        <f ca="1">IFERROR(__xludf.DUMMYFUNCTION("""COMPUTED_VALUE"""),"06 ORL")</f>
        <v>06 ORL</v>
      </c>
      <c r="O277" s="6" t="str">
        <f ca="1">IFERROR(__xludf.DUMMYFUNCTION("""COMPUTED_VALUE"""),"Dr, Manuel Cañete Domínguez")</f>
        <v>Dr, Manuel Cañete Domínguez</v>
      </c>
      <c r="P277" s="6" t="str">
        <f ca="1">IFERROR(__xludf.DUMMYFUNCTION("""COMPUTED_VALUE"""),"Lisandro Russian (Madrid, Cáceres, Toledo, Talavera Y Logroño)")</f>
        <v>Lisandro Russian (Madrid, Cáceres, Toledo, Talavera Y Logroño)</v>
      </c>
    </row>
    <row r="278" spans="2:16">
      <c r="B278" s="6">
        <f ca="1">IFERROR(__xludf.DUMMYFUNCTION("""COMPUTED_VALUE"""),2025)</f>
        <v>2025</v>
      </c>
      <c r="C278" s="6">
        <f ca="1">IFERROR(__xludf.DUMMYFUNCTION("""COMPUTED_VALUE"""),2)</f>
        <v>2</v>
      </c>
      <c r="D278" s="6" t="str">
        <f ca="1">IFERROR(__xludf.DUMMYFUNCTION("""COMPUTED_VALUE"""),"NO")</f>
        <v>NO</v>
      </c>
      <c r="E278" s="6" t="str">
        <f ca="1">IFERROR(__xludf.DUMMYFUNCTION("""COMPUTED_VALUE"""),"Boiro")</f>
        <v>Boiro</v>
      </c>
      <c r="F278" s="16">
        <f ca="1">IFERROR(__xludf.DUMMYFUNCTION("""COMPUTED_VALUE"""),45700)</f>
        <v>45700</v>
      </c>
      <c r="G278" s="16">
        <f ca="1">IFERROR(__xludf.DUMMYFUNCTION("""COMPUTED_VALUE"""),45685)</f>
        <v>45685</v>
      </c>
      <c r="H278" s="6" t="str">
        <f ca="1">IFERROR(__xludf.DUMMYFUNCTION("""COMPUTED_VALUE"""),"Boiro")</f>
        <v>Boiro</v>
      </c>
      <c r="I278" s="6" t="str">
        <f ca="1">IFERROR(__xludf.DUMMYFUNCTION("""COMPUTED_VALUE"""),"BOI-929")</f>
        <v>BOI-929</v>
      </c>
      <c r="J278" s="6" t="str">
        <f ca="1">IFERROR(__xludf.DUMMYFUNCTION("""COMPUTED_VALUE"""),"ROSA MARIA REGO HERMO")</f>
        <v>ROSA MARIA REGO HERMO</v>
      </c>
      <c r="K278" s="6">
        <f ca="1">IFERROR(__xludf.DUMMYFUNCTION("""COMPUTED_VALUE"""),2)</f>
        <v>2</v>
      </c>
      <c r="L278" s="139">
        <f ca="1">IFERROR(__xludf.DUMMYFUNCTION("""COMPUTED_VALUE"""),2909.09)</f>
        <v>2909.09</v>
      </c>
      <c r="M278" s="6" t="str">
        <f ca="1">IFERROR(__xludf.DUMMYFUNCTION("""COMPUTED_VALUE"""),"03 ORL")</f>
        <v>03 ORL</v>
      </c>
      <c r="N278" s="6" t="str">
        <f ca="1">IFERROR(__xludf.DUMMYFUNCTION("""COMPUTED_VALUE"""),"06 ORL")</f>
        <v>06 ORL</v>
      </c>
      <c r="O278" s="6" t="str">
        <f ca="1">IFERROR(__xludf.DUMMYFUNCTION("""COMPUTED_VALUE"""),"Dr, Ernesto Varela Martínez")</f>
        <v>Dr, Ernesto Varela Martínez</v>
      </c>
      <c r="P278" s="6" t="str">
        <f ca="1">IFERROR(__xludf.DUMMYFUNCTION("""COMPUTED_VALUE"""),"Roberto Pereira (Galicia)")</f>
        <v>Roberto Pereira (Galicia)</v>
      </c>
    </row>
    <row r="279" spans="2:16">
      <c r="B279" s="6">
        <f ca="1">IFERROR(__xludf.DUMMYFUNCTION("""COMPUTED_VALUE"""),2025)</f>
        <v>2025</v>
      </c>
      <c r="C279" s="6">
        <f ca="1">IFERROR(__xludf.DUMMYFUNCTION("""COMPUTED_VALUE"""),2)</f>
        <v>2</v>
      </c>
      <c r="D279" s="6" t="str">
        <f ca="1">IFERROR(__xludf.DUMMYFUNCTION("""COMPUTED_VALUE"""),"NO")</f>
        <v>NO</v>
      </c>
      <c r="E279" s="6" t="str">
        <f ca="1">IFERROR(__xludf.DUMMYFUNCTION("""COMPUTED_VALUE"""),"Boiro")</f>
        <v>Boiro</v>
      </c>
      <c r="F279" s="16">
        <f ca="1">IFERROR(__xludf.DUMMYFUNCTION("""COMPUTED_VALUE"""),45700)</f>
        <v>45700</v>
      </c>
      <c r="G279" s="16">
        <f ca="1">IFERROR(__xludf.DUMMYFUNCTION("""COMPUTED_VALUE"""),45688)</f>
        <v>45688</v>
      </c>
      <c r="H279" s="6" t="str">
        <f ca="1">IFERROR(__xludf.DUMMYFUNCTION("""COMPUTED_VALUE"""),"Boiro")</f>
        <v>Boiro</v>
      </c>
      <c r="I279" s="6" t="str">
        <f ca="1">IFERROR(__xludf.DUMMYFUNCTION("""COMPUTED_VALUE"""),"BOI-932")</f>
        <v>BOI-932</v>
      </c>
      <c r="J279" s="6" t="str">
        <f ca="1">IFERROR(__xludf.DUMMYFUNCTION("""COMPUTED_VALUE"""),"MANUELA MANEIRO RODRIGUEZ")</f>
        <v>MANUELA MANEIRO RODRIGUEZ</v>
      </c>
      <c r="K279" s="6">
        <f ca="1">IFERROR(__xludf.DUMMYFUNCTION("""COMPUTED_VALUE"""),1)</f>
        <v>1</v>
      </c>
      <c r="L279" s="139">
        <f ca="1">IFERROR(__xludf.DUMMYFUNCTION("""COMPUTED_VALUE"""),1627.27)</f>
        <v>1627.27</v>
      </c>
      <c r="M279" s="6" t="str">
        <f ca="1">IFERROR(__xludf.DUMMYFUNCTION("""COMPUTED_VALUE"""),"03 ORL")</f>
        <v>03 ORL</v>
      </c>
      <c r="N279" s="6" t="str">
        <f ca="1">IFERROR(__xludf.DUMMYFUNCTION("""COMPUTED_VALUE"""),"06 ORL")</f>
        <v>06 ORL</v>
      </c>
      <c r="O279" s="6" t="str">
        <f ca="1">IFERROR(__xludf.DUMMYFUNCTION("""COMPUTED_VALUE"""),"Dr, Ernesto Varela Martínez")</f>
        <v>Dr, Ernesto Varela Martínez</v>
      </c>
      <c r="P279" s="6" t="str">
        <f ca="1">IFERROR(__xludf.DUMMYFUNCTION("""COMPUTED_VALUE"""),"Roberto Pereira (Galicia)")</f>
        <v>Roberto Pereira (Galicia)</v>
      </c>
    </row>
    <row r="280" spans="2:16">
      <c r="B280" s="6">
        <f ca="1">IFERROR(__xludf.DUMMYFUNCTION("""COMPUTED_VALUE"""),2025)</f>
        <v>2025</v>
      </c>
      <c r="C280" s="6">
        <f ca="1">IFERROR(__xludf.DUMMYFUNCTION("""COMPUTED_VALUE"""),2)</f>
        <v>2</v>
      </c>
      <c r="D280" s="6" t="str">
        <f ca="1">IFERROR(__xludf.DUMMYFUNCTION("""COMPUTED_VALUE"""),"NO")</f>
        <v>NO</v>
      </c>
      <c r="E280" s="6" t="str">
        <f ca="1">IFERROR(__xludf.DUMMYFUNCTION("""COMPUTED_VALUE"""),"Salamanca")</f>
        <v>Salamanca</v>
      </c>
      <c r="F280" s="16">
        <f ca="1">IFERROR(__xludf.DUMMYFUNCTION("""COMPUTED_VALUE"""),45705)</f>
        <v>45705</v>
      </c>
      <c r="G280" s="16">
        <f ca="1">IFERROR(__xludf.DUMMYFUNCTION("""COMPUTED_VALUE"""),45665)</f>
        <v>45665</v>
      </c>
      <c r="H280" s="6" t="str">
        <f ca="1">IFERROR(__xludf.DUMMYFUNCTION("""COMPUTED_VALUE"""),"Salamanca")</f>
        <v>Salamanca</v>
      </c>
      <c r="I280" s="6" t="str">
        <f ca="1">IFERROR(__xludf.DUMMYFUNCTION("""COMPUTED_VALUE"""),"SLM-433")</f>
        <v>SLM-433</v>
      </c>
      <c r="J280" s="6" t="str">
        <f ca="1">IFERROR(__xludf.DUMMYFUNCTION("""COMPUTED_VALUE"""),"ANTONIO CORRAL VALLE")</f>
        <v>ANTONIO CORRAL VALLE</v>
      </c>
      <c r="K280" s="6">
        <f ca="1">IFERROR(__xludf.DUMMYFUNCTION("""COMPUTED_VALUE"""),1)</f>
        <v>1</v>
      </c>
      <c r="L280" s="139">
        <f ca="1">IFERROR(__xludf.DUMMYFUNCTION("""COMPUTED_VALUE"""),904.55)</f>
        <v>904.55</v>
      </c>
      <c r="M280" s="6" t="str">
        <f ca="1">IFERROR(__xludf.DUMMYFUNCTION("""COMPUTED_VALUE"""),"03 ORL")</f>
        <v>03 ORL</v>
      </c>
      <c r="N280" s="6" t="str">
        <f ca="1">IFERROR(__xludf.DUMMYFUNCTION("""COMPUTED_VALUE"""),"06 ORL")</f>
        <v>06 ORL</v>
      </c>
      <c r="O280" s="6" t="str">
        <f ca="1">IFERROR(__xludf.DUMMYFUNCTION("""COMPUTED_VALUE"""),"Dr, Pedro Blanco Pérez,")</f>
        <v>Dr, Pedro Blanco Pérez,</v>
      </c>
      <c r="P280" s="6" t="str">
        <f ca="1">IFERROR(__xludf.DUMMYFUNCTION("""COMPUTED_VALUE"""),"Patricia Solache (Castilla Y León)")</f>
        <v>Patricia Solache (Castilla Y León)</v>
      </c>
    </row>
    <row r="281" spans="2:16">
      <c r="B281" s="6">
        <f ca="1">IFERROR(__xludf.DUMMYFUNCTION("""COMPUTED_VALUE"""),2025)</f>
        <v>2025</v>
      </c>
      <c r="C281" s="6">
        <f ca="1">IFERROR(__xludf.DUMMYFUNCTION("""COMPUTED_VALUE"""),2)</f>
        <v>2</v>
      </c>
      <c r="D281" s="6" t="str">
        <f ca="1">IFERROR(__xludf.DUMMYFUNCTION("""COMPUTED_VALUE"""),"NO")</f>
        <v>NO</v>
      </c>
      <c r="E281" s="6" t="str">
        <f ca="1">IFERROR(__xludf.DUMMYFUNCTION("""COMPUTED_VALUE"""),"Valladolid")</f>
        <v>Valladolid</v>
      </c>
      <c r="F281" s="16">
        <f ca="1">IFERROR(__xludf.DUMMYFUNCTION("""COMPUTED_VALUE"""),45706)</f>
        <v>45706</v>
      </c>
      <c r="G281" s="16">
        <f ca="1">IFERROR(__xludf.DUMMYFUNCTION("""COMPUTED_VALUE"""),45610)</f>
        <v>45610</v>
      </c>
      <c r="H281" s="6" t="str">
        <f ca="1">IFERROR(__xludf.DUMMYFUNCTION("""COMPUTED_VALUE"""),"Valladolid")</f>
        <v>Valladolid</v>
      </c>
      <c r="I281" s="6" t="str">
        <f ca="1">IFERROR(__xludf.DUMMYFUNCTION("""COMPUTED_VALUE"""),"VLL-294")</f>
        <v>VLL-294</v>
      </c>
      <c r="J281" s="6" t="str">
        <f ca="1">IFERROR(__xludf.DUMMYFUNCTION("""COMPUTED_VALUE"""),"AURORA ARCONADA GARCIA")</f>
        <v>AURORA ARCONADA GARCIA</v>
      </c>
      <c r="K281" s="6">
        <f ca="1">IFERROR(__xludf.DUMMYFUNCTION("""COMPUTED_VALUE"""),1)</f>
        <v>1</v>
      </c>
      <c r="L281" s="139">
        <f ca="1">IFERROR(__xludf.DUMMYFUNCTION("""COMPUTED_VALUE"""),2080)</f>
        <v>2080</v>
      </c>
      <c r="M281" s="6" t="str">
        <f ca="1">IFERROR(__xludf.DUMMYFUNCTION("""COMPUTED_VALUE"""),"03 ORL")</f>
        <v>03 ORL</v>
      </c>
      <c r="N281" s="6" t="str">
        <f ca="1">IFERROR(__xludf.DUMMYFUNCTION("""COMPUTED_VALUE"""),"06 ORL")</f>
        <v>06 ORL</v>
      </c>
      <c r="O281" s="6" t="str">
        <f ca="1">IFERROR(__xludf.DUMMYFUNCTION("""COMPUTED_VALUE"""),"Dra, Nuria Mesuro Domínguez")</f>
        <v>Dra, Nuria Mesuro Domínguez</v>
      </c>
      <c r="P281" s="6" t="str">
        <f ca="1">IFERROR(__xludf.DUMMYFUNCTION("""COMPUTED_VALUE"""),"Patricia Solache (Castilla Y León)")</f>
        <v>Patricia Solache (Castilla Y León)</v>
      </c>
    </row>
    <row r="282" spans="2:16">
      <c r="B282" s="6">
        <f ca="1">IFERROR(__xludf.DUMMYFUNCTION("""COMPUTED_VALUE"""),2025)</f>
        <v>2025</v>
      </c>
      <c r="C282" s="6">
        <f ca="1">IFERROR(__xludf.DUMMYFUNCTION("""COMPUTED_VALUE"""),2)</f>
        <v>2</v>
      </c>
      <c r="D282" s="6" t="str">
        <f ca="1">IFERROR(__xludf.DUMMYFUNCTION("""COMPUTED_VALUE"""),"NO")</f>
        <v>NO</v>
      </c>
      <c r="E282" s="6" t="str">
        <f ca="1">IFERROR(__xludf.DUMMYFUNCTION("""COMPUTED_VALUE"""),"Vigo")</f>
        <v>Vigo</v>
      </c>
      <c r="F282" s="16">
        <f ca="1">IFERROR(__xludf.DUMMYFUNCTION("""COMPUTED_VALUE"""),45708)</f>
        <v>45708</v>
      </c>
      <c r="G282" s="16">
        <f ca="1">IFERROR(__xludf.DUMMYFUNCTION("""COMPUTED_VALUE"""),45666)</f>
        <v>45666</v>
      </c>
      <c r="H282" s="6" t="str">
        <f ca="1">IFERROR(__xludf.DUMMYFUNCTION("""COMPUTED_VALUE"""),"Vigo")</f>
        <v>Vigo</v>
      </c>
      <c r="I282" s="6" t="str">
        <f ca="1">IFERROR(__xludf.DUMMYFUNCTION("""COMPUTED_VALUE"""),"VIG-529")</f>
        <v>VIG-529</v>
      </c>
      <c r="J282" s="6" t="str">
        <f ca="1">IFERROR(__xludf.DUMMYFUNCTION("""COMPUTED_VALUE"""),"APOLINARIA MARTINEZ MARQUEZ")</f>
        <v>APOLINARIA MARTINEZ MARQUEZ</v>
      </c>
      <c r="K282" s="6">
        <f ca="1">IFERROR(__xludf.DUMMYFUNCTION("""COMPUTED_VALUE"""),2)</f>
        <v>2</v>
      </c>
      <c r="L282" s="139">
        <f ca="1">IFERROR(__xludf.DUMMYFUNCTION("""COMPUTED_VALUE"""),3000)</f>
        <v>3000</v>
      </c>
      <c r="M282" s="6" t="str">
        <f ca="1">IFERROR(__xludf.DUMMYFUNCTION("""COMPUTED_VALUE"""),"03 ORL")</f>
        <v>03 ORL</v>
      </c>
      <c r="N282" s="6" t="str">
        <f ca="1">IFERROR(__xludf.DUMMYFUNCTION("""COMPUTED_VALUE"""),"06 ORL")</f>
        <v>06 ORL</v>
      </c>
      <c r="O282" s="6" t="str">
        <f ca="1">IFERROR(__xludf.DUMMYFUNCTION("""COMPUTED_VALUE"""),"Dra, María Jesús González Cortes")</f>
        <v>Dra, María Jesús González Cortes</v>
      </c>
      <c r="P282" s="6" t="str">
        <f ca="1">IFERROR(__xludf.DUMMYFUNCTION("""COMPUTED_VALUE"""),"Roberto Pereira (Galicia)")</f>
        <v>Roberto Pereira (Galicia)</v>
      </c>
    </row>
    <row r="283" spans="2:16">
      <c r="B283" s="6">
        <f ca="1">IFERROR(__xludf.DUMMYFUNCTION("""COMPUTED_VALUE"""),2025)</f>
        <v>2025</v>
      </c>
      <c r="C283" s="6">
        <f ca="1">IFERROR(__xludf.DUMMYFUNCTION("""COMPUTED_VALUE"""),2)</f>
        <v>2</v>
      </c>
      <c r="D283" s="6" t="str">
        <f ca="1">IFERROR(__xludf.DUMMYFUNCTION("""COMPUTED_VALUE"""),"NO")</f>
        <v>NO</v>
      </c>
      <c r="E283" s="6" t="str">
        <f ca="1">IFERROR(__xludf.DUMMYFUNCTION("""COMPUTED_VALUE"""),"Sevilla- Ciencias")</f>
        <v>Sevilla- Ciencias</v>
      </c>
      <c r="F283" s="16">
        <f ca="1">IFERROR(__xludf.DUMMYFUNCTION("""COMPUTED_VALUE"""),45709)</f>
        <v>45709</v>
      </c>
      <c r="G283" s="16">
        <f ca="1">IFERROR(__xludf.DUMMYFUNCTION("""COMPUTED_VALUE"""),45678)</f>
        <v>45678</v>
      </c>
      <c r="H283" s="6" t="str">
        <f ca="1">IFERROR(__xludf.DUMMYFUNCTION("""COMPUTED_VALUE"""),"Sevilla Este")</f>
        <v>Sevilla Este</v>
      </c>
      <c r="I283" s="6" t="str">
        <f ca="1">IFERROR(__xludf.DUMMYFUNCTION("""COMPUTED_VALUE"""),"SEVE-354")</f>
        <v>SEVE-354</v>
      </c>
      <c r="J283" s="6" t="str">
        <f ca="1">IFERROR(__xludf.DUMMYFUNCTION("""COMPUTED_VALUE"""),"INMACULADA GARCIA PALOMO")</f>
        <v>INMACULADA GARCIA PALOMO</v>
      </c>
      <c r="K283" s="6">
        <f ca="1">IFERROR(__xludf.DUMMYFUNCTION("""COMPUTED_VALUE"""),2)</f>
        <v>2</v>
      </c>
      <c r="L283" s="139">
        <f ca="1">IFERROR(__xludf.DUMMYFUNCTION("""COMPUTED_VALUE"""),3709.09)</f>
        <v>3709.09</v>
      </c>
      <c r="M283" s="6" t="str">
        <f ca="1">IFERROR(__xludf.DUMMYFUNCTION("""COMPUTED_VALUE"""),"03 ORL")</f>
        <v>03 ORL</v>
      </c>
      <c r="N283" s="6" t="str">
        <f ca="1">IFERROR(__xludf.DUMMYFUNCTION("""COMPUTED_VALUE"""),"06 ORL")</f>
        <v>06 ORL</v>
      </c>
      <c r="O283" s="6" t="str">
        <f ca="1">IFERROR(__xludf.DUMMYFUNCTION("""COMPUTED_VALUE"""),"Dra, Mercedes Ceballos Cauto")</f>
        <v>Dra, Mercedes Ceballos Cauto</v>
      </c>
      <c r="P283" s="6" t="str">
        <f ca="1">IFERROR(__xludf.DUMMYFUNCTION("""COMPUTED_VALUE"""),"Luis Alberto Rodríguez (Andalucía Y Badajoz)")</f>
        <v>Luis Alberto Rodríguez (Andalucía Y Badajoz)</v>
      </c>
    </row>
    <row r="284" spans="2:16">
      <c r="B284" s="6">
        <f ca="1">IFERROR(__xludf.DUMMYFUNCTION("""COMPUTED_VALUE"""),2025)</f>
        <v>2025</v>
      </c>
      <c r="C284" s="6">
        <f ca="1">IFERROR(__xludf.DUMMYFUNCTION("""COMPUTED_VALUE"""),2)</f>
        <v>2</v>
      </c>
      <c r="D284" s="6" t="str">
        <f ca="1">IFERROR(__xludf.DUMMYFUNCTION("""COMPUTED_VALUE"""),"NO")</f>
        <v>NO</v>
      </c>
      <c r="E284" s="6" t="str">
        <f ca="1">IFERROR(__xludf.DUMMYFUNCTION("""COMPUTED_VALUE"""),"Zaragoza- Santander")</f>
        <v>Zaragoza- Santander</v>
      </c>
      <c r="F284" s="16">
        <f ca="1">IFERROR(__xludf.DUMMYFUNCTION("""COMPUTED_VALUE"""),45709)</f>
        <v>45709</v>
      </c>
      <c r="G284" s="16">
        <f ca="1">IFERROR(__xludf.DUMMYFUNCTION("""COMPUTED_VALUE"""),45684)</f>
        <v>45684</v>
      </c>
      <c r="H284" s="6" t="str">
        <f ca="1">IFERROR(__xludf.DUMMYFUNCTION("""COMPUTED_VALUE"""),"Zaragoza- Santander")</f>
        <v>Zaragoza- Santander</v>
      </c>
      <c r="I284" s="6" t="str">
        <f ca="1">IFERROR(__xludf.DUMMYFUNCTION("""COMPUTED_VALUE"""),"ZRZS-94")</f>
        <v>ZRZS-94</v>
      </c>
      <c r="J284" s="6" t="str">
        <f ca="1">IFERROR(__xludf.DUMMYFUNCTION("""COMPUTED_VALUE"""),"EMMA CANALS LIZANO")</f>
        <v>EMMA CANALS LIZANO</v>
      </c>
      <c r="K284" s="6">
        <f ca="1">IFERROR(__xludf.DUMMYFUNCTION("""COMPUTED_VALUE"""),2)</f>
        <v>2</v>
      </c>
      <c r="L284" s="139">
        <f ca="1">IFERROR(__xludf.DUMMYFUNCTION("""COMPUTED_VALUE"""),3090.91)</f>
        <v>3090.91</v>
      </c>
      <c r="M284" s="6" t="str">
        <f ca="1">IFERROR(__xludf.DUMMYFUNCTION("""COMPUTED_VALUE"""),"03 ORL")</f>
        <v>03 ORL</v>
      </c>
      <c r="N284" s="6" t="str">
        <f ca="1">IFERROR(__xludf.DUMMYFUNCTION("""COMPUTED_VALUE"""),"06 ORL")</f>
        <v>06 ORL</v>
      </c>
      <c r="O284" s="6" t="str">
        <f ca="1">IFERROR(__xludf.DUMMYFUNCTION("""COMPUTED_VALUE"""),"Dr, Jorge Damborenea Tajada")</f>
        <v>Dr, Jorge Damborenea Tajada</v>
      </c>
      <c r="P284" s="6" t="str">
        <f ca="1">IFERROR(__xludf.DUMMYFUNCTION("""COMPUTED_VALUE"""),"Lisandro Russian (Madrid, Cáceres, Toledo, Talavera Y Logroño)")</f>
        <v>Lisandro Russian (Madrid, Cáceres, Toledo, Talavera Y Logroño)</v>
      </c>
    </row>
    <row r="285" spans="2:16">
      <c r="B285" s="6">
        <f ca="1">IFERROR(__xludf.DUMMYFUNCTION("""COMPUTED_VALUE"""),2025)</f>
        <v>2025</v>
      </c>
      <c r="C285" s="6">
        <f ca="1">IFERROR(__xludf.DUMMYFUNCTION("""COMPUTED_VALUE"""),2)</f>
        <v>2</v>
      </c>
      <c r="D285" s="6" t="str">
        <f ca="1">IFERROR(__xludf.DUMMYFUNCTION("""COMPUTED_VALUE"""),"NO")</f>
        <v>NO</v>
      </c>
      <c r="E285" s="6" t="str">
        <f ca="1">IFERROR(__xludf.DUMMYFUNCTION("""COMPUTED_VALUE"""),"Zaragoza- Santander")</f>
        <v>Zaragoza- Santander</v>
      </c>
      <c r="F285" s="16">
        <f ca="1">IFERROR(__xludf.DUMMYFUNCTION("""COMPUTED_VALUE"""),45713)</f>
        <v>45713</v>
      </c>
      <c r="G285" s="16">
        <f ca="1">IFERROR(__xludf.DUMMYFUNCTION("""COMPUTED_VALUE"""),45688)</f>
        <v>45688</v>
      </c>
      <c r="H285" s="6" t="str">
        <f ca="1">IFERROR(__xludf.DUMMYFUNCTION("""COMPUTED_VALUE"""),"Zaragoza- Santander")</f>
        <v>Zaragoza- Santander</v>
      </c>
      <c r="I285" s="6" t="str">
        <f ca="1">IFERROR(__xludf.DUMMYFUNCTION("""COMPUTED_VALUE"""),"ZRZS-97")</f>
        <v>ZRZS-97</v>
      </c>
      <c r="J285" s="6" t="str">
        <f ca="1">IFERROR(__xludf.DUMMYFUNCTION("""COMPUTED_VALUE"""),"DANIEL LOPEZ DE ARMENTIA JIMENEZ")</f>
        <v>DANIEL LOPEZ DE ARMENTIA JIMENEZ</v>
      </c>
      <c r="K285" s="6">
        <f ca="1">IFERROR(__xludf.DUMMYFUNCTION("""COMPUTED_VALUE"""),2)</f>
        <v>2</v>
      </c>
      <c r="L285" s="139">
        <f ca="1">IFERROR(__xludf.DUMMYFUNCTION("""COMPUTED_VALUE"""),3604.55)</f>
        <v>3604.55</v>
      </c>
      <c r="M285" s="6" t="str">
        <f ca="1">IFERROR(__xludf.DUMMYFUNCTION("""COMPUTED_VALUE"""),"03 ORL")</f>
        <v>03 ORL</v>
      </c>
      <c r="N285" s="6" t="str">
        <f ca="1">IFERROR(__xludf.DUMMYFUNCTION("""COMPUTED_VALUE"""),"06 ORL")</f>
        <v>06 ORL</v>
      </c>
      <c r="O285" s="6" t="str">
        <f ca="1">IFERROR(__xludf.DUMMYFUNCTION("""COMPUTED_VALUE"""),"Dra, Noelia García García")</f>
        <v>Dra, Noelia García García</v>
      </c>
      <c r="P285" s="6" t="str">
        <f ca="1">IFERROR(__xludf.DUMMYFUNCTION("""COMPUTED_VALUE"""),"Luis Alberto Rodríguez (Andalucía Y Badajoz)")</f>
        <v>Luis Alberto Rodríguez (Andalucía Y Badajoz)</v>
      </c>
    </row>
    <row r="286" spans="2:16">
      <c r="B286" s="6">
        <f ca="1">IFERROR(__xludf.DUMMYFUNCTION("""COMPUTED_VALUE"""),2025)</f>
        <v>2025</v>
      </c>
      <c r="C286" s="6">
        <f ca="1">IFERROR(__xludf.DUMMYFUNCTION("""COMPUTED_VALUE"""),2)</f>
        <v>2</v>
      </c>
      <c r="D286" s="6" t="str">
        <f ca="1">IFERROR(__xludf.DUMMYFUNCTION("""COMPUTED_VALUE"""),"NO")</f>
        <v>NO</v>
      </c>
      <c r="E286" s="6" t="str">
        <f ca="1">IFERROR(__xludf.DUMMYFUNCTION("""COMPUTED_VALUE"""),"Zaragoza- León XIII")</f>
        <v>Zaragoza- León XIII</v>
      </c>
      <c r="F286" s="16">
        <f ca="1">IFERROR(__xludf.DUMMYFUNCTION("""COMPUTED_VALUE"""),45713)</f>
        <v>45713</v>
      </c>
      <c r="G286" s="16">
        <f ca="1">IFERROR(__xludf.DUMMYFUNCTION("""COMPUTED_VALUE"""),45692)</f>
        <v>45692</v>
      </c>
      <c r="H286" s="6" t="str">
        <f ca="1">IFERROR(__xludf.DUMMYFUNCTION("""COMPUTED_VALUE"""),"Zaragoza")</f>
        <v>Zaragoza</v>
      </c>
      <c r="I286" s="6" t="str">
        <f ca="1">IFERROR(__xludf.DUMMYFUNCTION("""COMPUTED_VALUE"""),"ZRG-573")</f>
        <v>ZRG-573</v>
      </c>
      <c r="J286" s="6" t="str">
        <f ca="1">IFERROR(__xludf.DUMMYFUNCTION("""COMPUTED_VALUE"""),"NATIVIDAD HUGUET SERRANO")</f>
        <v>NATIVIDAD HUGUET SERRANO</v>
      </c>
      <c r="K286" s="6">
        <f ca="1">IFERROR(__xludf.DUMMYFUNCTION("""COMPUTED_VALUE"""),2)</f>
        <v>2</v>
      </c>
      <c r="L286" s="139">
        <f ca="1">IFERROR(__xludf.DUMMYFUNCTION("""COMPUTED_VALUE"""),3627.27)</f>
        <v>3627.27</v>
      </c>
      <c r="M286" s="6" t="str">
        <f ca="1">IFERROR(__xludf.DUMMYFUNCTION("""COMPUTED_VALUE"""),"03 ORL")</f>
        <v>03 ORL</v>
      </c>
      <c r="N286" s="6" t="str">
        <f ca="1">IFERROR(__xludf.DUMMYFUNCTION("""COMPUTED_VALUE"""),"06 ORL")</f>
        <v>06 ORL</v>
      </c>
      <c r="O286" s="6" t="str">
        <f ca="1">IFERROR(__xludf.DUMMYFUNCTION("""COMPUTED_VALUE"""),"Dr, Jorge Damborenea Tajada")</f>
        <v>Dr, Jorge Damborenea Tajada</v>
      </c>
      <c r="P286" s="6" t="str">
        <f ca="1">IFERROR(__xludf.DUMMYFUNCTION("""COMPUTED_VALUE"""),"Lisandro Russian (Madrid, Cáceres, Toledo, Talavera Y Logroño)")</f>
        <v>Lisandro Russian (Madrid, Cáceres, Toledo, Talavera Y Logroño)</v>
      </c>
    </row>
    <row r="287" spans="2:16">
      <c r="B287" s="6">
        <f ca="1">IFERROR(__xludf.DUMMYFUNCTION("""COMPUTED_VALUE"""),2025)</f>
        <v>2025</v>
      </c>
      <c r="C287" s="6">
        <f ca="1">IFERROR(__xludf.DUMMYFUNCTION("""COMPUTED_VALUE"""),2)</f>
        <v>2</v>
      </c>
      <c r="D287" s="6" t="str">
        <f ca="1">IFERROR(__xludf.DUMMYFUNCTION("""COMPUTED_VALUE"""),"NO")</f>
        <v>NO</v>
      </c>
      <c r="E287" s="6" t="str">
        <f ca="1">IFERROR(__xludf.DUMMYFUNCTION("""COMPUTED_VALUE"""),"Badajoz")</f>
        <v>Badajoz</v>
      </c>
      <c r="F287" s="16">
        <f ca="1">IFERROR(__xludf.DUMMYFUNCTION("""COMPUTED_VALUE"""),45714)</f>
        <v>45714</v>
      </c>
      <c r="G287" s="16">
        <f ca="1">IFERROR(__xludf.DUMMYFUNCTION("""COMPUTED_VALUE"""),45674)</f>
        <v>45674</v>
      </c>
      <c r="H287" s="6" t="str">
        <f ca="1">IFERROR(__xludf.DUMMYFUNCTION("""COMPUTED_VALUE"""),"Badajoz")</f>
        <v>Badajoz</v>
      </c>
      <c r="I287" s="6" t="str">
        <f ca="1">IFERROR(__xludf.DUMMYFUNCTION("""COMPUTED_VALUE"""),"BJZE-2455")</f>
        <v>BJZE-2455</v>
      </c>
      <c r="J287" s="6" t="str">
        <f ca="1">IFERROR(__xludf.DUMMYFUNCTION("""COMPUTED_VALUE"""),"EUGENIO CADENAS GUERRERO")</f>
        <v>EUGENIO CADENAS GUERRERO</v>
      </c>
      <c r="K287" s="6">
        <f ca="1">IFERROR(__xludf.DUMMYFUNCTION("""COMPUTED_VALUE"""),2)</f>
        <v>2</v>
      </c>
      <c r="L287" s="139">
        <f ca="1">IFERROR(__xludf.DUMMYFUNCTION("""COMPUTED_VALUE"""),3636.36)</f>
        <v>3636.36</v>
      </c>
      <c r="M287" s="6" t="str">
        <f ca="1">IFERROR(__xludf.DUMMYFUNCTION("""COMPUTED_VALUE"""),"03 ORL")</f>
        <v>03 ORL</v>
      </c>
      <c r="N287" s="6" t="str">
        <f ca="1">IFERROR(__xludf.DUMMYFUNCTION("""COMPUTED_VALUE"""),"06 ORL")</f>
        <v>06 ORL</v>
      </c>
      <c r="O287" s="6" t="str">
        <f ca="1">IFERROR(__xludf.DUMMYFUNCTION("""COMPUTED_VALUE"""),"Dr, Isidoro Rubio Correa")</f>
        <v>Dr, Isidoro Rubio Correa</v>
      </c>
      <c r="P287" s="6" t="str">
        <f ca="1">IFERROR(__xludf.DUMMYFUNCTION("""COMPUTED_VALUE"""),"Luis Alberto Rodríguez (Andalucía Y Badajoz)")</f>
        <v>Luis Alberto Rodríguez (Andalucía Y Badajoz)</v>
      </c>
    </row>
    <row r="288" spans="2:16">
      <c r="B288" s="6">
        <f ca="1">IFERROR(__xludf.DUMMYFUNCTION("""COMPUTED_VALUE"""),2025)</f>
        <v>2025</v>
      </c>
      <c r="C288" s="6">
        <f ca="1">IFERROR(__xludf.DUMMYFUNCTION("""COMPUTED_VALUE"""),2)</f>
        <v>2</v>
      </c>
      <c r="D288" s="6" t="str">
        <f ca="1">IFERROR(__xludf.DUMMYFUNCTION("""COMPUTED_VALUE"""),"NO")</f>
        <v>NO</v>
      </c>
      <c r="E288" s="6" t="str">
        <f ca="1">IFERROR(__xludf.DUMMYFUNCTION("""COMPUTED_VALUE"""),"Cáceres")</f>
        <v>Cáceres</v>
      </c>
      <c r="F288" s="16">
        <f ca="1">IFERROR(__xludf.DUMMYFUNCTION("""COMPUTED_VALUE"""),45714)</f>
        <v>45714</v>
      </c>
      <c r="G288" s="16">
        <f ca="1">IFERROR(__xludf.DUMMYFUNCTION("""COMPUTED_VALUE"""),45685)</f>
        <v>45685</v>
      </c>
      <c r="H288" s="6" t="str">
        <f ca="1">IFERROR(__xludf.DUMMYFUNCTION("""COMPUTED_VALUE"""),"Cáceres")</f>
        <v>Cáceres</v>
      </c>
      <c r="I288" s="6" t="str">
        <f ca="1">IFERROR(__xludf.DUMMYFUNCTION("""COMPUTED_VALUE"""),"CAC-228")</f>
        <v>CAC-228</v>
      </c>
      <c r="J288" s="6" t="str">
        <f ca="1">IFERROR(__xludf.DUMMYFUNCTION("""COMPUTED_VALUE"""),"MERCEDES SIMON SUSAÑO")</f>
        <v>MERCEDES SIMON SUSAÑO</v>
      </c>
      <c r="K288" s="6">
        <f ca="1">IFERROR(__xludf.DUMMYFUNCTION("""COMPUTED_VALUE"""),2)</f>
        <v>2</v>
      </c>
      <c r="L288" s="139">
        <f ca="1">IFERROR(__xludf.DUMMYFUNCTION("""COMPUTED_VALUE"""),4000)</f>
        <v>4000</v>
      </c>
      <c r="M288" s="6" t="str">
        <f ca="1">IFERROR(__xludf.DUMMYFUNCTION("""COMPUTED_VALUE"""),"03 ORL")</f>
        <v>03 ORL</v>
      </c>
      <c r="N288" s="6" t="str">
        <f ca="1">IFERROR(__xludf.DUMMYFUNCTION("""COMPUTED_VALUE"""),"06 ORL")</f>
        <v>06 ORL</v>
      </c>
      <c r="O288" s="6" t="str">
        <f ca="1">IFERROR(__xludf.DUMMYFUNCTION("""COMPUTED_VALUE"""),"Dr, Manuel Cañete Domínguez")</f>
        <v>Dr, Manuel Cañete Domínguez</v>
      </c>
      <c r="P288" s="6" t="str">
        <f ca="1">IFERROR(__xludf.DUMMYFUNCTION("""COMPUTED_VALUE"""),"Lisandro Russian (Madrid, Cáceres, Toledo, Talavera Y Logroño)")</f>
        <v>Lisandro Russian (Madrid, Cáceres, Toledo, Talavera Y Logroño)</v>
      </c>
    </row>
    <row r="289" spans="2:16">
      <c r="B289" s="6">
        <f ca="1">IFERROR(__xludf.DUMMYFUNCTION("""COMPUTED_VALUE"""),2025)</f>
        <v>2025</v>
      </c>
      <c r="C289" s="6">
        <f ca="1">IFERROR(__xludf.DUMMYFUNCTION("""COMPUTED_VALUE"""),2)</f>
        <v>2</v>
      </c>
      <c r="D289" s="6" t="str">
        <f ca="1">IFERROR(__xludf.DUMMYFUNCTION("""COMPUTED_VALUE"""),"NO")</f>
        <v>NO</v>
      </c>
      <c r="E289" s="6" t="str">
        <f ca="1">IFERROR(__xludf.DUMMYFUNCTION("""COMPUTED_VALUE"""),"Culleredo")</f>
        <v>Culleredo</v>
      </c>
      <c r="F289" s="16">
        <f ca="1">IFERROR(__xludf.DUMMYFUNCTION("""COMPUTED_VALUE"""),45714)</f>
        <v>45714</v>
      </c>
      <c r="G289" s="16">
        <f ca="1">IFERROR(__xludf.DUMMYFUNCTION("""COMPUTED_VALUE"""),45698)</f>
        <v>45698</v>
      </c>
      <c r="H289" s="6" t="str">
        <f ca="1">IFERROR(__xludf.DUMMYFUNCTION("""COMPUTED_VALUE"""),"Culleredo")</f>
        <v>Culleredo</v>
      </c>
      <c r="I289" s="6" t="str">
        <f ca="1">IFERROR(__xludf.DUMMYFUNCTION("""COMPUTED_VALUE"""),"CULL-163")</f>
        <v>CULL-163</v>
      </c>
      <c r="J289" s="6" t="str">
        <f ca="1">IFERROR(__xludf.DUMMYFUNCTION("""COMPUTED_VALUE"""),"MARIA SANCHEZ IGLESIAS")</f>
        <v>MARIA SANCHEZ IGLESIAS</v>
      </c>
      <c r="K289" s="6">
        <f ca="1">IFERROR(__xludf.DUMMYFUNCTION("""COMPUTED_VALUE"""),1)</f>
        <v>1</v>
      </c>
      <c r="L289" s="139">
        <f ca="1">IFERROR(__xludf.DUMMYFUNCTION("""COMPUTED_VALUE"""),1390.91)</f>
        <v>1390.91</v>
      </c>
      <c r="M289" s="6" t="str">
        <f ca="1">IFERROR(__xludf.DUMMYFUNCTION("""COMPUTED_VALUE"""),"03 ORL")</f>
        <v>03 ORL</v>
      </c>
      <c r="N289" s="6" t="str">
        <f ca="1">IFERROR(__xludf.DUMMYFUNCTION("""COMPUTED_VALUE"""),"06 ORL")</f>
        <v>06 ORL</v>
      </c>
      <c r="O289" s="6" t="str">
        <f ca="1">IFERROR(__xludf.DUMMYFUNCTION("""COMPUTED_VALUE"""),"Dra, Mercedes Álvarez-Buylla Blanco")</f>
        <v>Dra, Mercedes Álvarez-Buylla Blanco</v>
      </c>
      <c r="P289" s="6" t="str">
        <f ca="1">IFERROR(__xludf.DUMMYFUNCTION("""COMPUTED_VALUE"""),"Roberto Pereira (Galicia)")</f>
        <v>Roberto Pereira (Galicia)</v>
      </c>
    </row>
    <row r="290" spans="2:16">
      <c r="B290" s="6">
        <f ca="1">IFERROR(__xludf.DUMMYFUNCTION("""COMPUTED_VALUE"""),2025)</f>
        <v>2025</v>
      </c>
      <c r="C290" s="6">
        <f ca="1">IFERROR(__xludf.DUMMYFUNCTION("""COMPUTED_VALUE"""),2)</f>
        <v>2</v>
      </c>
      <c r="D290" s="6" t="str">
        <f ca="1">IFERROR(__xludf.DUMMYFUNCTION("""COMPUTED_VALUE"""),"NO")</f>
        <v>NO</v>
      </c>
      <c r="E290" s="6" t="str">
        <f ca="1">IFERROR(__xludf.DUMMYFUNCTION("""COMPUTED_VALUE"""),"Sevilla- Ciencias")</f>
        <v>Sevilla- Ciencias</v>
      </c>
      <c r="F290" s="16">
        <f ca="1">IFERROR(__xludf.DUMMYFUNCTION("""COMPUTED_VALUE"""),45715)</f>
        <v>45715</v>
      </c>
      <c r="G290" s="16">
        <f ca="1">IFERROR(__xludf.DUMMYFUNCTION("""COMPUTED_VALUE"""),45636)</f>
        <v>45636</v>
      </c>
      <c r="H290" s="6" t="str">
        <f ca="1">IFERROR(__xludf.DUMMYFUNCTION("""COMPUTED_VALUE"""),"Sevilla Este")</f>
        <v>Sevilla Este</v>
      </c>
      <c r="I290" s="6" t="str">
        <f ca="1">IFERROR(__xludf.DUMMYFUNCTION("""COMPUTED_VALUE"""),"SEVE-337")</f>
        <v>SEVE-337</v>
      </c>
      <c r="J290" s="6" t="str">
        <f ca="1">IFERROR(__xludf.DUMMYFUNCTION("""COMPUTED_VALUE"""),"JUANA PEREJON MOLIN")</f>
        <v>JUANA PEREJON MOLIN</v>
      </c>
      <c r="K290" s="6">
        <f ca="1">IFERROR(__xludf.DUMMYFUNCTION("""COMPUTED_VALUE"""),2)</f>
        <v>2</v>
      </c>
      <c r="L290" s="139">
        <f ca="1">IFERROR(__xludf.DUMMYFUNCTION("""COMPUTED_VALUE"""),4000.13)</f>
        <v>4000.13</v>
      </c>
      <c r="M290" s="6" t="str">
        <f ca="1">IFERROR(__xludf.DUMMYFUNCTION("""COMPUTED_VALUE"""),"03 ORL")</f>
        <v>03 ORL</v>
      </c>
      <c r="N290" s="6" t="str">
        <f ca="1">IFERROR(__xludf.DUMMYFUNCTION("""COMPUTED_VALUE"""),"06 ORL")</f>
        <v>06 ORL</v>
      </c>
      <c r="O290" s="6" t="str">
        <f ca="1">IFERROR(__xludf.DUMMYFUNCTION("""COMPUTED_VALUE"""),"Dra, Estefanía Berrocal Postigo")</f>
        <v>Dra, Estefanía Berrocal Postigo</v>
      </c>
      <c r="P290" s="6" t="str">
        <f ca="1">IFERROR(__xludf.DUMMYFUNCTION("""COMPUTED_VALUE"""),"Luis Alberto Rodríguez (Andalucía Y Badajoz)")</f>
        <v>Luis Alberto Rodríguez (Andalucía Y Badajoz)</v>
      </c>
    </row>
    <row r="291" spans="2:16">
      <c r="B291" s="6">
        <f ca="1">IFERROR(__xludf.DUMMYFUNCTION("""COMPUTED_VALUE"""),2025)</f>
        <v>2025</v>
      </c>
      <c r="C291" s="6">
        <f ca="1">IFERROR(__xludf.DUMMYFUNCTION("""COMPUTED_VALUE"""),2)</f>
        <v>2</v>
      </c>
      <c r="D291" s="6" t="str">
        <f ca="1">IFERROR(__xludf.DUMMYFUNCTION("""COMPUTED_VALUE"""),"NO")</f>
        <v>NO</v>
      </c>
      <c r="E291" s="6" t="str">
        <f ca="1">IFERROR(__xludf.DUMMYFUNCTION("""COMPUTED_VALUE"""),"Cáceres")</f>
        <v>Cáceres</v>
      </c>
      <c r="F291" s="16">
        <f ca="1">IFERROR(__xludf.DUMMYFUNCTION("""COMPUTED_VALUE"""),45715)</f>
        <v>45715</v>
      </c>
      <c r="G291" s="16">
        <f ca="1">IFERROR(__xludf.DUMMYFUNCTION("""COMPUTED_VALUE"""),45643)</f>
        <v>45643</v>
      </c>
      <c r="H291" s="6" t="str">
        <f ca="1">IFERROR(__xludf.DUMMYFUNCTION("""COMPUTED_VALUE"""),"Cáceres")</f>
        <v>Cáceres</v>
      </c>
      <c r="I291" s="6" t="str">
        <f ca="1">IFERROR(__xludf.DUMMYFUNCTION("""COMPUTED_VALUE"""),"CAC-214")</f>
        <v>CAC-214</v>
      </c>
      <c r="J291" s="6" t="str">
        <f ca="1">IFERROR(__xludf.DUMMYFUNCTION("""COMPUTED_VALUE"""),"ANGELITA SANTOS CORCHADO")</f>
        <v>ANGELITA SANTOS CORCHADO</v>
      </c>
      <c r="K291" s="6">
        <f ca="1">IFERROR(__xludf.DUMMYFUNCTION("""COMPUTED_VALUE"""),2)</f>
        <v>2</v>
      </c>
      <c r="L291" s="139">
        <f ca="1">IFERROR(__xludf.DUMMYFUNCTION("""COMPUTED_VALUE"""),4400)</f>
        <v>4400</v>
      </c>
      <c r="M291" s="6" t="str">
        <f ca="1">IFERROR(__xludf.DUMMYFUNCTION("""COMPUTED_VALUE"""),"03 ORL")</f>
        <v>03 ORL</v>
      </c>
      <c r="N291" s="6" t="str">
        <f ca="1">IFERROR(__xludf.DUMMYFUNCTION("""COMPUTED_VALUE"""),"06 ORL")</f>
        <v>06 ORL</v>
      </c>
      <c r="O291" s="6" t="str">
        <f ca="1">IFERROR(__xludf.DUMMYFUNCTION("""COMPUTED_VALUE"""),"Dr, Raed Maqued El Maqued")</f>
        <v>Dr, Raed Maqued El Maqued</v>
      </c>
      <c r="P291" s="6" t="str">
        <f ca="1">IFERROR(__xludf.DUMMYFUNCTION("""COMPUTED_VALUE"""),"Lisandro Russian (Madrid, Cáceres, Toledo, Talavera Y Logroño)")</f>
        <v>Lisandro Russian (Madrid, Cáceres, Toledo, Talavera Y Logroño)</v>
      </c>
    </row>
    <row r="292" spans="2:16">
      <c r="B292" s="6">
        <f ca="1">IFERROR(__xludf.DUMMYFUNCTION("""COMPUTED_VALUE"""),2025)</f>
        <v>2025</v>
      </c>
      <c r="C292" s="6">
        <f ca="1">IFERROR(__xludf.DUMMYFUNCTION("""COMPUTED_VALUE"""),2)</f>
        <v>2</v>
      </c>
      <c r="D292" s="6" t="str">
        <f ca="1">IFERROR(__xludf.DUMMYFUNCTION("""COMPUTED_VALUE"""),"NO")</f>
        <v>NO</v>
      </c>
      <c r="E292" s="6" t="str">
        <f ca="1">IFERROR(__xludf.DUMMYFUNCTION("""COMPUTED_VALUE"""),"Salamanca")</f>
        <v>Salamanca</v>
      </c>
      <c r="F292" s="16">
        <f ca="1">IFERROR(__xludf.DUMMYFUNCTION("""COMPUTED_VALUE"""),45715)</f>
        <v>45715</v>
      </c>
      <c r="G292" s="16">
        <f ca="1">IFERROR(__xludf.DUMMYFUNCTION("""COMPUTED_VALUE"""),45667)</f>
        <v>45667</v>
      </c>
      <c r="H292" s="6" t="str">
        <f ca="1">IFERROR(__xludf.DUMMYFUNCTION("""COMPUTED_VALUE"""),"Salamanca")</f>
        <v>Salamanca</v>
      </c>
      <c r="I292" s="6" t="str">
        <f ca="1">IFERROR(__xludf.DUMMYFUNCTION("""COMPUTED_VALUE"""),"SLM-437")</f>
        <v>SLM-437</v>
      </c>
      <c r="J292" s="6" t="str">
        <f ca="1">IFERROR(__xludf.DUMMYFUNCTION("""COMPUTED_VALUE"""),"MARIA ALSIRA RODRIGUEZ GARCIA")</f>
        <v>MARIA ALSIRA RODRIGUEZ GARCIA</v>
      </c>
      <c r="K292" s="6">
        <f ca="1">IFERROR(__xludf.DUMMYFUNCTION("""COMPUTED_VALUE"""),2)</f>
        <v>2</v>
      </c>
      <c r="L292" s="139">
        <f ca="1">IFERROR(__xludf.DUMMYFUNCTION("""COMPUTED_VALUE"""),3604.55)</f>
        <v>3604.55</v>
      </c>
      <c r="M292" s="6" t="str">
        <f ca="1">IFERROR(__xludf.DUMMYFUNCTION("""COMPUTED_VALUE"""),"03 ORL")</f>
        <v>03 ORL</v>
      </c>
      <c r="N292" s="6" t="str">
        <f ca="1">IFERROR(__xludf.DUMMYFUNCTION("""COMPUTED_VALUE"""),"06 ORL")</f>
        <v>06 ORL</v>
      </c>
      <c r="O292" s="6" t="str">
        <f ca="1">IFERROR(__xludf.DUMMYFUNCTION("""COMPUTED_VALUE"""),"Dr, María Jesús Cornejo Domínguez")</f>
        <v>Dr, María Jesús Cornejo Domínguez</v>
      </c>
      <c r="P292" s="6" t="str">
        <f ca="1">IFERROR(__xludf.DUMMYFUNCTION("""COMPUTED_VALUE"""),"Patricia Solache (Castilla Y León)")</f>
        <v>Patricia Solache (Castilla Y León)</v>
      </c>
    </row>
    <row r="293" spans="2:16">
      <c r="B293" s="6">
        <f ca="1">IFERROR(__xludf.DUMMYFUNCTION("""COMPUTED_VALUE"""),2025)</f>
        <v>2025</v>
      </c>
      <c r="C293" s="6">
        <f ca="1">IFERROR(__xludf.DUMMYFUNCTION("""COMPUTED_VALUE"""),2)</f>
        <v>2</v>
      </c>
      <c r="D293" s="6" t="str">
        <f ca="1">IFERROR(__xludf.DUMMYFUNCTION("""COMPUTED_VALUE"""),"NO")</f>
        <v>NO</v>
      </c>
      <c r="E293" s="6" t="str">
        <f ca="1">IFERROR(__xludf.DUMMYFUNCTION("""COMPUTED_VALUE"""),"Badajoz")</f>
        <v>Badajoz</v>
      </c>
      <c r="F293" s="16">
        <f ca="1">IFERROR(__xludf.DUMMYFUNCTION("""COMPUTED_VALUE"""),45716)</f>
        <v>45716</v>
      </c>
      <c r="G293" s="16">
        <f ca="1">IFERROR(__xludf.DUMMYFUNCTION("""COMPUTED_VALUE"""),45645)</f>
        <v>45645</v>
      </c>
      <c r="H293" s="6" t="str">
        <f ca="1">IFERROR(__xludf.DUMMYFUNCTION("""COMPUTED_VALUE"""),"Badajoz")</f>
        <v>Badajoz</v>
      </c>
      <c r="I293" s="6" t="str">
        <f ca="1">IFERROR(__xludf.DUMMYFUNCTION("""COMPUTED_VALUE"""),"BJZE-2450")</f>
        <v>BJZE-2450</v>
      </c>
      <c r="J293" s="6" t="str">
        <f ca="1">IFERROR(__xludf.DUMMYFUNCTION("""COMPUTED_VALUE"""),"GUSTAVO ARROYO IZARRA")</f>
        <v>GUSTAVO ARROYO IZARRA</v>
      </c>
      <c r="K293" s="6">
        <f ca="1">IFERROR(__xludf.DUMMYFUNCTION("""COMPUTED_VALUE"""),2)</f>
        <v>2</v>
      </c>
      <c r="L293" s="139">
        <f ca="1">IFERROR(__xludf.DUMMYFUNCTION("""COMPUTED_VALUE"""),3181.82)</f>
        <v>3181.82</v>
      </c>
      <c r="M293" s="6" t="str">
        <f ca="1">IFERROR(__xludf.DUMMYFUNCTION("""COMPUTED_VALUE"""),"03 ORL")</f>
        <v>03 ORL</v>
      </c>
      <c r="N293" s="6" t="str">
        <f ca="1">IFERROR(__xludf.DUMMYFUNCTION("""COMPUTED_VALUE"""),"06 ORL")</f>
        <v>06 ORL</v>
      </c>
      <c r="O293" s="6" t="str">
        <f ca="1">IFERROR(__xludf.DUMMYFUNCTION("""COMPUTED_VALUE"""),"Dr, Isidoro Rubio Correa")</f>
        <v>Dr, Isidoro Rubio Correa</v>
      </c>
      <c r="P293" s="6" t="str">
        <f ca="1">IFERROR(__xludf.DUMMYFUNCTION("""COMPUTED_VALUE"""),"Luis Alberto Rodríguez (Andalucía Y Badajoz)")</f>
        <v>Luis Alberto Rodríguez (Andalucía Y Badajoz)</v>
      </c>
    </row>
    <row r="294" spans="2:16">
      <c r="B294" s="6">
        <f ca="1">IFERROR(__xludf.DUMMYFUNCTION("""COMPUTED_VALUE"""),2025)</f>
        <v>2025</v>
      </c>
      <c r="C294" s="6">
        <f ca="1">IFERROR(__xludf.DUMMYFUNCTION("""COMPUTED_VALUE"""),2)</f>
        <v>2</v>
      </c>
      <c r="D294" s="6" t="str">
        <f ca="1">IFERROR(__xludf.DUMMYFUNCTION("""COMPUTED_VALUE"""),"NO")</f>
        <v>NO</v>
      </c>
      <c r="E294" s="6" t="str">
        <f ca="1">IFERROR(__xludf.DUMMYFUNCTION("""COMPUTED_VALUE"""),"Culleredo")</f>
        <v>Culleredo</v>
      </c>
      <c r="F294" s="16">
        <f ca="1">IFERROR(__xludf.DUMMYFUNCTION("""COMPUTED_VALUE"""),45716)</f>
        <v>45716</v>
      </c>
      <c r="G294" s="16">
        <f ca="1">IFERROR(__xludf.DUMMYFUNCTION("""COMPUTED_VALUE"""),45652)</f>
        <v>45652</v>
      </c>
      <c r="H294" s="6" t="str">
        <f ca="1">IFERROR(__xludf.DUMMYFUNCTION("""COMPUTED_VALUE"""),"Culleredo")</f>
        <v>Culleredo</v>
      </c>
      <c r="I294" s="6" t="str">
        <f ca="1">IFERROR(__xludf.DUMMYFUNCTION("""COMPUTED_VALUE"""),"CULL-141")</f>
        <v>CULL-141</v>
      </c>
      <c r="J294" s="6" t="str">
        <f ca="1">IFERROR(__xludf.DUMMYFUNCTION("""COMPUTED_VALUE"""),"VERONICA SUAREZ HERNANDEZ")</f>
        <v>VERONICA SUAREZ HERNANDEZ</v>
      </c>
      <c r="K294" s="6">
        <f ca="1">IFERROR(__xludf.DUMMYFUNCTION("""COMPUTED_VALUE"""),2)</f>
        <v>2</v>
      </c>
      <c r="L294" s="139">
        <f ca="1">IFERROR(__xludf.DUMMYFUNCTION("""COMPUTED_VALUE"""),1818.18)</f>
        <v>1818.18</v>
      </c>
      <c r="M294" s="6" t="str">
        <f ca="1">IFERROR(__xludf.DUMMYFUNCTION("""COMPUTED_VALUE"""),"03 ORL")</f>
        <v>03 ORL</v>
      </c>
      <c r="N294" s="6" t="str">
        <f ca="1">IFERROR(__xludf.DUMMYFUNCTION("""COMPUTED_VALUE"""),"06 ORL")</f>
        <v>06 ORL</v>
      </c>
      <c r="O294" s="6" t="str">
        <f ca="1">IFERROR(__xludf.DUMMYFUNCTION("""COMPUTED_VALUE"""),"Dr, José Eugenio Estrada Gromaz")</f>
        <v>Dr, José Eugenio Estrada Gromaz</v>
      </c>
      <c r="P294" s="6" t="str">
        <f ca="1">IFERROR(__xludf.DUMMYFUNCTION("""COMPUTED_VALUE"""),"Roberto Pereira (Galicia)")</f>
        <v>Roberto Pereira (Galicia)</v>
      </c>
    </row>
    <row r="295" spans="2:16">
      <c r="B295" s="6">
        <f ca="1">IFERROR(__xludf.DUMMYFUNCTION("""COMPUTED_VALUE"""),2025)</f>
        <v>2025</v>
      </c>
      <c r="C295" s="6">
        <f ca="1">IFERROR(__xludf.DUMMYFUNCTION("""COMPUTED_VALUE"""),3)</f>
        <v>3</v>
      </c>
      <c r="D295" s="6" t="str">
        <f ca="1">IFERROR(__xludf.DUMMYFUNCTION("""COMPUTED_VALUE"""),"NO")</f>
        <v>NO</v>
      </c>
      <c r="E295" s="6" t="str">
        <f ca="1">IFERROR(__xludf.DUMMYFUNCTION("""COMPUTED_VALUE"""),"Murcia")</f>
        <v>Murcia</v>
      </c>
      <c r="F295" s="16">
        <f ca="1">IFERROR(__xludf.DUMMYFUNCTION("""COMPUTED_VALUE"""),45719)</f>
        <v>45719</v>
      </c>
      <c r="G295" s="16">
        <f ca="1">IFERROR(__xludf.DUMMYFUNCTION("""COMPUTED_VALUE"""),45693)</f>
        <v>45693</v>
      </c>
      <c r="H295" s="6" t="str">
        <f ca="1">IFERROR(__xludf.DUMMYFUNCTION("""COMPUTED_VALUE"""),"Murcia")</f>
        <v>Murcia</v>
      </c>
      <c r="I295" s="6" t="str">
        <f ca="1">IFERROR(__xludf.DUMMYFUNCTION("""COMPUTED_VALUE"""),"C202525165642897")</f>
        <v>C202525165642897</v>
      </c>
      <c r="J295" s="6" t="str">
        <f ca="1">IFERROR(__xludf.DUMMYFUNCTION("""COMPUTED_VALUE"""),"MERCEDES LLANES PANALES")</f>
        <v>MERCEDES LLANES PANALES</v>
      </c>
      <c r="K295" s="6">
        <f ca="1">IFERROR(__xludf.DUMMYFUNCTION("""COMPUTED_VALUE"""),2)</f>
        <v>2</v>
      </c>
      <c r="L295" s="139">
        <f ca="1">IFERROR(__xludf.DUMMYFUNCTION("""COMPUTED_VALUE"""),4400)</f>
        <v>4400</v>
      </c>
      <c r="M295" s="6" t="str">
        <f ca="1">IFERROR(__xludf.DUMMYFUNCTION("""COMPUTED_VALUE"""),"01 MARKETING ON LINE")</f>
        <v>01 MARKETING ON LINE</v>
      </c>
      <c r="N295" s="6" t="str">
        <f ca="1">IFERROR(__xludf.DUMMYFUNCTION("""COMPUTED_VALUE"""),"04 AUDIFONO,ES")</f>
        <v>04 AUDIFONO,ES</v>
      </c>
      <c r="O295" s="6" t="str">
        <f ca="1">IFERROR(__xludf.DUMMYFUNCTION("""COMPUTED_VALUE"""),"Dr, Jesús Miguel Iniesta Turpín")</f>
        <v>Dr, Jesús Miguel Iniesta Turpín</v>
      </c>
      <c r="P295" s="6" t="str">
        <f ca="1">IFERROR(__xludf.DUMMYFUNCTION("""COMPUTED_VALUE"""),"Iván Sánchez (Levante Y Albacete)")</f>
        <v>Iván Sánchez (Levante Y Albacete)</v>
      </c>
    </row>
    <row r="296" spans="2:16">
      <c r="B296" s="6">
        <f ca="1">IFERROR(__xludf.DUMMYFUNCTION("""COMPUTED_VALUE"""),2025)</f>
        <v>2025</v>
      </c>
      <c r="C296" s="6">
        <f ca="1">IFERROR(__xludf.DUMMYFUNCTION("""COMPUTED_VALUE"""),3)</f>
        <v>3</v>
      </c>
      <c r="D296" s="6" t="str">
        <f ca="1">IFERROR(__xludf.DUMMYFUNCTION("""COMPUTED_VALUE"""),"NO")</f>
        <v>NO</v>
      </c>
      <c r="E296" s="6" t="str">
        <f ca="1">IFERROR(__xludf.DUMMYFUNCTION("""COMPUTED_VALUE"""),"Valencia- Cádiz")</f>
        <v>Valencia- Cádiz</v>
      </c>
      <c r="F296" s="16">
        <f ca="1">IFERROR(__xludf.DUMMYFUNCTION("""COMPUTED_VALUE"""),45719)</f>
        <v>45719</v>
      </c>
      <c r="G296" s="16">
        <f ca="1">IFERROR(__xludf.DUMMYFUNCTION("""COMPUTED_VALUE"""),45698)</f>
        <v>45698</v>
      </c>
      <c r="H296" s="6" t="str">
        <f ca="1">IFERROR(__xludf.DUMMYFUNCTION("""COMPUTED_VALUE"""),"Valencia- Cádiz")</f>
        <v>Valencia- Cádiz</v>
      </c>
      <c r="I296" s="6" t="str">
        <f ca="1">IFERROR(__xludf.DUMMYFUNCTION("""COMPUTED_VALUE"""),"C202521310132286")</f>
        <v>C202521310132286</v>
      </c>
      <c r="J296" s="6" t="str">
        <f ca="1">IFERROR(__xludf.DUMMYFUNCTION("""COMPUTED_VALUE"""),"MIGUEL GOMEZ CLARAMUNT")</f>
        <v>MIGUEL GOMEZ CLARAMUNT</v>
      </c>
      <c r="K296" s="6">
        <f ca="1">IFERROR(__xludf.DUMMYFUNCTION("""COMPUTED_VALUE"""),1)</f>
        <v>1</v>
      </c>
      <c r="L296" s="139">
        <f ca="1">IFERROR(__xludf.DUMMYFUNCTION("""COMPUTED_VALUE"""),2226.36)</f>
        <v>2226.36</v>
      </c>
      <c r="M296" s="6" t="str">
        <f ca="1">IFERROR(__xludf.DUMMYFUNCTION("""COMPUTED_VALUE"""),"03 ORL")</f>
        <v>03 ORL</v>
      </c>
      <c r="N296" s="6" t="str">
        <f ca="1">IFERROR(__xludf.DUMMYFUNCTION("""COMPUTED_VALUE"""),"06 ORL")</f>
        <v>06 ORL</v>
      </c>
      <c r="O296" s="6" t="str">
        <f ca="1">IFERROR(__xludf.DUMMYFUNCTION("""COMPUTED_VALUE"""),"Dr, Agustín Campos Catalá")</f>
        <v>Dr, Agustín Campos Catalá</v>
      </c>
      <c r="P296" s="6" t="str">
        <f ca="1">IFERROR(__xludf.DUMMYFUNCTION("""COMPUTED_VALUE"""),"Ramon Ferrando(Valencia)")</f>
        <v>Ramon Ferrando(Valencia)</v>
      </c>
    </row>
    <row r="297" spans="2:16">
      <c r="B297" s="6">
        <f ca="1">IFERROR(__xludf.DUMMYFUNCTION("""COMPUTED_VALUE"""),2025)</f>
        <v>2025</v>
      </c>
      <c r="C297" s="6">
        <f ca="1">IFERROR(__xludf.DUMMYFUNCTION("""COMPUTED_VALUE"""),3)</f>
        <v>3</v>
      </c>
      <c r="D297" s="6" t="str">
        <f ca="1">IFERROR(__xludf.DUMMYFUNCTION("""COMPUTED_VALUE"""),"NO")</f>
        <v>NO</v>
      </c>
      <c r="E297" s="6" t="str">
        <f ca="1">IFERROR(__xludf.DUMMYFUNCTION("""COMPUTED_VALUE"""),"Alicante")</f>
        <v>Alicante</v>
      </c>
      <c r="F297" s="16">
        <f ca="1">IFERROR(__xludf.DUMMYFUNCTION("""COMPUTED_VALUE"""),45720)</f>
        <v>45720</v>
      </c>
      <c r="G297" s="16">
        <f ca="1">IFERROR(__xludf.DUMMYFUNCTION("""COMPUTED_VALUE"""),45693)</f>
        <v>45693</v>
      </c>
      <c r="H297" s="6" t="str">
        <f ca="1">IFERROR(__xludf.DUMMYFUNCTION("""COMPUTED_VALUE"""),"Alicante")</f>
        <v>Alicante</v>
      </c>
      <c r="I297" s="6" t="str">
        <f ca="1">IFERROR(__xludf.DUMMYFUNCTION("""COMPUTED_VALUE"""),"C20252712266751")</f>
        <v>C20252712266751</v>
      </c>
      <c r="J297" s="6" t="str">
        <f ca="1">IFERROR(__xludf.DUMMYFUNCTION("""COMPUTED_VALUE"""),"JOSEFINA GARCIA CANDELA")</f>
        <v>JOSEFINA GARCIA CANDELA</v>
      </c>
      <c r="K297" s="6">
        <f ca="1">IFERROR(__xludf.DUMMYFUNCTION("""COMPUTED_VALUE"""),2)</f>
        <v>2</v>
      </c>
      <c r="L297" s="139">
        <f ca="1">IFERROR(__xludf.DUMMYFUNCTION("""COMPUTED_VALUE"""),4000)</f>
        <v>4000</v>
      </c>
      <c r="M297" s="6" t="str">
        <f ca="1">IFERROR(__xludf.DUMMYFUNCTION("""COMPUTED_VALUE"""),"03 ORL")</f>
        <v>03 ORL</v>
      </c>
      <c r="N297" s="6" t="str">
        <f ca="1">IFERROR(__xludf.DUMMYFUNCTION("""COMPUTED_VALUE"""),"06 ORL")</f>
        <v>06 ORL</v>
      </c>
      <c r="O297" s="6" t="str">
        <f ca="1">IFERROR(__xludf.DUMMYFUNCTION("""COMPUTED_VALUE"""),"Dra, Isabel Menaches Guardiola")</f>
        <v>Dra, Isabel Menaches Guardiola</v>
      </c>
      <c r="P297" s="6" t="str">
        <f ca="1">IFERROR(__xludf.DUMMYFUNCTION("""COMPUTED_VALUE"""),"Iván Sánchez (Levante Y Albacete)")</f>
        <v>Iván Sánchez (Levante Y Albacete)</v>
      </c>
    </row>
    <row r="298" spans="2:16">
      <c r="B298" s="6">
        <f ca="1">IFERROR(__xludf.DUMMYFUNCTION("""COMPUTED_VALUE"""),2025)</f>
        <v>2025</v>
      </c>
      <c r="C298" s="6">
        <f ca="1">IFERROR(__xludf.DUMMYFUNCTION("""COMPUTED_VALUE"""),3)</f>
        <v>3</v>
      </c>
      <c r="D298" s="6" t="str">
        <f ca="1">IFERROR(__xludf.DUMMYFUNCTION("""COMPUTED_VALUE"""),"NO")</f>
        <v>NO</v>
      </c>
      <c r="E298" s="6" t="str">
        <f ca="1">IFERROR(__xludf.DUMMYFUNCTION("""COMPUTED_VALUE"""),"Madrid- La Oca")</f>
        <v>Madrid- La Oca</v>
      </c>
      <c r="F298" s="16">
        <f ca="1">IFERROR(__xludf.DUMMYFUNCTION("""COMPUTED_VALUE"""),45720)</f>
        <v>45720</v>
      </c>
      <c r="G298" s="16">
        <f ca="1">IFERROR(__xludf.DUMMYFUNCTION("""COMPUTED_VALUE"""),45670)</f>
        <v>45670</v>
      </c>
      <c r="H298" s="6" t="str">
        <f ca="1">IFERROR(__xludf.DUMMYFUNCTION("""COMPUTED_VALUE"""),"La Oca")</f>
        <v>La Oca</v>
      </c>
      <c r="I298" s="6" t="str">
        <f ca="1">IFERROR(__xludf.DUMMYFUNCTION("""COMPUTED_VALUE"""),"C2025121112454270")</f>
        <v>C2025121112454270</v>
      </c>
      <c r="J298" s="6" t="str">
        <f ca="1">IFERROR(__xludf.DUMMYFUNCTION("""COMPUTED_VALUE"""),"TERESA GARCIA GONZALEZ")</f>
        <v>TERESA GARCIA GONZALEZ</v>
      </c>
      <c r="K298" s="6">
        <f ca="1">IFERROR(__xludf.DUMMYFUNCTION("""COMPUTED_VALUE"""),2)</f>
        <v>2</v>
      </c>
      <c r="L298" s="139">
        <f ca="1">IFERROR(__xludf.DUMMYFUNCTION("""COMPUTED_VALUE"""),2888.18)</f>
        <v>2888.18</v>
      </c>
      <c r="M298" s="6" t="str">
        <f ca="1">IFERROR(__xludf.DUMMYFUNCTION("""COMPUTED_VALUE"""),"03 ORL")</f>
        <v>03 ORL</v>
      </c>
      <c r="N298" s="6" t="str">
        <f ca="1">IFERROR(__xludf.DUMMYFUNCTION("""COMPUTED_VALUE"""),"06 ORL")</f>
        <v>06 ORL</v>
      </c>
      <c r="O298" s="6" t="str">
        <f ca="1">IFERROR(__xludf.DUMMYFUNCTION("""COMPUTED_VALUE"""),"Dr, José Joaquín Gutiérrez Barquín")</f>
        <v>Dr, José Joaquín Gutiérrez Barquín</v>
      </c>
      <c r="P298" s="6" t="str">
        <f ca="1">IFERROR(__xludf.DUMMYFUNCTION("""COMPUTED_VALUE"""),"Maika Blázquez (Madrid)")</f>
        <v>Maika Blázquez (Madrid)</v>
      </c>
    </row>
    <row r="299" spans="2:16">
      <c r="B299" s="6">
        <f ca="1">IFERROR(__xludf.DUMMYFUNCTION("""COMPUTED_VALUE"""),2025)</f>
        <v>2025</v>
      </c>
      <c r="C299" s="6">
        <f ca="1">IFERROR(__xludf.DUMMYFUNCTION("""COMPUTED_VALUE"""),3)</f>
        <v>3</v>
      </c>
      <c r="D299" s="6" t="str">
        <f ca="1">IFERROR(__xludf.DUMMYFUNCTION("""COMPUTED_VALUE"""),"NO")</f>
        <v>NO</v>
      </c>
      <c r="E299" s="6" t="str">
        <f ca="1">IFERROR(__xludf.DUMMYFUNCTION("""COMPUTED_VALUE"""),"Madrid- La Oca")</f>
        <v>Madrid- La Oca</v>
      </c>
      <c r="F299" s="16">
        <f ca="1">IFERROR(__xludf.DUMMYFUNCTION("""COMPUTED_VALUE"""),45720)</f>
        <v>45720</v>
      </c>
      <c r="G299" s="16">
        <f ca="1">IFERROR(__xludf.DUMMYFUNCTION("""COMPUTED_VALUE"""),45705)</f>
        <v>45705</v>
      </c>
      <c r="H299" s="6" t="str">
        <f ca="1">IFERROR(__xludf.DUMMYFUNCTION("""COMPUTED_VALUE"""),"La Oca")</f>
        <v>La Oca</v>
      </c>
      <c r="I299" s="6" t="str">
        <f ca="1">IFERROR(__xludf.DUMMYFUNCTION("""COMPUTED_VALUE"""),"C2025217175323860")</f>
        <v>C2025217175323860</v>
      </c>
      <c r="J299" s="6" t="str">
        <f ca="1">IFERROR(__xludf.DUMMYFUNCTION("""COMPUTED_VALUE"""),"CONSUELO GARCIA PANADERO")</f>
        <v>CONSUELO GARCIA PANADERO</v>
      </c>
      <c r="K299" s="6">
        <f ca="1">IFERROR(__xludf.DUMMYFUNCTION("""COMPUTED_VALUE"""),2)</f>
        <v>2</v>
      </c>
      <c r="L299" s="139">
        <f ca="1">IFERROR(__xludf.DUMMYFUNCTION("""COMPUTED_VALUE"""),3710)</f>
        <v>3710</v>
      </c>
      <c r="M299" s="6" t="str">
        <f ca="1">IFERROR(__xludf.DUMMYFUNCTION("""COMPUTED_VALUE"""),"03 ORL")</f>
        <v>03 ORL</v>
      </c>
      <c r="N299" s="6" t="str">
        <f ca="1">IFERROR(__xludf.DUMMYFUNCTION("""COMPUTED_VALUE"""),"06 ORL")</f>
        <v>06 ORL</v>
      </c>
      <c r="O299" s="6" t="str">
        <f ca="1">IFERROR(__xludf.DUMMYFUNCTION("""COMPUTED_VALUE"""),"Dr, José Joaquín Gutiérrez Barquín")</f>
        <v>Dr, José Joaquín Gutiérrez Barquín</v>
      </c>
      <c r="P299" s="6" t="str">
        <f ca="1">IFERROR(__xludf.DUMMYFUNCTION("""COMPUTED_VALUE"""),"Maika Blázquez (Madrid)")</f>
        <v>Maika Blázquez (Madrid)</v>
      </c>
    </row>
    <row r="300" spans="2:16">
      <c r="B300" s="6">
        <f ca="1">IFERROR(__xludf.DUMMYFUNCTION("""COMPUTED_VALUE"""),2025)</f>
        <v>2025</v>
      </c>
      <c r="C300" s="6">
        <f ca="1">IFERROR(__xludf.DUMMYFUNCTION("""COMPUTED_VALUE"""),3)</f>
        <v>3</v>
      </c>
      <c r="D300" s="6" t="str">
        <f ca="1">IFERROR(__xludf.DUMMYFUNCTION("""COMPUTED_VALUE"""),"NO")</f>
        <v>NO</v>
      </c>
      <c r="E300" s="6" t="str">
        <f ca="1">IFERROR(__xludf.DUMMYFUNCTION("""COMPUTED_VALUE"""),"Logroño")</f>
        <v>Logroño</v>
      </c>
      <c r="F300" s="16">
        <f ca="1">IFERROR(__xludf.DUMMYFUNCTION("""COMPUTED_VALUE"""),45720)</f>
        <v>45720</v>
      </c>
      <c r="G300" s="16">
        <f ca="1">IFERROR(__xludf.DUMMYFUNCTION("""COMPUTED_VALUE"""),45692)</f>
        <v>45692</v>
      </c>
      <c r="H300" s="6" t="str">
        <f ca="1">IFERROR(__xludf.DUMMYFUNCTION("""COMPUTED_VALUE"""),"Logroño")</f>
        <v>Logroño</v>
      </c>
      <c r="I300" s="6" t="str">
        <f ca="1">IFERROR(__xludf.DUMMYFUNCTION("""COMPUTED_VALUE"""),"C202524105039184")</f>
        <v>C202524105039184</v>
      </c>
      <c r="J300" s="6" t="str">
        <f ca="1">IFERROR(__xludf.DUMMYFUNCTION("""COMPUTED_VALUE"""),"JOSE MANUEL MONTOYA SUBERVIOLA")</f>
        <v>JOSE MANUEL MONTOYA SUBERVIOLA</v>
      </c>
      <c r="K300" s="6">
        <f ca="1">IFERROR(__xludf.DUMMYFUNCTION("""COMPUTED_VALUE"""),2)</f>
        <v>2</v>
      </c>
      <c r="L300" s="139">
        <f ca="1">IFERROR(__xludf.DUMMYFUNCTION("""COMPUTED_VALUE"""),4000)</f>
        <v>4000</v>
      </c>
      <c r="M300" s="6" t="str">
        <f ca="1">IFERROR(__xludf.DUMMYFUNCTION("""COMPUTED_VALUE"""),"03 ORL")</f>
        <v>03 ORL</v>
      </c>
      <c r="N300" s="6" t="str">
        <f ca="1">IFERROR(__xludf.DUMMYFUNCTION("""COMPUTED_VALUE"""),"06 ORL")</f>
        <v>06 ORL</v>
      </c>
      <c r="O300" s="6" t="str">
        <f ca="1">IFERROR(__xludf.DUMMYFUNCTION("""COMPUTED_VALUE"""),"Dr, Fernando Salazar Barcelona")</f>
        <v>Dr, Fernando Salazar Barcelona</v>
      </c>
      <c r="P300" s="6" t="str">
        <f ca="1">IFERROR(__xludf.DUMMYFUNCTION("""COMPUTED_VALUE"""),"Lisandro Russian (Madrid, Cáceres, Toledo, Talavera Y Logroño)")</f>
        <v>Lisandro Russian (Madrid, Cáceres, Toledo, Talavera Y Logroño)</v>
      </c>
    </row>
    <row r="301" spans="2:16">
      <c r="B301" s="6">
        <f ca="1">IFERROR(__xludf.DUMMYFUNCTION("""COMPUTED_VALUE"""),2025)</f>
        <v>2025</v>
      </c>
      <c r="C301" s="6">
        <f ca="1">IFERROR(__xludf.DUMMYFUNCTION("""COMPUTED_VALUE"""),3)</f>
        <v>3</v>
      </c>
      <c r="D301" s="6" t="str">
        <f ca="1">IFERROR(__xludf.DUMMYFUNCTION("""COMPUTED_VALUE"""),"NO")</f>
        <v>NO</v>
      </c>
      <c r="E301" s="6" t="str">
        <f ca="1">IFERROR(__xludf.DUMMYFUNCTION("""COMPUTED_VALUE"""),"Albacete")</f>
        <v>Albacete</v>
      </c>
      <c r="F301" s="16">
        <f ca="1">IFERROR(__xludf.DUMMYFUNCTION("""COMPUTED_VALUE"""),45721)</f>
        <v>45721</v>
      </c>
      <c r="G301" s="16">
        <f ca="1">IFERROR(__xludf.DUMMYFUNCTION("""COMPUTED_VALUE"""),45680)</f>
        <v>45680</v>
      </c>
      <c r="H301" s="6" t="str">
        <f ca="1">IFERROR(__xludf.DUMMYFUNCTION("""COMPUTED_VALUE"""),"Albacete")</f>
        <v>Albacete</v>
      </c>
      <c r="I301" s="6" t="str">
        <f ca="1">IFERROR(__xludf.DUMMYFUNCTION("""COMPUTED_VALUE"""),"C2025128111112737")</f>
        <v>C2025128111112737</v>
      </c>
      <c r="J301" s="6" t="str">
        <f ca="1">IFERROR(__xludf.DUMMYFUNCTION("""COMPUTED_VALUE"""),"ELISA BLAZQUEZ LOZANO")</f>
        <v>ELISA BLAZQUEZ LOZANO</v>
      </c>
      <c r="K301" s="6">
        <f ca="1">IFERROR(__xludf.DUMMYFUNCTION("""COMPUTED_VALUE"""),2)</f>
        <v>2</v>
      </c>
      <c r="L301" s="139">
        <f ca="1">IFERROR(__xludf.DUMMYFUNCTION("""COMPUTED_VALUE"""),2430.27)</f>
        <v>2430.27</v>
      </c>
      <c r="M301" s="6" t="str">
        <f ca="1">IFERROR(__xludf.DUMMYFUNCTION("""COMPUTED_VALUE"""),"03 ORL")</f>
        <v>03 ORL</v>
      </c>
      <c r="N301" s="6" t="str">
        <f ca="1">IFERROR(__xludf.DUMMYFUNCTION("""COMPUTED_VALUE"""),"06 ORL")</f>
        <v>06 ORL</v>
      </c>
      <c r="O301" s="6" t="str">
        <f ca="1">IFERROR(__xludf.DUMMYFUNCTION("""COMPUTED_VALUE"""),"Dr, Javier García-Dueñas González")</f>
        <v>Dr, Javier García-Dueñas González</v>
      </c>
      <c r="P301" s="6" t="str">
        <f ca="1">IFERROR(__xludf.DUMMYFUNCTION("""COMPUTED_VALUE"""),"Iván Sánchez (Levante Y Albacete)")</f>
        <v>Iván Sánchez (Levante Y Albacete)</v>
      </c>
    </row>
    <row r="302" spans="2:16">
      <c r="B302" s="6">
        <f ca="1">IFERROR(__xludf.DUMMYFUNCTION("""COMPUTED_VALUE"""),2025)</f>
        <v>2025</v>
      </c>
      <c r="C302" s="6">
        <f ca="1">IFERROR(__xludf.DUMMYFUNCTION("""COMPUTED_VALUE"""),3)</f>
        <v>3</v>
      </c>
      <c r="D302" s="6" t="str">
        <f ca="1">IFERROR(__xludf.DUMMYFUNCTION("""COMPUTED_VALUE"""),"NO")</f>
        <v>NO</v>
      </c>
      <c r="E302" s="6" t="str">
        <f ca="1">IFERROR(__xludf.DUMMYFUNCTION("""COMPUTED_VALUE"""),"Madrid- Costa Rica")</f>
        <v>Madrid- Costa Rica</v>
      </c>
      <c r="F302" s="16">
        <f ca="1">IFERROR(__xludf.DUMMYFUNCTION("""COMPUTED_VALUE"""),45722)</f>
        <v>45722</v>
      </c>
      <c r="G302" s="16">
        <f ca="1">IFERROR(__xludf.DUMMYFUNCTION("""COMPUTED_VALUE"""),45687)</f>
        <v>45687</v>
      </c>
      <c r="H302" s="6" t="str">
        <f ca="1">IFERROR(__xludf.DUMMYFUNCTION("""COMPUTED_VALUE"""),"Costa Rica")</f>
        <v>Costa Rica</v>
      </c>
      <c r="I302" s="6" t="str">
        <f ca="1">IFERROR(__xludf.DUMMYFUNCTION("""COMPUTED_VALUE"""),"C20252411952720")</f>
        <v>C20252411952720</v>
      </c>
      <c r="J302" s="6" t="str">
        <f ca="1">IFERROR(__xludf.DUMMYFUNCTION("""COMPUTED_VALUE"""),"RAMIRO PESCADOR LAGUNILLA")</f>
        <v>RAMIRO PESCADOR LAGUNILLA</v>
      </c>
      <c r="K302" s="6">
        <f ca="1">IFERROR(__xludf.DUMMYFUNCTION("""COMPUTED_VALUE"""),2)</f>
        <v>2</v>
      </c>
      <c r="L302" s="139">
        <f ca="1">IFERROR(__xludf.DUMMYFUNCTION("""COMPUTED_VALUE"""),3710)</f>
        <v>3710</v>
      </c>
      <c r="M302" s="6" t="str">
        <f ca="1">IFERROR(__xludf.DUMMYFUNCTION("""COMPUTED_VALUE"""),"03 ORL")</f>
        <v>03 ORL</v>
      </c>
      <c r="N302" s="6" t="str">
        <f ca="1">IFERROR(__xludf.DUMMYFUNCTION("""COMPUTED_VALUE"""),"06 ORL")</f>
        <v>06 ORL</v>
      </c>
      <c r="O302" s="6" t="str">
        <f ca="1">IFERROR(__xludf.DUMMYFUNCTION("""COMPUTED_VALUE"""),"Dr, Guillermo San Juan De La Moreta")</f>
        <v>Dr, Guillermo San Juan De La Moreta</v>
      </c>
      <c r="P302" s="6" t="str">
        <f ca="1">IFERROR(__xludf.DUMMYFUNCTION("""COMPUTED_VALUE"""),"Maika Blázquez (Madrid)")</f>
        <v>Maika Blázquez (Madrid)</v>
      </c>
    </row>
    <row r="303" spans="2:16">
      <c r="B303" s="6">
        <f ca="1">IFERROR(__xludf.DUMMYFUNCTION("""COMPUTED_VALUE"""),2025)</f>
        <v>2025</v>
      </c>
      <c r="C303" s="6">
        <f ca="1">IFERROR(__xludf.DUMMYFUNCTION("""COMPUTED_VALUE"""),3)</f>
        <v>3</v>
      </c>
      <c r="D303" s="6" t="str">
        <f ca="1">IFERROR(__xludf.DUMMYFUNCTION("""COMPUTED_VALUE"""),"NO")</f>
        <v>NO</v>
      </c>
      <c r="E303" s="6" t="str">
        <f ca="1">IFERROR(__xludf.DUMMYFUNCTION("""COMPUTED_VALUE"""),"Albacete")</f>
        <v>Albacete</v>
      </c>
      <c r="F303" s="16">
        <f ca="1">IFERROR(__xludf.DUMMYFUNCTION("""COMPUTED_VALUE"""),45723)</f>
        <v>45723</v>
      </c>
      <c r="G303" s="16">
        <f ca="1">IFERROR(__xludf.DUMMYFUNCTION("""COMPUTED_VALUE"""),45688)</f>
        <v>45688</v>
      </c>
      <c r="H303" s="6" t="str">
        <f ca="1">IFERROR(__xludf.DUMMYFUNCTION("""COMPUTED_VALUE"""),"Albacete")</f>
        <v>Albacete</v>
      </c>
      <c r="I303" s="6" t="str">
        <f ca="1">IFERROR(__xludf.DUMMYFUNCTION("""COMPUTED_VALUE"""),"C20252693337518")</f>
        <v>C20252693337518</v>
      </c>
      <c r="J303" s="6" t="str">
        <f ca="1">IFERROR(__xludf.DUMMYFUNCTION("""COMPUTED_VALUE"""),"DAVID IGUAL LUIS")</f>
        <v>DAVID IGUAL LUIS</v>
      </c>
      <c r="K303" s="6">
        <f ca="1">IFERROR(__xludf.DUMMYFUNCTION("""COMPUTED_VALUE"""),2)</f>
        <v>2</v>
      </c>
      <c r="L303" s="139">
        <f ca="1">IFERROR(__xludf.DUMMYFUNCTION("""COMPUTED_VALUE"""),4000)</f>
        <v>4000</v>
      </c>
      <c r="M303" s="6" t="str">
        <f ca="1">IFERROR(__xludf.DUMMYFUNCTION("""COMPUTED_VALUE"""),"03 ORL")</f>
        <v>03 ORL</v>
      </c>
      <c r="N303" s="6" t="str">
        <f ca="1">IFERROR(__xludf.DUMMYFUNCTION("""COMPUTED_VALUE"""),"06 ORL")</f>
        <v>06 ORL</v>
      </c>
      <c r="O303" s="6" t="str">
        <f ca="1">IFERROR(__xludf.DUMMYFUNCTION("""COMPUTED_VALUE"""),"Dr, Javier García-Dueñas González")</f>
        <v>Dr, Javier García-Dueñas González</v>
      </c>
      <c r="P303" s="6" t="str">
        <f ca="1">IFERROR(__xludf.DUMMYFUNCTION("""COMPUTED_VALUE"""),"Iván Sánchez (Levante Y Albacete)")</f>
        <v>Iván Sánchez (Levante Y Albacete)</v>
      </c>
    </row>
    <row r="304" spans="2:16">
      <c r="B304" s="6">
        <f ca="1">IFERROR(__xludf.DUMMYFUNCTION("""COMPUTED_VALUE"""),2025)</f>
        <v>2025</v>
      </c>
      <c r="C304" s="6">
        <f ca="1">IFERROR(__xludf.DUMMYFUNCTION("""COMPUTED_VALUE"""),3)</f>
        <v>3</v>
      </c>
      <c r="D304" s="6" t="str">
        <f ca="1">IFERROR(__xludf.DUMMYFUNCTION("""COMPUTED_VALUE"""),"NO")</f>
        <v>NO</v>
      </c>
      <c r="E304" s="6" t="str">
        <f ca="1">IFERROR(__xludf.DUMMYFUNCTION("""COMPUTED_VALUE"""),"Madrid- Canillas")</f>
        <v>Madrid- Canillas</v>
      </c>
      <c r="F304" s="16">
        <f ca="1">IFERROR(__xludf.DUMMYFUNCTION("""COMPUTED_VALUE"""),45723)</f>
        <v>45723</v>
      </c>
      <c r="G304" s="16">
        <f ca="1">IFERROR(__xludf.DUMMYFUNCTION("""COMPUTED_VALUE"""),45692)</f>
        <v>45692</v>
      </c>
      <c r="H304" s="6" t="str">
        <f ca="1">IFERROR(__xludf.DUMMYFUNCTION("""COMPUTED_VALUE"""),"Canillas")</f>
        <v>Canillas</v>
      </c>
      <c r="I304" s="6" t="str">
        <f ca="1">IFERROR(__xludf.DUMMYFUNCTION("""COMPUTED_VALUE"""),"C2025212163045986")</f>
        <v>C2025212163045986</v>
      </c>
      <c r="J304" s="6" t="str">
        <f ca="1">IFERROR(__xludf.DUMMYFUNCTION("""COMPUTED_VALUE"""),"MARIA DEL CARMEN  GARCIA FERNANDEZ")</f>
        <v>MARIA DEL CARMEN  GARCIA FERNANDEZ</v>
      </c>
      <c r="K304" s="6">
        <f ca="1">IFERROR(__xludf.DUMMYFUNCTION("""COMPUTED_VALUE"""),2)</f>
        <v>2</v>
      </c>
      <c r="L304" s="139">
        <f ca="1">IFERROR(__xludf.DUMMYFUNCTION("""COMPUTED_VALUE"""),4000)</f>
        <v>4000</v>
      </c>
      <c r="M304" s="6" t="str">
        <f ca="1">IFERROR(__xludf.DUMMYFUNCTION("""COMPUTED_VALUE"""),"03 ORL")</f>
        <v>03 ORL</v>
      </c>
      <c r="N304" s="6" t="str">
        <f ca="1">IFERROR(__xludf.DUMMYFUNCTION("""COMPUTED_VALUE"""),"06 ORL")</f>
        <v>06 ORL</v>
      </c>
      <c r="O304" s="6" t="str">
        <f ca="1">IFERROR(__xludf.DUMMYFUNCTION("""COMPUTED_VALUE"""),"Dr, José Gustavo Barroso Braojos")</f>
        <v>Dr, José Gustavo Barroso Braojos</v>
      </c>
      <c r="P304" s="6" t="str">
        <f ca="1">IFERROR(__xludf.DUMMYFUNCTION("""COMPUTED_VALUE"""),"Maika Blázquez (Madrid)")</f>
        <v>Maika Blázquez (Madrid)</v>
      </c>
    </row>
    <row r="305" spans="2:16">
      <c r="B305" s="6">
        <f ca="1">IFERROR(__xludf.DUMMYFUNCTION("""COMPUTED_VALUE"""),2025)</f>
        <v>2025</v>
      </c>
      <c r="C305" s="6">
        <f ca="1">IFERROR(__xludf.DUMMYFUNCTION("""COMPUTED_VALUE"""),3)</f>
        <v>3</v>
      </c>
      <c r="D305" s="6" t="str">
        <f ca="1">IFERROR(__xludf.DUMMYFUNCTION("""COMPUTED_VALUE"""),"NO")</f>
        <v>NO</v>
      </c>
      <c r="E305" s="6" t="str">
        <f ca="1">IFERROR(__xludf.DUMMYFUNCTION("""COMPUTED_VALUE"""),"Logroño")</f>
        <v>Logroño</v>
      </c>
      <c r="F305" s="16">
        <f ca="1">IFERROR(__xludf.DUMMYFUNCTION("""COMPUTED_VALUE"""),45726)</f>
        <v>45726</v>
      </c>
      <c r="G305" s="16">
        <f ca="1">IFERROR(__xludf.DUMMYFUNCTION("""COMPUTED_VALUE"""),45678)</f>
        <v>45678</v>
      </c>
      <c r="H305" s="6" t="str">
        <f ca="1">IFERROR(__xludf.DUMMYFUNCTION("""COMPUTED_VALUE"""),"Logroño")</f>
        <v>Logroño</v>
      </c>
      <c r="I305" s="6" t="str">
        <f ca="1">IFERROR(__xludf.DUMMYFUNCTION("""COMPUTED_VALUE"""),"C2025127121545790")</f>
        <v>C2025127121545790</v>
      </c>
      <c r="J305" s="6" t="str">
        <f ca="1">IFERROR(__xludf.DUMMYFUNCTION("""COMPUTED_VALUE"""),"VICTORIA  MARTINEZ CASADO")</f>
        <v>VICTORIA  MARTINEZ CASADO</v>
      </c>
      <c r="K305" s="6">
        <f ca="1">IFERROR(__xludf.DUMMYFUNCTION("""COMPUTED_VALUE"""),2)</f>
        <v>2</v>
      </c>
      <c r="L305" s="139">
        <f ca="1">IFERROR(__xludf.DUMMYFUNCTION("""COMPUTED_VALUE"""),4400)</f>
        <v>4400</v>
      </c>
      <c r="M305" s="6" t="str">
        <f ca="1">IFERROR(__xludf.DUMMYFUNCTION("""COMPUTED_VALUE"""),"03 ORL")</f>
        <v>03 ORL</v>
      </c>
      <c r="N305" s="6" t="str">
        <f ca="1">IFERROR(__xludf.DUMMYFUNCTION("""COMPUTED_VALUE"""),"06 ORL")</f>
        <v>06 ORL</v>
      </c>
      <c r="O305" s="6" t="str">
        <f ca="1">IFERROR(__xludf.DUMMYFUNCTION("""COMPUTED_VALUE"""),"Dr, Fernando Salazar Barcelona")</f>
        <v>Dr, Fernando Salazar Barcelona</v>
      </c>
      <c r="P305" s="6" t="str">
        <f ca="1">IFERROR(__xludf.DUMMYFUNCTION("""COMPUTED_VALUE"""),"Lisandro Russian (Madrid, Cáceres, Toledo, Talavera Y Logroño)")</f>
        <v>Lisandro Russian (Madrid, Cáceres, Toledo, Talavera Y Logroño)</v>
      </c>
    </row>
    <row r="306" spans="2:16">
      <c r="B306" s="6">
        <f ca="1">IFERROR(__xludf.DUMMYFUNCTION("""COMPUTED_VALUE"""),2025)</f>
        <v>2025</v>
      </c>
      <c r="C306" s="6">
        <f ca="1">IFERROR(__xludf.DUMMYFUNCTION("""COMPUTED_VALUE"""),3)</f>
        <v>3</v>
      </c>
      <c r="D306" s="6" t="str">
        <f ca="1">IFERROR(__xludf.DUMMYFUNCTION("""COMPUTED_VALUE"""),"NO")</f>
        <v>NO</v>
      </c>
      <c r="E306" s="6" t="str">
        <f ca="1">IFERROR(__xludf.DUMMYFUNCTION("""COMPUTED_VALUE"""),"Madrid- La Oca")</f>
        <v>Madrid- La Oca</v>
      </c>
      <c r="F306" s="16">
        <f ca="1">IFERROR(__xludf.DUMMYFUNCTION("""COMPUTED_VALUE"""),45726)</f>
        <v>45726</v>
      </c>
      <c r="G306" s="16">
        <f ca="1">IFERROR(__xludf.DUMMYFUNCTION("""COMPUTED_VALUE"""),45685)</f>
        <v>45685</v>
      </c>
      <c r="H306" s="6" t="str">
        <f ca="1">IFERROR(__xludf.DUMMYFUNCTION("""COMPUTED_VALUE"""),"La Oca")</f>
        <v>La Oca</v>
      </c>
      <c r="I306" s="6" t="str">
        <f ca="1">IFERROR(__xludf.DUMMYFUNCTION("""COMPUTED_VALUE"""),"C202526162851990")</f>
        <v>C202526162851990</v>
      </c>
      <c r="J306" s="6" t="str">
        <f ca="1">IFERROR(__xludf.DUMMYFUNCTION("""COMPUTED_VALUE"""),"ANA BELEN ESCUDERO ALONSO")</f>
        <v>ANA BELEN ESCUDERO ALONSO</v>
      </c>
      <c r="K306" s="6">
        <f ca="1">IFERROR(__xludf.DUMMYFUNCTION("""COMPUTED_VALUE"""),1)</f>
        <v>1</v>
      </c>
      <c r="L306" s="139">
        <f ca="1">IFERROR(__xludf.DUMMYFUNCTION("""COMPUTED_VALUE"""),2115.05)</f>
        <v>2115.0500000000002</v>
      </c>
      <c r="M306" s="6" t="str">
        <f ca="1">IFERROR(__xludf.DUMMYFUNCTION("""COMPUTED_VALUE"""),"03 ORL")</f>
        <v>03 ORL</v>
      </c>
      <c r="N306" s="6" t="str">
        <f ca="1">IFERROR(__xludf.DUMMYFUNCTION("""COMPUTED_VALUE"""),"06 ORL")</f>
        <v>06 ORL</v>
      </c>
      <c r="O306" s="6" t="str">
        <f ca="1">IFERROR(__xludf.DUMMYFUNCTION("""COMPUTED_VALUE"""),"Dr, Jaime Martín Carranza")</f>
        <v>Dr, Jaime Martín Carranza</v>
      </c>
      <c r="P306" s="6" t="str">
        <f ca="1">IFERROR(__xludf.DUMMYFUNCTION("""COMPUTED_VALUE"""),"Maika Blázquez (Madrid)")</f>
        <v>Maika Blázquez (Madrid)</v>
      </c>
    </row>
    <row r="307" spans="2:16">
      <c r="B307" s="6">
        <f ca="1">IFERROR(__xludf.DUMMYFUNCTION("""COMPUTED_VALUE"""),2025)</f>
        <v>2025</v>
      </c>
      <c r="C307" s="6">
        <f ca="1">IFERROR(__xludf.DUMMYFUNCTION("""COMPUTED_VALUE"""),3)</f>
        <v>3</v>
      </c>
      <c r="D307" s="6" t="str">
        <f ca="1">IFERROR(__xludf.DUMMYFUNCTION("""COMPUTED_VALUE"""),"NO")</f>
        <v>NO</v>
      </c>
      <c r="E307" s="6" t="str">
        <f ca="1">IFERROR(__xludf.DUMMYFUNCTION("""COMPUTED_VALUE"""),"Orihuela")</f>
        <v>Orihuela</v>
      </c>
      <c r="F307" s="16">
        <f ca="1">IFERROR(__xludf.DUMMYFUNCTION("""COMPUTED_VALUE"""),45726)</f>
        <v>45726</v>
      </c>
      <c r="G307" s="16">
        <f ca="1">IFERROR(__xludf.DUMMYFUNCTION("""COMPUTED_VALUE"""),45705)</f>
        <v>45705</v>
      </c>
      <c r="H307" s="6" t="str">
        <f ca="1">IFERROR(__xludf.DUMMYFUNCTION("""COMPUTED_VALUE"""),"La Zenia")</f>
        <v>La Zenia</v>
      </c>
      <c r="I307" s="6" t="str">
        <f ca="1">IFERROR(__xludf.DUMMYFUNCTION("""COMPUTED_VALUE"""),"C202522016428508")</f>
        <v>C202522016428508</v>
      </c>
      <c r="J307" s="6" t="str">
        <f ca="1">IFERROR(__xludf.DUMMYFUNCTION("""COMPUTED_VALUE"""),"MARGARET LUCY CLACHER")</f>
        <v>MARGARET LUCY CLACHER</v>
      </c>
      <c r="K307" s="6">
        <f ca="1">IFERROR(__xludf.DUMMYFUNCTION("""COMPUTED_VALUE"""),2)</f>
        <v>2</v>
      </c>
      <c r="L307" s="139">
        <f ca="1">IFERROR(__xludf.DUMMYFUNCTION("""COMPUTED_VALUE"""),4400)</f>
        <v>4400</v>
      </c>
      <c r="M307" s="6" t="str">
        <f ca="1">IFERROR(__xludf.DUMMYFUNCTION("""COMPUTED_VALUE"""),"03 ORL")</f>
        <v>03 ORL</v>
      </c>
      <c r="N307" s="6" t="str">
        <f ca="1">IFERROR(__xludf.DUMMYFUNCTION("""COMPUTED_VALUE"""),"06 ORL")</f>
        <v>06 ORL</v>
      </c>
      <c r="O307" s="6" t="str">
        <f ca="1">IFERROR(__xludf.DUMMYFUNCTION("""COMPUTED_VALUE"""),"Dr, Carlos Velásquez Fermín")</f>
        <v>Dr, Carlos Velásquez Fermín</v>
      </c>
      <c r="P307" s="6" t="str">
        <f ca="1">IFERROR(__xludf.DUMMYFUNCTION("""COMPUTED_VALUE"""),"Iván Sánchez (Levante Y Albacete)")</f>
        <v>Iván Sánchez (Levante Y Albacete)</v>
      </c>
    </row>
    <row r="308" spans="2:16">
      <c r="B308" s="6">
        <f ca="1">IFERROR(__xludf.DUMMYFUNCTION("""COMPUTED_VALUE"""),2025)</f>
        <v>2025</v>
      </c>
      <c r="C308" s="6">
        <f ca="1">IFERROR(__xludf.DUMMYFUNCTION("""COMPUTED_VALUE"""),3)</f>
        <v>3</v>
      </c>
      <c r="D308" s="6" t="str">
        <f ca="1">IFERROR(__xludf.DUMMYFUNCTION("""COMPUTED_VALUE"""),"NO")</f>
        <v>NO</v>
      </c>
      <c r="E308" s="6" t="str">
        <f ca="1">IFERROR(__xludf.DUMMYFUNCTION("""COMPUTED_VALUE"""),"Madrid- Canillas")</f>
        <v>Madrid- Canillas</v>
      </c>
      <c r="F308" s="16">
        <f ca="1">IFERROR(__xludf.DUMMYFUNCTION("""COMPUTED_VALUE"""),45726)</f>
        <v>45726</v>
      </c>
      <c r="G308" s="16">
        <f ca="1">IFERROR(__xludf.DUMMYFUNCTION("""COMPUTED_VALUE"""),45706)</f>
        <v>45706</v>
      </c>
      <c r="H308" s="6" t="str">
        <f ca="1">IFERROR(__xludf.DUMMYFUNCTION("""COMPUTED_VALUE"""),"Canillas")</f>
        <v>Canillas</v>
      </c>
      <c r="I308" s="6" t="str">
        <f ca="1">IFERROR(__xludf.DUMMYFUNCTION("""COMPUTED_VALUE"""),"C20253515576860")</f>
        <v>C20253515576860</v>
      </c>
      <c r="J308" s="6" t="str">
        <f ca="1">IFERROR(__xludf.DUMMYFUNCTION("""COMPUTED_VALUE"""),"LUIS DEL AMO RIAZOR")</f>
        <v>LUIS DEL AMO RIAZOR</v>
      </c>
      <c r="K308" s="6">
        <f ca="1">IFERROR(__xludf.DUMMYFUNCTION("""COMPUTED_VALUE"""),2)</f>
        <v>2</v>
      </c>
      <c r="L308" s="139">
        <f ca="1">IFERROR(__xludf.DUMMYFUNCTION("""COMPUTED_VALUE"""),2888.18)</f>
        <v>2888.18</v>
      </c>
      <c r="M308" s="6" t="str">
        <f ca="1">IFERROR(__xludf.DUMMYFUNCTION("""COMPUTED_VALUE"""),"03 ORL")</f>
        <v>03 ORL</v>
      </c>
      <c r="N308" s="6" t="str">
        <f ca="1">IFERROR(__xludf.DUMMYFUNCTION("""COMPUTED_VALUE"""),"06 ORL")</f>
        <v>06 ORL</v>
      </c>
      <c r="O308" s="6" t="str">
        <f ca="1">IFERROR(__xludf.DUMMYFUNCTION("""COMPUTED_VALUE"""),"Dr, José Gustavo Barroso Braojos")</f>
        <v>Dr, José Gustavo Barroso Braojos</v>
      </c>
      <c r="P308" s="6" t="str">
        <f ca="1">IFERROR(__xludf.DUMMYFUNCTION("""COMPUTED_VALUE"""),"Maika Blázquez (Madrid)")</f>
        <v>Maika Blázquez (Madrid)</v>
      </c>
    </row>
    <row r="309" spans="2:16">
      <c r="B309" s="6">
        <f ca="1">IFERROR(__xludf.DUMMYFUNCTION("""COMPUTED_VALUE"""),2025)</f>
        <v>2025</v>
      </c>
      <c r="C309" s="6">
        <f ca="1">IFERROR(__xludf.DUMMYFUNCTION("""COMPUTED_VALUE"""),3)</f>
        <v>3</v>
      </c>
      <c r="D309" s="6" t="str">
        <f ca="1">IFERROR(__xludf.DUMMYFUNCTION("""COMPUTED_VALUE"""),"NO")</f>
        <v>NO</v>
      </c>
      <c r="E309" s="6" t="str">
        <f ca="1">IFERROR(__xludf.DUMMYFUNCTION("""COMPUTED_VALUE"""),"Madrid- Galileo")</f>
        <v>Madrid- Galileo</v>
      </c>
      <c r="F309" s="16">
        <f ca="1">IFERROR(__xludf.DUMMYFUNCTION("""COMPUTED_VALUE"""),45727)</f>
        <v>45727</v>
      </c>
      <c r="G309" s="16">
        <f ca="1">IFERROR(__xludf.DUMMYFUNCTION("""COMPUTED_VALUE"""),45706)</f>
        <v>45706</v>
      </c>
      <c r="H309" s="6" t="str">
        <f ca="1">IFERROR(__xludf.DUMMYFUNCTION("""COMPUTED_VALUE"""),"Moncloa")</f>
        <v>Moncloa</v>
      </c>
      <c r="I309" s="6" t="str">
        <f ca="1">IFERROR(__xludf.DUMMYFUNCTION("""COMPUTED_VALUE"""),"C20252211280151")</f>
        <v>C20252211280151</v>
      </c>
      <c r="J309" s="6" t="str">
        <f ca="1">IFERROR(__xludf.DUMMYFUNCTION("""COMPUTED_VALUE"""),"ANDRES FERREIRO CARREÑO")</f>
        <v>ANDRES FERREIRO CARREÑO</v>
      </c>
      <c r="K309" s="6">
        <f ca="1">IFERROR(__xludf.DUMMYFUNCTION("""COMPUTED_VALUE"""),2)</f>
        <v>2</v>
      </c>
      <c r="L309" s="139">
        <f ca="1">IFERROR(__xludf.DUMMYFUNCTION("""COMPUTED_VALUE"""),4000)</f>
        <v>4000</v>
      </c>
      <c r="M309" s="6" t="str">
        <f ca="1">IFERROR(__xludf.DUMMYFUNCTION("""COMPUTED_VALUE"""),"01 MARKETING ON LINE")</f>
        <v>01 MARKETING ON LINE</v>
      </c>
      <c r="N309" s="6" t="str">
        <f ca="1">IFERROR(__xludf.DUMMYFUNCTION("""COMPUTED_VALUE"""),"01 WEB AUDICOST")</f>
        <v>01 WEB AUDICOST</v>
      </c>
      <c r="O309" s="6" t="str">
        <f ca="1">IFERROR(__xludf.DUMMYFUNCTION("""COMPUTED_VALUE"""),"Dr, Esteban Scola Pliego")</f>
        <v>Dr, Esteban Scola Pliego</v>
      </c>
      <c r="P309" s="6" t="str">
        <f ca="1">IFERROR(__xludf.DUMMYFUNCTION("""COMPUTED_VALUE"""),"Maika Blázquez (Madrid)")</f>
        <v>Maika Blázquez (Madrid)</v>
      </c>
    </row>
    <row r="310" spans="2:16">
      <c r="B310" s="6">
        <f ca="1">IFERROR(__xludf.DUMMYFUNCTION("""COMPUTED_VALUE"""),2025)</f>
        <v>2025</v>
      </c>
      <c r="C310" s="6">
        <f ca="1">IFERROR(__xludf.DUMMYFUNCTION("""COMPUTED_VALUE"""),3)</f>
        <v>3</v>
      </c>
      <c r="D310" s="6" t="str">
        <f ca="1">IFERROR(__xludf.DUMMYFUNCTION("""COMPUTED_VALUE"""),"NO")</f>
        <v>NO</v>
      </c>
      <c r="E310" s="6" t="str">
        <f ca="1">IFERROR(__xludf.DUMMYFUNCTION("""COMPUTED_VALUE"""),"Orihuela")</f>
        <v>Orihuela</v>
      </c>
      <c r="F310" s="16">
        <f ca="1">IFERROR(__xludf.DUMMYFUNCTION("""COMPUTED_VALUE"""),45727)</f>
        <v>45727</v>
      </c>
      <c r="G310" s="16">
        <f ca="1">IFERROR(__xludf.DUMMYFUNCTION("""COMPUTED_VALUE"""),45677)</f>
        <v>45677</v>
      </c>
      <c r="H310" s="6" t="str">
        <f ca="1">IFERROR(__xludf.DUMMYFUNCTION("""COMPUTED_VALUE"""),"La Zenia")</f>
        <v>La Zenia</v>
      </c>
      <c r="I310" s="6" t="str">
        <f ca="1">IFERROR(__xludf.DUMMYFUNCTION("""COMPUTED_VALUE"""),"C2025217145632196")</f>
        <v>C2025217145632196</v>
      </c>
      <c r="J310" s="6" t="str">
        <f ca="1">IFERROR(__xludf.DUMMYFUNCTION("""COMPUTED_VALUE"""),"AMANDA JANE CARTER")</f>
        <v>AMANDA JANE CARTER</v>
      </c>
      <c r="K310" s="6">
        <f ca="1">IFERROR(__xludf.DUMMYFUNCTION("""COMPUTED_VALUE"""),1)</f>
        <v>1</v>
      </c>
      <c r="L310" s="139">
        <f ca="1">IFERROR(__xludf.DUMMYFUNCTION("""COMPUTED_VALUE"""),2640)</f>
        <v>2640</v>
      </c>
      <c r="M310" s="6" t="str">
        <f ca="1">IFERROR(__xludf.DUMMYFUNCTION("""COMPUTED_VALUE"""),"03 ORL")</f>
        <v>03 ORL</v>
      </c>
      <c r="N310" s="6" t="str">
        <f ca="1">IFERROR(__xludf.DUMMYFUNCTION("""COMPUTED_VALUE"""),"06 ORL")</f>
        <v>06 ORL</v>
      </c>
      <c r="O310" s="6" t="str">
        <f ca="1">IFERROR(__xludf.DUMMYFUNCTION("""COMPUTED_VALUE"""),"Dr, Rubén Moreno Arrones")</f>
        <v>Dr, Rubén Moreno Arrones</v>
      </c>
      <c r="P310" s="6" t="str">
        <f ca="1">IFERROR(__xludf.DUMMYFUNCTION("""COMPUTED_VALUE"""),"Iván Sánchez (Levante Y Albacete)")</f>
        <v>Iván Sánchez (Levante Y Albacete)</v>
      </c>
    </row>
    <row r="311" spans="2:16">
      <c r="B311" s="6">
        <f ca="1">IFERROR(__xludf.DUMMYFUNCTION("""COMPUTED_VALUE"""),2025)</f>
        <v>2025</v>
      </c>
      <c r="C311" s="6">
        <f ca="1">IFERROR(__xludf.DUMMYFUNCTION("""COMPUTED_VALUE"""),3)</f>
        <v>3</v>
      </c>
      <c r="D311" s="6" t="str">
        <f ca="1">IFERROR(__xludf.DUMMYFUNCTION("""COMPUTED_VALUE"""),"NO")</f>
        <v>NO</v>
      </c>
      <c r="E311" s="6" t="str">
        <f ca="1">IFERROR(__xludf.DUMMYFUNCTION("""COMPUTED_VALUE"""),"Alcorcón")</f>
        <v>Alcorcón</v>
      </c>
      <c r="F311" s="16">
        <f ca="1">IFERROR(__xludf.DUMMYFUNCTION("""COMPUTED_VALUE"""),45727)</f>
        <v>45727</v>
      </c>
      <c r="G311" s="16">
        <f ca="1">IFERROR(__xludf.DUMMYFUNCTION("""COMPUTED_VALUE"""),45702)</f>
        <v>45702</v>
      </c>
      <c r="H311" s="6" t="str">
        <f ca="1">IFERROR(__xludf.DUMMYFUNCTION("""COMPUTED_VALUE"""),"Alcorcón")</f>
        <v>Alcorcón</v>
      </c>
      <c r="I311" s="6" t="str">
        <f ca="1">IFERROR(__xludf.DUMMYFUNCTION("""COMPUTED_VALUE"""),"C2025217111439791")</f>
        <v>C2025217111439791</v>
      </c>
      <c r="J311" s="6" t="str">
        <f ca="1">IFERROR(__xludf.DUMMYFUNCTION("""COMPUTED_VALUE"""),"MARIA DEL CARMEN  SIERRA GOMEZ")</f>
        <v>MARIA DEL CARMEN  SIERRA GOMEZ</v>
      </c>
      <c r="K311" s="6">
        <f ca="1">IFERROR(__xludf.DUMMYFUNCTION("""COMPUTED_VALUE"""),2)</f>
        <v>2</v>
      </c>
      <c r="L311" s="139">
        <f ca="1">IFERROR(__xludf.DUMMYFUNCTION("""COMPUTED_VALUE"""),3710)</f>
        <v>3710</v>
      </c>
      <c r="M311" s="6" t="str">
        <f ca="1">IFERROR(__xludf.DUMMYFUNCTION("""COMPUTED_VALUE"""),"03 ORL")</f>
        <v>03 ORL</v>
      </c>
      <c r="N311" s="6" t="str">
        <f ca="1">IFERROR(__xludf.DUMMYFUNCTION("""COMPUTED_VALUE"""),"06 ORL")</f>
        <v>06 ORL</v>
      </c>
      <c r="O311" s="6" t="str">
        <f ca="1">IFERROR(__xludf.DUMMYFUNCTION("""COMPUTED_VALUE"""),"Dra, María Magdalena Pérez Ortín ")</f>
        <v>Dra, María Magdalena Pérez Ortín </v>
      </c>
      <c r="P311" s="6" t="str">
        <f ca="1">IFERROR(__xludf.DUMMYFUNCTION("""COMPUTED_VALUE"""),"Lisandro Russian (Madrid, Cáceres, Toledo, Talavera Y Logroño)")</f>
        <v>Lisandro Russian (Madrid, Cáceres, Toledo, Talavera Y Logroño)</v>
      </c>
    </row>
    <row r="312" spans="2:16">
      <c r="B312" s="6">
        <f ca="1">IFERROR(__xludf.DUMMYFUNCTION("""COMPUTED_VALUE"""),2025)</f>
        <v>2025</v>
      </c>
      <c r="C312" s="6">
        <f ca="1">IFERROR(__xludf.DUMMYFUNCTION("""COMPUTED_VALUE"""),3)</f>
        <v>3</v>
      </c>
      <c r="D312" s="6" t="str">
        <f ca="1">IFERROR(__xludf.DUMMYFUNCTION("""COMPUTED_VALUE"""),"NO")</f>
        <v>NO</v>
      </c>
      <c r="E312" s="6" t="str">
        <f ca="1">IFERROR(__xludf.DUMMYFUNCTION("""COMPUTED_VALUE"""),"Madrid- Moratalaz")</f>
        <v>Madrid- Moratalaz</v>
      </c>
      <c r="F312" s="16">
        <f ca="1">IFERROR(__xludf.DUMMYFUNCTION("""COMPUTED_VALUE"""),45727)</f>
        <v>45727</v>
      </c>
      <c r="G312" s="16">
        <f ca="1">IFERROR(__xludf.DUMMYFUNCTION("""COMPUTED_VALUE"""),45692)</f>
        <v>45692</v>
      </c>
      <c r="H312" s="6" t="str">
        <f ca="1">IFERROR(__xludf.DUMMYFUNCTION("""COMPUTED_VALUE"""),"Moratalaz")</f>
        <v>Moratalaz</v>
      </c>
      <c r="I312" s="6" t="str">
        <f ca="1">IFERROR(__xludf.DUMMYFUNCTION("""COMPUTED_VALUE"""),"C2025211162321299")</f>
        <v>C2025211162321299</v>
      </c>
      <c r="J312" s="6" t="str">
        <f ca="1">IFERROR(__xludf.DUMMYFUNCTION("""COMPUTED_VALUE"""),"MARIA ROSARIO  CHUECA AGUADO")</f>
        <v>MARIA ROSARIO  CHUECA AGUADO</v>
      </c>
      <c r="K312" s="6">
        <f ca="1">IFERROR(__xludf.DUMMYFUNCTION("""COMPUTED_VALUE"""),2)</f>
        <v>2</v>
      </c>
      <c r="L312" s="139">
        <f ca="1">IFERROR(__xludf.DUMMYFUNCTION("""COMPUTED_VALUE"""),4000)</f>
        <v>4000</v>
      </c>
      <c r="M312" s="6" t="str">
        <f ca="1">IFERROR(__xludf.DUMMYFUNCTION("""COMPUTED_VALUE"""),"03 ORL")</f>
        <v>03 ORL</v>
      </c>
      <c r="N312" s="6" t="str">
        <f ca="1">IFERROR(__xludf.DUMMYFUNCTION("""COMPUTED_VALUE"""),"06 ORL")</f>
        <v>06 ORL</v>
      </c>
      <c r="O312" s="6" t="str">
        <f ca="1">IFERROR(__xludf.DUMMYFUNCTION("""COMPUTED_VALUE"""),"Dr, Esteban Scola Pliego")</f>
        <v>Dr, Esteban Scola Pliego</v>
      </c>
      <c r="P312" s="6" t="str">
        <f ca="1">IFERROR(__xludf.DUMMYFUNCTION("""COMPUTED_VALUE"""),"Maika Blázquez (Madrid)")</f>
        <v>Maika Blázquez (Madrid)</v>
      </c>
    </row>
    <row r="313" spans="2:16">
      <c r="B313" s="6">
        <f ca="1">IFERROR(__xludf.DUMMYFUNCTION("""COMPUTED_VALUE"""),2025)</f>
        <v>2025</v>
      </c>
      <c r="C313" s="6">
        <f ca="1">IFERROR(__xludf.DUMMYFUNCTION("""COMPUTED_VALUE"""),3)</f>
        <v>3</v>
      </c>
      <c r="D313" s="6" t="str">
        <f ca="1">IFERROR(__xludf.DUMMYFUNCTION("""COMPUTED_VALUE"""),"NO")</f>
        <v>NO</v>
      </c>
      <c r="E313" s="6" t="str">
        <f ca="1">IFERROR(__xludf.DUMMYFUNCTION("""COMPUTED_VALUE"""),"Getafe")</f>
        <v>Getafe</v>
      </c>
      <c r="F313" s="16">
        <f ca="1">IFERROR(__xludf.DUMMYFUNCTION("""COMPUTED_VALUE"""),45728)</f>
        <v>45728</v>
      </c>
      <c r="G313" s="16">
        <f ca="1">IFERROR(__xludf.DUMMYFUNCTION("""COMPUTED_VALUE"""),45629)</f>
        <v>45629</v>
      </c>
      <c r="H313" s="6" t="str">
        <f ca="1">IFERROR(__xludf.DUMMYFUNCTION("""COMPUTED_VALUE"""),"Getafe")</f>
        <v>Getafe</v>
      </c>
      <c r="I313" s="6" t="str">
        <f ca="1">IFERROR(__xludf.DUMMYFUNCTION("""COMPUTED_VALUE"""),"C202511316058815")</f>
        <v>C202511316058815</v>
      </c>
      <c r="J313" s="6" t="str">
        <f ca="1">IFERROR(__xludf.DUMMYFUNCTION("""COMPUTED_VALUE"""),"MARIA PIEDAD AYUELA LOBATO")</f>
        <v>MARIA PIEDAD AYUELA LOBATO</v>
      </c>
      <c r="K313" s="6">
        <f ca="1">IFERROR(__xludf.DUMMYFUNCTION("""COMPUTED_VALUE"""),2)</f>
        <v>2</v>
      </c>
      <c r="L313" s="139">
        <f ca="1">IFERROR(__xludf.DUMMYFUNCTION("""COMPUTED_VALUE"""),3800)</f>
        <v>3800</v>
      </c>
      <c r="M313" s="6" t="str">
        <f ca="1">IFERROR(__xludf.DUMMYFUNCTION("""COMPUTED_VALUE"""),"03 ORL")</f>
        <v>03 ORL</v>
      </c>
      <c r="N313" s="6" t="str">
        <f ca="1">IFERROR(__xludf.DUMMYFUNCTION("""COMPUTED_VALUE"""),"06 ORL")</f>
        <v>06 ORL</v>
      </c>
      <c r="O313" s="6" t="str">
        <f ca="1">IFERROR(__xludf.DUMMYFUNCTION("""COMPUTED_VALUE"""),"Dra, María Garrote Garrote")</f>
        <v>Dra, María Garrote Garrote</v>
      </c>
      <c r="P313" s="6" t="str">
        <f ca="1">IFERROR(__xludf.DUMMYFUNCTION("""COMPUTED_VALUE"""),"Maika Blázquez (Madrid)")</f>
        <v>Maika Blázquez (Madrid)</v>
      </c>
    </row>
    <row r="314" spans="2:16">
      <c r="B314" s="6">
        <f ca="1">IFERROR(__xludf.DUMMYFUNCTION("""COMPUTED_VALUE"""),2025)</f>
        <v>2025</v>
      </c>
      <c r="C314" s="6">
        <f ca="1">IFERROR(__xludf.DUMMYFUNCTION("""COMPUTED_VALUE"""),3)</f>
        <v>3</v>
      </c>
      <c r="D314" s="6" t="str">
        <f ca="1">IFERROR(__xludf.DUMMYFUNCTION("""COMPUTED_VALUE"""),"NO")</f>
        <v>NO</v>
      </c>
      <c r="E314" s="6" t="str">
        <f ca="1">IFERROR(__xludf.DUMMYFUNCTION("""COMPUTED_VALUE"""),"Madrid- Juan Bravo")</f>
        <v>Madrid- Juan Bravo</v>
      </c>
      <c r="F314" s="16">
        <f ca="1">IFERROR(__xludf.DUMMYFUNCTION("""COMPUTED_VALUE"""),45729)</f>
        <v>45729</v>
      </c>
      <c r="G314" s="16">
        <f ca="1">IFERROR(__xludf.DUMMYFUNCTION("""COMPUTED_VALUE"""),45709)</f>
        <v>45709</v>
      </c>
      <c r="H314" s="6" t="str">
        <f ca="1">IFERROR(__xludf.DUMMYFUNCTION("""COMPUTED_VALUE"""),"Juan Bravo")</f>
        <v>Juan Bravo</v>
      </c>
      <c r="I314" s="6" t="str">
        <f ca="1">IFERROR(__xludf.DUMMYFUNCTION("""COMPUTED_VALUE"""),"C202522415322175")</f>
        <v>C202522415322175</v>
      </c>
      <c r="J314" s="6" t="str">
        <f ca="1">IFERROR(__xludf.DUMMYFUNCTION("""COMPUTED_VALUE"""),"FRANCISCO CANO HUELVES")</f>
        <v>FRANCISCO CANO HUELVES</v>
      </c>
      <c r="K314" s="6">
        <f ca="1">IFERROR(__xludf.DUMMYFUNCTION("""COMPUTED_VALUE"""),1)</f>
        <v>1</v>
      </c>
      <c r="L314" s="139">
        <f ca="1">IFERROR(__xludf.DUMMYFUNCTION("""COMPUTED_VALUE"""),2640)</f>
        <v>2640</v>
      </c>
      <c r="M314" s="6" t="str">
        <f ca="1">IFERROR(__xludf.DUMMYFUNCTION("""COMPUTED_VALUE"""),"03 ORL")</f>
        <v>03 ORL</v>
      </c>
      <c r="N314" s="6" t="str">
        <f ca="1">IFERROR(__xludf.DUMMYFUNCTION("""COMPUTED_VALUE"""),"06 ORL")</f>
        <v>06 ORL</v>
      </c>
      <c r="O314" s="6" t="str">
        <f ca="1">IFERROR(__xludf.DUMMYFUNCTION("""COMPUTED_VALUE"""),"Dr, Alejandro Harguindey Antoli-Candela")</f>
        <v>Dr, Alejandro Harguindey Antoli-Candela</v>
      </c>
      <c r="P314" s="6" t="str">
        <f ca="1">IFERROR(__xludf.DUMMYFUNCTION("""COMPUTED_VALUE"""),"Maika Blázquez (Madrid)")</f>
        <v>Maika Blázquez (Madrid)</v>
      </c>
    </row>
    <row r="315" spans="2:16">
      <c r="B315" s="6">
        <f ca="1">IFERROR(__xludf.DUMMYFUNCTION("""COMPUTED_VALUE"""),2025)</f>
        <v>2025</v>
      </c>
      <c r="C315" s="6">
        <f ca="1">IFERROR(__xludf.DUMMYFUNCTION("""COMPUTED_VALUE"""),3)</f>
        <v>3</v>
      </c>
      <c r="D315" s="6" t="str">
        <f ca="1">IFERROR(__xludf.DUMMYFUNCTION("""COMPUTED_VALUE"""),"NO")</f>
        <v>NO</v>
      </c>
      <c r="E315" s="6" t="str">
        <f ca="1">IFERROR(__xludf.DUMMYFUNCTION("""COMPUTED_VALUE"""),"Ourense")</f>
        <v>Ourense</v>
      </c>
      <c r="F315" s="16">
        <f ca="1">IFERROR(__xludf.DUMMYFUNCTION("""COMPUTED_VALUE"""),45729)</f>
        <v>45729</v>
      </c>
      <c r="G315" s="16">
        <f ca="1">IFERROR(__xludf.DUMMYFUNCTION("""COMPUTED_VALUE"""),45677)</f>
        <v>45677</v>
      </c>
      <c r="H315" s="6" t="str">
        <f ca="1">IFERROR(__xludf.DUMMYFUNCTION("""COMPUTED_VALUE"""),"Orense")</f>
        <v>Orense</v>
      </c>
      <c r="I315" s="6" t="str">
        <f ca="1">IFERROR(__xludf.DUMMYFUNCTION("""COMPUTED_VALUE"""),"C202512212136169")</f>
        <v>C202512212136169</v>
      </c>
      <c r="J315" s="6" t="str">
        <f ca="1">IFERROR(__xludf.DUMMYFUNCTION("""COMPUTED_VALUE"""),"VICENTE FAILDE FERNANDEZ")</f>
        <v>VICENTE FAILDE FERNANDEZ</v>
      </c>
      <c r="K315" s="6">
        <f ca="1">IFERROR(__xludf.DUMMYFUNCTION("""COMPUTED_VALUE"""),1)</f>
        <v>1</v>
      </c>
      <c r="L315" s="139">
        <f ca="1">IFERROR(__xludf.DUMMYFUNCTION("""COMPUTED_VALUE"""),2225.96)</f>
        <v>2225.96</v>
      </c>
      <c r="M315" s="6" t="str">
        <f ca="1">IFERROR(__xludf.DUMMYFUNCTION("""COMPUTED_VALUE"""),"03 ORL")</f>
        <v>03 ORL</v>
      </c>
      <c r="N315" s="6" t="str">
        <f ca="1">IFERROR(__xludf.DUMMYFUNCTION("""COMPUTED_VALUE"""),"06 ORL")</f>
        <v>06 ORL</v>
      </c>
      <c r="O315" s="6" t="str">
        <f ca="1">IFERROR(__xludf.DUMMYFUNCTION("""COMPUTED_VALUE"""),"Dra, María Rey Marcos")</f>
        <v>Dra, María Rey Marcos</v>
      </c>
      <c r="P315" s="6" t="str">
        <f ca="1">IFERROR(__xludf.DUMMYFUNCTION("""COMPUTED_VALUE"""),"Roberto Pereira (Galicia)")</f>
        <v>Roberto Pereira (Galicia)</v>
      </c>
    </row>
    <row r="316" spans="2:16">
      <c r="B316" s="6">
        <f ca="1">IFERROR(__xludf.DUMMYFUNCTION("""COMPUTED_VALUE"""),2025)</f>
        <v>2025</v>
      </c>
      <c r="C316" s="6">
        <f ca="1">IFERROR(__xludf.DUMMYFUNCTION("""COMPUTED_VALUE"""),3)</f>
        <v>3</v>
      </c>
      <c r="D316" s="6" t="str">
        <f ca="1">IFERROR(__xludf.DUMMYFUNCTION("""COMPUTED_VALUE"""),"NO")</f>
        <v>NO</v>
      </c>
      <c r="E316" s="6" t="str">
        <f ca="1">IFERROR(__xludf.DUMMYFUNCTION("""COMPUTED_VALUE"""),"Madrid- Juan Bravo")</f>
        <v>Madrid- Juan Bravo</v>
      </c>
      <c r="F316" s="16">
        <f ca="1">IFERROR(__xludf.DUMMYFUNCTION("""COMPUTED_VALUE"""),45729)</f>
        <v>45729</v>
      </c>
      <c r="G316" s="16">
        <f ca="1">IFERROR(__xludf.DUMMYFUNCTION("""COMPUTED_VALUE"""),45701)</f>
        <v>45701</v>
      </c>
      <c r="H316" s="6" t="str">
        <f ca="1">IFERROR(__xludf.DUMMYFUNCTION("""COMPUTED_VALUE"""),"Juan Bravo")</f>
        <v>Juan Bravo</v>
      </c>
      <c r="I316" s="6" t="str">
        <f ca="1">IFERROR(__xludf.DUMMYFUNCTION("""COMPUTED_VALUE"""),"C2025218103231649")</f>
        <v>C2025218103231649</v>
      </c>
      <c r="J316" s="6" t="str">
        <f ca="1">IFERROR(__xludf.DUMMYFUNCTION("""COMPUTED_VALUE"""),"JOSE  GORDILLO DURAN")</f>
        <v>JOSE  GORDILLO DURAN</v>
      </c>
      <c r="K316" s="6">
        <f ca="1">IFERROR(__xludf.DUMMYFUNCTION("""COMPUTED_VALUE"""),2)</f>
        <v>2</v>
      </c>
      <c r="L316" s="139">
        <f ca="1">IFERROR(__xludf.DUMMYFUNCTION("""COMPUTED_VALUE"""),3710)</f>
        <v>3710</v>
      </c>
      <c r="M316" s="6" t="str">
        <f ca="1">IFERROR(__xludf.DUMMYFUNCTION("""COMPUTED_VALUE"""),"03 ORL")</f>
        <v>03 ORL</v>
      </c>
      <c r="N316" s="6" t="str">
        <f ca="1">IFERROR(__xludf.DUMMYFUNCTION("""COMPUTED_VALUE"""),"06 ORL")</f>
        <v>06 ORL</v>
      </c>
      <c r="O316" s="6" t="str">
        <f ca="1">IFERROR(__xludf.DUMMYFUNCTION("""COMPUTED_VALUE"""),"Dr, Javier García Domínguez")</f>
        <v>Dr, Javier García Domínguez</v>
      </c>
      <c r="P316" s="6" t="str">
        <f ca="1">IFERROR(__xludf.DUMMYFUNCTION("""COMPUTED_VALUE"""),"Maika Blázquez (Madrid)")</f>
        <v>Maika Blázquez (Madrid)</v>
      </c>
    </row>
    <row r="317" spans="2:16">
      <c r="B317" s="6">
        <f ca="1">IFERROR(__xludf.DUMMYFUNCTION("""COMPUTED_VALUE"""),2025)</f>
        <v>2025</v>
      </c>
      <c r="C317" s="6">
        <f ca="1">IFERROR(__xludf.DUMMYFUNCTION("""COMPUTED_VALUE"""),3)</f>
        <v>3</v>
      </c>
      <c r="D317" s="6" t="str">
        <f ca="1">IFERROR(__xludf.DUMMYFUNCTION("""COMPUTED_VALUE"""),"NO")</f>
        <v>NO</v>
      </c>
      <c r="E317" s="6" t="str">
        <f ca="1">IFERROR(__xludf.DUMMYFUNCTION("""COMPUTED_VALUE"""),"Murcia")</f>
        <v>Murcia</v>
      </c>
      <c r="F317" s="16">
        <f ca="1">IFERROR(__xludf.DUMMYFUNCTION("""COMPUTED_VALUE"""),45729)</f>
        <v>45729</v>
      </c>
      <c r="G317" s="16">
        <f ca="1">IFERROR(__xludf.DUMMYFUNCTION("""COMPUTED_VALUE"""),45713)</f>
        <v>45713</v>
      </c>
      <c r="H317" s="6" t="str">
        <f ca="1">IFERROR(__xludf.DUMMYFUNCTION("""COMPUTED_VALUE"""),"Murcia")</f>
        <v>Murcia</v>
      </c>
      <c r="I317" s="6" t="str">
        <f ca="1">IFERROR(__xludf.DUMMYFUNCTION("""COMPUTED_VALUE"""),"C202522511335430")</f>
        <v>C202522511335430</v>
      </c>
      <c r="J317" s="6" t="str">
        <f ca="1">IFERROR(__xludf.DUMMYFUNCTION("""COMPUTED_VALUE"""),"JOAQUIN HERNANDEZ MANZANERA")</f>
        <v>JOAQUIN HERNANDEZ MANZANERA</v>
      </c>
      <c r="K317" s="6">
        <f ca="1">IFERROR(__xludf.DUMMYFUNCTION("""COMPUTED_VALUE"""),2)</f>
        <v>2</v>
      </c>
      <c r="L317" s="139">
        <f ca="1">IFERROR(__xludf.DUMMYFUNCTION("""COMPUTED_VALUE"""),3710)</f>
        <v>3710</v>
      </c>
      <c r="M317" s="6" t="str">
        <f ca="1">IFERROR(__xludf.DUMMYFUNCTION("""COMPUTED_VALUE"""),"03 ORL")</f>
        <v>03 ORL</v>
      </c>
      <c r="N317" s="6" t="str">
        <f ca="1">IFERROR(__xludf.DUMMYFUNCTION("""COMPUTED_VALUE"""),"06 ORL")</f>
        <v>06 ORL</v>
      </c>
      <c r="O317" s="6" t="str">
        <f ca="1">IFERROR(__xludf.DUMMYFUNCTION("""COMPUTED_VALUE"""),"Dr, Enrique López Meseguer")</f>
        <v>Dr, Enrique López Meseguer</v>
      </c>
      <c r="P317" s="6" t="str">
        <f ca="1">IFERROR(__xludf.DUMMYFUNCTION("""COMPUTED_VALUE"""),"Iván Sánchez (Levante Y Albacete)")</f>
        <v>Iván Sánchez (Levante Y Albacete)</v>
      </c>
    </row>
    <row r="318" spans="2:16">
      <c r="B318" s="6">
        <f ca="1">IFERROR(__xludf.DUMMYFUNCTION("""COMPUTED_VALUE"""),2025)</f>
        <v>2025</v>
      </c>
      <c r="C318" s="6">
        <f ca="1">IFERROR(__xludf.DUMMYFUNCTION("""COMPUTED_VALUE"""),3)</f>
        <v>3</v>
      </c>
      <c r="D318" s="6" t="str">
        <f ca="1">IFERROR(__xludf.DUMMYFUNCTION("""COMPUTED_VALUE"""),"NO")</f>
        <v>NO</v>
      </c>
      <c r="E318" s="6" t="str">
        <f ca="1">IFERROR(__xludf.DUMMYFUNCTION("""COMPUTED_VALUE"""),"Sevilla- Montoto")</f>
        <v>Sevilla- Montoto</v>
      </c>
      <c r="F318" s="16">
        <f ca="1">IFERROR(__xludf.DUMMYFUNCTION("""COMPUTED_VALUE"""),45729)</f>
        <v>45729</v>
      </c>
      <c r="G318" s="16">
        <f ca="1">IFERROR(__xludf.DUMMYFUNCTION("""COMPUTED_VALUE"""),45653)</f>
        <v>45653</v>
      </c>
      <c r="H318" s="6" t="str">
        <f ca="1">IFERROR(__xludf.DUMMYFUNCTION("""COMPUTED_VALUE"""),"Montoto")</f>
        <v>Montoto</v>
      </c>
      <c r="I318" s="6" t="str">
        <f ca="1">IFERROR(__xludf.DUMMYFUNCTION("""COMPUTED_VALUE"""),"C202521718922830")</f>
        <v>C202521718922830</v>
      </c>
      <c r="J318" s="6" t="str">
        <f ca="1">IFERROR(__xludf.DUMMYFUNCTION("""COMPUTED_VALUE"""),"DOLORES BECERRA GONZALEZ")</f>
        <v>DOLORES BECERRA GONZALEZ</v>
      </c>
      <c r="K318" s="6">
        <f ca="1">IFERROR(__xludf.DUMMYFUNCTION("""COMPUTED_VALUE"""),2)</f>
        <v>2</v>
      </c>
      <c r="L318" s="139">
        <f ca="1">IFERROR(__xludf.DUMMYFUNCTION("""COMPUTED_VALUE"""),2888.18)</f>
        <v>2888.18</v>
      </c>
      <c r="M318" s="6" t="str">
        <f ca="1">IFERROR(__xludf.DUMMYFUNCTION("""COMPUTED_VALUE"""),"03 ORL")</f>
        <v>03 ORL</v>
      </c>
      <c r="N318" s="6" t="str">
        <f ca="1">IFERROR(__xludf.DUMMYFUNCTION("""COMPUTED_VALUE"""),"06 ORL")</f>
        <v>06 ORL</v>
      </c>
      <c r="O318" s="6" t="str">
        <f ca="1">IFERROR(__xludf.DUMMYFUNCTION("""COMPUTED_VALUE"""),"Dra, Estefanía Berrocal Postigo")</f>
        <v>Dra, Estefanía Berrocal Postigo</v>
      </c>
      <c r="P318" s="6" t="str">
        <f ca="1">IFERROR(__xludf.DUMMYFUNCTION("""COMPUTED_VALUE"""),"Luis Alberto Rodríguez (Andalucía Y Badajoz)")</f>
        <v>Luis Alberto Rodríguez (Andalucía Y Badajoz)</v>
      </c>
    </row>
    <row r="319" spans="2:16">
      <c r="B319" s="6">
        <f ca="1">IFERROR(__xludf.DUMMYFUNCTION("""COMPUTED_VALUE"""),2025)</f>
        <v>2025</v>
      </c>
      <c r="C319" s="6">
        <f ca="1">IFERROR(__xludf.DUMMYFUNCTION("""COMPUTED_VALUE"""),3)</f>
        <v>3</v>
      </c>
      <c r="D319" s="6" t="str">
        <f ca="1">IFERROR(__xludf.DUMMYFUNCTION("""COMPUTED_VALUE"""),"NO")</f>
        <v>NO</v>
      </c>
      <c r="E319" s="6" t="str">
        <f ca="1">IFERROR(__xludf.DUMMYFUNCTION("""COMPUTED_VALUE"""),"Madrid- Juan Bravo")</f>
        <v>Madrid- Juan Bravo</v>
      </c>
      <c r="F319" s="16">
        <f ca="1">IFERROR(__xludf.DUMMYFUNCTION("""COMPUTED_VALUE"""),45729)</f>
        <v>45729</v>
      </c>
      <c r="G319" s="16">
        <f ca="1">IFERROR(__xludf.DUMMYFUNCTION("""COMPUTED_VALUE"""),45701)</f>
        <v>45701</v>
      </c>
      <c r="H319" s="6" t="str">
        <f ca="1">IFERROR(__xludf.DUMMYFUNCTION("""COMPUTED_VALUE"""),"Juan Bravo")</f>
        <v>Juan Bravo</v>
      </c>
      <c r="I319" s="6" t="str">
        <f ca="1">IFERROR(__xludf.DUMMYFUNCTION("""COMPUTED_VALUE"""),"C202521911535298")</f>
        <v>C202521911535298</v>
      </c>
      <c r="J319" s="6" t="str">
        <f ca="1">IFERROR(__xludf.DUMMYFUNCTION("""COMPUTED_VALUE"""),"JOAQUIN GUIRAO ULLASTRES")</f>
        <v>JOAQUIN GUIRAO ULLASTRES</v>
      </c>
      <c r="K319" s="6">
        <f ca="1">IFERROR(__xludf.DUMMYFUNCTION("""COMPUTED_VALUE"""),2)</f>
        <v>2</v>
      </c>
      <c r="L319" s="139">
        <f ca="1">IFERROR(__xludf.DUMMYFUNCTION("""COMPUTED_VALUE"""),4000)</f>
        <v>4000</v>
      </c>
      <c r="M319" s="6" t="str">
        <f ca="1">IFERROR(__xludf.DUMMYFUNCTION("""COMPUTED_VALUE"""),"03 ORL")</f>
        <v>03 ORL</v>
      </c>
      <c r="N319" s="6" t="str">
        <f ca="1">IFERROR(__xludf.DUMMYFUNCTION("""COMPUTED_VALUE"""),"06 ORL")</f>
        <v>06 ORL</v>
      </c>
      <c r="O319" s="6" t="str">
        <f ca="1">IFERROR(__xludf.DUMMYFUNCTION("""COMPUTED_VALUE"""),"Dr, Guillermo San Juan De La Moreta")</f>
        <v>Dr, Guillermo San Juan De La Moreta</v>
      </c>
      <c r="P319" s="6" t="str">
        <f ca="1">IFERROR(__xludf.DUMMYFUNCTION("""COMPUTED_VALUE"""),"Maika Blázquez (Madrid)")</f>
        <v>Maika Blázquez (Madrid)</v>
      </c>
    </row>
    <row r="320" spans="2:16">
      <c r="B320" s="6">
        <f ca="1">IFERROR(__xludf.DUMMYFUNCTION("""COMPUTED_VALUE"""),2025)</f>
        <v>2025</v>
      </c>
      <c r="C320" s="6">
        <f ca="1">IFERROR(__xludf.DUMMYFUNCTION("""COMPUTED_VALUE"""),3)</f>
        <v>3</v>
      </c>
      <c r="D320" s="6" t="str">
        <f ca="1">IFERROR(__xludf.DUMMYFUNCTION("""COMPUTED_VALUE"""),"NO")</f>
        <v>NO</v>
      </c>
      <c r="E320" s="6" t="str">
        <f ca="1">IFERROR(__xludf.DUMMYFUNCTION("""COMPUTED_VALUE"""),"Madrid- Moratalaz")</f>
        <v>Madrid- Moratalaz</v>
      </c>
      <c r="F320" s="16">
        <f ca="1">IFERROR(__xludf.DUMMYFUNCTION("""COMPUTED_VALUE"""),45729)</f>
        <v>45729</v>
      </c>
      <c r="G320" s="16">
        <f ca="1">IFERROR(__xludf.DUMMYFUNCTION("""COMPUTED_VALUE"""),45692)</f>
        <v>45692</v>
      </c>
      <c r="H320" s="6" t="str">
        <f ca="1">IFERROR(__xludf.DUMMYFUNCTION("""COMPUTED_VALUE"""),"Moratalaz")</f>
        <v>Moratalaz</v>
      </c>
      <c r="I320" s="6" t="str">
        <f ca="1">IFERROR(__xludf.DUMMYFUNCTION("""COMPUTED_VALUE"""),"C2025213175435372")</f>
        <v>C2025213175435372</v>
      </c>
      <c r="J320" s="6" t="str">
        <f ca="1">IFERROR(__xludf.DUMMYFUNCTION("""COMPUTED_VALUE"""),"CARLOS  ALONSO ALONSO")</f>
        <v>CARLOS  ALONSO ALONSO</v>
      </c>
      <c r="K320" s="6">
        <f ca="1">IFERROR(__xludf.DUMMYFUNCTION("""COMPUTED_VALUE"""),1)</f>
        <v>1</v>
      </c>
      <c r="L320" s="139">
        <f ca="1">IFERROR(__xludf.DUMMYFUNCTION("""COMPUTED_VALUE"""),2400)</f>
        <v>2400</v>
      </c>
      <c r="M320" s="6" t="str">
        <f ca="1">IFERROR(__xludf.DUMMYFUNCTION("""COMPUTED_VALUE"""),"03 ORL")</f>
        <v>03 ORL</v>
      </c>
      <c r="N320" s="6" t="str">
        <f ca="1">IFERROR(__xludf.DUMMYFUNCTION("""COMPUTED_VALUE"""),"06 ORL")</f>
        <v>06 ORL</v>
      </c>
      <c r="O320" s="6" t="str">
        <f ca="1">IFERROR(__xludf.DUMMYFUNCTION("""COMPUTED_VALUE"""),"Dr, Manuel Gutiérrez Triguero")</f>
        <v>Dr, Manuel Gutiérrez Triguero</v>
      </c>
      <c r="P320" s="6" t="str">
        <f ca="1">IFERROR(__xludf.DUMMYFUNCTION("""COMPUTED_VALUE"""),"Maika Blázquez (Madrid)")</f>
        <v>Maika Blázquez (Madrid)</v>
      </c>
    </row>
    <row r="321" spans="2:16">
      <c r="B321" s="6">
        <f ca="1">IFERROR(__xludf.DUMMYFUNCTION("""COMPUTED_VALUE"""),2025)</f>
        <v>2025</v>
      </c>
      <c r="C321" s="6">
        <f ca="1">IFERROR(__xludf.DUMMYFUNCTION("""COMPUTED_VALUE"""),3)</f>
        <v>3</v>
      </c>
      <c r="D321" s="6" t="str">
        <f ca="1">IFERROR(__xludf.DUMMYFUNCTION("""COMPUTED_VALUE"""),"NO")</f>
        <v>NO</v>
      </c>
      <c r="E321" s="6" t="str">
        <f ca="1">IFERROR(__xludf.DUMMYFUNCTION("""COMPUTED_VALUE"""),"Sevilla- Montoto")</f>
        <v>Sevilla- Montoto</v>
      </c>
      <c r="F321" s="16">
        <f ca="1">IFERROR(__xludf.DUMMYFUNCTION("""COMPUTED_VALUE"""),45730)</f>
        <v>45730</v>
      </c>
      <c r="G321" s="16">
        <f ca="1">IFERROR(__xludf.DUMMYFUNCTION("""COMPUTED_VALUE"""),45685)</f>
        <v>45685</v>
      </c>
      <c r="H321" s="6" t="str">
        <f ca="1">IFERROR(__xludf.DUMMYFUNCTION("""COMPUTED_VALUE"""),"Montoto")</f>
        <v>Montoto</v>
      </c>
      <c r="I321" s="6" t="str">
        <f ca="1">IFERROR(__xludf.DUMMYFUNCTION("""COMPUTED_VALUE"""),"C20252618244944")</f>
        <v>C20252618244944</v>
      </c>
      <c r="J321" s="6" t="str">
        <f ca="1">IFERROR(__xludf.DUMMYFUNCTION("""COMPUTED_VALUE"""),"PILAR CARRANZA GÜELL")</f>
        <v>PILAR CARRANZA GÜELL</v>
      </c>
      <c r="K321" s="6">
        <f ca="1">IFERROR(__xludf.DUMMYFUNCTION("""COMPUTED_VALUE"""),2)</f>
        <v>2</v>
      </c>
      <c r="L321" s="139">
        <f ca="1">IFERROR(__xludf.DUMMYFUNCTION("""COMPUTED_VALUE"""),3800)</f>
        <v>3800</v>
      </c>
      <c r="M321" s="6" t="str">
        <f ca="1">IFERROR(__xludf.DUMMYFUNCTION("""COMPUTED_VALUE"""),"03 ORL")</f>
        <v>03 ORL</v>
      </c>
      <c r="N321" s="6" t="str">
        <f ca="1">IFERROR(__xludf.DUMMYFUNCTION("""COMPUTED_VALUE"""),"06 ORL")</f>
        <v>06 ORL</v>
      </c>
      <c r="O321" s="6" t="str">
        <f ca="1">IFERROR(__xludf.DUMMYFUNCTION("""COMPUTED_VALUE"""),"Dr, Miguel Antonio Shepherd González")</f>
        <v>Dr, Miguel Antonio Shepherd González</v>
      </c>
      <c r="P321" s="6" t="str">
        <f ca="1">IFERROR(__xludf.DUMMYFUNCTION("""COMPUTED_VALUE"""),"Luis Alberto Rodríguez (Andalucía Y Badajoz)")</f>
        <v>Luis Alberto Rodríguez (Andalucía Y Badajoz)</v>
      </c>
    </row>
    <row r="322" spans="2:16">
      <c r="B322" s="6">
        <f ca="1">IFERROR(__xludf.DUMMYFUNCTION("""COMPUTED_VALUE"""),2025)</f>
        <v>2025</v>
      </c>
      <c r="C322" s="6">
        <f ca="1">IFERROR(__xludf.DUMMYFUNCTION("""COMPUTED_VALUE"""),3)</f>
        <v>3</v>
      </c>
      <c r="D322" s="6" t="str">
        <f ca="1">IFERROR(__xludf.DUMMYFUNCTION("""COMPUTED_VALUE"""),"NO")</f>
        <v>NO</v>
      </c>
      <c r="E322" s="6" t="str">
        <f ca="1">IFERROR(__xludf.DUMMYFUNCTION("""COMPUTED_VALUE"""),"Valencia- Cádiz")</f>
        <v>Valencia- Cádiz</v>
      </c>
      <c r="F322" s="16">
        <f ca="1">IFERROR(__xludf.DUMMYFUNCTION("""COMPUTED_VALUE"""),45730)</f>
        <v>45730</v>
      </c>
      <c r="G322" s="16">
        <f ca="1">IFERROR(__xludf.DUMMYFUNCTION("""COMPUTED_VALUE"""),45615)</f>
        <v>45615</v>
      </c>
      <c r="H322" s="6" t="str">
        <f ca="1">IFERROR(__xludf.DUMMYFUNCTION("""COMPUTED_VALUE"""),"Valencia- Cádiz")</f>
        <v>Valencia- Cádiz</v>
      </c>
      <c r="I322" s="6" t="str">
        <f ca="1">IFERROR(__xludf.DUMMYFUNCTION("""COMPUTED_VALUE"""),"C2024112118247319")</f>
        <v>C2024112118247319</v>
      </c>
      <c r="J322" s="6" t="str">
        <f ca="1">IFERROR(__xludf.DUMMYFUNCTION("""COMPUTED_VALUE"""),"SALVADOR BAUTISTA ZORNOZA")</f>
        <v>SALVADOR BAUTISTA ZORNOZA</v>
      </c>
      <c r="K322" s="6">
        <f ca="1">IFERROR(__xludf.DUMMYFUNCTION("""COMPUTED_VALUE"""),1)</f>
        <v>1</v>
      </c>
      <c r="L322" s="139">
        <f ca="1">IFERROR(__xludf.DUMMYFUNCTION("""COMPUTED_VALUE"""),2400)</f>
        <v>2400</v>
      </c>
      <c r="M322" s="6" t="str">
        <f ca="1">IFERROR(__xludf.DUMMYFUNCTION("""COMPUTED_VALUE"""),"03 ORL")</f>
        <v>03 ORL</v>
      </c>
      <c r="N322" s="6" t="str">
        <f ca="1">IFERROR(__xludf.DUMMYFUNCTION("""COMPUTED_VALUE"""),"06 ORL")</f>
        <v>06 ORL</v>
      </c>
      <c r="O322" s="6" t="str">
        <f ca="1">IFERROR(__xludf.DUMMYFUNCTION("""COMPUTED_VALUE"""),"Dr, Manuel Mateos Fernández")</f>
        <v>Dr, Manuel Mateos Fernández</v>
      </c>
      <c r="P322" s="6" t="str">
        <f ca="1">IFERROR(__xludf.DUMMYFUNCTION("""COMPUTED_VALUE"""),"Ramon Ferrando(Valencia)")</f>
        <v>Ramon Ferrando(Valencia)</v>
      </c>
    </row>
    <row r="323" spans="2:16">
      <c r="B323" s="6">
        <f ca="1">IFERROR(__xludf.DUMMYFUNCTION("""COMPUTED_VALUE"""),2025)</f>
        <v>2025</v>
      </c>
      <c r="C323" s="6">
        <f ca="1">IFERROR(__xludf.DUMMYFUNCTION("""COMPUTED_VALUE"""),3)</f>
        <v>3</v>
      </c>
      <c r="D323" s="6" t="str">
        <f ca="1">IFERROR(__xludf.DUMMYFUNCTION("""COMPUTED_VALUE"""),"NO")</f>
        <v>NO</v>
      </c>
      <c r="E323" s="6" t="str">
        <f ca="1">IFERROR(__xludf.DUMMYFUNCTION("""COMPUTED_VALUE"""),"Madrid- Canillas")</f>
        <v>Madrid- Canillas</v>
      </c>
      <c r="F323" s="16">
        <f ca="1">IFERROR(__xludf.DUMMYFUNCTION("""COMPUTED_VALUE"""),45730)</f>
        <v>45730</v>
      </c>
      <c r="G323" s="16">
        <f ca="1">IFERROR(__xludf.DUMMYFUNCTION("""COMPUTED_VALUE"""),45702)</f>
        <v>45702</v>
      </c>
      <c r="H323" s="6" t="str">
        <f ca="1">IFERROR(__xludf.DUMMYFUNCTION("""COMPUTED_VALUE"""),"Canillas")</f>
        <v>Canillas</v>
      </c>
      <c r="I323" s="6" t="str">
        <f ca="1">IFERROR(__xludf.DUMMYFUNCTION("""COMPUTED_VALUE"""),"C2025214104450298")</f>
        <v>C2025214104450298</v>
      </c>
      <c r="J323" s="6" t="str">
        <f ca="1">IFERROR(__xludf.DUMMYFUNCTION("""COMPUTED_VALUE"""),"DIONISIO VILLABA CORRAL")</f>
        <v>DIONISIO VILLABA CORRAL</v>
      </c>
      <c r="K323" s="6">
        <f ca="1">IFERROR(__xludf.DUMMYFUNCTION("""COMPUTED_VALUE"""),1)</f>
        <v>1</v>
      </c>
      <c r="L323" s="139">
        <f ca="1">IFERROR(__xludf.DUMMYFUNCTION("""COMPUTED_VALUE"""),2400)</f>
        <v>2400</v>
      </c>
      <c r="M323" s="6" t="str">
        <f ca="1">IFERROR(__xludf.DUMMYFUNCTION("""COMPUTED_VALUE"""),"03 ORL")</f>
        <v>03 ORL</v>
      </c>
      <c r="N323" s="6" t="str">
        <f ca="1">IFERROR(__xludf.DUMMYFUNCTION("""COMPUTED_VALUE"""),"06 ORL")</f>
        <v>06 ORL</v>
      </c>
      <c r="O323" s="6" t="str">
        <f ca="1">IFERROR(__xludf.DUMMYFUNCTION("""COMPUTED_VALUE"""),"Dr, Raimundo Andres Navarro Mediano")</f>
        <v>Dr, Raimundo Andres Navarro Mediano</v>
      </c>
      <c r="P323" s="6" t="str">
        <f ca="1">IFERROR(__xludf.DUMMYFUNCTION("""COMPUTED_VALUE"""),"Maika Blázquez (Madrid)")</f>
        <v>Maika Blázquez (Madrid)</v>
      </c>
    </row>
    <row r="324" spans="2:16">
      <c r="B324" s="6">
        <f ca="1">IFERROR(__xludf.DUMMYFUNCTION("""COMPUTED_VALUE"""),2025)</f>
        <v>2025</v>
      </c>
      <c r="C324" s="6">
        <f ca="1">IFERROR(__xludf.DUMMYFUNCTION("""COMPUTED_VALUE"""),3)</f>
        <v>3</v>
      </c>
      <c r="D324" s="6" t="str">
        <f ca="1">IFERROR(__xludf.DUMMYFUNCTION("""COMPUTED_VALUE"""),"NO")</f>
        <v>NO</v>
      </c>
      <c r="E324" s="6" t="str">
        <f ca="1">IFERROR(__xludf.DUMMYFUNCTION("""COMPUTED_VALUE"""),"Madrid- Costa Rica")</f>
        <v>Madrid- Costa Rica</v>
      </c>
      <c r="F324" s="16">
        <f ca="1">IFERROR(__xludf.DUMMYFUNCTION("""COMPUTED_VALUE"""),45733)</f>
        <v>45733</v>
      </c>
      <c r="G324" s="16">
        <f ca="1">IFERROR(__xludf.DUMMYFUNCTION("""COMPUTED_VALUE"""),45715)</f>
        <v>45715</v>
      </c>
      <c r="H324" s="6" t="str">
        <f ca="1">IFERROR(__xludf.DUMMYFUNCTION("""COMPUTED_VALUE"""),"Costa Rica")</f>
        <v>Costa Rica</v>
      </c>
      <c r="I324" s="6" t="str">
        <f ca="1">IFERROR(__xludf.DUMMYFUNCTION("""COMPUTED_VALUE"""),"C2025228155857266")</f>
        <v>C2025228155857266</v>
      </c>
      <c r="J324" s="6" t="str">
        <f ca="1">IFERROR(__xludf.DUMMYFUNCTION("""COMPUTED_VALUE"""),"PILAR REGIDOR DOÑORO")</f>
        <v>PILAR REGIDOR DOÑORO</v>
      </c>
      <c r="K324" s="6">
        <f ca="1">IFERROR(__xludf.DUMMYFUNCTION("""COMPUTED_VALUE"""),2)</f>
        <v>2</v>
      </c>
      <c r="L324" s="139">
        <f ca="1">IFERROR(__xludf.DUMMYFUNCTION("""COMPUTED_VALUE"""),4000)</f>
        <v>4000</v>
      </c>
      <c r="M324" s="6" t="str">
        <f ca="1">IFERROR(__xludf.DUMMYFUNCTION("""COMPUTED_VALUE"""),"03 ORL")</f>
        <v>03 ORL</v>
      </c>
      <c r="N324" s="6" t="str">
        <f ca="1">IFERROR(__xludf.DUMMYFUNCTION("""COMPUTED_VALUE"""),"06 ORL")</f>
        <v>06 ORL</v>
      </c>
      <c r="O324" s="6" t="str">
        <f ca="1">IFERROR(__xludf.DUMMYFUNCTION("""COMPUTED_VALUE"""),"Dr, Guillermo San Juan De La Moreta")</f>
        <v>Dr, Guillermo San Juan De La Moreta</v>
      </c>
      <c r="P324" s="6" t="str">
        <f ca="1">IFERROR(__xludf.DUMMYFUNCTION("""COMPUTED_VALUE"""),"Maika Blázquez (Madrid)")</f>
        <v>Maika Blázquez (Madrid)</v>
      </c>
    </row>
    <row r="325" spans="2:16">
      <c r="B325" s="6">
        <f ca="1">IFERROR(__xludf.DUMMYFUNCTION("""COMPUTED_VALUE"""),2025)</f>
        <v>2025</v>
      </c>
      <c r="C325" s="6">
        <f ca="1">IFERROR(__xludf.DUMMYFUNCTION("""COMPUTED_VALUE"""),3)</f>
        <v>3</v>
      </c>
      <c r="D325" s="6" t="str">
        <f ca="1">IFERROR(__xludf.DUMMYFUNCTION("""COMPUTED_VALUE"""),"NO")</f>
        <v>NO</v>
      </c>
      <c r="E325" s="6" t="str">
        <f ca="1">IFERROR(__xludf.DUMMYFUNCTION("""COMPUTED_VALUE"""),"Fuenlabrada")</f>
        <v>Fuenlabrada</v>
      </c>
      <c r="F325" s="16">
        <f ca="1">IFERROR(__xludf.DUMMYFUNCTION("""COMPUTED_VALUE"""),45733)</f>
        <v>45733</v>
      </c>
      <c r="G325" s="16">
        <f ca="1">IFERROR(__xludf.DUMMYFUNCTION("""COMPUTED_VALUE"""),45650)</f>
        <v>45650</v>
      </c>
      <c r="H325" s="6" t="str">
        <f ca="1">IFERROR(__xludf.DUMMYFUNCTION("""COMPUTED_VALUE"""),"Fuenlabrada")</f>
        <v>Fuenlabrada</v>
      </c>
      <c r="I325" s="6" t="str">
        <f ca="1">IFERROR(__xludf.DUMMYFUNCTION("""COMPUTED_VALUE"""),"C20251139655355")</f>
        <v>C20251139655355</v>
      </c>
      <c r="J325" s="6" t="str">
        <f ca="1">IFERROR(__xludf.DUMMYFUNCTION("""COMPUTED_VALUE"""),"Sasho Ivanov")</f>
        <v>Sasho Ivanov</v>
      </c>
      <c r="K325" s="6">
        <f ca="1">IFERROR(__xludf.DUMMYFUNCTION("""COMPUTED_VALUE"""),1)</f>
        <v>1</v>
      </c>
      <c r="L325" s="139">
        <f ca="1">IFERROR(__xludf.DUMMYFUNCTION("""COMPUTED_VALUE"""),2226.36)</f>
        <v>2226.36</v>
      </c>
      <c r="M325" s="6" t="str">
        <f ca="1">IFERROR(__xludf.DUMMYFUNCTION("""COMPUTED_VALUE"""),"03 ORL")</f>
        <v>03 ORL</v>
      </c>
      <c r="N325" s="6" t="str">
        <f ca="1">IFERROR(__xludf.DUMMYFUNCTION("""COMPUTED_VALUE"""),"06 ORL")</f>
        <v>06 ORL</v>
      </c>
      <c r="O325" s="6" t="str">
        <f ca="1">IFERROR(__xludf.DUMMYFUNCTION("""COMPUTED_VALUE"""),"Dra, Itziar Álvarez Palacios")</f>
        <v>Dra, Itziar Álvarez Palacios</v>
      </c>
      <c r="P325" s="6" t="str">
        <f ca="1">IFERROR(__xludf.DUMMYFUNCTION("""COMPUTED_VALUE"""),"Maika Blázquez (Madrid)")</f>
        <v>Maika Blázquez (Madrid)</v>
      </c>
    </row>
    <row r="326" spans="2:16">
      <c r="B326" s="6">
        <f ca="1">IFERROR(__xludf.DUMMYFUNCTION("""COMPUTED_VALUE"""),2025)</f>
        <v>2025</v>
      </c>
      <c r="C326" s="6">
        <f ca="1">IFERROR(__xludf.DUMMYFUNCTION("""COMPUTED_VALUE"""),3)</f>
        <v>3</v>
      </c>
      <c r="D326" s="6" t="str">
        <f ca="1">IFERROR(__xludf.DUMMYFUNCTION("""COMPUTED_VALUE"""),"NO")</f>
        <v>NO</v>
      </c>
      <c r="E326" s="6" t="str">
        <f ca="1">IFERROR(__xludf.DUMMYFUNCTION("""COMPUTED_VALUE"""),"El Albir (Benidorm)")</f>
        <v>El Albir (Benidorm)</v>
      </c>
      <c r="F326" s="16">
        <f ca="1">IFERROR(__xludf.DUMMYFUNCTION("""COMPUTED_VALUE"""),45733)</f>
        <v>45733</v>
      </c>
      <c r="G326" s="16">
        <f ca="1">IFERROR(__xludf.DUMMYFUNCTION("""COMPUTED_VALUE"""),45705)</f>
        <v>45705</v>
      </c>
      <c r="H326" s="6" t="str">
        <f ca="1">IFERROR(__xludf.DUMMYFUNCTION("""COMPUTED_VALUE"""),"El Albir (Benidorm)")</f>
        <v>El Albir (Benidorm)</v>
      </c>
      <c r="I326" s="6" t="str">
        <f ca="1">IFERROR(__xludf.DUMMYFUNCTION("""COMPUTED_VALUE"""),"C2025221102758226")</f>
        <v>C2025221102758226</v>
      </c>
      <c r="J326" s="6" t="str">
        <f ca="1">IFERROR(__xludf.DUMMYFUNCTION("""COMPUTED_VALUE"""),"LUIS  PEREZ COELLO")</f>
        <v>LUIS  PEREZ COELLO</v>
      </c>
      <c r="K326" s="6">
        <f ca="1">IFERROR(__xludf.DUMMYFUNCTION("""COMPUTED_VALUE"""),2)</f>
        <v>2</v>
      </c>
      <c r="L326" s="139">
        <f ca="1">IFERROR(__xludf.DUMMYFUNCTION("""COMPUTED_VALUE"""),3710)</f>
        <v>3710</v>
      </c>
      <c r="M326" s="6" t="str">
        <f ca="1">IFERROR(__xludf.DUMMYFUNCTION("""COMPUTED_VALUE"""),"03 ORL")</f>
        <v>03 ORL</v>
      </c>
      <c r="N326" s="6" t="str">
        <f ca="1">IFERROR(__xludf.DUMMYFUNCTION("""COMPUTED_VALUE"""),"06 ORL")</f>
        <v>06 ORL</v>
      </c>
      <c r="O326" s="6" t="str">
        <f ca="1">IFERROR(__xludf.DUMMYFUNCTION("""COMPUTED_VALUE"""),"Dra, María Emilia García Ruiz")</f>
        <v>Dra, María Emilia García Ruiz</v>
      </c>
      <c r="P326" s="6" t="str">
        <f ca="1">IFERROR(__xludf.DUMMYFUNCTION("""COMPUTED_VALUE"""),"Ramon Ferrando(Valencia)")</f>
        <v>Ramon Ferrando(Valencia)</v>
      </c>
    </row>
    <row r="327" spans="2:16">
      <c r="B327" s="6">
        <f ca="1">IFERROR(__xludf.DUMMYFUNCTION("""COMPUTED_VALUE"""),2025)</f>
        <v>2025</v>
      </c>
      <c r="C327" s="6">
        <f ca="1">IFERROR(__xludf.DUMMYFUNCTION("""COMPUTED_VALUE"""),3)</f>
        <v>3</v>
      </c>
      <c r="D327" s="6" t="str">
        <f ca="1">IFERROR(__xludf.DUMMYFUNCTION("""COMPUTED_VALUE"""),"NO")</f>
        <v>NO</v>
      </c>
      <c r="E327" s="6" t="str">
        <f ca="1">IFERROR(__xludf.DUMMYFUNCTION("""COMPUTED_VALUE"""),"Murcia")</f>
        <v>Murcia</v>
      </c>
      <c r="F327" s="16">
        <f ca="1">IFERROR(__xludf.DUMMYFUNCTION("""COMPUTED_VALUE"""),45733)</f>
        <v>45733</v>
      </c>
      <c r="G327" s="16">
        <f ca="1">IFERROR(__xludf.DUMMYFUNCTION("""COMPUTED_VALUE"""),45706)</f>
        <v>45706</v>
      </c>
      <c r="H327" s="6" t="str">
        <f ca="1">IFERROR(__xludf.DUMMYFUNCTION("""COMPUTED_VALUE"""),"Murcia")</f>
        <v>Murcia</v>
      </c>
      <c r="I327" s="6" t="str">
        <f ca="1">IFERROR(__xludf.DUMMYFUNCTION("""COMPUTED_VALUE"""),"C2025224163428453")</f>
        <v>C2025224163428453</v>
      </c>
      <c r="J327" s="6" t="str">
        <f ca="1">IFERROR(__xludf.DUMMYFUNCTION("""COMPUTED_VALUE"""),"ANTONIO CARRILLO ALCALA")</f>
        <v>ANTONIO CARRILLO ALCALA</v>
      </c>
      <c r="K327" s="6">
        <f ca="1">IFERROR(__xludf.DUMMYFUNCTION("""COMPUTED_VALUE"""),2)</f>
        <v>2</v>
      </c>
      <c r="L327" s="139">
        <f ca="1">IFERROR(__xludf.DUMMYFUNCTION("""COMPUTED_VALUE"""),3710)</f>
        <v>3710</v>
      </c>
      <c r="M327" s="6" t="str">
        <f ca="1">IFERROR(__xludf.DUMMYFUNCTION("""COMPUTED_VALUE"""),"03 ORL")</f>
        <v>03 ORL</v>
      </c>
      <c r="N327" s="6" t="str">
        <f ca="1">IFERROR(__xludf.DUMMYFUNCTION("""COMPUTED_VALUE"""),"06 ORL")</f>
        <v>06 ORL</v>
      </c>
      <c r="O327" s="6" t="str">
        <f ca="1">IFERROR(__xludf.DUMMYFUNCTION("""COMPUTED_VALUE"""),"Dra, Araceli González Delgado")</f>
        <v>Dra, Araceli González Delgado</v>
      </c>
      <c r="P327" s="6" t="str">
        <f ca="1">IFERROR(__xludf.DUMMYFUNCTION("""COMPUTED_VALUE"""),"Iván Sánchez (Levante Y Albacete)")</f>
        <v>Iván Sánchez (Levante Y Albacete)</v>
      </c>
    </row>
    <row r="328" spans="2:16">
      <c r="B328" s="6">
        <f ca="1">IFERROR(__xludf.DUMMYFUNCTION("""COMPUTED_VALUE"""),2025)</f>
        <v>2025</v>
      </c>
      <c r="C328" s="6">
        <f ca="1">IFERROR(__xludf.DUMMYFUNCTION("""COMPUTED_VALUE"""),3)</f>
        <v>3</v>
      </c>
      <c r="D328" s="6" t="str">
        <f ca="1">IFERROR(__xludf.DUMMYFUNCTION("""COMPUTED_VALUE"""),"NO")</f>
        <v>NO</v>
      </c>
      <c r="E328" s="6" t="str">
        <f ca="1">IFERROR(__xludf.DUMMYFUNCTION("""COMPUTED_VALUE"""),"Albacete")</f>
        <v>Albacete</v>
      </c>
      <c r="F328" s="16">
        <f ca="1">IFERROR(__xludf.DUMMYFUNCTION("""COMPUTED_VALUE"""),45733)</f>
        <v>45733</v>
      </c>
      <c r="G328" s="16">
        <f ca="1">IFERROR(__xludf.DUMMYFUNCTION("""COMPUTED_VALUE"""),45434)</f>
        <v>45434</v>
      </c>
      <c r="H328" s="6" t="str">
        <f ca="1">IFERROR(__xludf.DUMMYFUNCTION("""COMPUTED_VALUE"""),"Albacete")</f>
        <v>Albacete</v>
      </c>
      <c r="I328" s="6" t="str">
        <f ca="1">IFERROR(__xludf.DUMMYFUNCTION("""COMPUTED_VALUE"""),"ALB-870")</f>
        <v>ALB-870</v>
      </c>
      <c r="J328" s="6" t="str">
        <f ca="1">IFERROR(__xludf.DUMMYFUNCTION("""COMPUTED_VALUE"""),"SEGUNDO BELMONTE ROMERO")</f>
        <v>SEGUNDO BELMONTE ROMERO</v>
      </c>
      <c r="K328" s="6">
        <f ca="1">IFERROR(__xludf.DUMMYFUNCTION("""COMPUTED_VALUE"""),1)</f>
        <v>1</v>
      </c>
      <c r="L328" s="139">
        <f ca="1">IFERROR(__xludf.DUMMYFUNCTION("""COMPUTED_VALUE"""),2226.36)</f>
        <v>2226.36</v>
      </c>
      <c r="M328" s="6" t="str">
        <f ca="1">IFERROR(__xludf.DUMMYFUNCTION("""COMPUTED_VALUE"""),"03 ORL")</f>
        <v>03 ORL</v>
      </c>
      <c r="N328" s="6" t="str">
        <f ca="1">IFERROR(__xludf.DUMMYFUNCTION("""COMPUTED_VALUE"""),"06 ORL")</f>
        <v>06 ORL</v>
      </c>
      <c r="O328" s="6" t="str">
        <f ca="1">IFERROR(__xludf.DUMMYFUNCTION("""COMPUTED_VALUE"""),"Dr, Manuel Acebal Lucía")</f>
        <v>Dr, Manuel Acebal Lucía</v>
      </c>
      <c r="P328" s="6" t="str">
        <f ca="1">IFERROR(__xludf.DUMMYFUNCTION("""COMPUTED_VALUE"""),"Iván Sánchez (Levante Y Albacete)")</f>
        <v>Iván Sánchez (Levante Y Albacete)</v>
      </c>
    </row>
    <row r="329" spans="2:16">
      <c r="B329" s="6">
        <f ca="1">IFERROR(__xludf.DUMMYFUNCTION("""COMPUTED_VALUE"""),2025)</f>
        <v>2025</v>
      </c>
      <c r="C329" s="6">
        <f ca="1">IFERROR(__xludf.DUMMYFUNCTION("""COMPUTED_VALUE"""),3)</f>
        <v>3</v>
      </c>
      <c r="D329" s="6" t="str">
        <f ca="1">IFERROR(__xludf.DUMMYFUNCTION("""COMPUTED_VALUE"""),"NO")</f>
        <v>NO</v>
      </c>
      <c r="E329" s="6" t="str">
        <f ca="1">IFERROR(__xludf.DUMMYFUNCTION("""COMPUTED_VALUE"""),"Orihuela")</f>
        <v>Orihuela</v>
      </c>
      <c r="F329" s="16">
        <f ca="1">IFERROR(__xludf.DUMMYFUNCTION("""COMPUTED_VALUE"""),45733)</f>
        <v>45733</v>
      </c>
      <c r="G329" s="16">
        <f ca="1">IFERROR(__xludf.DUMMYFUNCTION("""COMPUTED_VALUE"""),45673)</f>
        <v>45673</v>
      </c>
      <c r="H329" s="6" t="str">
        <f ca="1">IFERROR(__xludf.DUMMYFUNCTION("""COMPUTED_VALUE"""),"La Zenia")</f>
        <v>La Zenia</v>
      </c>
      <c r="I329" s="6" t="str">
        <f ca="1">IFERROR(__xludf.DUMMYFUNCTION("""COMPUTED_VALUE"""),"C2025130115338482")</f>
        <v>C2025130115338482</v>
      </c>
      <c r="J329" s="6" t="str">
        <f ca="1">IFERROR(__xludf.DUMMYFUNCTION("""COMPUTED_VALUE"""),"DERRICK JAMES COOPER")</f>
        <v>DERRICK JAMES COOPER</v>
      </c>
      <c r="K329" s="6">
        <f ca="1">IFERROR(__xludf.DUMMYFUNCTION("""COMPUTED_VALUE"""),2)</f>
        <v>2</v>
      </c>
      <c r="L329" s="139">
        <f ca="1">IFERROR(__xludf.DUMMYFUNCTION("""COMPUTED_VALUE"""),3710)</f>
        <v>3710</v>
      </c>
      <c r="M329" s="6" t="str">
        <f ca="1">IFERROR(__xludf.DUMMYFUNCTION("""COMPUTED_VALUE"""),"03 ORL")</f>
        <v>03 ORL</v>
      </c>
      <c r="N329" s="6" t="str">
        <f ca="1">IFERROR(__xludf.DUMMYFUNCTION("""COMPUTED_VALUE"""),"06 ORL")</f>
        <v>06 ORL</v>
      </c>
      <c r="O329" s="6" t="str">
        <f ca="1">IFERROR(__xludf.DUMMYFUNCTION("""COMPUTED_VALUE"""),"Dr, Juan Javier Álvarez López")</f>
        <v>Dr, Juan Javier Álvarez López</v>
      </c>
      <c r="P329" s="6" t="str">
        <f ca="1">IFERROR(__xludf.DUMMYFUNCTION("""COMPUTED_VALUE"""),"Iván Sánchez (Levante Y Albacete)")</f>
        <v>Iván Sánchez (Levante Y Albacete)</v>
      </c>
    </row>
    <row r="330" spans="2:16">
      <c r="B330" s="6">
        <f ca="1">IFERROR(__xludf.DUMMYFUNCTION("""COMPUTED_VALUE"""),2025)</f>
        <v>2025</v>
      </c>
      <c r="C330" s="6">
        <f ca="1">IFERROR(__xludf.DUMMYFUNCTION("""COMPUTED_VALUE"""),3)</f>
        <v>3</v>
      </c>
      <c r="D330" s="6" t="str">
        <f ca="1">IFERROR(__xludf.DUMMYFUNCTION("""COMPUTED_VALUE"""),"NO")</f>
        <v>NO</v>
      </c>
      <c r="E330" s="6" t="str">
        <f ca="1">IFERROR(__xludf.DUMMYFUNCTION("""COMPUTED_VALUE"""),"Alicante")</f>
        <v>Alicante</v>
      </c>
      <c r="F330" s="16">
        <f ca="1">IFERROR(__xludf.DUMMYFUNCTION("""COMPUTED_VALUE"""),45733)</f>
        <v>45733</v>
      </c>
      <c r="G330" s="16">
        <f ca="1">IFERROR(__xludf.DUMMYFUNCTION("""COMPUTED_VALUE"""),45705)</f>
        <v>45705</v>
      </c>
      <c r="H330" s="6" t="str">
        <f ca="1">IFERROR(__xludf.DUMMYFUNCTION("""COMPUTED_VALUE"""),"Alicante")</f>
        <v>Alicante</v>
      </c>
      <c r="I330" s="6" t="str">
        <f ca="1">IFERROR(__xludf.DUMMYFUNCTION("""COMPUTED_VALUE"""),"C2025221122545747")</f>
        <v>C2025221122545747</v>
      </c>
      <c r="J330" s="6" t="str">
        <f ca="1">IFERROR(__xludf.DUMMYFUNCTION("""COMPUTED_VALUE"""),"FELICIDAD MERCHAN SANTOS")</f>
        <v>FELICIDAD MERCHAN SANTOS</v>
      </c>
      <c r="K330" s="6">
        <f ca="1">IFERROR(__xludf.DUMMYFUNCTION("""COMPUTED_VALUE"""),2)</f>
        <v>2</v>
      </c>
      <c r="L330" s="139">
        <f ca="1">IFERROR(__xludf.DUMMYFUNCTION("""COMPUTED_VALUE"""),4000)</f>
        <v>4000</v>
      </c>
      <c r="M330" s="6" t="str">
        <f ca="1">IFERROR(__xludf.DUMMYFUNCTION("""COMPUTED_VALUE"""),"03 ORL")</f>
        <v>03 ORL</v>
      </c>
      <c r="N330" s="6" t="str">
        <f ca="1">IFERROR(__xludf.DUMMYFUNCTION("""COMPUTED_VALUE"""),"06 ORL")</f>
        <v>06 ORL</v>
      </c>
      <c r="O330" s="6" t="str">
        <f ca="1">IFERROR(__xludf.DUMMYFUNCTION("""COMPUTED_VALUE"""),"Dr, Francisco Pastor Beviá")</f>
        <v>Dr, Francisco Pastor Beviá</v>
      </c>
      <c r="P330" s="6" t="str">
        <f ca="1">IFERROR(__xludf.DUMMYFUNCTION("""COMPUTED_VALUE"""),"Iván Sánchez (Levante Y Albacete)")</f>
        <v>Iván Sánchez (Levante Y Albacete)</v>
      </c>
    </row>
    <row r="331" spans="2:16">
      <c r="B331" s="6">
        <f ca="1">IFERROR(__xludf.DUMMYFUNCTION("""COMPUTED_VALUE"""),2025)</f>
        <v>2025</v>
      </c>
      <c r="C331" s="6">
        <f ca="1">IFERROR(__xludf.DUMMYFUNCTION("""COMPUTED_VALUE"""),3)</f>
        <v>3</v>
      </c>
      <c r="D331" s="6" t="str">
        <f ca="1">IFERROR(__xludf.DUMMYFUNCTION("""COMPUTED_VALUE"""),"NO")</f>
        <v>NO</v>
      </c>
      <c r="E331" s="6" t="str">
        <f ca="1">IFERROR(__xludf.DUMMYFUNCTION("""COMPUTED_VALUE"""),"Madrid- Canillas")</f>
        <v>Madrid- Canillas</v>
      </c>
      <c r="F331" s="16">
        <f ca="1">IFERROR(__xludf.DUMMYFUNCTION("""COMPUTED_VALUE"""),45734)</f>
        <v>45734</v>
      </c>
      <c r="G331" s="16">
        <f ca="1">IFERROR(__xludf.DUMMYFUNCTION("""COMPUTED_VALUE"""),45726)</f>
        <v>45726</v>
      </c>
      <c r="H331" s="6" t="str">
        <f ca="1">IFERROR(__xludf.DUMMYFUNCTION("""COMPUTED_VALUE"""),"Canillas")</f>
        <v>Canillas</v>
      </c>
      <c r="I331" s="6" t="str">
        <f ca="1">IFERROR(__xludf.DUMMYFUNCTION("""COMPUTED_VALUE"""),"C2025313115240241")</f>
        <v>C2025313115240241</v>
      </c>
      <c r="J331" s="6" t="str">
        <f ca="1">IFERROR(__xludf.DUMMYFUNCTION("""COMPUTED_VALUE"""),"SATURNINO GARCÍA ARNANZ")</f>
        <v>SATURNINO GARCÍA ARNANZ</v>
      </c>
      <c r="K331" s="6">
        <f ca="1">IFERROR(__xludf.DUMMYFUNCTION("""COMPUTED_VALUE"""),2)</f>
        <v>2</v>
      </c>
      <c r="L331" s="139">
        <f ca="1">IFERROR(__xludf.DUMMYFUNCTION("""COMPUTED_VALUE"""),3800)</f>
        <v>3800</v>
      </c>
      <c r="M331" s="6" t="str">
        <f ca="1">IFERROR(__xludf.DUMMYFUNCTION("""COMPUTED_VALUE"""),"03 ORL")</f>
        <v>03 ORL</v>
      </c>
      <c r="N331" s="6" t="str">
        <f ca="1">IFERROR(__xludf.DUMMYFUNCTION("""COMPUTED_VALUE"""),"06 ORL")</f>
        <v>06 ORL</v>
      </c>
      <c r="O331" s="6" t="str">
        <f ca="1">IFERROR(__xludf.DUMMYFUNCTION("""COMPUTED_VALUE"""),"Dr, Esteban Scola Pliego")</f>
        <v>Dr, Esteban Scola Pliego</v>
      </c>
      <c r="P331" s="6" t="str">
        <f ca="1">IFERROR(__xludf.DUMMYFUNCTION("""COMPUTED_VALUE"""),"Maika Blázquez (Madrid)")</f>
        <v>Maika Blázquez (Madrid)</v>
      </c>
    </row>
    <row r="332" spans="2:16">
      <c r="B332" s="6">
        <f ca="1">IFERROR(__xludf.DUMMYFUNCTION("""COMPUTED_VALUE"""),2025)</f>
        <v>2025</v>
      </c>
      <c r="C332" s="6">
        <f ca="1">IFERROR(__xludf.DUMMYFUNCTION("""COMPUTED_VALUE"""),3)</f>
        <v>3</v>
      </c>
      <c r="D332" s="6" t="str">
        <f ca="1">IFERROR(__xludf.DUMMYFUNCTION("""COMPUTED_VALUE"""),"NO")</f>
        <v>NO</v>
      </c>
      <c r="E332" s="6" t="str">
        <f ca="1">IFERROR(__xludf.DUMMYFUNCTION("""COMPUTED_VALUE"""),"San Javier")</f>
        <v>San Javier</v>
      </c>
      <c r="F332" s="16">
        <f ca="1">IFERROR(__xludf.DUMMYFUNCTION("""COMPUTED_VALUE"""),45734)</f>
        <v>45734</v>
      </c>
      <c r="G332" s="16">
        <f ca="1">IFERROR(__xludf.DUMMYFUNCTION("""COMPUTED_VALUE"""),45698)</f>
        <v>45698</v>
      </c>
      <c r="H332" s="6" t="str">
        <f ca="1">IFERROR(__xludf.DUMMYFUNCTION("""COMPUTED_VALUE"""),"San Javier")</f>
        <v>San Javier</v>
      </c>
      <c r="I332" s="6" t="str">
        <f ca="1">IFERROR(__xludf.DUMMYFUNCTION("""COMPUTED_VALUE"""),"C202521912025538")</f>
        <v>C202521912025538</v>
      </c>
      <c r="J332" s="6" t="str">
        <f ca="1">IFERROR(__xludf.DUMMYFUNCTION("""COMPUTED_VALUE"""),"FRANCISCO ANTONIO GARCIA RODRIGUEZ")</f>
        <v>FRANCISCO ANTONIO GARCIA RODRIGUEZ</v>
      </c>
      <c r="K332" s="6">
        <f ca="1">IFERROR(__xludf.DUMMYFUNCTION("""COMPUTED_VALUE"""),1)</f>
        <v>1</v>
      </c>
      <c r="L332" s="139">
        <f ca="1">IFERROR(__xludf.DUMMYFUNCTION("""COMPUTED_VALUE"""),2400)</f>
        <v>2400</v>
      </c>
      <c r="M332" s="6" t="str">
        <f ca="1">IFERROR(__xludf.DUMMYFUNCTION("""COMPUTED_VALUE"""),"03 ORL")</f>
        <v>03 ORL</v>
      </c>
      <c r="N332" s="6" t="str">
        <f ca="1">IFERROR(__xludf.DUMMYFUNCTION("""COMPUTED_VALUE"""),"06 ORL")</f>
        <v>06 ORL</v>
      </c>
      <c r="O332" s="6" t="str">
        <f ca="1">IFERROR(__xludf.DUMMYFUNCTION("""COMPUTED_VALUE"""),"Dra, María Teresa Almela Rojo")</f>
        <v>Dra, María Teresa Almela Rojo</v>
      </c>
      <c r="P332" s="6" t="str">
        <f ca="1">IFERROR(__xludf.DUMMYFUNCTION("""COMPUTED_VALUE"""),"Iván Sánchez (Levante Y Albacete)")</f>
        <v>Iván Sánchez (Levante Y Albacete)</v>
      </c>
    </row>
    <row r="333" spans="2:16">
      <c r="B333" s="6">
        <f ca="1">IFERROR(__xludf.DUMMYFUNCTION("""COMPUTED_VALUE"""),2025)</f>
        <v>2025</v>
      </c>
      <c r="C333" s="6">
        <f ca="1">IFERROR(__xludf.DUMMYFUNCTION("""COMPUTED_VALUE"""),3)</f>
        <v>3</v>
      </c>
      <c r="D333" s="6" t="str">
        <f ca="1">IFERROR(__xludf.DUMMYFUNCTION("""COMPUTED_VALUE"""),"NO")</f>
        <v>NO</v>
      </c>
      <c r="E333" s="6" t="str">
        <f ca="1">IFERROR(__xludf.DUMMYFUNCTION("""COMPUTED_VALUE"""),"San Javier")</f>
        <v>San Javier</v>
      </c>
      <c r="F333" s="16">
        <f ca="1">IFERROR(__xludf.DUMMYFUNCTION("""COMPUTED_VALUE"""),45734)</f>
        <v>45734</v>
      </c>
      <c r="G333" s="16">
        <f ca="1">IFERROR(__xludf.DUMMYFUNCTION("""COMPUTED_VALUE"""),45706)</f>
        <v>45706</v>
      </c>
      <c r="H333" s="6" t="str">
        <f ca="1">IFERROR(__xludf.DUMMYFUNCTION("""COMPUTED_VALUE"""),"San Javier")</f>
        <v>San Javier</v>
      </c>
      <c r="I333" s="6" t="str">
        <f ca="1">IFERROR(__xludf.DUMMYFUNCTION("""COMPUTED_VALUE"""),"C202522416111119")</f>
        <v>C202522416111119</v>
      </c>
      <c r="J333" s="6" t="str">
        <f ca="1">IFERROR(__xludf.DUMMYFUNCTION("""COMPUTED_VALUE"""),"FRANCISCA MEROÑO SANCHEZ")</f>
        <v>FRANCISCA MEROÑO SANCHEZ</v>
      </c>
      <c r="K333" s="6">
        <f ca="1">IFERROR(__xludf.DUMMYFUNCTION("""COMPUTED_VALUE"""),1)</f>
        <v>1</v>
      </c>
      <c r="L333" s="139">
        <f ca="1">IFERROR(__xludf.DUMMYFUNCTION("""COMPUTED_VALUE"""),2640)</f>
        <v>2640</v>
      </c>
      <c r="M333" s="6" t="str">
        <f ca="1">IFERROR(__xludf.DUMMYFUNCTION("""COMPUTED_VALUE"""),"04 TIENDA")</f>
        <v>04 TIENDA</v>
      </c>
      <c r="N333" s="6" t="str">
        <f ca="1">IFERROR(__xludf.DUMMYFUNCTION("""COMPUTED_VALUE"""),"07 BOCA/BOCA")</f>
        <v>07 BOCA/BOCA</v>
      </c>
      <c r="O333" s="6" t="str">
        <f ca="1">IFERROR(__xludf.DUMMYFUNCTION("""COMPUTED_VALUE"""),"Dr, Francisco García Purriños")</f>
        <v>Dr, Francisco García Purriños</v>
      </c>
      <c r="P333" s="6" t="str">
        <f ca="1">IFERROR(__xludf.DUMMYFUNCTION("""COMPUTED_VALUE"""),"Iván Sánchez (Levante Y Albacete)")</f>
        <v>Iván Sánchez (Levante Y Albacete)</v>
      </c>
    </row>
    <row r="334" spans="2:16">
      <c r="B334" s="6">
        <f ca="1">IFERROR(__xludf.DUMMYFUNCTION("""COMPUTED_VALUE"""),2025)</f>
        <v>2025</v>
      </c>
      <c r="C334" s="6">
        <f ca="1">IFERROR(__xludf.DUMMYFUNCTION("""COMPUTED_VALUE"""),3)</f>
        <v>3</v>
      </c>
      <c r="D334" s="6" t="str">
        <f ca="1">IFERROR(__xludf.DUMMYFUNCTION("""COMPUTED_VALUE"""),"NO")</f>
        <v>NO</v>
      </c>
      <c r="E334" s="6" t="str">
        <f ca="1">IFERROR(__xludf.DUMMYFUNCTION("""COMPUTED_VALUE"""),"Leganés")</f>
        <v>Leganés</v>
      </c>
      <c r="F334" s="16">
        <f ca="1">IFERROR(__xludf.DUMMYFUNCTION("""COMPUTED_VALUE"""),45734)</f>
        <v>45734</v>
      </c>
      <c r="G334" s="16">
        <f ca="1">IFERROR(__xludf.DUMMYFUNCTION("""COMPUTED_VALUE"""),45688)</f>
        <v>45688</v>
      </c>
      <c r="H334" s="6" t="str">
        <f ca="1">IFERROR(__xludf.DUMMYFUNCTION("""COMPUTED_VALUE"""),"Leganés")</f>
        <v>Leganés</v>
      </c>
      <c r="I334" s="6" t="str">
        <f ca="1">IFERROR(__xludf.DUMMYFUNCTION("""COMPUTED_VALUE"""),"C2025225113329150")</f>
        <v>C2025225113329150</v>
      </c>
      <c r="J334" s="6" t="str">
        <f ca="1">IFERROR(__xludf.DUMMYFUNCTION("""COMPUTED_VALUE"""),"MARCELINO GARCIA SALINERO")</f>
        <v>MARCELINO GARCIA SALINERO</v>
      </c>
      <c r="K334" s="6">
        <f ca="1">IFERROR(__xludf.DUMMYFUNCTION("""COMPUTED_VALUE"""),2)</f>
        <v>2</v>
      </c>
      <c r="L334" s="139">
        <f ca="1">IFERROR(__xludf.DUMMYFUNCTION("""COMPUTED_VALUE"""),3604.55)</f>
        <v>3604.55</v>
      </c>
      <c r="M334" s="6" t="str">
        <f ca="1">IFERROR(__xludf.DUMMYFUNCTION("""COMPUTED_VALUE"""),"03 ORL")</f>
        <v>03 ORL</v>
      </c>
      <c r="N334" s="6" t="str">
        <f ca="1">IFERROR(__xludf.DUMMYFUNCTION("""COMPUTED_VALUE"""),"06 ORL")</f>
        <v>06 ORL</v>
      </c>
      <c r="O334" s="6" t="str">
        <f ca="1">IFERROR(__xludf.DUMMYFUNCTION("""COMPUTED_VALUE"""),"Dra, Mar Lasso De La Vega Zamora")</f>
        <v>Dra, Mar Lasso De La Vega Zamora</v>
      </c>
      <c r="P334" s="6" t="str">
        <f ca="1">IFERROR(__xludf.DUMMYFUNCTION("""COMPUTED_VALUE"""),"Maika Blázquez (Madrid)")</f>
        <v>Maika Blázquez (Madrid)</v>
      </c>
    </row>
    <row r="335" spans="2:16">
      <c r="B335" s="6">
        <f ca="1">IFERROR(__xludf.DUMMYFUNCTION("""COMPUTED_VALUE"""),2025)</f>
        <v>2025</v>
      </c>
      <c r="C335" s="6">
        <f ca="1">IFERROR(__xludf.DUMMYFUNCTION("""COMPUTED_VALUE"""),3)</f>
        <v>3</v>
      </c>
      <c r="D335" s="6" t="str">
        <f ca="1">IFERROR(__xludf.DUMMYFUNCTION("""COMPUTED_VALUE"""),"NO")</f>
        <v>NO</v>
      </c>
      <c r="E335" s="6" t="str">
        <f ca="1">IFERROR(__xludf.DUMMYFUNCTION("""COMPUTED_VALUE"""),"Sevilla- Montoto")</f>
        <v>Sevilla- Montoto</v>
      </c>
      <c r="F335" s="16">
        <f ca="1">IFERROR(__xludf.DUMMYFUNCTION("""COMPUTED_VALUE"""),45734)</f>
        <v>45734</v>
      </c>
      <c r="G335" s="16">
        <f ca="1">IFERROR(__xludf.DUMMYFUNCTION("""COMPUTED_VALUE"""),45708)</f>
        <v>45708</v>
      </c>
      <c r="H335" s="6" t="str">
        <f ca="1">IFERROR(__xludf.DUMMYFUNCTION("""COMPUTED_VALUE"""),"Montoto")</f>
        <v>Montoto</v>
      </c>
      <c r="I335" s="6" t="str">
        <f ca="1">IFERROR(__xludf.DUMMYFUNCTION("""COMPUTED_VALUE"""),"C2025226122555530")</f>
        <v>C2025226122555530</v>
      </c>
      <c r="J335" s="6" t="str">
        <f ca="1">IFERROR(__xludf.DUMMYFUNCTION("""COMPUTED_VALUE"""),"ISABEL NIETO ALEGRE")</f>
        <v>ISABEL NIETO ALEGRE</v>
      </c>
      <c r="K335" s="6">
        <f ca="1">IFERROR(__xludf.DUMMYFUNCTION("""COMPUTED_VALUE"""),2)</f>
        <v>2</v>
      </c>
      <c r="L335" s="139">
        <f ca="1">IFERROR(__xludf.DUMMYFUNCTION("""COMPUTED_VALUE"""),2743.77)</f>
        <v>2743.77</v>
      </c>
      <c r="M335" s="6" t="str">
        <f ca="1">IFERROR(__xludf.DUMMYFUNCTION("""COMPUTED_VALUE"""),"03 ORL")</f>
        <v>03 ORL</v>
      </c>
      <c r="N335" s="6" t="str">
        <f ca="1">IFERROR(__xludf.DUMMYFUNCTION("""COMPUTED_VALUE"""),"06 ORL")</f>
        <v>06 ORL</v>
      </c>
      <c r="O335" s="6" t="str">
        <f ca="1">IFERROR(__xludf.DUMMYFUNCTION("""COMPUTED_VALUE"""),"Dr, Juan Maza Solano")</f>
        <v>Dr, Juan Maza Solano</v>
      </c>
      <c r="P335" s="6" t="str">
        <f ca="1">IFERROR(__xludf.DUMMYFUNCTION("""COMPUTED_VALUE"""),"Luis Alberto Rodríguez (Andalucía Y Badajoz)")</f>
        <v>Luis Alberto Rodríguez (Andalucía Y Badajoz)</v>
      </c>
    </row>
    <row r="336" spans="2:16">
      <c r="B336" s="6">
        <f ca="1">IFERROR(__xludf.DUMMYFUNCTION("""COMPUTED_VALUE"""),2025)</f>
        <v>2025</v>
      </c>
      <c r="C336" s="6">
        <f ca="1">IFERROR(__xludf.DUMMYFUNCTION("""COMPUTED_VALUE"""),3)</f>
        <v>3</v>
      </c>
      <c r="D336" s="6" t="str">
        <f ca="1">IFERROR(__xludf.DUMMYFUNCTION("""COMPUTED_VALUE"""),"NO")</f>
        <v>NO</v>
      </c>
      <c r="E336" s="6" t="str">
        <f ca="1">IFERROR(__xludf.DUMMYFUNCTION("""COMPUTED_VALUE"""),"Leganés")</f>
        <v>Leganés</v>
      </c>
      <c r="F336" s="16">
        <f ca="1">IFERROR(__xludf.DUMMYFUNCTION("""COMPUTED_VALUE"""),45734)</f>
        <v>45734</v>
      </c>
      <c r="G336" s="16">
        <f ca="1">IFERROR(__xludf.DUMMYFUNCTION("""COMPUTED_VALUE"""),45715)</f>
        <v>45715</v>
      </c>
      <c r="H336" s="6" t="str">
        <f ca="1">IFERROR(__xludf.DUMMYFUNCTION("""COMPUTED_VALUE"""),"Leganés")</f>
        <v>Leganés</v>
      </c>
      <c r="I336" s="6" t="str">
        <f ca="1">IFERROR(__xludf.DUMMYFUNCTION("""COMPUTED_VALUE"""),"C20253518810305")</f>
        <v>C20253518810305</v>
      </c>
      <c r="J336" s="6" t="str">
        <f ca="1">IFERROR(__xludf.DUMMYFUNCTION("""COMPUTED_VALUE"""),"MARIA TERESA IGLESIAS LARRIBA")</f>
        <v>MARIA TERESA IGLESIAS LARRIBA</v>
      </c>
      <c r="K336" s="6">
        <f ca="1">IFERROR(__xludf.DUMMYFUNCTION("""COMPUTED_VALUE"""),2)</f>
        <v>2</v>
      </c>
      <c r="L336" s="139">
        <f ca="1">IFERROR(__xludf.DUMMYFUNCTION("""COMPUTED_VALUE"""),2540.91)</f>
        <v>2540.91</v>
      </c>
      <c r="M336" s="6" t="str">
        <f ca="1">IFERROR(__xludf.DUMMYFUNCTION("""COMPUTED_VALUE"""),"03 ORL")</f>
        <v>03 ORL</v>
      </c>
      <c r="N336" s="6" t="str">
        <f ca="1">IFERROR(__xludf.DUMMYFUNCTION("""COMPUTED_VALUE"""),"06 ORL")</f>
        <v>06 ORL</v>
      </c>
      <c r="O336" s="6" t="str">
        <f ca="1">IFERROR(__xludf.DUMMYFUNCTION("""COMPUTED_VALUE"""),"Dr, Jesús Ramos Fernández")</f>
        <v>Dr, Jesús Ramos Fernández</v>
      </c>
      <c r="P336" s="6" t="str">
        <f ca="1">IFERROR(__xludf.DUMMYFUNCTION("""COMPUTED_VALUE"""),"Maika Blázquez (Madrid)")</f>
        <v>Maika Blázquez (Madrid)</v>
      </c>
    </row>
    <row r="337" spans="2:16">
      <c r="B337" s="6">
        <f ca="1">IFERROR(__xludf.DUMMYFUNCTION("""COMPUTED_VALUE"""),2025)</f>
        <v>2025</v>
      </c>
      <c r="C337" s="6">
        <f ca="1">IFERROR(__xludf.DUMMYFUNCTION("""COMPUTED_VALUE"""),3)</f>
        <v>3</v>
      </c>
      <c r="D337" s="6" t="str">
        <f ca="1">IFERROR(__xludf.DUMMYFUNCTION("""COMPUTED_VALUE"""),"NO")</f>
        <v>NO</v>
      </c>
      <c r="E337" s="6" t="str">
        <f ca="1">IFERROR(__xludf.DUMMYFUNCTION("""COMPUTED_VALUE"""),"Madrid- Canillas")</f>
        <v>Madrid- Canillas</v>
      </c>
      <c r="F337" s="16">
        <f ca="1">IFERROR(__xludf.DUMMYFUNCTION("""COMPUTED_VALUE"""),45734)</f>
        <v>45734</v>
      </c>
      <c r="G337" s="16">
        <f ca="1">IFERROR(__xludf.DUMMYFUNCTION("""COMPUTED_VALUE"""),45702)</f>
        <v>45702</v>
      </c>
      <c r="H337" s="6" t="str">
        <f ca="1">IFERROR(__xludf.DUMMYFUNCTION("""COMPUTED_VALUE"""),"Canillas")</f>
        <v>Canillas</v>
      </c>
      <c r="I337" s="6" t="str">
        <f ca="1">IFERROR(__xludf.DUMMYFUNCTION("""COMPUTED_VALUE"""),"C2025220113413712")</f>
        <v>C2025220113413712</v>
      </c>
      <c r="J337" s="6" t="str">
        <f ca="1">IFERROR(__xludf.DUMMYFUNCTION("""COMPUTED_VALUE"""),"ENCARNACIÓN MUÑOZ RAMÍREZ")</f>
        <v>ENCARNACIÓN MUÑOZ RAMÍREZ</v>
      </c>
      <c r="K337" s="6">
        <f ca="1">IFERROR(__xludf.DUMMYFUNCTION("""COMPUTED_VALUE"""),2)</f>
        <v>2</v>
      </c>
      <c r="L337" s="139">
        <f ca="1">IFERROR(__xludf.DUMMYFUNCTION("""COMPUTED_VALUE"""),4000)</f>
        <v>4000</v>
      </c>
      <c r="M337" s="6" t="str">
        <f ca="1">IFERROR(__xludf.DUMMYFUNCTION("""COMPUTED_VALUE"""),"03 ORL")</f>
        <v>03 ORL</v>
      </c>
      <c r="N337" s="6" t="str">
        <f ca="1">IFERROR(__xludf.DUMMYFUNCTION("""COMPUTED_VALUE"""),"06 ORL")</f>
        <v>06 ORL</v>
      </c>
      <c r="O337" s="6" t="str">
        <f ca="1">IFERROR(__xludf.DUMMYFUNCTION("""COMPUTED_VALUE"""),"Dra, María Del Mar Medina González")</f>
        <v>Dra, María Del Mar Medina González</v>
      </c>
      <c r="P337" s="6" t="str">
        <f ca="1">IFERROR(__xludf.DUMMYFUNCTION("""COMPUTED_VALUE"""),"Maika Blázquez (Madrid)")</f>
        <v>Maika Blázquez (Madrid)</v>
      </c>
    </row>
    <row r="338" spans="2:16">
      <c r="B338" s="6">
        <f ca="1">IFERROR(__xludf.DUMMYFUNCTION("""COMPUTED_VALUE"""),2025)</f>
        <v>2025</v>
      </c>
      <c r="C338" s="6">
        <f ca="1">IFERROR(__xludf.DUMMYFUNCTION("""COMPUTED_VALUE"""),3)</f>
        <v>3</v>
      </c>
      <c r="D338" s="6" t="str">
        <f ca="1">IFERROR(__xludf.DUMMYFUNCTION("""COMPUTED_VALUE"""),"NO")</f>
        <v>NO</v>
      </c>
      <c r="E338" s="6" t="str">
        <f ca="1">IFERROR(__xludf.DUMMYFUNCTION("""COMPUTED_VALUE"""),"Getafe")</f>
        <v>Getafe</v>
      </c>
      <c r="F338" s="16">
        <f ca="1">IFERROR(__xludf.DUMMYFUNCTION("""COMPUTED_VALUE"""),45734)</f>
        <v>45734</v>
      </c>
      <c r="G338" s="16">
        <f ca="1">IFERROR(__xludf.DUMMYFUNCTION("""COMPUTED_VALUE"""),45699)</f>
        <v>45699</v>
      </c>
      <c r="H338" s="6" t="str">
        <f ca="1">IFERROR(__xludf.DUMMYFUNCTION("""COMPUTED_VALUE"""),"Getafe")</f>
        <v>Getafe</v>
      </c>
      <c r="I338" s="6" t="str">
        <f ca="1">IFERROR(__xludf.DUMMYFUNCTION("""COMPUTED_VALUE"""),"C20252201623955")</f>
        <v>C20252201623955</v>
      </c>
      <c r="J338" s="6" t="str">
        <f ca="1">IFERROR(__xludf.DUMMYFUNCTION("""COMPUTED_VALUE"""),"JOSEFINA GONZALEZ SANTANA")</f>
        <v>JOSEFINA GONZALEZ SANTANA</v>
      </c>
      <c r="K338" s="6">
        <f ca="1">IFERROR(__xludf.DUMMYFUNCTION("""COMPUTED_VALUE"""),2)</f>
        <v>2</v>
      </c>
      <c r="L338" s="139">
        <f ca="1">IFERROR(__xludf.DUMMYFUNCTION("""COMPUTED_VALUE"""),3710)</f>
        <v>3710</v>
      </c>
      <c r="M338" s="6" t="str">
        <f ca="1">IFERROR(__xludf.DUMMYFUNCTION("""COMPUTED_VALUE"""),"03 ORL")</f>
        <v>03 ORL</v>
      </c>
      <c r="N338" s="6" t="str">
        <f ca="1">IFERROR(__xludf.DUMMYFUNCTION("""COMPUTED_VALUE"""),"06 ORL")</f>
        <v>06 ORL</v>
      </c>
      <c r="O338" s="6" t="str">
        <f ca="1">IFERROR(__xludf.DUMMYFUNCTION("""COMPUTED_VALUE"""),"Dra, María Garrote Garrote")</f>
        <v>Dra, María Garrote Garrote</v>
      </c>
      <c r="P338" s="6" t="str">
        <f ca="1">IFERROR(__xludf.DUMMYFUNCTION("""COMPUTED_VALUE"""),"Maika Blázquez (Madrid)")</f>
        <v>Maika Blázquez (Madrid)</v>
      </c>
    </row>
    <row r="339" spans="2:16">
      <c r="B339" s="6">
        <f ca="1">IFERROR(__xludf.DUMMYFUNCTION("""COMPUTED_VALUE"""),2025)</f>
        <v>2025</v>
      </c>
      <c r="C339" s="6">
        <f ca="1">IFERROR(__xludf.DUMMYFUNCTION("""COMPUTED_VALUE"""),3)</f>
        <v>3</v>
      </c>
      <c r="D339" s="6" t="str">
        <f ca="1">IFERROR(__xludf.DUMMYFUNCTION("""COMPUTED_VALUE"""),"NO")</f>
        <v>NO</v>
      </c>
      <c r="E339" s="6" t="str">
        <f ca="1">IFERROR(__xludf.DUMMYFUNCTION("""COMPUTED_VALUE"""),"Fuenlabrada")</f>
        <v>Fuenlabrada</v>
      </c>
      <c r="F339" s="16">
        <f ca="1">IFERROR(__xludf.DUMMYFUNCTION("""COMPUTED_VALUE"""),45735)</f>
        <v>45735</v>
      </c>
      <c r="G339" s="16">
        <f ca="1">IFERROR(__xludf.DUMMYFUNCTION("""COMPUTED_VALUE"""),45714)</f>
        <v>45714</v>
      </c>
      <c r="H339" s="6" t="str">
        <f ca="1">IFERROR(__xludf.DUMMYFUNCTION("""COMPUTED_VALUE"""),"Fuenlabrada")</f>
        <v>Fuenlabrada</v>
      </c>
      <c r="I339" s="6" t="str">
        <f ca="1">IFERROR(__xludf.DUMMYFUNCTION("""COMPUTED_VALUE"""),"C202522885927652")</f>
        <v>C202522885927652</v>
      </c>
      <c r="J339" s="6" t="str">
        <f ca="1">IFERROR(__xludf.DUMMYFUNCTION("""COMPUTED_VALUE"""),"MARIA DEL CARMEN  FRANCO SUAREZ")</f>
        <v>MARIA DEL CARMEN  FRANCO SUAREZ</v>
      </c>
      <c r="K339" s="6">
        <f ca="1">IFERROR(__xludf.DUMMYFUNCTION("""COMPUTED_VALUE"""),2)</f>
        <v>2</v>
      </c>
      <c r="L339" s="139">
        <f ca="1">IFERROR(__xludf.DUMMYFUNCTION("""COMPUTED_VALUE"""),4000)</f>
        <v>4000</v>
      </c>
      <c r="M339" s="6" t="str">
        <f ca="1">IFERROR(__xludf.DUMMYFUNCTION("""COMPUTED_VALUE"""),"03 ORL")</f>
        <v>03 ORL</v>
      </c>
      <c r="N339" s="6" t="str">
        <f ca="1">IFERROR(__xludf.DUMMYFUNCTION("""COMPUTED_VALUE"""),"06 ORL")</f>
        <v>06 ORL</v>
      </c>
      <c r="O339" s="6" t="str">
        <f ca="1">IFERROR(__xludf.DUMMYFUNCTION("""COMPUTED_VALUE"""),"Dr, Óscar Alfonso Arenas Britez")</f>
        <v>Dr, Óscar Alfonso Arenas Britez</v>
      </c>
      <c r="P339" s="6" t="str">
        <f ca="1">IFERROR(__xludf.DUMMYFUNCTION("""COMPUTED_VALUE"""),"Maika Blázquez (Madrid)")</f>
        <v>Maika Blázquez (Madrid)</v>
      </c>
    </row>
    <row r="340" spans="2:16">
      <c r="B340" s="6">
        <f ca="1">IFERROR(__xludf.DUMMYFUNCTION("""COMPUTED_VALUE"""),2025)</f>
        <v>2025</v>
      </c>
      <c r="C340" s="6">
        <f ca="1">IFERROR(__xludf.DUMMYFUNCTION("""COMPUTED_VALUE"""),3)</f>
        <v>3</v>
      </c>
      <c r="D340" s="6" t="str">
        <f ca="1">IFERROR(__xludf.DUMMYFUNCTION("""COMPUTED_VALUE"""),"NO")</f>
        <v>NO</v>
      </c>
      <c r="E340" s="6" t="str">
        <f ca="1">IFERROR(__xludf.DUMMYFUNCTION("""COMPUTED_VALUE"""),"Santiago de Compostela")</f>
        <v>Santiago de Compostela</v>
      </c>
      <c r="F340" s="16">
        <f ca="1">IFERROR(__xludf.DUMMYFUNCTION("""COMPUTED_VALUE"""),45736)</f>
        <v>45736</v>
      </c>
      <c r="G340" s="16">
        <f ca="1">IFERROR(__xludf.DUMMYFUNCTION("""COMPUTED_VALUE"""),45707)</f>
        <v>45707</v>
      </c>
      <c r="H340" s="6" t="str">
        <f ca="1">IFERROR(__xludf.DUMMYFUNCTION("""COMPUTED_VALUE"""),"Santiago")</f>
        <v>Santiago</v>
      </c>
      <c r="I340" s="6" t="str">
        <f ca="1">IFERROR(__xludf.DUMMYFUNCTION("""COMPUTED_VALUE"""),"C202522811145130")</f>
        <v>C202522811145130</v>
      </c>
      <c r="J340" s="6" t="str">
        <f ca="1">IFERROR(__xludf.DUMMYFUNCTION("""COMPUTED_VALUE"""),"ANA MARIA REINO MARTINEZ")</f>
        <v>ANA MARIA REINO MARTINEZ</v>
      </c>
      <c r="K340" s="6">
        <f ca="1">IFERROR(__xludf.DUMMYFUNCTION("""COMPUTED_VALUE"""),2)</f>
        <v>2</v>
      </c>
      <c r="L340" s="139">
        <f ca="1">IFERROR(__xludf.DUMMYFUNCTION("""COMPUTED_VALUE"""),2888.18)</f>
        <v>2888.18</v>
      </c>
      <c r="M340" s="6" t="str">
        <f ca="1">IFERROR(__xludf.DUMMYFUNCTION("""COMPUTED_VALUE"""),"03 ORL")</f>
        <v>03 ORL</v>
      </c>
      <c r="N340" s="6" t="str">
        <f ca="1">IFERROR(__xludf.DUMMYFUNCTION("""COMPUTED_VALUE"""),"06 ORL")</f>
        <v>06 ORL</v>
      </c>
      <c r="O340" s="6" t="str">
        <f ca="1">IFERROR(__xludf.DUMMYFUNCTION("""COMPUTED_VALUE"""),"Dra, Marta Paulos Novoa")</f>
        <v>Dra, Marta Paulos Novoa</v>
      </c>
      <c r="P340" s="6" t="str">
        <f ca="1">IFERROR(__xludf.DUMMYFUNCTION("""COMPUTED_VALUE"""),"Roberto Pereira (Galicia)")</f>
        <v>Roberto Pereira (Galicia)</v>
      </c>
    </row>
    <row r="341" spans="2:16">
      <c r="B341" s="6">
        <f ca="1">IFERROR(__xludf.DUMMYFUNCTION("""COMPUTED_VALUE"""),2025)</f>
        <v>2025</v>
      </c>
      <c r="C341" s="6">
        <f ca="1">IFERROR(__xludf.DUMMYFUNCTION("""COMPUTED_VALUE"""),3)</f>
        <v>3</v>
      </c>
      <c r="D341" s="6" t="str">
        <f ca="1">IFERROR(__xludf.DUMMYFUNCTION("""COMPUTED_VALUE"""),"NO")</f>
        <v>NO</v>
      </c>
      <c r="E341" s="6" t="str">
        <f ca="1">IFERROR(__xludf.DUMMYFUNCTION("""COMPUTED_VALUE"""),"Madrid- La Oca")</f>
        <v>Madrid- La Oca</v>
      </c>
      <c r="F341" s="16">
        <f ca="1">IFERROR(__xludf.DUMMYFUNCTION("""COMPUTED_VALUE"""),45736)</f>
        <v>45736</v>
      </c>
      <c r="G341" s="16">
        <f ca="1">IFERROR(__xludf.DUMMYFUNCTION("""COMPUTED_VALUE"""),45706)</f>
        <v>45706</v>
      </c>
      <c r="H341" s="6" t="str">
        <f ca="1">IFERROR(__xludf.DUMMYFUNCTION("""COMPUTED_VALUE"""),"La Oca")</f>
        <v>La Oca</v>
      </c>
      <c r="I341" s="6" t="str">
        <f ca="1">IFERROR(__xludf.DUMMYFUNCTION("""COMPUTED_VALUE"""),"C2025224162622294")</f>
        <v>C2025224162622294</v>
      </c>
      <c r="J341" s="6" t="str">
        <f ca="1">IFERROR(__xludf.DUMMYFUNCTION("""COMPUTED_VALUE"""),"PURIFICACION CARBALLEDO GOMEZ")</f>
        <v>PURIFICACION CARBALLEDO GOMEZ</v>
      </c>
      <c r="K341" s="6">
        <f ca="1">IFERROR(__xludf.DUMMYFUNCTION("""COMPUTED_VALUE"""),2)</f>
        <v>2</v>
      </c>
      <c r="L341" s="139">
        <f ca="1">IFERROR(__xludf.DUMMYFUNCTION("""COMPUTED_VALUE"""),2888.18)</f>
        <v>2888.18</v>
      </c>
      <c r="M341" s="6" t="str">
        <f ca="1">IFERROR(__xludf.DUMMYFUNCTION("""COMPUTED_VALUE"""),"03 ORL")</f>
        <v>03 ORL</v>
      </c>
      <c r="N341" s="6" t="str">
        <f ca="1">IFERROR(__xludf.DUMMYFUNCTION("""COMPUTED_VALUE"""),"06 ORL")</f>
        <v>06 ORL</v>
      </c>
      <c r="O341" s="6" t="str">
        <f ca="1">IFERROR(__xludf.DUMMYFUNCTION("""COMPUTED_VALUE"""),"Dr, José Joaquín Gutiérrez Barquín")</f>
        <v>Dr, José Joaquín Gutiérrez Barquín</v>
      </c>
      <c r="P341" s="6" t="str">
        <f ca="1">IFERROR(__xludf.DUMMYFUNCTION("""COMPUTED_VALUE"""),"Maika Blázquez (Madrid)")</f>
        <v>Maika Blázquez (Madrid)</v>
      </c>
    </row>
    <row r="342" spans="2:16">
      <c r="B342" s="6">
        <f ca="1">IFERROR(__xludf.DUMMYFUNCTION("""COMPUTED_VALUE"""),2025)</f>
        <v>2025</v>
      </c>
      <c r="C342" s="6">
        <f ca="1">IFERROR(__xludf.DUMMYFUNCTION("""COMPUTED_VALUE"""),3)</f>
        <v>3</v>
      </c>
      <c r="D342" s="6" t="str">
        <f ca="1">IFERROR(__xludf.DUMMYFUNCTION("""COMPUTED_VALUE"""),"NO")</f>
        <v>NO</v>
      </c>
      <c r="E342" s="6" t="str">
        <f ca="1">IFERROR(__xludf.DUMMYFUNCTION("""COMPUTED_VALUE"""),"Torrejón de Ardoz")</f>
        <v>Torrejón de Ardoz</v>
      </c>
      <c r="F342" s="16">
        <f ca="1">IFERROR(__xludf.DUMMYFUNCTION("""COMPUTED_VALUE"""),45736)</f>
        <v>45736</v>
      </c>
      <c r="G342" s="16">
        <f ca="1">IFERROR(__xludf.DUMMYFUNCTION("""COMPUTED_VALUE"""),45713)</f>
        <v>45713</v>
      </c>
      <c r="H342" s="6" t="str">
        <f ca="1">IFERROR(__xludf.DUMMYFUNCTION("""COMPUTED_VALUE"""),"Torrejón")</f>
        <v>Torrejón</v>
      </c>
      <c r="I342" s="6" t="str">
        <f ca="1">IFERROR(__xludf.DUMMYFUNCTION("""COMPUTED_VALUE"""),"C2025225195051364")</f>
        <v>C2025225195051364</v>
      </c>
      <c r="J342" s="6" t="str">
        <f ca="1">IFERROR(__xludf.DUMMYFUNCTION("""COMPUTED_VALUE"""),"MANUELA NAVARRO RODAS")</f>
        <v>MANUELA NAVARRO RODAS</v>
      </c>
      <c r="K342" s="6">
        <f ca="1">IFERROR(__xludf.DUMMYFUNCTION("""COMPUTED_VALUE"""),1)</f>
        <v>1</v>
      </c>
      <c r="L342" s="139">
        <f ca="1">IFERROR(__xludf.DUMMYFUNCTION("""COMPUTED_VALUE"""),2400)</f>
        <v>2400</v>
      </c>
      <c r="M342" s="6" t="str">
        <f ca="1">IFERROR(__xludf.DUMMYFUNCTION("""COMPUTED_VALUE"""),"03 ORL")</f>
        <v>03 ORL</v>
      </c>
      <c r="N342" s="6" t="str">
        <f ca="1">IFERROR(__xludf.DUMMYFUNCTION("""COMPUTED_VALUE"""),"06 ORL")</f>
        <v>06 ORL</v>
      </c>
      <c r="O342" s="6" t="str">
        <f ca="1">IFERROR(__xludf.DUMMYFUNCTION("""COMPUTED_VALUE"""),"Dr, Jose Joaquín Lora Díaz")</f>
        <v>Dr, Jose Joaquín Lora Díaz</v>
      </c>
      <c r="P342" s="6" t="str">
        <f ca="1">IFERROR(__xludf.DUMMYFUNCTION("""COMPUTED_VALUE"""),"Maika Blázquez (Madrid)")</f>
        <v>Maika Blázquez (Madrid)</v>
      </c>
    </row>
    <row r="343" spans="2:16">
      <c r="B343" s="6">
        <f ca="1">IFERROR(__xludf.DUMMYFUNCTION("""COMPUTED_VALUE"""),2025)</f>
        <v>2025</v>
      </c>
      <c r="C343" s="6">
        <f ca="1">IFERROR(__xludf.DUMMYFUNCTION("""COMPUTED_VALUE"""),3)</f>
        <v>3</v>
      </c>
      <c r="D343" s="6" t="str">
        <f ca="1">IFERROR(__xludf.DUMMYFUNCTION("""COMPUTED_VALUE"""),"NO")</f>
        <v>NO</v>
      </c>
      <c r="E343" s="6" t="str">
        <f ca="1">IFERROR(__xludf.DUMMYFUNCTION("""COMPUTED_VALUE"""),"Madrid- La Oca")</f>
        <v>Madrid- La Oca</v>
      </c>
      <c r="F343" s="16">
        <f ca="1">IFERROR(__xludf.DUMMYFUNCTION("""COMPUTED_VALUE"""),45736)</f>
        <v>45736</v>
      </c>
      <c r="G343" s="16">
        <f ca="1">IFERROR(__xludf.DUMMYFUNCTION("""COMPUTED_VALUE"""),45701)</f>
        <v>45701</v>
      </c>
      <c r="H343" s="6" t="str">
        <f ca="1">IFERROR(__xludf.DUMMYFUNCTION("""COMPUTED_VALUE"""),"La Oca")</f>
        <v>La Oca</v>
      </c>
      <c r="I343" s="6" t="str">
        <f ca="1">IFERROR(__xludf.DUMMYFUNCTION("""COMPUTED_VALUE"""),"C2025217102813410")</f>
        <v>C2025217102813410</v>
      </c>
      <c r="J343" s="6" t="str">
        <f ca="1">IFERROR(__xludf.DUMMYFUNCTION("""COMPUTED_VALUE"""),"MARIA JESUS SANCHEZ PONGA")</f>
        <v>MARIA JESUS SANCHEZ PONGA</v>
      </c>
      <c r="K343" s="6">
        <f ca="1">IFERROR(__xludf.DUMMYFUNCTION("""COMPUTED_VALUE"""),1)</f>
        <v>1</v>
      </c>
      <c r="L343" s="139">
        <f ca="1">IFERROR(__xludf.DUMMYFUNCTION("""COMPUTED_VALUE"""),2226.36)</f>
        <v>2226.36</v>
      </c>
      <c r="M343" s="6" t="str">
        <f ca="1">IFERROR(__xludf.DUMMYFUNCTION("""COMPUTED_VALUE"""),"03 ORL")</f>
        <v>03 ORL</v>
      </c>
      <c r="N343" s="6" t="str">
        <f ca="1">IFERROR(__xludf.DUMMYFUNCTION("""COMPUTED_VALUE"""),"06 ORL")</f>
        <v>06 ORL</v>
      </c>
      <c r="O343" s="6" t="str">
        <f ca="1">IFERROR(__xludf.DUMMYFUNCTION("""COMPUTED_VALUE"""),"Dr, José Joaquín Gutiérrez Barquín")</f>
        <v>Dr, José Joaquín Gutiérrez Barquín</v>
      </c>
      <c r="P343" s="6" t="str">
        <f ca="1">IFERROR(__xludf.DUMMYFUNCTION("""COMPUTED_VALUE"""),"Maika Blázquez (Madrid)")</f>
        <v>Maika Blázquez (Madrid)</v>
      </c>
    </row>
    <row r="344" spans="2:16">
      <c r="B344" s="6">
        <f ca="1">IFERROR(__xludf.DUMMYFUNCTION("""COMPUTED_VALUE"""),2025)</f>
        <v>2025</v>
      </c>
      <c r="C344" s="6">
        <f ca="1">IFERROR(__xludf.DUMMYFUNCTION("""COMPUTED_VALUE"""),3)</f>
        <v>3</v>
      </c>
      <c r="D344" s="6" t="str">
        <f ca="1">IFERROR(__xludf.DUMMYFUNCTION("""COMPUTED_VALUE"""),"NO")</f>
        <v>NO</v>
      </c>
      <c r="E344" s="6" t="str">
        <f ca="1">IFERROR(__xludf.DUMMYFUNCTION("""COMPUTED_VALUE"""),"Madrid- Juan Bravo")</f>
        <v>Madrid- Juan Bravo</v>
      </c>
      <c r="F344" s="16">
        <f ca="1">IFERROR(__xludf.DUMMYFUNCTION("""COMPUTED_VALUE"""),45736)</f>
        <v>45736</v>
      </c>
      <c r="G344" s="16">
        <f ca="1">IFERROR(__xludf.DUMMYFUNCTION("""COMPUTED_VALUE"""),45673)</f>
        <v>45673</v>
      </c>
      <c r="H344" s="6" t="str">
        <f ca="1">IFERROR(__xludf.DUMMYFUNCTION("""COMPUTED_VALUE"""),"Juan Bravo")</f>
        <v>Juan Bravo</v>
      </c>
      <c r="I344" s="6" t="str">
        <f ca="1">IFERROR(__xludf.DUMMYFUNCTION("""COMPUTED_VALUE"""),"C2025218171613886")</f>
        <v>C2025218171613886</v>
      </c>
      <c r="J344" s="6" t="str">
        <f ca="1">IFERROR(__xludf.DUMMYFUNCTION("""COMPUTED_VALUE"""),"MARIA LUISA MUÑOZ GARCIA")</f>
        <v>MARIA LUISA MUÑOZ GARCIA</v>
      </c>
      <c r="K344" s="6">
        <f ca="1">IFERROR(__xludf.DUMMYFUNCTION("""COMPUTED_VALUE"""),1)</f>
        <v>1</v>
      </c>
      <c r="L344" s="139">
        <f ca="1">IFERROR(__xludf.DUMMYFUNCTION("""COMPUTED_VALUE"""),2400)</f>
        <v>2400</v>
      </c>
      <c r="M344" s="6" t="str">
        <f ca="1">IFERROR(__xludf.DUMMYFUNCTION("""COMPUTED_VALUE"""),"03 ORL")</f>
        <v>03 ORL</v>
      </c>
      <c r="N344" s="6" t="str">
        <f ca="1">IFERROR(__xludf.DUMMYFUNCTION("""COMPUTED_VALUE"""),"06 ORL")</f>
        <v>06 ORL</v>
      </c>
      <c r="O344" s="6" t="str">
        <f ca="1">IFERROR(__xludf.DUMMYFUNCTION("""COMPUTED_VALUE"""),"Dra, María Antonia Rodríguez Castejón")</f>
        <v>Dra, María Antonia Rodríguez Castejón</v>
      </c>
      <c r="P344" s="6" t="str">
        <f ca="1">IFERROR(__xludf.DUMMYFUNCTION("""COMPUTED_VALUE"""),"Maika Blázquez (Madrid)")</f>
        <v>Maika Blázquez (Madrid)</v>
      </c>
    </row>
    <row r="345" spans="2:16">
      <c r="B345" s="6">
        <f ca="1">IFERROR(__xludf.DUMMYFUNCTION("""COMPUTED_VALUE"""),2025)</f>
        <v>2025</v>
      </c>
      <c r="C345" s="6">
        <f ca="1">IFERROR(__xludf.DUMMYFUNCTION("""COMPUTED_VALUE"""),3)</f>
        <v>3</v>
      </c>
      <c r="D345" s="6" t="str">
        <f ca="1">IFERROR(__xludf.DUMMYFUNCTION("""COMPUTED_VALUE"""),"NO")</f>
        <v>NO</v>
      </c>
      <c r="E345" s="6" t="str">
        <f ca="1">IFERROR(__xludf.DUMMYFUNCTION("""COMPUTED_VALUE"""),"Leganés")</f>
        <v>Leganés</v>
      </c>
      <c r="F345" s="16">
        <f ca="1">IFERROR(__xludf.DUMMYFUNCTION("""COMPUTED_VALUE"""),45736)</f>
        <v>45736</v>
      </c>
      <c r="G345" s="16">
        <f ca="1">IFERROR(__xludf.DUMMYFUNCTION("""COMPUTED_VALUE"""),45707)</f>
        <v>45707</v>
      </c>
      <c r="H345" s="6" t="str">
        <f ca="1">IFERROR(__xludf.DUMMYFUNCTION("""COMPUTED_VALUE"""),"Leganés")</f>
        <v>Leganés</v>
      </c>
      <c r="I345" s="6" t="str">
        <f ca="1">IFERROR(__xludf.DUMMYFUNCTION("""COMPUTED_VALUE"""),"C2025227164725763")</f>
        <v>C2025227164725763</v>
      </c>
      <c r="J345" s="6" t="str">
        <f ca="1">IFERROR(__xludf.DUMMYFUNCTION("""COMPUTED_VALUE"""),"MOISES  MARTIN ANAYA")</f>
        <v>MOISES  MARTIN ANAYA</v>
      </c>
      <c r="K345" s="6">
        <f ca="1">IFERROR(__xludf.DUMMYFUNCTION("""COMPUTED_VALUE"""),2)</f>
        <v>2</v>
      </c>
      <c r="L345" s="139">
        <f ca="1">IFERROR(__xludf.DUMMYFUNCTION("""COMPUTED_VALUE"""),3945.45)</f>
        <v>3945.45</v>
      </c>
      <c r="M345" s="6" t="str">
        <f ca="1">IFERROR(__xludf.DUMMYFUNCTION("""COMPUTED_VALUE"""),"03 ORL")</f>
        <v>03 ORL</v>
      </c>
      <c r="N345" s="6" t="str">
        <f ca="1">IFERROR(__xludf.DUMMYFUNCTION("""COMPUTED_VALUE"""),"06 ORL")</f>
        <v>06 ORL</v>
      </c>
      <c r="O345" s="6" t="str">
        <f ca="1">IFERROR(__xludf.DUMMYFUNCTION("""COMPUTED_VALUE"""),"Dr, Jesús Atalaya Díaz")</f>
        <v>Dr, Jesús Atalaya Díaz</v>
      </c>
      <c r="P345" s="6" t="str">
        <f ca="1">IFERROR(__xludf.DUMMYFUNCTION("""COMPUTED_VALUE"""),"Maika Blázquez (Madrid)")</f>
        <v>Maika Blázquez (Madrid)</v>
      </c>
    </row>
    <row r="346" spans="2:16">
      <c r="B346" s="6">
        <f ca="1">IFERROR(__xludf.DUMMYFUNCTION("""COMPUTED_VALUE"""),2025)</f>
        <v>2025</v>
      </c>
      <c r="C346" s="6">
        <f ca="1">IFERROR(__xludf.DUMMYFUNCTION("""COMPUTED_VALUE"""),3)</f>
        <v>3</v>
      </c>
      <c r="D346" s="6" t="str">
        <f ca="1">IFERROR(__xludf.DUMMYFUNCTION("""COMPUTED_VALUE"""),"NO")</f>
        <v>NO</v>
      </c>
      <c r="E346" s="6" t="str">
        <f ca="1">IFERROR(__xludf.DUMMYFUNCTION("""COMPUTED_VALUE"""),"San Javier")</f>
        <v>San Javier</v>
      </c>
      <c r="F346" s="16">
        <f ca="1">IFERROR(__xludf.DUMMYFUNCTION("""COMPUTED_VALUE"""),45737)</f>
        <v>45737</v>
      </c>
      <c r="G346" s="16">
        <f ca="1">IFERROR(__xludf.DUMMYFUNCTION("""COMPUTED_VALUE"""),45671)</f>
        <v>45671</v>
      </c>
      <c r="H346" s="6" t="str">
        <f ca="1">IFERROR(__xludf.DUMMYFUNCTION("""COMPUTED_VALUE"""),"San Javier")</f>
        <v>San Javier</v>
      </c>
      <c r="I346" s="6" t="str">
        <f ca="1">IFERROR(__xludf.DUMMYFUNCTION("""COMPUTED_VALUE"""),"C2025121115954697")</f>
        <v>C2025121115954697</v>
      </c>
      <c r="J346" s="6" t="str">
        <f ca="1">IFERROR(__xludf.DUMMYFUNCTION("""COMPUTED_VALUE"""),"MARIA DEL CARMEN CARRICAJO GARRIDO")</f>
        <v>MARIA DEL CARMEN CARRICAJO GARRIDO</v>
      </c>
      <c r="K346" s="6">
        <f ca="1">IFERROR(__xludf.DUMMYFUNCTION("""COMPUTED_VALUE"""),2)</f>
        <v>2</v>
      </c>
      <c r="L346" s="139">
        <f ca="1">IFERROR(__xludf.DUMMYFUNCTION("""COMPUTED_VALUE"""),3710)</f>
        <v>3710</v>
      </c>
      <c r="M346" s="6" t="str">
        <f ca="1">IFERROR(__xludf.DUMMYFUNCTION("""COMPUTED_VALUE"""),"03 ORL")</f>
        <v>03 ORL</v>
      </c>
      <c r="N346" s="6" t="str">
        <f ca="1">IFERROR(__xludf.DUMMYFUNCTION("""COMPUTED_VALUE"""),"06 ORL")</f>
        <v>06 ORL</v>
      </c>
      <c r="O346" s="6" t="str">
        <f ca="1">IFERROR(__xludf.DUMMYFUNCTION("""COMPUTED_VALUE"""),"Dr, Dinis Antunes Silva")</f>
        <v>Dr, Dinis Antunes Silva</v>
      </c>
      <c r="P346" s="6" t="str">
        <f ca="1">IFERROR(__xludf.DUMMYFUNCTION("""COMPUTED_VALUE"""),"Iván Sánchez (Levante Y Albacete)")</f>
        <v>Iván Sánchez (Levante Y Albacete)</v>
      </c>
    </row>
    <row r="347" spans="2:16">
      <c r="B347" s="6">
        <f ca="1">IFERROR(__xludf.DUMMYFUNCTION("""COMPUTED_VALUE"""),2025)</f>
        <v>2025</v>
      </c>
      <c r="C347" s="6">
        <f ca="1">IFERROR(__xludf.DUMMYFUNCTION("""COMPUTED_VALUE"""),3)</f>
        <v>3</v>
      </c>
      <c r="D347" s="6" t="str">
        <f ca="1">IFERROR(__xludf.DUMMYFUNCTION("""COMPUTED_VALUE"""),"NO")</f>
        <v>NO</v>
      </c>
      <c r="E347" s="6" t="str">
        <f ca="1">IFERROR(__xludf.DUMMYFUNCTION("""COMPUTED_VALUE"""),"Alcorcón")</f>
        <v>Alcorcón</v>
      </c>
      <c r="F347" s="16">
        <f ca="1">IFERROR(__xludf.DUMMYFUNCTION("""COMPUTED_VALUE"""),45737)</f>
        <v>45737</v>
      </c>
      <c r="G347" s="16">
        <f ca="1">IFERROR(__xludf.DUMMYFUNCTION("""COMPUTED_VALUE"""),45705)</f>
        <v>45705</v>
      </c>
      <c r="H347" s="6" t="str">
        <f ca="1">IFERROR(__xludf.DUMMYFUNCTION("""COMPUTED_VALUE"""),"Alcorcón")</f>
        <v>Alcorcón</v>
      </c>
      <c r="I347" s="6" t="str">
        <f ca="1">IFERROR(__xludf.DUMMYFUNCTION("""COMPUTED_VALUE"""),"C2025218102641492")</f>
        <v>C2025218102641492</v>
      </c>
      <c r="J347" s="6" t="str">
        <f ca="1">IFERROR(__xludf.DUMMYFUNCTION("""COMPUTED_VALUE"""),"VICENTE SANZ SANZ")</f>
        <v>VICENTE SANZ SANZ</v>
      </c>
      <c r="K347" s="6">
        <f ca="1">IFERROR(__xludf.DUMMYFUNCTION("""COMPUTED_VALUE"""),2)</f>
        <v>2</v>
      </c>
      <c r="L347" s="139">
        <f ca="1">IFERROR(__xludf.DUMMYFUNCTION("""COMPUTED_VALUE"""),3173.18)</f>
        <v>3173.18</v>
      </c>
      <c r="M347" s="6" t="str">
        <f ca="1">IFERROR(__xludf.DUMMYFUNCTION("""COMPUTED_VALUE"""),"03 ORL")</f>
        <v>03 ORL</v>
      </c>
      <c r="N347" s="6" t="str">
        <f ca="1">IFERROR(__xludf.DUMMYFUNCTION("""COMPUTED_VALUE"""),"06 ORL")</f>
        <v>06 ORL</v>
      </c>
      <c r="O347" s="6" t="str">
        <f ca="1">IFERROR(__xludf.DUMMYFUNCTION("""COMPUTED_VALUE"""),"Dr, Oscar A, Sánchez Valenzuela")</f>
        <v>Dr, Oscar A, Sánchez Valenzuela</v>
      </c>
      <c r="P347" s="6" t="str">
        <f ca="1">IFERROR(__xludf.DUMMYFUNCTION("""COMPUTED_VALUE"""),"Maika Blázquez (Madrid)")</f>
        <v>Maika Blázquez (Madrid)</v>
      </c>
    </row>
    <row r="348" spans="2:16">
      <c r="B348" s="6">
        <f ca="1">IFERROR(__xludf.DUMMYFUNCTION("""COMPUTED_VALUE"""),2025)</f>
        <v>2025</v>
      </c>
      <c r="C348" s="6">
        <f ca="1">IFERROR(__xludf.DUMMYFUNCTION("""COMPUTED_VALUE"""),3)</f>
        <v>3</v>
      </c>
      <c r="D348" s="6" t="str">
        <f ca="1">IFERROR(__xludf.DUMMYFUNCTION("""COMPUTED_VALUE"""),"NO")</f>
        <v>NO</v>
      </c>
      <c r="E348" s="6" t="str">
        <f ca="1">IFERROR(__xludf.DUMMYFUNCTION("""COMPUTED_VALUE"""),"Leganés")</f>
        <v>Leganés</v>
      </c>
      <c r="F348" s="16">
        <f ca="1">IFERROR(__xludf.DUMMYFUNCTION("""COMPUTED_VALUE"""),45737)</f>
        <v>45737</v>
      </c>
      <c r="G348" s="16">
        <f ca="1">IFERROR(__xludf.DUMMYFUNCTION("""COMPUTED_VALUE"""),45693)</f>
        <v>45693</v>
      </c>
      <c r="H348" s="6" t="str">
        <f ca="1">IFERROR(__xludf.DUMMYFUNCTION("""COMPUTED_VALUE"""),"Leganés")</f>
        <v>Leganés</v>
      </c>
      <c r="I348" s="6" t="str">
        <f ca="1">IFERROR(__xludf.DUMMYFUNCTION("""COMPUTED_VALUE"""),"C2025212182754332")</f>
        <v>C2025212182754332</v>
      </c>
      <c r="J348" s="6" t="str">
        <f ca="1">IFERROR(__xludf.DUMMYFUNCTION("""COMPUTED_VALUE"""),"ISABEL GARCIA MARTIN")</f>
        <v>ISABEL GARCIA MARTIN</v>
      </c>
      <c r="K348" s="6">
        <f ca="1">IFERROR(__xludf.DUMMYFUNCTION("""COMPUTED_VALUE"""),2)</f>
        <v>2</v>
      </c>
      <c r="L348" s="139">
        <f ca="1">IFERROR(__xludf.DUMMYFUNCTION("""COMPUTED_VALUE"""),3604.55)</f>
        <v>3604.55</v>
      </c>
      <c r="M348" s="6" t="str">
        <f ca="1">IFERROR(__xludf.DUMMYFUNCTION("""COMPUTED_VALUE"""),"03 ORL")</f>
        <v>03 ORL</v>
      </c>
      <c r="N348" s="6" t="str">
        <f ca="1">IFERROR(__xludf.DUMMYFUNCTION("""COMPUTED_VALUE"""),"06 ORL")</f>
        <v>06 ORL</v>
      </c>
      <c r="O348" s="6" t="str">
        <f ca="1">IFERROR(__xludf.DUMMYFUNCTION("""COMPUTED_VALUE"""),"Dra, Carmen Juan Ivars")</f>
        <v>Dra, Carmen Juan Ivars</v>
      </c>
      <c r="P348" s="6" t="str">
        <f ca="1">IFERROR(__xludf.DUMMYFUNCTION("""COMPUTED_VALUE"""),"Maika Blázquez (Madrid)")</f>
        <v>Maika Blázquez (Madrid)</v>
      </c>
    </row>
    <row r="349" spans="2:16">
      <c r="B349" s="6">
        <f ca="1">IFERROR(__xludf.DUMMYFUNCTION("""COMPUTED_VALUE"""),2025)</f>
        <v>2025</v>
      </c>
      <c r="C349" s="6">
        <f ca="1">IFERROR(__xludf.DUMMYFUNCTION("""COMPUTED_VALUE"""),3)</f>
        <v>3</v>
      </c>
      <c r="D349" s="6" t="str">
        <f ca="1">IFERROR(__xludf.DUMMYFUNCTION("""COMPUTED_VALUE"""),"SI")</f>
        <v>SI</v>
      </c>
      <c r="E349" s="6" t="str">
        <f ca="1">IFERROR(__xludf.DUMMYFUNCTION("""COMPUTED_VALUE"""),"Leganés")</f>
        <v>Leganés</v>
      </c>
      <c r="F349" s="16">
        <f ca="1">IFERROR(__xludf.DUMMYFUNCTION("""COMPUTED_VALUE"""),45737)</f>
        <v>45737</v>
      </c>
      <c r="G349" s="16">
        <f ca="1">IFERROR(__xludf.DUMMYFUNCTION("""COMPUTED_VALUE"""),45713)</f>
        <v>45713</v>
      </c>
      <c r="H349" s="6" t="str">
        <f ca="1">IFERROR(__xludf.DUMMYFUNCTION("""COMPUTED_VALUE"""),"Leganés")</f>
        <v>Leganés</v>
      </c>
      <c r="I349" s="6" t="str">
        <f ca="1">IFERROR(__xludf.DUMMYFUNCTION("""COMPUTED_VALUE"""),"C20252261623451")</f>
        <v>C20252261623451</v>
      </c>
      <c r="J349" s="6" t="str">
        <f ca="1">IFERROR(__xludf.DUMMYFUNCTION("""COMPUTED_VALUE"""),"MARIA DEL CARMEN GIL MESA")</f>
        <v>MARIA DEL CARMEN GIL MESA</v>
      </c>
      <c r="K349" s="6">
        <f ca="1">IFERROR(__xludf.DUMMYFUNCTION("""COMPUTED_VALUE"""),2)</f>
        <v>2</v>
      </c>
      <c r="L349" s="139">
        <f ca="1">IFERROR(__xludf.DUMMYFUNCTION("""COMPUTED_VALUE"""),3603.85)</f>
        <v>3603.85</v>
      </c>
      <c r="M349" s="6" t="str">
        <f ca="1">IFERROR(__xludf.DUMMYFUNCTION("""COMPUTED_VALUE"""),"03 ORL")</f>
        <v>03 ORL</v>
      </c>
      <c r="N349" s="6" t="str">
        <f ca="1">IFERROR(__xludf.DUMMYFUNCTION("""COMPUTED_VALUE"""),"06 ORL")</f>
        <v>06 ORL</v>
      </c>
      <c r="O349" s="6" t="str">
        <f ca="1">IFERROR(__xludf.DUMMYFUNCTION("""COMPUTED_VALUE"""),"Dra, Elena Martín Bejerano")</f>
        <v>Dra, Elena Martín Bejerano</v>
      </c>
      <c r="P349" s="6" t="str">
        <f ca="1">IFERROR(__xludf.DUMMYFUNCTION("""COMPUTED_VALUE"""),"Maika Blázquez (Madrid)")</f>
        <v>Maika Blázquez (Madrid)</v>
      </c>
    </row>
    <row r="350" spans="2:16">
      <c r="B350" s="6">
        <f ca="1">IFERROR(__xludf.DUMMYFUNCTION("""COMPUTED_VALUE"""),2025)</f>
        <v>2025</v>
      </c>
      <c r="C350" s="6">
        <f ca="1">IFERROR(__xludf.DUMMYFUNCTION("""COMPUTED_VALUE"""),3)</f>
        <v>3</v>
      </c>
      <c r="D350" s="6" t="str">
        <f ca="1">IFERROR(__xludf.DUMMYFUNCTION("""COMPUTED_VALUE"""),"NO")</f>
        <v>NO</v>
      </c>
      <c r="E350" s="6" t="str">
        <f ca="1">IFERROR(__xludf.DUMMYFUNCTION("""COMPUTED_VALUE"""),"Murcia")</f>
        <v>Murcia</v>
      </c>
      <c r="F350" s="16">
        <f ca="1">IFERROR(__xludf.DUMMYFUNCTION("""COMPUTED_VALUE"""),45737)</f>
        <v>45737</v>
      </c>
      <c r="G350" s="16">
        <f ca="1">IFERROR(__xludf.DUMMYFUNCTION("""COMPUTED_VALUE"""),45720)</f>
        <v>45720</v>
      </c>
      <c r="H350" s="6" t="str">
        <f ca="1">IFERROR(__xludf.DUMMYFUNCTION("""COMPUTED_VALUE"""),"Murcia")</f>
        <v>Murcia</v>
      </c>
      <c r="I350" s="6" t="str">
        <f ca="1">IFERROR(__xludf.DUMMYFUNCTION("""COMPUTED_VALUE"""),"C202534121423378")</f>
        <v>C202534121423378</v>
      </c>
      <c r="J350" s="6" t="str">
        <f ca="1">IFERROR(__xludf.DUMMYFUNCTION("""COMPUTED_VALUE"""),"MARIA ISABEL PARRA ORTEGA")</f>
        <v>MARIA ISABEL PARRA ORTEGA</v>
      </c>
      <c r="K350" s="6">
        <f ca="1">IFERROR(__xludf.DUMMYFUNCTION("""COMPUTED_VALUE"""),2)</f>
        <v>2</v>
      </c>
      <c r="L350" s="139">
        <f ca="1">IFERROR(__xludf.DUMMYFUNCTION("""COMPUTED_VALUE"""),3710)</f>
        <v>3710</v>
      </c>
      <c r="M350" s="6" t="str">
        <f ca="1">IFERROR(__xludf.DUMMYFUNCTION("""COMPUTED_VALUE"""),"03 ORL")</f>
        <v>03 ORL</v>
      </c>
      <c r="N350" s="6" t="str">
        <f ca="1">IFERROR(__xludf.DUMMYFUNCTION("""COMPUTED_VALUE"""),"06 ORL")</f>
        <v>06 ORL</v>
      </c>
      <c r="O350" s="6" t="str">
        <f ca="1">IFERROR(__xludf.DUMMYFUNCTION("""COMPUTED_VALUE"""),"Dr, Enrique López Meseguer")</f>
        <v>Dr, Enrique López Meseguer</v>
      </c>
      <c r="P350" s="6" t="str">
        <f ca="1">IFERROR(__xludf.DUMMYFUNCTION("""COMPUTED_VALUE"""),"Iván Sánchez (Levante Y Albacete)")</f>
        <v>Iván Sánchez (Levante Y Albacete)</v>
      </c>
    </row>
    <row r="351" spans="2:16">
      <c r="B351" s="6">
        <f ca="1">IFERROR(__xludf.DUMMYFUNCTION("""COMPUTED_VALUE"""),2025)</f>
        <v>2025</v>
      </c>
      <c r="C351" s="6">
        <f ca="1">IFERROR(__xludf.DUMMYFUNCTION("""COMPUTED_VALUE"""),3)</f>
        <v>3</v>
      </c>
      <c r="D351" s="6" t="str">
        <f ca="1">IFERROR(__xludf.DUMMYFUNCTION("""COMPUTED_VALUE"""),"NO")</f>
        <v>NO</v>
      </c>
      <c r="E351" s="6" t="str">
        <f ca="1">IFERROR(__xludf.DUMMYFUNCTION("""COMPUTED_VALUE"""),"Murcia")</f>
        <v>Murcia</v>
      </c>
      <c r="F351" s="16">
        <f ca="1">IFERROR(__xludf.DUMMYFUNCTION("""COMPUTED_VALUE"""),45737)</f>
        <v>45737</v>
      </c>
      <c r="G351" s="16">
        <f ca="1">IFERROR(__xludf.DUMMYFUNCTION("""COMPUTED_VALUE"""),45372)</f>
        <v>45372</v>
      </c>
      <c r="H351" s="6" t="str">
        <f ca="1">IFERROR(__xludf.DUMMYFUNCTION("""COMPUTED_VALUE"""),"Murcia")</f>
        <v>Murcia</v>
      </c>
      <c r="I351" s="6" t="str">
        <f ca="1">IFERROR(__xludf.DUMMYFUNCTION("""COMPUTED_VALUE"""),"MUR-1937")</f>
        <v>MUR-1937</v>
      </c>
      <c r="J351" s="6" t="str">
        <f ca="1">IFERROR(__xludf.DUMMYFUNCTION("""COMPUTED_VALUE"""),"ANTONIO HERNANDEZ GOMEZ")</f>
        <v>ANTONIO HERNANDEZ GOMEZ</v>
      </c>
      <c r="K351" s="6">
        <f ca="1">IFERROR(__xludf.DUMMYFUNCTION("""COMPUTED_VALUE"""),2)</f>
        <v>2</v>
      </c>
      <c r="L351" s="139">
        <f ca="1">IFERROR(__xludf.DUMMYFUNCTION("""COMPUTED_VALUE"""),3710)</f>
        <v>3710</v>
      </c>
      <c r="M351" s="6" t="str">
        <f ca="1">IFERROR(__xludf.DUMMYFUNCTION("""COMPUTED_VALUE"""),"03 ORL")</f>
        <v>03 ORL</v>
      </c>
      <c r="N351" s="6" t="str">
        <f ca="1">IFERROR(__xludf.DUMMYFUNCTION("""COMPUTED_VALUE"""),"06 ORL")</f>
        <v>06 ORL</v>
      </c>
      <c r="O351" s="6" t="str">
        <f ca="1">IFERROR(__xludf.DUMMYFUNCTION("""COMPUTED_VALUE"""),"Dra, Vania Novoa Juiz")</f>
        <v>Dra, Vania Novoa Juiz</v>
      </c>
      <c r="P351" s="6" t="str">
        <f ca="1">IFERROR(__xludf.DUMMYFUNCTION("""COMPUTED_VALUE"""),"Iván Sánchez (Levante Y Albacete)")</f>
        <v>Iván Sánchez (Levante Y Albacete)</v>
      </c>
    </row>
    <row r="352" spans="2:16">
      <c r="B352" s="6">
        <f ca="1">IFERROR(__xludf.DUMMYFUNCTION("""COMPUTED_VALUE"""),2025)</f>
        <v>2025</v>
      </c>
      <c r="C352" s="6">
        <f ca="1">IFERROR(__xludf.DUMMYFUNCTION("""COMPUTED_VALUE"""),3)</f>
        <v>3</v>
      </c>
      <c r="D352" s="6" t="str">
        <f ca="1">IFERROR(__xludf.DUMMYFUNCTION("""COMPUTED_VALUE"""),"NO")</f>
        <v>NO</v>
      </c>
      <c r="E352" s="6" t="str">
        <f ca="1">IFERROR(__xludf.DUMMYFUNCTION("""COMPUTED_VALUE"""),"Fuenlabrada")</f>
        <v>Fuenlabrada</v>
      </c>
      <c r="F352" s="16">
        <f ca="1">IFERROR(__xludf.DUMMYFUNCTION("""COMPUTED_VALUE"""),45737)</f>
        <v>45737</v>
      </c>
      <c r="G352" s="16">
        <f ca="1">IFERROR(__xludf.DUMMYFUNCTION("""COMPUTED_VALUE"""),45706)</f>
        <v>45706</v>
      </c>
      <c r="H352" s="6" t="str">
        <f ca="1">IFERROR(__xludf.DUMMYFUNCTION("""COMPUTED_VALUE"""),"Fuenlabrada")</f>
        <v>Fuenlabrada</v>
      </c>
      <c r="I352" s="6" t="str">
        <f ca="1">IFERROR(__xludf.DUMMYFUNCTION("""COMPUTED_VALUE"""),"C2025226172134755")</f>
        <v>C2025226172134755</v>
      </c>
      <c r="J352" s="6" t="str">
        <f ca="1">IFERROR(__xludf.DUMMYFUNCTION("""COMPUTED_VALUE"""),"DAMASO GARCIA CLEMENTE")</f>
        <v>DAMASO GARCIA CLEMENTE</v>
      </c>
      <c r="K352" s="6">
        <f ca="1">IFERROR(__xludf.DUMMYFUNCTION("""COMPUTED_VALUE"""),2)</f>
        <v>2</v>
      </c>
      <c r="L352" s="139">
        <f ca="1">IFERROR(__xludf.DUMMYFUNCTION("""COMPUTED_VALUE"""),3710)</f>
        <v>3710</v>
      </c>
      <c r="M352" s="6" t="str">
        <f ca="1">IFERROR(__xludf.DUMMYFUNCTION("""COMPUTED_VALUE"""),"03 ORL")</f>
        <v>03 ORL</v>
      </c>
      <c r="N352" s="6" t="str">
        <f ca="1">IFERROR(__xludf.DUMMYFUNCTION("""COMPUTED_VALUE"""),"06 ORL")</f>
        <v>06 ORL</v>
      </c>
      <c r="O352" s="6" t="str">
        <f ca="1">IFERROR(__xludf.DUMMYFUNCTION("""COMPUTED_VALUE"""),"Dra, Concepcion Rodríguez Izquierdo")</f>
        <v>Dra, Concepcion Rodríguez Izquierdo</v>
      </c>
      <c r="P352" s="6" t="str">
        <f ca="1">IFERROR(__xludf.DUMMYFUNCTION("""COMPUTED_VALUE"""),"Maika Blázquez (Madrid)")</f>
        <v>Maika Blázquez (Madrid)</v>
      </c>
    </row>
    <row r="353" spans="2:16">
      <c r="B353" s="6">
        <f ca="1">IFERROR(__xludf.DUMMYFUNCTION("""COMPUTED_VALUE"""),2025)</f>
        <v>2025</v>
      </c>
      <c r="C353" s="6">
        <f ca="1">IFERROR(__xludf.DUMMYFUNCTION("""COMPUTED_VALUE"""),3)</f>
        <v>3</v>
      </c>
      <c r="D353" s="6" t="str">
        <f ca="1">IFERROR(__xludf.DUMMYFUNCTION("""COMPUTED_VALUE"""),"NO")</f>
        <v>NO</v>
      </c>
      <c r="E353" s="6" t="str">
        <f ca="1">IFERROR(__xludf.DUMMYFUNCTION("""COMPUTED_VALUE"""),"Getafe")</f>
        <v>Getafe</v>
      </c>
      <c r="F353" s="16">
        <f ca="1">IFERROR(__xludf.DUMMYFUNCTION("""COMPUTED_VALUE"""),45740)</f>
        <v>45740</v>
      </c>
      <c r="G353" s="16">
        <f ca="1">IFERROR(__xludf.DUMMYFUNCTION("""COMPUTED_VALUE"""),45714)</f>
        <v>45714</v>
      </c>
      <c r="H353" s="6" t="str">
        <f ca="1">IFERROR(__xludf.DUMMYFUNCTION("""COMPUTED_VALUE"""),"Getafe")</f>
        <v>Getafe</v>
      </c>
      <c r="I353" s="6" t="str">
        <f ca="1">IFERROR(__xludf.DUMMYFUNCTION("""COMPUTED_VALUE"""),"C20253793728445")</f>
        <v>C20253793728445</v>
      </c>
      <c r="J353" s="6" t="str">
        <f ca="1">IFERROR(__xludf.DUMMYFUNCTION("""COMPUTED_VALUE"""),"EVARISTO BLAZQUEZ RAMIRO")</f>
        <v>EVARISTO BLAZQUEZ RAMIRO</v>
      </c>
      <c r="K353" s="6">
        <f ca="1">IFERROR(__xludf.DUMMYFUNCTION("""COMPUTED_VALUE"""),2)</f>
        <v>2</v>
      </c>
      <c r="L353" s="139">
        <f ca="1">IFERROR(__xludf.DUMMYFUNCTION("""COMPUTED_VALUE"""),4400)</f>
        <v>4400</v>
      </c>
      <c r="M353" s="6" t="str">
        <f ca="1">IFERROR(__xludf.DUMMYFUNCTION("""COMPUTED_VALUE"""),"03 ORL")</f>
        <v>03 ORL</v>
      </c>
      <c r="N353" s="6" t="str">
        <f ca="1">IFERROR(__xludf.DUMMYFUNCTION("""COMPUTED_VALUE"""),"06 ORL")</f>
        <v>06 ORL</v>
      </c>
      <c r="O353" s="6" t="str">
        <f ca="1">IFERROR(__xludf.DUMMYFUNCTION("""COMPUTED_VALUE"""),"Dra, María Garrote Garrote")</f>
        <v>Dra, María Garrote Garrote</v>
      </c>
      <c r="P353" s="6" t="str">
        <f ca="1">IFERROR(__xludf.DUMMYFUNCTION("""COMPUTED_VALUE"""),"Maika Blázquez (Madrid)")</f>
        <v>Maika Blázquez (Madrid)</v>
      </c>
    </row>
    <row r="354" spans="2:16">
      <c r="B354" s="6">
        <f ca="1">IFERROR(__xludf.DUMMYFUNCTION("""COMPUTED_VALUE"""),2025)</f>
        <v>2025</v>
      </c>
      <c r="C354" s="6">
        <f ca="1">IFERROR(__xludf.DUMMYFUNCTION("""COMPUTED_VALUE"""),3)</f>
        <v>3</v>
      </c>
      <c r="D354" s="6" t="str">
        <f ca="1">IFERROR(__xludf.DUMMYFUNCTION("""COMPUTED_VALUE"""),"NO")</f>
        <v>NO</v>
      </c>
      <c r="E354" s="6" t="str">
        <f ca="1">IFERROR(__xludf.DUMMYFUNCTION("""COMPUTED_VALUE"""),"Albacete")</f>
        <v>Albacete</v>
      </c>
      <c r="F354" s="16">
        <f ca="1">IFERROR(__xludf.DUMMYFUNCTION("""COMPUTED_VALUE"""),45740)</f>
        <v>45740</v>
      </c>
      <c r="G354" s="16">
        <f ca="1">IFERROR(__xludf.DUMMYFUNCTION("""COMPUTED_VALUE"""),45691)</f>
        <v>45691</v>
      </c>
      <c r="H354" s="6" t="str">
        <f ca="1">IFERROR(__xludf.DUMMYFUNCTION("""COMPUTED_VALUE"""),"Albacete")</f>
        <v>Albacete</v>
      </c>
      <c r="I354" s="6" t="str">
        <f ca="1">IFERROR(__xludf.DUMMYFUNCTION("""COMPUTED_VALUE"""),"C20252392436772")</f>
        <v>C20252392436772</v>
      </c>
      <c r="J354" s="6" t="str">
        <f ca="1">IFERROR(__xludf.DUMMYFUNCTION("""COMPUTED_VALUE"""),"TERESA PASTOR PLAZA")</f>
        <v>TERESA PASTOR PLAZA</v>
      </c>
      <c r="K354" s="6">
        <f ca="1">IFERROR(__xludf.DUMMYFUNCTION("""COMPUTED_VALUE"""),1)</f>
        <v>1</v>
      </c>
      <c r="L354" s="139">
        <f ca="1">IFERROR(__xludf.DUMMYFUNCTION("""COMPUTED_VALUE"""),2400)</f>
        <v>2400</v>
      </c>
      <c r="M354" s="6" t="str">
        <f ca="1">IFERROR(__xludf.DUMMYFUNCTION("""COMPUTED_VALUE"""),"03 ORL")</f>
        <v>03 ORL</v>
      </c>
      <c r="N354" s="6" t="str">
        <f ca="1">IFERROR(__xludf.DUMMYFUNCTION("""COMPUTED_VALUE"""),"06 ORL")</f>
        <v>06 ORL</v>
      </c>
      <c r="O354" s="6" t="str">
        <f ca="1">IFERROR(__xludf.DUMMYFUNCTION("""COMPUTED_VALUE"""),"Dra, Blanca Maria Martinez Duro")</f>
        <v>Dra, Blanca Maria Martinez Duro</v>
      </c>
      <c r="P354" s="6" t="str">
        <f ca="1">IFERROR(__xludf.DUMMYFUNCTION("""COMPUTED_VALUE"""),"Iván Sánchez (Levante Y Albacete)")</f>
        <v>Iván Sánchez (Levante Y Albacete)</v>
      </c>
    </row>
    <row r="355" spans="2:16">
      <c r="B355" s="6">
        <f ca="1">IFERROR(__xludf.DUMMYFUNCTION("""COMPUTED_VALUE"""),2025)</f>
        <v>2025</v>
      </c>
      <c r="C355" s="6">
        <f ca="1">IFERROR(__xludf.DUMMYFUNCTION("""COMPUTED_VALUE"""),3)</f>
        <v>3</v>
      </c>
      <c r="D355" s="6" t="str">
        <f ca="1">IFERROR(__xludf.DUMMYFUNCTION("""COMPUTED_VALUE"""),"NO")</f>
        <v>NO</v>
      </c>
      <c r="E355" s="6" t="str">
        <f ca="1">IFERROR(__xludf.DUMMYFUNCTION("""COMPUTED_VALUE"""),"Madrid- Moratalaz")</f>
        <v>Madrid- Moratalaz</v>
      </c>
      <c r="F355" s="16">
        <f ca="1">IFERROR(__xludf.DUMMYFUNCTION("""COMPUTED_VALUE"""),45740)</f>
        <v>45740</v>
      </c>
      <c r="G355" s="16">
        <f ca="1">IFERROR(__xludf.DUMMYFUNCTION("""COMPUTED_VALUE"""),45706)</f>
        <v>45706</v>
      </c>
      <c r="H355" s="6" t="str">
        <f ca="1">IFERROR(__xludf.DUMMYFUNCTION("""COMPUTED_VALUE"""),"Moratalaz")</f>
        <v>Moratalaz</v>
      </c>
      <c r="I355" s="6" t="str">
        <f ca="1">IFERROR(__xludf.DUMMYFUNCTION("""COMPUTED_VALUE"""),"C202522518651761")</f>
        <v>C202522518651761</v>
      </c>
      <c r="J355" s="6" t="str">
        <f ca="1">IFERROR(__xludf.DUMMYFUNCTION("""COMPUTED_VALUE"""),"VICENTE MORANT SUSPEDRA")</f>
        <v>VICENTE MORANT SUSPEDRA</v>
      </c>
      <c r="K355" s="6">
        <f ca="1">IFERROR(__xludf.DUMMYFUNCTION("""COMPUTED_VALUE"""),2)</f>
        <v>2</v>
      </c>
      <c r="L355" s="139">
        <f ca="1">IFERROR(__xludf.DUMMYFUNCTION("""COMPUTED_VALUE"""),3710)</f>
        <v>3710</v>
      </c>
      <c r="M355" s="6" t="str">
        <f ca="1">IFERROR(__xludf.DUMMYFUNCTION("""COMPUTED_VALUE"""),"03 ORL")</f>
        <v>03 ORL</v>
      </c>
      <c r="N355" s="6" t="str">
        <f ca="1">IFERROR(__xludf.DUMMYFUNCTION("""COMPUTED_VALUE"""),"06 ORL")</f>
        <v>06 ORL</v>
      </c>
      <c r="O355" s="6" t="str">
        <f ca="1">IFERROR(__xludf.DUMMYFUNCTION("""COMPUTED_VALUE"""),"Dr, Manuel Gutiérrez Triguero")</f>
        <v>Dr, Manuel Gutiérrez Triguero</v>
      </c>
      <c r="P355" s="6" t="str">
        <f ca="1">IFERROR(__xludf.DUMMYFUNCTION("""COMPUTED_VALUE"""),"Maika Blázquez (Madrid)")</f>
        <v>Maika Blázquez (Madrid)</v>
      </c>
    </row>
    <row r="356" spans="2:16">
      <c r="B356" s="6">
        <f ca="1">IFERROR(__xludf.DUMMYFUNCTION("""COMPUTED_VALUE"""),2025)</f>
        <v>2025</v>
      </c>
      <c r="C356" s="6">
        <f ca="1">IFERROR(__xludf.DUMMYFUNCTION("""COMPUTED_VALUE"""),3)</f>
        <v>3</v>
      </c>
      <c r="D356" s="6" t="str">
        <f ca="1">IFERROR(__xludf.DUMMYFUNCTION("""COMPUTED_VALUE"""),"NO")</f>
        <v>NO</v>
      </c>
      <c r="E356" s="6" t="str">
        <f ca="1">IFERROR(__xludf.DUMMYFUNCTION("""COMPUTED_VALUE"""),"Alicante")</f>
        <v>Alicante</v>
      </c>
      <c r="F356" s="16">
        <f ca="1">IFERROR(__xludf.DUMMYFUNCTION("""COMPUTED_VALUE"""),45740)</f>
        <v>45740</v>
      </c>
      <c r="G356" s="16">
        <f ca="1">IFERROR(__xludf.DUMMYFUNCTION("""COMPUTED_VALUE"""),45705)</f>
        <v>45705</v>
      </c>
      <c r="H356" s="6" t="str">
        <f ca="1">IFERROR(__xludf.DUMMYFUNCTION("""COMPUTED_VALUE"""),"Alicante")</f>
        <v>Alicante</v>
      </c>
      <c r="I356" s="6" t="str">
        <f ca="1">IFERROR(__xludf.DUMMYFUNCTION("""COMPUTED_VALUE"""),"C202522016332736")</f>
        <v>C202522016332736</v>
      </c>
      <c r="J356" s="6" t="str">
        <f ca="1">IFERROR(__xludf.DUMMYFUNCTION("""COMPUTED_VALUE"""),"LIOUDMILA MAMMERI")</f>
        <v>LIOUDMILA MAMMERI</v>
      </c>
      <c r="K356" s="6">
        <f ca="1">IFERROR(__xludf.DUMMYFUNCTION("""COMPUTED_VALUE"""),2)</f>
        <v>2</v>
      </c>
      <c r="L356" s="139">
        <f ca="1">IFERROR(__xludf.DUMMYFUNCTION("""COMPUTED_VALUE"""),2743.77)</f>
        <v>2743.77</v>
      </c>
      <c r="M356" s="6" t="str">
        <f ca="1">IFERROR(__xludf.DUMMYFUNCTION("""COMPUTED_VALUE"""),"03 ORL")</f>
        <v>03 ORL</v>
      </c>
      <c r="N356" s="6" t="str">
        <f ca="1">IFERROR(__xludf.DUMMYFUNCTION("""COMPUTED_VALUE"""),"06 ORL")</f>
        <v>06 ORL</v>
      </c>
      <c r="O356" s="6" t="str">
        <f ca="1">IFERROR(__xludf.DUMMYFUNCTION("""COMPUTED_VALUE"""),"Dra, Irene Monjas Canovas")</f>
        <v>Dra, Irene Monjas Canovas</v>
      </c>
      <c r="P356" s="6" t="str">
        <f ca="1">IFERROR(__xludf.DUMMYFUNCTION("""COMPUTED_VALUE"""),"Iván Sánchez (Levante Y Albacete)")</f>
        <v>Iván Sánchez (Levante Y Albacete)</v>
      </c>
    </row>
    <row r="357" spans="2:16">
      <c r="B357" s="6">
        <f ca="1">IFERROR(__xludf.DUMMYFUNCTION("""COMPUTED_VALUE"""),2025)</f>
        <v>2025</v>
      </c>
      <c r="C357" s="6">
        <f ca="1">IFERROR(__xludf.DUMMYFUNCTION("""COMPUTED_VALUE"""),3)</f>
        <v>3</v>
      </c>
      <c r="D357" s="6" t="str">
        <f ca="1">IFERROR(__xludf.DUMMYFUNCTION("""COMPUTED_VALUE"""),"NO")</f>
        <v>NO</v>
      </c>
      <c r="E357" s="6" t="str">
        <f ca="1">IFERROR(__xludf.DUMMYFUNCTION("""COMPUTED_VALUE"""),"Sevilla- Montoto")</f>
        <v>Sevilla- Montoto</v>
      </c>
      <c r="F357" s="16">
        <f ca="1">IFERROR(__xludf.DUMMYFUNCTION("""COMPUTED_VALUE"""),45740)</f>
        <v>45740</v>
      </c>
      <c r="G357" s="16">
        <f ca="1">IFERROR(__xludf.DUMMYFUNCTION("""COMPUTED_VALUE"""),45705)</f>
        <v>45705</v>
      </c>
      <c r="H357" s="6" t="str">
        <f ca="1">IFERROR(__xludf.DUMMYFUNCTION("""COMPUTED_VALUE"""),"Montoto")</f>
        <v>Montoto</v>
      </c>
      <c r="I357" s="6" t="str">
        <f ca="1">IFERROR(__xludf.DUMMYFUNCTION("""COMPUTED_VALUE"""),"C202522494917766")</f>
        <v>C202522494917766</v>
      </c>
      <c r="J357" s="6" t="str">
        <f ca="1">IFERROR(__xludf.DUMMYFUNCTION("""COMPUTED_VALUE"""),"MARGARITA WIC COLLADO")</f>
        <v>MARGARITA WIC COLLADO</v>
      </c>
      <c r="K357" s="6">
        <f ca="1">IFERROR(__xludf.DUMMYFUNCTION("""COMPUTED_VALUE"""),1)</f>
        <v>1</v>
      </c>
      <c r="L357" s="139">
        <f ca="1">IFERROR(__xludf.DUMMYFUNCTION("""COMPUTED_VALUE"""),2400)</f>
        <v>2400</v>
      </c>
      <c r="M357" s="6" t="str">
        <f ca="1">IFERROR(__xludf.DUMMYFUNCTION("""COMPUTED_VALUE"""),"03 ORL")</f>
        <v>03 ORL</v>
      </c>
      <c r="N357" s="6" t="str">
        <f ca="1">IFERROR(__xludf.DUMMYFUNCTION("""COMPUTED_VALUE"""),"06 ORL")</f>
        <v>06 ORL</v>
      </c>
      <c r="O357" s="6" t="str">
        <f ca="1">IFERROR(__xludf.DUMMYFUNCTION("""COMPUTED_VALUE"""),"Dr, Francisco Ropero Romero")</f>
        <v>Dr, Francisco Ropero Romero</v>
      </c>
      <c r="P357" s="6" t="str">
        <f ca="1">IFERROR(__xludf.DUMMYFUNCTION("""COMPUTED_VALUE"""),"Luis Alberto Rodríguez (Andalucía Y Badajoz)")</f>
        <v>Luis Alberto Rodríguez (Andalucía Y Badajoz)</v>
      </c>
    </row>
    <row r="358" spans="2:16">
      <c r="B358" s="6">
        <f ca="1">IFERROR(__xludf.DUMMYFUNCTION("""COMPUTED_VALUE"""),2025)</f>
        <v>2025</v>
      </c>
      <c r="C358" s="6">
        <f ca="1">IFERROR(__xludf.DUMMYFUNCTION("""COMPUTED_VALUE"""),3)</f>
        <v>3</v>
      </c>
      <c r="D358" s="6" t="str">
        <f ca="1">IFERROR(__xludf.DUMMYFUNCTION("""COMPUTED_VALUE"""),"NO")</f>
        <v>NO</v>
      </c>
      <c r="E358" s="6" t="str">
        <f ca="1">IFERROR(__xludf.DUMMYFUNCTION("""COMPUTED_VALUE"""),"Madrid- Moratalaz")</f>
        <v>Madrid- Moratalaz</v>
      </c>
      <c r="F358" s="16">
        <f ca="1">IFERROR(__xludf.DUMMYFUNCTION("""COMPUTED_VALUE"""),45740)</f>
        <v>45740</v>
      </c>
      <c r="G358" s="16">
        <f ca="1">IFERROR(__xludf.DUMMYFUNCTION("""COMPUTED_VALUE"""),45713)</f>
        <v>45713</v>
      </c>
      <c r="H358" s="6" t="str">
        <f ca="1">IFERROR(__xludf.DUMMYFUNCTION("""COMPUTED_VALUE"""),"Moratalaz")</f>
        <v>Moratalaz</v>
      </c>
      <c r="I358" s="6" t="str">
        <f ca="1">IFERROR(__xludf.DUMMYFUNCTION("""COMPUTED_VALUE"""),"C202536174857586")</f>
        <v>C202536174857586</v>
      </c>
      <c r="J358" s="6" t="str">
        <f ca="1">IFERROR(__xludf.DUMMYFUNCTION("""COMPUTED_VALUE"""),"CARLOS BAJO REVENGA")</f>
        <v>CARLOS BAJO REVENGA</v>
      </c>
      <c r="K358" s="6">
        <f ca="1">IFERROR(__xludf.DUMMYFUNCTION("""COMPUTED_VALUE"""),2)</f>
        <v>2</v>
      </c>
      <c r="L358" s="139">
        <f ca="1">IFERROR(__xludf.DUMMYFUNCTION("""COMPUTED_VALUE"""),4000)</f>
        <v>4000</v>
      </c>
      <c r="M358" s="6" t="str">
        <f ca="1">IFERROR(__xludf.DUMMYFUNCTION("""COMPUTED_VALUE"""),"03 ORL")</f>
        <v>03 ORL</v>
      </c>
      <c r="N358" s="6" t="str">
        <f ca="1">IFERROR(__xludf.DUMMYFUNCTION("""COMPUTED_VALUE"""),"06 ORL")</f>
        <v>06 ORL</v>
      </c>
      <c r="O358" s="6" t="str">
        <f ca="1">IFERROR(__xludf.DUMMYFUNCTION("""COMPUTED_VALUE"""),"No Recuerda Orl")</f>
        <v>No Recuerda Orl</v>
      </c>
      <c r="P358" s="6" t="str">
        <f ca="1">IFERROR(__xludf.DUMMYFUNCTION("""COMPUTED_VALUE"""),"Maika Blázquez (Madrid)")</f>
        <v>Maika Blázquez (Madrid)</v>
      </c>
    </row>
    <row r="359" spans="2:16">
      <c r="B359" s="6">
        <f ca="1">IFERROR(__xludf.DUMMYFUNCTION("""COMPUTED_VALUE"""),2025)</f>
        <v>2025</v>
      </c>
      <c r="C359" s="6">
        <f ca="1">IFERROR(__xludf.DUMMYFUNCTION("""COMPUTED_VALUE"""),3)</f>
        <v>3</v>
      </c>
      <c r="D359" s="6" t="str">
        <f ca="1">IFERROR(__xludf.DUMMYFUNCTION("""COMPUTED_VALUE"""),"NO")</f>
        <v>NO</v>
      </c>
      <c r="E359" s="6" t="str">
        <f ca="1">IFERROR(__xludf.DUMMYFUNCTION("""COMPUTED_VALUE"""),"Madrid- Juan Bravo")</f>
        <v>Madrid- Juan Bravo</v>
      </c>
      <c r="F359" s="16">
        <f ca="1">IFERROR(__xludf.DUMMYFUNCTION("""COMPUTED_VALUE"""),45740)</f>
        <v>45740</v>
      </c>
      <c r="G359" s="16">
        <f ca="1">IFERROR(__xludf.DUMMYFUNCTION("""COMPUTED_VALUE"""),45708)</f>
        <v>45708</v>
      </c>
      <c r="H359" s="6" t="str">
        <f ca="1">IFERROR(__xludf.DUMMYFUNCTION("""COMPUTED_VALUE"""),"Juan Bravo")</f>
        <v>Juan Bravo</v>
      </c>
      <c r="I359" s="6" t="str">
        <f ca="1">IFERROR(__xludf.DUMMYFUNCTION("""COMPUTED_VALUE"""),"C202522618133462")</f>
        <v>C202522618133462</v>
      </c>
      <c r="J359" s="6" t="str">
        <f ca="1">IFERROR(__xludf.DUMMYFUNCTION("""COMPUTED_VALUE"""),"MARIA LUISA ALVAREZ ABEILHE")</f>
        <v>MARIA LUISA ALVAREZ ABEILHE</v>
      </c>
      <c r="K359" s="6">
        <f ca="1">IFERROR(__xludf.DUMMYFUNCTION("""COMPUTED_VALUE"""),2)</f>
        <v>2</v>
      </c>
      <c r="L359" s="139">
        <f ca="1">IFERROR(__xludf.DUMMYFUNCTION("""COMPUTED_VALUE"""),4000)</f>
        <v>4000</v>
      </c>
      <c r="M359" s="6" t="str">
        <f ca="1">IFERROR(__xludf.DUMMYFUNCTION("""COMPUTED_VALUE"""),"03 ORL")</f>
        <v>03 ORL</v>
      </c>
      <c r="N359" s="6" t="str">
        <f ca="1">IFERROR(__xludf.DUMMYFUNCTION("""COMPUTED_VALUE"""),"06 ORL")</f>
        <v>06 ORL</v>
      </c>
      <c r="O359" s="6" t="str">
        <f ca="1">IFERROR(__xludf.DUMMYFUNCTION("""COMPUTED_VALUE"""),"Dr, Javier García Domínguez")</f>
        <v>Dr, Javier García Domínguez</v>
      </c>
      <c r="P359" s="6" t="str">
        <f ca="1">IFERROR(__xludf.DUMMYFUNCTION("""COMPUTED_VALUE"""),"Maika Blázquez (Madrid)")</f>
        <v>Maika Blázquez (Madrid)</v>
      </c>
    </row>
    <row r="360" spans="2:16">
      <c r="B360" s="6">
        <f ca="1">IFERROR(__xludf.DUMMYFUNCTION("""COMPUTED_VALUE"""),2025)</f>
        <v>2025</v>
      </c>
      <c r="C360" s="6">
        <f ca="1">IFERROR(__xludf.DUMMYFUNCTION("""COMPUTED_VALUE"""),3)</f>
        <v>3</v>
      </c>
      <c r="D360" s="6" t="str">
        <f ca="1">IFERROR(__xludf.DUMMYFUNCTION("""COMPUTED_VALUE"""),"NO")</f>
        <v>NO</v>
      </c>
      <c r="E360" s="6" t="str">
        <f ca="1">IFERROR(__xludf.DUMMYFUNCTION("""COMPUTED_VALUE"""),"Almería")</f>
        <v>Almería</v>
      </c>
      <c r="F360" s="16">
        <f ca="1">IFERROR(__xludf.DUMMYFUNCTION("""COMPUTED_VALUE"""),45740)</f>
        <v>45740</v>
      </c>
      <c r="G360" s="16">
        <f ca="1">IFERROR(__xludf.DUMMYFUNCTION("""COMPUTED_VALUE"""),45699)</f>
        <v>45699</v>
      </c>
      <c r="H360" s="6" t="str">
        <f ca="1">IFERROR(__xludf.DUMMYFUNCTION("""COMPUTED_VALUE"""),"Almería")</f>
        <v>Almería</v>
      </c>
      <c r="I360" s="6" t="str">
        <f ca="1">IFERROR(__xludf.DUMMYFUNCTION("""COMPUTED_VALUE"""),"C20252181745889")</f>
        <v>C20252181745889</v>
      </c>
      <c r="J360" s="6" t="str">
        <f ca="1">IFERROR(__xludf.DUMMYFUNCTION("""COMPUTED_VALUE"""),"ANTONIO LUQUE CARRIQUE")</f>
        <v>ANTONIO LUQUE CARRIQUE</v>
      </c>
      <c r="K360" s="6">
        <f ca="1">IFERROR(__xludf.DUMMYFUNCTION("""COMPUTED_VALUE"""),2)</f>
        <v>2</v>
      </c>
      <c r="L360" s="139">
        <f ca="1">IFERROR(__xludf.DUMMYFUNCTION("""COMPUTED_VALUE"""),3604.55)</f>
        <v>3604.55</v>
      </c>
      <c r="M360" s="6" t="str">
        <f ca="1">IFERROR(__xludf.DUMMYFUNCTION("""COMPUTED_VALUE"""),"04 TIENDA")</f>
        <v>04 TIENDA</v>
      </c>
      <c r="N360" s="6" t="str">
        <f ca="1">IFERROR(__xludf.DUMMYFUNCTION("""COMPUTED_VALUE"""),"07 BOCA/BOCA")</f>
        <v>07 BOCA/BOCA</v>
      </c>
      <c r="O360" s="6" t="str">
        <f ca="1">IFERROR(__xludf.DUMMYFUNCTION("""COMPUTED_VALUE"""),"Dr, Javier Padilla Cabello")</f>
        <v>Dr, Javier Padilla Cabello</v>
      </c>
      <c r="P360" s="6" t="str">
        <f ca="1">IFERROR(__xludf.DUMMYFUNCTION("""COMPUTED_VALUE"""),"Ramon Ferrando(Valencia)")</f>
        <v>Ramon Ferrando(Valencia)</v>
      </c>
    </row>
    <row r="361" spans="2:16">
      <c r="B361" s="6">
        <f ca="1">IFERROR(__xludf.DUMMYFUNCTION("""COMPUTED_VALUE"""),2025)</f>
        <v>2025</v>
      </c>
      <c r="C361" s="6">
        <f ca="1">IFERROR(__xludf.DUMMYFUNCTION("""COMPUTED_VALUE"""),3)</f>
        <v>3</v>
      </c>
      <c r="D361" s="6" t="str">
        <f ca="1">IFERROR(__xludf.DUMMYFUNCTION("""COMPUTED_VALUE"""),"NO")</f>
        <v>NO</v>
      </c>
      <c r="E361" s="6" t="str">
        <f ca="1">IFERROR(__xludf.DUMMYFUNCTION("""COMPUTED_VALUE"""),"Madrid- La Oca")</f>
        <v>Madrid- La Oca</v>
      </c>
      <c r="F361" s="16">
        <f ca="1">IFERROR(__xludf.DUMMYFUNCTION("""COMPUTED_VALUE"""),45740)</f>
        <v>45740</v>
      </c>
      <c r="G361" s="16">
        <f ca="1">IFERROR(__xludf.DUMMYFUNCTION("""COMPUTED_VALUE"""),45706)</f>
        <v>45706</v>
      </c>
      <c r="H361" s="6" t="str">
        <f ca="1">IFERROR(__xludf.DUMMYFUNCTION("""COMPUTED_VALUE"""),"La Oca")</f>
        <v>La Oca</v>
      </c>
      <c r="I361" s="6" t="str">
        <f ca="1">IFERROR(__xludf.DUMMYFUNCTION("""COMPUTED_VALUE"""),"C202521911313963")</f>
        <v>C202521911313963</v>
      </c>
      <c r="J361" s="6" t="str">
        <f ca="1">IFERROR(__xludf.DUMMYFUNCTION("""COMPUTED_VALUE"""),"JESUS MARTINEZ BENAVIDES")</f>
        <v>JESUS MARTINEZ BENAVIDES</v>
      </c>
      <c r="K361" s="6">
        <f ca="1">IFERROR(__xludf.DUMMYFUNCTION("""COMPUTED_VALUE"""),2)</f>
        <v>2</v>
      </c>
      <c r="L361" s="139">
        <f ca="1">IFERROR(__xludf.DUMMYFUNCTION("""COMPUTED_VALUE"""),3800)</f>
        <v>3800</v>
      </c>
      <c r="M361" s="6" t="str">
        <f ca="1">IFERROR(__xludf.DUMMYFUNCTION("""COMPUTED_VALUE"""),"03 ORL")</f>
        <v>03 ORL</v>
      </c>
      <c r="N361" s="6" t="str">
        <f ca="1">IFERROR(__xludf.DUMMYFUNCTION("""COMPUTED_VALUE"""),"06 ORL")</f>
        <v>06 ORL</v>
      </c>
      <c r="O361" s="6" t="str">
        <f ca="1">IFERROR(__xludf.DUMMYFUNCTION("""COMPUTED_VALUE"""),"Dr, César Charles Martínez")</f>
        <v>Dr, César Charles Martínez</v>
      </c>
      <c r="P361" s="6" t="str">
        <f ca="1">IFERROR(__xludf.DUMMYFUNCTION("""COMPUTED_VALUE"""),"Maika Blázquez (Madrid)")</f>
        <v>Maika Blázquez (Madrid)</v>
      </c>
    </row>
    <row r="362" spans="2:16">
      <c r="B362" s="6">
        <f ca="1">IFERROR(__xludf.DUMMYFUNCTION("""COMPUTED_VALUE"""),2025)</f>
        <v>2025</v>
      </c>
      <c r="C362" s="6">
        <f ca="1">IFERROR(__xludf.DUMMYFUNCTION("""COMPUTED_VALUE"""),3)</f>
        <v>3</v>
      </c>
      <c r="D362" s="6" t="str">
        <f ca="1">IFERROR(__xludf.DUMMYFUNCTION("""COMPUTED_VALUE"""),"NO")</f>
        <v>NO</v>
      </c>
      <c r="E362" s="6" t="str">
        <f ca="1">IFERROR(__xludf.DUMMYFUNCTION("""COMPUTED_VALUE"""),"Alicante")</f>
        <v>Alicante</v>
      </c>
      <c r="F362" s="16">
        <f ca="1">IFERROR(__xludf.DUMMYFUNCTION("""COMPUTED_VALUE"""),45740)</f>
        <v>45740</v>
      </c>
      <c r="G362" s="16">
        <f ca="1">IFERROR(__xludf.DUMMYFUNCTION("""COMPUTED_VALUE"""),45681)</f>
        <v>45681</v>
      </c>
      <c r="H362" s="6" t="str">
        <f ca="1">IFERROR(__xludf.DUMMYFUNCTION("""COMPUTED_VALUE"""),"Alicante")</f>
        <v>Alicante</v>
      </c>
      <c r="I362" s="6" t="str">
        <f ca="1">IFERROR(__xludf.DUMMYFUNCTION("""COMPUTED_VALUE"""),"C2025217114422441")</f>
        <v>C2025217114422441</v>
      </c>
      <c r="J362" s="6" t="str">
        <f ca="1">IFERROR(__xludf.DUMMYFUNCTION("""COMPUTED_VALUE"""),"MARIA TERESA RICO NAVARRO")</f>
        <v>MARIA TERESA RICO NAVARRO</v>
      </c>
      <c r="K362" s="6">
        <f ca="1">IFERROR(__xludf.DUMMYFUNCTION("""COMPUTED_VALUE"""),2)</f>
        <v>2</v>
      </c>
      <c r="L362" s="139">
        <f ca="1">IFERROR(__xludf.DUMMYFUNCTION("""COMPUTED_VALUE"""),4000)</f>
        <v>4000</v>
      </c>
      <c r="M362" s="6" t="str">
        <f ca="1">IFERROR(__xludf.DUMMYFUNCTION("""COMPUTED_VALUE"""),"03 ORL")</f>
        <v>03 ORL</v>
      </c>
      <c r="N362" s="6" t="str">
        <f ca="1">IFERROR(__xludf.DUMMYFUNCTION("""COMPUTED_VALUE"""),"06 ORL")</f>
        <v>06 ORL</v>
      </c>
      <c r="O362" s="6" t="str">
        <f ca="1">IFERROR(__xludf.DUMMYFUNCTION("""COMPUTED_VALUE"""),"Dr, Guillermo Severá Ferrándiz")</f>
        <v>Dr, Guillermo Severá Ferrándiz</v>
      </c>
      <c r="P362" s="6" t="str">
        <f ca="1">IFERROR(__xludf.DUMMYFUNCTION("""COMPUTED_VALUE"""),"Iván Sánchez (Levante Y Albacete)")</f>
        <v>Iván Sánchez (Levante Y Albacete)</v>
      </c>
    </row>
    <row r="363" spans="2:16">
      <c r="B363" s="6">
        <f ca="1">IFERROR(__xludf.DUMMYFUNCTION("""COMPUTED_VALUE"""),2025)</f>
        <v>2025</v>
      </c>
      <c r="C363" s="6">
        <f ca="1">IFERROR(__xludf.DUMMYFUNCTION("""COMPUTED_VALUE"""),3)</f>
        <v>3</v>
      </c>
      <c r="D363" s="6" t="str">
        <f ca="1">IFERROR(__xludf.DUMMYFUNCTION("""COMPUTED_VALUE"""),"NO")</f>
        <v>NO</v>
      </c>
      <c r="E363" s="6" t="str">
        <f ca="1">IFERROR(__xludf.DUMMYFUNCTION("""COMPUTED_VALUE"""),"Valencia- Cádiz")</f>
        <v>Valencia- Cádiz</v>
      </c>
      <c r="F363" s="16">
        <f ca="1">IFERROR(__xludf.DUMMYFUNCTION("""COMPUTED_VALUE"""),45740)</f>
        <v>45740</v>
      </c>
      <c r="G363" s="16">
        <f ca="1">IFERROR(__xludf.DUMMYFUNCTION("""COMPUTED_VALUE"""),45644)</f>
        <v>45644</v>
      </c>
      <c r="H363" s="6" t="str">
        <f ca="1">IFERROR(__xludf.DUMMYFUNCTION("""COMPUTED_VALUE"""),"Valencia- Cádiz")</f>
        <v>Valencia- Cádiz</v>
      </c>
      <c r="I363" s="6" t="str">
        <f ca="1">IFERROR(__xludf.DUMMYFUNCTION("""COMPUTED_VALUE"""),"C2024122411582318")</f>
        <v>C2024122411582318</v>
      </c>
      <c r="J363" s="6" t="str">
        <f ca="1">IFERROR(__xludf.DUMMYFUNCTION("""COMPUTED_VALUE"""),"JIANQING WANG")</f>
        <v>JIANQING WANG</v>
      </c>
      <c r="K363" s="6">
        <f ca="1">IFERROR(__xludf.DUMMYFUNCTION("""COMPUTED_VALUE"""),1)</f>
        <v>1</v>
      </c>
      <c r="L363" s="139">
        <f ca="1">IFERROR(__xludf.DUMMYFUNCTION("""COMPUTED_VALUE"""),2067.27)</f>
        <v>2067.27</v>
      </c>
      <c r="M363" s="6" t="str">
        <f ca="1">IFERROR(__xludf.DUMMYFUNCTION("""COMPUTED_VALUE"""),"03 ORL")</f>
        <v>03 ORL</v>
      </c>
      <c r="N363" s="6" t="str">
        <f ca="1">IFERROR(__xludf.DUMMYFUNCTION("""COMPUTED_VALUE"""),"06 ORL")</f>
        <v>06 ORL</v>
      </c>
      <c r="O363" s="6" t="str">
        <f ca="1">IFERROR(__xludf.DUMMYFUNCTION("""COMPUTED_VALUE"""),"Dr, Jean Franco Intraprendente Martini")</f>
        <v>Dr, Jean Franco Intraprendente Martini</v>
      </c>
      <c r="P363" s="6" t="str">
        <f ca="1">IFERROR(__xludf.DUMMYFUNCTION("""COMPUTED_VALUE"""),"Ramon Ferrando(Valencia)")</f>
        <v>Ramon Ferrando(Valencia)</v>
      </c>
    </row>
    <row r="364" spans="2:16">
      <c r="B364" s="6">
        <f ca="1">IFERROR(__xludf.DUMMYFUNCTION("""COMPUTED_VALUE"""),2025)</f>
        <v>2025</v>
      </c>
      <c r="C364" s="6">
        <f ca="1">IFERROR(__xludf.DUMMYFUNCTION("""COMPUTED_VALUE"""),3)</f>
        <v>3</v>
      </c>
      <c r="D364" s="6" t="str">
        <f ca="1">IFERROR(__xludf.DUMMYFUNCTION("""COMPUTED_VALUE"""),"NO")</f>
        <v>NO</v>
      </c>
      <c r="E364" s="6" t="str">
        <f ca="1">IFERROR(__xludf.DUMMYFUNCTION("""COMPUTED_VALUE"""),"Getafe")</f>
        <v>Getafe</v>
      </c>
      <c r="F364" s="16">
        <f ca="1">IFERROR(__xludf.DUMMYFUNCTION("""COMPUTED_VALUE"""),45740)</f>
        <v>45740</v>
      </c>
      <c r="G364" s="16">
        <f ca="1">IFERROR(__xludf.DUMMYFUNCTION("""COMPUTED_VALUE"""),45709)</f>
        <v>45709</v>
      </c>
      <c r="H364" s="6" t="str">
        <f ca="1">IFERROR(__xludf.DUMMYFUNCTION("""COMPUTED_VALUE"""),"Getafe")</f>
        <v>Getafe</v>
      </c>
      <c r="I364" s="6" t="str">
        <f ca="1">IFERROR(__xludf.DUMMYFUNCTION("""COMPUTED_VALUE"""),"C202535104847967")</f>
        <v>C202535104847967</v>
      </c>
      <c r="J364" s="6" t="str">
        <f ca="1">IFERROR(__xludf.DUMMYFUNCTION("""COMPUTED_VALUE"""),"MARIA DEL CARMEN LOPEZ NOGALES")</f>
        <v>MARIA DEL CARMEN LOPEZ NOGALES</v>
      </c>
      <c r="K364" s="6">
        <f ca="1">IFERROR(__xludf.DUMMYFUNCTION("""COMPUTED_VALUE"""),2)</f>
        <v>2</v>
      </c>
      <c r="L364" s="139">
        <f ca="1">IFERROR(__xludf.DUMMYFUNCTION("""COMPUTED_VALUE"""),2888.18)</f>
        <v>2888.18</v>
      </c>
      <c r="M364" s="6" t="str">
        <f ca="1">IFERROR(__xludf.DUMMYFUNCTION("""COMPUTED_VALUE"""),"03 ORL")</f>
        <v>03 ORL</v>
      </c>
      <c r="N364" s="6" t="str">
        <f ca="1">IFERROR(__xludf.DUMMYFUNCTION("""COMPUTED_VALUE"""),"06 ORL")</f>
        <v>06 ORL</v>
      </c>
      <c r="O364" s="6" t="str">
        <f ca="1">IFERROR(__xludf.DUMMYFUNCTION("""COMPUTED_VALUE"""),"Dra, María Garrote Garrote")</f>
        <v>Dra, María Garrote Garrote</v>
      </c>
      <c r="P364" s="6" t="str">
        <f ca="1">IFERROR(__xludf.DUMMYFUNCTION("""COMPUTED_VALUE"""),"Maika Blázquez (Madrid)")</f>
        <v>Maika Blázquez (Madrid)</v>
      </c>
    </row>
    <row r="365" spans="2:16">
      <c r="B365" s="6">
        <f ca="1">IFERROR(__xludf.DUMMYFUNCTION("""COMPUTED_VALUE"""),2025)</f>
        <v>2025</v>
      </c>
      <c r="C365" s="6">
        <f ca="1">IFERROR(__xludf.DUMMYFUNCTION("""COMPUTED_VALUE"""),3)</f>
        <v>3</v>
      </c>
      <c r="D365" s="6" t="str">
        <f ca="1">IFERROR(__xludf.DUMMYFUNCTION("""COMPUTED_VALUE"""),"NO")</f>
        <v>NO</v>
      </c>
      <c r="E365" s="6" t="str">
        <f ca="1">IFERROR(__xludf.DUMMYFUNCTION("""COMPUTED_VALUE"""),"Almería")</f>
        <v>Almería</v>
      </c>
      <c r="F365" s="16">
        <f ca="1">IFERROR(__xludf.DUMMYFUNCTION("""COMPUTED_VALUE"""),45740)</f>
        <v>45740</v>
      </c>
      <c r="G365" s="16">
        <f ca="1">IFERROR(__xludf.DUMMYFUNCTION("""COMPUTED_VALUE"""),45679)</f>
        <v>45679</v>
      </c>
      <c r="H365" s="6" t="str">
        <f ca="1">IFERROR(__xludf.DUMMYFUNCTION("""COMPUTED_VALUE"""),"Almería")</f>
        <v>Almería</v>
      </c>
      <c r="I365" s="6" t="str">
        <f ca="1">IFERROR(__xludf.DUMMYFUNCTION("""COMPUTED_VALUE"""),"C2025127155414181")</f>
        <v>C2025127155414181</v>
      </c>
      <c r="J365" s="6" t="str">
        <f ca="1">IFERROR(__xludf.DUMMYFUNCTION("""COMPUTED_VALUE"""),"MARIA CARMEN GALERA UROZ")</f>
        <v>MARIA CARMEN GALERA UROZ</v>
      </c>
      <c r="K365" s="6">
        <f ca="1">IFERROR(__xludf.DUMMYFUNCTION("""COMPUTED_VALUE"""),2)</f>
        <v>2</v>
      </c>
      <c r="L365" s="139">
        <f ca="1">IFERROR(__xludf.DUMMYFUNCTION("""COMPUTED_VALUE"""),4000)</f>
        <v>4000</v>
      </c>
      <c r="M365" s="6" t="str">
        <f ca="1">IFERROR(__xludf.DUMMYFUNCTION("""COMPUTED_VALUE"""),"03 ORL")</f>
        <v>03 ORL</v>
      </c>
      <c r="N365" s="6" t="str">
        <f ca="1">IFERROR(__xludf.DUMMYFUNCTION("""COMPUTED_VALUE"""),"06 ORL")</f>
        <v>06 ORL</v>
      </c>
      <c r="O365" s="6" t="str">
        <f ca="1">IFERROR(__xludf.DUMMYFUNCTION("""COMPUTED_VALUE"""),"Dr, Javier Padilla Cabello")</f>
        <v>Dr, Javier Padilla Cabello</v>
      </c>
      <c r="P365" s="6" t="str">
        <f ca="1">IFERROR(__xludf.DUMMYFUNCTION("""COMPUTED_VALUE"""),"Ramon Ferrando(Valencia)")</f>
        <v>Ramon Ferrando(Valencia)</v>
      </c>
    </row>
    <row r="366" spans="2:16">
      <c r="B366" s="6">
        <f ca="1">IFERROR(__xludf.DUMMYFUNCTION("""COMPUTED_VALUE"""),2025)</f>
        <v>2025</v>
      </c>
      <c r="C366" s="6">
        <f ca="1">IFERROR(__xludf.DUMMYFUNCTION("""COMPUTED_VALUE"""),3)</f>
        <v>3</v>
      </c>
      <c r="D366" s="6" t="str">
        <f ca="1">IFERROR(__xludf.DUMMYFUNCTION("""COMPUTED_VALUE"""),"NO")</f>
        <v>NO</v>
      </c>
      <c r="E366" s="6" t="str">
        <f ca="1">IFERROR(__xludf.DUMMYFUNCTION("""COMPUTED_VALUE"""),"Getafe")</f>
        <v>Getafe</v>
      </c>
      <c r="F366" s="16">
        <f ca="1">IFERROR(__xludf.DUMMYFUNCTION("""COMPUTED_VALUE"""),45740)</f>
        <v>45740</v>
      </c>
      <c r="G366" s="16">
        <f ca="1">IFERROR(__xludf.DUMMYFUNCTION("""COMPUTED_VALUE"""),45700)</f>
        <v>45700</v>
      </c>
      <c r="H366" s="6" t="str">
        <f ca="1">IFERROR(__xludf.DUMMYFUNCTION("""COMPUTED_VALUE"""),"Getafe")</f>
        <v>Getafe</v>
      </c>
      <c r="I366" s="6" t="str">
        <f ca="1">IFERROR(__xludf.DUMMYFUNCTION("""COMPUTED_VALUE"""),"C20252201150617")</f>
        <v>C20252201150617</v>
      </c>
      <c r="J366" s="6" t="str">
        <f ca="1">IFERROR(__xludf.DUMMYFUNCTION("""COMPUTED_VALUE"""),"TERESA VERA ARCONADA")</f>
        <v>TERESA VERA ARCONADA</v>
      </c>
      <c r="K366" s="6">
        <f ca="1">IFERROR(__xludf.DUMMYFUNCTION("""COMPUTED_VALUE"""),1)</f>
        <v>1</v>
      </c>
      <c r="L366" s="139">
        <f ca="1">IFERROR(__xludf.DUMMYFUNCTION("""COMPUTED_VALUE"""),2400)</f>
        <v>2400</v>
      </c>
      <c r="M366" s="6" t="str">
        <f ca="1">IFERROR(__xludf.DUMMYFUNCTION("""COMPUTED_VALUE"""),"03 ORL")</f>
        <v>03 ORL</v>
      </c>
      <c r="N366" s="6" t="str">
        <f ca="1">IFERROR(__xludf.DUMMYFUNCTION("""COMPUTED_VALUE"""),"06 ORL")</f>
        <v>06 ORL</v>
      </c>
      <c r="O366" s="6" t="str">
        <f ca="1">IFERROR(__xludf.DUMMYFUNCTION("""COMPUTED_VALUE"""),"Dra, Irene Mármol Szmobathy")</f>
        <v>Dra, Irene Mármol Szmobathy</v>
      </c>
      <c r="P366" s="6" t="str">
        <f ca="1">IFERROR(__xludf.DUMMYFUNCTION("""COMPUTED_VALUE"""),"Maika Blázquez (Madrid)")</f>
        <v>Maika Blázquez (Madrid)</v>
      </c>
    </row>
    <row r="367" spans="2:16">
      <c r="B367" s="6">
        <f ca="1">IFERROR(__xludf.DUMMYFUNCTION("""COMPUTED_VALUE"""),2025)</f>
        <v>2025</v>
      </c>
      <c r="C367" s="6">
        <f ca="1">IFERROR(__xludf.DUMMYFUNCTION("""COMPUTED_VALUE"""),3)</f>
        <v>3</v>
      </c>
      <c r="D367" s="6" t="str">
        <f ca="1">IFERROR(__xludf.DUMMYFUNCTION("""COMPUTED_VALUE"""),"NO")</f>
        <v>NO</v>
      </c>
      <c r="E367" s="6" t="str">
        <f ca="1">IFERROR(__xludf.DUMMYFUNCTION("""COMPUTED_VALUE"""),"Leganés")</f>
        <v>Leganés</v>
      </c>
      <c r="F367" s="16">
        <f ca="1">IFERROR(__xludf.DUMMYFUNCTION("""COMPUTED_VALUE"""),45741)</f>
        <v>45741</v>
      </c>
      <c r="G367" s="16">
        <f ca="1">IFERROR(__xludf.DUMMYFUNCTION("""COMPUTED_VALUE"""),45686)</f>
        <v>45686</v>
      </c>
      <c r="H367" s="6" t="str">
        <f ca="1">IFERROR(__xludf.DUMMYFUNCTION("""COMPUTED_VALUE"""),"Leganés")</f>
        <v>Leganés</v>
      </c>
      <c r="I367" s="6" t="str">
        <f ca="1">IFERROR(__xludf.DUMMYFUNCTION("""COMPUTED_VALUE"""),"C202525165212977")</f>
        <v>C202525165212977</v>
      </c>
      <c r="J367" s="6" t="str">
        <f ca="1">IFERROR(__xludf.DUMMYFUNCTION("""COMPUTED_VALUE"""),"MARIA CARMEN MOLINERO RUPEREZ")</f>
        <v>MARIA CARMEN MOLINERO RUPEREZ</v>
      </c>
      <c r="K367" s="6">
        <f ca="1">IFERROR(__xludf.DUMMYFUNCTION("""COMPUTED_VALUE"""),2)</f>
        <v>2</v>
      </c>
      <c r="L367" s="139">
        <f ca="1">IFERROR(__xludf.DUMMYFUNCTION("""COMPUTED_VALUE"""),3604.55)</f>
        <v>3604.55</v>
      </c>
      <c r="M367" s="6" t="str">
        <f ca="1">IFERROR(__xludf.DUMMYFUNCTION("""COMPUTED_VALUE"""),"03 ORL")</f>
        <v>03 ORL</v>
      </c>
      <c r="N367" s="6" t="str">
        <f ca="1">IFERROR(__xludf.DUMMYFUNCTION("""COMPUTED_VALUE"""),"06 ORL")</f>
        <v>06 ORL</v>
      </c>
      <c r="O367" s="6" t="str">
        <f ca="1">IFERROR(__xludf.DUMMYFUNCTION("""COMPUTED_VALUE"""),"No Recuerda Orl")</f>
        <v>No Recuerda Orl</v>
      </c>
      <c r="P367" s="6" t="str">
        <f ca="1">IFERROR(__xludf.DUMMYFUNCTION("""COMPUTED_VALUE"""),"Maika Blázquez (Madrid)")</f>
        <v>Maika Blázquez (Madrid)</v>
      </c>
    </row>
    <row r="368" spans="2:16">
      <c r="B368" s="6">
        <f ca="1">IFERROR(__xludf.DUMMYFUNCTION("""COMPUTED_VALUE"""),2025)</f>
        <v>2025</v>
      </c>
      <c r="C368" s="6">
        <f ca="1">IFERROR(__xludf.DUMMYFUNCTION("""COMPUTED_VALUE"""),3)</f>
        <v>3</v>
      </c>
      <c r="D368" s="6" t="str">
        <f ca="1">IFERROR(__xludf.DUMMYFUNCTION("""COMPUTED_VALUE"""),"NO")</f>
        <v>NO</v>
      </c>
      <c r="E368" s="6" t="str">
        <f ca="1">IFERROR(__xludf.DUMMYFUNCTION("""COMPUTED_VALUE"""),"Logroño")</f>
        <v>Logroño</v>
      </c>
      <c r="F368" s="16">
        <f ca="1">IFERROR(__xludf.DUMMYFUNCTION("""COMPUTED_VALUE"""),45741)</f>
        <v>45741</v>
      </c>
      <c r="G368" s="16">
        <f ca="1">IFERROR(__xludf.DUMMYFUNCTION("""COMPUTED_VALUE"""),45699)</f>
        <v>45699</v>
      </c>
      <c r="H368" s="6" t="str">
        <f ca="1">IFERROR(__xludf.DUMMYFUNCTION("""COMPUTED_VALUE"""),"Logroño")</f>
        <v>Logroño</v>
      </c>
      <c r="I368" s="6" t="str">
        <f ca="1">IFERROR(__xludf.DUMMYFUNCTION("""COMPUTED_VALUE"""),"C20252141128208")</f>
        <v>C20252141128208</v>
      </c>
      <c r="J368" s="6" t="str">
        <f ca="1">IFERROR(__xludf.DUMMYFUNCTION("""COMPUTED_VALUE"""),"MARIA VICTORIA PAOLA REMIRO")</f>
        <v>MARIA VICTORIA PAOLA REMIRO</v>
      </c>
      <c r="K368" s="6">
        <f ca="1">IFERROR(__xludf.DUMMYFUNCTION("""COMPUTED_VALUE"""),2)</f>
        <v>2</v>
      </c>
      <c r="L368" s="139">
        <f ca="1">IFERROR(__xludf.DUMMYFUNCTION("""COMPUTED_VALUE"""),3909.09)</f>
        <v>3909.09</v>
      </c>
      <c r="M368" s="6" t="str">
        <f ca="1">IFERROR(__xludf.DUMMYFUNCTION("""COMPUTED_VALUE"""),"03 ORL")</f>
        <v>03 ORL</v>
      </c>
      <c r="N368" s="6" t="str">
        <f ca="1">IFERROR(__xludf.DUMMYFUNCTION("""COMPUTED_VALUE"""),"06 ORL")</f>
        <v>06 ORL</v>
      </c>
      <c r="O368" s="6" t="str">
        <f ca="1">IFERROR(__xludf.DUMMYFUNCTION("""COMPUTED_VALUE"""),"Dra, Cristina Ibañez Muñoz")</f>
        <v>Dra, Cristina Ibañez Muñoz</v>
      </c>
      <c r="P368" s="6" t="str">
        <f ca="1">IFERROR(__xludf.DUMMYFUNCTION("""COMPUTED_VALUE"""),"Lisandro Russian (Madrid, Cáceres, Toledo, Talavera Y Logroño)")</f>
        <v>Lisandro Russian (Madrid, Cáceres, Toledo, Talavera Y Logroño)</v>
      </c>
    </row>
    <row r="369" spans="2:16">
      <c r="B369" s="6">
        <f ca="1">IFERROR(__xludf.DUMMYFUNCTION("""COMPUTED_VALUE"""),2025)</f>
        <v>2025</v>
      </c>
      <c r="C369" s="6">
        <f ca="1">IFERROR(__xludf.DUMMYFUNCTION("""COMPUTED_VALUE"""),3)</f>
        <v>3</v>
      </c>
      <c r="D369" s="6" t="str">
        <f ca="1">IFERROR(__xludf.DUMMYFUNCTION("""COMPUTED_VALUE"""),"NO")</f>
        <v>NO</v>
      </c>
      <c r="E369" s="6" t="str">
        <f ca="1">IFERROR(__xludf.DUMMYFUNCTION("""COMPUTED_VALUE"""),"Sevilla- Montoto")</f>
        <v>Sevilla- Montoto</v>
      </c>
      <c r="F369" s="16">
        <f ca="1">IFERROR(__xludf.DUMMYFUNCTION("""COMPUTED_VALUE"""),45741)</f>
        <v>45741</v>
      </c>
      <c r="G369" s="16">
        <f ca="1">IFERROR(__xludf.DUMMYFUNCTION("""COMPUTED_VALUE"""),45700)</f>
        <v>45700</v>
      </c>
      <c r="H369" s="6" t="str">
        <f ca="1">IFERROR(__xludf.DUMMYFUNCTION("""COMPUTED_VALUE"""),"Montoto")</f>
        <v>Montoto</v>
      </c>
      <c r="I369" s="6" t="str">
        <f ca="1">IFERROR(__xludf.DUMMYFUNCTION("""COMPUTED_VALUE"""),"C202521418433328")</f>
        <v>C202521418433328</v>
      </c>
      <c r="J369" s="6" t="str">
        <f ca="1">IFERROR(__xludf.DUMMYFUNCTION("""COMPUTED_VALUE"""),"MANUEL GONZALEZ GRANADOS")</f>
        <v>MANUEL GONZALEZ GRANADOS</v>
      </c>
      <c r="K369" s="6">
        <f ca="1">IFERROR(__xludf.DUMMYFUNCTION("""COMPUTED_VALUE"""),2)</f>
        <v>2</v>
      </c>
      <c r="L369" s="139">
        <f ca="1">IFERROR(__xludf.DUMMYFUNCTION("""COMPUTED_VALUE"""),2888.18)</f>
        <v>2888.18</v>
      </c>
      <c r="M369" s="6" t="str">
        <f ca="1">IFERROR(__xludf.DUMMYFUNCTION("""COMPUTED_VALUE"""),"03 ORL")</f>
        <v>03 ORL</v>
      </c>
      <c r="N369" s="6" t="str">
        <f ca="1">IFERROR(__xludf.DUMMYFUNCTION("""COMPUTED_VALUE"""),"06 ORL")</f>
        <v>06 ORL</v>
      </c>
      <c r="O369" s="6" t="str">
        <f ca="1">IFERROR(__xludf.DUMMYFUNCTION("""COMPUTED_VALUE"""),"No Recuerda Orl")</f>
        <v>No Recuerda Orl</v>
      </c>
      <c r="P369" s="6" t="str">
        <f ca="1">IFERROR(__xludf.DUMMYFUNCTION("""COMPUTED_VALUE"""),"Luis Alberto Rodríguez (Andalucía Y Badajoz)")</f>
        <v>Luis Alberto Rodríguez (Andalucía Y Badajoz)</v>
      </c>
    </row>
    <row r="370" spans="2:16">
      <c r="B370" s="6">
        <f ca="1">IFERROR(__xludf.DUMMYFUNCTION("""COMPUTED_VALUE"""),2025)</f>
        <v>2025</v>
      </c>
      <c r="C370" s="6">
        <f ca="1">IFERROR(__xludf.DUMMYFUNCTION("""COMPUTED_VALUE"""),3)</f>
        <v>3</v>
      </c>
      <c r="D370" s="6" t="str">
        <f ca="1">IFERROR(__xludf.DUMMYFUNCTION("""COMPUTED_VALUE"""),"NO")</f>
        <v>NO</v>
      </c>
      <c r="E370" s="6" t="str">
        <f ca="1">IFERROR(__xludf.DUMMYFUNCTION("""COMPUTED_VALUE"""),"Valencia- Parra")</f>
        <v>Valencia- Parra</v>
      </c>
      <c r="F370" s="16">
        <f ca="1">IFERROR(__xludf.DUMMYFUNCTION("""COMPUTED_VALUE"""),45741)</f>
        <v>45741</v>
      </c>
      <c r="G370" s="16">
        <f ca="1">IFERROR(__xludf.DUMMYFUNCTION("""COMPUTED_VALUE"""),45693)</f>
        <v>45693</v>
      </c>
      <c r="H370" s="6" t="str">
        <f ca="1">IFERROR(__xludf.DUMMYFUNCTION("""COMPUTED_VALUE"""),"Valencia- Parra")</f>
        <v>Valencia- Parra</v>
      </c>
      <c r="I370" s="6" t="str">
        <f ca="1">IFERROR(__xludf.DUMMYFUNCTION("""COMPUTED_VALUE"""),"C2025212103511394")</f>
        <v>C2025212103511394</v>
      </c>
      <c r="J370" s="6" t="str">
        <f ca="1">IFERROR(__xludf.DUMMYFUNCTION("""COMPUTED_VALUE"""),"EMILIA MARTI ESTRICH")</f>
        <v>EMILIA MARTI ESTRICH</v>
      </c>
      <c r="K370" s="6">
        <f ca="1">IFERROR(__xludf.DUMMYFUNCTION("""COMPUTED_VALUE"""),2)</f>
        <v>2</v>
      </c>
      <c r="L370" s="139">
        <f ca="1">IFERROR(__xludf.DUMMYFUNCTION("""COMPUTED_VALUE"""),4000)</f>
        <v>4000</v>
      </c>
      <c r="M370" s="6" t="str">
        <f ca="1">IFERROR(__xludf.DUMMYFUNCTION("""COMPUTED_VALUE"""),"03 ORL")</f>
        <v>03 ORL</v>
      </c>
      <c r="N370" s="6" t="str">
        <f ca="1">IFERROR(__xludf.DUMMYFUNCTION("""COMPUTED_VALUE"""),"06 ORL")</f>
        <v>06 ORL</v>
      </c>
      <c r="O370" s="6" t="str">
        <f ca="1">IFERROR(__xludf.DUMMYFUNCTION("""COMPUTED_VALUE"""),"Dr, Carlos De Paula Vernetta")</f>
        <v>Dr, Carlos De Paula Vernetta</v>
      </c>
      <c r="P370" s="6" t="str">
        <f ca="1">IFERROR(__xludf.DUMMYFUNCTION("""COMPUTED_VALUE"""),"Ramon Ferrando(Valencia)")</f>
        <v>Ramon Ferrando(Valencia)</v>
      </c>
    </row>
    <row r="371" spans="2:16">
      <c r="B371" s="6">
        <f ca="1">IFERROR(__xludf.DUMMYFUNCTION("""COMPUTED_VALUE"""),2025)</f>
        <v>2025</v>
      </c>
      <c r="C371" s="6">
        <f ca="1">IFERROR(__xludf.DUMMYFUNCTION("""COMPUTED_VALUE"""),3)</f>
        <v>3</v>
      </c>
      <c r="D371" s="6" t="str">
        <f ca="1">IFERROR(__xludf.DUMMYFUNCTION("""COMPUTED_VALUE"""),"NO")</f>
        <v>NO</v>
      </c>
      <c r="E371" s="6" t="str">
        <f ca="1">IFERROR(__xludf.DUMMYFUNCTION("""COMPUTED_VALUE"""),"Torrejón de Ardoz")</f>
        <v>Torrejón de Ardoz</v>
      </c>
      <c r="F371" s="16">
        <f ca="1">IFERROR(__xludf.DUMMYFUNCTION("""COMPUTED_VALUE"""),45741)</f>
        <v>45741</v>
      </c>
      <c r="G371" s="16">
        <f ca="1">IFERROR(__xludf.DUMMYFUNCTION("""COMPUTED_VALUE"""),45615)</f>
        <v>45615</v>
      </c>
      <c r="H371" s="6" t="str">
        <f ca="1">IFERROR(__xludf.DUMMYFUNCTION("""COMPUTED_VALUE"""),"Torrejón")</f>
        <v>Torrejón</v>
      </c>
      <c r="I371" s="6" t="str">
        <f ca="1">IFERROR(__xludf.DUMMYFUNCTION("""COMPUTED_VALUE"""),"C2024112710520472")</f>
        <v>C2024112710520472</v>
      </c>
      <c r="J371" s="6" t="str">
        <f ca="1">IFERROR(__xludf.DUMMYFUNCTION("""COMPUTED_VALUE"""),"JOSE RAFAEL LABRADOR RECIO")</f>
        <v>JOSE RAFAEL LABRADOR RECIO</v>
      </c>
      <c r="K371" s="6">
        <f ca="1">IFERROR(__xludf.DUMMYFUNCTION("""COMPUTED_VALUE"""),2)</f>
        <v>2</v>
      </c>
      <c r="L371" s="139">
        <f ca="1">IFERROR(__xludf.DUMMYFUNCTION("""COMPUTED_VALUE"""),4400)</f>
        <v>4400</v>
      </c>
      <c r="M371" s="6" t="str">
        <f ca="1">IFERROR(__xludf.DUMMYFUNCTION("""COMPUTED_VALUE"""),"01 MARKETING ON LINE")</f>
        <v>01 MARKETING ON LINE</v>
      </c>
      <c r="N371" s="6" t="str">
        <f ca="1">IFERROR(__xludf.DUMMYFUNCTION("""COMPUTED_VALUE"""),"04 AUDIFONO,ES")</f>
        <v>04 AUDIFONO,ES</v>
      </c>
      <c r="O371" s="6" t="str">
        <f ca="1">IFERROR(__xludf.DUMMYFUNCTION("""COMPUTED_VALUE"""),"Dr, Abel Bogoya Castaño")</f>
        <v>Dr, Abel Bogoya Castaño</v>
      </c>
      <c r="P371" s="6" t="str">
        <f ca="1">IFERROR(__xludf.DUMMYFUNCTION("""COMPUTED_VALUE"""),"Maika Blázquez (Madrid)")</f>
        <v>Maika Blázquez (Madrid)</v>
      </c>
    </row>
    <row r="372" spans="2:16">
      <c r="B372" s="6">
        <f ca="1">IFERROR(__xludf.DUMMYFUNCTION("""COMPUTED_VALUE"""),2025)</f>
        <v>2025</v>
      </c>
      <c r="C372" s="6">
        <f ca="1">IFERROR(__xludf.DUMMYFUNCTION("""COMPUTED_VALUE"""),3)</f>
        <v>3</v>
      </c>
      <c r="D372" s="6" t="str">
        <f ca="1">IFERROR(__xludf.DUMMYFUNCTION("""COMPUTED_VALUE"""),"NO")</f>
        <v>NO</v>
      </c>
      <c r="E372" s="6" t="str">
        <f ca="1">IFERROR(__xludf.DUMMYFUNCTION("""COMPUTED_VALUE"""),"Alicante")</f>
        <v>Alicante</v>
      </c>
      <c r="F372" s="16">
        <f ca="1">IFERROR(__xludf.DUMMYFUNCTION("""COMPUTED_VALUE"""),45741)</f>
        <v>45741</v>
      </c>
      <c r="G372" s="16">
        <f ca="1">IFERROR(__xludf.DUMMYFUNCTION("""COMPUTED_VALUE"""),45707)</f>
        <v>45707</v>
      </c>
      <c r="H372" s="6" t="str">
        <f ca="1">IFERROR(__xludf.DUMMYFUNCTION("""COMPUTED_VALUE"""),"Alicante")</f>
        <v>Alicante</v>
      </c>
      <c r="I372" s="6" t="str">
        <f ca="1">IFERROR(__xludf.DUMMYFUNCTION("""COMPUTED_VALUE"""),"C2025226163257801")</f>
        <v>C2025226163257801</v>
      </c>
      <c r="J372" s="6" t="str">
        <f ca="1">IFERROR(__xludf.DUMMYFUNCTION("""COMPUTED_VALUE"""),"MARIA ANGELES COZAR GARCIA")</f>
        <v>MARIA ANGELES COZAR GARCIA</v>
      </c>
      <c r="K372" s="6">
        <f ca="1">IFERROR(__xludf.DUMMYFUNCTION("""COMPUTED_VALUE"""),2)</f>
        <v>2</v>
      </c>
      <c r="L372" s="139">
        <f ca="1">IFERROR(__xludf.DUMMYFUNCTION("""COMPUTED_VALUE"""),2888.18)</f>
        <v>2888.18</v>
      </c>
      <c r="M372" s="6" t="str">
        <f ca="1">IFERROR(__xludf.DUMMYFUNCTION("""COMPUTED_VALUE"""),"03 ORL")</f>
        <v>03 ORL</v>
      </c>
      <c r="N372" s="6" t="str">
        <f ca="1">IFERROR(__xludf.DUMMYFUNCTION("""COMPUTED_VALUE"""),"06 ORL")</f>
        <v>06 ORL</v>
      </c>
      <c r="O372" s="6" t="str">
        <f ca="1">IFERROR(__xludf.DUMMYFUNCTION("""COMPUTED_VALUE"""),"Dra, Alicia Mateo Espinosa")</f>
        <v>Dra, Alicia Mateo Espinosa</v>
      </c>
      <c r="P372" s="6" t="str">
        <f ca="1">IFERROR(__xludf.DUMMYFUNCTION("""COMPUTED_VALUE"""),"Iván Sánchez (Levante Y Albacete)")</f>
        <v>Iván Sánchez (Levante Y Albacete)</v>
      </c>
    </row>
    <row r="373" spans="2:16">
      <c r="B373" s="6">
        <f ca="1">IFERROR(__xludf.DUMMYFUNCTION("""COMPUTED_VALUE"""),2025)</f>
        <v>2025</v>
      </c>
      <c r="C373" s="6">
        <f ca="1">IFERROR(__xludf.DUMMYFUNCTION("""COMPUTED_VALUE"""),3)</f>
        <v>3</v>
      </c>
      <c r="D373" s="6" t="str">
        <f ca="1">IFERROR(__xludf.DUMMYFUNCTION("""COMPUTED_VALUE"""),"NO")</f>
        <v>NO</v>
      </c>
      <c r="E373" s="6" t="str">
        <f ca="1">IFERROR(__xludf.DUMMYFUNCTION("""COMPUTED_VALUE"""),"El Albir (Benidorm)")</f>
        <v>El Albir (Benidorm)</v>
      </c>
      <c r="F373" s="16">
        <f ca="1">IFERROR(__xludf.DUMMYFUNCTION("""COMPUTED_VALUE"""),45741)</f>
        <v>45741</v>
      </c>
      <c r="G373" s="16">
        <f ca="1">IFERROR(__xludf.DUMMYFUNCTION("""COMPUTED_VALUE"""),45714)</f>
        <v>45714</v>
      </c>
      <c r="H373" s="6" t="str">
        <f ca="1">IFERROR(__xludf.DUMMYFUNCTION("""COMPUTED_VALUE"""),"El Albir (Benidorm)")</f>
        <v>El Albir (Benidorm)</v>
      </c>
      <c r="I373" s="6" t="str">
        <f ca="1">IFERROR(__xludf.DUMMYFUNCTION("""COMPUTED_VALUE"""),"C202533161053724")</f>
        <v>C202533161053724</v>
      </c>
      <c r="J373" s="6" t="str">
        <f ca="1">IFERROR(__xludf.DUMMYFUNCTION("""COMPUTED_VALUE"""),"SABRINA ORTS MESTRE")</f>
        <v>SABRINA ORTS MESTRE</v>
      </c>
      <c r="K373" s="6">
        <f ca="1">IFERROR(__xludf.DUMMYFUNCTION("""COMPUTED_VALUE"""),1)</f>
        <v>1</v>
      </c>
      <c r="L373" s="139">
        <f ca="1">IFERROR(__xludf.DUMMYFUNCTION("""COMPUTED_VALUE"""),2400)</f>
        <v>2400</v>
      </c>
      <c r="M373" s="6" t="str">
        <f ca="1">IFERROR(__xludf.DUMMYFUNCTION("""COMPUTED_VALUE"""),"03 ORL")</f>
        <v>03 ORL</v>
      </c>
      <c r="N373" s="6" t="str">
        <f ca="1">IFERROR(__xludf.DUMMYFUNCTION("""COMPUTED_VALUE"""),"06 ORL")</f>
        <v>06 ORL</v>
      </c>
      <c r="O373" s="6" t="str">
        <f ca="1">IFERROR(__xludf.DUMMYFUNCTION("""COMPUTED_VALUE"""),"Dra, Isabel Polo Tomás")</f>
        <v>Dra, Isabel Polo Tomás</v>
      </c>
      <c r="P373" s="6" t="str">
        <f ca="1">IFERROR(__xludf.DUMMYFUNCTION("""COMPUTED_VALUE"""),"Ramon Ferrando(Valencia)")</f>
        <v>Ramon Ferrando(Valencia)</v>
      </c>
    </row>
    <row r="374" spans="2:16">
      <c r="B374" s="6">
        <f ca="1">IFERROR(__xludf.DUMMYFUNCTION("""COMPUTED_VALUE"""),2025)</f>
        <v>2025</v>
      </c>
      <c r="C374" s="6">
        <f ca="1">IFERROR(__xludf.DUMMYFUNCTION("""COMPUTED_VALUE"""),3)</f>
        <v>3</v>
      </c>
      <c r="D374" s="6" t="str">
        <f ca="1">IFERROR(__xludf.DUMMYFUNCTION("""COMPUTED_VALUE"""),"NO")</f>
        <v>NO</v>
      </c>
      <c r="E374" s="6" t="str">
        <f ca="1">IFERROR(__xludf.DUMMYFUNCTION("""COMPUTED_VALUE"""),"Murcia")</f>
        <v>Murcia</v>
      </c>
      <c r="F374" s="16">
        <f ca="1">IFERROR(__xludf.DUMMYFUNCTION("""COMPUTED_VALUE"""),45741)</f>
        <v>45741</v>
      </c>
      <c r="G374" s="16">
        <f ca="1">IFERROR(__xludf.DUMMYFUNCTION("""COMPUTED_VALUE"""),45714)</f>
        <v>45714</v>
      </c>
      <c r="H374" s="6" t="str">
        <f ca="1">IFERROR(__xludf.DUMMYFUNCTION("""COMPUTED_VALUE"""),"Murcia")</f>
        <v>Murcia</v>
      </c>
      <c r="I374" s="6" t="str">
        <f ca="1">IFERROR(__xludf.DUMMYFUNCTION("""COMPUTED_VALUE"""),"C202522716558316")</f>
        <v>C202522716558316</v>
      </c>
      <c r="J374" s="6" t="str">
        <f ca="1">IFERROR(__xludf.DUMMYFUNCTION("""COMPUTED_VALUE"""),"DOLORES CARRILLO RUBIO")</f>
        <v>DOLORES CARRILLO RUBIO</v>
      </c>
      <c r="K374" s="6">
        <f ca="1">IFERROR(__xludf.DUMMYFUNCTION("""COMPUTED_VALUE"""),2)</f>
        <v>2</v>
      </c>
      <c r="L374" s="139">
        <f ca="1">IFERROR(__xludf.DUMMYFUNCTION("""COMPUTED_VALUE"""),3523.64)</f>
        <v>3523.64</v>
      </c>
      <c r="M374" s="6" t="str">
        <f ca="1">IFERROR(__xludf.DUMMYFUNCTION("""COMPUTED_VALUE"""),"03 ORL")</f>
        <v>03 ORL</v>
      </c>
      <c r="N374" s="6" t="str">
        <f ca="1">IFERROR(__xludf.DUMMYFUNCTION("""COMPUTED_VALUE"""),"06 ORL")</f>
        <v>06 ORL</v>
      </c>
      <c r="O374" s="6" t="str">
        <f ca="1">IFERROR(__xludf.DUMMYFUNCTION("""COMPUTED_VALUE"""),"Dr, Enrique Viviente Rodríguez")</f>
        <v>Dr, Enrique Viviente Rodríguez</v>
      </c>
      <c r="P374" s="6" t="str">
        <f ca="1">IFERROR(__xludf.DUMMYFUNCTION("""COMPUTED_VALUE"""),"Iván Sánchez (Levante Y Albacete)")</f>
        <v>Iván Sánchez (Levante Y Albacete)</v>
      </c>
    </row>
    <row r="375" spans="2:16">
      <c r="B375" s="6">
        <f ca="1">IFERROR(__xludf.DUMMYFUNCTION("""COMPUTED_VALUE"""),2025)</f>
        <v>2025</v>
      </c>
      <c r="C375" s="6">
        <f ca="1">IFERROR(__xludf.DUMMYFUNCTION("""COMPUTED_VALUE"""),3)</f>
        <v>3</v>
      </c>
      <c r="D375" s="6" t="str">
        <f ca="1">IFERROR(__xludf.DUMMYFUNCTION("""COMPUTED_VALUE"""),"NO")</f>
        <v>NO</v>
      </c>
      <c r="E375" s="6" t="str">
        <f ca="1">IFERROR(__xludf.DUMMYFUNCTION("""COMPUTED_VALUE"""),"San Javier")</f>
        <v>San Javier</v>
      </c>
      <c r="F375" s="16">
        <f ca="1">IFERROR(__xludf.DUMMYFUNCTION("""COMPUTED_VALUE"""),45742)</f>
        <v>45742</v>
      </c>
      <c r="G375" s="16">
        <f ca="1">IFERROR(__xludf.DUMMYFUNCTION("""COMPUTED_VALUE"""),45693)</f>
        <v>45693</v>
      </c>
      <c r="H375" s="6" t="str">
        <f ca="1">IFERROR(__xludf.DUMMYFUNCTION("""COMPUTED_VALUE"""),"San Javier")</f>
        <v>San Javier</v>
      </c>
      <c r="I375" s="6" t="str">
        <f ca="1">IFERROR(__xludf.DUMMYFUNCTION("""COMPUTED_VALUE"""),"C2025211105222263")</f>
        <v>C2025211105222263</v>
      </c>
      <c r="J375" s="6" t="str">
        <f ca="1">IFERROR(__xludf.DUMMYFUNCTION("""COMPUTED_VALUE"""),"MANUEL BAÑOS SAURA")</f>
        <v>MANUEL BAÑOS SAURA</v>
      </c>
      <c r="K375" s="6">
        <f ca="1">IFERROR(__xludf.DUMMYFUNCTION("""COMPUTED_VALUE"""),1)</f>
        <v>1</v>
      </c>
      <c r="L375" s="139">
        <f ca="1">IFERROR(__xludf.DUMMYFUNCTION("""COMPUTED_VALUE"""),2640)</f>
        <v>2640</v>
      </c>
      <c r="M375" s="6" t="str">
        <f ca="1">IFERROR(__xludf.DUMMYFUNCTION("""COMPUTED_VALUE"""),"03 ORL")</f>
        <v>03 ORL</v>
      </c>
      <c r="N375" s="6" t="str">
        <f ca="1">IFERROR(__xludf.DUMMYFUNCTION("""COMPUTED_VALUE"""),"06 ORL")</f>
        <v>06 ORL</v>
      </c>
      <c r="O375" s="6" t="str">
        <f ca="1">IFERROR(__xludf.DUMMYFUNCTION("""COMPUTED_VALUE"""),"Dr, Alberto Raposo Jiménez")</f>
        <v>Dr, Alberto Raposo Jiménez</v>
      </c>
      <c r="P375" s="6" t="str">
        <f ca="1">IFERROR(__xludf.DUMMYFUNCTION("""COMPUTED_VALUE"""),"Iván Sánchez (Levante Y Albacete)")</f>
        <v>Iván Sánchez (Levante Y Albacete)</v>
      </c>
    </row>
    <row r="376" spans="2:16">
      <c r="B376" s="6">
        <f ca="1">IFERROR(__xludf.DUMMYFUNCTION("""COMPUTED_VALUE"""),2025)</f>
        <v>2025</v>
      </c>
      <c r="C376" s="6">
        <f ca="1">IFERROR(__xludf.DUMMYFUNCTION("""COMPUTED_VALUE"""),3)</f>
        <v>3</v>
      </c>
      <c r="D376" s="6" t="str">
        <f ca="1">IFERROR(__xludf.DUMMYFUNCTION("""COMPUTED_VALUE"""),"NO")</f>
        <v>NO</v>
      </c>
      <c r="E376" s="6" t="str">
        <f ca="1">IFERROR(__xludf.DUMMYFUNCTION("""COMPUTED_VALUE"""),"Getafe")</f>
        <v>Getafe</v>
      </c>
      <c r="F376" s="16">
        <f ca="1">IFERROR(__xludf.DUMMYFUNCTION("""COMPUTED_VALUE"""),45742)</f>
        <v>45742</v>
      </c>
      <c r="G376" s="16">
        <f ca="1">IFERROR(__xludf.DUMMYFUNCTION("""COMPUTED_VALUE"""),45727)</f>
        <v>45727</v>
      </c>
      <c r="H376" s="6" t="str">
        <f ca="1">IFERROR(__xludf.DUMMYFUNCTION("""COMPUTED_VALUE"""),"Getafe")</f>
        <v>Getafe</v>
      </c>
      <c r="I376" s="6" t="str">
        <f ca="1">IFERROR(__xludf.DUMMYFUNCTION("""COMPUTED_VALUE"""),"C20253141102068")</f>
        <v>C20253141102068</v>
      </c>
      <c r="J376" s="6" t="str">
        <f ca="1">IFERROR(__xludf.DUMMYFUNCTION("""COMPUTED_VALUE"""),"SABINO MUÑOZ PULIDO")</f>
        <v>SABINO MUÑOZ PULIDO</v>
      </c>
      <c r="K376" s="6">
        <f ca="1">IFERROR(__xludf.DUMMYFUNCTION("""COMPUTED_VALUE"""),2)</f>
        <v>2</v>
      </c>
      <c r="L376" s="139">
        <f ca="1">IFERROR(__xludf.DUMMYFUNCTION("""COMPUTED_VALUE"""),3524.5)</f>
        <v>3524.5</v>
      </c>
      <c r="M376" s="6" t="str">
        <f ca="1">IFERROR(__xludf.DUMMYFUNCTION("""COMPUTED_VALUE"""),"03 ORL")</f>
        <v>03 ORL</v>
      </c>
      <c r="N376" s="6" t="str">
        <f ca="1">IFERROR(__xludf.DUMMYFUNCTION("""COMPUTED_VALUE"""),"06 ORL")</f>
        <v>06 ORL</v>
      </c>
      <c r="O376" s="6" t="str">
        <f ca="1">IFERROR(__xludf.DUMMYFUNCTION("""COMPUTED_VALUE"""),"Dr, Antonio Rodríguez Rivero")</f>
        <v>Dr, Antonio Rodríguez Rivero</v>
      </c>
      <c r="P376" s="6" t="str">
        <f ca="1">IFERROR(__xludf.DUMMYFUNCTION("""COMPUTED_VALUE"""),"Maika Blázquez (Madrid)")</f>
        <v>Maika Blázquez (Madrid)</v>
      </c>
    </row>
    <row r="377" spans="2:16">
      <c r="B377" s="6">
        <f ca="1">IFERROR(__xludf.DUMMYFUNCTION("""COMPUTED_VALUE"""),2025)</f>
        <v>2025</v>
      </c>
      <c r="C377" s="6">
        <f ca="1">IFERROR(__xludf.DUMMYFUNCTION("""COMPUTED_VALUE"""),3)</f>
        <v>3</v>
      </c>
      <c r="D377" s="6" t="str">
        <f ca="1">IFERROR(__xludf.DUMMYFUNCTION("""COMPUTED_VALUE"""),"NO")</f>
        <v>NO</v>
      </c>
      <c r="E377" s="6" t="str">
        <f ca="1">IFERROR(__xludf.DUMMYFUNCTION("""COMPUTED_VALUE"""),"Logroño")</f>
        <v>Logroño</v>
      </c>
      <c r="F377" s="16">
        <f ca="1">IFERROR(__xludf.DUMMYFUNCTION("""COMPUTED_VALUE"""),45742)</f>
        <v>45742</v>
      </c>
      <c r="G377" s="16">
        <f ca="1">IFERROR(__xludf.DUMMYFUNCTION("""COMPUTED_VALUE"""),45680)</f>
        <v>45680</v>
      </c>
      <c r="H377" s="6" t="str">
        <f ca="1">IFERROR(__xludf.DUMMYFUNCTION("""COMPUTED_VALUE"""),"Logroño")</f>
        <v>Logroño</v>
      </c>
      <c r="I377" s="6" t="str">
        <f ca="1">IFERROR(__xludf.DUMMYFUNCTION("""COMPUTED_VALUE"""),"C2025127184635572")</f>
        <v>C2025127184635572</v>
      </c>
      <c r="J377" s="6" t="str">
        <f ca="1">IFERROR(__xludf.DUMMYFUNCTION("""COMPUTED_VALUE"""),"ESTEBAN LUIS  BERMEJO BLAS")</f>
        <v>ESTEBAN LUIS  BERMEJO BLAS</v>
      </c>
      <c r="K377" s="6">
        <f ca="1">IFERROR(__xludf.DUMMYFUNCTION("""COMPUTED_VALUE"""),2)</f>
        <v>2</v>
      </c>
      <c r="L377" s="139">
        <f ca="1">IFERROR(__xludf.DUMMYFUNCTION("""COMPUTED_VALUE"""),4000)</f>
        <v>4000</v>
      </c>
      <c r="M377" s="6" t="str">
        <f ca="1">IFERROR(__xludf.DUMMYFUNCTION("""COMPUTED_VALUE"""),"03 ORL")</f>
        <v>03 ORL</v>
      </c>
      <c r="N377" s="6" t="str">
        <f ca="1">IFERROR(__xludf.DUMMYFUNCTION("""COMPUTED_VALUE"""),"06 ORL")</f>
        <v>06 ORL</v>
      </c>
      <c r="O377" s="6" t="str">
        <f ca="1">IFERROR(__xludf.DUMMYFUNCTION("""COMPUTED_VALUE"""),"No Recuerda Orl")</f>
        <v>No Recuerda Orl</v>
      </c>
      <c r="P377" s="6" t="str">
        <f ca="1">IFERROR(__xludf.DUMMYFUNCTION("""COMPUTED_VALUE"""),"Lisandro Russian (Madrid, Cáceres, Toledo, Talavera Y Logroño)")</f>
        <v>Lisandro Russian (Madrid, Cáceres, Toledo, Talavera Y Logroño)</v>
      </c>
    </row>
    <row r="378" spans="2:16">
      <c r="B378" s="6">
        <f ca="1">IFERROR(__xludf.DUMMYFUNCTION("""COMPUTED_VALUE"""),2025)</f>
        <v>2025</v>
      </c>
      <c r="C378" s="6">
        <f ca="1">IFERROR(__xludf.DUMMYFUNCTION("""COMPUTED_VALUE"""),3)</f>
        <v>3</v>
      </c>
      <c r="D378" s="6" t="str">
        <f ca="1">IFERROR(__xludf.DUMMYFUNCTION("""COMPUTED_VALUE"""),"NO")</f>
        <v>NO</v>
      </c>
      <c r="E378" s="6" t="str">
        <f ca="1">IFERROR(__xludf.DUMMYFUNCTION("""COMPUTED_VALUE"""),"Leganés")</f>
        <v>Leganés</v>
      </c>
      <c r="F378" s="16">
        <f ca="1">IFERROR(__xludf.DUMMYFUNCTION("""COMPUTED_VALUE"""),45742)</f>
        <v>45742</v>
      </c>
      <c r="G378" s="16">
        <f ca="1">IFERROR(__xludf.DUMMYFUNCTION("""COMPUTED_VALUE"""),45707)</f>
        <v>45707</v>
      </c>
      <c r="H378" s="6" t="str">
        <f ca="1">IFERROR(__xludf.DUMMYFUNCTION("""COMPUTED_VALUE"""),"Leganés")</f>
        <v>Leganés</v>
      </c>
      <c r="I378" s="6" t="str">
        <f ca="1">IFERROR(__xludf.DUMMYFUNCTION("""COMPUTED_VALUE"""),"C202522618133163")</f>
        <v>C202522618133163</v>
      </c>
      <c r="J378" s="6" t="str">
        <f ca="1">IFERROR(__xludf.DUMMYFUNCTION("""COMPUTED_VALUE"""),"FRANCISCA SEGURA LOZANO")</f>
        <v>FRANCISCA SEGURA LOZANO</v>
      </c>
      <c r="K378" s="6">
        <f ca="1">IFERROR(__xludf.DUMMYFUNCTION("""COMPUTED_VALUE"""),2)</f>
        <v>2</v>
      </c>
      <c r="L378" s="139">
        <f ca="1">IFERROR(__xludf.DUMMYFUNCTION("""COMPUTED_VALUE"""),2722.73)</f>
        <v>2722.73</v>
      </c>
      <c r="M378" s="6" t="str">
        <f ca="1">IFERROR(__xludf.DUMMYFUNCTION("""COMPUTED_VALUE"""),"03 ORL")</f>
        <v>03 ORL</v>
      </c>
      <c r="N378" s="6" t="str">
        <f ca="1">IFERROR(__xludf.DUMMYFUNCTION("""COMPUTED_VALUE"""),"06 ORL")</f>
        <v>06 ORL</v>
      </c>
      <c r="O378" s="6" t="str">
        <f ca="1">IFERROR(__xludf.DUMMYFUNCTION("""COMPUTED_VALUE"""),"Dra, Ana Ruiz Fornells Noreña")</f>
        <v>Dra, Ana Ruiz Fornells Noreña</v>
      </c>
      <c r="P378" s="6" t="str">
        <f ca="1">IFERROR(__xludf.DUMMYFUNCTION("""COMPUTED_VALUE"""),"Maika Blázquez (Madrid)")</f>
        <v>Maika Blázquez (Madrid)</v>
      </c>
    </row>
    <row r="379" spans="2:16">
      <c r="B379" s="6">
        <f ca="1">IFERROR(__xludf.DUMMYFUNCTION("""COMPUTED_VALUE"""),2025)</f>
        <v>2025</v>
      </c>
      <c r="C379" s="6">
        <f ca="1">IFERROR(__xludf.DUMMYFUNCTION("""COMPUTED_VALUE"""),3)</f>
        <v>3</v>
      </c>
      <c r="D379" s="6" t="str">
        <f ca="1">IFERROR(__xludf.DUMMYFUNCTION("""COMPUTED_VALUE"""),"NO")</f>
        <v>NO</v>
      </c>
      <c r="E379" s="6" t="str">
        <f ca="1">IFERROR(__xludf.DUMMYFUNCTION("""COMPUTED_VALUE"""),"Fuenlabrada")</f>
        <v>Fuenlabrada</v>
      </c>
      <c r="F379" s="16">
        <f ca="1">IFERROR(__xludf.DUMMYFUNCTION("""COMPUTED_VALUE"""),45742)</f>
        <v>45742</v>
      </c>
      <c r="G379" s="16">
        <f ca="1">IFERROR(__xludf.DUMMYFUNCTION("""COMPUTED_VALUE"""),45707)</f>
        <v>45707</v>
      </c>
      <c r="H379" s="6" t="str">
        <f ca="1">IFERROR(__xludf.DUMMYFUNCTION("""COMPUTED_VALUE"""),"Fuenlabrada")</f>
        <v>Fuenlabrada</v>
      </c>
      <c r="I379" s="6" t="str">
        <f ca="1">IFERROR(__xludf.DUMMYFUNCTION("""COMPUTED_VALUE"""),"C2025224111314619")</f>
        <v>C2025224111314619</v>
      </c>
      <c r="J379" s="6" t="str">
        <f ca="1">IFERROR(__xludf.DUMMYFUNCTION("""COMPUTED_VALUE"""),"TERESA OVEJERO SANCHEZ")</f>
        <v>TERESA OVEJERO SANCHEZ</v>
      </c>
      <c r="K379" s="6">
        <f ca="1">IFERROR(__xludf.DUMMYFUNCTION("""COMPUTED_VALUE"""),2)</f>
        <v>2</v>
      </c>
      <c r="L379" s="139">
        <f ca="1">IFERROR(__xludf.DUMMYFUNCTION("""COMPUTED_VALUE"""),4000)</f>
        <v>4000</v>
      </c>
      <c r="M379" s="6" t="str">
        <f ca="1">IFERROR(__xludf.DUMMYFUNCTION("""COMPUTED_VALUE"""),"01 MARKETING ON LINE")</f>
        <v>01 MARKETING ON LINE</v>
      </c>
      <c r="N379" s="6" t="str">
        <f ca="1">IFERROR(__xludf.DUMMYFUNCTION("""COMPUTED_VALUE"""),"04 AUDIFONO,ES")</f>
        <v>04 AUDIFONO,ES</v>
      </c>
      <c r="O379" s="6" t="str">
        <f ca="1">IFERROR(__xludf.DUMMYFUNCTION("""COMPUTED_VALUE"""),"Dra, Victoria García Peces")</f>
        <v>Dra, Victoria García Peces</v>
      </c>
      <c r="P379" s="6" t="str">
        <f ca="1">IFERROR(__xludf.DUMMYFUNCTION("""COMPUTED_VALUE"""),"Maika Blázquez (Madrid)")</f>
        <v>Maika Blázquez (Madrid)</v>
      </c>
    </row>
    <row r="380" spans="2:16">
      <c r="B380" s="6">
        <f ca="1">IFERROR(__xludf.DUMMYFUNCTION("""COMPUTED_VALUE"""),2025)</f>
        <v>2025</v>
      </c>
      <c r="C380" s="6">
        <f ca="1">IFERROR(__xludf.DUMMYFUNCTION("""COMPUTED_VALUE"""),3)</f>
        <v>3</v>
      </c>
      <c r="D380" s="6" t="str">
        <f ca="1">IFERROR(__xludf.DUMMYFUNCTION("""COMPUTED_VALUE"""),"NO")</f>
        <v>NO</v>
      </c>
      <c r="E380" s="6" t="str">
        <f ca="1">IFERROR(__xludf.DUMMYFUNCTION("""COMPUTED_VALUE"""),"Fuenlabrada")</f>
        <v>Fuenlabrada</v>
      </c>
      <c r="F380" s="16">
        <f ca="1">IFERROR(__xludf.DUMMYFUNCTION("""COMPUTED_VALUE"""),45742)</f>
        <v>45742</v>
      </c>
      <c r="G380" s="16">
        <f ca="1">IFERROR(__xludf.DUMMYFUNCTION("""COMPUTED_VALUE"""),45708)</f>
        <v>45708</v>
      </c>
      <c r="H380" s="6" t="str">
        <f ca="1">IFERROR(__xludf.DUMMYFUNCTION("""COMPUTED_VALUE"""),"Fuenlabrada")</f>
        <v>Fuenlabrada</v>
      </c>
      <c r="I380" s="6" t="str">
        <f ca="1">IFERROR(__xludf.DUMMYFUNCTION("""COMPUTED_VALUE"""),"C20252251610741")</f>
        <v>C20252251610741</v>
      </c>
      <c r="J380" s="6" t="str">
        <f ca="1">IFERROR(__xludf.DUMMYFUNCTION("""COMPUTED_VALUE"""),"MIGUEL GARCIA VAZ-ROMERO")</f>
        <v>MIGUEL GARCIA VAZ-ROMERO</v>
      </c>
      <c r="K380" s="6">
        <f ca="1">IFERROR(__xludf.DUMMYFUNCTION("""COMPUTED_VALUE"""),2)</f>
        <v>2</v>
      </c>
      <c r="L380" s="139">
        <f ca="1">IFERROR(__xludf.DUMMYFUNCTION("""COMPUTED_VALUE"""),3710)</f>
        <v>3710</v>
      </c>
      <c r="M380" s="6" t="str">
        <f ca="1">IFERROR(__xludf.DUMMYFUNCTION("""COMPUTED_VALUE"""),"03 ORL")</f>
        <v>03 ORL</v>
      </c>
      <c r="N380" s="6" t="str">
        <f ca="1">IFERROR(__xludf.DUMMYFUNCTION("""COMPUTED_VALUE"""),"06 ORL")</f>
        <v>06 ORL</v>
      </c>
      <c r="O380" s="6" t="str">
        <f ca="1">IFERROR(__xludf.DUMMYFUNCTION("""COMPUTED_VALUE"""),"Dr, Raimundo Andres Navarro Mediano")</f>
        <v>Dr, Raimundo Andres Navarro Mediano</v>
      </c>
      <c r="P380" s="6" t="str">
        <f ca="1">IFERROR(__xludf.DUMMYFUNCTION("""COMPUTED_VALUE"""),"Maika Blázquez (Madrid)")</f>
        <v>Maika Blázquez (Madrid)</v>
      </c>
    </row>
    <row r="381" spans="2:16">
      <c r="B381" s="6">
        <f ca="1">IFERROR(__xludf.DUMMYFUNCTION("""COMPUTED_VALUE"""),2025)</f>
        <v>2025</v>
      </c>
      <c r="C381" s="6">
        <f ca="1">IFERROR(__xludf.DUMMYFUNCTION("""COMPUTED_VALUE"""),3)</f>
        <v>3</v>
      </c>
      <c r="D381" s="6" t="str">
        <f ca="1">IFERROR(__xludf.DUMMYFUNCTION("""COMPUTED_VALUE"""),"NO")</f>
        <v>NO</v>
      </c>
      <c r="E381" s="6" t="str">
        <f ca="1">IFERROR(__xludf.DUMMYFUNCTION("""COMPUTED_VALUE"""),"Torrejón de Ardoz")</f>
        <v>Torrejón de Ardoz</v>
      </c>
      <c r="F381" s="16">
        <f ca="1">IFERROR(__xludf.DUMMYFUNCTION("""COMPUTED_VALUE"""),45742)</f>
        <v>45742</v>
      </c>
      <c r="G381" s="16">
        <f ca="1">IFERROR(__xludf.DUMMYFUNCTION("""COMPUTED_VALUE"""),45672)</f>
        <v>45672</v>
      </c>
      <c r="H381" s="6" t="str">
        <f ca="1">IFERROR(__xludf.DUMMYFUNCTION("""COMPUTED_VALUE"""),"Torrejón")</f>
        <v>Torrejón</v>
      </c>
      <c r="I381" s="6" t="str">
        <f ca="1">IFERROR(__xludf.DUMMYFUNCTION("""COMPUTED_VALUE"""),"C202511618324793")</f>
        <v>C202511618324793</v>
      </c>
      <c r="J381" s="6" t="str">
        <f ca="1">IFERROR(__xludf.DUMMYFUNCTION("""COMPUTED_VALUE"""),"ELVIRA FERRO FUENTES")</f>
        <v>ELVIRA FERRO FUENTES</v>
      </c>
      <c r="K381" s="6">
        <f ca="1">IFERROR(__xludf.DUMMYFUNCTION("""COMPUTED_VALUE"""),1)</f>
        <v>1</v>
      </c>
      <c r="L381" s="139">
        <f ca="1">IFERROR(__xludf.DUMMYFUNCTION("""COMPUTED_VALUE"""),1983.64)</f>
        <v>1983.64</v>
      </c>
      <c r="M381" s="6" t="str">
        <f ca="1">IFERROR(__xludf.DUMMYFUNCTION("""COMPUTED_VALUE"""),"03 ORL")</f>
        <v>03 ORL</v>
      </c>
      <c r="N381" s="6" t="str">
        <f ca="1">IFERROR(__xludf.DUMMYFUNCTION("""COMPUTED_VALUE"""),"06 ORL")</f>
        <v>06 ORL</v>
      </c>
      <c r="O381" s="6" t="str">
        <f ca="1">IFERROR(__xludf.DUMMYFUNCTION("""COMPUTED_VALUE"""),"Dr, Juan De Dios De La Calzada")</f>
        <v>Dr, Juan De Dios De La Calzada</v>
      </c>
      <c r="P381" s="6" t="str">
        <f ca="1">IFERROR(__xludf.DUMMYFUNCTION("""COMPUTED_VALUE"""),"Maika Blázquez (Madrid)")</f>
        <v>Maika Blázquez (Madrid)</v>
      </c>
    </row>
    <row r="382" spans="2:16">
      <c r="B382" s="6">
        <f ca="1">IFERROR(__xludf.DUMMYFUNCTION("""COMPUTED_VALUE"""),2025)</f>
        <v>2025</v>
      </c>
      <c r="C382" s="6">
        <f ca="1">IFERROR(__xludf.DUMMYFUNCTION("""COMPUTED_VALUE"""),3)</f>
        <v>3</v>
      </c>
      <c r="D382" s="6" t="str">
        <f ca="1">IFERROR(__xludf.DUMMYFUNCTION("""COMPUTED_VALUE"""),"NO")</f>
        <v>NO</v>
      </c>
      <c r="E382" s="6" t="str">
        <f ca="1">IFERROR(__xludf.DUMMYFUNCTION("""COMPUTED_VALUE"""),"Alcorcón")</f>
        <v>Alcorcón</v>
      </c>
      <c r="F382" s="16">
        <f ca="1">IFERROR(__xludf.DUMMYFUNCTION("""COMPUTED_VALUE"""),45742)</f>
        <v>45742</v>
      </c>
      <c r="G382" s="16">
        <f ca="1">IFERROR(__xludf.DUMMYFUNCTION("""COMPUTED_VALUE"""),45729)</f>
        <v>45729</v>
      </c>
      <c r="H382" s="6" t="str">
        <f ca="1">IFERROR(__xludf.DUMMYFUNCTION("""COMPUTED_VALUE"""),"Alcorcón")</f>
        <v>Alcorcón</v>
      </c>
      <c r="I382" s="6" t="str">
        <f ca="1">IFERROR(__xludf.DUMMYFUNCTION("""COMPUTED_VALUE"""),"C202531810231047")</f>
        <v>C202531810231047</v>
      </c>
      <c r="J382" s="6" t="str">
        <f ca="1">IFERROR(__xludf.DUMMYFUNCTION("""COMPUTED_VALUE"""),"LORENZO CORRAL BENITEZ")</f>
        <v>LORENZO CORRAL BENITEZ</v>
      </c>
      <c r="K382" s="6">
        <f ca="1">IFERROR(__xludf.DUMMYFUNCTION("""COMPUTED_VALUE"""),2)</f>
        <v>2</v>
      </c>
      <c r="L382" s="139">
        <f ca="1">IFERROR(__xludf.DUMMYFUNCTION("""COMPUTED_VALUE"""),2888.18)</f>
        <v>2888.18</v>
      </c>
      <c r="M382" s="6" t="str">
        <f ca="1">IFERROR(__xludf.DUMMYFUNCTION("""COMPUTED_VALUE"""),"03 ORL")</f>
        <v>03 ORL</v>
      </c>
      <c r="N382" s="6" t="str">
        <f ca="1">IFERROR(__xludf.DUMMYFUNCTION("""COMPUTED_VALUE"""),"06 ORL")</f>
        <v>06 ORL</v>
      </c>
      <c r="O382" s="6" t="str">
        <f ca="1">IFERROR(__xludf.DUMMYFUNCTION("""COMPUTED_VALUE"""),"Dra, María Del Mar Martínez Ruiz-Coello")</f>
        <v>Dra, María Del Mar Martínez Ruiz-Coello</v>
      </c>
      <c r="P382" s="6" t="str">
        <f ca="1">IFERROR(__xludf.DUMMYFUNCTION("""COMPUTED_VALUE"""),"Maika Blázquez (Madrid)")</f>
        <v>Maika Blázquez (Madrid)</v>
      </c>
    </row>
    <row r="383" spans="2:16">
      <c r="B383" s="6">
        <f ca="1">IFERROR(__xludf.DUMMYFUNCTION("""COMPUTED_VALUE"""),2025)</f>
        <v>2025</v>
      </c>
      <c r="C383" s="6">
        <f ca="1">IFERROR(__xludf.DUMMYFUNCTION("""COMPUTED_VALUE"""),3)</f>
        <v>3</v>
      </c>
      <c r="D383" s="6" t="str">
        <f ca="1">IFERROR(__xludf.DUMMYFUNCTION("""COMPUTED_VALUE"""),"NO")</f>
        <v>NO</v>
      </c>
      <c r="E383" s="6" t="str">
        <f ca="1">IFERROR(__xludf.DUMMYFUNCTION("""COMPUTED_VALUE"""),"Torrejón de Ardoz")</f>
        <v>Torrejón de Ardoz</v>
      </c>
      <c r="F383" s="16">
        <f ca="1">IFERROR(__xludf.DUMMYFUNCTION("""COMPUTED_VALUE"""),45743)</f>
        <v>45743</v>
      </c>
      <c r="G383" s="16">
        <f ca="1">IFERROR(__xludf.DUMMYFUNCTION("""COMPUTED_VALUE"""),45729)</f>
        <v>45729</v>
      </c>
      <c r="H383" s="6" t="str">
        <f ca="1">IFERROR(__xludf.DUMMYFUNCTION("""COMPUTED_VALUE"""),"Torrejón")</f>
        <v>Torrejón</v>
      </c>
      <c r="I383" s="6" t="str">
        <f ca="1">IFERROR(__xludf.DUMMYFUNCTION("""COMPUTED_VALUE"""),"C2025313181155435")</f>
        <v>C2025313181155435</v>
      </c>
      <c r="J383" s="6" t="str">
        <f ca="1">IFERROR(__xludf.DUMMYFUNCTION("""COMPUTED_VALUE"""),"JESUS ORTEGA NIETO")</f>
        <v>JESUS ORTEGA NIETO</v>
      </c>
      <c r="K383" s="6">
        <f ca="1">IFERROR(__xludf.DUMMYFUNCTION("""COMPUTED_VALUE"""),2)</f>
        <v>2</v>
      </c>
      <c r="L383" s="139">
        <f ca="1">IFERROR(__xludf.DUMMYFUNCTION("""COMPUTED_VALUE"""),3800)</f>
        <v>3800</v>
      </c>
      <c r="M383" s="6" t="str">
        <f ca="1">IFERROR(__xludf.DUMMYFUNCTION("""COMPUTED_VALUE"""),"03 ORL")</f>
        <v>03 ORL</v>
      </c>
      <c r="N383" s="6" t="str">
        <f ca="1">IFERROR(__xludf.DUMMYFUNCTION("""COMPUTED_VALUE"""),"06 ORL")</f>
        <v>06 ORL</v>
      </c>
      <c r="O383" s="6" t="str">
        <f ca="1">IFERROR(__xludf.DUMMYFUNCTION("""COMPUTED_VALUE"""),"Dra, Marta Abad Pascual")</f>
        <v>Dra, Marta Abad Pascual</v>
      </c>
      <c r="P383" s="6" t="str">
        <f ca="1">IFERROR(__xludf.DUMMYFUNCTION("""COMPUTED_VALUE"""),"Maika Blázquez (Madrid)")</f>
        <v>Maika Blázquez (Madrid)</v>
      </c>
    </row>
    <row r="384" spans="2:16">
      <c r="B384" s="6">
        <f ca="1">IFERROR(__xludf.DUMMYFUNCTION("""COMPUTED_VALUE"""),2025)</f>
        <v>2025</v>
      </c>
      <c r="C384" s="6">
        <f ca="1">IFERROR(__xludf.DUMMYFUNCTION("""COMPUTED_VALUE"""),3)</f>
        <v>3</v>
      </c>
      <c r="D384" s="6" t="str">
        <f ca="1">IFERROR(__xludf.DUMMYFUNCTION("""COMPUTED_VALUE"""),"NO")</f>
        <v>NO</v>
      </c>
      <c r="E384" s="6" t="str">
        <f ca="1">IFERROR(__xludf.DUMMYFUNCTION("""COMPUTED_VALUE"""),"Madrid- Juan Bravo")</f>
        <v>Madrid- Juan Bravo</v>
      </c>
      <c r="F384" s="16">
        <f ca="1">IFERROR(__xludf.DUMMYFUNCTION("""COMPUTED_VALUE"""),45743)</f>
        <v>45743</v>
      </c>
      <c r="G384" s="16">
        <f ca="1">IFERROR(__xludf.DUMMYFUNCTION("""COMPUTED_VALUE"""),45714)</f>
        <v>45714</v>
      </c>
      <c r="H384" s="6" t="str">
        <f ca="1">IFERROR(__xludf.DUMMYFUNCTION("""COMPUTED_VALUE"""),"Juan Bravo")</f>
        <v>Juan Bravo</v>
      </c>
      <c r="I384" s="6" t="str">
        <f ca="1">IFERROR(__xludf.DUMMYFUNCTION("""COMPUTED_VALUE"""),"C202533114656766")</f>
        <v>C202533114656766</v>
      </c>
      <c r="J384" s="6" t="str">
        <f ca="1">IFERROR(__xludf.DUMMYFUNCTION("""COMPUTED_VALUE"""),"ANTONIO MONTERO LAGUNA")</f>
        <v>ANTONIO MONTERO LAGUNA</v>
      </c>
      <c r="K384" s="6">
        <f ca="1">IFERROR(__xludf.DUMMYFUNCTION("""COMPUTED_VALUE"""),2)</f>
        <v>2</v>
      </c>
      <c r="L384" s="139">
        <f ca="1">IFERROR(__xludf.DUMMYFUNCTION("""COMPUTED_VALUE"""),4400)</f>
        <v>4400</v>
      </c>
      <c r="M384" s="6" t="str">
        <f ca="1">IFERROR(__xludf.DUMMYFUNCTION("""COMPUTED_VALUE"""),"03 ORL")</f>
        <v>03 ORL</v>
      </c>
      <c r="N384" s="6" t="str">
        <f ca="1">IFERROR(__xludf.DUMMYFUNCTION("""COMPUTED_VALUE"""),"06 ORL")</f>
        <v>06 ORL</v>
      </c>
      <c r="O384" s="6" t="str">
        <f ca="1">IFERROR(__xludf.DUMMYFUNCTION("""COMPUTED_VALUE"""),"Dra, Victoria García Peces")</f>
        <v>Dra, Victoria García Peces</v>
      </c>
      <c r="P384" s="6" t="str">
        <f ca="1">IFERROR(__xludf.DUMMYFUNCTION("""COMPUTED_VALUE"""),"Maika Blázquez (Madrid)")</f>
        <v>Maika Blázquez (Madrid)</v>
      </c>
    </row>
    <row r="385" spans="2:16">
      <c r="B385" s="6">
        <f ca="1">IFERROR(__xludf.DUMMYFUNCTION("""COMPUTED_VALUE"""),2025)</f>
        <v>2025</v>
      </c>
      <c r="C385" s="6">
        <f ca="1">IFERROR(__xludf.DUMMYFUNCTION("""COMPUTED_VALUE"""),3)</f>
        <v>3</v>
      </c>
      <c r="D385" s="6" t="str">
        <f ca="1">IFERROR(__xludf.DUMMYFUNCTION("""COMPUTED_VALUE"""),"NO")</f>
        <v>NO</v>
      </c>
      <c r="E385" s="6" t="str">
        <f ca="1">IFERROR(__xludf.DUMMYFUNCTION("""COMPUTED_VALUE"""),"Valencia- Cádiz")</f>
        <v>Valencia- Cádiz</v>
      </c>
      <c r="F385" s="16">
        <f ca="1">IFERROR(__xludf.DUMMYFUNCTION("""COMPUTED_VALUE"""),45743)</f>
        <v>45743</v>
      </c>
      <c r="G385" s="16">
        <f ca="1">IFERROR(__xludf.DUMMYFUNCTION("""COMPUTED_VALUE"""),45622)</f>
        <v>45622</v>
      </c>
      <c r="H385" s="6" t="str">
        <f ca="1">IFERROR(__xludf.DUMMYFUNCTION("""COMPUTED_VALUE"""),"Valencia- Cádiz")</f>
        <v>Valencia- Cádiz</v>
      </c>
      <c r="I385" s="6" t="str">
        <f ca="1">IFERROR(__xludf.DUMMYFUNCTION("""COMPUTED_VALUE"""),"C202412912145720")</f>
        <v>C202412912145720</v>
      </c>
      <c r="J385" s="6" t="str">
        <f ca="1">IFERROR(__xludf.DUMMYFUNCTION("""COMPUTED_VALUE"""),"MARIA PEREZ SANCHEZ")</f>
        <v>MARIA PEREZ SANCHEZ</v>
      </c>
      <c r="K385" s="6">
        <f ca="1">IFERROR(__xludf.DUMMYFUNCTION("""COMPUTED_VALUE"""),2)</f>
        <v>2</v>
      </c>
      <c r="L385" s="139">
        <f ca="1">IFERROR(__xludf.DUMMYFUNCTION("""COMPUTED_VALUE"""),2743.77)</f>
        <v>2743.77</v>
      </c>
      <c r="M385" s="6" t="str">
        <f ca="1">IFERROR(__xludf.DUMMYFUNCTION("""COMPUTED_VALUE"""),"03 ORL")</f>
        <v>03 ORL</v>
      </c>
      <c r="N385" s="6" t="str">
        <f ca="1">IFERROR(__xludf.DUMMYFUNCTION("""COMPUTED_VALUE"""),"06 ORL")</f>
        <v>06 ORL</v>
      </c>
      <c r="O385" s="6" t="str">
        <f ca="1">IFERROR(__xludf.DUMMYFUNCTION("""COMPUTED_VALUE"""),"Dr, Jean Franco Intraprendente Martini")</f>
        <v>Dr, Jean Franco Intraprendente Martini</v>
      </c>
      <c r="P385" s="6" t="str">
        <f ca="1">IFERROR(__xludf.DUMMYFUNCTION("""COMPUTED_VALUE"""),"Ramon Ferrando(Valencia)")</f>
        <v>Ramon Ferrando(Valencia)</v>
      </c>
    </row>
    <row r="386" spans="2:16">
      <c r="B386" s="6">
        <f ca="1">IFERROR(__xludf.DUMMYFUNCTION("""COMPUTED_VALUE"""),2025)</f>
        <v>2025</v>
      </c>
      <c r="C386" s="6">
        <f ca="1">IFERROR(__xludf.DUMMYFUNCTION("""COMPUTED_VALUE"""),3)</f>
        <v>3</v>
      </c>
      <c r="D386" s="6" t="str">
        <f ca="1">IFERROR(__xludf.DUMMYFUNCTION("""COMPUTED_VALUE"""),"NO")</f>
        <v>NO</v>
      </c>
      <c r="E386" s="6" t="str">
        <f ca="1">IFERROR(__xludf.DUMMYFUNCTION("""COMPUTED_VALUE"""),"Madrid- Juan Bravo")</f>
        <v>Madrid- Juan Bravo</v>
      </c>
      <c r="F386" s="16">
        <f ca="1">IFERROR(__xludf.DUMMYFUNCTION("""COMPUTED_VALUE"""),45743)</f>
        <v>45743</v>
      </c>
      <c r="G386" s="16">
        <f ca="1">IFERROR(__xludf.DUMMYFUNCTION("""COMPUTED_VALUE"""),45699)</f>
        <v>45699</v>
      </c>
      <c r="H386" s="6" t="str">
        <f ca="1">IFERROR(__xludf.DUMMYFUNCTION("""COMPUTED_VALUE"""),"Juan Bravo")</f>
        <v>Juan Bravo</v>
      </c>
      <c r="I386" s="6" t="str">
        <f ca="1">IFERROR(__xludf.DUMMYFUNCTION("""COMPUTED_VALUE"""),"C202522810454255")</f>
        <v>C202522810454255</v>
      </c>
      <c r="J386" s="6" t="str">
        <f ca="1">IFERROR(__xludf.DUMMYFUNCTION("""COMPUTED_VALUE"""),"ROSA MARIA MARTINEZ MARTINEZ-AEDO")</f>
        <v>ROSA MARIA MARTINEZ MARTINEZ-AEDO</v>
      </c>
      <c r="K386" s="6">
        <f ca="1">IFERROR(__xludf.DUMMYFUNCTION("""COMPUTED_VALUE"""),2)</f>
        <v>2</v>
      </c>
      <c r="L386" s="139">
        <f ca="1">IFERROR(__xludf.DUMMYFUNCTION("""COMPUTED_VALUE"""),4180)</f>
        <v>4180</v>
      </c>
      <c r="M386" s="6" t="str">
        <f ca="1">IFERROR(__xludf.DUMMYFUNCTION("""COMPUTED_VALUE"""),"03 ORL")</f>
        <v>03 ORL</v>
      </c>
      <c r="N386" s="6" t="str">
        <f ca="1">IFERROR(__xludf.DUMMYFUNCTION("""COMPUTED_VALUE"""),"06 ORL")</f>
        <v>06 ORL</v>
      </c>
      <c r="O386" s="6" t="str">
        <f ca="1">IFERROR(__xludf.DUMMYFUNCTION("""COMPUTED_VALUE"""),"Dr, Joaquín Alacio Casero")</f>
        <v>Dr, Joaquín Alacio Casero</v>
      </c>
      <c r="P386" s="6" t="str">
        <f ca="1">IFERROR(__xludf.DUMMYFUNCTION("""COMPUTED_VALUE"""),"Maika Blázquez (Madrid)")</f>
        <v>Maika Blázquez (Madrid)</v>
      </c>
    </row>
    <row r="387" spans="2:16">
      <c r="B387" s="6">
        <f ca="1">IFERROR(__xludf.DUMMYFUNCTION("""COMPUTED_VALUE"""),2025)</f>
        <v>2025</v>
      </c>
      <c r="C387" s="6">
        <f ca="1">IFERROR(__xludf.DUMMYFUNCTION("""COMPUTED_VALUE"""),3)</f>
        <v>3</v>
      </c>
      <c r="D387" s="6" t="str">
        <f ca="1">IFERROR(__xludf.DUMMYFUNCTION("""COMPUTED_VALUE"""),"NO")</f>
        <v>NO</v>
      </c>
      <c r="E387" s="6" t="str">
        <f ca="1">IFERROR(__xludf.DUMMYFUNCTION("""COMPUTED_VALUE"""),"Almería")</f>
        <v>Almería</v>
      </c>
      <c r="F387" s="16">
        <f ca="1">IFERROR(__xludf.DUMMYFUNCTION("""COMPUTED_VALUE"""),45743)</f>
        <v>45743</v>
      </c>
      <c r="G387" s="16">
        <f ca="1">IFERROR(__xludf.DUMMYFUNCTION("""COMPUTED_VALUE"""),45719)</f>
        <v>45719</v>
      </c>
      <c r="H387" s="6" t="str">
        <f ca="1">IFERROR(__xludf.DUMMYFUNCTION("""COMPUTED_VALUE"""),"Almería")</f>
        <v>Almería</v>
      </c>
      <c r="I387" s="6" t="str">
        <f ca="1">IFERROR(__xludf.DUMMYFUNCTION("""COMPUTED_VALUE"""),"C20253595632106")</f>
        <v>C20253595632106</v>
      </c>
      <c r="J387" s="6" t="str">
        <f ca="1">IFERROR(__xludf.DUMMYFUNCTION("""COMPUTED_VALUE"""),"JOSE DANIEL GARZON GARZON")</f>
        <v>JOSE DANIEL GARZON GARZON</v>
      </c>
      <c r="K387" s="6">
        <f ca="1">IFERROR(__xludf.DUMMYFUNCTION("""COMPUTED_VALUE"""),2)</f>
        <v>2</v>
      </c>
      <c r="L387" s="139">
        <f ca="1">IFERROR(__xludf.DUMMYFUNCTION("""COMPUTED_VALUE"""),4000)</f>
        <v>4000</v>
      </c>
      <c r="M387" s="6" t="str">
        <f ca="1">IFERROR(__xludf.DUMMYFUNCTION("""COMPUTED_VALUE"""),"03 ORL")</f>
        <v>03 ORL</v>
      </c>
      <c r="N387" s="6" t="str">
        <f ca="1">IFERROR(__xludf.DUMMYFUNCTION("""COMPUTED_VALUE"""),"06 ORL")</f>
        <v>06 ORL</v>
      </c>
      <c r="O387" s="6" t="str">
        <f ca="1">IFERROR(__xludf.DUMMYFUNCTION("""COMPUTED_VALUE"""),"Dr, Joaquín Pérez Rull")</f>
        <v>Dr, Joaquín Pérez Rull</v>
      </c>
      <c r="P387" s="6" t="str">
        <f ca="1">IFERROR(__xludf.DUMMYFUNCTION("""COMPUTED_VALUE"""),"Ramon Ferrando(Valencia)")</f>
        <v>Ramon Ferrando(Valencia)</v>
      </c>
    </row>
    <row r="388" spans="2:16">
      <c r="B388" s="6">
        <f ca="1">IFERROR(__xludf.DUMMYFUNCTION("""COMPUTED_VALUE"""),2025)</f>
        <v>2025</v>
      </c>
      <c r="C388" s="6">
        <f ca="1">IFERROR(__xludf.DUMMYFUNCTION("""COMPUTED_VALUE"""),3)</f>
        <v>3</v>
      </c>
      <c r="D388" s="6" t="str">
        <f ca="1">IFERROR(__xludf.DUMMYFUNCTION("""COMPUTED_VALUE"""),"NO")</f>
        <v>NO</v>
      </c>
      <c r="E388" s="6" t="str">
        <f ca="1">IFERROR(__xludf.DUMMYFUNCTION("""COMPUTED_VALUE"""),"Valencia- Parra")</f>
        <v>Valencia- Parra</v>
      </c>
      <c r="F388" s="16">
        <f ca="1">IFERROR(__xludf.DUMMYFUNCTION("""COMPUTED_VALUE"""),45743)</f>
        <v>45743</v>
      </c>
      <c r="G388" s="16">
        <f ca="1">IFERROR(__xludf.DUMMYFUNCTION("""COMPUTED_VALUE"""),45712)</f>
        <v>45712</v>
      </c>
      <c r="H388" s="6" t="str">
        <f ca="1">IFERROR(__xludf.DUMMYFUNCTION("""COMPUTED_VALUE"""),"Valencia- Parra")</f>
        <v>Valencia- Parra</v>
      </c>
      <c r="I388" s="6" t="str">
        <f ca="1">IFERROR(__xludf.DUMMYFUNCTION("""COMPUTED_VALUE"""),"C202522592424829")</f>
        <v>C202522592424829</v>
      </c>
      <c r="J388" s="6" t="str">
        <f ca="1">IFERROR(__xludf.DUMMYFUNCTION("""COMPUTED_VALUE"""),"MARIA DEL CARMEN SALAMANCA DE LA FUENTE")</f>
        <v>MARIA DEL CARMEN SALAMANCA DE LA FUENTE</v>
      </c>
      <c r="K388" s="6">
        <f ca="1">IFERROR(__xludf.DUMMYFUNCTION("""COMPUTED_VALUE"""),2)</f>
        <v>2</v>
      </c>
      <c r="L388" s="139">
        <f ca="1">IFERROR(__xludf.DUMMYFUNCTION("""COMPUTED_VALUE"""),4000)</f>
        <v>4000</v>
      </c>
      <c r="M388" s="6" t="str">
        <f ca="1">IFERROR(__xludf.DUMMYFUNCTION("""COMPUTED_VALUE"""),"03 ORL")</f>
        <v>03 ORL</v>
      </c>
      <c r="N388" s="6" t="str">
        <f ca="1">IFERROR(__xludf.DUMMYFUNCTION("""COMPUTED_VALUE"""),"06 ORL")</f>
        <v>06 ORL</v>
      </c>
      <c r="O388" s="6" t="str">
        <f ca="1">IFERROR(__xludf.DUMMYFUNCTION("""COMPUTED_VALUE"""),"Dr, Carlos De Paula Vernetta")</f>
        <v>Dr, Carlos De Paula Vernetta</v>
      </c>
      <c r="P388" s="6" t="str">
        <f ca="1">IFERROR(__xludf.DUMMYFUNCTION("""COMPUTED_VALUE"""),"Ramon Ferrando(Valencia)")</f>
        <v>Ramon Ferrando(Valencia)</v>
      </c>
    </row>
    <row r="389" spans="2:16">
      <c r="B389" s="6">
        <f ca="1">IFERROR(__xludf.DUMMYFUNCTION("""COMPUTED_VALUE"""),2025)</f>
        <v>2025</v>
      </c>
      <c r="C389" s="6">
        <f ca="1">IFERROR(__xludf.DUMMYFUNCTION("""COMPUTED_VALUE"""),3)</f>
        <v>3</v>
      </c>
      <c r="D389" s="6" t="str">
        <f ca="1">IFERROR(__xludf.DUMMYFUNCTION("""COMPUTED_VALUE"""),"NO")</f>
        <v>NO</v>
      </c>
      <c r="E389" s="6" t="str">
        <f ca="1">IFERROR(__xludf.DUMMYFUNCTION("""COMPUTED_VALUE"""),"Talavera")</f>
        <v>Talavera</v>
      </c>
      <c r="F389" s="16">
        <f ca="1">IFERROR(__xludf.DUMMYFUNCTION("""COMPUTED_VALUE"""),45743)</f>
        <v>45743</v>
      </c>
      <c r="G389" s="16">
        <f ca="1">IFERROR(__xludf.DUMMYFUNCTION("""COMPUTED_VALUE"""),45721)</f>
        <v>45721</v>
      </c>
      <c r="H389" s="6" t="str">
        <f ca="1">IFERROR(__xludf.DUMMYFUNCTION("""COMPUTED_VALUE"""),"Talavera")</f>
        <v>Talavera</v>
      </c>
      <c r="I389" s="6" t="str">
        <f ca="1">IFERROR(__xludf.DUMMYFUNCTION("""COMPUTED_VALUE"""),"C2025318103013118")</f>
        <v>C2025318103013118</v>
      </c>
      <c r="J389" s="6" t="str">
        <f ca="1">IFERROR(__xludf.DUMMYFUNCTION("""COMPUTED_VALUE"""),"MARIA DEL CARMEN  ARROYO CASTRO")</f>
        <v>MARIA DEL CARMEN  ARROYO CASTRO</v>
      </c>
      <c r="K389" s="6">
        <f ca="1">IFERROR(__xludf.DUMMYFUNCTION("""COMPUTED_VALUE"""),2)</f>
        <v>2</v>
      </c>
      <c r="L389" s="139">
        <f ca="1">IFERROR(__xludf.DUMMYFUNCTION("""COMPUTED_VALUE"""),4000)</f>
        <v>4000</v>
      </c>
      <c r="M389" s="6" t="str">
        <f ca="1">IFERROR(__xludf.DUMMYFUNCTION("""COMPUTED_VALUE"""),"03 ORL")</f>
        <v>03 ORL</v>
      </c>
      <c r="N389" s="6" t="str">
        <f ca="1">IFERROR(__xludf.DUMMYFUNCTION("""COMPUTED_VALUE"""),"06 ORL")</f>
        <v>06 ORL</v>
      </c>
      <c r="O389" s="6" t="str">
        <f ca="1">IFERROR(__xludf.DUMMYFUNCTION("""COMPUTED_VALUE"""),"Dr, Carlos Félix Asensio Nieto")</f>
        <v>Dr, Carlos Félix Asensio Nieto</v>
      </c>
      <c r="P389" s="6" t="str">
        <f ca="1">IFERROR(__xludf.DUMMYFUNCTION("""COMPUTED_VALUE"""),"Lisandro Russian (Madrid, Cáceres, Toledo, Talavera Y Logroño)")</f>
        <v>Lisandro Russian (Madrid, Cáceres, Toledo, Talavera Y Logroño)</v>
      </c>
    </row>
    <row r="390" spans="2:16">
      <c r="B390" s="6">
        <f ca="1">IFERROR(__xludf.DUMMYFUNCTION("""COMPUTED_VALUE"""),2025)</f>
        <v>2025</v>
      </c>
      <c r="C390" s="6">
        <f ca="1">IFERROR(__xludf.DUMMYFUNCTION("""COMPUTED_VALUE"""),3)</f>
        <v>3</v>
      </c>
      <c r="D390" s="6" t="str">
        <f ca="1">IFERROR(__xludf.DUMMYFUNCTION("""COMPUTED_VALUE"""),"NO")</f>
        <v>NO</v>
      </c>
      <c r="E390" s="6" t="str">
        <f ca="1">IFERROR(__xludf.DUMMYFUNCTION("""COMPUTED_VALUE"""),"Getafe")</f>
        <v>Getafe</v>
      </c>
      <c r="F390" s="16">
        <f ca="1">IFERROR(__xludf.DUMMYFUNCTION("""COMPUTED_VALUE"""),45743)</f>
        <v>45743</v>
      </c>
      <c r="G390" s="16">
        <f ca="1">IFERROR(__xludf.DUMMYFUNCTION("""COMPUTED_VALUE"""),45728)</f>
        <v>45728</v>
      </c>
      <c r="H390" s="6" t="str">
        <f ca="1">IFERROR(__xludf.DUMMYFUNCTION("""COMPUTED_VALUE"""),"Getafe")</f>
        <v>Getafe</v>
      </c>
      <c r="I390" s="6" t="str">
        <f ca="1">IFERROR(__xludf.DUMMYFUNCTION("""COMPUTED_VALUE"""),"C2025314153258297")</f>
        <v>C2025314153258297</v>
      </c>
      <c r="J390" s="6" t="str">
        <f ca="1">IFERROR(__xludf.DUMMYFUNCTION("""COMPUTED_VALUE"""),"PABLO MARIN ALCALDE")</f>
        <v>PABLO MARIN ALCALDE</v>
      </c>
      <c r="K390" s="6">
        <f ca="1">IFERROR(__xludf.DUMMYFUNCTION("""COMPUTED_VALUE"""),2)</f>
        <v>2</v>
      </c>
      <c r="L390" s="139">
        <f ca="1">IFERROR(__xludf.DUMMYFUNCTION("""COMPUTED_VALUE"""),3800)</f>
        <v>3800</v>
      </c>
      <c r="M390" s="6" t="str">
        <f ca="1">IFERROR(__xludf.DUMMYFUNCTION("""COMPUTED_VALUE"""),"03 ORL")</f>
        <v>03 ORL</v>
      </c>
      <c r="N390" s="6" t="str">
        <f ca="1">IFERROR(__xludf.DUMMYFUNCTION("""COMPUTED_VALUE"""),"06 ORL")</f>
        <v>06 ORL</v>
      </c>
      <c r="O390" s="6" t="str">
        <f ca="1">IFERROR(__xludf.DUMMYFUNCTION("""COMPUTED_VALUE"""),"Dra, María Garrote Garrote")</f>
        <v>Dra, María Garrote Garrote</v>
      </c>
      <c r="P390" s="6" t="str">
        <f ca="1">IFERROR(__xludf.DUMMYFUNCTION("""COMPUTED_VALUE"""),"Maika Blázquez (Madrid)")</f>
        <v>Maika Blázquez (Madrid)</v>
      </c>
    </row>
    <row r="391" spans="2:16">
      <c r="B391" s="6">
        <f ca="1">IFERROR(__xludf.DUMMYFUNCTION("""COMPUTED_VALUE"""),2025)</f>
        <v>2025</v>
      </c>
      <c r="C391" s="6">
        <f ca="1">IFERROR(__xludf.DUMMYFUNCTION("""COMPUTED_VALUE"""),3)</f>
        <v>3</v>
      </c>
      <c r="D391" s="6" t="str">
        <f ca="1">IFERROR(__xludf.DUMMYFUNCTION("""COMPUTED_VALUE"""),"NO")</f>
        <v>NO</v>
      </c>
      <c r="E391" s="6" t="str">
        <f ca="1">IFERROR(__xludf.DUMMYFUNCTION("""COMPUTED_VALUE"""),"Getafe")</f>
        <v>Getafe</v>
      </c>
      <c r="F391" s="16">
        <f ca="1">IFERROR(__xludf.DUMMYFUNCTION("""COMPUTED_VALUE"""),45743)</f>
        <v>45743</v>
      </c>
      <c r="G391" s="16">
        <f ca="1">IFERROR(__xludf.DUMMYFUNCTION("""COMPUTED_VALUE"""),45712)</f>
        <v>45712</v>
      </c>
      <c r="H391" s="6" t="str">
        <f ca="1">IFERROR(__xludf.DUMMYFUNCTION("""COMPUTED_VALUE"""),"Getafe")</f>
        <v>Getafe</v>
      </c>
      <c r="I391" s="6" t="str">
        <f ca="1">IFERROR(__xludf.DUMMYFUNCTION("""COMPUTED_VALUE"""),"C202534165840170")</f>
        <v>C202534165840170</v>
      </c>
      <c r="J391" s="6" t="str">
        <f ca="1">IFERROR(__xludf.DUMMYFUNCTION("""COMPUTED_VALUE"""),"EUGENIO GARCIA DE LA FUENTE")</f>
        <v>EUGENIO GARCIA DE LA FUENTE</v>
      </c>
      <c r="K391" s="6">
        <f ca="1">IFERROR(__xludf.DUMMYFUNCTION("""COMPUTED_VALUE"""),2)</f>
        <v>2</v>
      </c>
      <c r="L391" s="139">
        <f ca="1">IFERROR(__xludf.DUMMYFUNCTION("""COMPUTED_VALUE"""),4000)</f>
        <v>4000</v>
      </c>
      <c r="M391" s="6" t="str">
        <f ca="1">IFERROR(__xludf.DUMMYFUNCTION("""COMPUTED_VALUE"""),"03 ORL")</f>
        <v>03 ORL</v>
      </c>
      <c r="N391" s="6" t="str">
        <f ca="1">IFERROR(__xludf.DUMMYFUNCTION("""COMPUTED_VALUE"""),"06 ORL")</f>
        <v>06 ORL</v>
      </c>
      <c r="O391" s="6" t="str">
        <f ca="1">IFERROR(__xludf.DUMMYFUNCTION("""COMPUTED_VALUE"""),"Dra, Cristina Vaduva")</f>
        <v>Dra, Cristina Vaduva</v>
      </c>
      <c r="P391" s="6" t="str">
        <f ca="1">IFERROR(__xludf.DUMMYFUNCTION("""COMPUTED_VALUE"""),"Maika Blázquez (Madrid)")</f>
        <v>Maika Blázquez (Madrid)</v>
      </c>
    </row>
    <row r="392" spans="2:16">
      <c r="B392" s="6">
        <f ca="1">IFERROR(__xludf.DUMMYFUNCTION("""COMPUTED_VALUE"""),2025)</f>
        <v>2025</v>
      </c>
      <c r="C392" s="6">
        <f ca="1">IFERROR(__xludf.DUMMYFUNCTION("""COMPUTED_VALUE"""),3)</f>
        <v>3</v>
      </c>
      <c r="D392" s="6" t="str">
        <f ca="1">IFERROR(__xludf.DUMMYFUNCTION("""COMPUTED_VALUE"""),"NO")</f>
        <v>NO</v>
      </c>
      <c r="E392" s="6" t="str">
        <f ca="1">IFERROR(__xludf.DUMMYFUNCTION("""COMPUTED_VALUE"""),"Getafe")</f>
        <v>Getafe</v>
      </c>
      <c r="F392" s="16">
        <f ca="1">IFERROR(__xludf.DUMMYFUNCTION("""COMPUTED_VALUE"""),45743)</f>
        <v>45743</v>
      </c>
      <c r="G392" s="16">
        <f ca="1">IFERROR(__xludf.DUMMYFUNCTION("""COMPUTED_VALUE"""),45700)</f>
        <v>45700</v>
      </c>
      <c r="H392" s="6" t="str">
        <f ca="1">IFERROR(__xludf.DUMMYFUNCTION("""COMPUTED_VALUE"""),"Getafe")</f>
        <v>Getafe</v>
      </c>
      <c r="I392" s="6" t="str">
        <f ca="1">IFERROR(__xludf.DUMMYFUNCTION("""COMPUTED_VALUE"""),"C2025219184955413")</f>
        <v>C2025219184955413</v>
      </c>
      <c r="J392" s="6" t="str">
        <f ca="1">IFERROR(__xludf.DUMMYFUNCTION("""COMPUTED_VALUE"""),"ANTONIO MARIA SERRANO SANCHEZ VILLACAÑAS")</f>
        <v>ANTONIO MARIA SERRANO SANCHEZ VILLACAÑAS</v>
      </c>
      <c r="K392" s="6">
        <f ca="1">IFERROR(__xludf.DUMMYFUNCTION("""COMPUTED_VALUE"""),2)</f>
        <v>2</v>
      </c>
      <c r="L392" s="139">
        <f ca="1">IFERROR(__xludf.DUMMYFUNCTION("""COMPUTED_VALUE"""),2888.18)</f>
        <v>2888.18</v>
      </c>
      <c r="M392" s="6" t="str">
        <f ca="1">IFERROR(__xludf.DUMMYFUNCTION("""COMPUTED_VALUE"""),"03 ORL")</f>
        <v>03 ORL</v>
      </c>
      <c r="N392" s="6" t="str">
        <f ca="1">IFERROR(__xludf.DUMMYFUNCTION("""COMPUTED_VALUE"""),"06 ORL")</f>
        <v>06 ORL</v>
      </c>
      <c r="O392" s="6" t="str">
        <f ca="1">IFERROR(__xludf.DUMMYFUNCTION("""COMPUTED_VALUE"""),"No Recuerda Orl")</f>
        <v>No Recuerda Orl</v>
      </c>
      <c r="P392" s="6" t="str">
        <f ca="1">IFERROR(__xludf.DUMMYFUNCTION("""COMPUTED_VALUE"""),"Maika Blázquez (Madrid)")</f>
        <v>Maika Blázquez (Madrid)</v>
      </c>
    </row>
    <row r="393" spans="2:16">
      <c r="B393" s="6">
        <f ca="1">IFERROR(__xludf.DUMMYFUNCTION("""COMPUTED_VALUE"""),2025)</f>
        <v>2025</v>
      </c>
      <c r="C393" s="6">
        <f ca="1">IFERROR(__xludf.DUMMYFUNCTION("""COMPUTED_VALUE"""),3)</f>
        <v>3</v>
      </c>
      <c r="D393" s="6" t="str">
        <f ca="1">IFERROR(__xludf.DUMMYFUNCTION("""COMPUTED_VALUE"""),"NO")</f>
        <v>NO</v>
      </c>
      <c r="E393" s="6" t="str">
        <f ca="1">IFERROR(__xludf.DUMMYFUNCTION("""COMPUTED_VALUE"""),"Sevilla- Montoto")</f>
        <v>Sevilla- Montoto</v>
      </c>
      <c r="F393" s="16">
        <f ca="1">IFERROR(__xludf.DUMMYFUNCTION("""COMPUTED_VALUE"""),45743)</f>
        <v>45743</v>
      </c>
      <c r="G393" s="16">
        <f ca="1">IFERROR(__xludf.DUMMYFUNCTION("""COMPUTED_VALUE"""),45699)</f>
        <v>45699</v>
      </c>
      <c r="H393" s="6" t="str">
        <f ca="1">IFERROR(__xludf.DUMMYFUNCTION("""COMPUTED_VALUE"""),"Montoto")</f>
        <v>Montoto</v>
      </c>
      <c r="I393" s="6" t="str">
        <f ca="1">IFERROR(__xludf.DUMMYFUNCTION("""COMPUTED_VALUE"""),"C202521411357772")</f>
        <v>C202521411357772</v>
      </c>
      <c r="J393" s="6" t="str">
        <f ca="1">IFERROR(__xludf.DUMMYFUNCTION("""COMPUTED_VALUE"""),"ANA CANCELO LARIOS")</f>
        <v>ANA CANCELO LARIOS</v>
      </c>
      <c r="K393" s="6">
        <f ca="1">IFERROR(__xludf.DUMMYFUNCTION("""COMPUTED_VALUE"""),1)</f>
        <v>1</v>
      </c>
      <c r="L393" s="139">
        <f ca="1">IFERROR(__xludf.DUMMYFUNCTION("""COMPUTED_VALUE"""),2400)</f>
        <v>2400</v>
      </c>
      <c r="M393" s="6" t="str">
        <f ca="1">IFERROR(__xludf.DUMMYFUNCTION("""COMPUTED_VALUE"""),"03 ORL")</f>
        <v>03 ORL</v>
      </c>
      <c r="N393" s="6" t="str">
        <f ca="1">IFERROR(__xludf.DUMMYFUNCTION("""COMPUTED_VALUE"""),"06 ORL")</f>
        <v>06 ORL</v>
      </c>
      <c r="O393" s="6" t="str">
        <f ca="1">IFERROR(__xludf.DUMMYFUNCTION("""COMPUTED_VALUE"""),"Dr, Jesús Crovato Rojas")</f>
        <v>Dr, Jesús Crovato Rojas</v>
      </c>
      <c r="P393" s="6" t="str">
        <f ca="1">IFERROR(__xludf.DUMMYFUNCTION("""COMPUTED_VALUE"""),"Luis Alberto Rodríguez (Andalucía Y Badajoz)")</f>
        <v>Luis Alberto Rodríguez (Andalucía Y Badajoz)</v>
      </c>
    </row>
    <row r="394" spans="2:16">
      <c r="B394" s="6">
        <f ca="1">IFERROR(__xludf.DUMMYFUNCTION("""COMPUTED_VALUE"""),2025)</f>
        <v>2025</v>
      </c>
      <c r="C394" s="6">
        <f ca="1">IFERROR(__xludf.DUMMYFUNCTION("""COMPUTED_VALUE"""),3)</f>
        <v>3</v>
      </c>
      <c r="D394" s="6" t="str">
        <f ca="1">IFERROR(__xludf.DUMMYFUNCTION("""COMPUTED_VALUE"""),"NO")</f>
        <v>NO</v>
      </c>
      <c r="E394" s="6" t="str">
        <f ca="1">IFERROR(__xludf.DUMMYFUNCTION("""COMPUTED_VALUE"""),"Madrid- Moratalaz")</f>
        <v>Madrid- Moratalaz</v>
      </c>
      <c r="F394" s="16">
        <f ca="1">IFERROR(__xludf.DUMMYFUNCTION("""COMPUTED_VALUE"""),45743)</f>
        <v>45743</v>
      </c>
      <c r="G394" s="16">
        <f ca="1">IFERROR(__xludf.DUMMYFUNCTION("""COMPUTED_VALUE"""),45727)</f>
        <v>45727</v>
      </c>
      <c r="H394" s="6" t="str">
        <f ca="1">IFERROR(__xludf.DUMMYFUNCTION("""COMPUTED_VALUE"""),"Moratalaz")</f>
        <v>Moratalaz</v>
      </c>
      <c r="I394" s="6" t="str">
        <f ca="1">IFERROR(__xludf.DUMMYFUNCTION("""COMPUTED_VALUE"""),"C2025311162945511")</f>
        <v>C2025311162945511</v>
      </c>
      <c r="J394" s="6" t="str">
        <f ca="1">IFERROR(__xludf.DUMMYFUNCTION("""COMPUTED_VALUE"""),"ANTONIO MORAL VILA")</f>
        <v>ANTONIO MORAL VILA</v>
      </c>
      <c r="K394" s="6">
        <f ca="1">IFERROR(__xludf.DUMMYFUNCTION("""COMPUTED_VALUE"""),2)</f>
        <v>2</v>
      </c>
      <c r="L394" s="139">
        <f ca="1">IFERROR(__xludf.DUMMYFUNCTION("""COMPUTED_VALUE"""),4000)</f>
        <v>4000</v>
      </c>
      <c r="M394" s="6" t="str">
        <f ca="1">IFERROR(__xludf.DUMMYFUNCTION("""COMPUTED_VALUE"""),"03 ORL")</f>
        <v>03 ORL</v>
      </c>
      <c r="N394" s="6" t="str">
        <f ca="1">IFERROR(__xludf.DUMMYFUNCTION("""COMPUTED_VALUE"""),"06 ORL")</f>
        <v>06 ORL</v>
      </c>
      <c r="O394" s="6" t="str">
        <f ca="1">IFERROR(__xludf.DUMMYFUNCTION("""COMPUTED_VALUE"""),"Dr, Guillermo San Juan De La Moreta")</f>
        <v>Dr, Guillermo San Juan De La Moreta</v>
      </c>
      <c r="P394" s="6" t="str">
        <f ca="1">IFERROR(__xludf.DUMMYFUNCTION("""COMPUTED_VALUE"""),"Maika Blázquez (Madrid)")</f>
        <v>Maika Blázquez (Madrid)</v>
      </c>
    </row>
    <row r="395" spans="2:16">
      <c r="B395" s="6">
        <f ca="1">IFERROR(__xludf.DUMMYFUNCTION("""COMPUTED_VALUE"""),2025)</f>
        <v>2025</v>
      </c>
      <c r="C395" s="6">
        <f ca="1">IFERROR(__xludf.DUMMYFUNCTION("""COMPUTED_VALUE"""),3)</f>
        <v>3</v>
      </c>
      <c r="D395" s="6" t="str">
        <f ca="1">IFERROR(__xludf.DUMMYFUNCTION("""COMPUTED_VALUE"""),"NO")</f>
        <v>NO</v>
      </c>
      <c r="E395" s="6" t="str">
        <f ca="1">IFERROR(__xludf.DUMMYFUNCTION("""COMPUTED_VALUE"""),"Getafe")</f>
        <v>Getafe</v>
      </c>
      <c r="F395" s="16">
        <f ca="1">IFERROR(__xludf.DUMMYFUNCTION("""COMPUTED_VALUE"""),45743)</f>
        <v>45743</v>
      </c>
      <c r="G395" s="16">
        <f ca="1">IFERROR(__xludf.DUMMYFUNCTION("""COMPUTED_VALUE"""),45686)</f>
        <v>45686</v>
      </c>
      <c r="H395" s="6" t="str">
        <f ca="1">IFERROR(__xludf.DUMMYFUNCTION("""COMPUTED_VALUE"""),"Getafe")</f>
        <v>Getafe</v>
      </c>
      <c r="I395" s="6" t="str">
        <f ca="1">IFERROR(__xludf.DUMMYFUNCTION("""COMPUTED_VALUE"""),"C202521910501796")</f>
        <v>C202521910501796</v>
      </c>
      <c r="J395" s="6" t="str">
        <f ca="1">IFERROR(__xludf.DUMMYFUNCTION("""COMPUTED_VALUE"""),"SEGUNDO IGLESIAS MACIAS")</f>
        <v>SEGUNDO IGLESIAS MACIAS</v>
      </c>
      <c r="K395" s="6">
        <f ca="1">IFERROR(__xludf.DUMMYFUNCTION("""COMPUTED_VALUE"""),2)</f>
        <v>2</v>
      </c>
      <c r="L395" s="139">
        <f ca="1">IFERROR(__xludf.DUMMYFUNCTION("""COMPUTED_VALUE"""),2888.18)</f>
        <v>2888.18</v>
      </c>
      <c r="M395" s="6" t="str">
        <f ca="1">IFERROR(__xludf.DUMMYFUNCTION("""COMPUTED_VALUE"""),"03 ORL")</f>
        <v>03 ORL</v>
      </c>
      <c r="N395" s="6" t="str">
        <f ca="1">IFERROR(__xludf.DUMMYFUNCTION("""COMPUTED_VALUE"""),"06 ORL")</f>
        <v>06 ORL</v>
      </c>
      <c r="O395" s="6" t="str">
        <f ca="1">IFERROR(__xludf.DUMMYFUNCTION("""COMPUTED_VALUE"""),"Dra, Cristina Vaduva")</f>
        <v>Dra, Cristina Vaduva</v>
      </c>
      <c r="P395" s="6" t="str">
        <f ca="1">IFERROR(__xludf.DUMMYFUNCTION("""COMPUTED_VALUE"""),"Maika Blázquez (Madrid)")</f>
        <v>Maika Blázquez (Madrid)</v>
      </c>
    </row>
    <row r="396" spans="2:16">
      <c r="B396" s="6">
        <f ca="1">IFERROR(__xludf.DUMMYFUNCTION("""COMPUTED_VALUE"""),2025)</f>
        <v>2025</v>
      </c>
      <c r="C396" s="6">
        <f ca="1">IFERROR(__xludf.DUMMYFUNCTION("""COMPUTED_VALUE"""),3)</f>
        <v>3</v>
      </c>
      <c r="D396" s="6" t="str">
        <f ca="1">IFERROR(__xludf.DUMMYFUNCTION("""COMPUTED_VALUE"""),"NO")</f>
        <v>NO</v>
      </c>
      <c r="E396" s="6" t="str">
        <f ca="1">IFERROR(__xludf.DUMMYFUNCTION("""COMPUTED_VALUE"""),"Madrid- Juan Bravo")</f>
        <v>Madrid- Juan Bravo</v>
      </c>
      <c r="F396" s="16">
        <f ca="1">IFERROR(__xludf.DUMMYFUNCTION("""COMPUTED_VALUE"""),45744)</f>
        <v>45744</v>
      </c>
      <c r="G396" s="16">
        <f ca="1">IFERROR(__xludf.DUMMYFUNCTION("""COMPUTED_VALUE"""),45387)</f>
        <v>45387</v>
      </c>
      <c r="H396" s="6" t="str">
        <f ca="1">IFERROR(__xludf.DUMMYFUNCTION("""COMPUTED_VALUE"""),"Juan Bravo")</f>
        <v>Juan Bravo</v>
      </c>
      <c r="I396" s="6" t="str">
        <f ca="1">IFERROR(__xludf.DUMMYFUNCTION("""COMPUTED_VALUE"""),"JBR-2059")</f>
        <v>JBR-2059</v>
      </c>
      <c r="J396" s="6" t="str">
        <f ca="1">IFERROR(__xludf.DUMMYFUNCTION("""COMPUTED_VALUE"""),"JUAN SUEIRO BAL")</f>
        <v>JUAN SUEIRO BAL</v>
      </c>
      <c r="K396" s="6">
        <f ca="1">IFERROR(__xludf.DUMMYFUNCTION("""COMPUTED_VALUE"""),2)</f>
        <v>2</v>
      </c>
      <c r="L396" s="139">
        <f ca="1">IFERROR(__xludf.DUMMYFUNCTION("""COMPUTED_VALUE"""),4000)</f>
        <v>4000</v>
      </c>
      <c r="M396" s="6" t="str">
        <f ca="1">IFERROR(__xludf.DUMMYFUNCTION("""COMPUTED_VALUE"""),"03 ORL")</f>
        <v>03 ORL</v>
      </c>
      <c r="N396" s="6" t="str">
        <f ca="1">IFERROR(__xludf.DUMMYFUNCTION("""COMPUTED_VALUE"""),"06 ORL")</f>
        <v>06 ORL</v>
      </c>
      <c r="O396" s="6" t="str">
        <f ca="1">IFERROR(__xludf.DUMMYFUNCTION("""COMPUTED_VALUE"""),"Dr, Javier García Domínguez")</f>
        <v>Dr, Javier García Domínguez</v>
      </c>
      <c r="P396" s="6" t="str">
        <f ca="1">IFERROR(__xludf.DUMMYFUNCTION("""COMPUTED_VALUE"""),"Maika Blázquez (Madrid)")</f>
        <v>Maika Blázquez (Madrid)</v>
      </c>
    </row>
    <row r="397" spans="2:16">
      <c r="B397" s="6">
        <f ca="1">IFERROR(__xludf.DUMMYFUNCTION("""COMPUTED_VALUE"""),2025)</f>
        <v>2025</v>
      </c>
      <c r="C397" s="6">
        <f ca="1">IFERROR(__xludf.DUMMYFUNCTION("""COMPUTED_VALUE"""),3)</f>
        <v>3</v>
      </c>
      <c r="D397" s="6" t="str">
        <f ca="1">IFERROR(__xludf.DUMMYFUNCTION("""COMPUTED_VALUE"""),"NO")</f>
        <v>NO</v>
      </c>
      <c r="E397" s="6" t="str">
        <f ca="1">IFERROR(__xludf.DUMMYFUNCTION("""COMPUTED_VALUE"""),"Madrid- Juan Bravo")</f>
        <v>Madrid- Juan Bravo</v>
      </c>
      <c r="F397" s="16">
        <f ca="1">IFERROR(__xludf.DUMMYFUNCTION("""COMPUTED_VALUE"""),45744)</f>
        <v>45744</v>
      </c>
      <c r="G397" s="16">
        <f ca="1">IFERROR(__xludf.DUMMYFUNCTION("""COMPUTED_VALUE"""),45681)</f>
        <v>45681</v>
      </c>
      <c r="H397" s="6" t="str">
        <f ca="1">IFERROR(__xludf.DUMMYFUNCTION("""COMPUTED_VALUE"""),"Juan Bravo")</f>
        <v>Juan Bravo</v>
      </c>
      <c r="I397" s="6" t="str">
        <f ca="1">IFERROR(__xludf.DUMMYFUNCTION("""COMPUTED_VALUE"""),"C202512916392534")</f>
        <v>C202512916392534</v>
      </c>
      <c r="J397" s="6" t="str">
        <f ca="1">IFERROR(__xludf.DUMMYFUNCTION("""COMPUTED_VALUE"""),"JOSE MATUD BONEL")</f>
        <v>JOSE MATUD BONEL</v>
      </c>
      <c r="K397" s="6">
        <f ca="1">IFERROR(__xludf.DUMMYFUNCTION("""COMPUTED_VALUE"""),1)</f>
        <v>1</v>
      </c>
      <c r="L397" s="139">
        <f ca="1">IFERROR(__xludf.DUMMYFUNCTION("""COMPUTED_VALUE"""),1983.64)</f>
        <v>1983.64</v>
      </c>
      <c r="M397" s="6" t="str">
        <f ca="1">IFERROR(__xludf.DUMMYFUNCTION("""COMPUTED_VALUE"""),"03 ORL")</f>
        <v>03 ORL</v>
      </c>
      <c r="N397" s="6" t="str">
        <f ca="1">IFERROR(__xludf.DUMMYFUNCTION("""COMPUTED_VALUE"""),"06 ORL")</f>
        <v>06 ORL</v>
      </c>
      <c r="O397" s="6" t="str">
        <f ca="1">IFERROR(__xludf.DUMMYFUNCTION("""COMPUTED_VALUE"""),"Dr, Javier García Domínguez")</f>
        <v>Dr, Javier García Domínguez</v>
      </c>
      <c r="P397" s="6" t="str">
        <f ca="1">IFERROR(__xludf.DUMMYFUNCTION("""COMPUTED_VALUE"""),"Maika Blázquez (Madrid)")</f>
        <v>Maika Blázquez (Madrid)</v>
      </c>
    </row>
    <row r="398" spans="2:16">
      <c r="B398" s="6">
        <f ca="1">IFERROR(__xludf.DUMMYFUNCTION("""COMPUTED_VALUE"""),2025)</f>
        <v>2025</v>
      </c>
      <c r="C398" s="6">
        <f ca="1">IFERROR(__xludf.DUMMYFUNCTION("""COMPUTED_VALUE"""),3)</f>
        <v>3</v>
      </c>
      <c r="D398" s="6" t="str">
        <f ca="1">IFERROR(__xludf.DUMMYFUNCTION("""COMPUTED_VALUE"""),"NO")</f>
        <v>NO</v>
      </c>
      <c r="E398" s="6" t="str">
        <f ca="1">IFERROR(__xludf.DUMMYFUNCTION("""COMPUTED_VALUE"""),"San Javier")</f>
        <v>San Javier</v>
      </c>
      <c r="F398" s="16">
        <f ca="1">IFERROR(__xludf.DUMMYFUNCTION("""COMPUTED_VALUE"""),45744)</f>
        <v>45744</v>
      </c>
      <c r="G398" s="16">
        <f ca="1">IFERROR(__xludf.DUMMYFUNCTION("""COMPUTED_VALUE"""),45706)</f>
        <v>45706</v>
      </c>
      <c r="H398" s="6" t="str">
        <f ca="1">IFERROR(__xludf.DUMMYFUNCTION("""COMPUTED_VALUE"""),"San Javier")</f>
        <v>San Javier</v>
      </c>
      <c r="I398" s="6" t="str">
        <f ca="1">IFERROR(__xludf.DUMMYFUNCTION("""COMPUTED_VALUE"""),"C202522710501423")</f>
        <v>C202522710501423</v>
      </c>
      <c r="J398" s="6" t="str">
        <f ca="1">IFERROR(__xludf.DUMMYFUNCTION("""COMPUTED_VALUE"""),"ANA MARIA GOMEZ CARRION")</f>
        <v>ANA MARIA GOMEZ CARRION</v>
      </c>
      <c r="K398" s="6">
        <f ca="1">IFERROR(__xludf.DUMMYFUNCTION("""COMPUTED_VALUE"""),1)</f>
        <v>1</v>
      </c>
      <c r="L398" s="139">
        <f ca="1">IFERROR(__xludf.DUMMYFUNCTION("""COMPUTED_VALUE"""),2226.36)</f>
        <v>2226.36</v>
      </c>
      <c r="M398" s="6" t="str">
        <f ca="1">IFERROR(__xludf.DUMMYFUNCTION("""COMPUTED_VALUE"""),"03 ORL")</f>
        <v>03 ORL</v>
      </c>
      <c r="N398" s="6" t="str">
        <f ca="1">IFERROR(__xludf.DUMMYFUNCTION("""COMPUTED_VALUE"""),"06 ORL")</f>
        <v>06 ORL</v>
      </c>
      <c r="O398" s="6" t="str">
        <f ca="1">IFERROR(__xludf.DUMMYFUNCTION("""COMPUTED_VALUE"""),"Dra, María Teresa Almela Rojo")</f>
        <v>Dra, María Teresa Almela Rojo</v>
      </c>
      <c r="P398" s="6" t="str">
        <f ca="1">IFERROR(__xludf.DUMMYFUNCTION("""COMPUTED_VALUE"""),"Iván Sánchez (Levante Y Albacete)")</f>
        <v>Iván Sánchez (Levante Y Albacete)</v>
      </c>
    </row>
    <row r="399" spans="2:16">
      <c r="B399" s="6">
        <f ca="1">IFERROR(__xludf.DUMMYFUNCTION("""COMPUTED_VALUE"""),2025)</f>
        <v>2025</v>
      </c>
      <c r="C399" s="6">
        <f ca="1">IFERROR(__xludf.DUMMYFUNCTION("""COMPUTED_VALUE"""),3)</f>
        <v>3</v>
      </c>
      <c r="D399" s="6" t="str">
        <f ca="1">IFERROR(__xludf.DUMMYFUNCTION("""COMPUTED_VALUE"""),"NO")</f>
        <v>NO</v>
      </c>
      <c r="E399" s="6" t="str">
        <f ca="1">IFERROR(__xludf.DUMMYFUNCTION("""COMPUTED_VALUE"""),"San Javier")</f>
        <v>San Javier</v>
      </c>
      <c r="F399" s="16">
        <f ca="1">IFERROR(__xludf.DUMMYFUNCTION("""COMPUTED_VALUE"""),45744)</f>
        <v>45744</v>
      </c>
      <c r="G399" s="16">
        <f ca="1">IFERROR(__xludf.DUMMYFUNCTION("""COMPUTED_VALUE"""),45720)</f>
        <v>45720</v>
      </c>
      <c r="H399" s="6" t="str">
        <f ca="1">IFERROR(__xludf.DUMMYFUNCTION("""COMPUTED_VALUE"""),"San Javier")</f>
        <v>San Javier</v>
      </c>
      <c r="I399" s="6" t="str">
        <f ca="1">IFERROR(__xludf.DUMMYFUNCTION("""COMPUTED_VALUE"""),"C202531011838233")</f>
        <v>C202531011838233</v>
      </c>
      <c r="J399" s="6" t="str">
        <f ca="1">IFERROR(__xludf.DUMMYFUNCTION("""COMPUTED_VALUE"""),"MARIA DE LOS ANGELES PEREZ GARRIDO")</f>
        <v>MARIA DE LOS ANGELES PEREZ GARRIDO</v>
      </c>
      <c r="K399" s="6">
        <f ca="1">IFERROR(__xludf.DUMMYFUNCTION("""COMPUTED_VALUE"""),2)</f>
        <v>2</v>
      </c>
      <c r="L399" s="139">
        <f ca="1">IFERROR(__xludf.DUMMYFUNCTION("""COMPUTED_VALUE"""),2888.18)</f>
        <v>2888.18</v>
      </c>
      <c r="M399" s="6" t="str">
        <f ca="1">IFERROR(__xludf.DUMMYFUNCTION("""COMPUTED_VALUE"""),"03 ORL")</f>
        <v>03 ORL</v>
      </c>
      <c r="N399" s="6" t="str">
        <f ca="1">IFERROR(__xludf.DUMMYFUNCTION("""COMPUTED_VALUE"""),"06 ORL")</f>
        <v>06 ORL</v>
      </c>
      <c r="O399" s="6" t="str">
        <f ca="1">IFERROR(__xludf.DUMMYFUNCTION("""COMPUTED_VALUE"""),"Dr, Andrés Barrios Recio")</f>
        <v>Dr, Andrés Barrios Recio</v>
      </c>
      <c r="P399" s="6" t="str">
        <f ca="1">IFERROR(__xludf.DUMMYFUNCTION("""COMPUTED_VALUE"""),"Iván Sánchez (Levante Y Albacete)")</f>
        <v>Iván Sánchez (Levante Y Albacete)</v>
      </c>
    </row>
    <row r="400" spans="2:16">
      <c r="B400" s="6">
        <f ca="1">IFERROR(__xludf.DUMMYFUNCTION("""COMPUTED_VALUE"""),2025)</f>
        <v>2025</v>
      </c>
      <c r="C400" s="6">
        <f ca="1">IFERROR(__xludf.DUMMYFUNCTION("""COMPUTED_VALUE"""),3)</f>
        <v>3</v>
      </c>
      <c r="D400" s="6" t="str">
        <f ca="1">IFERROR(__xludf.DUMMYFUNCTION("""COMPUTED_VALUE"""),"NO")</f>
        <v>NO</v>
      </c>
      <c r="E400" s="6" t="str">
        <f ca="1">IFERROR(__xludf.DUMMYFUNCTION("""COMPUTED_VALUE"""),"Ourense")</f>
        <v>Ourense</v>
      </c>
      <c r="F400" s="16">
        <f ca="1">IFERROR(__xludf.DUMMYFUNCTION("""COMPUTED_VALUE"""),45744)</f>
        <v>45744</v>
      </c>
      <c r="G400" s="16">
        <f ca="1">IFERROR(__xludf.DUMMYFUNCTION("""COMPUTED_VALUE"""),45721)</f>
        <v>45721</v>
      </c>
      <c r="H400" s="6" t="str">
        <f ca="1">IFERROR(__xludf.DUMMYFUNCTION("""COMPUTED_VALUE"""),"Orense")</f>
        <v>Orense</v>
      </c>
      <c r="I400" s="6" t="str">
        <f ca="1">IFERROR(__xludf.DUMMYFUNCTION("""COMPUTED_VALUE"""),"C2025312125925707")</f>
        <v>C2025312125925707</v>
      </c>
      <c r="J400" s="6" t="str">
        <f ca="1">IFERROR(__xludf.DUMMYFUNCTION("""COMPUTED_VALUE"""),"MILAGROS ESTEVEZ ALVAREZ")</f>
        <v>MILAGROS ESTEVEZ ALVAREZ</v>
      </c>
      <c r="K400" s="6">
        <f ca="1">IFERROR(__xludf.DUMMYFUNCTION("""COMPUTED_VALUE"""),2)</f>
        <v>2</v>
      </c>
      <c r="L400" s="139">
        <f ca="1">IFERROR(__xludf.DUMMYFUNCTION("""COMPUTED_VALUE"""),4000)</f>
        <v>4000</v>
      </c>
      <c r="M400" s="6" t="str">
        <f ca="1">IFERROR(__xludf.DUMMYFUNCTION("""COMPUTED_VALUE"""),"03 ORL")</f>
        <v>03 ORL</v>
      </c>
      <c r="N400" s="6" t="str">
        <f ca="1">IFERROR(__xludf.DUMMYFUNCTION("""COMPUTED_VALUE"""),"06 ORL")</f>
        <v>06 ORL</v>
      </c>
      <c r="O400" s="6" t="str">
        <f ca="1">IFERROR(__xludf.DUMMYFUNCTION("""COMPUTED_VALUE"""),"Dr, Jose Antonio Torre Eiriz")</f>
        <v>Dr, Jose Antonio Torre Eiriz</v>
      </c>
      <c r="P400" s="6" t="str">
        <f ca="1">IFERROR(__xludf.DUMMYFUNCTION("""COMPUTED_VALUE"""),"Roberto Pereira (Galicia)")</f>
        <v>Roberto Pereira (Galicia)</v>
      </c>
    </row>
    <row r="401" spans="2:16">
      <c r="B401" s="6">
        <f ca="1">IFERROR(__xludf.DUMMYFUNCTION("""COMPUTED_VALUE"""),2025)</f>
        <v>2025</v>
      </c>
      <c r="C401" s="6">
        <f ca="1">IFERROR(__xludf.DUMMYFUNCTION("""COMPUTED_VALUE"""),3)</f>
        <v>3</v>
      </c>
      <c r="D401" s="6" t="str">
        <f ca="1">IFERROR(__xludf.DUMMYFUNCTION("""COMPUTED_VALUE"""),"NO")</f>
        <v>NO</v>
      </c>
      <c r="E401" s="6" t="str">
        <f ca="1">IFERROR(__xludf.DUMMYFUNCTION("""COMPUTED_VALUE"""),"El Albir (Benidorm)")</f>
        <v>El Albir (Benidorm)</v>
      </c>
      <c r="F401" s="16">
        <f ca="1">IFERROR(__xludf.DUMMYFUNCTION("""COMPUTED_VALUE"""),45744)</f>
        <v>45744</v>
      </c>
      <c r="G401" s="16">
        <f ca="1">IFERROR(__xludf.DUMMYFUNCTION("""COMPUTED_VALUE"""),45709)</f>
        <v>45709</v>
      </c>
      <c r="H401" s="6" t="str">
        <f ca="1">IFERROR(__xludf.DUMMYFUNCTION("""COMPUTED_VALUE"""),"El Albir (Benidorm)")</f>
        <v>El Albir (Benidorm)</v>
      </c>
      <c r="I401" s="6" t="str">
        <f ca="1">IFERROR(__xludf.DUMMYFUNCTION("""COMPUTED_VALUE"""),"C20252261641078")</f>
        <v>C20252261641078</v>
      </c>
      <c r="J401" s="6" t="str">
        <f ca="1">IFERROR(__xludf.DUMMYFUNCTION("""COMPUTED_VALUE"""),"VICENTE ANTONIO LLORET LLINARES")</f>
        <v>VICENTE ANTONIO LLORET LLINARES</v>
      </c>
      <c r="K401" s="6">
        <f ca="1">IFERROR(__xludf.DUMMYFUNCTION("""COMPUTED_VALUE"""),2)</f>
        <v>2</v>
      </c>
      <c r="L401" s="139">
        <f ca="1">IFERROR(__xludf.DUMMYFUNCTION("""COMPUTED_VALUE"""),4400)</f>
        <v>4400</v>
      </c>
      <c r="M401" s="6" t="str">
        <f ca="1">IFERROR(__xludf.DUMMYFUNCTION("""COMPUTED_VALUE"""),"03 ORL")</f>
        <v>03 ORL</v>
      </c>
      <c r="N401" s="6" t="str">
        <f ca="1">IFERROR(__xludf.DUMMYFUNCTION("""COMPUTED_VALUE"""),"06 ORL")</f>
        <v>06 ORL</v>
      </c>
      <c r="O401" s="6" t="str">
        <f ca="1">IFERROR(__xludf.DUMMYFUNCTION("""COMPUTED_VALUE"""),"Dra, Isabel Polo Tomás")</f>
        <v>Dra, Isabel Polo Tomás</v>
      </c>
      <c r="P401" s="6" t="str">
        <f ca="1">IFERROR(__xludf.DUMMYFUNCTION("""COMPUTED_VALUE"""),"Ramon Ferrando(Valencia)")</f>
        <v>Ramon Ferrando(Valencia)</v>
      </c>
    </row>
    <row r="402" spans="2:16">
      <c r="B402" s="6">
        <f ca="1">IFERROR(__xludf.DUMMYFUNCTION("""COMPUTED_VALUE"""),2025)</f>
        <v>2025</v>
      </c>
      <c r="C402" s="6">
        <f ca="1">IFERROR(__xludf.DUMMYFUNCTION("""COMPUTED_VALUE"""),3)</f>
        <v>3</v>
      </c>
      <c r="D402" s="6" t="str">
        <f ca="1">IFERROR(__xludf.DUMMYFUNCTION("""COMPUTED_VALUE"""),"NO")</f>
        <v>NO</v>
      </c>
      <c r="E402" s="6" t="str">
        <f ca="1">IFERROR(__xludf.DUMMYFUNCTION("""COMPUTED_VALUE"""),"Fuenlabrada")</f>
        <v>Fuenlabrada</v>
      </c>
      <c r="F402" s="16">
        <f ca="1">IFERROR(__xludf.DUMMYFUNCTION("""COMPUTED_VALUE"""),45744)</f>
        <v>45744</v>
      </c>
      <c r="G402" s="16">
        <f ca="1">IFERROR(__xludf.DUMMYFUNCTION("""COMPUTED_VALUE"""),45722)</f>
        <v>45722</v>
      </c>
      <c r="H402" s="6" t="str">
        <f ca="1">IFERROR(__xludf.DUMMYFUNCTION("""COMPUTED_VALUE"""),"Fuenlabrada")</f>
        <v>Fuenlabrada</v>
      </c>
      <c r="I402" s="6" t="str">
        <f ca="1">IFERROR(__xludf.DUMMYFUNCTION("""COMPUTED_VALUE"""),"C2025310124538784")</f>
        <v>C2025310124538784</v>
      </c>
      <c r="J402" s="6" t="str">
        <f ca="1">IFERROR(__xludf.DUMMYFUNCTION("""COMPUTED_VALUE"""),"MARI PAZ FERNANDEZ ZAFRA")</f>
        <v>MARI PAZ FERNANDEZ ZAFRA</v>
      </c>
      <c r="K402" s="6">
        <f ca="1">IFERROR(__xludf.DUMMYFUNCTION("""COMPUTED_VALUE"""),2)</f>
        <v>2</v>
      </c>
      <c r="L402" s="139">
        <f ca="1">IFERROR(__xludf.DUMMYFUNCTION("""COMPUTED_VALUE"""),4000)</f>
        <v>4000</v>
      </c>
      <c r="M402" s="6" t="str">
        <f ca="1">IFERROR(__xludf.DUMMYFUNCTION("""COMPUTED_VALUE"""),"03 ORL")</f>
        <v>03 ORL</v>
      </c>
      <c r="N402" s="6" t="str">
        <f ca="1">IFERROR(__xludf.DUMMYFUNCTION("""COMPUTED_VALUE"""),"06 ORL")</f>
        <v>06 ORL</v>
      </c>
      <c r="O402" s="6" t="str">
        <f ca="1">IFERROR(__xludf.DUMMYFUNCTION("""COMPUTED_VALUE"""),"Dra, María Teresa Herrera Mera")</f>
        <v>Dra, María Teresa Herrera Mera</v>
      </c>
      <c r="P402" s="6" t="str">
        <f ca="1">IFERROR(__xludf.DUMMYFUNCTION("""COMPUTED_VALUE"""),"Maika Blázquez (Madrid)")</f>
        <v>Maika Blázquez (Madrid)</v>
      </c>
    </row>
    <row r="403" spans="2:16">
      <c r="B403" s="6">
        <f ca="1">IFERROR(__xludf.DUMMYFUNCTION("""COMPUTED_VALUE"""),2025)</f>
        <v>2025</v>
      </c>
      <c r="C403" s="6">
        <f ca="1">IFERROR(__xludf.DUMMYFUNCTION("""COMPUTED_VALUE"""),3)</f>
        <v>3</v>
      </c>
      <c r="D403" s="6" t="str">
        <f ca="1">IFERROR(__xludf.DUMMYFUNCTION("""COMPUTED_VALUE"""),"NO")</f>
        <v>NO</v>
      </c>
      <c r="E403" s="6" t="str">
        <f ca="1">IFERROR(__xludf.DUMMYFUNCTION("""COMPUTED_VALUE"""),"Valencia- Cádiz")</f>
        <v>Valencia- Cádiz</v>
      </c>
      <c r="F403" s="16">
        <f ca="1">IFERROR(__xludf.DUMMYFUNCTION("""COMPUTED_VALUE"""),45744)</f>
        <v>45744</v>
      </c>
      <c r="G403" s="16">
        <f ca="1">IFERROR(__xludf.DUMMYFUNCTION("""COMPUTED_VALUE"""),45699)</f>
        <v>45699</v>
      </c>
      <c r="H403" s="6" t="str">
        <f ca="1">IFERROR(__xludf.DUMMYFUNCTION("""COMPUTED_VALUE"""),"Valencia- Cádiz")</f>
        <v>Valencia- Cádiz</v>
      </c>
      <c r="I403" s="6" t="str">
        <f ca="1">IFERROR(__xludf.DUMMYFUNCTION("""COMPUTED_VALUE"""),"C202521816271541")</f>
        <v>C202521816271541</v>
      </c>
      <c r="J403" s="6" t="str">
        <f ca="1">IFERROR(__xludf.DUMMYFUNCTION("""COMPUTED_VALUE"""),"JESSICA GARCIA LOPEZ")</f>
        <v>JESSICA GARCIA LOPEZ</v>
      </c>
      <c r="K403" s="6">
        <f ca="1">IFERROR(__xludf.DUMMYFUNCTION("""COMPUTED_VALUE"""),2)</f>
        <v>2</v>
      </c>
      <c r="L403" s="139">
        <f ca="1">IFERROR(__xludf.DUMMYFUNCTION("""COMPUTED_VALUE"""),4400)</f>
        <v>4400</v>
      </c>
      <c r="M403" s="6" t="str">
        <f ca="1">IFERROR(__xludf.DUMMYFUNCTION("""COMPUTED_VALUE"""),"03 ORL")</f>
        <v>03 ORL</v>
      </c>
      <c r="N403" s="6" t="str">
        <f ca="1">IFERROR(__xludf.DUMMYFUNCTION("""COMPUTED_VALUE"""),"06 ORL")</f>
        <v>06 ORL</v>
      </c>
      <c r="O403" s="6" t="str">
        <f ca="1">IFERROR(__xludf.DUMMYFUNCTION("""COMPUTED_VALUE"""),"Dr, Jaime Marco Algarra")</f>
        <v>Dr, Jaime Marco Algarra</v>
      </c>
      <c r="P403" s="6" t="str">
        <f ca="1">IFERROR(__xludf.DUMMYFUNCTION("""COMPUTED_VALUE"""),"Ramon Ferrando(Valencia)")</f>
        <v>Ramon Ferrando(Valencia)</v>
      </c>
    </row>
    <row r="404" spans="2:16">
      <c r="B404" s="6">
        <f ca="1">IFERROR(__xludf.DUMMYFUNCTION("""COMPUTED_VALUE"""),2025)</f>
        <v>2025</v>
      </c>
      <c r="C404" s="6">
        <f ca="1">IFERROR(__xludf.DUMMYFUNCTION("""COMPUTED_VALUE"""),3)</f>
        <v>3</v>
      </c>
      <c r="D404" s="6" t="str">
        <f ca="1">IFERROR(__xludf.DUMMYFUNCTION("""COMPUTED_VALUE"""),"NO")</f>
        <v>NO</v>
      </c>
      <c r="E404" s="6" t="str">
        <f ca="1">IFERROR(__xludf.DUMMYFUNCTION("""COMPUTED_VALUE"""),"Talavera")</f>
        <v>Talavera</v>
      </c>
      <c r="F404" s="16">
        <f ca="1">IFERROR(__xludf.DUMMYFUNCTION("""COMPUTED_VALUE"""),45744)</f>
        <v>45744</v>
      </c>
      <c r="G404" s="16">
        <f ca="1">IFERROR(__xludf.DUMMYFUNCTION("""COMPUTED_VALUE"""),45715)</f>
        <v>45715</v>
      </c>
      <c r="H404" s="6" t="str">
        <f ca="1">IFERROR(__xludf.DUMMYFUNCTION("""COMPUTED_VALUE"""),"Talavera")</f>
        <v>Talavera</v>
      </c>
      <c r="I404" s="6" t="str">
        <f ca="1">IFERROR(__xludf.DUMMYFUNCTION("""COMPUTED_VALUE"""),"C2025227107125")</f>
        <v>C2025227107125</v>
      </c>
      <c r="J404" s="6" t="str">
        <f ca="1">IFERROR(__xludf.DUMMYFUNCTION("""COMPUTED_VALUE"""),"MARIA DEL PRADO  GARCIA MUÑOZ")</f>
        <v>MARIA DEL PRADO  GARCIA MUÑOZ</v>
      </c>
      <c r="K404" s="6">
        <f ca="1">IFERROR(__xludf.DUMMYFUNCTION("""COMPUTED_VALUE"""),1)</f>
        <v>1</v>
      </c>
      <c r="L404" s="139">
        <f ca="1">IFERROR(__xludf.DUMMYFUNCTION("""COMPUTED_VALUE"""),2226.36)</f>
        <v>2226.36</v>
      </c>
      <c r="M404" s="6" t="str">
        <f ca="1">IFERROR(__xludf.DUMMYFUNCTION("""COMPUTED_VALUE"""),"03 ORL")</f>
        <v>03 ORL</v>
      </c>
      <c r="N404" s="6" t="str">
        <f ca="1">IFERROR(__xludf.DUMMYFUNCTION("""COMPUTED_VALUE"""),"06 ORL")</f>
        <v>06 ORL</v>
      </c>
      <c r="O404" s="6" t="str">
        <f ca="1">IFERROR(__xludf.DUMMYFUNCTION("""COMPUTED_VALUE"""),"Dr, Carlos Félix Asensio Nieto")</f>
        <v>Dr, Carlos Félix Asensio Nieto</v>
      </c>
      <c r="P404" s="6" t="str">
        <f ca="1">IFERROR(__xludf.DUMMYFUNCTION("""COMPUTED_VALUE"""),"Lisandro Russian (Madrid, Cáceres, Toledo, Talavera Y Logroño)")</f>
        <v>Lisandro Russian (Madrid, Cáceres, Toledo, Talavera Y Logroño)</v>
      </c>
    </row>
    <row r="405" spans="2:16">
      <c r="B405" s="6">
        <f ca="1">IFERROR(__xludf.DUMMYFUNCTION("""COMPUTED_VALUE"""),2025)</f>
        <v>2025</v>
      </c>
      <c r="C405" s="6">
        <f ca="1">IFERROR(__xludf.DUMMYFUNCTION("""COMPUTED_VALUE"""),3)</f>
        <v>3</v>
      </c>
      <c r="D405" s="6" t="str">
        <f ca="1">IFERROR(__xludf.DUMMYFUNCTION("""COMPUTED_VALUE"""),"NO")</f>
        <v>NO</v>
      </c>
      <c r="E405" s="6" t="str">
        <f ca="1">IFERROR(__xludf.DUMMYFUNCTION("""COMPUTED_VALUE"""),"Barcelona- Córcega")</f>
        <v>Barcelona- Córcega</v>
      </c>
      <c r="F405" s="16">
        <f ca="1">IFERROR(__xludf.DUMMYFUNCTION("""COMPUTED_VALUE"""),45747)</f>
        <v>45747</v>
      </c>
      <c r="G405" s="16">
        <f ca="1">IFERROR(__xludf.DUMMYFUNCTION("""COMPUTED_VALUE"""),45713)</f>
        <v>45713</v>
      </c>
      <c r="H405" s="6" t="str">
        <f ca="1">IFERROR(__xludf.DUMMYFUNCTION("""COMPUTED_VALUE"""),"Córcega")</f>
        <v>Córcega</v>
      </c>
      <c r="I405" s="6" t="str">
        <f ca="1">IFERROR(__xludf.DUMMYFUNCTION("""COMPUTED_VALUE"""),"C2025339451710")</f>
        <v>C2025339451710</v>
      </c>
      <c r="J405" s="6" t="str">
        <f ca="1">IFERROR(__xludf.DUMMYFUNCTION("""COMPUTED_VALUE"""),"ROSA MARIA MONTERO CAMPOS")</f>
        <v>ROSA MARIA MONTERO CAMPOS</v>
      </c>
      <c r="K405" s="6">
        <f ca="1">IFERROR(__xludf.DUMMYFUNCTION("""COMPUTED_VALUE"""),1)</f>
        <v>1</v>
      </c>
      <c r="L405" s="139">
        <f ca="1">IFERROR(__xludf.DUMMYFUNCTION("""COMPUTED_VALUE"""),2400)</f>
        <v>2400</v>
      </c>
      <c r="M405" s="6" t="str">
        <f ca="1">IFERROR(__xludf.DUMMYFUNCTION("""COMPUTED_VALUE"""),"03 ORL")</f>
        <v>03 ORL</v>
      </c>
      <c r="N405" s="6" t="str">
        <f ca="1">IFERROR(__xludf.DUMMYFUNCTION("""COMPUTED_VALUE"""),"06 ORL")</f>
        <v>06 ORL</v>
      </c>
      <c r="O405" s="6" t="str">
        <f ca="1">IFERROR(__xludf.DUMMYFUNCTION("""COMPUTED_VALUE"""),"Dr, Jesus-Maria Grasa Pérez")</f>
        <v>Dr, Jesus-Maria Grasa Pérez</v>
      </c>
      <c r="P405" s="6" t="str">
        <f ca="1">IFERROR(__xludf.DUMMYFUNCTION("""COMPUTED_VALUE"""),"Mercè Cabrera (Cataluña Y Baleares)")</f>
        <v>Mercè Cabrera (Cataluña Y Baleares)</v>
      </c>
    </row>
    <row r="406" spans="2:16">
      <c r="B406" s="6">
        <f ca="1">IFERROR(__xludf.DUMMYFUNCTION("""COMPUTED_VALUE"""),2025)</f>
        <v>2025</v>
      </c>
      <c r="C406" s="6">
        <f ca="1">IFERROR(__xludf.DUMMYFUNCTION("""COMPUTED_VALUE"""),3)</f>
        <v>3</v>
      </c>
      <c r="D406" s="6" t="str">
        <f ca="1">IFERROR(__xludf.DUMMYFUNCTION("""COMPUTED_VALUE"""),"NO")</f>
        <v>NO</v>
      </c>
      <c r="E406" s="6" t="str">
        <f ca="1">IFERROR(__xludf.DUMMYFUNCTION("""COMPUTED_VALUE"""),"Ourense")</f>
        <v>Ourense</v>
      </c>
      <c r="F406" s="16">
        <f ca="1">IFERROR(__xludf.DUMMYFUNCTION("""COMPUTED_VALUE"""),45747)</f>
        <v>45747</v>
      </c>
      <c r="G406" s="16">
        <f ca="1">IFERROR(__xludf.DUMMYFUNCTION("""COMPUTED_VALUE"""),45721)</f>
        <v>45721</v>
      </c>
      <c r="H406" s="6" t="str">
        <f ca="1">IFERROR(__xludf.DUMMYFUNCTION("""COMPUTED_VALUE"""),"Orense")</f>
        <v>Orense</v>
      </c>
      <c r="I406" s="6" t="str">
        <f ca="1">IFERROR(__xludf.DUMMYFUNCTION("""COMPUTED_VALUE"""),"C202531116110349")</f>
        <v>C202531116110349</v>
      </c>
      <c r="J406" s="6" t="str">
        <f ca="1">IFERROR(__xludf.DUMMYFUNCTION("""COMPUTED_VALUE"""),"MANUEL SALGUEIROS ALVAREZ")</f>
        <v>MANUEL SALGUEIROS ALVAREZ</v>
      </c>
      <c r="K406" s="6">
        <f ca="1">IFERROR(__xludf.DUMMYFUNCTION("""COMPUTED_VALUE"""),1)</f>
        <v>1</v>
      </c>
      <c r="L406" s="139">
        <f ca="1">IFERROR(__xludf.DUMMYFUNCTION("""COMPUTED_VALUE"""),1732.73)</f>
        <v>1732.73</v>
      </c>
      <c r="M406" s="6" t="str">
        <f ca="1">IFERROR(__xludf.DUMMYFUNCTION("""COMPUTED_VALUE"""),"03 ORL")</f>
        <v>03 ORL</v>
      </c>
      <c r="N406" s="6" t="str">
        <f ca="1">IFERROR(__xludf.DUMMYFUNCTION("""COMPUTED_VALUE"""),"06 ORL")</f>
        <v>06 ORL</v>
      </c>
      <c r="O406" s="6" t="str">
        <f ca="1">IFERROR(__xludf.DUMMYFUNCTION("""COMPUTED_VALUE"""),"Dra, María Rey Marcos")</f>
        <v>Dra, María Rey Marcos</v>
      </c>
      <c r="P406" s="6" t="str">
        <f ca="1">IFERROR(__xludf.DUMMYFUNCTION("""COMPUTED_VALUE"""),"Roberto Pereira (Galicia)")</f>
        <v>Roberto Pereira (Galicia)</v>
      </c>
    </row>
    <row r="407" spans="2:16">
      <c r="B407" s="6">
        <f ca="1">IFERROR(__xludf.DUMMYFUNCTION("""COMPUTED_VALUE"""),2025)</f>
        <v>2025</v>
      </c>
      <c r="C407" s="6">
        <f ca="1">IFERROR(__xludf.DUMMYFUNCTION("""COMPUTED_VALUE"""),3)</f>
        <v>3</v>
      </c>
      <c r="D407" s="6" t="str">
        <f ca="1">IFERROR(__xludf.DUMMYFUNCTION("""COMPUTED_VALUE"""),"NO")</f>
        <v>NO</v>
      </c>
      <c r="E407" s="6" t="str">
        <f ca="1">IFERROR(__xludf.DUMMYFUNCTION("""COMPUTED_VALUE"""),"Toledo")</f>
        <v>Toledo</v>
      </c>
      <c r="F407" s="16">
        <f ca="1">IFERROR(__xludf.DUMMYFUNCTION("""COMPUTED_VALUE"""),45747)</f>
        <v>45747</v>
      </c>
      <c r="G407" s="16">
        <f ca="1">IFERROR(__xludf.DUMMYFUNCTION("""COMPUTED_VALUE"""),45705)</f>
        <v>45705</v>
      </c>
      <c r="H407" s="6" t="str">
        <f ca="1">IFERROR(__xludf.DUMMYFUNCTION("""COMPUTED_VALUE"""),"Toledo")</f>
        <v>Toledo</v>
      </c>
      <c r="I407" s="6" t="str">
        <f ca="1">IFERROR(__xludf.DUMMYFUNCTION("""COMPUTED_VALUE"""),"C2025217182721340")</f>
        <v>C2025217182721340</v>
      </c>
      <c r="J407" s="6" t="str">
        <f ca="1">IFERROR(__xludf.DUMMYFUNCTION("""COMPUTED_VALUE"""),"JESUS NOMBELA PEREZ")</f>
        <v>JESUS NOMBELA PEREZ</v>
      </c>
      <c r="K407" s="6">
        <f ca="1">IFERROR(__xludf.DUMMYFUNCTION("""COMPUTED_VALUE"""),2)</f>
        <v>2</v>
      </c>
      <c r="L407" s="139">
        <f ca="1">IFERROR(__xludf.DUMMYFUNCTION("""COMPUTED_VALUE"""),3710)</f>
        <v>3710</v>
      </c>
      <c r="M407" s="6" t="str">
        <f ca="1">IFERROR(__xludf.DUMMYFUNCTION("""COMPUTED_VALUE"""),"03 ORL")</f>
        <v>03 ORL</v>
      </c>
      <c r="N407" s="6" t="str">
        <f ca="1">IFERROR(__xludf.DUMMYFUNCTION("""COMPUTED_VALUE"""),"06 ORL")</f>
        <v>06 ORL</v>
      </c>
      <c r="O407" s="6" t="str">
        <f ca="1">IFERROR(__xludf.DUMMYFUNCTION("""COMPUTED_VALUE"""),"Dra, María Garrote Garrote")</f>
        <v>Dra, María Garrote Garrote</v>
      </c>
      <c r="P407" s="6" t="str">
        <f ca="1">IFERROR(__xludf.DUMMYFUNCTION("""COMPUTED_VALUE"""),"Maika Blázquez (Madrid)")</f>
        <v>Maika Blázquez (Madrid)</v>
      </c>
    </row>
    <row r="408" spans="2:16">
      <c r="B408" s="6">
        <f ca="1">IFERROR(__xludf.DUMMYFUNCTION("""COMPUTED_VALUE"""),2025)</f>
        <v>2025</v>
      </c>
      <c r="C408" s="6">
        <f ca="1">IFERROR(__xludf.DUMMYFUNCTION("""COMPUTED_VALUE"""),3)</f>
        <v>3</v>
      </c>
      <c r="D408" s="6" t="str">
        <f ca="1">IFERROR(__xludf.DUMMYFUNCTION("""COMPUTED_VALUE"""),"NO")</f>
        <v>NO</v>
      </c>
      <c r="E408" s="6" t="str">
        <f ca="1">IFERROR(__xludf.DUMMYFUNCTION("""COMPUTED_VALUE"""),"Toledo")</f>
        <v>Toledo</v>
      </c>
      <c r="F408" s="16">
        <f ca="1">IFERROR(__xludf.DUMMYFUNCTION("""COMPUTED_VALUE"""),45747)</f>
        <v>45747</v>
      </c>
      <c r="G408" s="16">
        <f ca="1">IFERROR(__xludf.DUMMYFUNCTION("""COMPUTED_VALUE"""),45687)</f>
        <v>45687</v>
      </c>
      <c r="H408" s="6" t="str">
        <f ca="1">IFERROR(__xludf.DUMMYFUNCTION("""COMPUTED_VALUE"""),"Toledo")</f>
        <v>Toledo</v>
      </c>
      <c r="I408" s="6" t="str">
        <f ca="1">IFERROR(__xludf.DUMMYFUNCTION("""COMPUTED_VALUE"""),"C202513012919180")</f>
        <v>C202513012919180</v>
      </c>
      <c r="J408" s="6" t="str">
        <f ca="1">IFERROR(__xludf.DUMMYFUNCTION("""COMPUTED_VALUE"""),"JULIAN PINEL MORON")</f>
        <v>JULIAN PINEL MORON</v>
      </c>
      <c r="K408" s="6">
        <f ca="1">IFERROR(__xludf.DUMMYFUNCTION("""COMPUTED_VALUE"""),1)</f>
        <v>1</v>
      </c>
      <c r="L408" s="139">
        <f ca="1">IFERROR(__xludf.DUMMYFUNCTION("""COMPUTED_VALUE"""),1732.73)</f>
        <v>1732.73</v>
      </c>
      <c r="M408" s="6" t="str">
        <f ca="1">IFERROR(__xludf.DUMMYFUNCTION("""COMPUTED_VALUE"""),"03 ORL")</f>
        <v>03 ORL</v>
      </c>
      <c r="N408" s="6" t="str">
        <f ca="1">IFERROR(__xludf.DUMMYFUNCTION("""COMPUTED_VALUE"""),"06 ORL")</f>
        <v>06 ORL</v>
      </c>
      <c r="O408" s="6" t="str">
        <f ca="1">IFERROR(__xludf.DUMMYFUNCTION("""COMPUTED_VALUE"""),"Dra, María Garrote Garrote")</f>
        <v>Dra, María Garrote Garrote</v>
      </c>
      <c r="P408" s="6" t="str">
        <f ca="1">IFERROR(__xludf.DUMMYFUNCTION("""COMPUTED_VALUE"""),"Maika Blázquez (Madrid)")</f>
        <v>Maika Blázquez (Madrid)</v>
      </c>
    </row>
    <row r="409" spans="2:16">
      <c r="B409" s="6">
        <f ca="1">IFERROR(__xludf.DUMMYFUNCTION("""COMPUTED_VALUE"""),2025)</f>
        <v>2025</v>
      </c>
      <c r="C409" s="6">
        <f ca="1">IFERROR(__xludf.DUMMYFUNCTION("""COMPUTED_VALUE"""),3)</f>
        <v>3</v>
      </c>
      <c r="D409" s="6" t="str">
        <f ca="1">IFERROR(__xludf.DUMMYFUNCTION("""COMPUTED_VALUE"""),"NO")</f>
        <v>NO</v>
      </c>
      <c r="E409" s="6" t="str">
        <f ca="1">IFERROR(__xludf.DUMMYFUNCTION("""COMPUTED_VALUE"""),"Madrid- Canillas")</f>
        <v>Madrid- Canillas</v>
      </c>
      <c r="F409" s="16">
        <f ca="1">IFERROR(__xludf.DUMMYFUNCTION("""COMPUTED_VALUE"""),45747)</f>
        <v>45747</v>
      </c>
      <c r="G409" s="16">
        <f ca="1">IFERROR(__xludf.DUMMYFUNCTION("""COMPUTED_VALUE"""),45730)</f>
        <v>45730</v>
      </c>
      <c r="H409" s="6" t="str">
        <f ca="1">IFERROR(__xludf.DUMMYFUNCTION("""COMPUTED_VALUE"""),"Canillas")</f>
        <v>Canillas</v>
      </c>
      <c r="I409" s="6" t="str">
        <f ca="1">IFERROR(__xludf.DUMMYFUNCTION("""COMPUTED_VALUE"""),"C202532110322517")</f>
        <v>C202532110322517</v>
      </c>
      <c r="J409" s="6" t="str">
        <f ca="1">IFERROR(__xludf.DUMMYFUNCTION("""COMPUTED_VALUE"""),"ROSARIO  SANCHEZ-CAMBRONERO GONZÁLEZ-CARRATO")</f>
        <v>ROSARIO  SANCHEZ-CAMBRONERO GONZÁLEZ-CARRATO</v>
      </c>
      <c r="K409" s="6">
        <f ca="1">IFERROR(__xludf.DUMMYFUNCTION("""COMPUTED_VALUE"""),2)</f>
        <v>2</v>
      </c>
      <c r="L409" s="139">
        <f ca="1">IFERROR(__xludf.DUMMYFUNCTION("""COMPUTED_VALUE"""),2579.09)</f>
        <v>2579.09</v>
      </c>
      <c r="M409" s="6" t="str">
        <f ca="1">IFERROR(__xludf.DUMMYFUNCTION("""COMPUTED_VALUE"""),"03 ORL")</f>
        <v>03 ORL</v>
      </c>
      <c r="N409" s="6" t="str">
        <f ca="1">IFERROR(__xludf.DUMMYFUNCTION("""COMPUTED_VALUE"""),"06 ORL")</f>
        <v>06 ORL</v>
      </c>
      <c r="O409" s="6" t="str">
        <f ca="1">IFERROR(__xludf.DUMMYFUNCTION("""COMPUTED_VALUE"""),"Dr, José Gustavo Barroso Braojos")</f>
        <v>Dr, José Gustavo Barroso Braojos</v>
      </c>
      <c r="P409" s="6" t="str">
        <f ca="1">IFERROR(__xludf.DUMMYFUNCTION("""COMPUTED_VALUE"""),"Maika Blázquez (Madrid)")</f>
        <v>Maika Blázquez (Madrid)</v>
      </c>
    </row>
    <row r="410" spans="2:16">
      <c r="B410" s="6">
        <f ca="1">IFERROR(__xludf.DUMMYFUNCTION("""COMPUTED_VALUE"""),2025)</f>
        <v>2025</v>
      </c>
      <c r="C410" s="6">
        <f ca="1">IFERROR(__xludf.DUMMYFUNCTION("""COMPUTED_VALUE"""),3)</f>
        <v>3</v>
      </c>
      <c r="D410" s="6" t="str">
        <f ca="1">IFERROR(__xludf.DUMMYFUNCTION("""COMPUTED_VALUE"""),"NO")</f>
        <v>NO</v>
      </c>
      <c r="E410" s="6" t="str">
        <f ca="1">IFERROR(__xludf.DUMMYFUNCTION("""COMPUTED_VALUE"""),"Sevilla- Montoto")</f>
        <v>Sevilla- Montoto</v>
      </c>
      <c r="F410" s="16">
        <f ca="1">IFERROR(__xludf.DUMMYFUNCTION("""COMPUTED_VALUE"""),45747)</f>
        <v>45747</v>
      </c>
      <c r="G410" s="16">
        <f ca="1">IFERROR(__xludf.DUMMYFUNCTION("""COMPUTED_VALUE"""),45719)</f>
        <v>45719</v>
      </c>
      <c r="H410" s="6" t="str">
        <f ca="1">IFERROR(__xludf.DUMMYFUNCTION("""COMPUTED_VALUE"""),"Montoto")</f>
        <v>Montoto</v>
      </c>
      <c r="I410" s="6" t="str">
        <f ca="1">IFERROR(__xludf.DUMMYFUNCTION("""COMPUTED_VALUE"""),"C202537113048231")</f>
        <v>C202537113048231</v>
      </c>
      <c r="J410" s="6" t="str">
        <f ca="1">IFERROR(__xludf.DUMMYFUNCTION("""COMPUTED_VALUE"""),"ISABEL MIRANDA CANO")</f>
        <v>ISABEL MIRANDA CANO</v>
      </c>
      <c r="K410" s="6">
        <f ca="1">IFERROR(__xludf.DUMMYFUNCTION("""COMPUTED_VALUE"""),2)</f>
        <v>2</v>
      </c>
      <c r="L410" s="139">
        <f ca="1">IFERROR(__xludf.DUMMYFUNCTION("""COMPUTED_VALUE"""),2888.18)</f>
        <v>2888.18</v>
      </c>
      <c r="M410" s="6" t="str">
        <f ca="1">IFERROR(__xludf.DUMMYFUNCTION("""COMPUTED_VALUE"""),"03 ORL")</f>
        <v>03 ORL</v>
      </c>
      <c r="N410" s="6" t="str">
        <f ca="1">IFERROR(__xludf.DUMMYFUNCTION("""COMPUTED_VALUE"""),"06 ORL")</f>
        <v>06 ORL</v>
      </c>
      <c r="O410" s="6" t="str">
        <f ca="1">IFERROR(__xludf.DUMMYFUNCTION("""COMPUTED_VALUE"""),"Dr, Juan Maza Solano")</f>
        <v>Dr, Juan Maza Solano</v>
      </c>
      <c r="P410" s="6" t="str">
        <f ca="1">IFERROR(__xludf.DUMMYFUNCTION("""COMPUTED_VALUE"""),"Luis Alberto Rodríguez (Andalucía Y Badajoz)")</f>
        <v>Luis Alberto Rodríguez (Andalucía Y Badajoz)</v>
      </c>
    </row>
    <row r="411" spans="2:16">
      <c r="B411" s="6">
        <f ca="1">IFERROR(__xludf.DUMMYFUNCTION("""COMPUTED_VALUE"""),2025)</f>
        <v>2025</v>
      </c>
      <c r="C411" s="6">
        <f ca="1">IFERROR(__xludf.DUMMYFUNCTION("""COMPUTED_VALUE"""),3)</f>
        <v>3</v>
      </c>
      <c r="D411" s="6" t="str">
        <f ca="1">IFERROR(__xludf.DUMMYFUNCTION("""COMPUTED_VALUE"""),"NO")</f>
        <v>NO</v>
      </c>
      <c r="E411" s="6" t="str">
        <f ca="1">IFERROR(__xludf.DUMMYFUNCTION("""COMPUTED_VALUE"""),"Madrid- Moratalaz")</f>
        <v>Madrid- Moratalaz</v>
      </c>
      <c r="F411" s="16">
        <f ca="1">IFERROR(__xludf.DUMMYFUNCTION("""COMPUTED_VALUE"""),45747)</f>
        <v>45747</v>
      </c>
      <c r="G411" s="16">
        <f ca="1">IFERROR(__xludf.DUMMYFUNCTION("""COMPUTED_VALUE"""),45726)</f>
        <v>45726</v>
      </c>
      <c r="H411" s="6" t="str">
        <f ca="1">IFERROR(__xludf.DUMMYFUNCTION("""COMPUTED_VALUE"""),"Moratalaz")</f>
        <v>Moratalaz</v>
      </c>
      <c r="I411" s="6" t="str">
        <f ca="1">IFERROR(__xludf.DUMMYFUNCTION("""COMPUTED_VALUE"""),"C2025317105344353")</f>
        <v>C2025317105344353</v>
      </c>
      <c r="J411" s="6" t="str">
        <f ca="1">IFERROR(__xludf.DUMMYFUNCTION("""COMPUTED_VALUE"""),"ENRIQUE VEGA PASCUAL")</f>
        <v>ENRIQUE VEGA PASCUAL</v>
      </c>
      <c r="K411" s="6">
        <f ca="1">IFERROR(__xludf.DUMMYFUNCTION("""COMPUTED_VALUE"""),2)</f>
        <v>2</v>
      </c>
      <c r="L411" s="139">
        <f ca="1">IFERROR(__xludf.DUMMYFUNCTION("""COMPUTED_VALUE"""),4000)</f>
        <v>4000</v>
      </c>
      <c r="M411" s="6" t="str">
        <f ca="1">IFERROR(__xludf.DUMMYFUNCTION("""COMPUTED_VALUE"""),"03 ORL")</f>
        <v>03 ORL</v>
      </c>
      <c r="N411" s="6" t="str">
        <f ca="1">IFERROR(__xludf.DUMMYFUNCTION("""COMPUTED_VALUE"""),"06 ORL")</f>
        <v>06 ORL</v>
      </c>
      <c r="O411" s="6" t="str">
        <f ca="1">IFERROR(__xludf.DUMMYFUNCTION("""COMPUTED_VALUE"""),"Dra, Laura Yeguas Ramírez")</f>
        <v>Dra, Laura Yeguas Ramírez</v>
      </c>
      <c r="P411" s="6" t="str">
        <f ca="1">IFERROR(__xludf.DUMMYFUNCTION("""COMPUTED_VALUE"""),"Maika Blázquez (Madrid)")</f>
        <v>Maika Blázquez (Madrid)</v>
      </c>
    </row>
    <row r="412" spans="2:16">
      <c r="B412" s="6">
        <f ca="1">IFERROR(__xludf.DUMMYFUNCTION("""COMPUTED_VALUE"""),2025)</f>
        <v>2025</v>
      </c>
      <c r="C412" s="6">
        <f ca="1">IFERROR(__xludf.DUMMYFUNCTION("""COMPUTED_VALUE"""),3)</f>
        <v>3</v>
      </c>
      <c r="D412" s="6" t="str">
        <f ca="1">IFERROR(__xludf.DUMMYFUNCTION("""COMPUTED_VALUE"""),"NO")</f>
        <v>NO</v>
      </c>
      <c r="E412" s="6" t="str">
        <f ca="1">IFERROR(__xludf.DUMMYFUNCTION("""COMPUTED_VALUE"""),"Albacete")</f>
        <v>Albacete</v>
      </c>
      <c r="F412" s="16">
        <f ca="1">IFERROR(__xludf.DUMMYFUNCTION("""COMPUTED_VALUE"""),45747)</f>
        <v>45747</v>
      </c>
      <c r="G412" s="16">
        <f ca="1">IFERROR(__xludf.DUMMYFUNCTION("""COMPUTED_VALUE"""),45728)</f>
        <v>45728</v>
      </c>
      <c r="H412" s="6" t="str">
        <f ca="1">IFERROR(__xludf.DUMMYFUNCTION("""COMPUTED_VALUE"""),"Albacete")</f>
        <v>Albacete</v>
      </c>
      <c r="I412" s="6" t="str">
        <f ca="1">IFERROR(__xludf.DUMMYFUNCTION("""COMPUTED_VALUE"""),"C202531216280481")</f>
        <v>C202531216280481</v>
      </c>
      <c r="J412" s="6" t="str">
        <f ca="1">IFERROR(__xludf.DUMMYFUNCTION("""COMPUTED_VALUE"""),"JOSÉ AGUSTIN CLEMENTE MARTÍNEZ")</f>
        <v>JOSÉ AGUSTIN CLEMENTE MARTÍNEZ</v>
      </c>
      <c r="K412" s="6">
        <f ca="1">IFERROR(__xludf.DUMMYFUNCTION("""COMPUTED_VALUE"""),1)</f>
        <v>1</v>
      </c>
      <c r="L412" s="139">
        <f ca="1">IFERROR(__xludf.DUMMYFUNCTION("""COMPUTED_VALUE"""),2400)</f>
        <v>2400</v>
      </c>
      <c r="M412" s="6" t="str">
        <f ca="1">IFERROR(__xludf.DUMMYFUNCTION("""COMPUTED_VALUE"""),"03 ORL")</f>
        <v>03 ORL</v>
      </c>
      <c r="N412" s="6" t="str">
        <f ca="1">IFERROR(__xludf.DUMMYFUNCTION("""COMPUTED_VALUE"""),"22 AUDIOMETRIA CLINICA")</f>
        <v>22 AUDIOMETRIA CLINICA</v>
      </c>
      <c r="O412" s="6" t="str">
        <f ca="1">IFERROR(__xludf.DUMMYFUNCTION("""COMPUTED_VALUE"""),"Dra, Alejandra Jara Maquilón")</f>
        <v>Dra, Alejandra Jara Maquilón</v>
      </c>
      <c r="P412" s="6" t="str">
        <f ca="1">IFERROR(__xludf.DUMMYFUNCTION("""COMPUTED_VALUE"""),"Iván Sánchez (Levante Y Albacete)")</f>
        <v>Iván Sánchez (Levante Y Albacete)</v>
      </c>
    </row>
    <row r="413" spans="2:16">
      <c r="B413" s="6">
        <f ca="1">IFERROR(__xludf.DUMMYFUNCTION("""COMPUTED_VALUE"""),2025)</f>
        <v>2025</v>
      </c>
      <c r="C413" s="6">
        <f ca="1">IFERROR(__xludf.DUMMYFUNCTION("""COMPUTED_VALUE"""),3)</f>
        <v>3</v>
      </c>
      <c r="D413" s="6" t="str">
        <f ca="1">IFERROR(__xludf.DUMMYFUNCTION("""COMPUTED_VALUE"""),"NO")</f>
        <v>NO</v>
      </c>
      <c r="E413" s="6" t="str">
        <f ca="1">IFERROR(__xludf.DUMMYFUNCTION("""COMPUTED_VALUE"""),"Alicante")</f>
        <v>Alicante</v>
      </c>
      <c r="F413" s="16">
        <f ca="1">IFERROR(__xludf.DUMMYFUNCTION("""COMPUTED_VALUE"""),45747)</f>
        <v>45747</v>
      </c>
      <c r="G413" s="16">
        <f ca="1">IFERROR(__xludf.DUMMYFUNCTION("""COMPUTED_VALUE"""),45687)</f>
        <v>45687</v>
      </c>
      <c r="H413" s="6" t="str">
        <f ca="1">IFERROR(__xludf.DUMMYFUNCTION("""COMPUTED_VALUE"""),"Alicante")</f>
        <v>Alicante</v>
      </c>
      <c r="I413" s="6" t="str">
        <f ca="1">IFERROR(__xludf.DUMMYFUNCTION("""COMPUTED_VALUE"""),"C202521910040865")</f>
        <v>C202521910040865</v>
      </c>
      <c r="J413" s="6" t="str">
        <f ca="1">IFERROR(__xludf.DUMMYFUNCTION("""COMPUTED_VALUE"""),"MARIA FUENTES ZAMORA")</f>
        <v>MARIA FUENTES ZAMORA</v>
      </c>
      <c r="K413" s="6">
        <f ca="1">IFERROR(__xludf.DUMMYFUNCTION("""COMPUTED_VALUE"""),2)</f>
        <v>2</v>
      </c>
      <c r="L413" s="139">
        <f ca="1">IFERROR(__xludf.DUMMYFUNCTION("""COMPUTED_VALUE"""),2743.77)</f>
        <v>2743.77</v>
      </c>
      <c r="M413" s="6" t="str">
        <f ca="1">IFERROR(__xludf.DUMMYFUNCTION("""COMPUTED_VALUE"""),"03 ORL")</f>
        <v>03 ORL</v>
      </c>
      <c r="N413" s="6" t="str">
        <f ca="1">IFERROR(__xludf.DUMMYFUNCTION("""COMPUTED_VALUE"""),"06 ORL")</f>
        <v>06 ORL</v>
      </c>
      <c r="O413" s="6" t="str">
        <f ca="1">IFERROR(__xludf.DUMMYFUNCTION("""COMPUTED_VALUE"""),"Dr, Guillermo Severá Ferrándiz")</f>
        <v>Dr, Guillermo Severá Ferrándiz</v>
      </c>
      <c r="P413" s="6" t="str">
        <f ca="1">IFERROR(__xludf.DUMMYFUNCTION("""COMPUTED_VALUE"""),"Iván Sánchez (Levante Y Albacete)")</f>
        <v>Iván Sánchez (Levante Y Albacete)</v>
      </c>
    </row>
    <row r="414" spans="2:16">
      <c r="B414" s="6">
        <f ca="1">IFERROR(__xludf.DUMMYFUNCTION("""COMPUTED_VALUE"""),2025)</f>
        <v>2025</v>
      </c>
      <c r="C414" s="6">
        <f ca="1">IFERROR(__xludf.DUMMYFUNCTION("""COMPUTED_VALUE"""),3)</f>
        <v>3</v>
      </c>
      <c r="D414" s="6" t="str">
        <f ca="1">IFERROR(__xludf.DUMMYFUNCTION("""COMPUTED_VALUE"""),"SI")</f>
        <v>SI</v>
      </c>
      <c r="E414" s="6" t="str">
        <f ca="1">IFERROR(__xludf.DUMMYFUNCTION("""COMPUTED_VALUE"""),"Madrid- Canillas")</f>
        <v>Madrid- Canillas</v>
      </c>
      <c r="F414" s="16">
        <f ca="1">IFERROR(__xludf.DUMMYFUNCTION("""COMPUTED_VALUE"""),45747)</f>
        <v>45747</v>
      </c>
      <c r="G414" s="16">
        <f ca="1">IFERROR(__xludf.DUMMYFUNCTION("""COMPUTED_VALUE"""),45043)</f>
        <v>45043</v>
      </c>
      <c r="H414" s="6" t="str">
        <f ca="1">IFERROR(__xludf.DUMMYFUNCTION("""COMPUTED_VALUE"""),"Canillas")</f>
        <v>Canillas</v>
      </c>
      <c r="I414" s="6" t="str">
        <f ca="1">IFERROR(__xludf.DUMMYFUNCTION("""COMPUTED_VALUE"""),"HOR-825")</f>
        <v>HOR-825</v>
      </c>
      <c r="J414" s="6" t="str">
        <f ca="1">IFERROR(__xludf.DUMMYFUNCTION("""COMPUTED_VALUE"""),"CATALINA CASTILLO RUBIO")</f>
        <v>CATALINA CASTILLO RUBIO</v>
      </c>
      <c r="K414" s="6">
        <f ca="1">IFERROR(__xludf.DUMMYFUNCTION("""COMPUTED_VALUE"""),1)</f>
        <v>1</v>
      </c>
      <c r="L414" s="139">
        <f ca="1">IFERROR(__xludf.DUMMYFUNCTION("""COMPUTED_VALUE"""),1732.73)</f>
        <v>1732.73</v>
      </c>
      <c r="M414" s="6" t="str">
        <f ca="1">IFERROR(__xludf.DUMMYFUNCTION("""COMPUTED_VALUE"""),"03 ORL")</f>
        <v>03 ORL</v>
      </c>
      <c r="N414" s="6" t="str">
        <f ca="1">IFERROR(__xludf.DUMMYFUNCTION("""COMPUTED_VALUE"""),"06 ORL")</f>
        <v>06 ORL</v>
      </c>
      <c r="O414" s="6" t="str">
        <f ca="1">IFERROR(__xludf.DUMMYFUNCTION("""COMPUTED_VALUE"""),"Dr, Raúl Del Castillo López")</f>
        <v>Dr, Raúl Del Castillo López</v>
      </c>
      <c r="P414" s="6" t="str">
        <f ca="1">IFERROR(__xludf.DUMMYFUNCTION("""COMPUTED_VALUE"""),"Maika Blázquez (Madrid)")</f>
        <v>Maika Blázquez (Madrid)</v>
      </c>
    </row>
    <row r="415" spans="2:16">
      <c r="B415" s="6">
        <f ca="1">IFERROR(__xludf.DUMMYFUNCTION("""COMPUTED_VALUE"""),2025)</f>
        <v>2025</v>
      </c>
      <c r="C415" s="6">
        <f ca="1">IFERROR(__xludf.DUMMYFUNCTION("""COMPUTED_VALUE"""),3)</f>
        <v>3</v>
      </c>
      <c r="D415" s="6" t="str">
        <f ca="1">IFERROR(__xludf.DUMMYFUNCTION("""COMPUTED_VALUE"""),"NO")</f>
        <v>NO</v>
      </c>
      <c r="E415" s="6" t="str">
        <f ca="1">IFERROR(__xludf.DUMMYFUNCTION("""COMPUTED_VALUE"""),"Santiago de Compostela")</f>
        <v>Santiago de Compostela</v>
      </c>
      <c r="F415" s="16">
        <f ca="1">IFERROR(__xludf.DUMMYFUNCTION("""COMPUTED_VALUE"""),45747)</f>
        <v>45747</v>
      </c>
      <c r="G415" s="16">
        <f ca="1">IFERROR(__xludf.DUMMYFUNCTION("""COMPUTED_VALUE"""),45707)</f>
        <v>45707</v>
      </c>
      <c r="H415" s="6" t="str">
        <f ca="1">IFERROR(__xludf.DUMMYFUNCTION("""COMPUTED_VALUE"""),"Santiago")</f>
        <v>Santiago</v>
      </c>
      <c r="I415" s="6" t="str">
        <f ca="1">IFERROR(__xludf.DUMMYFUNCTION("""COMPUTED_VALUE"""),"C202522892553921")</f>
        <v>C202522892553921</v>
      </c>
      <c r="J415" s="6" t="str">
        <f ca="1">IFERROR(__xludf.DUMMYFUNCTION("""COMPUTED_VALUE"""),"JUAN LUIS RAMIL MORENO")</f>
        <v>JUAN LUIS RAMIL MORENO</v>
      </c>
      <c r="K415" s="6">
        <f ca="1">IFERROR(__xludf.DUMMYFUNCTION("""COMPUTED_VALUE"""),2)</f>
        <v>2</v>
      </c>
      <c r="L415" s="139">
        <f ca="1">IFERROR(__xludf.DUMMYFUNCTION("""COMPUTED_VALUE"""),3681.82)</f>
        <v>3681.82</v>
      </c>
      <c r="M415" s="6" t="str">
        <f ca="1">IFERROR(__xludf.DUMMYFUNCTION("""COMPUTED_VALUE"""),"03 ORL")</f>
        <v>03 ORL</v>
      </c>
      <c r="N415" s="6" t="str">
        <f ca="1">IFERROR(__xludf.DUMMYFUNCTION("""COMPUTED_VALUE"""),"06 ORL")</f>
        <v>06 ORL</v>
      </c>
      <c r="O415" s="6" t="str">
        <f ca="1">IFERROR(__xludf.DUMMYFUNCTION("""COMPUTED_VALUE"""),"Dr, Joaquín Guerra Gómez")</f>
        <v>Dr, Joaquín Guerra Gómez</v>
      </c>
      <c r="P415" s="6" t="str">
        <f ca="1">IFERROR(__xludf.DUMMYFUNCTION("""COMPUTED_VALUE"""),"Roberto Pereira (Galicia)")</f>
        <v>Roberto Pereira (Galicia)</v>
      </c>
    </row>
    <row r="416" spans="2:16">
      <c r="B416" s="6">
        <f ca="1">IFERROR(__xludf.DUMMYFUNCTION("""COMPUTED_VALUE"""),2025)</f>
        <v>2025</v>
      </c>
      <c r="C416" s="6">
        <f ca="1">IFERROR(__xludf.DUMMYFUNCTION("""COMPUTED_VALUE"""),3)</f>
        <v>3</v>
      </c>
      <c r="D416" s="6" t="str">
        <f ca="1">IFERROR(__xludf.DUMMYFUNCTION("""COMPUTED_VALUE"""),"NO")</f>
        <v>NO</v>
      </c>
      <c r="E416" s="6" t="str">
        <f ca="1">IFERROR(__xludf.DUMMYFUNCTION("""COMPUTED_VALUE"""),"Madrid- Canillas")</f>
        <v>Madrid- Canillas</v>
      </c>
      <c r="F416" s="16">
        <f ca="1">IFERROR(__xludf.DUMMYFUNCTION("""COMPUTED_VALUE"""),45747)</f>
        <v>45747</v>
      </c>
      <c r="G416" s="16">
        <f ca="1">IFERROR(__xludf.DUMMYFUNCTION("""COMPUTED_VALUE"""),45723)</f>
        <v>45723</v>
      </c>
      <c r="H416" s="6" t="str">
        <f ca="1">IFERROR(__xludf.DUMMYFUNCTION("""COMPUTED_VALUE"""),"Canillas")</f>
        <v>Canillas</v>
      </c>
      <c r="I416" s="6" t="str">
        <f ca="1">IFERROR(__xludf.DUMMYFUNCTION("""COMPUTED_VALUE"""),"C202531416348319")</f>
        <v>C202531416348319</v>
      </c>
      <c r="J416" s="6" t="str">
        <f ca="1">IFERROR(__xludf.DUMMYFUNCTION("""COMPUTED_VALUE"""),"MARGARITA MARTIN FERNANDEZ")</f>
        <v>MARGARITA MARTIN FERNANDEZ</v>
      </c>
      <c r="K416" s="6">
        <f ca="1">IFERROR(__xludf.DUMMYFUNCTION("""COMPUTED_VALUE"""),2)</f>
        <v>2</v>
      </c>
      <c r="L416" s="139">
        <f ca="1">IFERROR(__xludf.DUMMYFUNCTION("""COMPUTED_VALUE"""),4000)</f>
        <v>4000</v>
      </c>
      <c r="M416" s="6" t="str">
        <f ca="1">IFERROR(__xludf.DUMMYFUNCTION("""COMPUTED_VALUE"""),"03 ORL")</f>
        <v>03 ORL</v>
      </c>
      <c r="N416" s="6" t="str">
        <f ca="1">IFERROR(__xludf.DUMMYFUNCTION("""COMPUTED_VALUE"""),"06 ORL")</f>
        <v>06 ORL</v>
      </c>
      <c r="O416" s="6" t="str">
        <f ca="1">IFERROR(__xludf.DUMMYFUNCTION("""COMPUTED_VALUE"""),"Dr, José Gustavo Barroso Braojos")</f>
        <v>Dr, José Gustavo Barroso Braojos</v>
      </c>
      <c r="P416" s="6" t="str">
        <f ca="1">IFERROR(__xludf.DUMMYFUNCTION("""COMPUTED_VALUE"""),"Maika Blázquez (Madrid)")</f>
        <v>Maika Blázquez (Madrid)</v>
      </c>
    </row>
    <row r="417" spans="2:16">
      <c r="B417" s="6">
        <f ca="1">IFERROR(__xludf.DUMMYFUNCTION("""COMPUTED_VALUE"""),2025)</f>
        <v>2025</v>
      </c>
      <c r="C417" s="6">
        <f ca="1">IFERROR(__xludf.DUMMYFUNCTION("""COMPUTED_VALUE"""),3)</f>
        <v>3</v>
      </c>
      <c r="D417" s="6" t="str">
        <f ca="1">IFERROR(__xludf.DUMMYFUNCTION("""COMPUTED_VALUE"""),"NO")</f>
        <v>NO</v>
      </c>
      <c r="E417" s="6" t="str">
        <f ca="1">IFERROR(__xludf.DUMMYFUNCTION("""COMPUTED_VALUE"""),"Madrid- Canillas")</f>
        <v>Madrid- Canillas</v>
      </c>
      <c r="F417" s="16">
        <f ca="1">IFERROR(__xludf.DUMMYFUNCTION("""COMPUTED_VALUE"""),45747)</f>
        <v>45747</v>
      </c>
      <c r="G417" s="16">
        <f ca="1">IFERROR(__xludf.DUMMYFUNCTION("""COMPUTED_VALUE"""),45714)</f>
        <v>45714</v>
      </c>
      <c r="H417" s="6" t="str">
        <f ca="1">IFERROR(__xludf.DUMMYFUNCTION("""COMPUTED_VALUE"""),"Canillas")</f>
        <v>Canillas</v>
      </c>
      <c r="I417" s="6" t="str">
        <f ca="1">IFERROR(__xludf.DUMMYFUNCTION("""COMPUTED_VALUE"""),"C20253111124487")</f>
        <v>C20253111124487</v>
      </c>
      <c r="J417" s="6" t="str">
        <f ca="1">IFERROR(__xludf.DUMMYFUNCTION("""COMPUTED_VALUE"""),"JUAN CARLOS MARTÍN BARRENO")</f>
        <v>JUAN CARLOS MARTÍN BARRENO</v>
      </c>
      <c r="K417" s="6">
        <f ca="1">IFERROR(__xludf.DUMMYFUNCTION("""COMPUTED_VALUE"""),2)</f>
        <v>2</v>
      </c>
      <c r="L417" s="139">
        <f ca="1">IFERROR(__xludf.DUMMYFUNCTION("""COMPUTED_VALUE"""),4000)</f>
        <v>4000</v>
      </c>
      <c r="M417" s="6" t="str">
        <f ca="1">IFERROR(__xludf.DUMMYFUNCTION("""COMPUTED_VALUE"""),"03 ORL")</f>
        <v>03 ORL</v>
      </c>
      <c r="N417" s="6" t="str">
        <f ca="1">IFERROR(__xludf.DUMMYFUNCTION("""COMPUTED_VALUE"""),"06 ORL")</f>
        <v>06 ORL</v>
      </c>
      <c r="O417" s="6" t="str">
        <f ca="1">IFERROR(__xludf.DUMMYFUNCTION("""COMPUTED_VALUE"""),"Dr, José Gustavo Barroso Braojos")</f>
        <v>Dr, José Gustavo Barroso Braojos</v>
      </c>
      <c r="P417" s="6" t="str">
        <f ca="1">IFERROR(__xludf.DUMMYFUNCTION("""COMPUTED_VALUE"""),"Maika Blázquez (Madrid)")</f>
        <v>Maika Blázquez (Madrid)</v>
      </c>
    </row>
    <row r="418" spans="2:16">
      <c r="B418" s="6">
        <f ca="1">IFERROR(__xludf.DUMMYFUNCTION("""COMPUTED_VALUE"""),2025)</f>
        <v>2025</v>
      </c>
      <c r="C418" s="6">
        <f ca="1">IFERROR(__xludf.DUMMYFUNCTION("""COMPUTED_VALUE"""),3)</f>
        <v>3</v>
      </c>
      <c r="D418" s="6" t="str">
        <f ca="1">IFERROR(__xludf.DUMMYFUNCTION("""COMPUTED_VALUE"""),"NO")</f>
        <v>NO</v>
      </c>
      <c r="E418" s="6" t="str">
        <f ca="1">IFERROR(__xludf.DUMMYFUNCTION("""COMPUTED_VALUE"""),"Alcorcón")</f>
        <v>Alcorcón</v>
      </c>
      <c r="F418" s="16">
        <f ca="1">IFERROR(__xludf.DUMMYFUNCTION("""COMPUTED_VALUE"""),45747)</f>
        <v>45747</v>
      </c>
      <c r="G418" s="16">
        <f ca="1">IFERROR(__xludf.DUMMYFUNCTION("""COMPUTED_VALUE"""),45730)</f>
        <v>45730</v>
      </c>
      <c r="H418" s="6" t="str">
        <f ca="1">IFERROR(__xludf.DUMMYFUNCTION("""COMPUTED_VALUE"""),"Alcorcón")</f>
        <v>Alcorcón</v>
      </c>
      <c r="I418" s="6" t="str">
        <f ca="1">IFERROR(__xludf.DUMMYFUNCTION("""COMPUTED_VALUE"""),"C2025319111757105")</f>
        <v>C2025319111757105</v>
      </c>
      <c r="J418" s="6" t="str">
        <f ca="1">IFERROR(__xludf.DUMMYFUNCTION("""COMPUTED_VALUE"""),"MARIA LUISA RAMIREZ GARCÍA")</f>
        <v>MARIA LUISA RAMIREZ GARCÍA</v>
      </c>
      <c r="K418" s="6">
        <f ca="1">IFERROR(__xludf.DUMMYFUNCTION("""COMPUTED_VALUE"""),2)</f>
        <v>2</v>
      </c>
      <c r="L418" s="139">
        <f ca="1">IFERROR(__xludf.DUMMYFUNCTION("""COMPUTED_VALUE"""),2888.18)</f>
        <v>2888.18</v>
      </c>
      <c r="M418" s="6" t="str">
        <f ca="1">IFERROR(__xludf.DUMMYFUNCTION("""COMPUTED_VALUE"""),"03 ORL")</f>
        <v>03 ORL</v>
      </c>
      <c r="N418" s="6" t="str">
        <f ca="1">IFERROR(__xludf.DUMMYFUNCTION("""COMPUTED_VALUE"""),"06 ORL")</f>
        <v>06 ORL</v>
      </c>
      <c r="O418" s="6" t="str">
        <f ca="1">IFERROR(__xludf.DUMMYFUNCTION("""COMPUTED_VALUE"""),"Dr, Raimundo Gómez-Blasi")</f>
        <v>Dr, Raimundo Gómez-Blasi</v>
      </c>
      <c r="P418" s="6" t="str">
        <f ca="1">IFERROR(__xludf.DUMMYFUNCTION("""COMPUTED_VALUE"""),"Maika Blázquez (Madrid)")</f>
        <v>Maika Blázquez (Madrid)</v>
      </c>
    </row>
    <row r="419" spans="2:16">
      <c r="B419" s="6">
        <f ca="1">IFERROR(__xludf.DUMMYFUNCTION("""COMPUTED_VALUE"""),2025)</f>
        <v>2025</v>
      </c>
      <c r="C419" s="6">
        <f ca="1">IFERROR(__xludf.DUMMYFUNCTION("""COMPUTED_VALUE"""),3)</f>
        <v>3</v>
      </c>
      <c r="D419" s="6" t="str">
        <f ca="1">IFERROR(__xludf.DUMMYFUNCTION("""COMPUTED_VALUE"""),"NO")</f>
        <v>NO</v>
      </c>
      <c r="E419" s="6" t="str">
        <f ca="1">IFERROR(__xludf.DUMMYFUNCTION("""COMPUTED_VALUE"""),"Orihuela")</f>
        <v>Orihuela</v>
      </c>
      <c r="F419" s="16">
        <f ca="1">IFERROR(__xludf.DUMMYFUNCTION("""COMPUTED_VALUE"""),45747)</f>
        <v>45747</v>
      </c>
      <c r="G419" s="16">
        <f ca="1">IFERROR(__xludf.DUMMYFUNCTION("""COMPUTED_VALUE"""),45734)</f>
        <v>45734</v>
      </c>
      <c r="H419" s="6" t="str">
        <f ca="1">IFERROR(__xludf.DUMMYFUNCTION("""COMPUTED_VALUE"""),"La Zenia")</f>
        <v>La Zenia</v>
      </c>
      <c r="I419" s="6" t="str">
        <f ca="1">IFERROR(__xludf.DUMMYFUNCTION("""COMPUTED_VALUE"""),"C2025320161148605")</f>
        <v>C2025320161148605</v>
      </c>
      <c r="J419" s="6" t="str">
        <f ca="1">IFERROR(__xludf.DUMMYFUNCTION("""COMPUTED_VALUE"""),"LILIANA ADRIANA LA ROSA CASTRO")</f>
        <v>LILIANA ADRIANA LA ROSA CASTRO</v>
      </c>
      <c r="K419" s="6">
        <f ca="1">IFERROR(__xludf.DUMMYFUNCTION("""COMPUTED_VALUE"""),2)</f>
        <v>2</v>
      </c>
      <c r="L419" s="139">
        <f ca="1">IFERROR(__xludf.DUMMYFUNCTION("""COMPUTED_VALUE"""),3710)</f>
        <v>3710</v>
      </c>
      <c r="M419" s="6" t="str">
        <f ca="1">IFERROR(__xludf.DUMMYFUNCTION("""COMPUTED_VALUE"""),"03 ORL")</f>
        <v>03 ORL</v>
      </c>
      <c r="N419" s="6" t="str">
        <f ca="1">IFERROR(__xludf.DUMMYFUNCTION("""COMPUTED_VALUE"""),"06 ORL")</f>
        <v>06 ORL</v>
      </c>
      <c r="O419" s="6" t="str">
        <f ca="1">IFERROR(__xludf.DUMMYFUNCTION("""COMPUTED_VALUE"""),"Dr, Juan Javier Álvarez López")</f>
        <v>Dr, Juan Javier Álvarez López</v>
      </c>
      <c r="P419" s="6" t="str">
        <f ca="1">IFERROR(__xludf.DUMMYFUNCTION("""COMPUTED_VALUE"""),"Iván Sánchez (Levante Y Albacete)")</f>
        <v>Iván Sánchez (Levante Y Albacete)</v>
      </c>
    </row>
    <row r="420" spans="2:16">
      <c r="B420" s="6">
        <f ca="1">IFERROR(__xludf.DUMMYFUNCTION("""COMPUTED_VALUE"""),2025)</f>
        <v>2025</v>
      </c>
      <c r="C420" s="6">
        <f ca="1">IFERROR(__xludf.DUMMYFUNCTION("""COMPUTED_VALUE"""),3)</f>
        <v>3</v>
      </c>
      <c r="D420" s="6" t="str">
        <f ca="1">IFERROR(__xludf.DUMMYFUNCTION("""COMPUTED_VALUE"""),"NO")</f>
        <v>NO</v>
      </c>
      <c r="E420" s="6" t="str">
        <f ca="1">IFERROR(__xludf.DUMMYFUNCTION("""COMPUTED_VALUE"""),"Cáceres")</f>
        <v>Cáceres</v>
      </c>
      <c r="F420" s="16">
        <f ca="1">IFERROR(__xludf.DUMMYFUNCTION("""COMPUTED_VALUE"""),45719)</f>
        <v>45719</v>
      </c>
      <c r="G420" s="16">
        <f ca="1">IFERROR(__xludf.DUMMYFUNCTION("""COMPUTED_VALUE"""),45699)</f>
        <v>45699</v>
      </c>
      <c r="H420" s="6" t="str">
        <f ca="1">IFERROR(__xludf.DUMMYFUNCTION("""COMPUTED_VALUE"""),"Cáceres")</f>
        <v>Cáceres</v>
      </c>
      <c r="I420" s="6" t="str">
        <f ca="1">IFERROR(__xludf.DUMMYFUNCTION("""COMPUTED_VALUE"""),"CAC-233")</f>
        <v>CAC-233</v>
      </c>
      <c r="J420" s="6" t="str">
        <f ca="1">IFERROR(__xludf.DUMMYFUNCTION("""COMPUTED_VALUE"""),"ISABEL BLAS BERROCAL")</f>
        <v>ISABEL BLAS BERROCAL</v>
      </c>
      <c r="K420" s="6">
        <f ca="1">IFERROR(__xludf.DUMMYFUNCTION("""COMPUTED_VALUE"""),1)</f>
        <v>1</v>
      </c>
      <c r="L420" s="139">
        <f ca="1">IFERROR(__xludf.DUMMYFUNCTION("""COMPUTED_VALUE"""),2372.73)</f>
        <v>2372.73</v>
      </c>
      <c r="M420" s="6" t="str">
        <f ca="1">IFERROR(__xludf.DUMMYFUNCTION("""COMPUTED_VALUE"""),"03 ORL")</f>
        <v>03 ORL</v>
      </c>
      <c r="N420" s="6" t="str">
        <f ca="1">IFERROR(__xludf.DUMMYFUNCTION("""COMPUTED_VALUE"""),"06 ORL")</f>
        <v>06 ORL</v>
      </c>
      <c r="O420" s="6" t="str">
        <f ca="1">IFERROR(__xludf.DUMMYFUNCTION("""COMPUTED_VALUE"""),"Dra, Esther De La O Corrochano")</f>
        <v>Dra, Esther De La O Corrochano</v>
      </c>
      <c r="P420" s="6" t="str">
        <f ca="1">IFERROR(__xludf.DUMMYFUNCTION("""COMPUTED_VALUE"""),"Lisandro Russian (Madrid, Cáceres, Toledo, Talavera Y Logroño)")</f>
        <v>Lisandro Russian (Madrid, Cáceres, Toledo, Talavera Y Logroño)</v>
      </c>
    </row>
    <row r="421" spans="2:16">
      <c r="B421" s="6">
        <f ca="1">IFERROR(__xludf.DUMMYFUNCTION("""COMPUTED_VALUE"""),2025)</f>
        <v>2025</v>
      </c>
      <c r="C421" s="6">
        <f ca="1">IFERROR(__xludf.DUMMYFUNCTION("""COMPUTED_VALUE"""),3)</f>
        <v>3</v>
      </c>
      <c r="D421" s="6" t="str">
        <f ca="1">IFERROR(__xludf.DUMMYFUNCTION("""COMPUTED_VALUE"""),"NO")</f>
        <v>NO</v>
      </c>
      <c r="E421" s="6" t="str">
        <f ca="1">IFERROR(__xludf.DUMMYFUNCTION("""COMPUTED_VALUE"""),"Salamanca")</f>
        <v>Salamanca</v>
      </c>
      <c r="F421" s="16">
        <f ca="1">IFERROR(__xludf.DUMMYFUNCTION("""COMPUTED_VALUE"""),45719)</f>
        <v>45719</v>
      </c>
      <c r="G421" s="16">
        <f ca="1">IFERROR(__xludf.DUMMYFUNCTION("""COMPUTED_VALUE"""),45667)</f>
        <v>45667</v>
      </c>
      <c r="H421" s="6" t="str">
        <f ca="1">IFERROR(__xludf.DUMMYFUNCTION("""COMPUTED_VALUE"""),"Salamanca")</f>
        <v>Salamanca</v>
      </c>
      <c r="I421" s="6" t="str">
        <f ca="1">IFERROR(__xludf.DUMMYFUNCTION("""COMPUTED_VALUE"""),"SLM-436")</f>
        <v>SLM-436</v>
      </c>
      <c r="J421" s="6" t="str">
        <f ca="1">IFERROR(__xludf.DUMMYFUNCTION("""COMPUTED_VALUE"""),"AMABLE FRAILE MARCOS")</f>
        <v>AMABLE FRAILE MARCOS</v>
      </c>
      <c r="K421" s="6">
        <f ca="1">IFERROR(__xludf.DUMMYFUNCTION("""COMPUTED_VALUE"""),2)</f>
        <v>2</v>
      </c>
      <c r="L421" s="139">
        <f ca="1">IFERROR(__xludf.DUMMYFUNCTION("""COMPUTED_VALUE"""),3604.55)</f>
        <v>3604.55</v>
      </c>
      <c r="M421" s="6" t="str">
        <f ca="1">IFERROR(__xludf.DUMMYFUNCTION("""COMPUTED_VALUE"""),"03 ORL")</f>
        <v>03 ORL</v>
      </c>
      <c r="N421" s="6" t="str">
        <f ca="1">IFERROR(__xludf.DUMMYFUNCTION("""COMPUTED_VALUE"""),"06 ORL")</f>
        <v>06 ORL</v>
      </c>
      <c r="O421" s="6" t="str">
        <f ca="1">IFERROR(__xludf.DUMMYFUNCTION("""COMPUTED_VALUE"""),"Dr, María Jesús Cornejo Domínguez")</f>
        <v>Dr, María Jesús Cornejo Domínguez</v>
      </c>
      <c r="P421" s="6" t="str">
        <f ca="1">IFERROR(__xludf.DUMMYFUNCTION("""COMPUTED_VALUE"""),"Patricia Solache (Castilla Y León)")</f>
        <v>Patricia Solache (Castilla Y León)</v>
      </c>
    </row>
    <row r="422" spans="2:16">
      <c r="B422" s="6">
        <f ca="1">IFERROR(__xludf.DUMMYFUNCTION("""COMPUTED_VALUE"""),2025)</f>
        <v>2025</v>
      </c>
      <c r="C422" s="6">
        <f ca="1">IFERROR(__xludf.DUMMYFUNCTION("""COMPUTED_VALUE"""),3)</f>
        <v>3</v>
      </c>
      <c r="D422" s="6" t="str">
        <f ca="1">IFERROR(__xludf.DUMMYFUNCTION("""COMPUTED_VALUE"""),"NO")</f>
        <v>NO</v>
      </c>
      <c r="E422" s="6" t="str">
        <f ca="1">IFERROR(__xludf.DUMMYFUNCTION("""COMPUTED_VALUE"""),"Vigo")</f>
        <v>Vigo</v>
      </c>
      <c r="F422" s="16">
        <f ca="1">IFERROR(__xludf.DUMMYFUNCTION("""COMPUTED_VALUE"""),45721)</f>
        <v>45721</v>
      </c>
      <c r="G422" s="16">
        <f ca="1">IFERROR(__xludf.DUMMYFUNCTION("""COMPUTED_VALUE"""),45643)</f>
        <v>45643</v>
      </c>
      <c r="H422" s="6" t="str">
        <f ca="1">IFERROR(__xludf.DUMMYFUNCTION("""COMPUTED_VALUE"""),"Vigo")</f>
        <v>Vigo</v>
      </c>
      <c r="I422" s="6" t="str">
        <f ca="1">IFERROR(__xludf.DUMMYFUNCTION("""COMPUTED_VALUE"""),"VIG-521")</f>
        <v>VIG-521</v>
      </c>
      <c r="J422" s="6" t="str">
        <f ca="1">IFERROR(__xludf.DUMMYFUNCTION("""COMPUTED_VALUE"""),"CELIA PARADA BARREIRO")</f>
        <v>CELIA PARADA BARREIRO</v>
      </c>
      <c r="K422" s="6">
        <f ca="1">IFERROR(__xludf.DUMMYFUNCTION("""COMPUTED_VALUE"""),2)</f>
        <v>2</v>
      </c>
      <c r="L422" s="139">
        <f ca="1">IFERROR(__xludf.DUMMYFUNCTION("""COMPUTED_VALUE"""),1727.27)</f>
        <v>1727.27</v>
      </c>
      <c r="M422" s="6" t="str">
        <f ca="1">IFERROR(__xludf.DUMMYFUNCTION("""COMPUTED_VALUE"""),"03 ORL")</f>
        <v>03 ORL</v>
      </c>
      <c r="N422" s="6" t="str">
        <f ca="1">IFERROR(__xludf.DUMMYFUNCTION("""COMPUTED_VALUE"""),"06 ORL")</f>
        <v>06 ORL</v>
      </c>
      <c r="O422" s="6" t="str">
        <f ca="1">IFERROR(__xludf.DUMMYFUNCTION("""COMPUTED_VALUE"""),"Dra, Adela Pérez-Caro Ríos")</f>
        <v>Dra, Adela Pérez-Caro Ríos</v>
      </c>
      <c r="P422" s="6" t="str">
        <f ca="1">IFERROR(__xludf.DUMMYFUNCTION("""COMPUTED_VALUE"""),"Roberto Pereira (Galicia)")</f>
        <v>Roberto Pereira (Galicia)</v>
      </c>
    </row>
    <row r="423" spans="2:16">
      <c r="B423" s="6">
        <f ca="1">IFERROR(__xludf.DUMMYFUNCTION("""COMPUTED_VALUE"""),2025)</f>
        <v>2025</v>
      </c>
      <c r="C423" s="6">
        <f ca="1">IFERROR(__xludf.DUMMYFUNCTION("""COMPUTED_VALUE"""),3)</f>
        <v>3</v>
      </c>
      <c r="D423" s="6" t="str">
        <f ca="1">IFERROR(__xludf.DUMMYFUNCTION("""COMPUTED_VALUE"""),"NO")</f>
        <v>NO</v>
      </c>
      <c r="E423" s="6" t="str">
        <f ca="1">IFERROR(__xludf.DUMMYFUNCTION("""COMPUTED_VALUE"""),"Carballo")</f>
        <v>Carballo</v>
      </c>
      <c r="F423" s="16">
        <f ca="1">IFERROR(__xludf.DUMMYFUNCTION("""COMPUTED_VALUE"""),45723)</f>
        <v>45723</v>
      </c>
      <c r="G423" s="16">
        <f ca="1">IFERROR(__xludf.DUMMYFUNCTION("""COMPUTED_VALUE"""),45518)</f>
        <v>45518</v>
      </c>
      <c r="H423" s="6" t="str">
        <f ca="1">IFERROR(__xludf.DUMMYFUNCTION("""COMPUTED_VALUE"""),"Carballo")</f>
        <v>Carballo</v>
      </c>
      <c r="I423" s="6" t="str">
        <f ca="1">IFERROR(__xludf.DUMMYFUNCTION("""COMPUTED_VALUE"""),"CRB-93")</f>
        <v>CRB-93</v>
      </c>
      <c r="J423" s="6" t="str">
        <f ca="1">IFERROR(__xludf.DUMMYFUNCTION("""COMPUTED_VALUE"""),"JAVIER RIO RODRIGUEZ")</f>
        <v>JAVIER RIO RODRIGUEZ</v>
      </c>
      <c r="K423" s="6">
        <f ca="1">IFERROR(__xludf.DUMMYFUNCTION("""COMPUTED_VALUE"""),1)</f>
        <v>1</v>
      </c>
      <c r="L423" s="139">
        <f ca="1">IFERROR(__xludf.DUMMYFUNCTION("""COMPUTED_VALUE"""),2226.36)</f>
        <v>2226.36</v>
      </c>
      <c r="M423" s="6" t="str">
        <f ca="1">IFERROR(__xludf.DUMMYFUNCTION("""COMPUTED_VALUE"""),"03 ORL")</f>
        <v>03 ORL</v>
      </c>
      <c r="N423" s="6" t="str">
        <f ca="1">IFERROR(__xludf.DUMMYFUNCTION("""COMPUTED_VALUE"""),"06 ORL")</f>
        <v>06 ORL</v>
      </c>
      <c r="O423" s="6" t="str">
        <f ca="1">IFERROR(__xludf.DUMMYFUNCTION("""COMPUTED_VALUE"""),"Dr, Joaquín Guerra Gómez")</f>
        <v>Dr, Joaquín Guerra Gómez</v>
      </c>
      <c r="P423" s="6" t="str">
        <f ca="1">IFERROR(__xludf.DUMMYFUNCTION("""COMPUTED_VALUE"""),"Roberto Pereira (Galicia)")</f>
        <v>Roberto Pereira (Galicia)</v>
      </c>
    </row>
    <row r="424" spans="2:16">
      <c r="B424" s="6">
        <f ca="1">IFERROR(__xludf.DUMMYFUNCTION("""COMPUTED_VALUE"""),2025)</f>
        <v>2025</v>
      </c>
      <c r="C424" s="6">
        <f ca="1">IFERROR(__xludf.DUMMYFUNCTION("""COMPUTED_VALUE"""),3)</f>
        <v>3</v>
      </c>
      <c r="D424" s="6" t="str">
        <f ca="1">IFERROR(__xludf.DUMMYFUNCTION("""COMPUTED_VALUE"""),"NO")</f>
        <v>NO</v>
      </c>
      <c r="E424" s="6" t="str">
        <f ca="1">IFERROR(__xludf.DUMMYFUNCTION("""COMPUTED_VALUE"""),"Cáceres")</f>
        <v>Cáceres</v>
      </c>
      <c r="F424" s="16">
        <f ca="1">IFERROR(__xludf.DUMMYFUNCTION("""COMPUTED_VALUE"""),45723)</f>
        <v>45723</v>
      </c>
      <c r="G424" s="16">
        <f ca="1">IFERROR(__xludf.DUMMYFUNCTION("""COMPUTED_VALUE"""),45674)</f>
        <v>45674</v>
      </c>
      <c r="H424" s="6" t="str">
        <f ca="1">IFERROR(__xludf.DUMMYFUNCTION("""COMPUTED_VALUE"""),"Cáceres")</f>
        <v>Cáceres</v>
      </c>
      <c r="I424" s="6" t="str">
        <f ca="1">IFERROR(__xludf.DUMMYFUNCTION("""COMPUTED_VALUE"""),"CAC-225")</f>
        <v>CAC-225</v>
      </c>
      <c r="J424" s="6" t="str">
        <f ca="1">IFERROR(__xludf.DUMMYFUNCTION("""COMPUTED_VALUE"""),"MARIA ISABEL OLLERO VIVAS")</f>
        <v>MARIA ISABEL OLLERO VIVAS</v>
      </c>
      <c r="K424" s="6">
        <f ca="1">IFERROR(__xludf.DUMMYFUNCTION("""COMPUTED_VALUE"""),2)</f>
        <v>2</v>
      </c>
      <c r="L424" s="139">
        <f ca="1">IFERROR(__xludf.DUMMYFUNCTION("""COMPUTED_VALUE"""),3185.45)</f>
        <v>3185.45</v>
      </c>
      <c r="M424" s="6" t="str">
        <f ca="1">IFERROR(__xludf.DUMMYFUNCTION("""COMPUTED_VALUE"""),"01 MARKETING ON LINE")</f>
        <v>01 MARKETING ON LINE</v>
      </c>
      <c r="N424" s="6" t="str">
        <f ca="1">IFERROR(__xludf.DUMMYFUNCTION("""COMPUTED_VALUE"""),"04 AUDIFONO,ES")</f>
        <v>04 AUDIFONO,ES</v>
      </c>
      <c r="O424" s="6" t="str">
        <f ca="1">IFERROR(__xludf.DUMMYFUNCTION("""COMPUTED_VALUE"""),"Dra, Daniela Carolina Laguado Bulgheroni")</f>
        <v>Dra, Daniela Carolina Laguado Bulgheroni</v>
      </c>
      <c r="P424" s="6" t="str">
        <f ca="1">IFERROR(__xludf.DUMMYFUNCTION("""COMPUTED_VALUE"""),"Lisandro Russian (Madrid, Cáceres, Toledo, Talavera Y Logroño)")</f>
        <v>Lisandro Russian (Madrid, Cáceres, Toledo, Talavera Y Logroño)</v>
      </c>
    </row>
    <row r="425" spans="2:16">
      <c r="B425" s="6">
        <f ca="1">IFERROR(__xludf.DUMMYFUNCTION("""COMPUTED_VALUE"""),2025)</f>
        <v>2025</v>
      </c>
      <c r="C425" s="6">
        <f ca="1">IFERROR(__xludf.DUMMYFUNCTION("""COMPUTED_VALUE"""),3)</f>
        <v>3</v>
      </c>
      <c r="D425" s="6" t="str">
        <f ca="1">IFERROR(__xludf.DUMMYFUNCTION("""COMPUTED_VALUE"""),"NO")</f>
        <v>NO</v>
      </c>
      <c r="E425" s="6" t="str">
        <f ca="1">IFERROR(__xludf.DUMMYFUNCTION("""COMPUTED_VALUE"""),"Salamanca")</f>
        <v>Salamanca</v>
      </c>
      <c r="F425" s="16">
        <f ca="1">IFERROR(__xludf.DUMMYFUNCTION("""COMPUTED_VALUE"""),45723)</f>
        <v>45723</v>
      </c>
      <c r="G425" s="16">
        <f ca="1">IFERROR(__xludf.DUMMYFUNCTION("""COMPUTED_VALUE"""),45677)</f>
        <v>45677</v>
      </c>
      <c r="H425" s="6" t="str">
        <f ca="1">IFERROR(__xludf.DUMMYFUNCTION("""COMPUTED_VALUE"""),"Salamanca")</f>
        <v>Salamanca</v>
      </c>
      <c r="I425" s="6" t="str">
        <f ca="1">IFERROR(__xludf.DUMMYFUNCTION("""COMPUTED_VALUE"""),"SLM-442")</f>
        <v>SLM-442</v>
      </c>
      <c r="J425" s="6" t="str">
        <f ca="1">IFERROR(__xludf.DUMMYFUNCTION("""COMPUTED_VALUE"""),"JOSE AMBROSIO RUANO MULAS")</f>
        <v>JOSE AMBROSIO RUANO MULAS</v>
      </c>
      <c r="K425" s="6">
        <f ca="1">IFERROR(__xludf.DUMMYFUNCTION("""COMPUTED_VALUE"""),2)</f>
        <v>2</v>
      </c>
      <c r="L425" s="139">
        <f ca="1">IFERROR(__xludf.DUMMYFUNCTION("""COMPUTED_VALUE"""),3604.55)</f>
        <v>3604.55</v>
      </c>
      <c r="M425" s="6" t="str">
        <f ca="1">IFERROR(__xludf.DUMMYFUNCTION("""COMPUTED_VALUE"""),"03 ORL")</f>
        <v>03 ORL</v>
      </c>
      <c r="N425" s="6" t="str">
        <f ca="1">IFERROR(__xludf.DUMMYFUNCTION("""COMPUTED_VALUE"""),"06 ORL")</f>
        <v>06 ORL</v>
      </c>
      <c r="O425" s="6" t="str">
        <f ca="1">IFERROR(__xludf.DUMMYFUNCTION("""COMPUTED_VALUE"""),"No Recuerda Orl")</f>
        <v>No Recuerda Orl</v>
      </c>
      <c r="P425" s="6" t="str">
        <f ca="1">IFERROR(__xludf.DUMMYFUNCTION("""COMPUTED_VALUE"""),"Patricia Solache (Castilla Y León)")</f>
        <v>Patricia Solache (Castilla Y León)</v>
      </c>
    </row>
    <row r="426" spans="2:16">
      <c r="B426" s="6">
        <f ca="1">IFERROR(__xludf.DUMMYFUNCTION("""COMPUTED_VALUE"""),2025)</f>
        <v>2025</v>
      </c>
      <c r="C426" s="6">
        <f ca="1">IFERROR(__xludf.DUMMYFUNCTION("""COMPUTED_VALUE"""),3)</f>
        <v>3</v>
      </c>
      <c r="D426" s="6" t="str">
        <f ca="1">IFERROR(__xludf.DUMMYFUNCTION("""COMPUTED_VALUE"""),"NO")</f>
        <v>NO</v>
      </c>
      <c r="E426" s="6" t="str">
        <f ca="1">IFERROR(__xludf.DUMMYFUNCTION("""COMPUTED_VALUE"""),"Salamanca")</f>
        <v>Salamanca</v>
      </c>
      <c r="F426" s="16">
        <f ca="1">IFERROR(__xludf.DUMMYFUNCTION("""COMPUTED_VALUE"""),45723)</f>
        <v>45723</v>
      </c>
      <c r="G426" s="16">
        <f ca="1">IFERROR(__xludf.DUMMYFUNCTION("""COMPUTED_VALUE"""),45679)</f>
        <v>45679</v>
      </c>
      <c r="H426" s="6" t="str">
        <f ca="1">IFERROR(__xludf.DUMMYFUNCTION("""COMPUTED_VALUE"""),"Salamanca")</f>
        <v>Salamanca</v>
      </c>
      <c r="I426" s="6" t="str">
        <f ca="1">IFERROR(__xludf.DUMMYFUNCTION("""COMPUTED_VALUE"""),"SLM-446")</f>
        <v>SLM-446</v>
      </c>
      <c r="J426" s="6" t="str">
        <f ca="1">IFERROR(__xludf.DUMMYFUNCTION("""COMPUTED_VALUE"""),"ANGEL MOSQUERA MAYOR")</f>
        <v>ANGEL MOSQUERA MAYOR</v>
      </c>
      <c r="K426" s="6">
        <f ca="1">IFERROR(__xludf.DUMMYFUNCTION("""COMPUTED_VALUE"""),2)</f>
        <v>2</v>
      </c>
      <c r="L426" s="139">
        <f ca="1">IFERROR(__xludf.DUMMYFUNCTION("""COMPUTED_VALUE"""),2780.91)</f>
        <v>2780.91</v>
      </c>
      <c r="M426" s="6" t="str">
        <f ca="1">IFERROR(__xludf.DUMMYFUNCTION("""COMPUTED_VALUE"""),"03 ORL")</f>
        <v>03 ORL</v>
      </c>
      <c r="N426" s="6" t="str">
        <f ca="1">IFERROR(__xludf.DUMMYFUNCTION("""COMPUTED_VALUE"""),"06 ORL")</f>
        <v>06 ORL</v>
      </c>
      <c r="O426" s="6" t="str">
        <f ca="1">IFERROR(__xludf.DUMMYFUNCTION("""COMPUTED_VALUE"""),"Dr, María Jesús Cornejo Domínguez")</f>
        <v>Dr, María Jesús Cornejo Domínguez</v>
      </c>
      <c r="P426" s="6" t="str">
        <f ca="1">IFERROR(__xludf.DUMMYFUNCTION("""COMPUTED_VALUE"""),"Patricia Solache (Castilla Y León)")</f>
        <v>Patricia Solache (Castilla Y León)</v>
      </c>
    </row>
    <row r="427" spans="2:16">
      <c r="B427" s="6">
        <f ca="1">IFERROR(__xludf.DUMMYFUNCTION("""COMPUTED_VALUE"""),2025)</f>
        <v>2025</v>
      </c>
      <c r="C427" s="6">
        <f ca="1">IFERROR(__xludf.DUMMYFUNCTION("""COMPUTED_VALUE"""),3)</f>
        <v>3</v>
      </c>
      <c r="D427" s="6" t="str">
        <f ca="1">IFERROR(__xludf.DUMMYFUNCTION("""COMPUTED_VALUE"""),"NO")</f>
        <v>NO</v>
      </c>
      <c r="E427" s="6" t="str">
        <f ca="1">IFERROR(__xludf.DUMMYFUNCTION("""COMPUTED_VALUE"""),"Salamanca")</f>
        <v>Salamanca</v>
      </c>
      <c r="F427" s="16">
        <f ca="1">IFERROR(__xludf.DUMMYFUNCTION("""COMPUTED_VALUE"""),45723)</f>
        <v>45723</v>
      </c>
      <c r="G427" s="16">
        <f ca="1">IFERROR(__xludf.DUMMYFUNCTION("""COMPUTED_VALUE"""),45685)</f>
        <v>45685</v>
      </c>
      <c r="H427" s="6" t="str">
        <f ca="1">IFERROR(__xludf.DUMMYFUNCTION("""COMPUTED_VALUE"""),"Salamanca")</f>
        <v>Salamanca</v>
      </c>
      <c r="I427" s="6" t="str">
        <f ca="1">IFERROR(__xludf.DUMMYFUNCTION("""COMPUTED_VALUE"""),"SLM-451")</f>
        <v>SLM-451</v>
      </c>
      <c r="J427" s="6" t="str">
        <f ca="1">IFERROR(__xludf.DUMMYFUNCTION("""COMPUTED_VALUE"""),"MARIA JOAQUINA BORREGO LASO")</f>
        <v>MARIA JOAQUINA BORREGO LASO</v>
      </c>
      <c r="K427" s="6">
        <f ca="1">IFERROR(__xludf.DUMMYFUNCTION("""COMPUTED_VALUE"""),2)</f>
        <v>2</v>
      </c>
      <c r="L427" s="139">
        <f ca="1">IFERROR(__xludf.DUMMYFUNCTION("""COMPUTED_VALUE"""),3604.46)</f>
        <v>3604.46</v>
      </c>
      <c r="M427" s="6" t="str">
        <f ca="1">IFERROR(__xludf.DUMMYFUNCTION("""COMPUTED_VALUE"""),"03 ORL")</f>
        <v>03 ORL</v>
      </c>
      <c r="N427" s="6" t="str">
        <f ca="1">IFERROR(__xludf.DUMMYFUNCTION("""COMPUTED_VALUE"""),"06 ORL")</f>
        <v>06 ORL</v>
      </c>
      <c r="O427" s="6" t="str">
        <f ca="1">IFERROR(__xludf.DUMMYFUNCTION("""COMPUTED_VALUE"""),"Dr, Pedro Blanco Pérez,")</f>
        <v>Dr, Pedro Blanco Pérez,</v>
      </c>
      <c r="P427" s="6" t="str">
        <f ca="1">IFERROR(__xludf.DUMMYFUNCTION("""COMPUTED_VALUE"""),"Patricia Solache (Castilla Y León)")</f>
        <v>Patricia Solache (Castilla Y León)</v>
      </c>
    </row>
    <row r="428" spans="2:16">
      <c r="B428" s="6">
        <f ca="1">IFERROR(__xludf.DUMMYFUNCTION("""COMPUTED_VALUE"""),2025)</f>
        <v>2025</v>
      </c>
      <c r="C428" s="6">
        <f ca="1">IFERROR(__xludf.DUMMYFUNCTION("""COMPUTED_VALUE"""),3)</f>
        <v>3</v>
      </c>
      <c r="D428" s="6" t="str">
        <f ca="1">IFERROR(__xludf.DUMMYFUNCTION("""COMPUTED_VALUE"""),"NO")</f>
        <v>NO</v>
      </c>
      <c r="E428" s="6" t="str">
        <f ca="1">IFERROR(__xludf.DUMMYFUNCTION("""COMPUTED_VALUE"""),"Sevilla- Ciencias")</f>
        <v>Sevilla- Ciencias</v>
      </c>
      <c r="F428" s="16">
        <f ca="1">IFERROR(__xludf.DUMMYFUNCTION("""COMPUTED_VALUE"""),45723)</f>
        <v>45723</v>
      </c>
      <c r="G428" s="16">
        <f ca="1">IFERROR(__xludf.DUMMYFUNCTION("""COMPUTED_VALUE"""),45631)</f>
        <v>45631</v>
      </c>
      <c r="H428" s="6" t="str">
        <f ca="1">IFERROR(__xludf.DUMMYFUNCTION("""COMPUTED_VALUE"""),"Sevilla Este")</f>
        <v>Sevilla Este</v>
      </c>
      <c r="I428" s="6" t="str">
        <f ca="1">IFERROR(__xludf.DUMMYFUNCTION("""COMPUTED_VALUE"""),"SEVE-335")</f>
        <v>SEVE-335</v>
      </c>
      <c r="J428" s="6" t="str">
        <f ca="1">IFERROR(__xludf.DUMMYFUNCTION("""COMPUTED_VALUE"""),"VICTORIA GARCIA BLANCO")</f>
        <v>VICTORIA GARCIA BLANCO</v>
      </c>
      <c r="K428" s="6">
        <f ca="1">IFERROR(__xludf.DUMMYFUNCTION("""COMPUTED_VALUE"""),2)</f>
        <v>2</v>
      </c>
      <c r="L428" s="139">
        <f ca="1">IFERROR(__xludf.DUMMYFUNCTION("""COMPUTED_VALUE"""),4000)</f>
        <v>4000</v>
      </c>
      <c r="M428" s="6" t="str">
        <f ca="1">IFERROR(__xludf.DUMMYFUNCTION("""COMPUTED_VALUE"""),"03 ORL")</f>
        <v>03 ORL</v>
      </c>
      <c r="N428" s="6" t="str">
        <f ca="1">IFERROR(__xludf.DUMMYFUNCTION("""COMPUTED_VALUE"""),"06 ORL")</f>
        <v>06 ORL</v>
      </c>
      <c r="O428" s="6" t="str">
        <f ca="1">IFERROR(__xludf.DUMMYFUNCTION("""COMPUTED_VALUE"""),"Dr, Ulises Bidón Gómez")</f>
        <v>Dr, Ulises Bidón Gómez</v>
      </c>
      <c r="P428" s="6" t="str">
        <f ca="1">IFERROR(__xludf.DUMMYFUNCTION("""COMPUTED_VALUE"""),"Luis Alberto Rodríguez (Andalucía Y Badajoz)")</f>
        <v>Luis Alberto Rodríguez (Andalucía Y Badajoz)</v>
      </c>
    </row>
    <row r="429" spans="2:16">
      <c r="B429" s="6">
        <f ca="1">IFERROR(__xludf.DUMMYFUNCTION("""COMPUTED_VALUE"""),2025)</f>
        <v>2025</v>
      </c>
      <c r="C429" s="6">
        <f ca="1">IFERROR(__xludf.DUMMYFUNCTION("""COMPUTED_VALUE"""),3)</f>
        <v>3</v>
      </c>
      <c r="D429" s="6" t="str">
        <f ca="1">IFERROR(__xludf.DUMMYFUNCTION("""COMPUTED_VALUE"""),"NO")</f>
        <v>NO</v>
      </c>
      <c r="E429" s="6" t="str">
        <f ca="1">IFERROR(__xludf.DUMMYFUNCTION("""COMPUTED_VALUE"""),"Zaragoza- León XIII")</f>
        <v>Zaragoza- León XIII</v>
      </c>
      <c r="F429" s="16">
        <f ca="1">IFERROR(__xludf.DUMMYFUNCTION("""COMPUTED_VALUE"""),45727)</f>
        <v>45727</v>
      </c>
      <c r="G429" s="16">
        <f ca="1">IFERROR(__xludf.DUMMYFUNCTION("""COMPUTED_VALUE"""),45720)</f>
        <v>45720</v>
      </c>
      <c r="H429" s="6" t="str">
        <f ca="1">IFERROR(__xludf.DUMMYFUNCTION("""COMPUTED_VALUE"""),"Zaragoza")</f>
        <v>Zaragoza</v>
      </c>
      <c r="I429" s="6" t="str">
        <f ca="1">IFERROR(__xludf.DUMMYFUNCTION("""COMPUTED_VALUE"""),"ZRG-593")</f>
        <v>ZRG-593</v>
      </c>
      <c r="J429" s="6" t="str">
        <f ca="1">IFERROR(__xludf.DUMMYFUNCTION("""COMPUTED_VALUE"""),"MERCEDES ARRIBAS VAL")</f>
        <v>MERCEDES ARRIBAS VAL</v>
      </c>
      <c r="K429" s="6">
        <f ca="1">IFERROR(__xludf.DUMMYFUNCTION("""COMPUTED_VALUE"""),2)</f>
        <v>2</v>
      </c>
      <c r="L429" s="139">
        <f ca="1">IFERROR(__xludf.DUMMYFUNCTION("""COMPUTED_VALUE"""),3802.88)</f>
        <v>3802.88</v>
      </c>
      <c r="M429" s="6" t="str">
        <f ca="1">IFERROR(__xludf.DUMMYFUNCTION("""COMPUTED_VALUE"""),"03 ORL")</f>
        <v>03 ORL</v>
      </c>
      <c r="N429" s="6" t="str">
        <f ca="1">IFERROR(__xludf.DUMMYFUNCTION("""COMPUTED_VALUE"""),"06 ORL")</f>
        <v>06 ORL</v>
      </c>
      <c r="O429" s="6" t="str">
        <f ca="1">IFERROR(__xludf.DUMMYFUNCTION("""COMPUTED_VALUE"""),"Dr, Julio Knaster Del Olmo")</f>
        <v>Dr, Julio Knaster Del Olmo</v>
      </c>
      <c r="P429" s="6" t="str">
        <f ca="1">IFERROR(__xludf.DUMMYFUNCTION("""COMPUTED_VALUE"""),"Lisandro Russian (Madrid, Cáceres, Toledo, Talavera Y Logroño)")</f>
        <v>Lisandro Russian (Madrid, Cáceres, Toledo, Talavera Y Logroño)</v>
      </c>
    </row>
    <row r="430" spans="2:16">
      <c r="B430" s="6">
        <f ca="1">IFERROR(__xludf.DUMMYFUNCTION("""COMPUTED_VALUE"""),2025)</f>
        <v>2025</v>
      </c>
      <c r="C430" s="6">
        <f ca="1">IFERROR(__xludf.DUMMYFUNCTION("""COMPUTED_VALUE"""),3)</f>
        <v>3</v>
      </c>
      <c r="D430" s="6" t="str">
        <f ca="1">IFERROR(__xludf.DUMMYFUNCTION("""COMPUTED_VALUE"""),"NO")</f>
        <v>NO</v>
      </c>
      <c r="E430" s="6" t="str">
        <f ca="1">IFERROR(__xludf.DUMMYFUNCTION("""COMPUTED_VALUE"""),"Cáceres")</f>
        <v>Cáceres</v>
      </c>
      <c r="F430" s="16">
        <f ca="1">IFERROR(__xludf.DUMMYFUNCTION("""COMPUTED_VALUE"""),45728)</f>
        <v>45728</v>
      </c>
      <c r="G430" s="16">
        <f ca="1">IFERROR(__xludf.DUMMYFUNCTION("""COMPUTED_VALUE"""),45705)</f>
        <v>45705</v>
      </c>
      <c r="H430" s="6" t="str">
        <f ca="1">IFERROR(__xludf.DUMMYFUNCTION("""COMPUTED_VALUE"""),"Cáceres")</f>
        <v>Cáceres</v>
      </c>
      <c r="I430" s="6" t="str">
        <f ca="1">IFERROR(__xludf.DUMMYFUNCTION("""COMPUTED_VALUE"""),"CAC-236")</f>
        <v>CAC-236</v>
      </c>
      <c r="J430" s="6" t="str">
        <f ca="1">IFERROR(__xludf.DUMMYFUNCTION("""COMPUTED_VALUE"""),"CASEMIRO CAMBERO MUÑOZ")</f>
        <v>CASEMIRO CAMBERO MUÑOZ</v>
      </c>
      <c r="K430" s="6">
        <f ca="1">IFERROR(__xludf.DUMMYFUNCTION("""COMPUTED_VALUE"""),2)</f>
        <v>2</v>
      </c>
      <c r="L430" s="139">
        <f ca="1">IFERROR(__xludf.DUMMYFUNCTION("""COMPUTED_VALUE"""),3185.45)</f>
        <v>3185.45</v>
      </c>
      <c r="M430" s="6" t="str">
        <f ca="1">IFERROR(__xludf.DUMMYFUNCTION("""COMPUTED_VALUE"""),"03 ORL")</f>
        <v>03 ORL</v>
      </c>
      <c r="N430" s="6" t="str">
        <f ca="1">IFERROR(__xludf.DUMMYFUNCTION("""COMPUTED_VALUE"""),"06 ORL")</f>
        <v>06 ORL</v>
      </c>
      <c r="O430" s="6" t="str">
        <f ca="1">IFERROR(__xludf.DUMMYFUNCTION("""COMPUTED_VALUE"""),"Dr, Rafael Sanz Trenado")</f>
        <v>Dr, Rafael Sanz Trenado</v>
      </c>
      <c r="P430" s="6" t="str">
        <f ca="1">IFERROR(__xludf.DUMMYFUNCTION("""COMPUTED_VALUE"""),"Lisandro Russian (Madrid, Cáceres, Toledo, Talavera Y Logroño)")</f>
        <v>Lisandro Russian (Madrid, Cáceres, Toledo, Talavera Y Logroño)</v>
      </c>
    </row>
    <row r="431" spans="2:16">
      <c r="B431" s="6">
        <f ca="1">IFERROR(__xludf.DUMMYFUNCTION("""COMPUTED_VALUE"""),2025)</f>
        <v>2025</v>
      </c>
      <c r="C431" s="6">
        <f ca="1">IFERROR(__xludf.DUMMYFUNCTION("""COMPUTED_VALUE"""),3)</f>
        <v>3</v>
      </c>
      <c r="D431" s="6" t="str">
        <f ca="1">IFERROR(__xludf.DUMMYFUNCTION("""COMPUTED_VALUE"""),"NO")</f>
        <v>NO</v>
      </c>
      <c r="E431" s="6" t="str">
        <f ca="1">IFERROR(__xludf.DUMMYFUNCTION("""COMPUTED_VALUE"""),"Valladolid")</f>
        <v>Valladolid</v>
      </c>
      <c r="F431" s="16">
        <f ca="1">IFERROR(__xludf.DUMMYFUNCTION("""COMPUTED_VALUE"""),45728)</f>
        <v>45728</v>
      </c>
      <c r="G431" s="16">
        <f ca="1">IFERROR(__xludf.DUMMYFUNCTION("""COMPUTED_VALUE"""),45685)</f>
        <v>45685</v>
      </c>
      <c r="H431" s="6" t="str">
        <f ca="1">IFERROR(__xludf.DUMMYFUNCTION("""COMPUTED_VALUE"""),"Valladolid")</f>
        <v>Valladolid</v>
      </c>
      <c r="I431" s="6" t="str">
        <f ca="1">IFERROR(__xludf.DUMMYFUNCTION("""COMPUTED_VALUE"""),"VLL-329")</f>
        <v>VLL-329</v>
      </c>
      <c r="J431" s="6" t="str">
        <f ca="1">IFERROR(__xludf.DUMMYFUNCTION("""COMPUTED_VALUE"""),"MARIA PILAR GUTIERREZ PELAEZ")</f>
        <v>MARIA PILAR GUTIERREZ PELAEZ</v>
      </c>
      <c r="K431" s="6">
        <f ca="1">IFERROR(__xludf.DUMMYFUNCTION("""COMPUTED_VALUE"""),2)</f>
        <v>2</v>
      </c>
      <c r="L431" s="139">
        <f ca="1">IFERROR(__xludf.DUMMYFUNCTION("""COMPUTED_VALUE"""),3886.36)</f>
        <v>3886.36</v>
      </c>
      <c r="M431" s="6" t="str">
        <f ca="1">IFERROR(__xludf.DUMMYFUNCTION("""COMPUTED_VALUE"""),"03 ORL")</f>
        <v>03 ORL</v>
      </c>
      <c r="N431" s="6" t="str">
        <f ca="1">IFERROR(__xludf.DUMMYFUNCTION("""COMPUTED_VALUE"""),"06 ORL")</f>
        <v>06 ORL</v>
      </c>
      <c r="O431" s="6" t="str">
        <f ca="1">IFERROR(__xludf.DUMMYFUNCTION("""COMPUTED_VALUE"""),"Dra, Angela Enterría González")</f>
        <v>Dra, Angela Enterría González</v>
      </c>
      <c r="P431" s="6" t="str">
        <f ca="1">IFERROR(__xludf.DUMMYFUNCTION("""COMPUTED_VALUE"""),"Patricia Solache (Castilla Y León)")</f>
        <v>Patricia Solache (Castilla Y León)</v>
      </c>
    </row>
    <row r="432" spans="2:16">
      <c r="B432" s="6">
        <f ca="1">IFERROR(__xludf.DUMMYFUNCTION("""COMPUTED_VALUE"""),2025)</f>
        <v>2025</v>
      </c>
      <c r="C432" s="6">
        <f ca="1">IFERROR(__xludf.DUMMYFUNCTION("""COMPUTED_VALUE"""),3)</f>
        <v>3</v>
      </c>
      <c r="D432" s="6" t="str">
        <f ca="1">IFERROR(__xludf.DUMMYFUNCTION("""COMPUTED_VALUE"""),"NO")</f>
        <v>NO</v>
      </c>
      <c r="E432" s="6" t="str">
        <f ca="1">IFERROR(__xludf.DUMMYFUNCTION("""COMPUTED_VALUE"""),"Valladolid")</f>
        <v>Valladolid</v>
      </c>
      <c r="F432" s="16">
        <f ca="1">IFERROR(__xludf.DUMMYFUNCTION("""COMPUTED_VALUE"""),45728)</f>
        <v>45728</v>
      </c>
      <c r="G432" s="16">
        <f ca="1">IFERROR(__xludf.DUMMYFUNCTION("""COMPUTED_VALUE"""),45688)</f>
        <v>45688</v>
      </c>
      <c r="H432" s="6" t="str">
        <f ca="1">IFERROR(__xludf.DUMMYFUNCTION("""COMPUTED_VALUE"""),"Valladolid")</f>
        <v>Valladolid</v>
      </c>
      <c r="I432" s="6" t="str">
        <f ca="1">IFERROR(__xludf.DUMMYFUNCTION("""COMPUTED_VALUE"""),"VLL-333")</f>
        <v>VLL-333</v>
      </c>
      <c r="J432" s="6" t="str">
        <f ca="1">IFERROR(__xludf.DUMMYFUNCTION("""COMPUTED_VALUE"""),"MARIA DEL CARMEN ASENSIO FERRERO")</f>
        <v>MARIA DEL CARMEN ASENSIO FERRERO</v>
      </c>
      <c r="K432" s="6">
        <f ca="1">IFERROR(__xludf.DUMMYFUNCTION("""COMPUTED_VALUE"""),1)</f>
        <v>1</v>
      </c>
      <c r="L432" s="139">
        <f ca="1">IFERROR(__xludf.DUMMYFUNCTION("""COMPUTED_VALUE"""),2307.27)</f>
        <v>2307.27</v>
      </c>
      <c r="M432" s="6" t="str">
        <f ca="1">IFERROR(__xludf.DUMMYFUNCTION("""COMPUTED_VALUE"""),"03 ORL")</f>
        <v>03 ORL</v>
      </c>
      <c r="N432" s="6" t="str">
        <f ca="1">IFERROR(__xludf.DUMMYFUNCTION("""COMPUTED_VALUE"""),"06 ORL")</f>
        <v>06 ORL</v>
      </c>
      <c r="O432" s="6" t="str">
        <f ca="1">IFERROR(__xludf.DUMMYFUNCTION("""COMPUTED_VALUE"""),"Dra, Antonia Carranza Calleja")</f>
        <v>Dra, Antonia Carranza Calleja</v>
      </c>
      <c r="P432" s="6" t="str">
        <f ca="1">IFERROR(__xludf.DUMMYFUNCTION("""COMPUTED_VALUE"""),"Patricia Solache (Castilla Y León)")</f>
        <v>Patricia Solache (Castilla Y León)</v>
      </c>
    </row>
    <row r="433" spans="2:16">
      <c r="B433" s="6">
        <f ca="1">IFERROR(__xludf.DUMMYFUNCTION("""COMPUTED_VALUE"""),2025)</f>
        <v>2025</v>
      </c>
      <c r="C433" s="6">
        <f ca="1">IFERROR(__xludf.DUMMYFUNCTION("""COMPUTED_VALUE"""),3)</f>
        <v>3</v>
      </c>
      <c r="D433" s="6" t="str">
        <f ca="1">IFERROR(__xludf.DUMMYFUNCTION("""COMPUTED_VALUE"""),"SI")</f>
        <v>SI</v>
      </c>
      <c r="E433" s="6" t="str">
        <f ca="1">IFERROR(__xludf.DUMMYFUNCTION("""COMPUTED_VALUE"""),"Ponferrada")</f>
        <v>Ponferrada</v>
      </c>
      <c r="F433" s="16">
        <f ca="1">IFERROR(__xludf.DUMMYFUNCTION("""COMPUTED_VALUE"""),45729)</f>
        <v>45729</v>
      </c>
      <c r="G433" s="16">
        <f ca="1">IFERROR(__xludf.DUMMYFUNCTION("""COMPUTED_VALUE"""),45097)</f>
        <v>45097</v>
      </c>
      <c r="H433" s="6" t="str">
        <f ca="1">IFERROR(__xludf.DUMMYFUNCTION("""COMPUTED_VALUE"""),"Ponferrada")</f>
        <v>Ponferrada</v>
      </c>
      <c r="I433" s="6" t="str">
        <f ca="1">IFERROR(__xludf.DUMMYFUNCTION("""COMPUTED_VALUE"""),"PON-510")</f>
        <v>PON-510</v>
      </c>
      <c r="J433" s="6" t="str">
        <f ca="1">IFERROR(__xludf.DUMMYFUNCTION("""COMPUTED_VALUE"""),"ELIDIA MANCEÑIDO LOPEZ")</f>
        <v>ELIDIA MANCEÑIDO LOPEZ</v>
      </c>
      <c r="K433" s="6">
        <f ca="1">IFERROR(__xludf.DUMMYFUNCTION("""COMPUTED_VALUE"""),2)</f>
        <v>2</v>
      </c>
      <c r="L433" s="139">
        <f ca="1">IFERROR(__xludf.DUMMYFUNCTION("""COMPUTED_VALUE"""),2545.45)</f>
        <v>2545.4499999999998</v>
      </c>
      <c r="M433" s="6" t="str">
        <f ca="1">IFERROR(__xludf.DUMMYFUNCTION("""COMPUTED_VALUE"""),"03 ORL")</f>
        <v>03 ORL</v>
      </c>
      <c r="N433" s="6" t="str">
        <f ca="1">IFERROR(__xludf.DUMMYFUNCTION("""COMPUTED_VALUE"""),"06 ORL")</f>
        <v>06 ORL</v>
      </c>
      <c r="O433" s="6" t="str">
        <f ca="1">IFERROR(__xludf.DUMMYFUNCTION("""COMPUTED_VALUE"""),"Dra, Mónica Granda Rosales")</f>
        <v>Dra, Mónica Granda Rosales</v>
      </c>
      <c r="P433" s="6" t="str">
        <f ca="1">IFERROR(__xludf.DUMMYFUNCTION("""COMPUTED_VALUE"""),"Patricia Solache (Castilla Y León)")</f>
        <v>Patricia Solache (Castilla Y León)</v>
      </c>
    </row>
    <row r="434" spans="2:16">
      <c r="B434" s="6">
        <f ca="1">IFERROR(__xludf.DUMMYFUNCTION("""COMPUTED_VALUE"""),2025)</f>
        <v>2025</v>
      </c>
      <c r="C434" s="6">
        <f ca="1">IFERROR(__xludf.DUMMYFUNCTION("""COMPUTED_VALUE"""),3)</f>
        <v>3</v>
      </c>
      <c r="D434" s="6" t="str">
        <f ca="1">IFERROR(__xludf.DUMMYFUNCTION("""COMPUTED_VALUE"""),"NO")</f>
        <v>NO</v>
      </c>
      <c r="E434" s="6" t="str">
        <f ca="1">IFERROR(__xludf.DUMMYFUNCTION("""COMPUTED_VALUE"""),"Vilagacía De Arousa")</f>
        <v>Vilagacía De Arousa</v>
      </c>
      <c r="F434" s="16">
        <f ca="1">IFERROR(__xludf.DUMMYFUNCTION("""COMPUTED_VALUE"""),45729)</f>
        <v>45729</v>
      </c>
      <c r="G434" s="16">
        <f ca="1">IFERROR(__xludf.DUMMYFUNCTION("""COMPUTED_VALUE"""),45706)</f>
        <v>45706</v>
      </c>
      <c r="H434" s="6" t="str">
        <f ca="1">IFERROR(__xludf.DUMMYFUNCTION("""COMPUTED_VALUE"""),"Vilagarcía")</f>
        <v>Vilagarcía</v>
      </c>
      <c r="I434" s="6" t="str">
        <f ca="1">IFERROR(__xludf.DUMMYFUNCTION("""COMPUTED_VALUE"""),"VLG-103")</f>
        <v>VLG-103</v>
      </c>
      <c r="J434" s="6" t="str">
        <f ca="1">IFERROR(__xludf.DUMMYFUNCTION("""COMPUTED_VALUE"""),"MERCEDES PEREZ FERNANDEZ")</f>
        <v>MERCEDES PEREZ FERNANDEZ</v>
      </c>
      <c r="K434" s="6">
        <f ca="1">IFERROR(__xludf.DUMMYFUNCTION("""COMPUTED_VALUE"""),2)</f>
        <v>2</v>
      </c>
      <c r="L434" s="139">
        <f ca="1">IFERROR(__xludf.DUMMYFUNCTION("""COMPUTED_VALUE"""),2727.27)</f>
        <v>2727.27</v>
      </c>
      <c r="M434" s="6" t="str">
        <f ca="1">IFERROR(__xludf.DUMMYFUNCTION("""COMPUTED_VALUE"""),"03 ORL")</f>
        <v>03 ORL</v>
      </c>
      <c r="N434" s="6" t="str">
        <f ca="1">IFERROR(__xludf.DUMMYFUNCTION("""COMPUTED_VALUE"""),"06 ORL")</f>
        <v>06 ORL</v>
      </c>
      <c r="O434" s="6" t="str">
        <f ca="1">IFERROR(__xludf.DUMMYFUNCTION("""COMPUTED_VALUE"""),"Dr, Joaquín Pérez Villar")</f>
        <v>Dr, Joaquín Pérez Villar</v>
      </c>
      <c r="P434" s="6" t="str">
        <f ca="1">IFERROR(__xludf.DUMMYFUNCTION("""COMPUTED_VALUE"""),"Roberto Pereira (Galicia)")</f>
        <v>Roberto Pereira (Galicia)</v>
      </c>
    </row>
    <row r="435" spans="2:16">
      <c r="B435" s="6">
        <f ca="1">IFERROR(__xludf.DUMMYFUNCTION("""COMPUTED_VALUE"""),2025)</f>
        <v>2025</v>
      </c>
      <c r="C435" s="6">
        <f ca="1">IFERROR(__xludf.DUMMYFUNCTION("""COMPUTED_VALUE"""),3)</f>
        <v>3</v>
      </c>
      <c r="D435" s="6" t="str">
        <f ca="1">IFERROR(__xludf.DUMMYFUNCTION("""COMPUTED_VALUE"""),"NO")</f>
        <v>NO</v>
      </c>
      <c r="E435" s="6" t="str">
        <f ca="1">IFERROR(__xludf.DUMMYFUNCTION("""COMPUTED_VALUE"""),"Valladolid")</f>
        <v>Valladolid</v>
      </c>
      <c r="F435" s="16">
        <f ca="1">IFERROR(__xludf.DUMMYFUNCTION("""COMPUTED_VALUE"""),45733)</f>
        <v>45733</v>
      </c>
      <c r="G435" s="16">
        <f ca="1">IFERROR(__xludf.DUMMYFUNCTION("""COMPUTED_VALUE"""),45687)</f>
        <v>45687</v>
      </c>
      <c r="H435" s="6" t="str">
        <f ca="1">IFERROR(__xludf.DUMMYFUNCTION("""COMPUTED_VALUE"""),"Valladolid")</f>
        <v>Valladolid</v>
      </c>
      <c r="I435" s="6" t="str">
        <f ca="1">IFERROR(__xludf.DUMMYFUNCTION("""COMPUTED_VALUE"""),"VLL-330")</f>
        <v>VLL-330</v>
      </c>
      <c r="J435" s="6" t="str">
        <f ca="1">IFERROR(__xludf.DUMMYFUNCTION("""COMPUTED_VALUE"""),"SHEILA FERNANDEZ HERRERO")</f>
        <v>SHEILA FERNANDEZ HERRERO</v>
      </c>
      <c r="K435" s="6">
        <f ca="1">IFERROR(__xludf.DUMMYFUNCTION("""COMPUTED_VALUE"""),2)</f>
        <v>2</v>
      </c>
      <c r="L435" s="139">
        <f ca="1">IFERROR(__xludf.DUMMYFUNCTION("""COMPUTED_VALUE"""),4431.82)</f>
        <v>4431.82</v>
      </c>
      <c r="M435" s="6" t="str">
        <f ca="1">IFERROR(__xludf.DUMMYFUNCTION("""COMPUTED_VALUE"""),"03 ORL")</f>
        <v>03 ORL</v>
      </c>
      <c r="N435" s="6" t="str">
        <f ca="1">IFERROR(__xludf.DUMMYFUNCTION("""COMPUTED_VALUE"""),"06 ORL")</f>
        <v>06 ORL</v>
      </c>
      <c r="O435" s="6" t="str">
        <f ca="1">IFERROR(__xludf.DUMMYFUNCTION("""COMPUTED_VALUE"""),"Dra, Ana Fernández Rodríguez")</f>
        <v>Dra, Ana Fernández Rodríguez</v>
      </c>
      <c r="P435" s="6" t="str">
        <f ca="1">IFERROR(__xludf.DUMMYFUNCTION("""COMPUTED_VALUE"""),"Patricia Solache (Castilla Y León)")</f>
        <v>Patricia Solache (Castilla Y León)</v>
      </c>
    </row>
    <row r="436" spans="2:16">
      <c r="B436" s="6">
        <f ca="1">IFERROR(__xludf.DUMMYFUNCTION("""COMPUTED_VALUE"""),2025)</f>
        <v>2025</v>
      </c>
      <c r="C436" s="6">
        <f ca="1">IFERROR(__xludf.DUMMYFUNCTION("""COMPUTED_VALUE"""),3)</f>
        <v>3</v>
      </c>
      <c r="D436" s="6" t="str">
        <f ca="1">IFERROR(__xludf.DUMMYFUNCTION("""COMPUTED_VALUE"""),"NO")</f>
        <v>NO</v>
      </c>
      <c r="E436" s="6" t="str">
        <f ca="1">IFERROR(__xludf.DUMMYFUNCTION("""COMPUTED_VALUE"""),"Ponferrada")</f>
        <v>Ponferrada</v>
      </c>
      <c r="F436" s="16">
        <f ca="1">IFERROR(__xludf.DUMMYFUNCTION("""COMPUTED_VALUE"""),45734)</f>
        <v>45734</v>
      </c>
      <c r="G436" s="16">
        <f ca="1">IFERROR(__xludf.DUMMYFUNCTION("""COMPUTED_VALUE"""),45621)</f>
        <v>45621</v>
      </c>
      <c r="H436" s="6" t="str">
        <f ca="1">IFERROR(__xludf.DUMMYFUNCTION("""COMPUTED_VALUE"""),"Ponferrada")</f>
        <v>Ponferrada</v>
      </c>
      <c r="I436" s="6" t="str">
        <f ca="1">IFERROR(__xludf.DUMMYFUNCTION("""COMPUTED_VALUE"""),"PON-832")</f>
        <v>PON-832</v>
      </c>
      <c r="J436" s="6" t="str">
        <f ca="1">IFERROR(__xludf.DUMMYFUNCTION("""COMPUTED_VALUE"""),"EMILIO ALVAREZ RAMON")</f>
        <v>EMILIO ALVAREZ RAMON</v>
      </c>
      <c r="K436" s="6">
        <f ca="1">IFERROR(__xludf.DUMMYFUNCTION("""COMPUTED_VALUE"""),2)</f>
        <v>2</v>
      </c>
      <c r="L436" s="139">
        <f ca="1">IFERROR(__xludf.DUMMYFUNCTION("""COMPUTED_VALUE"""),3647.73)</f>
        <v>3647.73</v>
      </c>
      <c r="M436" s="6" t="str">
        <f ca="1">IFERROR(__xludf.DUMMYFUNCTION("""COMPUTED_VALUE"""),"03 ORL")</f>
        <v>03 ORL</v>
      </c>
      <c r="N436" s="6" t="str">
        <f ca="1">IFERROR(__xludf.DUMMYFUNCTION("""COMPUTED_VALUE"""),"06 ORL")</f>
        <v>06 ORL</v>
      </c>
      <c r="O436" s="6" t="str">
        <f ca="1">IFERROR(__xludf.DUMMYFUNCTION("""COMPUTED_VALUE"""),"Dr, José Miguel Tejada Bautista")</f>
        <v>Dr, José Miguel Tejada Bautista</v>
      </c>
      <c r="P436" s="6" t="str">
        <f ca="1">IFERROR(__xludf.DUMMYFUNCTION("""COMPUTED_VALUE"""),"Patricia Solache (Castilla Y León)")</f>
        <v>Patricia Solache (Castilla Y León)</v>
      </c>
    </row>
    <row r="437" spans="2:16">
      <c r="B437" s="6">
        <f ca="1">IFERROR(__xludf.DUMMYFUNCTION("""COMPUTED_VALUE"""),2025)</f>
        <v>2025</v>
      </c>
      <c r="C437" s="6">
        <f ca="1">IFERROR(__xludf.DUMMYFUNCTION("""COMPUTED_VALUE"""),3)</f>
        <v>3</v>
      </c>
      <c r="D437" s="6" t="str">
        <f ca="1">IFERROR(__xludf.DUMMYFUNCTION("""COMPUTED_VALUE"""),"NO")</f>
        <v>NO</v>
      </c>
      <c r="E437" s="6" t="str">
        <f ca="1">IFERROR(__xludf.DUMMYFUNCTION("""COMPUTED_VALUE"""),"Cáceres")</f>
        <v>Cáceres</v>
      </c>
      <c r="F437" s="16">
        <f ca="1">IFERROR(__xludf.DUMMYFUNCTION("""COMPUTED_VALUE"""),45735)</f>
        <v>45735</v>
      </c>
      <c r="G437" s="16">
        <f ca="1">IFERROR(__xludf.DUMMYFUNCTION("""COMPUTED_VALUE"""),45701)</f>
        <v>45701</v>
      </c>
      <c r="H437" s="6" t="str">
        <f ca="1">IFERROR(__xludf.DUMMYFUNCTION("""COMPUTED_VALUE"""),"Cáceres")</f>
        <v>Cáceres</v>
      </c>
      <c r="I437" s="6" t="str">
        <f ca="1">IFERROR(__xludf.DUMMYFUNCTION("""COMPUTED_VALUE"""),"CAC-235")</f>
        <v>CAC-235</v>
      </c>
      <c r="J437" s="6" t="str">
        <f ca="1">IFERROR(__xludf.DUMMYFUNCTION("""COMPUTED_VALUE"""),"MARIA CARMEN CASERO ARIAS")</f>
        <v>MARIA CARMEN CASERO ARIAS</v>
      </c>
      <c r="K437" s="6">
        <f ca="1">IFERROR(__xludf.DUMMYFUNCTION("""COMPUTED_VALUE"""),2)</f>
        <v>2</v>
      </c>
      <c r="L437" s="139">
        <f ca="1">IFERROR(__xludf.DUMMYFUNCTION("""COMPUTED_VALUE"""),3429.09)</f>
        <v>3429.09</v>
      </c>
      <c r="M437" s="6" t="str">
        <f ca="1">IFERROR(__xludf.DUMMYFUNCTION("""COMPUTED_VALUE"""),"03 ORL")</f>
        <v>03 ORL</v>
      </c>
      <c r="N437" s="6" t="str">
        <f ca="1">IFERROR(__xludf.DUMMYFUNCTION("""COMPUTED_VALUE"""),"06 ORL")</f>
        <v>06 ORL</v>
      </c>
      <c r="O437" s="6" t="str">
        <f ca="1">IFERROR(__xludf.DUMMYFUNCTION("""COMPUTED_VALUE"""),"Dr, Javier García Gómez")</f>
        <v>Dr, Javier García Gómez</v>
      </c>
      <c r="P437" s="6" t="str">
        <f ca="1">IFERROR(__xludf.DUMMYFUNCTION("""COMPUTED_VALUE"""),"Lisandro Russian (Madrid, Cáceres, Toledo, Talavera Y Logroño)")</f>
        <v>Lisandro Russian (Madrid, Cáceres, Toledo, Talavera Y Logroño)</v>
      </c>
    </row>
    <row r="438" spans="2:16">
      <c r="B438" s="6">
        <f ca="1">IFERROR(__xludf.DUMMYFUNCTION("""COMPUTED_VALUE"""),2025)</f>
        <v>2025</v>
      </c>
      <c r="C438" s="6">
        <f ca="1">IFERROR(__xludf.DUMMYFUNCTION("""COMPUTED_VALUE"""),3)</f>
        <v>3</v>
      </c>
      <c r="D438" s="6" t="str">
        <f ca="1">IFERROR(__xludf.DUMMYFUNCTION("""COMPUTED_VALUE"""),"NO")</f>
        <v>NO</v>
      </c>
      <c r="E438" s="6" t="str">
        <f ca="1">IFERROR(__xludf.DUMMYFUNCTION("""COMPUTED_VALUE"""),"Valladolid")</f>
        <v>Valladolid</v>
      </c>
      <c r="F438" s="16">
        <f ca="1">IFERROR(__xludf.DUMMYFUNCTION("""COMPUTED_VALUE"""),45735)</f>
        <v>45735</v>
      </c>
      <c r="G438" s="16">
        <f ca="1">IFERROR(__xludf.DUMMYFUNCTION("""COMPUTED_VALUE"""),45691)</f>
        <v>45691</v>
      </c>
      <c r="H438" s="6" t="str">
        <f ca="1">IFERROR(__xludf.DUMMYFUNCTION("""COMPUTED_VALUE"""),"Valladolid")</f>
        <v>Valladolid</v>
      </c>
      <c r="I438" s="6" t="str">
        <f ca="1">IFERROR(__xludf.DUMMYFUNCTION("""COMPUTED_VALUE"""),"VLL-120")</f>
        <v>VLL-120</v>
      </c>
      <c r="J438" s="6" t="str">
        <f ca="1">IFERROR(__xludf.DUMMYFUNCTION("""COMPUTED_VALUE"""),"MIGUEL ANGEL GARCIA HERRERO")</f>
        <v>MIGUEL ANGEL GARCIA HERRERO</v>
      </c>
      <c r="K438" s="6">
        <f ca="1">IFERROR(__xludf.DUMMYFUNCTION("""COMPUTED_VALUE"""),2)</f>
        <v>2</v>
      </c>
      <c r="L438" s="139">
        <f ca="1">IFERROR(__xludf.DUMMYFUNCTION("""COMPUTED_VALUE"""),3886.36)</f>
        <v>3886.36</v>
      </c>
      <c r="M438" s="6" t="str">
        <f ca="1">IFERROR(__xludf.DUMMYFUNCTION("""COMPUTED_VALUE"""),"03 ORL")</f>
        <v>03 ORL</v>
      </c>
      <c r="N438" s="6" t="str">
        <f ca="1">IFERROR(__xludf.DUMMYFUNCTION("""COMPUTED_VALUE"""),"06 ORL")</f>
        <v>06 ORL</v>
      </c>
      <c r="O438" s="6" t="str">
        <f ca="1">IFERROR(__xludf.DUMMYFUNCTION("""COMPUTED_VALUE"""),"Dra, Patricia Viveros Diez")</f>
        <v>Dra, Patricia Viveros Diez</v>
      </c>
      <c r="P438" s="6" t="str">
        <f ca="1">IFERROR(__xludf.DUMMYFUNCTION("""COMPUTED_VALUE"""),"Patricia Solache (Castilla Y León)")</f>
        <v>Patricia Solache (Castilla Y León)</v>
      </c>
    </row>
    <row r="439" spans="2:16">
      <c r="B439" s="6">
        <f ca="1">IFERROR(__xludf.DUMMYFUNCTION("""COMPUTED_VALUE"""),2025)</f>
        <v>2025</v>
      </c>
      <c r="C439" s="6">
        <f ca="1">IFERROR(__xludf.DUMMYFUNCTION("""COMPUTED_VALUE"""),3)</f>
        <v>3</v>
      </c>
      <c r="D439" s="6" t="str">
        <f ca="1">IFERROR(__xludf.DUMMYFUNCTION("""COMPUTED_VALUE"""),"NO")</f>
        <v>NO</v>
      </c>
      <c r="E439" s="6" t="str">
        <f ca="1">IFERROR(__xludf.DUMMYFUNCTION("""COMPUTED_VALUE"""),"Boiro")</f>
        <v>Boiro</v>
      </c>
      <c r="F439" s="16">
        <f ca="1">IFERROR(__xludf.DUMMYFUNCTION("""COMPUTED_VALUE"""),45737)</f>
        <v>45737</v>
      </c>
      <c r="G439" s="16">
        <f ca="1">IFERROR(__xludf.DUMMYFUNCTION("""COMPUTED_VALUE"""),45450)</f>
        <v>45450</v>
      </c>
      <c r="H439" s="6" t="str">
        <f ca="1">IFERROR(__xludf.DUMMYFUNCTION("""COMPUTED_VALUE"""),"Boiro")</f>
        <v>Boiro</v>
      </c>
      <c r="I439" s="6" t="str">
        <f ca="1">IFERROR(__xludf.DUMMYFUNCTION("""COMPUTED_VALUE"""),"BOI-845")</f>
        <v>BOI-845</v>
      </c>
      <c r="J439" s="6" t="str">
        <f ca="1">IFERROR(__xludf.DUMMYFUNCTION("""COMPUTED_VALUE"""),"MARIA JOSEFA BLANCO BLANCO")</f>
        <v>MARIA JOSEFA BLANCO BLANCO</v>
      </c>
      <c r="K439" s="6">
        <f ca="1">IFERROR(__xludf.DUMMYFUNCTION("""COMPUTED_VALUE"""),1)</f>
        <v>1</v>
      </c>
      <c r="L439" s="139">
        <f ca="1">IFERROR(__xludf.DUMMYFUNCTION("""COMPUTED_VALUE"""),409.09)</f>
        <v>409.09</v>
      </c>
      <c r="M439" s="6" t="str">
        <f ca="1">IFERROR(__xludf.DUMMYFUNCTION("""COMPUTED_VALUE"""),"03 ORL")</f>
        <v>03 ORL</v>
      </c>
      <c r="N439" s="6" t="str">
        <f ca="1">IFERROR(__xludf.DUMMYFUNCTION("""COMPUTED_VALUE"""),"06 ORL")</f>
        <v>06 ORL</v>
      </c>
      <c r="O439" s="6" t="str">
        <f ca="1">IFERROR(__xludf.DUMMYFUNCTION("""COMPUTED_VALUE"""),"Dr, Ernesto Varela Martínez")</f>
        <v>Dr, Ernesto Varela Martínez</v>
      </c>
      <c r="P439" s="6" t="str">
        <f ca="1">IFERROR(__xludf.DUMMYFUNCTION("""COMPUTED_VALUE"""),"Roberto Pereira (Galicia)")</f>
        <v>Roberto Pereira (Galicia)</v>
      </c>
    </row>
    <row r="440" spans="2:16">
      <c r="B440" s="6">
        <f ca="1">IFERROR(__xludf.DUMMYFUNCTION("""COMPUTED_VALUE"""),2025)</f>
        <v>2025</v>
      </c>
      <c r="C440" s="6">
        <f ca="1">IFERROR(__xludf.DUMMYFUNCTION("""COMPUTED_VALUE"""),3)</f>
        <v>3</v>
      </c>
      <c r="D440" s="6" t="str">
        <f ca="1">IFERROR(__xludf.DUMMYFUNCTION("""COMPUTED_VALUE"""),"NO")</f>
        <v>NO</v>
      </c>
      <c r="E440" s="6" t="str">
        <f ca="1">IFERROR(__xludf.DUMMYFUNCTION("""COMPUTED_VALUE"""),"Culleredo")</f>
        <v>Culleredo</v>
      </c>
      <c r="F440" s="16">
        <f ca="1">IFERROR(__xludf.DUMMYFUNCTION("""COMPUTED_VALUE"""),45737)</f>
        <v>45737</v>
      </c>
      <c r="G440" s="16">
        <f ca="1">IFERROR(__xludf.DUMMYFUNCTION("""COMPUTED_VALUE"""),45686)</f>
        <v>45686</v>
      </c>
      <c r="H440" s="6" t="str">
        <f ca="1">IFERROR(__xludf.DUMMYFUNCTION("""COMPUTED_VALUE"""),"Culleredo")</f>
        <v>Culleredo</v>
      </c>
      <c r="I440" s="6" t="str">
        <f ca="1">IFERROR(__xludf.DUMMYFUNCTION("""COMPUTED_VALUE"""),"CULL-159")</f>
        <v>CULL-159</v>
      </c>
      <c r="J440" s="6" t="str">
        <f ca="1">IFERROR(__xludf.DUMMYFUNCTION("""COMPUTED_VALUE"""),"MARIA FILOMENA SUAREZ GARCIA")</f>
        <v>MARIA FILOMENA SUAREZ GARCIA</v>
      </c>
      <c r="K440" s="6">
        <f ca="1">IFERROR(__xludf.DUMMYFUNCTION("""COMPUTED_VALUE"""),2)</f>
        <v>2</v>
      </c>
      <c r="L440" s="139">
        <f ca="1">IFERROR(__xludf.DUMMYFUNCTION("""COMPUTED_VALUE"""),3818.18)</f>
        <v>3818.18</v>
      </c>
      <c r="M440" s="6" t="str">
        <f ca="1">IFERROR(__xludf.DUMMYFUNCTION("""COMPUTED_VALUE"""),"03 ORL")</f>
        <v>03 ORL</v>
      </c>
      <c r="N440" s="6" t="str">
        <f ca="1">IFERROR(__xludf.DUMMYFUNCTION("""COMPUTED_VALUE"""),"06 ORL")</f>
        <v>06 ORL</v>
      </c>
      <c r="O440" s="6" t="str">
        <f ca="1">IFERROR(__xludf.DUMMYFUNCTION("""COMPUTED_VALUE"""),"Dr, Joaquín Guerra Gómez")</f>
        <v>Dr, Joaquín Guerra Gómez</v>
      </c>
      <c r="P440" s="6" t="str">
        <f ca="1">IFERROR(__xludf.DUMMYFUNCTION("""COMPUTED_VALUE"""),"Roberto Pereira (Galicia)")</f>
        <v>Roberto Pereira (Galicia)</v>
      </c>
    </row>
    <row r="441" spans="2:16">
      <c r="B441" s="6">
        <f ca="1">IFERROR(__xludf.DUMMYFUNCTION("""COMPUTED_VALUE"""),2025)</f>
        <v>2025</v>
      </c>
      <c r="C441" s="6">
        <f ca="1">IFERROR(__xludf.DUMMYFUNCTION("""COMPUTED_VALUE"""),3)</f>
        <v>3</v>
      </c>
      <c r="D441" s="6" t="str">
        <f ca="1">IFERROR(__xludf.DUMMYFUNCTION("""COMPUTED_VALUE"""),"NO")</f>
        <v>NO</v>
      </c>
      <c r="E441" s="6" t="str">
        <f ca="1">IFERROR(__xludf.DUMMYFUNCTION("""COMPUTED_VALUE"""),"Vigo")</f>
        <v>Vigo</v>
      </c>
      <c r="F441" s="16">
        <f ca="1">IFERROR(__xludf.DUMMYFUNCTION("""COMPUTED_VALUE"""),45737)</f>
        <v>45737</v>
      </c>
      <c r="G441" s="16">
        <f ca="1">IFERROR(__xludf.DUMMYFUNCTION("""COMPUTED_VALUE"""),45693)</f>
        <v>45693</v>
      </c>
      <c r="H441" s="6" t="str">
        <f ca="1">IFERROR(__xludf.DUMMYFUNCTION("""COMPUTED_VALUE"""),"Vigo")</f>
        <v>Vigo</v>
      </c>
      <c r="I441" s="6" t="str">
        <f ca="1">IFERROR(__xludf.DUMMYFUNCTION("""COMPUTED_VALUE"""),"VIG-537")</f>
        <v>VIG-537</v>
      </c>
      <c r="J441" s="6" t="str">
        <f ca="1">IFERROR(__xludf.DUMMYFUNCTION("""COMPUTED_VALUE"""),"FERNANDEZ MARTINEZ CARMEN")</f>
        <v>FERNANDEZ MARTINEZ CARMEN</v>
      </c>
      <c r="K441" s="6">
        <f ca="1">IFERROR(__xludf.DUMMYFUNCTION("""COMPUTED_VALUE"""),2)</f>
        <v>2</v>
      </c>
      <c r="L441" s="139">
        <f ca="1">IFERROR(__xludf.DUMMYFUNCTION("""COMPUTED_VALUE"""),3454.55)</f>
        <v>3454.55</v>
      </c>
      <c r="M441" s="6" t="str">
        <f ca="1">IFERROR(__xludf.DUMMYFUNCTION("""COMPUTED_VALUE"""),"03 ORL")</f>
        <v>03 ORL</v>
      </c>
      <c r="N441" s="6" t="str">
        <f ca="1">IFERROR(__xludf.DUMMYFUNCTION("""COMPUTED_VALUE"""),"06 ORL")</f>
        <v>06 ORL</v>
      </c>
      <c r="O441" s="6" t="str">
        <f ca="1">IFERROR(__xludf.DUMMYFUNCTION("""COMPUTED_VALUE"""),"Dr, Manuel Estevez García")</f>
        <v>Dr, Manuel Estevez García</v>
      </c>
      <c r="P441" s="6" t="str">
        <f ca="1">IFERROR(__xludf.DUMMYFUNCTION("""COMPUTED_VALUE"""),"Roberto Pereira (Galicia)")</f>
        <v>Roberto Pereira (Galicia)</v>
      </c>
    </row>
    <row r="442" spans="2:16">
      <c r="B442" s="6">
        <f ca="1">IFERROR(__xludf.DUMMYFUNCTION("""COMPUTED_VALUE"""),2025)</f>
        <v>2025</v>
      </c>
      <c r="C442" s="6">
        <f ca="1">IFERROR(__xludf.DUMMYFUNCTION("""COMPUTED_VALUE"""),3)</f>
        <v>3</v>
      </c>
      <c r="D442" s="6" t="str">
        <f ca="1">IFERROR(__xludf.DUMMYFUNCTION("""COMPUTED_VALUE"""),"NO")</f>
        <v>NO</v>
      </c>
      <c r="E442" s="6" t="str">
        <f ca="1">IFERROR(__xludf.DUMMYFUNCTION("""COMPUTED_VALUE"""),"Terrassa")</f>
        <v>Terrassa</v>
      </c>
      <c r="F442" s="16">
        <f ca="1">IFERROR(__xludf.DUMMYFUNCTION("""COMPUTED_VALUE"""),45738)</f>
        <v>45738</v>
      </c>
      <c r="G442" s="16">
        <f ca="1">IFERROR(__xludf.DUMMYFUNCTION("""COMPUTED_VALUE"""),45674)</f>
        <v>45674</v>
      </c>
      <c r="H442" s="6" t="str">
        <f ca="1">IFERROR(__xludf.DUMMYFUNCTION("""COMPUTED_VALUE"""),"Terrassa")</f>
        <v>Terrassa</v>
      </c>
      <c r="I442" s="6" t="str">
        <f ca="1">IFERROR(__xludf.DUMMYFUNCTION("""COMPUTED_VALUE"""),"TRR-343")</f>
        <v>TRR-343</v>
      </c>
      <c r="J442" s="6" t="str">
        <f ca="1">IFERROR(__xludf.DUMMYFUNCTION("""COMPUTED_VALUE"""),"NATALIA CEREZO SOLA")</f>
        <v>NATALIA CEREZO SOLA</v>
      </c>
      <c r="K442" s="6">
        <f ca="1">IFERROR(__xludf.DUMMYFUNCTION("""COMPUTED_VALUE"""),2)</f>
        <v>2</v>
      </c>
      <c r="L442" s="139">
        <f ca="1">IFERROR(__xludf.DUMMYFUNCTION("""COMPUTED_VALUE"""),3515.91)</f>
        <v>3515.91</v>
      </c>
      <c r="M442" s="6" t="str">
        <f ca="1">IFERROR(__xludf.DUMMYFUNCTION("""COMPUTED_VALUE"""),"03 ORL")</f>
        <v>03 ORL</v>
      </c>
      <c r="N442" s="6" t="str">
        <f ca="1">IFERROR(__xludf.DUMMYFUNCTION("""COMPUTED_VALUE"""),"06 ORL")</f>
        <v>06 ORL</v>
      </c>
      <c r="O442" s="6" t="str">
        <f ca="1">IFERROR(__xludf.DUMMYFUNCTION("""COMPUTED_VALUE"""),"Dr, Joaquim Broto Sumalla")</f>
        <v>Dr, Joaquim Broto Sumalla</v>
      </c>
      <c r="P442" s="6" t="str">
        <f ca="1">IFERROR(__xludf.DUMMYFUNCTION("""COMPUTED_VALUE"""),"Mercè Cabrera (Cataluña Y Baleares)")</f>
        <v>Mercè Cabrera (Cataluña Y Baleares)</v>
      </c>
    </row>
    <row r="443" spans="2:16">
      <c r="B443" s="6">
        <f ca="1">IFERROR(__xludf.DUMMYFUNCTION("""COMPUTED_VALUE"""),2025)</f>
        <v>2025</v>
      </c>
      <c r="C443" s="6">
        <f ca="1">IFERROR(__xludf.DUMMYFUNCTION("""COMPUTED_VALUE"""),3)</f>
        <v>3</v>
      </c>
      <c r="D443" s="6" t="str">
        <f ca="1">IFERROR(__xludf.DUMMYFUNCTION("""COMPUTED_VALUE"""),"NO")</f>
        <v>NO</v>
      </c>
      <c r="E443" s="6" t="str">
        <f ca="1">IFERROR(__xludf.DUMMYFUNCTION("""COMPUTED_VALUE"""),"Ponferrada")</f>
        <v>Ponferrada</v>
      </c>
      <c r="F443" s="16">
        <f ca="1">IFERROR(__xludf.DUMMYFUNCTION("""COMPUTED_VALUE"""),45738)</f>
        <v>45738</v>
      </c>
      <c r="G443" s="16">
        <f ca="1">IFERROR(__xludf.DUMMYFUNCTION("""COMPUTED_VALUE"""),45653)</f>
        <v>45653</v>
      </c>
      <c r="H443" s="6" t="str">
        <f ca="1">IFERROR(__xludf.DUMMYFUNCTION("""COMPUTED_VALUE"""),"Ponferrada")</f>
        <v>Ponferrada</v>
      </c>
      <c r="I443" s="6" t="str">
        <f ca="1">IFERROR(__xludf.DUMMYFUNCTION("""COMPUTED_VALUE"""),"PON-850")</f>
        <v>PON-850</v>
      </c>
      <c r="J443" s="6" t="str">
        <f ca="1">IFERROR(__xludf.DUMMYFUNCTION("""COMPUTED_VALUE"""),"ANICETO ARIAS GONZALEZ")</f>
        <v>ANICETO ARIAS GONZALEZ</v>
      </c>
      <c r="K443" s="6">
        <f ca="1">IFERROR(__xludf.DUMMYFUNCTION("""COMPUTED_VALUE"""),2)</f>
        <v>2</v>
      </c>
      <c r="L443" s="139">
        <f ca="1">IFERROR(__xludf.DUMMYFUNCTION("""COMPUTED_VALUE"""),3909.09)</f>
        <v>3909.09</v>
      </c>
      <c r="M443" s="6" t="str">
        <f ca="1">IFERROR(__xludf.DUMMYFUNCTION("""COMPUTED_VALUE"""),"03 ORL")</f>
        <v>03 ORL</v>
      </c>
      <c r="N443" s="6" t="str">
        <f ca="1">IFERROR(__xludf.DUMMYFUNCTION("""COMPUTED_VALUE"""),"06 ORL")</f>
        <v>06 ORL</v>
      </c>
      <c r="O443" s="6" t="str">
        <f ca="1">IFERROR(__xludf.DUMMYFUNCTION("""COMPUTED_VALUE"""),"Dra, Mónica Granda Rosales")</f>
        <v>Dra, Mónica Granda Rosales</v>
      </c>
      <c r="P443" s="6" t="str">
        <f ca="1">IFERROR(__xludf.DUMMYFUNCTION("""COMPUTED_VALUE"""),"Patricia Solache (Castilla Y León)")</f>
        <v>Patricia Solache (Castilla Y León)</v>
      </c>
    </row>
    <row r="444" spans="2:16">
      <c r="B444" s="6">
        <f ca="1">IFERROR(__xludf.DUMMYFUNCTION("""COMPUTED_VALUE"""),2025)</f>
        <v>2025</v>
      </c>
      <c r="C444" s="6">
        <f ca="1">IFERROR(__xludf.DUMMYFUNCTION("""COMPUTED_VALUE"""),3)</f>
        <v>3</v>
      </c>
      <c r="D444" s="6" t="str">
        <f ca="1">IFERROR(__xludf.DUMMYFUNCTION("""COMPUTED_VALUE"""),"NO")</f>
        <v>NO</v>
      </c>
      <c r="E444" s="6" t="str">
        <f ca="1">IFERROR(__xludf.DUMMYFUNCTION("""COMPUTED_VALUE"""),"Valladolid")</f>
        <v>Valladolid</v>
      </c>
      <c r="F444" s="16">
        <f ca="1">IFERROR(__xludf.DUMMYFUNCTION("""COMPUTED_VALUE"""),45740)</f>
        <v>45740</v>
      </c>
      <c r="G444" s="16">
        <f ca="1">IFERROR(__xludf.DUMMYFUNCTION("""COMPUTED_VALUE"""),45695)</f>
        <v>45695</v>
      </c>
      <c r="H444" s="6" t="str">
        <f ca="1">IFERROR(__xludf.DUMMYFUNCTION("""COMPUTED_VALUE"""),"Valladolid")</f>
        <v>Valladolid</v>
      </c>
      <c r="I444" s="6" t="str">
        <f ca="1">IFERROR(__xludf.DUMMYFUNCTION("""COMPUTED_VALUE"""),"VLL-342")</f>
        <v>VLL-342</v>
      </c>
      <c r="J444" s="6" t="str">
        <f ca="1">IFERROR(__xludf.DUMMYFUNCTION("""COMPUTED_VALUE"""),"ROSARIO ZAMORANO CABO")</f>
        <v>ROSARIO ZAMORANO CABO</v>
      </c>
      <c r="K444" s="6">
        <f ca="1">IFERROR(__xludf.DUMMYFUNCTION("""COMPUTED_VALUE"""),2)</f>
        <v>2</v>
      </c>
      <c r="L444" s="139">
        <f ca="1">IFERROR(__xludf.DUMMYFUNCTION("""COMPUTED_VALUE"""),3977.27)</f>
        <v>3977.27</v>
      </c>
      <c r="M444" s="6" t="str">
        <f ca="1">IFERROR(__xludf.DUMMYFUNCTION("""COMPUTED_VALUE"""),"03 ORL")</f>
        <v>03 ORL</v>
      </c>
      <c r="N444" s="6" t="str">
        <f ca="1">IFERROR(__xludf.DUMMYFUNCTION("""COMPUTED_VALUE"""),"06 ORL")</f>
        <v>06 ORL</v>
      </c>
      <c r="O444" s="6" t="str">
        <f ca="1">IFERROR(__xludf.DUMMYFUNCTION("""COMPUTED_VALUE"""),"Dr, Carlos Miguel Salvador Martínez")</f>
        <v>Dr, Carlos Miguel Salvador Martínez</v>
      </c>
      <c r="P444" s="6" t="str">
        <f ca="1">IFERROR(__xludf.DUMMYFUNCTION("""COMPUTED_VALUE"""),"Patricia Solache (Castilla Y León)")</f>
        <v>Patricia Solache (Castilla Y León)</v>
      </c>
    </row>
    <row r="445" spans="2:16">
      <c r="B445" s="6">
        <f ca="1">IFERROR(__xludf.DUMMYFUNCTION("""COMPUTED_VALUE"""),2025)</f>
        <v>2025</v>
      </c>
      <c r="C445" s="6">
        <f ca="1">IFERROR(__xludf.DUMMYFUNCTION("""COMPUTED_VALUE"""),3)</f>
        <v>3</v>
      </c>
      <c r="D445" s="6" t="str">
        <f ca="1">IFERROR(__xludf.DUMMYFUNCTION("""COMPUTED_VALUE"""),"NO")</f>
        <v>NO</v>
      </c>
      <c r="E445" s="6" t="str">
        <f ca="1">IFERROR(__xludf.DUMMYFUNCTION("""COMPUTED_VALUE"""),"Cáceres")</f>
        <v>Cáceres</v>
      </c>
      <c r="F445" s="16">
        <f ca="1">IFERROR(__xludf.DUMMYFUNCTION("""COMPUTED_VALUE"""),45741)</f>
        <v>45741</v>
      </c>
      <c r="G445" s="16">
        <f ca="1">IFERROR(__xludf.DUMMYFUNCTION("""COMPUTED_VALUE"""),45621)</f>
        <v>45621</v>
      </c>
      <c r="H445" s="6" t="str">
        <f ca="1">IFERROR(__xludf.DUMMYFUNCTION("""COMPUTED_VALUE"""),"Cáceres")</f>
        <v>Cáceres</v>
      </c>
      <c r="I445" s="6" t="str">
        <f ca="1">IFERROR(__xludf.DUMMYFUNCTION("""COMPUTED_VALUE"""),"CAC-198")</f>
        <v>CAC-198</v>
      </c>
      <c r="J445" s="6" t="str">
        <f ca="1">IFERROR(__xludf.DUMMYFUNCTION("""COMPUTED_VALUE"""),"JOSE ANTONIO DE TORRES GRADO")</f>
        <v>JOSE ANTONIO DE TORRES GRADO</v>
      </c>
      <c r="K445" s="6">
        <f ca="1">IFERROR(__xludf.DUMMYFUNCTION("""COMPUTED_VALUE"""),2)</f>
        <v>2</v>
      </c>
      <c r="L445" s="139">
        <f ca="1">IFERROR(__xludf.DUMMYFUNCTION("""COMPUTED_VALUE"""),2986.36)</f>
        <v>2986.36</v>
      </c>
      <c r="M445" s="6" t="str">
        <f ca="1">IFERROR(__xludf.DUMMYFUNCTION("""COMPUTED_VALUE"""),"03 ORL")</f>
        <v>03 ORL</v>
      </c>
      <c r="N445" s="6" t="str">
        <f ca="1">IFERROR(__xludf.DUMMYFUNCTION("""COMPUTED_VALUE"""),"06 ORL")</f>
        <v>06 ORL</v>
      </c>
      <c r="O445" s="6" t="str">
        <f ca="1">IFERROR(__xludf.DUMMYFUNCTION("""COMPUTED_VALUE"""),"Dr, Raed Maqued El Maqued")</f>
        <v>Dr, Raed Maqued El Maqued</v>
      </c>
      <c r="P445" s="6" t="str">
        <f ca="1">IFERROR(__xludf.DUMMYFUNCTION("""COMPUTED_VALUE"""),"Lisandro Russian (Madrid, Cáceres, Toledo, Talavera Y Logroño)")</f>
        <v>Lisandro Russian (Madrid, Cáceres, Toledo, Talavera Y Logroño)</v>
      </c>
    </row>
    <row r="446" spans="2:16">
      <c r="B446" s="6">
        <f ca="1">IFERROR(__xludf.DUMMYFUNCTION("""COMPUTED_VALUE"""),2025)</f>
        <v>2025</v>
      </c>
      <c r="C446" s="6">
        <f ca="1">IFERROR(__xludf.DUMMYFUNCTION("""COMPUTED_VALUE"""),3)</f>
        <v>3</v>
      </c>
      <c r="D446" s="6" t="str">
        <f ca="1">IFERROR(__xludf.DUMMYFUNCTION("""COMPUTED_VALUE"""),"NO")</f>
        <v>NO</v>
      </c>
      <c r="E446" s="6" t="str">
        <f ca="1">IFERROR(__xludf.DUMMYFUNCTION("""COMPUTED_VALUE"""),"Salamanca")</f>
        <v>Salamanca</v>
      </c>
      <c r="F446" s="16">
        <f ca="1">IFERROR(__xludf.DUMMYFUNCTION("""COMPUTED_VALUE"""),45741)</f>
        <v>45741</v>
      </c>
      <c r="G446" s="16">
        <f ca="1">IFERROR(__xludf.DUMMYFUNCTION("""COMPUTED_VALUE"""),45693)</f>
        <v>45693</v>
      </c>
      <c r="H446" s="6" t="str">
        <f ca="1">IFERROR(__xludf.DUMMYFUNCTION("""COMPUTED_VALUE"""),"Salamanca")</f>
        <v>Salamanca</v>
      </c>
      <c r="I446" s="6" t="str">
        <f ca="1">IFERROR(__xludf.DUMMYFUNCTION("""COMPUTED_VALUE"""),"SLM-461")</f>
        <v>SLM-461</v>
      </c>
      <c r="J446" s="6" t="str">
        <f ca="1">IFERROR(__xludf.DUMMYFUNCTION("""COMPUTED_VALUE"""),"HORTENSIA SANCHEZ MORETA")</f>
        <v>HORTENSIA SANCHEZ MORETA</v>
      </c>
      <c r="K446" s="6">
        <f ca="1">IFERROR(__xludf.DUMMYFUNCTION("""COMPUTED_VALUE"""),2)</f>
        <v>2</v>
      </c>
      <c r="L446" s="139">
        <f ca="1">IFERROR(__xludf.DUMMYFUNCTION("""COMPUTED_VALUE"""),2780.91)</f>
        <v>2780.91</v>
      </c>
      <c r="M446" s="6" t="str">
        <f ca="1">IFERROR(__xludf.DUMMYFUNCTION("""COMPUTED_VALUE"""),"03 ORL")</f>
        <v>03 ORL</v>
      </c>
      <c r="N446" s="6" t="str">
        <f ca="1">IFERROR(__xludf.DUMMYFUNCTION("""COMPUTED_VALUE"""),"06 ORL")</f>
        <v>06 ORL</v>
      </c>
      <c r="O446" s="6" t="str">
        <f ca="1">IFERROR(__xludf.DUMMYFUNCTION("""COMPUTED_VALUE"""),"No Recuerda Orl")</f>
        <v>No Recuerda Orl</v>
      </c>
      <c r="P446" s="6" t="str">
        <f ca="1">IFERROR(__xludf.DUMMYFUNCTION("""COMPUTED_VALUE"""),"Patricia Solache (Castilla Y León)")</f>
        <v>Patricia Solache (Castilla Y León)</v>
      </c>
    </row>
    <row r="447" spans="2:16">
      <c r="B447" s="6">
        <f ca="1">IFERROR(__xludf.DUMMYFUNCTION("""COMPUTED_VALUE"""),2025)</f>
        <v>2025</v>
      </c>
      <c r="C447" s="6">
        <f ca="1">IFERROR(__xludf.DUMMYFUNCTION("""COMPUTED_VALUE"""),3)</f>
        <v>3</v>
      </c>
      <c r="D447" s="6" t="str">
        <f ca="1">IFERROR(__xludf.DUMMYFUNCTION("""COMPUTED_VALUE"""),"NO")</f>
        <v>NO</v>
      </c>
      <c r="E447" s="6" t="str">
        <f ca="1">IFERROR(__xludf.DUMMYFUNCTION("""COMPUTED_VALUE"""),"Valladolid")</f>
        <v>Valladolid</v>
      </c>
      <c r="F447" s="16">
        <f ca="1">IFERROR(__xludf.DUMMYFUNCTION("""COMPUTED_VALUE"""),45741)</f>
        <v>45741</v>
      </c>
      <c r="G447" s="16">
        <f ca="1">IFERROR(__xludf.DUMMYFUNCTION("""COMPUTED_VALUE"""),45700)</f>
        <v>45700</v>
      </c>
      <c r="H447" s="6" t="str">
        <f ca="1">IFERROR(__xludf.DUMMYFUNCTION("""COMPUTED_VALUE"""),"Valladolid")</f>
        <v>Valladolid</v>
      </c>
      <c r="I447" s="6" t="str">
        <f ca="1">IFERROR(__xludf.DUMMYFUNCTION("""COMPUTED_VALUE"""),"VLL-345")</f>
        <v>VLL-345</v>
      </c>
      <c r="J447" s="6" t="str">
        <f ca="1">IFERROR(__xludf.DUMMYFUNCTION("""COMPUTED_VALUE"""),"MARIA JESUS ARRIBAS ABRIL")</f>
        <v>MARIA JESUS ARRIBAS ABRIL</v>
      </c>
      <c r="K447" s="6">
        <f ca="1">IFERROR(__xludf.DUMMYFUNCTION("""COMPUTED_VALUE"""),1)</f>
        <v>1</v>
      </c>
      <c r="L447" s="139">
        <f ca="1">IFERROR(__xludf.DUMMYFUNCTION("""COMPUTED_VALUE"""),2080)</f>
        <v>2080</v>
      </c>
      <c r="M447" s="6" t="str">
        <f ca="1">IFERROR(__xludf.DUMMYFUNCTION("""COMPUTED_VALUE"""),"03 ORL")</f>
        <v>03 ORL</v>
      </c>
      <c r="N447" s="6" t="str">
        <f ca="1">IFERROR(__xludf.DUMMYFUNCTION("""COMPUTED_VALUE"""),"06 ORL")</f>
        <v>06 ORL</v>
      </c>
      <c r="O447" s="6" t="str">
        <f ca="1">IFERROR(__xludf.DUMMYFUNCTION("""COMPUTED_VALUE"""),"Dra, Marina Madrigal Revuelta")</f>
        <v>Dra, Marina Madrigal Revuelta</v>
      </c>
      <c r="P447" s="6" t="str">
        <f ca="1">IFERROR(__xludf.DUMMYFUNCTION("""COMPUTED_VALUE"""),"Patricia Solache (Castilla Y León)")</f>
        <v>Patricia Solache (Castilla Y León)</v>
      </c>
    </row>
    <row r="448" spans="2:16">
      <c r="B448" s="6">
        <f ca="1">IFERROR(__xludf.DUMMYFUNCTION("""COMPUTED_VALUE"""),2025)</f>
        <v>2025</v>
      </c>
      <c r="C448" s="6">
        <f ca="1">IFERROR(__xludf.DUMMYFUNCTION("""COMPUTED_VALUE"""),3)</f>
        <v>3</v>
      </c>
      <c r="D448" s="6" t="str">
        <f ca="1">IFERROR(__xludf.DUMMYFUNCTION("""COMPUTED_VALUE"""),"NO")</f>
        <v>NO</v>
      </c>
      <c r="E448" s="6" t="str">
        <f ca="1">IFERROR(__xludf.DUMMYFUNCTION("""COMPUTED_VALUE"""),"Valladolid")</f>
        <v>Valladolid</v>
      </c>
      <c r="F448" s="16">
        <f ca="1">IFERROR(__xludf.DUMMYFUNCTION("""COMPUTED_VALUE"""),45742)</f>
        <v>45742</v>
      </c>
      <c r="G448" s="16">
        <f ca="1">IFERROR(__xludf.DUMMYFUNCTION("""COMPUTED_VALUE"""),45684)</f>
        <v>45684</v>
      </c>
      <c r="H448" s="6" t="str">
        <f ca="1">IFERROR(__xludf.DUMMYFUNCTION("""COMPUTED_VALUE"""),"Valladolid")</f>
        <v>Valladolid</v>
      </c>
      <c r="I448" s="6" t="str">
        <f ca="1">IFERROR(__xludf.DUMMYFUNCTION("""COMPUTED_VALUE"""),"VLL-327")</f>
        <v>VLL-327</v>
      </c>
      <c r="J448" s="6" t="str">
        <f ca="1">IFERROR(__xludf.DUMMYFUNCTION("""COMPUTED_VALUE"""),"MARIA GARCIA SINDE")</f>
        <v>MARIA GARCIA SINDE</v>
      </c>
      <c r="K448" s="6">
        <f ca="1">IFERROR(__xludf.DUMMYFUNCTION("""COMPUTED_VALUE"""),1)</f>
        <v>1</v>
      </c>
      <c r="L448" s="139">
        <f ca="1">IFERROR(__xludf.DUMMYFUNCTION("""COMPUTED_VALUE"""),2080)</f>
        <v>2080</v>
      </c>
      <c r="M448" s="6" t="str">
        <f ca="1">IFERROR(__xludf.DUMMYFUNCTION("""COMPUTED_VALUE"""),"03 ORL")</f>
        <v>03 ORL</v>
      </c>
      <c r="N448" s="6" t="str">
        <f ca="1">IFERROR(__xludf.DUMMYFUNCTION("""COMPUTED_VALUE"""),"06 ORL")</f>
        <v>06 ORL</v>
      </c>
      <c r="O448" s="6" t="str">
        <f ca="1">IFERROR(__xludf.DUMMYFUNCTION("""COMPUTED_VALUE"""),"Dr, Carlos Miguel Salvador Martínez")</f>
        <v>Dr, Carlos Miguel Salvador Martínez</v>
      </c>
      <c r="P448" s="6" t="str">
        <f ca="1">IFERROR(__xludf.DUMMYFUNCTION("""COMPUTED_VALUE"""),"Patricia Solache (Castilla Y León)")</f>
        <v>Patricia Solache (Castilla Y León)</v>
      </c>
    </row>
    <row r="449" spans="2:16">
      <c r="B449" s="6">
        <f ca="1">IFERROR(__xludf.DUMMYFUNCTION("""COMPUTED_VALUE"""),2025)</f>
        <v>2025</v>
      </c>
      <c r="C449" s="6">
        <f ca="1">IFERROR(__xludf.DUMMYFUNCTION("""COMPUTED_VALUE"""),3)</f>
        <v>3</v>
      </c>
      <c r="D449" s="6" t="str">
        <f ca="1">IFERROR(__xludf.DUMMYFUNCTION("""COMPUTED_VALUE"""),"NO")</f>
        <v>NO</v>
      </c>
      <c r="E449" s="6" t="str">
        <f ca="1">IFERROR(__xludf.DUMMYFUNCTION("""COMPUTED_VALUE"""),"Badajoz")</f>
        <v>Badajoz</v>
      </c>
      <c r="F449" s="16">
        <f ca="1">IFERROR(__xludf.DUMMYFUNCTION("""COMPUTED_VALUE"""),45742)</f>
        <v>45742</v>
      </c>
      <c r="G449" s="16">
        <f ca="1">IFERROR(__xludf.DUMMYFUNCTION("""COMPUTED_VALUE"""),45694)</f>
        <v>45694</v>
      </c>
      <c r="H449" s="6" t="str">
        <f ca="1">IFERROR(__xludf.DUMMYFUNCTION("""COMPUTED_VALUE"""),"Badajoz")</f>
        <v>Badajoz</v>
      </c>
      <c r="I449" s="6" t="str">
        <f ca="1">IFERROR(__xludf.DUMMYFUNCTION("""COMPUTED_VALUE"""),"BJZE-2462")</f>
        <v>BJZE-2462</v>
      </c>
      <c r="J449" s="6" t="str">
        <f ca="1">IFERROR(__xludf.DUMMYFUNCTION("""COMPUTED_VALUE"""),"JUANA MARIA ESTEBAN FLECHA")</f>
        <v>JUANA MARIA ESTEBAN FLECHA</v>
      </c>
      <c r="K449" s="6">
        <f ca="1">IFERROR(__xludf.DUMMYFUNCTION("""COMPUTED_VALUE"""),1)</f>
        <v>1</v>
      </c>
      <c r="L449" s="139">
        <f ca="1">IFERROR(__xludf.DUMMYFUNCTION("""COMPUTED_VALUE"""),2640)</f>
        <v>2640</v>
      </c>
      <c r="M449" s="6" t="str">
        <f ca="1">IFERROR(__xludf.DUMMYFUNCTION("""COMPUTED_VALUE"""),"03 ORL")</f>
        <v>03 ORL</v>
      </c>
      <c r="N449" s="6" t="str">
        <f ca="1">IFERROR(__xludf.DUMMYFUNCTION("""COMPUTED_VALUE"""),"06 ORL")</f>
        <v>06 ORL</v>
      </c>
      <c r="O449" s="6" t="str">
        <f ca="1">IFERROR(__xludf.DUMMYFUNCTION("""COMPUTED_VALUE"""),"Dr, Isidoro Rubio Correa")</f>
        <v>Dr, Isidoro Rubio Correa</v>
      </c>
      <c r="P449" s="6" t="str">
        <f ca="1">IFERROR(__xludf.DUMMYFUNCTION("""COMPUTED_VALUE"""),"Luis Alberto Rodríguez (Andalucía Y Badajoz)")</f>
        <v>Luis Alberto Rodríguez (Andalucía Y Badajoz)</v>
      </c>
    </row>
    <row r="450" spans="2:16">
      <c r="B450" s="6">
        <f ca="1">IFERROR(__xludf.DUMMYFUNCTION("""COMPUTED_VALUE"""),2025)</f>
        <v>2025</v>
      </c>
      <c r="C450" s="6">
        <f ca="1">IFERROR(__xludf.DUMMYFUNCTION("""COMPUTED_VALUE"""),3)</f>
        <v>3</v>
      </c>
      <c r="D450" s="6" t="str">
        <f ca="1">IFERROR(__xludf.DUMMYFUNCTION("""COMPUTED_VALUE"""),"NO")</f>
        <v>NO</v>
      </c>
      <c r="E450" s="6" t="str">
        <f ca="1">IFERROR(__xludf.DUMMYFUNCTION("""COMPUTED_VALUE"""),"Salamanca")</f>
        <v>Salamanca</v>
      </c>
      <c r="F450" s="16">
        <f ca="1">IFERROR(__xludf.DUMMYFUNCTION("""COMPUTED_VALUE"""),45742)</f>
        <v>45742</v>
      </c>
      <c r="G450" s="16">
        <f ca="1">IFERROR(__xludf.DUMMYFUNCTION("""COMPUTED_VALUE"""),45705)</f>
        <v>45705</v>
      </c>
      <c r="H450" s="6" t="str">
        <f ca="1">IFERROR(__xludf.DUMMYFUNCTION("""COMPUTED_VALUE"""),"Salamanca")</f>
        <v>Salamanca</v>
      </c>
      <c r="I450" s="6" t="str">
        <f ca="1">IFERROR(__xludf.DUMMYFUNCTION("""COMPUTED_VALUE"""),"SLM-478")</f>
        <v>SLM-478</v>
      </c>
      <c r="J450" s="6" t="str">
        <f ca="1">IFERROR(__xludf.DUMMYFUNCTION("""COMPUTED_VALUE"""),"CARMEN DEL ROSARIO MORENO GARCIA")</f>
        <v>CARMEN DEL ROSARIO MORENO GARCIA</v>
      </c>
      <c r="K450" s="6">
        <f ca="1">IFERROR(__xludf.DUMMYFUNCTION("""COMPUTED_VALUE"""),1)</f>
        <v>1</v>
      </c>
      <c r="L450" s="139">
        <f ca="1">IFERROR(__xludf.DUMMYFUNCTION("""COMPUTED_VALUE"""),2162.73)</f>
        <v>2162.73</v>
      </c>
      <c r="M450" s="6" t="str">
        <f ca="1">IFERROR(__xludf.DUMMYFUNCTION("""COMPUTED_VALUE"""),"03 ORL")</f>
        <v>03 ORL</v>
      </c>
      <c r="N450" s="6" t="str">
        <f ca="1">IFERROR(__xludf.DUMMYFUNCTION("""COMPUTED_VALUE"""),"06 ORL")</f>
        <v>06 ORL</v>
      </c>
      <c r="O450" s="6" t="str">
        <f ca="1">IFERROR(__xludf.DUMMYFUNCTION("""COMPUTED_VALUE"""),"Dr, Ángel Muñoz Herrera")</f>
        <v>Dr, Ángel Muñoz Herrera</v>
      </c>
      <c r="P450" s="6" t="str">
        <f ca="1">IFERROR(__xludf.DUMMYFUNCTION("""COMPUTED_VALUE"""),"Patricia Solache (Castilla Y León)")</f>
        <v>Patricia Solache (Castilla Y León)</v>
      </c>
    </row>
    <row r="451" spans="2:16">
      <c r="B451" s="6">
        <f ca="1">IFERROR(__xludf.DUMMYFUNCTION("""COMPUTED_VALUE"""),2025)</f>
        <v>2025</v>
      </c>
      <c r="C451" s="6">
        <f ca="1">IFERROR(__xludf.DUMMYFUNCTION("""COMPUTED_VALUE"""),3)</f>
        <v>3</v>
      </c>
      <c r="D451" s="6" t="str">
        <f ca="1">IFERROR(__xludf.DUMMYFUNCTION("""COMPUTED_VALUE"""),"NO")</f>
        <v>NO</v>
      </c>
      <c r="E451" s="6" t="str">
        <f ca="1">IFERROR(__xludf.DUMMYFUNCTION("""COMPUTED_VALUE"""),"Cáceres")</f>
        <v>Cáceres</v>
      </c>
      <c r="F451" s="16">
        <f ca="1">IFERROR(__xludf.DUMMYFUNCTION("""COMPUTED_VALUE"""),45742)</f>
        <v>45742</v>
      </c>
      <c r="G451" s="16">
        <f ca="1">IFERROR(__xludf.DUMMYFUNCTION("""COMPUTED_VALUE"""),45714)</f>
        <v>45714</v>
      </c>
      <c r="H451" s="6" t="str">
        <f ca="1">IFERROR(__xludf.DUMMYFUNCTION("""COMPUTED_VALUE"""),"Cáceres")</f>
        <v>Cáceres</v>
      </c>
      <c r="I451" s="6" t="str">
        <f ca="1">IFERROR(__xludf.DUMMYFUNCTION("""COMPUTED_VALUE"""),"CAC-242")</f>
        <v>CAC-242</v>
      </c>
      <c r="J451" s="6" t="str">
        <f ca="1">IFERROR(__xludf.DUMMYFUNCTION("""COMPUTED_VALUE"""),"DIEGO FELIX CAMPOS")</f>
        <v>DIEGO FELIX CAMPOS</v>
      </c>
      <c r="K451" s="6">
        <f ca="1">IFERROR(__xludf.DUMMYFUNCTION("""COMPUTED_VALUE"""),2)</f>
        <v>2</v>
      </c>
      <c r="L451" s="139">
        <f ca="1">IFERROR(__xludf.DUMMYFUNCTION("""COMPUTED_VALUE"""),3818.18)</f>
        <v>3818.18</v>
      </c>
      <c r="M451" s="6" t="str">
        <f ca="1">IFERROR(__xludf.DUMMYFUNCTION("""COMPUTED_VALUE"""),"03 ORL")</f>
        <v>03 ORL</v>
      </c>
      <c r="N451" s="6" t="str">
        <f ca="1">IFERROR(__xludf.DUMMYFUNCTION("""COMPUTED_VALUE"""),"06 ORL")</f>
        <v>06 ORL</v>
      </c>
      <c r="O451" s="6" t="str">
        <f ca="1">IFERROR(__xludf.DUMMYFUNCTION("""COMPUTED_VALUE"""),"Dra, María Ángeles Herreros Sánchez")</f>
        <v>Dra, María Ángeles Herreros Sánchez</v>
      </c>
      <c r="P451" s="6" t="str">
        <f ca="1">IFERROR(__xludf.DUMMYFUNCTION("""COMPUTED_VALUE"""),"Lisandro Russian (Madrid, Cáceres, Toledo, Talavera Y Logroño)")</f>
        <v>Lisandro Russian (Madrid, Cáceres, Toledo, Talavera Y Logroño)</v>
      </c>
    </row>
    <row r="452" spans="2:16">
      <c r="B452" s="6">
        <f ca="1">IFERROR(__xludf.DUMMYFUNCTION("""COMPUTED_VALUE"""),2025)</f>
        <v>2025</v>
      </c>
      <c r="C452" s="6">
        <f ca="1">IFERROR(__xludf.DUMMYFUNCTION("""COMPUTED_VALUE"""),3)</f>
        <v>3</v>
      </c>
      <c r="D452" s="6" t="str">
        <f ca="1">IFERROR(__xludf.DUMMYFUNCTION("""COMPUTED_VALUE"""),"NO")</f>
        <v>NO</v>
      </c>
      <c r="E452" s="6" t="str">
        <f ca="1">IFERROR(__xludf.DUMMYFUNCTION("""COMPUTED_VALUE"""),"Vigo")</f>
        <v>Vigo</v>
      </c>
      <c r="F452" s="16">
        <f ca="1">IFERROR(__xludf.DUMMYFUNCTION("""COMPUTED_VALUE"""),45742)</f>
        <v>45742</v>
      </c>
      <c r="G452" s="16">
        <f ca="1">IFERROR(__xludf.DUMMYFUNCTION("""COMPUTED_VALUE"""),45716)</f>
        <v>45716</v>
      </c>
      <c r="H452" s="6" t="str">
        <f ca="1">IFERROR(__xludf.DUMMYFUNCTION("""COMPUTED_VALUE"""),"Vigo")</f>
        <v>Vigo</v>
      </c>
      <c r="I452" s="6" t="str">
        <f ca="1">IFERROR(__xludf.DUMMYFUNCTION("""COMPUTED_VALUE"""),"VIG-543")</f>
        <v>VIG-543</v>
      </c>
      <c r="J452" s="6" t="str">
        <f ca="1">IFERROR(__xludf.DUMMYFUNCTION("""COMPUTED_VALUE"""),"EVA MARIA HERNANDEZ RODRIGUEZ")</f>
        <v>EVA MARIA HERNANDEZ RODRIGUEZ</v>
      </c>
      <c r="K452" s="6">
        <f ca="1">IFERROR(__xludf.DUMMYFUNCTION("""COMPUTED_VALUE"""),1)</f>
        <v>1</v>
      </c>
      <c r="L452" s="139">
        <f ca="1">IFERROR(__xludf.DUMMYFUNCTION("""COMPUTED_VALUE"""),1727.27)</f>
        <v>1727.27</v>
      </c>
      <c r="M452" s="6" t="str">
        <f ca="1">IFERROR(__xludf.DUMMYFUNCTION("""COMPUTED_VALUE"""),"03 ORL")</f>
        <v>03 ORL</v>
      </c>
      <c r="N452" s="6" t="str">
        <f ca="1">IFERROR(__xludf.DUMMYFUNCTION("""COMPUTED_VALUE"""),"06 ORL")</f>
        <v>06 ORL</v>
      </c>
      <c r="O452" s="6" t="str">
        <f ca="1">IFERROR(__xludf.DUMMYFUNCTION("""COMPUTED_VALUE"""),"Dra, Isabel Miranda García")</f>
        <v>Dra, Isabel Miranda García</v>
      </c>
      <c r="P452" s="6" t="str">
        <f ca="1">IFERROR(__xludf.DUMMYFUNCTION("""COMPUTED_VALUE"""),"Roberto Pereira (Galicia)")</f>
        <v>Roberto Pereira (Galicia)</v>
      </c>
    </row>
    <row r="453" spans="2:16">
      <c r="B453" s="6">
        <f ca="1">IFERROR(__xludf.DUMMYFUNCTION("""COMPUTED_VALUE"""),2025)</f>
        <v>2025</v>
      </c>
      <c r="C453" s="6">
        <f ca="1">IFERROR(__xludf.DUMMYFUNCTION("""COMPUTED_VALUE"""),3)</f>
        <v>3</v>
      </c>
      <c r="D453" s="6" t="str">
        <f ca="1">IFERROR(__xludf.DUMMYFUNCTION("""COMPUTED_VALUE"""),"NO")</f>
        <v>NO</v>
      </c>
      <c r="E453" s="6" t="str">
        <f ca="1">IFERROR(__xludf.DUMMYFUNCTION("""COMPUTED_VALUE"""),"Valladolid")</f>
        <v>Valladolid</v>
      </c>
      <c r="F453" s="16">
        <f ca="1">IFERROR(__xludf.DUMMYFUNCTION("""COMPUTED_VALUE"""),45743)</f>
        <v>45743</v>
      </c>
      <c r="G453" s="16">
        <f ca="1">IFERROR(__xludf.DUMMYFUNCTION("""COMPUTED_VALUE"""),45678)</f>
        <v>45678</v>
      </c>
      <c r="H453" s="6" t="str">
        <f ca="1">IFERROR(__xludf.DUMMYFUNCTION("""COMPUTED_VALUE"""),"Valladolid")</f>
        <v>Valladolid</v>
      </c>
      <c r="I453" s="6" t="str">
        <f ca="1">IFERROR(__xludf.DUMMYFUNCTION("""COMPUTED_VALUE"""),"VLL-324")</f>
        <v>VLL-324</v>
      </c>
      <c r="J453" s="6" t="str">
        <f ca="1">IFERROR(__xludf.DUMMYFUNCTION("""COMPUTED_VALUE"""),"MARIA VICTORIA GIRALDA PEREZ")</f>
        <v>MARIA VICTORIA GIRALDA PEREZ</v>
      </c>
      <c r="K453" s="6">
        <f ca="1">IFERROR(__xludf.DUMMYFUNCTION("""COMPUTED_VALUE"""),2)</f>
        <v>2</v>
      </c>
      <c r="L453" s="139">
        <f ca="1">IFERROR(__xludf.DUMMYFUNCTION("""COMPUTED_VALUE"""),3977.27)</f>
        <v>3977.27</v>
      </c>
      <c r="M453" s="6" t="str">
        <f ca="1">IFERROR(__xludf.DUMMYFUNCTION("""COMPUTED_VALUE"""),"03 ORL")</f>
        <v>03 ORL</v>
      </c>
      <c r="N453" s="6" t="str">
        <f ca="1">IFERROR(__xludf.DUMMYFUNCTION("""COMPUTED_VALUE"""),"06 ORL")</f>
        <v>06 ORL</v>
      </c>
      <c r="O453" s="6" t="str">
        <f ca="1">IFERROR(__xludf.DUMMYFUNCTION("""COMPUTED_VALUE"""),"Dr, Manuel Acuña García")</f>
        <v>Dr, Manuel Acuña García</v>
      </c>
      <c r="P453" s="6" t="str">
        <f ca="1">IFERROR(__xludf.DUMMYFUNCTION("""COMPUTED_VALUE"""),"Patricia Solache (Castilla Y León)")</f>
        <v>Patricia Solache (Castilla Y León)</v>
      </c>
    </row>
    <row r="454" spans="2:16">
      <c r="B454" s="6">
        <f ca="1">IFERROR(__xludf.DUMMYFUNCTION("""COMPUTED_VALUE"""),2025)</f>
        <v>2025</v>
      </c>
      <c r="C454" s="6">
        <f ca="1">IFERROR(__xludf.DUMMYFUNCTION("""COMPUTED_VALUE"""),3)</f>
        <v>3</v>
      </c>
      <c r="D454" s="6" t="str">
        <f ca="1">IFERROR(__xludf.DUMMYFUNCTION("""COMPUTED_VALUE"""),"NO")</f>
        <v>NO</v>
      </c>
      <c r="E454" s="6" t="str">
        <f ca="1">IFERROR(__xludf.DUMMYFUNCTION("""COMPUTED_VALUE"""),"Boiro")</f>
        <v>Boiro</v>
      </c>
      <c r="F454" s="16">
        <f ca="1">IFERROR(__xludf.DUMMYFUNCTION("""COMPUTED_VALUE"""),45743)</f>
        <v>45743</v>
      </c>
      <c r="G454" s="16">
        <f ca="1">IFERROR(__xludf.DUMMYFUNCTION("""COMPUTED_VALUE"""),45698)</f>
        <v>45698</v>
      </c>
      <c r="H454" s="6" t="str">
        <f ca="1">IFERROR(__xludf.DUMMYFUNCTION("""COMPUTED_VALUE"""),"Boiro")</f>
        <v>Boiro</v>
      </c>
      <c r="I454" s="6" t="str">
        <f ca="1">IFERROR(__xludf.DUMMYFUNCTION("""COMPUTED_VALUE"""),"BOI-937")</f>
        <v>BOI-937</v>
      </c>
      <c r="J454" s="6" t="str">
        <f ca="1">IFERROR(__xludf.DUMMYFUNCTION("""COMPUTED_VALUE"""),"MANUEL OTERO REY")</f>
        <v>MANUEL OTERO REY</v>
      </c>
      <c r="K454" s="6">
        <f ca="1">IFERROR(__xludf.DUMMYFUNCTION("""COMPUTED_VALUE"""),2)</f>
        <v>2</v>
      </c>
      <c r="L454" s="139">
        <f ca="1">IFERROR(__xludf.DUMMYFUNCTION("""COMPUTED_VALUE"""),2818.18)</f>
        <v>2818.18</v>
      </c>
      <c r="M454" s="6" t="str">
        <f ca="1">IFERROR(__xludf.DUMMYFUNCTION("""COMPUTED_VALUE"""),"03 ORL")</f>
        <v>03 ORL</v>
      </c>
      <c r="N454" s="6" t="str">
        <f ca="1">IFERROR(__xludf.DUMMYFUNCTION("""COMPUTED_VALUE"""),"06 ORL")</f>
        <v>06 ORL</v>
      </c>
      <c r="O454" s="6" t="str">
        <f ca="1">IFERROR(__xludf.DUMMYFUNCTION("""COMPUTED_VALUE"""),"Dra, Isabel Pensado Banet")</f>
        <v>Dra, Isabel Pensado Banet</v>
      </c>
      <c r="P454" s="6" t="str">
        <f ca="1">IFERROR(__xludf.DUMMYFUNCTION("""COMPUTED_VALUE"""),"Roberto Pereira (Galicia)")</f>
        <v>Roberto Pereira (Galicia)</v>
      </c>
    </row>
    <row r="455" spans="2:16">
      <c r="B455" s="6">
        <f ca="1">IFERROR(__xludf.DUMMYFUNCTION("""COMPUTED_VALUE"""),2025)</f>
        <v>2025</v>
      </c>
      <c r="C455" s="6">
        <f ca="1">IFERROR(__xludf.DUMMYFUNCTION("""COMPUTED_VALUE"""),3)</f>
        <v>3</v>
      </c>
      <c r="D455" s="6" t="str">
        <f ca="1">IFERROR(__xludf.DUMMYFUNCTION("""COMPUTED_VALUE"""),"NO")</f>
        <v>NO</v>
      </c>
      <c r="E455" s="6" t="str">
        <f ca="1">IFERROR(__xludf.DUMMYFUNCTION("""COMPUTED_VALUE"""),"Sevilla- Ciencias")</f>
        <v>Sevilla- Ciencias</v>
      </c>
      <c r="F455" s="16">
        <f ca="1">IFERROR(__xludf.DUMMYFUNCTION("""COMPUTED_VALUE"""),45743)</f>
        <v>45743</v>
      </c>
      <c r="G455" s="16">
        <f ca="1">IFERROR(__xludf.DUMMYFUNCTION("""COMPUTED_VALUE"""),45707)</f>
        <v>45707</v>
      </c>
      <c r="H455" s="6" t="str">
        <f ca="1">IFERROR(__xludf.DUMMYFUNCTION("""COMPUTED_VALUE"""),"Sevilla Este")</f>
        <v>Sevilla Este</v>
      </c>
      <c r="I455" s="6" t="str">
        <f ca="1">IFERROR(__xludf.DUMMYFUNCTION("""COMPUTED_VALUE"""),"SEVE-368")</f>
        <v>SEVE-368</v>
      </c>
      <c r="J455" s="6" t="str">
        <f ca="1">IFERROR(__xludf.DUMMYFUNCTION("""COMPUTED_VALUE"""),"JUAN MARIA ANTEQUERA SABORIDO")</f>
        <v>JUAN MARIA ANTEQUERA SABORIDO</v>
      </c>
      <c r="K455" s="6">
        <f ca="1">IFERROR(__xludf.DUMMYFUNCTION("""COMPUTED_VALUE"""),1)</f>
        <v>1</v>
      </c>
      <c r="L455" s="139">
        <f ca="1">IFERROR(__xludf.DUMMYFUNCTION("""COMPUTED_VALUE"""),1732.73)</f>
        <v>1732.73</v>
      </c>
      <c r="M455" s="6" t="str">
        <f ca="1">IFERROR(__xludf.DUMMYFUNCTION("""COMPUTED_VALUE"""),"03 ORL")</f>
        <v>03 ORL</v>
      </c>
      <c r="N455" s="6" t="str">
        <f ca="1">IFERROR(__xludf.DUMMYFUNCTION("""COMPUTED_VALUE"""),"06 ORL")</f>
        <v>06 ORL</v>
      </c>
      <c r="O455" s="6" t="str">
        <f ca="1">IFERROR(__xludf.DUMMYFUNCTION("""COMPUTED_VALUE"""),"Dra, Cayetana López Ladrón García De La Borbolla")</f>
        <v>Dra, Cayetana López Ladrón García De La Borbolla</v>
      </c>
      <c r="P455" s="6" t="str">
        <f ca="1">IFERROR(__xludf.DUMMYFUNCTION("""COMPUTED_VALUE"""),"Luis Alberto Rodríguez (Andalucía Y Badajoz)")</f>
        <v>Luis Alberto Rodríguez (Andalucía Y Badajoz)</v>
      </c>
    </row>
    <row r="456" spans="2:16">
      <c r="B456" s="6">
        <f ca="1">IFERROR(__xludf.DUMMYFUNCTION("""COMPUTED_VALUE"""),2025)</f>
        <v>2025</v>
      </c>
      <c r="C456" s="6">
        <f ca="1">IFERROR(__xludf.DUMMYFUNCTION("""COMPUTED_VALUE"""),3)</f>
        <v>3</v>
      </c>
      <c r="D456" s="6" t="str">
        <f ca="1">IFERROR(__xludf.DUMMYFUNCTION("""COMPUTED_VALUE"""),"NO")</f>
        <v>NO</v>
      </c>
      <c r="E456" s="6" t="str">
        <f ca="1">IFERROR(__xludf.DUMMYFUNCTION("""COMPUTED_VALUE"""),"Valladolid")</f>
        <v>Valladolid</v>
      </c>
      <c r="F456" s="16">
        <f ca="1">IFERROR(__xludf.DUMMYFUNCTION("""COMPUTED_VALUE"""),45744)</f>
        <v>45744</v>
      </c>
      <c r="G456" s="16">
        <f ca="1">IFERROR(__xludf.DUMMYFUNCTION("""COMPUTED_VALUE"""),45694)</f>
        <v>45694</v>
      </c>
      <c r="H456" s="6" t="str">
        <f ca="1">IFERROR(__xludf.DUMMYFUNCTION("""COMPUTED_VALUE"""),"Valladolid")</f>
        <v>Valladolid</v>
      </c>
      <c r="I456" s="6" t="str">
        <f ca="1">IFERROR(__xludf.DUMMYFUNCTION("""COMPUTED_VALUE"""),"VLL-341")</f>
        <v>VLL-341</v>
      </c>
      <c r="J456" s="6" t="str">
        <f ca="1">IFERROR(__xludf.DUMMYFUNCTION("""COMPUTED_VALUE"""),"PEDRO SANZ GARCIA")</f>
        <v>PEDRO SANZ GARCIA</v>
      </c>
      <c r="K456" s="6">
        <f ca="1">IFERROR(__xludf.DUMMYFUNCTION("""COMPUTED_VALUE"""),2)</f>
        <v>2</v>
      </c>
      <c r="L456" s="139">
        <f ca="1">IFERROR(__xludf.DUMMYFUNCTION("""COMPUTED_VALUE"""),4068.18)</f>
        <v>4068.18</v>
      </c>
      <c r="M456" s="6" t="str">
        <f ca="1">IFERROR(__xludf.DUMMYFUNCTION("""COMPUTED_VALUE"""),"03 ORL")</f>
        <v>03 ORL</v>
      </c>
      <c r="N456" s="6" t="str">
        <f ca="1">IFERROR(__xludf.DUMMYFUNCTION("""COMPUTED_VALUE"""),"06 ORL")</f>
        <v>06 ORL</v>
      </c>
      <c r="O456" s="6" t="str">
        <f ca="1">IFERROR(__xludf.DUMMYFUNCTION("""COMPUTED_VALUE"""),"Dra, Patricia Viveros Diez")</f>
        <v>Dra, Patricia Viveros Diez</v>
      </c>
      <c r="P456" s="6" t="str">
        <f ca="1">IFERROR(__xludf.DUMMYFUNCTION("""COMPUTED_VALUE"""),"Patricia Solache (Castilla Y León)")</f>
        <v>Patricia Solache (Castilla Y León)</v>
      </c>
    </row>
    <row r="457" spans="2:16">
      <c r="B457" s="6">
        <f ca="1">IFERROR(__xludf.DUMMYFUNCTION("""COMPUTED_VALUE"""),2025)</f>
        <v>2025</v>
      </c>
      <c r="C457" s="6">
        <f ca="1">IFERROR(__xludf.DUMMYFUNCTION("""COMPUTED_VALUE"""),3)</f>
        <v>3</v>
      </c>
      <c r="D457" s="6" t="str">
        <f ca="1">IFERROR(__xludf.DUMMYFUNCTION("""COMPUTED_VALUE"""),"NO")</f>
        <v>NO</v>
      </c>
      <c r="E457" s="6" t="str">
        <f ca="1">IFERROR(__xludf.DUMMYFUNCTION("""COMPUTED_VALUE"""),"Boiro")</f>
        <v>Boiro</v>
      </c>
      <c r="F457" s="16">
        <f ca="1">IFERROR(__xludf.DUMMYFUNCTION("""COMPUTED_VALUE"""),45744)</f>
        <v>45744</v>
      </c>
      <c r="G457" s="16">
        <f ca="1">IFERROR(__xludf.DUMMYFUNCTION("""COMPUTED_VALUE"""),45706)</f>
        <v>45706</v>
      </c>
      <c r="H457" s="6" t="str">
        <f ca="1">IFERROR(__xludf.DUMMYFUNCTION("""COMPUTED_VALUE"""),"Boiro")</f>
        <v>Boiro</v>
      </c>
      <c r="I457" s="6" t="str">
        <f ca="1">IFERROR(__xludf.DUMMYFUNCTION("""COMPUTED_VALUE"""),"BOI-928")</f>
        <v>BOI-928</v>
      </c>
      <c r="J457" s="6" t="str">
        <f ca="1">IFERROR(__xludf.DUMMYFUNCTION("""COMPUTED_VALUE"""),"MANUEL VIDAL RODRIGUEZ")</f>
        <v>MANUEL VIDAL RODRIGUEZ</v>
      </c>
      <c r="K457" s="6">
        <f ca="1">IFERROR(__xludf.DUMMYFUNCTION("""COMPUTED_VALUE"""),2)</f>
        <v>2</v>
      </c>
      <c r="L457" s="139">
        <f ca="1">IFERROR(__xludf.DUMMYFUNCTION("""COMPUTED_VALUE"""),3090.91)</f>
        <v>3090.91</v>
      </c>
      <c r="M457" s="6" t="str">
        <f ca="1">IFERROR(__xludf.DUMMYFUNCTION("""COMPUTED_VALUE"""),"03 ORL")</f>
        <v>03 ORL</v>
      </c>
      <c r="N457" s="6" t="str">
        <f ca="1">IFERROR(__xludf.DUMMYFUNCTION("""COMPUTED_VALUE"""),"06 ORL")</f>
        <v>06 ORL</v>
      </c>
      <c r="O457" s="6" t="str">
        <f ca="1">IFERROR(__xludf.DUMMYFUNCTION("""COMPUTED_VALUE"""),"Dr, Carlos Vidal Redondo")</f>
        <v>Dr, Carlos Vidal Redondo</v>
      </c>
      <c r="P457" s="6" t="str">
        <f ca="1">IFERROR(__xludf.DUMMYFUNCTION("""COMPUTED_VALUE"""),"Roberto Pereira (Galicia)")</f>
        <v>Roberto Pereira (Galicia)</v>
      </c>
    </row>
    <row r="458" spans="2:16">
      <c r="B458" s="6">
        <f ca="1">IFERROR(__xludf.DUMMYFUNCTION("""COMPUTED_VALUE"""),2025)</f>
        <v>2025</v>
      </c>
      <c r="C458" s="6">
        <f ca="1">IFERROR(__xludf.DUMMYFUNCTION("""COMPUTED_VALUE"""),3)</f>
        <v>3</v>
      </c>
      <c r="D458" s="6" t="str">
        <f ca="1">IFERROR(__xludf.DUMMYFUNCTION("""COMPUTED_VALUE"""),"NO")</f>
        <v>NO</v>
      </c>
      <c r="E458" s="6" t="str">
        <f ca="1">IFERROR(__xludf.DUMMYFUNCTION("""COMPUTED_VALUE"""),"Lalín")</f>
        <v>Lalín</v>
      </c>
      <c r="F458" s="16">
        <f ca="1">IFERROR(__xludf.DUMMYFUNCTION("""COMPUTED_VALUE"""),45747)</f>
        <v>45747</v>
      </c>
      <c r="G458" s="16">
        <f ca="1">IFERROR(__xludf.DUMMYFUNCTION("""COMPUTED_VALUE"""),45707)</f>
        <v>45707</v>
      </c>
      <c r="H458" s="6" t="str">
        <f ca="1">IFERROR(__xludf.DUMMYFUNCTION("""COMPUTED_VALUE"""),"Lalín")</f>
        <v>Lalín</v>
      </c>
      <c r="I458" s="6" t="str">
        <f ca="1">IFERROR(__xludf.DUMMYFUNCTION("""COMPUTED_VALUE"""),"LAL-132")</f>
        <v>LAL-132</v>
      </c>
      <c r="J458" s="6" t="str">
        <f ca="1">IFERROR(__xludf.DUMMYFUNCTION("""COMPUTED_VALUE"""),"MARIA DIVINA CLARO PAZOS")</f>
        <v>MARIA DIVINA CLARO PAZOS</v>
      </c>
      <c r="K458" s="6">
        <f ca="1">IFERROR(__xludf.DUMMYFUNCTION("""COMPUTED_VALUE"""),2)</f>
        <v>2</v>
      </c>
      <c r="L458" s="139">
        <f ca="1">IFERROR(__xludf.DUMMYFUNCTION("""COMPUTED_VALUE"""),2900)</f>
        <v>2900</v>
      </c>
      <c r="M458" s="6" t="str">
        <f ca="1">IFERROR(__xludf.DUMMYFUNCTION("""COMPUTED_VALUE"""),"03 ORL")</f>
        <v>03 ORL</v>
      </c>
      <c r="N458" s="6" t="str">
        <f ca="1">IFERROR(__xludf.DUMMYFUNCTION("""COMPUTED_VALUE"""),"06 ORL")</f>
        <v>06 ORL</v>
      </c>
      <c r="O458" s="6" t="str">
        <f ca="1">IFERROR(__xludf.DUMMYFUNCTION("""COMPUTED_VALUE"""),"Dr, Carlos Vidal Redondo")</f>
        <v>Dr, Carlos Vidal Redondo</v>
      </c>
      <c r="P458" s="6" t="str">
        <f ca="1">IFERROR(__xludf.DUMMYFUNCTION("""COMPUTED_VALUE"""),"Roberto Pereira (Galicia)")</f>
        <v>Roberto Pereira (Galicia)</v>
      </c>
    </row>
    <row r="459" spans="2:16">
      <c r="B459" s="6">
        <f ca="1">IFERROR(__xludf.DUMMYFUNCTION("""COMPUTED_VALUE"""),2025)</f>
        <v>2025</v>
      </c>
      <c r="C459" s="6">
        <f ca="1">IFERROR(__xludf.DUMMYFUNCTION("""COMPUTED_VALUE"""),3)</f>
        <v>3</v>
      </c>
      <c r="D459" s="6" t="str">
        <f ca="1">IFERROR(__xludf.DUMMYFUNCTION("""COMPUTED_VALUE"""),"NO")</f>
        <v>NO</v>
      </c>
      <c r="E459" s="6" t="str">
        <f ca="1">IFERROR(__xludf.DUMMYFUNCTION("""COMPUTED_VALUE"""),"Vigo")</f>
        <v>Vigo</v>
      </c>
      <c r="F459" s="16">
        <f ca="1">IFERROR(__xludf.DUMMYFUNCTION("""COMPUTED_VALUE"""),45747)</f>
        <v>45747</v>
      </c>
      <c r="G459" s="16">
        <f ca="1">IFERROR(__xludf.DUMMYFUNCTION("""COMPUTED_VALUE"""),45714)</f>
        <v>45714</v>
      </c>
      <c r="H459" s="6" t="str">
        <f ca="1">IFERROR(__xludf.DUMMYFUNCTION("""COMPUTED_VALUE"""),"Vigo")</f>
        <v>Vigo</v>
      </c>
      <c r="I459" s="6" t="str">
        <f ca="1">IFERROR(__xludf.DUMMYFUNCTION("""COMPUTED_VALUE"""),"VIG-540")</f>
        <v>VIG-540</v>
      </c>
      <c r="J459" s="6" t="str">
        <f ca="1">IFERROR(__xludf.DUMMYFUNCTION("""COMPUTED_VALUE"""),"MIGUEL ANGEL LOPEZ MAURICIO")</f>
        <v>MIGUEL ANGEL LOPEZ MAURICIO</v>
      </c>
      <c r="K459" s="6">
        <f ca="1">IFERROR(__xludf.DUMMYFUNCTION("""COMPUTED_VALUE"""),2)</f>
        <v>2</v>
      </c>
      <c r="L459" s="139">
        <f ca="1">IFERROR(__xludf.DUMMYFUNCTION("""COMPUTED_VALUE"""),3545.45)</f>
        <v>3545.45</v>
      </c>
      <c r="M459" s="6" t="str">
        <f ca="1">IFERROR(__xludf.DUMMYFUNCTION("""COMPUTED_VALUE"""),"03 ORL")</f>
        <v>03 ORL</v>
      </c>
      <c r="N459" s="6" t="str">
        <f ca="1">IFERROR(__xludf.DUMMYFUNCTION("""COMPUTED_VALUE"""),"06 ORL")</f>
        <v>06 ORL</v>
      </c>
      <c r="O459" s="6" t="str">
        <f ca="1">IFERROR(__xludf.DUMMYFUNCTION("""COMPUTED_VALUE"""),"Dr, Rafael Alfonso Hurtado Ruzza")</f>
        <v>Dr, Rafael Alfonso Hurtado Ruzza</v>
      </c>
      <c r="P459" s="6" t="str">
        <f ca="1">IFERROR(__xludf.DUMMYFUNCTION("""COMPUTED_VALUE"""),"Roberto Pereira (Galicia)")</f>
        <v>Roberto Pereira (Galicia)</v>
      </c>
    </row>
    <row r="460" spans="2:16">
      <c r="B460" s="6">
        <f ca="1">IFERROR(__xludf.DUMMYFUNCTION("""COMPUTED_VALUE"""),2025)</f>
        <v>2025</v>
      </c>
      <c r="C460" s="6">
        <f ca="1">IFERROR(__xludf.DUMMYFUNCTION("""COMPUTED_VALUE"""),4)</f>
        <v>4</v>
      </c>
      <c r="D460" s="6" t="str">
        <f ca="1">IFERROR(__xludf.DUMMYFUNCTION("""COMPUTED_VALUE"""),"NO")</f>
        <v>NO</v>
      </c>
      <c r="E460" s="6" t="str">
        <f ca="1">IFERROR(__xludf.DUMMYFUNCTION("""COMPUTED_VALUE"""),"Leganés")</f>
        <v>Leganés</v>
      </c>
      <c r="F460" s="16">
        <f ca="1">IFERROR(__xludf.DUMMYFUNCTION("""COMPUTED_VALUE"""),45748)</f>
        <v>45748</v>
      </c>
      <c r="G460" s="16">
        <f ca="1">IFERROR(__xludf.DUMMYFUNCTION("""COMPUTED_VALUE"""),45723)</f>
        <v>45723</v>
      </c>
      <c r="H460" s="6" t="str">
        <f ca="1">IFERROR(__xludf.DUMMYFUNCTION("""COMPUTED_VALUE"""),"Leganés")</f>
        <v>Leganés</v>
      </c>
      <c r="I460" s="6" t="str">
        <f ca="1">IFERROR(__xludf.DUMMYFUNCTION("""COMPUTED_VALUE"""),"C2025311165935809")</f>
        <v>C2025311165935809</v>
      </c>
      <c r="J460" s="6" t="str">
        <f ca="1">IFERROR(__xludf.DUMMYFUNCTION("""COMPUTED_VALUE"""),"EUSEBIO SANTAMERA GUIJARRO")</f>
        <v>EUSEBIO SANTAMERA GUIJARRO</v>
      </c>
      <c r="K460" s="6">
        <f ca="1">IFERROR(__xludf.DUMMYFUNCTION("""COMPUTED_VALUE"""),2)</f>
        <v>2</v>
      </c>
      <c r="L460" s="139">
        <f ca="1">IFERROR(__xludf.DUMMYFUNCTION("""COMPUTED_VALUE"""),2587.27)</f>
        <v>2587.27</v>
      </c>
      <c r="M460" s="6" t="str">
        <f ca="1">IFERROR(__xludf.DUMMYFUNCTION("""COMPUTED_VALUE"""),"03 ORL")</f>
        <v>03 ORL</v>
      </c>
      <c r="N460" s="6" t="str">
        <f ca="1">IFERROR(__xludf.DUMMYFUNCTION("""COMPUTED_VALUE"""),"06 ORL")</f>
        <v>06 ORL</v>
      </c>
      <c r="O460" s="6" t="str">
        <f ca="1">IFERROR(__xludf.DUMMYFUNCTION("""COMPUTED_VALUE"""),"Dra, Ana Ruiz Fornells Noreña")</f>
        <v>Dra, Ana Ruiz Fornells Noreña</v>
      </c>
      <c r="P460" s="6" t="str">
        <f ca="1">IFERROR(__xludf.DUMMYFUNCTION("""COMPUTED_VALUE"""),"Maika Blázquez (Madrid)")</f>
        <v>Maika Blázquez (Madrid)</v>
      </c>
    </row>
    <row r="461" spans="2:16">
      <c r="B461" s="6">
        <f ca="1">IFERROR(__xludf.DUMMYFUNCTION("""COMPUTED_VALUE"""),2025)</f>
        <v>2025</v>
      </c>
      <c r="C461" s="6">
        <f ca="1">IFERROR(__xludf.DUMMYFUNCTION("""COMPUTED_VALUE"""),4)</f>
        <v>4</v>
      </c>
      <c r="D461" s="6" t="str">
        <f ca="1">IFERROR(__xludf.DUMMYFUNCTION("""COMPUTED_VALUE"""),"NO")</f>
        <v>NO</v>
      </c>
      <c r="E461" s="6" t="str">
        <f ca="1">IFERROR(__xludf.DUMMYFUNCTION("""COMPUTED_VALUE"""),"Lugo")</f>
        <v>Lugo</v>
      </c>
      <c r="F461" s="16">
        <f ca="1">IFERROR(__xludf.DUMMYFUNCTION("""COMPUTED_VALUE"""),45748)</f>
        <v>45748</v>
      </c>
      <c r="G461" s="16">
        <f ca="1">IFERROR(__xludf.DUMMYFUNCTION("""COMPUTED_VALUE"""),45679)</f>
        <v>45679</v>
      </c>
      <c r="H461" s="6" t="str">
        <f ca="1">IFERROR(__xludf.DUMMYFUNCTION("""COMPUTED_VALUE"""),"Lugo")</f>
        <v>Lugo</v>
      </c>
      <c r="I461" s="6" t="str">
        <f ca="1">IFERROR(__xludf.DUMMYFUNCTION("""COMPUTED_VALUE"""),"C20252612428274")</f>
        <v>C20252612428274</v>
      </c>
      <c r="J461" s="6" t="str">
        <f ca="1">IFERROR(__xludf.DUMMYFUNCTION("""COMPUTED_VALUE"""),"FRANCISCO DIAZ SANCHEZ")</f>
        <v>FRANCISCO DIAZ SANCHEZ</v>
      </c>
      <c r="K461" s="6">
        <f ca="1">IFERROR(__xludf.DUMMYFUNCTION("""COMPUTED_VALUE"""),1)</f>
        <v>1</v>
      </c>
      <c r="L461" s="139">
        <f ca="1">IFERROR(__xludf.DUMMYFUNCTION("""COMPUTED_VALUE"""),2640)</f>
        <v>2640</v>
      </c>
      <c r="M461" s="6" t="str">
        <f ca="1">IFERROR(__xludf.DUMMYFUNCTION("""COMPUTED_VALUE"""),"03 ORL")</f>
        <v>03 ORL</v>
      </c>
      <c r="N461" s="6" t="str">
        <f ca="1">IFERROR(__xludf.DUMMYFUNCTION("""COMPUTED_VALUE"""),"06 ORL")</f>
        <v>06 ORL</v>
      </c>
      <c r="O461" s="6" t="str">
        <f ca="1">IFERROR(__xludf.DUMMYFUNCTION("""COMPUTED_VALUE"""),"Dr, Pedro Juiz López")</f>
        <v>Dr, Pedro Juiz López</v>
      </c>
      <c r="P461" s="6" t="str">
        <f ca="1">IFERROR(__xludf.DUMMYFUNCTION("""COMPUTED_VALUE"""),"Roberto Pereira (Galicia)")</f>
        <v>Roberto Pereira (Galicia)</v>
      </c>
    </row>
    <row r="462" spans="2:16">
      <c r="B462" s="6">
        <f ca="1">IFERROR(__xludf.DUMMYFUNCTION("""COMPUTED_VALUE"""),2025)</f>
        <v>2025</v>
      </c>
      <c r="C462" s="6">
        <f ca="1">IFERROR(__xludf.DUMMYFUNCTION("""COMPUTED_VALUE"""),4)</f>
        <v>4</v>
      </c>
      <c r="D462" s="6" t="str">
        <f ca="1">IFERROR(__xludf.DUMMYFUNCTION("""COMPUTED_VALUE"""),"NO")</f>
        <v>NO</v>
      </c>
      <c r="E462" s="6" t="str">
        <f ca="1">IFERROR(__xludf.DUMMYFUNCTION("""COMPUTED_VALUE"""),"Madrid- Juan Bravo")</f>
        <v>Madrid- Juan Bravo</v>
      </c>
      <c r="F462" s="16">
        <f ca="1">IFERROR(__xludf.DUMMYFUNCTION("""COMPUTED_VALUE"""),45748)</f>
        <v>45748</v>
      </c>
      <c r="G462" s="16">
        <f ca="1">IFERROR(__xludf.DUMMYFUNCTION("""COMPUTED_VALUE"""),45677)</f>
        <v>45677</v>
      </c>
      <c r="H462" s="6" t="str">
        <f ca="1">IFERROR(__xludf.DUMMYFUNCTION("""COMPUTED_VALUE"""),"Juan Bravo")</f>
        <v>Juan Bravo</v>
      </c>
      <c r="I462" s="6" t="str">
        <f ca="1">IFERROR(__xludf.DUMMYFUNCTION("""COMPUTED_VALUE"""),"C2025128171141767")</f>
        <v>C2025128171141767</v>
      </c>
      <c r="J462" s="6" t="str">
        <f ca="1">IFERROR(__xludf.DUMMYFUNCTION("""COMPUTED_VALUE"""),"IRENE CALVO SANCHEZ")</f>
        <v>IRENE CALVO SANCHEZ</v>
      </c>
      <c r="K462" s="6">
        <f ca="1">IFERROR(__xludf.DUMMYFUNCTION("""COMPUTED_VALUE"""),1)</f>
        <v>1</v>
      </c>
      <c r="L462" s="139">
        <f ca="1">IFERROR(__xludf.DUMMYFUNCTION("""COMPUTED_VALUE"""),2226.36)</f>
        <v>2226.36</v>
      </c>
      <c r="M462" s="6" t="str">
        <f ca="1">IFERROR(__xludf.DUMMYFUNCTION("""COMPUTED_VALUE"""),"03 ORL")</f>
        <v>03 ORL</v>
      </c>
      <c r="N462" s="6" t="str">
        <f ca="1">IFERROR(__xludf.DUMMYFUNCTION("""COMPUTED_VALUE"""),"06 ORL")</f>
        <v>06 ORL</v>
      </c>
      <c r="O462" s="6" t="str">
        <f ca="1">IFERROR(__xludf.DUMMYFUNCTION("""COMPUTED_VALUE"""),"Dr, Carlos Barajas Del Rosal")</f>
        <v>Dr, Carlos Barajas Del Rosal</v>
      </c>
      <c r="P462" s="6" t="str">
        <f ca="1">IFERROR(__xludf.DUMMYFUNCTION("""COMPUTED_VALUE"""),"Lisandro Russian (Madrid, Cáceres, Toledo, Talavera Y Logroño)")</f>
        <v>Lisandro Russian (Madrid, Cáceres, Toledo, Talavera Y Logroño)</v>
      </c>
    </row>
    <row r="463" spans="2:16">
      <c r="B463" s="6">
        <f ca="1">IFERROR(__xludf.DUMMYFUNCTION("""COMPUTED_VALUE"""),2025)</f>
        <v>2025</v>
      </c>
      <c r="C463" s="6">
        <f ca="1">IFERROR(__xludf.DUMMYFUNCTION("""COMPUTED_VALUE"""),4)</f>
        <v>4</v>
      </c>
      <c r="D463" s="6" t="str">
        <f ca="1">IFERROR(__xludf.DUMMYFUNCTION("""COMPUTED_VALUE"""),"NO")</f>
        <v>NO</v>
      </c>
      <c r="E463" s="6" t="str">
        <f ca="1">IFERROR(__xludf.DUMMYFUNCTION("""COMPUTED_VALUE"""),"Madrid- Monforte de Lemos")</f>
        <v>Madrid- Monforte de Lemos</v>
      </c>
      <c r="F463" s="16">
        <f ca="1">IFERROR(__xludf.DUMMYFUNCTION("""COMPUTED_VALUE"""),45748)</f>
        <v>45748</v>
      </c>
      <c r="G463" s="16">
        <f ca="1">IFERROR(__xludf.DUMMYFUNCTION("""COMPUTED_VALUE"""),45680)</f>
        <v>45680</v>
      </c>
      <c r="H463" s="6" t="str">
        <f ca="1">IFERROR(__xludf.DUMMYFUNCTION("""COMPUTED_VALUE"""),"La Vaguada")</f>
        <v>La Vaguada</v>
      </c>
      <c r="I463" s="6" t="str">
        <f ca="1">IFERROR(__xludf.DUMMYFUNCTION("""COMPUTED_VALUE"""),"C202523152357478")</f>
        <v>C202523152357478</v>
      </c>
      <c r="J463" s="6" t="str">
        <f ca="1">IFERROR(__xludf.DUMMYFUNCTION("""COMPUTED_VALUE"""),"MARIA ANGELES SANCHEZ SEGOVIA")</f>
        <v>MARIA ANGELES SANCHEZ SEGOVIA</v>
      </c>
      <c r="K463" s="6">
        <f ca="1">IFERROR(__xludf.DUMMYFUNCTION("""COMPUTED_VALUE"""),2)</f>
        <v>2</v>
      </c>
      <c r="L463" s="139">
        <f ca="1">IFERROR(__xludf.DUMMYFUNCTION("""COMPUTED_VALUE"""),4000)</f>
        <v>4000</v>
      </c>
      <c r="M463" s="6" t="str">
        <f ca="1">IFERROR(__xludf.DUMMYFUNCTION("""COMPUTED_VALUE"""),"03 ORL")</f>
        <v>03 ORL</v>
      </c>
      <c r="N463" s="6" t="str">
        <f ca="1">IFERROR(__xludf.DUMMYFUNCTION("""COMPUTED_VALUE"""),"06 ORL")</f>
        <v>06 ORL</v>
      </c>
      <c r="O463" s="6" t="str">
        <f ca="1">IFERROR(__xludf.DUMMYFUNCTION("""COMPUTED_VALUE"""),"Dr, Alejandro Harguindey Antoli-Candela")</f>
        <v>Dr, Alejandro Harguindey Antoli-Candela</v>
      </c>
      <c r="P463" s="6" t="str">
        <f ca="1">IFERROR(__xludf.DUMMYFUNCTION("""COMPUTED_VALUE"""),"Maika Blázquez (Madrid)")</f>
        <v>Maika Blázquez (Madrid)</v>
      </c>
    </row>
    <row r="464" spans="2:16">
      <c r="B464" s="6">
        <f ca="1">IFERROR(__xludf.DUMMYFUNCTION("""COMPUTED_VALUE"""),2025)</f>
        <v>2025</v>
      </c>
      <c r="C464" s="6">
        <f ca="1">IFERROR(__xludf.DUMMYFUNCTION("""COMPUTED_VALUE"""),4)</f>
        <v>4</v>
      </c>
      <c r="D464" s="6" t="str">
        <f ca="1">IFERROR(__xludf.DUMMYFUNCTION("""COMPUTED_VALUE"""),"NO")</f>
        <v>NO</v>
      </c>
      <c r="E464" s="6" t="str">
        <f ca="1">IFERROR(__xludf.DUMMYFUNCTION("""COMPUTED_VALUE"""),"Sevilla- Montoto")</f>
        <v>Sevilla- Montoto</v>
      </c>
      <c r="F464" s="16">
        <f ca="1">IFERROR(__xludf.DUMMYFUNCTION("""COMPUTED_VALUE"""),45748)</f>
        <v>45748</v>
      </c>
      <c r="G464" s="16">
        <f ca="1">IFERROR(__xludf.DUMMYFUNCTION("""COMPUTED_VALUE"""),45705)</f>
        <v>45705</v>
      </c>
      <c r="H464" s="6" t="str">
        <f ca="1">IFERROR(__xludf.DUMMYFUNCTION("""COMPUTED_VALUE"""),"Montoto")</f>
        <v>Montoto</v>
      </c>
      <c r="I464" s="6" t="str">
        <f ca="1">IFERROR(__xludf.DUMMYFUNCTION("""COMPUTED_VALUE"""),"C2025219153340484")</f>
        <v>C2025219153340484</v>
      </c>
      <c r="J464" s="6" t="str">
        <f ca="1">IFERROR(__xludf.DUMMYFUNCTION("""COMPUTED_VALUE"""),"TATIANA RIBERO MENDOZA")</f>
        <v>TATIANA RIBERO MENDOZA</v>
      </c>
      <c r="K464" s="6">
        <f ca="1">IFERROR(__xludf.DUMMYFUNCTION("""COMPUTED_VALUE"""),2)</f>
        <v>2</v>
      </c>
      <c r="L464" s="139">
        <f ca="1">IFERROR(__xludf.DUMMYFUNCTION("""COMPUTED_VALUE"""),4000)</f>
        <v>4000</v>
      </c>
      <c r="M464" s="6" t="str">
        <f ca="1">IFERROR(__xludf.DUMMYFUNCTION("""COMPUTED_VALUE"""),"03 ORL")</f>
        <v>03 ORL</v>
      </c>
      <c r="N464" s="6" t="str">
        <f ca="1">IFERROR(__xludf.DUMMYFUNCTION("""COMPUTED_VALUE"""),"06 ORL")</f>
        <v>06 ORL</v>
      </c>
      <c r="O464" s="6" t="str">
        <f ca="1">IFERROR(__xludf.DUMMYFUNCTION("""COMPUTED_VALUE"""),"Dr, Francisco Ropero Romero")</f>
        <v>Dr, Francisco Ropero Romero</v>
      </c>
      <c r="P464" s="6" t="str">
        <f ca="1">IFERROR(__xludf.DUMMYFUNCTION("""COMPUTED_VALUE"""),"Luis Alberto Rodríguez (Andalucía Y Badajoz)")</f>
        <v>Luis Alberto Rodríguez (Andalucía Y Badajoz)</v>
      </c>
    </row>
    <row r="465" spans="2:16">
      <c r="B465" s="6">
        <f ca="1">IFERROR(__xludf.DUMMYFUNCTION("""COMPUTED_VALUE"""),2025)</f>
        <v>2025</v>
      </c>
      <c r="C465" s="6">
        <f ca="1">IFERROR(__xludf.DUMMYFUNCTION("""COMPUTED_VALUE"""),4)</f>
        <v>4</v>
      </c>
      <c r="D465" s="6" t="str">
        <f ca="1">IFERROR(__xludf.DUMMYFUNCTION("""COMPUTED_VALUE"""),"NO")</f>
        <v>NO</v>
      </c>
      <c r="E465" s="6" t="str">
        <f ca="1">IFERROR(__xludf.DUMMYFUNCTION("""COMPUTED_VALUE"""),"Ourense")</f>
        <v>Ourense</v>
      </c>
      <c r="F465" s="16">
        <f ca="1">IFERROR(__xludf.DUMMYFUNCTION("""COMPUTED_VALUE"""),45749)</f>
        <v>45749</v>
      </c>
      <c r="G465" s="16">
        <f ca="1">IFERROR(__xludf.DUMMYFUNCTION("""COMPUTED_VALUE"""),45716)</f>
        <v>45716</v>
      </c>
      <c r="H465" s="6" t="str">
        <f ca="1">IFERROR(__xludf.DUMMYFUNCTION("""COMPUTED_VALUE"""),"Orense")</f>
        <v>Orense</v>
      </c>
      <c r="I465" s="6" t="str">
        <f ca="1">IFERROR(__xludf.DUMMYFUNCTION("""COMPUTED_VALUE"""),"C2025310131050525")</f>
        <v>C2025310131050525</v>
      </c>
      <c r="J465" s="6" t="str">
        <f ca="1">IFERROR(__xludf.DUMMYFUNCTION("""COMPUTED_VALUE"""),"JOSEFA REINOSO CANGADO")</f>
        <v>JOSEFA REINOSO CANGADO</v>
      </c>
      <c r="K465" s="6">
        <f ca="1">IFERROR(__xludf.DUMMYFUNCTION("""COMPUTED_VALUE"""),2)</f>
        <v>2</v>
      </c>
      <c r="L465" s="139">
        <f ca="1">IFERROR(__xludf.DUMMYFUNCTION("""COMPUTED_VALUE"""),4000)</f>
        <v>4000</v>
      </c>
      <c r="M465" s="6" t="str">
        <f ca="1">IFERROR(__xludf.DUMMYFUNCTION("""COMPUTED_VALUE"""),"03 ORL")</f>
        <v>03 ORL</v>
      </c>
      <c r="N465" s="6" t="str">
        <f ca="1">IFERROR(__xludf.DUMMYFUNCTION("""COMPUTED_VALUE"""),"06 ORL")</f>
        <v>06 ORL</v>
      </c>
      <c r="O465" s="6" t="str">
        <f ca="1">IFERROR(__xludf.DUMMYFUNCTION("""COMPUTED_VALUE"""),"Dra, María Rey Marcos")</f>
        <v>Dra, María Rey Marcos</v>
      </c>
      <c r="P465" s="6" t="str">
        <f ca="1">IFERROR(__xludf.DUMMYFUNCTION("""COMPUTED_VALUE"""),"Roberto Pereira (Galicia)")</f>
        <v>Roberto Pereira (Galicia)</v>
      </c>
    </row>
    <row r="466" spans="2:16">
      <c r="B466" s="6">
        <f ca="1">IFERROR(__xludf.DUMMYFUNCTION("""COMPUTED_VALUE"""),2025)</f>
        <v>2025</v>
      </c>
      <c r="C466" s="6">
        <f ca="1">IFERROR(__xludf.DUMMYFUNCTION("""COMPUTED_VALUE"""),4)</f>
        <v>4</v>
      </c>
      <c r="D466" s="6" t="str">
        <f ca="1">IFERROR(__xludf.DUMMYFUNCTION("""COMPUTED_VALUE"""),"NO")</f>
        <v>NO</v>
      </c>
      <c r="E466" s="6" t="str">
        <f ca="1">IFERROR(__xludf.DUMMYFUNCTION("""COMPUTED_VALUE"""),"Fuenlabrada")</f>
        <v>Fuenlabrada</v>
      </c>
      <c r="F466" s="16">
        <f ca="1">IFERROR(__xludf.DUMMYFUNCTION("""COMPUTED_VALUE"""),45750)</f>
        <v>45750</v>
      </c>
      <c r="G466" s="16">
        <f ca="1">IFERROR(__xludf.DUMMYFUNCTION("""COMPUTED_VALUE"""),45714)</f>
        <v>45714</v>
      </c>
      <c r="H466" s="6" t="str">
        <f ca="1">IFERROR(__xludf.DUMMYFUNCTION("""COMPUTED_VALUE"""),"Fuenlabrada")</f>
        <v>Fuenlabrada</v>
      </c>
      <c r="I466" s="6" t="str">
        <f ca="1">IFERROR(__xludf.DUMMYFUNCTION("""COMPUTED_VALUE"""),"C202536171039178")</f>
        <v>C202536171039178</v>
      </c>
      <c r="J466" s="6" t="str">
        <f ca="1">IFERROR(__xludf.DUMMYFUNCTION("""COMPUTED_VALUE"""),"JULIA ACEITUNO ACEITUNO")</f>
        <v>JULIA ACEITUNO ACEITUNO</v>
      </c>
      <c r="K466" s="6">
        <f ca="1">IFERROR(__xludf.DUMMYFUNCTION("""COMPUTED_VALUE"""),2)</f>
        <v>2</v>
      </c>
      <c r="L466" s="139">
        <f ca="1">IFERROR(__xludf.DUMMYFUNCTION("""COMPUTED_VALUE"""),3710)</f>
        <v>3710</v>
      </c>
      <c r="M466" s="6" t="str">
        <f ca="1">IFERROR(__xludf.DUMMYFUNCTION("""COMPUTED_VALUE"""),"03 ORL")</f>
        <v>03 ORL</v>
      </c>
      <c r="N466" s="6" t="str">
        <f ca="1">IFERROR(__xludf.DUMMYFUNCTION("""COMPUTED_VALUE"""),"06 ORL")</f>
        <v>06 ORL</v>
      </c>
      <c r="O466" s="6" t="str">
        <f ca="1">IFERROR(__xludf.DUMMYFUNCTION("""COMPUTED_VALUE"""),"Dr, Ramón González Herranz")</f>
        <v>Dr, Ramón González Herranz</v>
      </c>
      <c r="P466" s="6" t="str">
        <f ca="1">IFERROR(__xludf.DUMMYFUNCTION("""COMPUTED_VALUE"""),"Maika Blázquez (Madrid)")</f>
        <v>Maika Blázquez (Madrid)</v>
      </c>
    </row>
    <row r="467" spans="2:16">
      <c r="B467" s="6">
        <f ca="1">IFERROR(__xludf.DUMMYFUNCTION("""COMPUTED_VALUE"""),2025)</f>
        <v>2025</v>
      </c>
      <c r="C467" s="6">
        <f ca="1">IFERROR(__xludf.DUMMYFUNCTION("""COMPUTED_VALUE"""),4)</f>
        <v>4</v>
      </c>
      <c r="D467" s="6" t="str">
        <f ca="1">IFERROR(__xludf.DUMMYFUNCTION("""COMPUTED_VALUE"""),"NO")</f>
        <v>NO</v>
      </c>
      <c r="E467" s="6" t="str">
        <f ca="1">IFERROR(__xludf.DUMMYFUNCTION("""COMPUTED_VALUE"""),"Logroño")</f>
        <v>Logroño</v>
      </c>
      <c r="F467" s="16">
        <f ca="1">IFERROR(__xludf.DUMMYFUNCTION("""COMPUTED_VALUE"""),45750)</f>
        <v>45750</v>
      </c>
      <c r="G467" s="16">
        <f ca="1">IFERROR(__xludf.DUMMYFUNCTION("""COMPUTED_VALUE"""),45686)</f>
        <v>45686</v>
      </c>
      <c r="H467" s="6" t="str">
        <f ca="1">IFERROR(__xludf.DUMMYFUNCTION("""COMPUTED_VALUE"""),"Logroño")</f>
        <v>Logroño</v>
      </c>
      <c r="I467" s="6" t="str">
        <f ca="1">IFERROR(__xludf.DUMMYFUNCTION("""COMPUTED_VALUE"""),"C2025212171955657")</f>
        <v>C2025212171955657</v>
      </c>
      <c r="J467" s="6" t="str">
        <f ca="1">IFERROR(__xludf.DUMMYFUNCTION("""COMPUTED_VALUE"""),"MARÍA DOLORES GARCÍA TUDELILLA")</f>
        <v>MARÍA DOLORES GARCÍA TUDELILLA</v>
      </c>
      <c r="K467" s="6">
        <f ca="1">IFERROR(__xludf.DUMMYFUNCTION("""COMPUTED_VALUE"""),1)</f>
        <v>1</v>
      </c>
      <c r="L467" s="139">
        <f ca="1">IFERROR(__xludf.DUMMYFUNCTION("""COMPUTED_VALUE"""),2226.36)</f>
        <v>2226.36</v>
      </c>
      <c r="M467" s="6" t="str">
        <f ca="1">IFERROR(__xludf.DUMMYFUNCTION("""COMPUTED_VALUE"""),"03 ORL")</f>
        <v>03 ORL</v>
      </c>
      <c r="N467" s="6" t="str">
        <f ca="1">IFERROR(__xludf.DUMMYFUNCTION("""COMPUTED_VALUE"""),"06 ORL")</f>
        <v>06 ORL</v>
      </c>
      <c r="O467" s="6" t="str">
        <f ca="1">IFERROR(__xludf.DUMMYFUNCTION("""COMPUTED_VALUE"""),"Dra, Cristina Ibañez Muñoz")</f>
        <v>Dra, Cristina Ibañez Muñoz</v>
      </c>
      <c r="P467" s="6" t="str">
        <f ca="1">IFERROR(__xludf.DUMMYFUNCTION("""COMPUTED_VALUE"""),"Lisandro Russian (Madrid, Cáceres, Toledo, Talavera Y Logroño)")</f>
        <v>Lisandro Russian (Madrid, Cáceres, Toledo, Talavera Y Logroño)</v>
      </c>
    </row>
    <row r="468" spans="2:16">
      <c r="B468" s="6">
        <f ca="1">IFERROR(__xludf.DUMMYFUNCTION("""COMPUTED_VALUE"""),2025)</f>
        <v>2025</v>
      </c>
      <c r="C468" s="6">
        <f ca="1">IFERROR(__xludf.DUMMYFUNCTION("""COMPUTED_VALUE"""),4)</f>
        <v>4</v>
      </c>
      <c r="D468" s="6" t="str">
        <f ca="1">IFERROR(__xludf.DUMMYFUNCTION("""COMPUTED_VALUE"""),"NO")</f>
        <v>NO</v>
      </c>
      <c r="E468" s="6" t="str">
        <f ca="1">IFERROR(__xludf.DUMMYFUNCTION("""COMPUTED_VALUE"""),"Madrid- La Oca")</f>
        <v>Madrid- La Oca</v>
      </c>
      <c r="F468" s="16">
        <f ca="1">IFERROR(__xludf.DUMMYFUNCTION("""COMPUTED_VALUE"""),45750)</f>
        <v>45750</v>
      </c>
      <c r="G468" s="16">
        <f ca="1">IFERROR(__xludf.DUMMYFUNCTION("""COMPUTED_VALUE"""),45700)</f>
        <v>45700</v>
      </c>
      <c r="H468" s="6" t="str">
        <f ca="1">IFERROR(__xludf.DUMMYFUNCTION("""COMPUTED_VALUE"""),"La Oca")</f>
        <v>La Oca</v>
      </c>
      <c r="I468" s="6" t="str">
        <f ca="1">IFERROR(__xludf.DUMMYFUNCTION("""COMPUTED_VALUE"""),"C202522018321748")</f>
        <v>C202522018321748</v>
      </c>
      <c r="J468" s="6" t="str">
        <f ca="1">IFERROR(__xludf.DUMMYFUNCTION("""COMPUTED_VALUE"""),"JOSE PRIETO CUESTA")</f>
        <v>JOSE PRIETO CUESTA</v>
      </c>
      <c r="K468" s="6">
        <f ca="1">IFERROR(__xludf.DUMMYFUNCTION("""COMPUTED_VALUE"""),1)</f>
        <v>1</v>
      </c>
      <c r="L468" s="139">
        <f ca="1">IFERROR(__xludf.DUMMYFUNCTION("""COMPUTED_VALUE"""),2115.09)</f>
        <v>2115.09</v>
      </c>
      <c r="M468" s="6" t="str">
        <f ca="1">IFERROR(__xludf.DUMMYFUNCTION("""COMPUTED_VALUE"""),"03 ORL")</f>
        <v>03 ORL</v>
      </c>
      <c r="N468" s="6" t="str">
        <f ca="1">IFERROR(__xludf.DUMMYFUNCTION("""COMPUTED_VALUE"""),"06 ORL")</f>
        <v>06 ORL</v>
      </c>
      <c r="O468" s="6" t="str">
        <f ca="1">IFERROR(__xludf.DUMMYFUNCTION("""COMPUTED_VALUE"""),"Dr, Félix Rodríguez Paz")</f>
        <v>Dr, Félix Rodríguez Paz</v>
      </c>
      <c r="P468" s="6" t="str">
        <f ca="1">IFERROR(__xludf.DUMMYFUNCTION("""COMPUTED_VALUE"""),"Maika Blázquez (Madrid)")</f>
        <v>Maika Blázquez (Madrid)</v>
      </c>
    </row>
    <row r="469" spans="2:16">
      <c r="B469" s="6">
        <f ca="1">IFERROR(__xludf.DUMMYFUNCTION("""COMPUTED_VALUE"""),2025)</f>
        <v>2025</v>
      </c>
      <c r="C469" s="6">
        <f ca="1">IFERROR(__xludf.DUMMYFUNCTION("""COMPUTED_VALUE"""),4)</f>
        <v>4</v>
      </c>
      <c r="D469" s="6" t="str">
        <f ca="1">IFERROR(__xludf.DUMMYFUNCTION("""COMPUTED_VALUE"""),"NO")</f>
        <v>NO</v>
      </c>
      <c r="E469" s="6" t="str">
        <f ca="1">IFERROR(__xludf.DUMMYFUNCTION("""COMPUTED_VALUE"""),"Madrid- La Oca")</f>
        <v>Madrid- La Oca</v>
      </c>
      <c r="F469" s="16">
        <f ca="1">IFERROR(__xludf.DUMMYFUNCTION("""COMPUTED_VALUE"""),45750)</f>
        <v>45750</v>
      </c>
      <c r="G469" s="16">
        <f ca="1">IFERROR(__xludf.DUMMYFUNCTION("""COMPUTED_VALUE"""),45715)</f>
        <v>45715</v>
      </c>
      <c r="H469" s="6" t="str">
        <f ca="1">IFERROR(__xludf.DUMMYFUNCTION("""COMPUTED_VALUE"""),"La Oca")</f>
        <v>La Oca</v>
      </c>
      <c r="I469" s="6" t="str">
        <f ca="1">IFERROR(__xludf.DUMMYFUNCTION("""COMPUTED_VALUE"""),"C202535104543545")</f>
        <v>C202535104543545</v>
      </c>
      <c r="J469" s="6" t="str">
        <f ca="1">IFERROR(__xludf.DUMMYFUNCTION("""COMPUTED_VALUE"""),"JUAN ABANADES BENITO")</f>
        <v>JUAN ABANADES BENITO</v>
      </c>
      <c r="K469" s="6">
        <f ca="1">IFERROR(__xludf.DUMMYFUNCTION("""COMPUTED_VALUE"""),1)</f>
        <v>1</v>
      </c>
      <c r="L469" s="139">
        <f ca="1">IFERROR(__xludf.DUMMYFUNCTION("""COMPUTED_VALUE"""),2226.36)</f>
        <v>2226.36</v>
      </c>
      <c r="M469" s="6" t="str">
        <f ca="1">IFERROR(__xludf.DUMMYFUNCTION("""COMPUTED_VALUE"""),"03 ORL")</f>
        <v>03 ORL</v>
      </c>
      <c r="N469" s="6" t="str">
        <f ca="1">IFERROR(__xludf.DUMMYFUNCTION("""COMPUTED_VALUE"""),"06 ORL")</f>
        <v>06 ORL</v>
      </c>
      <c r="O469" s="6" t="str">
        <f ca="1">IFERROR(__xludf.DUMMYFUNCTION("""COMPUTED_VALUE"""),"Dr, Eviatar Friedlander")</f>
        <v>Dr, Eviatar Friedlander</v>
      </c>
      <c r="P469" s="6" t="str">
        <f ca="1">IFERROR(__xludf.DUMMYFUNCTION("""COMPUTED_VALUE"""),"Maika Blázquez (Madrid)")</f>
        <v>Maika Blázquez (Madrid)</v>
      </c>
    </row>
    <row r="470" spans="2:16">
      <c r="B470" s="6">
        <f ca="1">IFERROR(__xludf.DUMMYFUNCTION("""COMPUTED_VALUE"""),2025)</f>
        <v>2025</v>
      </c>
      <c r="C470" s="6">
        <f ca="1">IFERROR(__xludf.DUMMYFUNCTION("""COMPUTED_VALUE"""),4)</f>
        <v>4</v>
      </c>
      <c r="D470" s="6" t="str">
        <f ca="1">IFERROR(__xludf.DUMMYFUNCTION("""COMPUTED_VALUE"""),"NO")</f>
        <v>NO</v>
      </c>
      <c r="E470" s="6" t="str">
        <f ca="1">IFERROR(__xludf.DUMMYFUNCTION("""COMPUTED_VALUE"""),"Ourense")</f>
        <v>Ourense</v>
      </c>
      <c r="F470" s="16">
        <f ca="1">IFERROR(__xludf.DUMMYFUNCTION("""COMPUTED_VALUE"""),45751)</f>
        <v>45751</v>
      </c>
      <c r="G470" s="16">
        <f ca="1">IFERROR(__xludf.DUMMYFUNCTION("""COMPUTED_VALUE"""),45733)</f>
        <v>45733</v>
      </c>
      <c r="H470" s="6" t="str">
        <f ca="1">IFERROR(__xludf.DUMMYFUNCTION("""COMPUTED_VALUE"""),"Orense")</f>
        <v>Orense</v>
      </c>
      <c r="I470" s="6" t="str">
        <f ca="1">IFERROR(__xludf.DUMMYFUNCTION("""COMPUTED_VALUE"""),"C202532111406504")</f>
        <v>C202532111406504</v>
      </c>
      <c r="J470" s="6" t="str">
        <f ca="1">IFERROR(__xludf.DUMMYFUNCTION("""COMPUTED_VALUE"""),"DIGNA GOMEZ GRANDE")</f>
        <v>DIGNA GOMEZ GRANDE</v>
      </c>
      <c r="K470" s="6">
        <f ca="1">IFERROR(__xludf.DUMMYFUNCTION("""COMPUTED_VALUE"""),2)</f>
        <v>2</v>
      </c>
      <c r="L470" s="139">
        <f ca="1">IFERROR(__xludf.DUMMYFUNCTION("""COMPUTED_VALUE"""),4000)</f>
        <v>4000</v>
      </c>
      <c r="M470" s="6" t="str">
        <f ca="1">IFERROR(__xludf.DUMMYFUNCTION("""COMPUTED_VALUE"""),"03 ORL")</f>
        <v>03 ORL</v>
      </c>
      <c r="N470" s="6" t="str">
        <f ca="1">IFERROR(__xludf.DUMMYFUNCTION("""COMPUTED_VALUE"""),"06 ORL")</f>
        <v>06 ORL</v>
      </c>
      <c r="O470" s="6" t="str">
        <f ca="1">IFERROR(__xludf.DUMMYFUNCTION("""COMPUTED_VALUE"""),"Dra, María Rey Marcos")</f>
        <v>Dra, María Rey Marcos</v>
      </c>
      <c r="P470" s="6" t="str">
        <f ca="1">IFERROR(__xludf.DUMMYFUNCTION("""COMPUTED_VALUE"""),"Roberto Pereira (Galicia)")</f>
        <v>Roberto Pereira (Galicia)</v>
      </c>
    </row>
    <row r="471" spans="2:16">
      <c r="B471" s="6">
        <f ca="1">IFERROR(__xludf.DUMMYFUNCTION("""COMPUTED_VALUE"""),2025)</f>
        <v>2025</v>
      </c>
      <c r="C471" s="6">
        <f ca="1">IFERROR(__xludf.DUMMYFUNCTION("""COMPUTED_VALUE"""),4)</f>
        <v>4</v>
      </c>
      <c r="D471" s="6" t="str">
        <f ca="1">IFERROR(__xludf.DUMMYFUNCTION("""COMPUTED_VALUE"""),"NO")</f>
        <v>NO</v>
      </c>
      <c r="E471" s="6" t="str">
        <f ca="1">IFERROR(__xludf.DUMMYFUNCTION("""COMPUTED_VALUE"""),"Ourense")</f>
        <v>Ourense</v>
      </c>
      <c r="F471" s="16">
        <f ca="1">IFERROR(__xludf.DUMMYFUNCTION("""COMPUTED_VALUE"""),45751)</f>
        <v>45751</v>
      </c>
      <c r="G471" s="16">
        <f ca="1">IFERROR(__xludf.DUMMYFUNCTION("""COMPUTED_VALUE"""),45701)</f>
        <v>45701</v>
      </c>
      <c r="H471" s="6" t="str">
        <f ca="1">IFERROR(__xludf.DUMMYFUNCTION("""COMPUTED_VALUE"""),"Orense")</f>
        <v>Orense</v>
      </c>
      <c r="I471" s="6" t="str">
        <f ca="1">IFERROR(__xludf.DUMMYFUNCTION("""COMPUTED_VALUE"""),"C202537125118614")</f>
        <v>C202537125118614</v>
      </c>
      <c r="J471" s="6" t="str">
        <f ca="1">IFERROR(__xludf.DUMMYFUNCTION("""COMPUTED_VALUE"""),"JOSEFA BRETAÑA PROL")</f>
        <v>JOSEFA BRETAÑA PROL</v>
      </c>
      <c r="K471" s="6">
        <f ca="1">IFERROR(__xludf.DUMMYFUNCTION("""COMPUTED_VALUE"""),1)</f>
        <v>1</v>
      </c>
      <c r="L471" s="139">
        <f ca="1">IFERROR(__xludf.DUMMYFUNCTION("""COMPUTED_VALUE"""),1732.73)</f>
        <v>1732.73</v>
      </c>
      <c r="M471" s="6" t="str">
        <f ca="1">IFERROR(__xludf.DUMMYFUNCTION("""COMPUTED_VALUE"""),"03 ORL")</f>
        <v>03 ORL</v>
      </c>
      <c r="N471" s="6" t="str">
        <f ca="1">IFERROR(__xludf.DUMMYFUNCTION("""COMPUTED_VALUE"""),"06 ORL")</f>
        <v>06 ORL</v>
      </c>
      <c r="O471" s="6" t="str">
        <f ca="1">IFERROR(__xludf.DUMMYFUNCTION("""COMPUTED_VALUE"""),"Dra, María Rey Marcos")</f>
        <v>Dra, María Rey Marcos</v>
      </c>
      <c r="P471" s="6" t="str">
        <f ca="1">IFERROR(__xludf.DUMMYFUNCTION("""COMPUTED_VALUE"""),"Roberto Pereira (Galicia)")</f>
        <v>Roberto Pereira (Galicia)</v>
      </c>
    </row>
    <row r="472" spans="2:16">
      <c r="B472" s="6">
        <f ca="1">IFERROR(__xludf.DUMMYFUNCTION("""COMPUTED_VALUE"""),2025)</f>
        <v>2025</v>
      </c>
      <c r="C472" s="6">
        <f ca="1">IFERROR(__xludf.DUMMYFUNCTION("""COMPUTED_VALUE"""),4)</f>
        <v>4</v>
      </c>
      <c r="D472" s="6" t="str">
        <f ca="1">IFERROR(__xludf.DUMMYFUNCTION("""COMPUTED_VALUE"""),"NO")</f>
        <v>NO</v>
      </c>
      <c r="E472" s="6" t="str">
        <f ca="1">IFERROR(__xludf.DUMMYFUNCTION("""COMPUTED_VALUE"""),"Orihuela")</f>
        <v>Orihuela</v>
      </c>
      <c r="F472" s="16">
        <f ca="1">IFERROR(__xludf.DUMMYFUNCTION("""COMPUTED_VALUE"""),45754)</f>
        <v>45754</v>
      </c>
      <c r="G472" s="16">
        <f ca="1">IFERROR(__xludf.DUMMYFUNCTION("""COMPUTED_VALUE"""),45716)</f>
        <v>45716</v>
      </c>
      <c r="H472" s="6" t="str">
        <f ca="1">IFERROR(__xludf.DUMMYFUNCTION("""COMPUTED_VALUE"""),"La Zenia")</f>
        <v>La Zenia</v>
      </c>
      <c r="I472" s="6" t="str">
        <f ca="1">IFERROR(__xludf.DUMMYFUNCTION("""COMPUTED_VALUE"""),"C20253716456828")</f>
        <v>C20253716456828</v>
      </c>
      <c r="J472" s="6" t="str">
        <f ca="1">IFERROR(__xludf.DUMMYFUNCTION("""COMPUTED_VALUE"""),"DAVID ROS MELLADO")</f>
        <v>DAVID ROS MELLADO</v>
      </c>
      <c r="K472" s="6">
        <f ca="1">IFERROR(__xludf.DUMMYFUNCTION("""COMPUTED_VALUE"""),1)</f>
        <v>1</v>
      </c>
      <c r="L472" s="139">
        <f ca="1">IFERROR(__xludf.DUMMYFUNCTION("""COMPUTED_VALUE"""),2400)</f>
        <v>2400</v>
      </c>
      <c r="M472" s="6" t="str">
        <f ca="1">IFERROR(__xludf.DUMMYFUNCTION("""COMPUTED_VALUE"""),"01 MARKETING ON LINE")</f>
        <v>01 MARKETING ON LINE</v>
      </c>
      <c r="N472" s="6" t="str">
        <f ca="1">IFERROR(__xludf.DUMMYFUNCTION("""COMPUTED_VALUE"""),"04 AUDIFONO,ES")</f>
        <v>04 AUDIFONO,ES</v>
      </c>
      <c r="O472" s="6" t="str">
        <f ca="1">IFERROR(__xludf.DUMMYFUNCTION("""COMPUTED_VALUE"""),"Dr, Juan Javier Álvarez López")</f>
        <v>Dr, Juan Javier Álvarez López</v>
      </c>
      <c r="P472" s="6" t="str">
        <f ca="1">IFERROR(__xludf.DUMMYFUNCTION("""COMPUTED_VALUE"""),"Iván Sánchez (Levante Y Albacete)")</f>
        <v>Iván Sánchez (Levante Y Albacete)</v>
      </c>
    </row>
    <row r="473" spans="2:16">
      <c r="B473" s="6">
        <f ca="1">IFERROR(__xludf.DUMMYFUNCTION("""COMPUTED_VALUE"""),2025)</f>
        <v>2025</v>
      </c>
      <c r="C473" s="6">
        <f ca="1">IFERROR(__xludf.DUMMYFUNCTION("""COMPUTED_VALUE"""),4)</f>
        <v>4</v>
      </c>
      <c r="D473" s="6" t="str">
        <f ca="1">IFERROR(__xludf.DUMMYFUNCTION("""COMPUTED_VALUE"""),"NO")</f>
        <v>NO</v>
      </c>
      <c r="E473" s="6" t="str">
        <f ca="1">IFERROR(__xludf.DUMMYFUNCTION("""COMPUTED_VALUE"""),"San Javier")</f>
        <v>San Javier</v>
      </c>
      <c r="F473" s="16">
        <f ca="1">IFERROR(__xludf.DUMMYFUNCTION("""COMPUTED_VALUE"""),45754)</f>
        <v>45754</v>
      </c>
      <c r="G473" s="16">
        <f ca="1">IFERROR(__xludf.DUMMYFUNCTION("""COMPUTED_VALUE"""),45694)</f>
        <v>45694</v>
      </c>
      <c r="H473" s="6" t="str">
        <f ca="1">IFERROR(__xludf.DUMMYFUNCTION("""COMPUTED_VALUE"""),"San Javier")</f>
        <v>San Javier</v>
      </c>
      <c r="I473" s="6" t="str">
        <f ca="1">IFERROR(__xludf.DUMMYFUNCTION("""COMPUTED_VALUE"""),"C2025219164347732")</f>
        <v>C2025219164347732</v>
      </c>
      <c r="J473" s="6" t="str">
        <f ca="1">IFERROR(__xludf.DUMMYFUNCTION("""COMPUTED_VALUE"""),"JUAN CARLOS SEVILLA VICEDO")</f>
        <v>JUAN CARLOS SEVILLA VICEDO</v>
      </c>
      <c r="K473" s="6">
        <f ca="1">IFERROR(__xludf.DUMMYFUNCTION("""COMPUTED_VALUE"""),2)</f>
        <v>2</v>
      </c>
      <c r="L473" s="139">
        <f ca="1">IFERROR(__xludf.DUMMYFUNCTION("""COMPUTED_VALUE"""),3763.64)</f>
        <v>3763.64</v>
      </c>
      <c r="M473" s="6" t="str">
        <f ca="1">IFERROR(__xludf.DUMMYFUNCTION("""COMPUTED_VALUE"""),"03 ORL")</f>
        <v>03 ORL</v>
      </c>
      <c r="N473" s="6" t="str">
        <f ca="1">IFERROR(__xludf.DUMMYFUNCTION("""COMPUTED_VALUE"""),"06 ORL")</f>
        <v>06 ORL</v>
      </c>
      <c r="O473" s="6" t="str">
        <f ca="1">IFERROR(__xludf.DUMMYFUNCTION("""COMPUTED_VALUE"""),"Dra, Elena Sevilla Heras")</f>
        <v>Dra, Elena Sevilla Heras</v>
      </c>
      <c r="P473" s="6" t="str">
        <f ca="1">IFERROR(__xludf.DUMMYFUNCTION("""COMPUTED_VALUE"""),"Iván Sánchez (Levante Y Albacete)")</f>
        <v>Iván Sánchez (Levante Y Albacete)</v>
      </c>
    </row>
    <row r="474" spans="2:16">
      <c r="B474" s="6">
        <f ca="1">IFERROR(__xludf.DUMMYFUNCTION("""COMPUTED_VALUE"""),2025)</f>
        <v>2025</v>
      </c>
      <c r="C474" s="6">
        <f ca="1">IFERROR(__xludf.DUMMYFUNCTION("""COMPUTED_VALUE"""),4)</f>
        <v>4</v>
      </c>
      <c r="D474" s="6" t="str">
        <f ca="1">IFERROR(__xludf.DUMMYFUNCTION("""COMPUTED_VALUE"""),"NO")</f>
        <v>NO</v>
      </c>
      <c r="E474" s="6" t="str">
        <f ca="1">IFERROR(__xludf.DUMMYFUNCTION("""COMPUTED_VALUE"""),"Salamanca")</f>
        <v>Salamanca</v>
      </c>
      <c r="F474" s="16">
        <f ca="1">IFERROR(__xludf.DUMMYFUNCTION("""COMPUTED_VALUE"""),45754)</f>
        <v>45754</v>
      </c>
      <c r="G474" s="16">
        <f ca="1">IFERROR(__xludf.DUMMYFUNCTION("""COMPUTED_VALUE"""),45427)</f>
        <v>45427</v>
      </c>
      <c r="H474" s="6" t="str">
        <f ca="1">IFERROR(__xludf.DUMMYFUNCTION("""COMPUTED_VALUE"""),"Salamanca")</f>
        <v>Salamanca</v>
      </c>
      <c r="I474" s="6" t="str">
        <f ca="1">IFERROR(__xludf.DUMMYFUNCTION("""COMPUTED_VALUE"""),"SLM-276")</f>
        <v>SLM-276</v>
      </c>
      <c r="J474" s="6" t="str">
        <f ca="1">IFERROR(__xludf.DUMMYFUNCTION("""COMPUTED_VALUE"""),"MARIA DEL CARMEN GARCIA NIETO")</f>
        <v>MARIA DEL CARMEN GARCIA NIETO</v>
      </c>
      <c r="K474" s="6">
        <f ca="1">IFERROR(__xludf.DUMMYFUNCTION("""COMPUTED_VALUE"""),2)</f>
        <v>2</v>
      </c>
      <c r="L474" s="139">
        <f ca="1">IFERROR(__xludf.DUMMYFUNCTION("""COMPUTED_VALUE"""),3604.46)</f>
        <v>3604.46</v>
      </c>
      <c r="M474" s="6" t="str">
        <f ca="1">IFERROR(__xludf.DUMMYFUNCTION("""COMPUTED_VALUE"""),"03 ORL")</f>
        <v>03 ORL</v>
      </c>
      <c r="N474" s="6" t="str">
        <f ca="1">IFERROR(__xludf.DUMMYFUNCTION("""COMPUTED_VALUE"""),"06 ORL")</f>
        <v>06 ORL</v>
      </c>
      <c r="O474" s="6" t="str">
        <f ca="1">IFERROR(__xludf.DUMMYFUNCTION("""COMPUTED_VALUE"""),"Dr, María Jesús Cornejo Domínguez")</f>
        <v>Dr, María Jesús Cornejo Domínguez</v>
      </c>
      <c r="P474" s="6" t="str">
        <f ca="1">IFERROR(__xludf.DUMMYFUNCTION("""COMPUTED_VALUE"""),"Patricia Solache (Castilla Y León)")</f>
        <v>Patricia Solache (Castilla Y León)</v>
      </c>
    </row>
    <row r="475" spans="2:16">
      <c r="B475" s="6">
        <f ca="1">IFERROR(__xludf.DUMMYFUNCTION("""COMPUTED_VALUE"""),2025)</f>
        <v>2025</v>
      </c>
      <c r="C475" s="6">
        <f ca="1">IFERROR(__xludf.DUMMYFUNCTION("""COMPUTED_VALUE"""),4)</f>
        <v>4</v>
      </c>
      <c r="D475" s="6" t="str">
        <f ca="1">IFERROR(__xludf.DUMMYFUNCTION("""COMPUTED_VALUE"""),"NO")</f>
        <v>NO</v>
      </c>
      <c r="E475" s="6" t="str">
        <f ca="1">IFERROR(__xludf.DUMMYFUNCTION("""COMPUTED_VALUE"""),"Ponferrada")</f>
        <v>Ponferrada</v>
      </c>
      <c r="F475" s="16">
        <f ca="1">IFERROR(__xludf.DUMMYFUNCTION("""COMPUTED_VALUE"""),45754)</f>
        <v>45754</v>
      </c>
      <c r="G475" s="16">
        <f ca="1">IFERROR(__xludf.DUMMYFUNCTION("""COMPUTED_VALUE"""),45586)</f>
        <v>45586</v>
      </c>
      <c r="H475" s="6" t="str">
        <f ca="1">IFERROR(__xludf.DUMMYFUNCTION("""COMPUTED_VALUE"""),"Ponferrada")</f>
        <v>Ponferrada</v>
      </c>
      <c r="I475" s="6" t="str">
        <f ca="1">IFERROR(__xludf.DUMMYFUNCTION("""COMPUTED_VALUE"""),"PON-810")</f>
        <v>PON-810</v>
      </c>
      <c r="J475" s="6" t="str">
        <f ca="1">IFERROR(__xludf.DUMMYFUNCTION("""COMPUTED_VALUE"""),"PALMIRA DE LA FUENTE ALONSO")</f>
        <v>PALMIRA DE LA FUENTE ALONSO</v>
      </c>
      <c r="K475" s="6">
        <f ca="1">IFERROR(__xludf.DUMMYFUNCTION("""COMPUTED_VALUE"""),2)</f>
        <v>2</v>
      </c>
      <c r="L475" s="139">
        <f ca="1">IFERROR(__xludf.DUMMYFUNCTION("""COMPUTED_VALUE"""),3181.82)</f>
        <v>3181.82</v>
      </c>
      <c r="M475" s="6" t="str">
        <f ca="1">IFERROR(__xludf.DUMMYFUNCTION("""COMPUTED_VALUE"""),"03 ORL")</f>
        <v>03 ORL</v>
      </c>
      <c r="N475" s="6" t="str">
        <f ca="1">IFERROR(__xludf.DUMMYFUNCTION("""COMPUTED_VALUE"""),"06 ORL")</f>
        <v>06 ORL</v>
      </c>
      <c r="O475" s="6" t="str">
        <f ca="1">IFERROR(__xludf.DUMMYFUNCTION("""COMPUTED_VALUE"""),"Dra, Diana Lysbeth Lourido Piedrahita")</f>
        <v>Dra, Diana Lysbeth Lourido Piedrahita</v>
      </c>
      <c r="P475" s="6" t="str">
        <f ca="1">IFERROR(__xludf.DUMMYFUNCTION("""COMPUTED_VALUE"""),"Patricia Solache (Castilla Y León)")</f>
        <v>Patricia Solache (Castilla Y León)</v>
      </c>
    </row>
    <row r="476" spans="2:16">
      <c r="B476" s="6">
        <f ca="1">IFERROR(__xludf.DUMMYFUNCTION("""COMPUTED_VALUE"""),2025)</f>
        <v>2025</v>
      </c>
      <c r="C476" s="6">
        <f ca="1">IFERROR(__xludf.DUMMYFUNCTION("""COMPUTED_VALUE"""),4)</f>
        <v>4</v>
      </c>
      <c r="D476" s="6" t="str">
        <f ca="1">IFERROR(__xludf.DUMMYFUNCTION("""COMPUTED_VALUE"""),"NO")</f>
        <v>NO</v>
      </c>
      <c r="E476" s="6" t="str">
        <f ca="1">IFERROR(__xludf.DUMMYFUNCTION("""COMPUTED_VALUE"""),"Zaragoza- León XIII")</f>
        <v>Zaragoza- León XIII</v>
      </c>
      <c r="F476" s="16">
        <f ca="1">IFERROR(__xludf.DUMMYFUNCTION("""COMPUTED_VALUE"""),45754)</f>
        <v>45754</v>
      </c>
      <c r="G476" s="16">
        <f ca="1">IFERROR(__xludf.DUMMYFUNCTION("""COMPUTED_VALUE"""),45740)</f>
        <v>45740</v>
      </c>
      <c r="H476" s="6" t="str">
        <f ca="1">IFERROR(__xludf.DUMMYFUNCTION("""COMPUTED_VALUE"""),"Zaragoza")</f>
        <v>Zaragoza</v>
      </c>
      <c r="I476" s="6" t="str">
        <f ca="1">IFERROR(__xludf.DUMMYFUNCTION("""COMPUTED_VALUE"""),"ZRG-604")</f>
        <v>ZRG-604</v>
      </c>
      <c r="J476" s="6" t="str">
        <f ca="1">IFERROR(__xludf.DUMMYFUNCTION("""COMPUTED_VALUE"""),"JOSE FROILAN SOLANS SERRANO")</f>
        <v>JOSE FROILAN SOLANS SERRANO</v>
      </c>
      <c r="K476" s="6">
        <f ca="1">IFERROR(__xludf.DUMMYFUNCTION("""COMPUTED_VALUE"""),2)</f>
        <v>2</v>
      </c>
      <c r="L476" s="139">
        <f ca="1">IFERROR(__xludf.DUMMYFUNCTION("""COMPUTED_VALUE"""),3627.27)</f>
        <v>3627.27</v>
      </c>
      <c r="M476" s="6" t="str">
        <f ca="1">IFERROR(__xludf.DUMMYFUNCTION("""COMPUTED_VALUE"""),"03 ORL")</f>
        <v>03 ORL</v>
      </c>
      <c r="N476" s="6" t="str">
        <f ca="1">IFERROR(__xludf.DUMMYFUNCTION("""COMPUTED_VALUE"""),"06 ORL")</f>
        <v>06 ORL</v>
      </c>
      <c r="O476" s="6" t="str">
        <f ca="1">IFERROR(__xludf.DUMMYFUNCTION("""COMPUTED_VALUE"""),"Dr, José Manuel García Solans-Esteras")</f>
        <v>Dr, José Manuel García Solans-Esteras</v>
      </c>
      <c r="P476" s="6" t="str">
        <f ca="1">IFERROR(__xludf.DUMMYFUNCTION("""COMPUTED_VALUE"""),"Lisandro Russian (Madrid, Cáceres, Toledo, Talavera Y Logroño)")</f>
        <v>Lisandro Russian (Madrid, Cáceres, Toledo, Talavera Y Logroño)</v>
      </c>
    </row>
    <row r="477" spans="2:16">
      <c r="B477" s="6">
        <f ca="1">IFERROR(__xludf.DUMMYFUNCTION("""COMPUTED_VALUE"""),2025)</f>
        <v>2025</v>
      </c>
      <c r="C477" s="6">
        <f ca="1">IFERROR(__xludf.DUMMYFUNCTION("""COMPUTED_VALUE"""),4)</f>
        <v>4</v>
      </c>
      <c r="D477" s="6" t="str">
        <f ca="1">IFERROR(__xludf.DUMMYFUNCTION("""COMPUTED_VALUE"""),"NO")</f>
        <v>NO</v>
      </c>
      <c r="E477" s="6" t="str">
        <f ca="1">IFERROR(__xludf.DUMMYFUNCTION("""COMPUTED_VALUE"""),"Hospitalet de Llobregat")</f>
        <v>Hospitalet de Llobregat</v>
      </c>
      <c r="F477" s="16">
        <f ca="1">IFERROR(__xludf.DUMMYFUNCTION("""COMPUTED_VALUE"""),45755)</f>
        <v>45755</v>
      </c>
      <c r="G477" s="16">
        <f ca="1">IFERROR(__xludf.DUMMYFUNCTION("""COMPUTED_VALUE"""),45705)</f>
        <v>45705</v>
      </c>
      <c r="H477" s="6" t="str">
        <f ca="1">IFERROR(__xludf.DUMMYFUNCTION("""COMPUTED_VALUE"""),"Hospitalet")</f>
        <v>Hospitalet</v>
      </c>
      <c r="I477" s="6" t="str">
        <f ca="1">IFERROR(__xludf.DUMMYFUNCTION("""COMPUTED_VALUE"""),"C20252189810642")</f>
        <v>C20252189810642</v>
      </c>
      <c r="J477" s="6" t="str">
        <f ca="1">IFERROR(__xludf.DUMMYFUNCTION("""COMPUTED_VALUE"""),"MIGUEL FUERTES ESCRICHE")</f>
        <v>MIGUEL FUERTES ESCRICHE</v>
      </c>
      <c r="K477" s="6">
        <f ca="1">IFERROR(__xludf.DUMMYFUNCTION("""COMPUTED_VALUE"""),2)</f>
        <v>2</v>
      </c>
      <c r="L477" s="139">
        <f ca="1">IFERROR(__xludf.DUMMYFUNCTION("""COMPUTED_VALUE"""),3604.55)</f>
        <v>3604.55</v>
      </c>
      <c r="M477" s="6" t="str">
        <f ca="1">IFERROR(__xludf.DUMMYFUNCTION("""COMPUTED_VALUE"""),"03 ORL")</f>
        <v>03 ORL</v>
      </c>
      <c r="N477" s="6" t="str">
        <f ca="1">IFERROR(__xludf.DUMMYFUNCTION("""COMPUTED_VALUE"""),"06 ORL")</f>
        <v>06 ORL</v>
      </c>
      <c r="O477" s="6" t="str">
        <f ca="1">IFERROR(__xludf.DUMMYFUNCTION("""COMPUTED_VALUE"""),"Dr, Enric Cisa Lluis")</f>
        <v>Dr, Enric Cisa Lluis</v>
      </c>
      <c r="P477" s="6" t="str">
        <f ca="1">IFERROR(__xludf.DUMMYFUNCTION("""COMPUTED_VALUE"""),"Mercè Cabrera (Cataluña Y Baleares)")</f>
        <v>Mercè Cabrera (Cataluña Y Baleares)</v>
      </c>
    </row>
    <row r="478" spans="2:16">
      <c r="B478" s="6">
        <f ca="1">IFERROR(__xludf.DUMMYFUNCTION("""COMPUTED_VALUE"""),2025)</f>
        <v>2025</v>
      </c>
      <c r="C478" s="6">
        <f ca="1">IFERROR(__xludf.DUMMYFUNCTION("""COMPUTED_VALUE"""),4)</f>
        <v>4</v>
      </c>
      <c r="D478" s="6" t="str">
        <f ca="1">IFERROR(__xludf.DUMMYFUNCTION("""COMPUTED_VALUE"""),"NO")</f>
        <v>NO</v>
      </c>
      <c r="E478" s="6" t="str">
        <f ca="1">IFERROR(__xludf.DUMMYFUNCTION("""COMPUTED_VALUE"""),"Madrid- Juan Bravo")</f>
        <v>Madrid- Juan Bravo</v>
      </c>
      <c r="F478" s="16">
        <f ca="1">IFERROR(__xludf.DUMMYFUNCTION("""COMPUTED_VALUE"""),45755)</f>
        <v>45755</v>
      </c>
      <c r="G478" s="16">
        <f ca="1">IFERROR(__xludf.DUMMYFUNCTION("""COMPUTED_VALUE"""),45706)</f>
        <v>45706</v>
      </c>
      <c r="H478" s="6" t="str">
        <f ca="1">IFERROR(__xludf.DUMMYFUNCTION("""COMPUTED_VALUE"""),"Juan Bravo")</f>
        <v>Juan Bravo</v>
      </c>
      <c r="I478" s="6" t="str">
        <f ca="1">IFERROR(__xludf.DUMMYFUNCTION("""COMPUTED_VALUE"""),"C202521995942417")</f>
        <v>C202521995942417</v>
      </c>
      <c r="J478" s="6" t="str">
        <f ca="1">IFERROR(__xludf.DUMMYFUNCTION("""COMPUTED_VALUE"""),"JOSE HERNANDEZ QUERO")</f>
        <v>JOSE HERNANDEZ QUERO</v>
      </c>
      <c r="K478" s="6">
        <f ca="1">IFERROR(__xludf.DUMMYFUNCTION("""COMPUTED_VALUE"""),1)</f>
        <v>1</v>
      </c>
      <c r="L478" s="139">
        <f ca="1">IFERROR(__xludf.DUMMYFUNCTION("""COMPUTED_VALUE"""),2640)</f>
        <v>2640</v>
      </c>
      <c r="M478" s="6" t="str">
        <f ca="1">IFERROR(__xludf.DUMMYFUNCTION("""COMPUTED_VALUE"""),"03 ORL")</f>
        <v>03 ORL</v>
      </c>
      <c r="N478" s="6" t="str">
        <f ca="1">IFERROR(__xludf.DUMMYFUNCTION("""COMPUTED_VALUE"""),"06 ORL")</f>
        <v>06 ORL</v>
      </c>
      <c r="O478" s="6" t="str">
        <f ca="1">IFERROR(__xludf.DUMMYFUNCTION("""COMPUTED_VALUE"""),"Dr, Javier García Domínguez")</f>
        <v>Dr, Javier García Domínguez</v>
      </c>
      <c r="P478" s="6" t="str">
        <f ca="1">IFERROR(__xludf.DUMMYFUNCTION("""COMPUTED_VALUE"""),"Maika Blázquez (Madrid)")</f>
        <v>Maika Blázquez (Madrid)</v>
      </c>
    </row>
    <row r="479" spans="2:16">
      <c r="B479" s="6">
        <f ca="1">IFERROR(__xludf.DUMMYFUNCTION("""COMPUTED_VALUE"""),2025)</f>
        <v>2025</v>
      </c>
      <c r="C479" s="6">
        <f ca="1">IFERROR(__xludf.DUMMYFUNCTION("""COMPUTED_VALUE"""),4)</f>
        <v>4</v>
      </c>
      <c r="D479" s="6" t="str">
        <f ca="1">IFERROR(__xludf.DUMMYFUNCTION("""COMPUTED_VALUE"""),"NO")</f>
        <v>NO</v>
      </c>
      <c r="E479" s="6" t="str">
        <f ca="1">IFERROR(__xludf.DUMMYFUNCTION("""COMPUTED_VALUE"""),"Madrid- Moratalaz")</f>
        <v>Madrid- Moratalaz</v>
      </c>
      <c r="F479" s="16">
        <f ca="1">IFERROR(__xludf.DUMMYFUNCTION("""COMPUTED_VALUE"""),45755)</f>
        <v>45755</v>
      </c>
      <c r="G479" s="16">
        <f ca="1">IFERROR(__xludf.DUMMYFUNCTION("""COMPUTED_VALUE"""),45742)</f>
        <v>45742</v>
      </c>
      <c r="H479" s="6" t="str">
        <f ca="1">IFERROR(__xludf.DUMMYFUNCTION("""COMPUTED_VALUE"""),"Moratalaz")</f>
        <v>Moratalaz</v>
      </c>
      <c r="I479" s="6" t="str">
        <f ca="1">IFERROR(__xludf.DUMMYFUNCTION("""COMPUTED_VALUE"""),"C202543181230397")</f>
        <v>C202543181230397</v>
      </c>
      <c r="J479" s="6" t="str">
        <f ca="1">IFERROR(__xludf.DUMMYFUNCTION("""COMPUTED_VALUE"""),"CONCEPCIÓN DIAZ TORRES")</f>
        <v>CONCEPCIÓN DIAZ TORRES</v>
      </c>
      <c r="K479" s="6">
        <f ca="1">IFERROR(__xludf.DUMMYFUNCTION("""COMPUTED_VALUE"""),2)</f>
        <v>2</v>
      </c>
      <c r="L479" s="139">
        <f ca="1">IFERROR(__xludf.DUMMYFUNCTION("""COMPUTED_VALUE"""),4000)</f>
        <v>4000</v>
      </c>
      <c r="M479" s="6" t="str">
        <f ca="1">IFERROR(__xludf.DUMMYFUNCTION("""COMPUTED_VALUE"""),"03 ORL")</f>
        <v>03 ORL</v>
      </c>
      <c r="N479" s="6" t="str">
        <f ca="1">IFERROR(__xludf.DUMMYFUNCTION("""COMPUTED_VALUE"""),"06 ORL")</f>
        <v>06 ORL</v>
      </c>
      <c r="O479" s="6" t="str">
        <f ca="1">IFERROR(__xludf.DUMMYFUNCTION("""COMPUTED_VALUE"""),"Dr, Esteban Scola Pliego")</f>
        <v>Dr, Esteban Scola Pliego</v>
      </c>
      <c r="P479" s="6" t="str">
        <f ca="1">IFERROR(__xludf.DUMMYFUNCTION("""COMPUTED_VALUE"""),"Maika Blázquez (Madrid)")</f>
        <v>Maika Blázquez (Madrid)</v>
      </c>
    </row>
    <row r="480" spans="2:16">
      <c r="B480" s="6">
        <f ca="1">IFERROR(__xludf.DUMMYFUNCTION("""COMPUTED_VALUE"""),2025)</f>
        <v>2025</v>
      </c>
      <c r="C480" s="6">
        <f ca="1">IFERROR(__xludf.DUMMYFUNCTION("""COMPUTED_VALUE"""),4)</f>
        <v>4</v>
      </c>
      <c r="D480" s="6" t="str">
        <f ca="1">IFERROR(__xludf.DUMMYFUNCTION("""COMPUTED_VALUE"""),"NO")</f>
        <v>NO</v>
      </c>
      <c r="E480" s="6" t="str">
        <f ca="1">IFERROR(__xludf.DUMMYFUNCTION("""COMPUTED_VALUE"""),"Orihuela")</f>
        <v>Orihuela</v>
      </c>
      <c r="F480" s="16">
        <f ca="1">IFERROR(__xludf.DUMMYFUNCTION("""COMPUTED_VALUE"""),45755)</f>
        <v>45755</v>
      </c>
      <c r="G480" s="16">
        <f ca="1">IFERROR(__xludf.DUMMYFUNCTION("""COMPUTED_VALUE"""),45730)</f>
        <v>45730</v>
      </c>
      <c r="H480" s="6" t="str">
        <f ca="1">IFERROR(__xludf.DUMMYFUNCTION("""COMPUTED_VALUE"""),"La Zenia")</f>
        <v>La Zenia</v>
      </c>
      <c r="I480" s="6" t="str">
        <f ca="1">IFERROR(__xludf.DUMMYFUNCTION("""COMPUTED_VALUE"""),"C2025321112440758")</f>
        <v>C2025321112440758</v>
      </c>
      <c r="J480" s="6" t="str">
        <f ca="1">IFERROR(__xludf.DUMMYFUNCTION("""COMPUTED_VALUE"""),"BORIS BURMAKIN")</f>
        <v>BORIS BURMAKIN</v>
      </c>
      <c r="K480" s="6">
        <f ca="1">IFERROR(__xludf.DUMMYFUNCTION("""COMPUTED_VALUE"""),2)</f>
        <v>2</v>
      </c>
      <c r="L480" s="139">
        <f ca="1">IFERROR(__xludf.DUMMYFUNCTION("""COMPUTED_VALUE"""),4000)</f>
        <v>4000</v>
      </c>
      <c r="M480" s="6" t="str">
        <f ca="1">IFERROR(__xludf.DUMMYFUNCTION("""COMPUTED_VALUE"""),"03 ORL")</f>
        <v>03 ORL</v>
      </c>
      <c r="N480" s="6" t="str">
        <f ca="1">IFERROR(__xludf.DUMMYFUNCTION("""COMPUTED_VALUE"""),"06 ORL")</f>
        <v>06 ORL</v>
      </c>
      <c r="O480" s="6" t="str">
        <f ca="1">IFERROR(__xludf.DUMMYFUNCTION("""COMPUTED_VALUE"""),"Dr, Juan Javier Álvarez López")</f>
        <v>Dr, Juan Javier Álvarez López</v>
      </c>
      <c r="P480" s="6" t="str">
        <f ca="1">IFERROR(__xludf.DUMMYFUNCTION("""COMPUTED_VALUE"""),"Iván Sánchez (Levante Y Albacete)")</f>
        <v>Iván Sánchez (Levante Y Albacete)</v>
      </c>
    </row>
    <row r="481" spans="2:16">
      <c r="B481" s="6">
        <f ca="1">IFERROR(__xludf.DUMMYFUNCTION("""COMPUTED_VALUE"""),2025)</f>
        <v>2025</v>
      </c>
      <c r="C481" s="6">
        <f ca="1">IFERROR(__xludf.DUMMYFUNCTION("""COMPUTED_VALUE"""),4)</f>
        <v>4</v>
      </c>
      <c r="D481" s="6" t="str">
        <f ca="1">IFERROR(__xludf.DUMMYFUNCTION("""COMPUTED_VALUE"""),"NO")</f>
        <v>NO</v>
      </c>
      <c r="E481" s="6" t="str">
        <f ca="1">IFERROR(__xludf.DUMMYFUNCTION("""COMPUTED_VALUE"""),"Valladolid")</f>
        <v>Valladolid</v>
      </c>
      <c r="F481" s="16">
        <f ca="1">IFERROR(__xludf.DUMMYFUNCTION("""COMPUTED_VALUE"""),45755)</f>
        <v>45755</v>
      </c>
      <c r="G481" s="16">
        <f ca="1">IFERROR(__xludf.DUMMYFUNCTION("""COMPUTED_VALUE"""),45688)</f>
        <v>45688</v>
      </c>
      <c r="H481" s="6" t="str">
        <f ca="1">IFERROR(__xludf.DUMMYFUNCTION("""COMPUTED_VALUE"""),"Valladolid")</f>
        <v>Valladolid</v>
      </c>
      <c r="I481" s="6" t="str">
        <f ca="1">IFERROR(__xludf.DUMMYFUNCTION("""COMPUTED_VALUE"""),"VLL-335")</f>
        <v>VLL-335</v>
      </c>
      <c r="J481" s="6" t="str">
        <f ca="1">IFERROR(__xludf.DUMMYFUNCTION("""COMPUTED_VALUE"""),"MARIA ROSARIO ORDAX MENDEZ")</f>
        <v>MARIA ROSARIO ORDAX MENDEZ</v>
      </c>
      <c r="K481" s="6">
        <f ca="1">IFERROR(__xludf.DUMMYFUNCTION("""COMPUTED_VALUE"""),2)</f>
        <v>2</v>
      </c>
      <c r="L481" s="139">
        <f ca="1">IFERROR(__xludf.DUMMYFUNCTION("""COMPUTED_VALUE"""),3977.27)</f>
        <v>3977.27</v>
      </c>
      <c r="M481" s="6" t="str">
        <f ca="1">IFERROR(__xludf.DUMMYFUNCTION("""COMPUTED_VALUE"""),"03 ORL")</f>
        <v>03 ORL</v>
      </c>
      <c r="N481" s="6" t="str">
        <f ca="1">IFERROR(__xludf.DUMMYFUNCTION("""COMPUTED_VALUE"""),"06 ORL")</f>
        <v>06 ORL</v>
      </c>
      <c r="O481" s="6" t="str">
        <f ca="1">IFERROR(__xludf.DUMMYFUNCTION("""COMPUTED_VALUE"""),"Dr, Javier Herrero Agustín")</f>
        <v>Dr, Javier Herrero Agustín</v>
      </c>
      <c r="P481" s="6" t="str">
        <f ca="1">IFERROR(__xludf.DUMMYFUNCTION("""COMPUTED_VALUE"""),"Patricia Solache (Castilla Y León)")</f>
        <v>Patricia Solache (Castilla Y León)</v>
      </c>
    </row>
    <row r="482" spans="2:16">
      <c r="B482" s="6">
        <f ca="1">IFERROR(__xludf.DUMMYFUNCTION("""COMPUTED_VALUE"""),2025)</f>
        <v>2025</v>
      </c>
      <c r="C482" s="6">
        <f ca="1">IFERROR(__xludf.DUMMYFUNCTION("""COMPUTED_VALUE"""),4)</f>
        <v>4</v>
      </c>
      <c r="D482" s="6" t="str">
        <f ca="1">IFERROR(__xludf.DUMMYFUNCTION("""COMPUTED_VALUE"""),"NO")</f>
        <v>NO</v>
      </c>
      <c r="E482" s="6" t="str">
        <f ca="1">IFERROR(__xludf.DUMMYFUNCTION("""COMPUTED_VALUE"""),"Sevilla- Ciencias")</f>
        <v>Sevilla- Ciencias</v>
      </c>
      <c r="F482" s="16">
        <f ca="1">IFERROR(__xludf.DUMMYFUNCTION("""COMPUTED_VALUE"""),45755)</f>
        <v>45755</v>
      </c>
      <c r="G482" s="16">
        <f ca="1">IFERROR(__xludf.DUMMYFUNCTION("""COMPUTED_VALUE"""),45702)</f>
        <v>45702</v>
      </c>
      <c r="H482" s="6" t="str">
        <f ca="1">IFERROR(__xludf.DUMMYFUNCTION("""COMPUTED_VALUE"""),"Sevilla Este")</f>
        <v>Sevilla Este</v>
      </c>
      <c r="I482" s="6" t="str">
        <f ca="1">IFERROR(__xludf.DUMMYFUNCTION("""COMPUTED_VALUE"""),"SEVE-366")</f>
        <v>SEVE-366</v>
      </c>
      <c r="J482" s="6" t="str">
        <f ca="1">IFERROR(__xludf.DUMMYFUNCTION("""COMPUTED_VALUE"""),"LUIS PASTOR SUAREZ")</f>
        <v>LUIS PASTOR SUAREZ</v>
      </c>
      <c r="K482" s="6">
        <f ca="1">IFERROR(__xludf.DUMMYFUNCTION("""COMPUTED_VALUE"""),2)</f>
        <v>2</v>
      </c>
      <c r="L482" s="139">
        <f ca="1">IFERROR(__xludf.DUMMYFUNCTION("""COMPUTED_VALUE"""),3710)</f>
        <v>3710</v>
      </c>
      <c r="M482" s="6" t="str">
        <f ca="1">IFERROR(__xludf.DUMMYFUNCTION("""COMPUTED_VALUE"""),"01 MARKETING ON LINE")</f>
        <v>01 MARKETING ON LINE</v>
      </c>
      <c r="N482" s="6" t="str">
        <f ca="1">IFERROR(__xludf.DUMMYFUNCTION("""COMPUTED_VALUE"""),"04 AUDIFONO,ES")</f>
        <v>04 AUDIFONO,ES</v>
      </c>
      <c r="O482" s="6" t="str">
        <f ca="1">IFERROR(__xludf.DUMMYFUNCTION("""COMPUTED_VALUE"""),"Dr, Miguel Rodriguez Pérez")</f>
        <v>Dr, Miguel Rodriguez Pérez</v>
      </c>
      <c r="P482" s="6" t="str">
        <f ca="1">IFERROR(__xludf.DUMMYFUNCTION("""COMPUTED_VALUE"""),"Luis Alberto Rodríguez (Andalucía Y Badajoz)")</f>
        <v>Luis Alberto Rodríguez (Andalucía Y Badajoz)</v>
      </c>
    </row>
    <row r="483" spans="2:16">
      <c r="B483" s="6">
        <f ca="1">IFERROR(__xludf.DUMMYFUNCTION("""COMPUTED_VALUE"""),2025)</f>
        <v>2025</v>
      </c>
      <c r="C483" s="6">
        <f ca="1">IFERROR(__xludf.DUMMYFUNCTION("""COMPUTED_VALUE"""),4)</f>
        <v>4</v>
      </c>
      <c r="D483" s="6" t="str">
        <f ca="1">IFERROR(__xludf.DUMMYFUNCTION("""COMPUTED_VALUE"""),"NO")</f>
        <v>NO</v>
      </c>
      <c r="E483" s="6" t="str">
        <f ca="1">IFERROR(__xludf.DUMMYFUNCTION("""COMPUTED_VALUE"""),"Jerez de la Frontera")</f>
        <v>Jerez de la Frontera</v>
      </c>
      <c r="F483" s="16">
        <f ca="1">IFERROR(__xludf.DUMMYFUNCTION("""COMPUTED_VALUE"""),45756)</f>
        <v>45756</v>
      </c>
      <c r="G483" s="16">
        <f ca="1">IFERROR(__xludf.DUMMYFUNCTION("""COMPUTED_VALUE"""),45722)</f>
        <v>45722</v>
      </c>
      <c r="H483" s="6" t="str">
        <f ca="1">IFERROR(__xludf.DUMMYFUNCTION("""COMPUTED_VALUE"""),"Jerez")</f>
        <v>Jerez</v>
      </c>
      <c r="I483" s="6" t="str">
        <f ca="1">IFERROR(__xludf.DUMMYFUNCTION("""COMPUTED_VALUE"""),"C202536181632710")</f>
        <v>C202536181632710</v>
      </c>
      <c r="J483" s="6" t="str">
        <f ca="1">IFERROR(__xludf.DUMMYFUNCTION("""COMPUTED_VALUE"""),"JOSE MARIA PALOMINO GOMEZ")</f>
        <v>JOSE MARIA PALOMINO GOMEZ</v>
      </c>
      <c r="K483" s="6">
        <f ca="1">IFERROR(__xludf.DUMMYFUNCTION("""COMPUTED_VALUE"""),1)</f>
        <v>1</v>
      </c>
      <c r="L483" s="139">
        <f ca="1">IFERROR(__xludf.DUMMYFUNCTION("""COMPUTED_VALUE"""),2640)</f>
        <v>2640</v>
      </c>
      <c r="M483" s="6" t="str">
        <f ca="1">IFERROR(__xludf.DUMMYFUNCTION("""COMPUTED_VALUE"""),"03 ORL")</f>
        <v>03 ORL</v>
      </c>
      <c r="N483" s="6" t="str">
        <f ca="1">IFERROR(__xludf.DUMMYFUNCTION("""COMPUTED_VALUE"""),"06 ORL")</f>
        <v>06 ORL</v>
      </c>
      <c r="O483" s="6" t="str">
        <f ca="1">IFERROR(__xludf.DUMMYFUNCTION("""COMPUTED_VALUE"""),"Dra, Estefanía Berrocal Postigo")</f>
        <v>Dra, Estefanía Berrocal Postigo</v>
      </c>
      <c r="P483" s="6" t="str">
        <f ca="1">IFERROR(__xludf.DUMMYFUNCTION("""COMPUTED_VALUE"""),"Luis Alberto Rodríguez (Andalucía Y Badajoz)")</f>
        <v>Luis Alberto Rodríguez (Andalucía Y Badajoz)</v>
      </c>
    </row>
    <row r="484" spans="2:16">
      <c r="B484" s="6">
        <f ca="1">IFERROR(__xludf.DUMMYFUNCTION("""COMPUTED_VALUE"""),2025)</f>
        <v>2025</v>
      </c>
      <c r="C484" s="6">
        <f ca="1">IFERROR(__xludf.DUMMYFUNCTION("""COMPUTED_VALUE"""),4)</f>
        <v>4</v>
      </c>
      <c r="D484" s="6" t="str">
        <f ca="1">IFERROR(__xludf.DUMMYFUNCTION("""COMPUTED_VALUE"""),"NO")</f>
        <v>NO</v>
      </c>
      <c r="E484" s="6" t="str">
        <f ca="1">IFERROR(__xludf.DUMMYFUNCTION("""COMPUTED_VALUE"""),"Logroño")</f>
        <v>Logroño</v>
      </c>
      <c r="F484" s="16">
        <f ca="1">IFERROR(__xludf.DUMMYFUNCTION("""COMPUTED_VALUE"""),45756)</f>
        <v>45756</v>
      </c>
      <c r="G484" s="16">
        <f ca="1">IFERROR(__xludf.DUMMYFUNCTION("""COMPUTED_VALUE"""),45714)</f>
        <v>45714</v>
      </c>
      <c r="H484" s="6" t="str">
        <f ca="1">IFERROR(__xludf.DUMMYFUNCTION("""COMPUTED_VALUE"""),"Logroño")</f>
        <v>Logroño</v>
      </c>
      <c r="I484" s="6" t="str">
        <f ca="1">IFERROR(__xludf.DUMMYFUNCTION("""COMPUTED_VALUE"""),"C2025341832191")</f>
        <v>C2025341832191</v>
      </c>
      <c r="J484" s="6" t="str">
        <f ca="1">IFERROR(__xludf.DUMMYFUNCTION("""COMPUTED_VALUE"""),"VICENTE NOVOA MARTINEZ")</f>
        <v>VICENTE NOVOA MARTINEZ</v>
      </c>
      <c r="K484" s="6">
        <f ca="1">IFERROR(__xludf.DUMMYFUNCTION("""COMPUTED_VALUE"""),2)</f>
        <v>2</v>
      </c>
      <c r="L484" s="139">
        <f ca="1">IFERROR(__xludf.DUMMYFUNCTION("""COMPUTED_VALUE"""),4000)</f>
        <v>4000</v>
      </c>
      <c r="M484" s="6" t="str">
        <f ca="1">IFERROR(__xludf.DUMMYFUNCTION("""COMPUTED_VALUE"""),"03 ORL")</f>
        <v>03 ORL</v>
      </c>
      <c r="N484" s="6" t="str">
        <f ca="1">IFERROR(__xludf.DUMMYFUNCTION("""COMPUTED_VALUE"""),"06 ORL")</f>
        <v>06 ORL</v>
      </c>
      <c r="O484" s="6" t="str">
        <f ca="1">IFERROR(__xludf.DUMMYFUNCTION("""COMPUTED_VALUE"""),"Dra, Cristina Ibañez Muñoz")</f>
        <v>Dra, Cristina Ibañez Muñoz</v>
      </c>
      <c r="P484" s="6" t="str">
        <f ca="1">IFERROR(__xludf.DUMMYFUNCTION("""COMPUTED_VALUE"""),"Lisandro Russian (Madrid, Cáceres, Toledo, Talavera Y Logroño)")</f>
        <v>Lisandro Russian (Madrid, Cáceres, Toledo, Talavera Y Logroño)</v>
      </c>
    </row>
    <row r="485" spans="2:16">
      <c r="B485" s="6">
        <f ca="1">IFERROR(__xludf.DUMMYFUNCTION("""COMPUTED_VALUE"""),2025)</f>
        <v>2025</v>
      </c>
      <c r="C485" s="6">
        <f ca="1">IFERROR(__xludf.DUMMYFUNCTION("""COMPUTED_VALUE"""),4)</f>
        <v>4</v>
      </c>
      <c r="D485" s="6" t="str">
        <f ca="1">IFERROR(__xludf.DUMMYFUNCTION("""COMPUTED_VALUE"""),"NO")</f>
        <v>NO</v>
      </c>
      <c r="E485" s="6" t="str">
        <f ca="1">IFERROR(__xludf.DUMMYFUNCTION("""COMPUTED_VALUE"""),"Madrid- La Oca")</f>
        <v>Madrid- La Oca</v>
      </c>
      <c r="F485" s="16">
        <f ca="1">IFERROR(__xludf.DUMMYFUNCTION("""COMPUTED_VALUE"""),45756)</f>
        <v>45756</v>
      </c>
      <c r="G485" s="16">
        <f ca="1">IFERROR(__xludf.DUMMYFUNCTION("""COMPUTED_VALUE"""),45716)</f>
        <v>45716</v>
      </c>
      <c r="H485" s="6" t="str">
        <f ca="1">IFERROR(__xludf.DUMMYFUNCTION("""COMPUTED_VALUE"""),"La Oca")</f>
        <v>La Oca</v>
      </c>
      <c r="I485" s="6" t="str">
        <f ca="1">IFERROR(__xludf.DUMMYFUNCTION("""COMPUTED_VALUE"""),"C20253181161291")</f>
        <v>C20253181161291</v>
      </c>
      <c r="J485" s="6" t="str">
        <f ca="1">IFERROR(__xludf.DUMMYFUNCTION("""COMPUTED_VALUE"""),"MARIA ISABEL GIL GAMERO")</f>
        <v>MARIA ISABEL GIL GAMERO</v>
      </c>
      <c r="K485" s="6">
        <f ca="1">IFERROR(__xludf.DUMMYFUNCTION("""COMPUTED_VALUE"""),1)</f>
        <v>1</v>
      </c>
      <c r="L485" s="139">
        <f ca="1">IFERROR(__xludf.DUMMYFUNCTION("""COMPUTED_VALUE"""),2226.36)</f>
        <v>2226.36</v>
      </c>
      <c r="M485" s="6" t="str">
        <f ca="1">IFERROR(__xludf.DUMMYFUNCTION("""COMPUTED_VALUE"""),"03 ORL")</f>
        <v>03 ORL</v>
      </c>
      <c r="N485" s="6" t="str">
        <f ca="1">IFERROR(__xludf.DUMMYFUNCTION("""COMPUTED_VALUE"""),"22 AUDIOMETRIA CLINICA")</f>
        <v>22 AUDIOMETRIA CLINICA</v>
      </c>
      <c r="O485" s="6" t="str">
        <f ca="1">IFERROR(__xludf.DUMMYFUNCTION("""COMPUTED_VALUE"""),"Dr, Oscar A, Sánchez Valenzuela")</f>
        <v>Dr, Oscar A, Sánchez Valenzuela</v>
      </c>
      <c r="P485" s="6" t="str">
        <f ca="1">IFERROR(__xludf.DUMMYFUNCTION("""COMPUTED_VALUE"""),"Maika Blázquez (Madrid)")</f>
        <v>Maika Blázquez (Madrid)</v>
      </c>
    </row>
    <row r="486" spans="2:16">
      <c r="B486" s="6">
        <f ca="1">IFERROR(__xludf.DUMMYFUNCTION("""COMPUTED_VALUE"""),2025)</f>
        <v>2025</v>
      </c>
      <c r="C486" s="6">
        <f ca="1">IFERROR(__xludf.DUMMYFUNCTION("""COMPUTED_VALUE"""),4)</f>
        <v>4</v>
      </c>
      <c r="D486" s="6" t="str">
        <f ca="1">IFERROR(__xludf.DUMMYFUNCTION("""COMPUTED_VALUE"""),"NO")</f>
        <v>NO</v>
      </c>
      <c r="E486" s="6" t="str">
        <f ca="1">IFERROR(__xludf.DUMMYFUNCTION("""COMPUTED_VALUE"""),"Valencia- Cádiz")</f>
        <v>Valencia- Cádiz</v>
      </c>
      <c r="F486" s="16">
        <f ca="1">IFERROR(__xludf.DUMMYFUNCTION("""COMPUTED_VALUE"""),45756)</f>
        <v>45756</v>
      </c>
      <c r="G486" s="16">
        <f ca="1">IFERROR(__xludf.DUMMYFUNCTION("""COMPUTED_VALUE"""),45722)</f>
        <v>45722</v>
      </c>
      <c r="H486" s="6" t="str">
        <f ca="1">IFERROR(__xludf.DUMMYFUNCTION("""COMPUTED_VALUE"""),"Valencia- Cádiz")</f>
        <v>Valencia- Cádiz</v>
      </c>
      <c r="I486" s="6" t="str">
        <f ca="1">IFERROR(__xludf.DUMMYFUNCTION("""COMPUTED_VALUE"""),"C2025320162550143")</f>
        <v>C2025320162550143</v>
      </c>
      <c r="J486" s="6" t="str">
        <f ca="1">IFERROR(__xludf.DUMMYFUNCTION("""COMPUTED_VALUE"""),"ROSARIO SALCEDO ORTEGA")</f>
        <v>ROSARIO SALCEDO ORTEGA</v>
      </c>
      <c r="K486" s="6">
        <f ca="1">IFERROR(__xludf.DUMMYFUNCTION("""COMPUTED_VALUE"""),1)</f>
        <v>1</v>
      </c>
      <c r="L486" s="139">
        <f ca="1">IFERROR(__xludf.DUMMYFUNCTION("""COMPUTED_VALUE"""),1732.73)</f>
        <v>1732.73</v>
      </c>
      <c r="M486" s="6" t="str">
        <f ca="1">IFERROR(__xludf.DUMMYFUNCTION("""COMPUTED_VALUE"""),"03 ORL")</f>
        <v>03 ORL</v>
      </c>
      <c r="N486" s="6" t="str">
        <f ca="1">IFERROR(__xludf.DUMMYFUNCTION("""COMPUTED_VALUE"""),"06 ORL")</f>
        <v>06 ORL</v>
      </c>
      <c r="O486" s="6" t="str">
        <f ca="1">IFERROR(__xludf.DUMMYFUNCTION("""COMPUTED_VALUE"""),"Dra, Paula Martínez-Ruiz De Apocada")</f>
        <v>Dra, Paula Martínez-Ruiz De Apocada</v>
      </c>
      <c r="P486" s="6" t="str">
        <f ca="1">IFERROR(__xludf.DUMMYFUNCTION("""COMPUTED_VALUE"""),"Ramon Ferrando(Valencia)")</f>
        <v>Ramon Ferrando(Valencia)</v>
      </c>
    </row>
    <row r="487" spans="2:16">
      <c r="B487" s="6">
        <f ca="1">IFERROR(__xludf.DUMMYFUNCTION("""COMPUTED_VALUE"""),2025)</f>
        <v>2025</v>
      </c>
      <c r="C487" s="6">
        <f ca="1">IFERROR(__xludf.DUMMYFUNCTION("""COMPUTED_VALUE"""),4)</f>
        <v>4</v>
      </c>
      <c r="D487" s="6" t="str">
        <f ca="1">IFERROR(__xludf.DUMMYFUNCTION("""COMPUTED_VALUE"""),"NO")</f>
        <v>NO</v>
      </c>
      <c r="E487" s="6" t="str">
        <f ca="1">IFERROR(__xludf.DUMMYFUNCTION("""COMPUTED_VALUE"""),"Zaragoza- León XIII")</f>
        <v>Zaragoza- León XIII</v>
      </c>
      <c r="F487" s="16">
        <f ca="1">IFERROR(__xludf.DUMMYFUNCTION("""COMPUTED_VALUE"""),45756)</f>
        <v>45756</v>
      </c>
      <c r="G487" s="16">
        <f ca="1">IFERROR(__xludf.DUMMYFUNCTION("""COMPUTED_VALUE"""),45713)</f>
        <v>45713</v>
      </c>
      <c r="H487" s="6" t="str">
        <f ca="1">IFERROR(__xludf.DUMMYFUNCTION("""COMPUTED_VALUE"""),"Zaragoza")</f>
        <v>Zaragoza</v>
      </c>
      <c r="I487" s="6" t="str">
        <f ca="1">IFERROR(__xludf.DUMMYFUNCTION("""COMPUTED_VALUE"""),"ZRG-586")</f>
        <v>ZRG-586</v>
      </c>
      <c r="J487" s="6" t="str">
        <f ca="1">IFERROR(__xludf.DUMMYFUNCTION("""COMPUTED_VALUE"""),"Mª ISABEL ANDRES CUADRADO")</f>
        <v>Mª ISABEL ANDRES CUADRADO</v>
      </c>
      <c r="K487" s="6">
        <f ca="1">IFERROR(__xludf.DUMMYFUNCTION("""COMPUTED_VALUE"""),2)</f>
        <v>2</v>
      </c>
      <c r="L487" s="139">
        <f ca="1">IFERROR(__xludf.DUMMYFUNCTION("""COMPUTED_VALUE"""),2936.36)</f>
        <v>2936.36</v>
      </c>
      <c r="M487" s="6" t="str">
        <f ca="1">IFERROR(__xludf.DUMMYFUNCTION("""COMPUTED_VALUE"""),"03 ORL")</f>
        <v>03 ORL</v>
      </c>
      <c r="N487" s="6" t="str">
        <f ca="1">IFERROR(__xludf.DUMMYFUNCTION("""COMPUTED_VALUE"""),"06 ORL")</f>
        <v>06 ORL</v>
      </c>
      <c r="O487" s="6" t="str">
        <f ca="1">IFERROR(__xludf.DUMMYFUNCTION("""COMPUTED_VALUE"""),"Dr, José Víctor Tisner Nieto")</f>
        <v>Dr, José Víctor Tisner Nieto</v>
      </c>
      <c r="P487" s="6" t="str">
        <f ca="1">IFERROR(__xludf.DUMMYFUNCTION("""COMPUTED_VALUE"""),"Lisandro Russian (Madrid, Cáceres, Toledo, Talavera Y Logroño)")</f>
        <v>Lisandro Russian (Madrid, Cáceres, Toledo, Talavera Y Logroño)</v>
      </c>
    </row>
    <row r="488" spans="2:16">
      <c r="B488" s="6">
        <f ca="1">IFERROR(__xludf.DUMMYFUNCTION("""COMPUTED_VALUE"""),2025)</f>
        <v>2025</v>
      </c>
      <c r="C488" s="6">
        <f ca="1">IFERROR(__xludf.DUMMYFUNCTION("""COMPUTED_VALUE"""),4)</f>
        <v>4</v>
      </c>
      <c r="D488" s="6" t="str">
        <f ca="1">IFERROR(__xludf.DUMMYFUNCTION("""COMPUTED_VALUE"""),"NO")</f>
        <v>NO</v>
      </c>
      <c r="E488" s="6" t="str">
        <f ca="1">IFERROR(__xludf.DUMMYFUNCTION("""COMPUTED_VALUE"""),"Alcorcón")</f>
        <v>Alcorcón</v>
      </c>
      <c r="F488" s="16">
        <f ca="1">IFERROR(__xludf.DUMMYFUNCTION("""COMPUTED_VALUE"""),45757)</f>
        <v>45757</v>
      </c>
      <c r="G488" s="16">
        <f ca="1">IFERROR(__xludf.DUMMYFUNCTION("""COMPUTED_VALUE"""),45727)</f>
        <v>45727</v>
      </c>
      <c r="H488" s="6" t="str">
        <f ca="1">IFERROR(__xludf.DUMMYFUNCTION("""COMPUTED_VALUE"""),"Alcorcón")</f>
        <v>Alcorcón</v>
      </c>
      <c r="I488" s="6" t="str">
        <f ca="1">IFERROR(__xludf.DUMMYFUNCTION("""COMPUTED_VALUE"""),"C2025317155945276")</f>
        <v>C2025317155945276</v>
      </c>
      <c r="J488" s="6" t="str">
        <f ca="1">IFERROR(__xludf.DUMMYFUNCTION("""COMPUTED_VALUE"""),"SANTIAGO GARCIA HERRANZ")</f>
        <v>SANTIAGO GARCIA HERRANZ</v>
      </c>
      <c r="K488" s="6">
        <f ca="1">IFERROR(__xludf.DUMMYFUNCTION("""COMPUTED_VALUE"""),2)</f>
        <v>2</v>
      </c>
      <c r="L488" s="139">
        <f ca="1">IFERROR(__xludf.DUMMYFUNCTION("""COMPUTED_VALUE"""),3710)</f>
        <v>3710</v>
      </c>
      <c r="M488" s="6" t="str">
        <f ca="1">IFERROR(__xludf.DUMMYFUNCTION("""COMPUTED_VALUE"""),"03 ORL")</f>
        <v>03 ORL</v>
      </c>
      <c r="N488" s="6" t="str">
        <f ca="1">IFERROR(__xludf.DUMMYFUNCTION("""COMPUTED_VALUE"""),"06 ORL")</f>
        <v>06 ORL</v>
      </c>
      <c r="O488" s="6" t="str">
        <f ca="1">IFERROR(__xludf.DUMMYFUNCTION("""COMPUTED_VALUE"""),"Dra, Maria Ángeles Mate Bayon")</f>
        <v>Dra, Maria Ángeles Mate Bayon</v>
      </c>
      <c r="P488" s="6" t="str">
        <f ca="1">IFERROR(__xludf.DUMMYFUNCTION("""COMPUTED_VALUE"""),"Lisandro Russian (Madrid, Cáceres, Toledo, Talavera Y Logroño)")</f>
        <v>Lisandro Russian (Madrid, Cáceres, Toledo, Talavera Y Logroño)</v>
      </c>
    </row>
    <row r="489" spans="2:16">
      <c r="B489" s="6">
        <f ca="1">IFERROR(__xludf.DUMMYFUNCTION("""COMPUTED_VALUE"""),2025)</f>
        <v>2025</v>
      </c>
      <c r="C489" s="6">
        <f ca="1">IFERROR(__xludf.DUMMYFUNCTION("""COMPUTED_VALUE"""),4)</f>
        <v>4</v>
      </c>
      <c r="D489" s="6" t="str">
        <f ca="1">IFERROR(__xludf.DUMMYFUNCTION("""COMPUTED_VALUE"""),"NO")</f>
        <v>NO</v>
      </c>
      <c r="E489" s="6" t="str">
        <f ca="1">IFERROR(__xludf.DUMMYFUNCTION("""COMPUTED_VALUE"""),"Getafe")</f>
        <v>Getafe</v>
      </c>
      <c r="F489" s="16">
        <f ca="1">IFERROR(__xludf.DUMMYFUNCTION("""COMPUTED_VALUE"""),45757)</f>
        <v>45757</v>
      </c>
      <c r="G489" s="16">
        <f ca="1">IFERROR(__xludf.DUMMYFUNCTION("""COMPUTED_VALUE"""),45721)</f>
        <v>45721</v>
      </c>
      <c r="H489" s="6" t="str">
        <f ca="1">IFERROR(__xludf.DUMMYFUNCTION("""COMPUTED_VALUE"""),"Getafe")</f>
        <v>Getafe</v>
      </c>
      <c r="I489" s="6" t="str">
        <f ca="1">IFERROR(__xludf.DUMMYFUNCTION("""COMPUTED_VALUE"""),"C2025312121831214")</f>
        <v>C2025312121831214</v>
      </c>
      <c r="J489" s="6" t="str">
        <f ca="1">IFERROR(__xludf.DUMMYFUNCTION("""COMPUTED_VALUE"""),"LONGINA MORENO GARZON")</f>
        <v>LONGINA MORENO GARZON</v>
      </c>
      <c r="K489" s="6">
        <f ca="1">IFERROR(__xludf.DUMMYFUNCTION("""COMPUTED_VALUE"""),2)</f>
        <v>2</v>
      </c>
      <c r="L489" s="139">
        <f ca="1">IFERROR(__xludf.DUMMYFUNCTION("""COMPUTED_VALUE"""),2888.18)</f>
        <v>2888.18</v>
      </c>
      <c r="M489" s="6" t="str">
        <f ca="1">IFERROR(__xludf.DUMMYFUNCTION("""COMPUTED_VALUE"""),"03 ORL")</f>
        <v>03 ORL</v>
      </c>
      <c r="N489" s="6" t="str">
        <f ca="1">IFERROR(__xludf.DUMMYFUNCTION("""COMPUTED_VALUE"""),"06 ORL")</f>
        <v>06 ORL</v>
      </c>
      <c r="O489" s="6" t="str">
        <f ca="1">IFERROR(__xludf.DUMMYFUNCTION("""COMPUTED_VALUE"""),"Dra, Esther García López")</f>
        <v>Dra, Esther García López</v>
      </c>
      <c r="P489" s="6" t="str">
        <f ca="1">IFERROR(__xludf.DUMMYFUNCTION("""COMPUTED_VALUE"""),"Maika Blázquez (Madrid)")</f>
        <v>Maika Blázquez (Madrid)</v>
      </c>
    </row>
    <row r="490" spans="2:16">
      <c r="B490" s="6">
        <f ca="1">IFERROR(__xludf.DUMMYFUNCTION("""COMPUTED_VALUE"""),2025)</f>
        <v>2025</v>
      </c>
      <c r="C490" s="6">
        <f ca="1">IFERROR(__xludf.DUMMYFUNCTION("""COMPUTED_VALUE"""),4)</f>
        <v>4</v>
      </c>
      <c r="D490" s="6" t="str">
        <f ca="1">IFERROR(__xludf.DUMMYFUNCTION("""COMPUTED_VALUE"""),"NO")</f>
        <v>NO</v>
      </c>
      <c r="E490" s="6" t="str">
        <f ca="1">IFERROR(__xludf.DUMMYFUNCTION("""COMPUTED_VALUE"""),"Leganés")</f>
        <v>Leganés</v>
      </c>
      <c r="F490" s="16">
        <f ca="1">IFERROR(__xludf.DUMMYFUNCTION("""COMPUTED_VALUE"""),45757)</f>
        <v>45757</v>
      </c>
      <c r="G490" s="16">
        <f ca="1">IFERROR(__xludf.DUMMYFUNCTION("""COMPUTED_VALUE"""),45743)</f>
        <v>45743</v>
      </c>
      <c r="H490" s="6" t="str">
        <f ca="1">IFERROR(__xludf.DUMMYFUNCTION("""COMPUTED_VALUE"""),"Leganés")</f>
        <v>Leganés</v>
      </c>
      <c r="I490" s="6" t="str">
        <f ca="1">IFERROR(__xludf.DUMMYFUNCTION("""COMPUTED_VALUE"""),"C2025331105510737")</f>
        <v>C2025331105510737</v>
      </c>
      <c r="J490" s="6" t="str">
        <f ca="1">IFERROR(__xludf.DUMMYFUNCTION("""COMPUTED_VALUE"""),"JACINTO MATEOS MATEOS")</f>
        <v>JACINTO MATEOS MATEOS</v>
      </c>
      <c r="K490" s="6">
        <f ca="1">IFERROR(__xludf.DUMMYFUNCTION("""COMPUTED_VALUE"""),2)</f>
        <v>2</v>
      </c>
      <c r="L490" s="139">
        <f ca="1">IFERROR(__xludf.DUMMYFUNCTION("""COMPUTED_VALUE"""),2586.36)</f>
        <v>2586.36</v>
      </c>
      <c r="M490" s="6" t="str">
        <f ca="1">IFERROR(__xludf.DUMMYFUNCTION("""COMPUTED_VALUE"""),"03 ORL")</f>
        <v>03 ORL</v>
      </c>
      <c r="N490" s="6" t="str">
        <f ca="1">IFERROR(__xludf.DUMMYFUNCTION("""COMPUTED_VALUE"""),"06 ORL")</f>
        <v>06 ORL</v>
      </c>
      <c r="O490" s="6" t="str">
        <f ca="1">IFERROR(__xludf.DUMMYFUNCTION("""COMPUTED_VALUE"""),"Dr, Julio López Moya")</f>
        <v>Dr, Julio López Moya</v>
      </c>
      <c r="P490" s="6" t="str">
        <f ca="1">IFERROR(__xludf.DUMMYFUNCTION("""COMPUTED_VALUE"""),"Maika Blázquez (Madrid)")</f>
        <v>Maika Blázquez (Madrid)</v>
      </c>
    </row>
    <row r="491" spans="2:16">
      <c r="B491" s="6">
        <f ca="1">IFERROR(__xludf.DUMMYFUNCTION("""COMPUTED_VALUE"""),2025)</f>
        <v>2025</v>
      </c>
      <c r="C491" s="6">
        <f ca="1">IFERROR(__xludf.DUMMYFUNCTION("""COMPUTED_VALUE"""),4)</f>
        <v>4</v>
      </c>
      <c r="D491" s="6" t="str">
        <f ca="1">IFERROR(__xludf.DUMMYFUNCTION("""COMPUTED_VALUE"""),"NO")</f>
        <v>NO</v>
      </c>
      <c r="E491" s="6" t="str">
        <f ca="1">IFERROR(__xludf.DUMMYFUNCTION("""COMPUTED_VALUE"""),"Leganés")</f>
        <v>Leganés</v>
      </c>
      <c r="F491" s="16">
        <f ca="1">IFERROR(__xludf.DUMMYFUNCTION("""COMPUTED_VALUE"""),45757)</f>
        <v>45757</v>
      </c>
      <c r="G491" s="16">
        <f ca="1">IFERROR(__xludf.DUMMYFUNCTION("""COMPUTED_VALUE"""),45712)</f>
        <v>45712</v>
      </c>
      <c r="H491" s="6" t="str">
        <f ca="1">IFERROR(__xludf.DUMMYFUNCTION("""COMPUTED_VALUE"""),"Leganés")</f>
        <v>Leganés</v>
      </c>
      <c r="I491" s="6" t="str">
        <f ca="1">IFERROR(__xludf.DUMMYFUNCTION("""COMPUTED_VALUE"""),"C2025228123828977")</f>
        <v>C2025228123828977</v>
      </c>
      <c r="J491" s="6" t="str">
        <f ca="1">IFERROR(__xludf.DUMMYFUNCTION("""COMPUTED_VALUE"""),"MARÍA LUZ JUNCO DAVILA")</f>
        <v>MARÍA LUZ JUNCO DAVILA</v>
      </c>
      <c r="K491" s="6">
        <f ca="1">IFERROR(__xludf.DUMMYFUNCTION("""COMPUTED_VALUE"""),2)</f>
        <v>2</v>
      </c>
      <c r="L491" s="139">
        <f ca="1">IFERROR(__xludf.DUMMYFUNCTION("""COMPUTED_VALUE"""),2722.73)</f>
        <v>2722.73</v>
      </c>
      <c r="M491" s="6" t="str">
        <f ca="1">IFERROR(__xludf.DUMMYFUNCTION("""COMPUTED_VALUE"""),"03 ORL")</f>
        <v>03 ORL</v>
      </c>
      <c r="N491" s="6" t="str">
        <f ca="1">IFERROR(__xludf.DUMMYFUNCTION("""COMPUTED_VALUE"""),"06 ORL")</f>
        <v>06 ORL</v>
      </c>
      <c r="O491" s="6" t="str">
        <f ca="1">IFERROR(__xludf.DUMMYFUNCTION("""COMPUTED_VALUE"""),"No recuerda ORL")</f>
        <v>No recuerda ORL</v>
      </c>
      <c r="P491" s="6" t="str">
        <f ca="1">IFERROR(__xludf.DUMMYFUNCTION("""COMPUTED_VALUE"""),"Maika Blázquez (Madrid)")</f>
        <v>Maika Blázquez (Madrid)</v>
      </c>
    </row>
    <row r="492" spans="2:16">
      <c r="B492" s="6">
        <f ca="1">IFERROR(__xludf.DUMMYFUNCTION("""COMPUTED_VALUE"""),2025)</f>
        <v>2025</v>
      </c>
      <c r="C492" s="6">
        <f ca="1">IFERROR(__xludf.DUMMYFUNCTION("""COMPUTED_VALUE"""),4)</f>
        <v>4</v>
      </c>
      <c r="D492" s="6" t="str">
        <f ca="1">IFERROR(__xludf.DUMMYFUNCTION("""COMPUTED_VALUE"""),"NO")</f>
        <v>NO</v>
      </c>
      <c r="E492" s="6" t="str">
        <f ca="1">IFERROR(__xludf.DUMMYFUNCTION("""COMPUTED_VALUE"""),"Leganés")</f>
        <v>Leganés</v>
      </c>
      <c r="F492" s="16">
        <f ca="1">IFERROR(__xludf.DUMMYFUNCTION("""COMPUTED_VALUE"""),45757)</f>
        <v>45757</v>
      </c>
      <c r="G492" s="16">
        <f ca="1">IFERROR(__xludf.DUMMYFUNCTION("""COMPUTED_VALUE"""),45720)</f>
        <v>45720</v>
      </c>
      <c r="H492" s="6" t="str">
        <f ca="1">IFERROR(__xludf.DUMMYFUNCTION("""COMPUTED_VALUE"""),"Leganés")</f>
        <v>Leganés</v>
      </c>
      <c r="I492" s="6" t="str">
        <f ca="1">IFERROR(__xludf.DUMMYFUNCTION("""COMPUTED_VALUE"""),"C202537151032392")</f>
        <v>C202537151032392</v>
      </c>
      <c r="J492" s="6" t="str">
        <f ca="1">IFERROR(__xludf.DUMMYFUNCTION("""COMPUTED_VALUE"""),"MARIANO GARCÍA GRANADO")</f>
        <v>MARIANO GARCÍA GRANADO</v>
      </c>
      <c r="K492" s="6">
        <f ca="1">IFERROR(__xludf.DUMMYFUNCTION("""COMPUTED_VALUE"""),2)</f>
        <v>2</v>
      </c>
      <c r="L492" s="139">
        <f ca="1">IFERROR(__xludf.DUMMYFUNCTION("""COMPUTED_VALUE"""),2586.36)</f>
        <v>2586.36</v>
      </c>
      <c r="M492" s="6" t="str">
        <f ca="1">IFERROR(__xludf.DUMMYFUNCTION("""COMPUTED_VALUE"""),"03 ORL")</f>
        <v>03 ORL</v>
      </c>
      <c r="N492" s="6" t="str">
        <f ca="1">IFERROR(__xludf.DUMMYFUNCTION("""COMPUTED_VALUE"""),"06 ORL")</f>
        <v>06 ORL</v>
      </c>
      <c r="O492" s="6" t="str">
        <f ca="1">IFERROR(__xludf.DUMMYFUNCTION("""COMPUTED_VALUE"""),"Dra, Ana Ruiz Fornells Noreña")</f>
        <v>Dra, Ana Ruiz Fornells Noreña</v>
      </c>
      <c r="P492" s="6" t="str">
        <f ca="1">IFERROR(__xludf.DUMMYFUNCTION("""COMPUTED_VALUE"""),"Maika Blázquez (Madrid)")</f>
        <v>Maika Blázquez (Madrid)</v>
      </c>
    </row>
    <row r="493" spans="2:16">
      <c r="B493" s="6">
        <f ca="1">IFERROR(__xludf.DUMMYFUNCTION("""COMPUTED_VALUE"""),2025)</f>
        <v>2025</v>
      </c>
      <c r="C493" s="6">
        <f ca="1">IFERROR(__xludf.DUMMYFUNCTION("""COMPUTED_VALUE"""),4)</f>
        <v>4</v>
      </c>
      <c r="D493" s="6" t="str">
        <f ca="1">IFERROR(__xludf.DUMMYFUNCTION("""COMPUTED_VALUE"""),"SI")</f>
        <v>SI</v>
      </c>
      <c r="E493" s="6" t="str">
        <f ca="1">IFERROR(__xludf.DUMMYFUNCTION("""COMPUTED_VALUE"""),"Sevilla- Montoto")</f>
        <v>Sevilla- Montoto</v>
      </c>
      <c r="F493" s="16">
        <f ca="1">IFERROR(__xludf.DUMMYFUNCTION("""COMPUTED_VALUE"""),45757)</f>
        <v>45757</v>
      </c>
      <c r="G493" s="16">
        <f ca="1">IFERROR(__xludf.DUMMYFUNCTION("""COMPUTED_VALUE"""),44168)</f>
        <v>44168</v>
      </c>
      <c r="H493" s="6" t="str">
        <f ca="1">IFERROR(__xludf.DUMMYFUNCTION("""COMPUTED_VALUE"""),"Montoto")</f>
        <v>Montoto</v>
      </c>
      <c r="I493" s="6" t="str">
        <f ca="1">IFERROR(__xludf.DUMMYFUNCTION("""COMPUTED_VALUE"""),"SMO-903")</f>
        <v>SMO-903</v>
      </c>
      <c r="J493" s="6" t="str">
        <f ca="1">IFERROR(__xludf.DUMMYFUNCTION("""COMPUTED_VALUE"""),"FERNANDO GAYOSO RODRIGUEZ")</f>
        <v>FERNANDO GAYOSO RODRIGUEZ</v>
      </c>
      <c r="K493" s="6">
        <f ca="1">IFERROR(__xludf.DUMMYFUNCTION("""COMPUTED_VALUE"""),2)</f>
        <v>2</v>
      </c>
      <c r="L493" s="139">
        <f ca="1">IFERROR(__xludf.DUMMYFUNCTION("""COMPUTED_VALUE"""),3129.55)</f>
        <v>3129.55</v>
      </c>
      <c r="M493" s="6" t="str">
        <f ca="1">IFERROR(__xludf.DUMMYFUNCTION("""COMPUTED_VALUE"""),"03 ORL")</f>
        <v>03 ORL</v>
      </c>
      <c r="N493" s="6" t="str">
        <f ca="1">IFERROR(__xludf.DUMMYFUNCTION("""COMPUTED_VALUE"""),"06 ORL")</f>
        <v>06 ORL</v>
      </c>
      <c r="O493" s="6" t="str">
        <f ca="1">IFERROR(__xludf.DUMMYFUNCTION("""COMPUTED_VALUE"""),"Dr, Ulises Bidón Gómez")</f>
        <v>Dr, Ulises Bidón Gómez</v>
      </c>
      <c r="P493" s="6" t="str">
        <f ca="1">IFERROR(__xludf.DUMMYFUNCTION("""COMPUTED_VALUE"""),"Luis Alberto Rodríguez (Andalucía Y Badajoz)")</f>
        <v>Luis Alberto Rodríguez (Andalucía Y Badajoz)</v>
      </c>
    </row>
    <row r="494" spans="2:16">
      <c r="B494" s="6">
        <f ca="1">IFERROR(__xludf.DUMMYFUNCTION("""COMPUTED_VALUE"""),2025)</f>
        <v>2025</v>
      </c>
      <c r="C494" s="6">
        <f ca="1">IFERROR(__xludf.DUMMYFUNCTION("""COMPUTED_VALUE"""),4)</f>
        <v>4</v>
      </c>
      <c r="D494" s="6" t="str">
        <f ca="1">IFERROR(__xludf.DUMMYFUNCTION("""COMPUTED_VALUE"""),"NO")</f>
        <v>NO</v>
      </c>
      <c r="E494" s="6" t="str">
        <f ca="1">IFERROR(__xludf.DUMMYFUNCTION("""COMPUTED_VALUE"""),"Sevilla- Montoto")</f>
        <v>Sevilla- Montoto</v>
      </c>
      <c r="F494" s="16">
        <f ca="1">IFERROR(__xludf.DUMMYFUNCTION("""COMPUTED_VALUE"""),45757)</f>
        <v>45757</v>
      </c>
      <c r="G494" s="16">
        <f ca="1">IFERROR(__xludf.DUMMYFUNCTION("""COMPUTED_VALUE"""),45729)</f>
        <v>45729</v>
      </c>
      <c r="H494" s="6" t="str">
        <f ca="1">IFERROR(__xludf.DUMMYFUNCTION("""COMPUTED_VALUE"""),"Montoto")</f>
        <v>Montoto</v>
      </c>
      <c r="I494" s="6" t="str">
        <f ca="1">IFERROR(__xludf.DUMMYFUNCTION("""COMPUTED_VALUE"""),"C2025319162537642")</f>
        <v>C2025319162537642</v>
      </c>
      <c r="J494" s="6" t="str">
        <f ca="1">IFERROR(__xludf.DUMMYFUNCTION("""COMPUTED_VALUE"""),"ROMEO ISIDRO ALARIN")</f>
        <v>ROMEO ISIDRO ALARIN</v>
      </c>
      <c r="K494" s="6">
        <f ca="1">IFERROR(__xludf.DUMMYFUNCTION("""COMPUTED_VALUE"""),2)</f>
        <v>2</v>
      </c>
      <c r="L494" s="139">
        <f ca="1">IFERROR(__xludf.DUMMYFUNCTION("""COMPUTED_VALUE"""),2888.18)</f>
        <v>2888.18</v>
      </c>
      <c r="M494" s="6" t="str">
        <f ca="1">IFERROR(__xludf.DUMMYFUNCTION("""COMPUTED_VALUE"""),"03 ORL")</f>
        <v>03 ORL</v>
      </c>
      <c r="N494" s="6" t="str">
        <f ca="1">IFERROR(__xludf.DUMMYFUNCTION("""COMPUTED_VALUE"""),"06 ORL")</f>
        <v>06 ORL</v>
      </c>
      <c r="O494" s="6" t="str">
        <f ca="1">IFERROR(__xludf.DUMMYFUNCTION("""COMPUTED_VALUE"""),"Dra, Estefanía Berrocal Postigo")</f>
        <v>Dra, Estefanía Berrocal Postigo</v>
      </c>
      <c r="P494" s="6" t="str">
        <f ca="1">IFERROR(__xludf.DUMMYFUNCTION("""COMPUTED_VALUE"""),"Luis Alberto Rodríguez (Andalucía Y Badajoz)")</f>
        <v>Luis Alberto Rodríguez (Andalucía Y Badajoz)</v>
      </c>
    </row>
    <row r="495" spans="2:16">
      <c r="B495" s="6">
        <f ca="1">IFERROR(__xludf.DUMMYFUNCTION("""COMPUTED_VALUE"""),2025)</f>
        <v>2025</v>
      </c>
      <c r="C495" s="6">
        <f ca="1">IFERROR(__xludf.DUMMYFUNCTION("""COMPUTED_VALUE"""),4)</f>
        <v>4</v>
      </c>
      <c r="D495" s="6" t="str">
        <f ca="1">IFERROR(__xludf.DUMMYFUNCTION("""COMPUTED_VALUE"""),"NO")</f>
        <v>NO</v>
      </c>
      <c r="E495" s="6" t="str">
        <f ca="1">IFERROR(__xludf.DUMMYFUNCTION("""COMPUTED_VALUE"""),"Cáceres")</f>
        <v>Cáceres</v>
      </c>
      <c r="F495" s="16">
        <f ca="1">IFERROR(__xludf.DUMMYFUNCTION("""COMPUTED_VALUE"""),45757)</f>
        <v>45757</v>
      </c>
      <c r="G495" s="16">
        <f ca="1">IFERROR(__xludf.DUMMYFUNCTION("""COMPUTED_VALUE"""),45720)</f>
        <v>45720</v>
      </c>
      <c r="H495" s="6" t="str">
        <f ca="1">IFERROR(__xludf.DUMMYFUNCTION("""COMPUTED_VALUE"""),"Cáceres")</f>
        <v>Cáceres</v>
      </c>
      <c r="I495" s="6" t="str">
        <f ca="1">IFERROR(__xludf.DUMMYFUNCTION("""COMPUTED_VALUE"""),"CAC-246")</f>
        <v>CAC-246</v>
      </c>
      <c r="J495" s="6" t="str">
        <f ca="1">IFERROR(__xludf.DUMMYFUNCTION("""COMPUTED_VALUE"""),"EMILIA CASTELLANOS SERRANO")</f>
        <v>EMILIA CASTELLANOS SERRANO</v>
      </c>
      <c r="K495" s="6">
        <f ca="1">IFERROR(__xludf.DUMMYFUNCTION("""COMPUTED_VALUE"""),2)</f>
        <v>2</v>
      </c>
      <c r="L495" s="139">
        <f ca="1">IFERROR(__xludf.DUMMYFUNCTION("""COMPUTED_VALUE"""),4118.18)</f>
        <v>4118.18</v>
      </c>
      <c r="M495" s="6" t="str">
        <f ca="1">IFERROR(__xludf.DUMMYFUNCTION("""COMPUTED_VALUE"""),"03 ORL")</f>
        <v>03 ORL</v>
      </c>
      <c r="N495" s="6" t="str">
        <f ca="1">IFERROR(__xludf.DUMMYFUNCTION("""COMPUTED_VALUE"""),"06 ORL")</f>
        <v>06 ORL</v>
      </c>
      <c r="O495" s="6" t="str">
        <f ca="1">IFERROR(__xludf.DUMMYFUNCTION("""COMPUTED_VALUE"""),"Dr, Manuel Cañete Domínguez")</f>
        <v>Dr, Manuel Cañete Domínguez</v>
      </c>
      <c r="P495" s="6" t="str">
        <f ca="1">IFERROR(__xludf.DUMMYFUNCTION("""COMPUTED_VALUE"""),"Lisandro Russian (Madrid, Cáceres, Toledo, Talavera Y Logroño)")</f>
        <v>Lisandro Russian (Madrid, Cáceres, Toledo, Talavera Y Logroño)</v>
      </c>
    </row>
    <row r="496" spans="2:16">
      <c r="B496" s="6">
        <f ca="1">IFERROR(__xludf.DUMMYFUNCTION("""COMPUTED_VALUE"""),2025)</f>
        <v>2025</v>
      </c>
      <c r="C496" s="6">
        <f ca="1">IFERROR(__xludf.DUMMYFUNCTION("""COMPUTED_VALUE"""),4)</f>
        <v>4</v>
      </c>
      <c r="D496" s="6" t="str">
        <f ca="1">IFERROR(__xludf.DUMMYFUNCTION("""COMPUTED_VALUE"""),"NO")</f>
        <v>NO</v>
      </c>
      <c r="E496" s="6" t="str">
        <f ca="1">IFERROR(__xludf.DUMMYFUNCTION("""COMPUTED_VALUE"""),"Vigo")</f>
        <v>Vigo</v>
      </c>
      <c r="F496" s="16">
        <f ca="1">IFERROR(__xludf.DUMMYFUNCTION("""COMPUTED_VALUE"""),45757)</f>
        <v>45757</v>
      </c>
      <c r="G496" s="16">
        <f ca="1">IFERROR(__xludf.DUMMYFUNCTION("""COMPUTED_VALUE"""),45726)</f>
        <v>45726</v>
      </c>
      <c r="H496" s="6" t="str">
        <f ca="1">IFERROR(__xludf.DUMMYFUNCTION("""COMPUTED_VALUE"""),"Vigo")</f>
        <v>Vigo</v>
      </c>
      <c r="I496" s="6" t="str">
        <f ca="1">IFERROR(__xludf.DUMMYFUNCTION("""COMPUTED_VALUE"""),"VIG-547")</f>
        <v>VIG-547</v>
      </c>
      <c r="J496" s="6" t="str">
        <f ca="1">IFERROR(__xludf.DUMMYFUNCTION("""COMPUTED_VALUE"""),"ENRIQUE VILARIÑO OURO")</f>
        <v>ENRIQUE VILARIÑO OURO</v>
      </c>
      <c r="K496" s="6">
        <f ca="1">IFERROR(__xludf.DUMMYFUNCTION("""COMPUTED_VALUE"""),2)</f>
        <v>2</v>
      </c>
      <c r="L496" s="139">
        <f ca="1">IFERROR(__xludf.DUMMYFUNCTION("""COMPUTED_VALUE"""),3454.69)</f>
        <v>3454.69</v>
      </c>
      <c r="M496" s="6" t="str">
        <f ca="1">IFERROR(__xludf.DUMMYFUNCTION("""COMPUTED_VALUE"""),"03 ORL")</f>
        <v>03 ORL</v>
      </c>
      <c r="N496" s="6" t="str">
        <f ca="1">IFERROR(__xludf.DUMMYFUNCTION("""COMPUTED_VALUE"""),"06 ORL")</f>
        <v>06 ORL</v>
      </c>
      <c r="O496" s="6" t="str">
        <f ca="1">IFERROR(__xludf.DUMMYFUNCTION("""COMPUTED_VALUE"""),"Dra, Estrella Pallas Pallas")</f>
        <v>Dra, Estrella Pallas Pallas</v>
      </c>
      <c r="P496" s="6" t="str">
        <f ca="1">IFERROR(__xludf.DUMMYFUNCTION("""COMPUTED_VALUE"""),"Roberto Pereira (Galicia)")</f>
        <v>Roberto Pereira (Galicia)</v>
      </c>
    </row>
    <row r="497" spans="2:16">
      <c r="B497" s="6">
        <f ca="1">IFERROR(__xludf.DUMMYFUNCTION("""COMPUTED_VALUE"""),2025)</f>
        <v>2025</v>
      </c>
      <c r="C497" s="6">
        <f ca="1">IFERROR(__xludf.DUMMYFUNCTION("""COMPUTED_VALUE"""),4)</f>
        <v>4</v>
      </c>
      <c r="D497" s="6" t="str">
        <f ca="1">IFERROR(__xludf.DUMMYFUNCTION("""COMPUTED_VALUE"""),"NO")</f>
        <v>NO</v>
      </c>
      <c r="E497" s="6" t="str">
        <f ca="1">IFERROR(__xludf.DUMMYFUNCTION("""COMPUTED_VALUE"""),"Cáceres")</f>
        <v>Cáceres</v>
      </c>
      <c r="F497" s="16">
        <f ca="1">IFERROR(__xludf.DUMMYFUNCTION("""COMPUTED_VALUE"""),45757)</f>
        <v>45757</v>
      </c>
      <c r="G497" s="16">
        <f ca="1">IFERROR(__xludf.DUMMYFUNCTION("""COMPUTED_VALUE"""),45726)</f>
        <v>45726</v>
      </c>
      <c r="H497" s="6" t="str">
        <f ca="1">IFERROR(__xludf.DUMMYFUNCTION("""COMPUTED_VALUE"""),"Cáceres")</f>
        <v>Cáceres</v>
      </c>
      <c r="I497" s="6" t="str">
        <f ca="1">IFERROR(__xludf.DUMMYFUNCTION("""COMPUTED_VALUE"""),"CAC-244")</f>
        <v>CAC-244</v>
      </c>
      <c r="J497" s="6" t="str">
        <f ca="1">IFERROR(__xludf.DUMMYFUNCTION("""COMPUTED_VALUE"""),"JOAQUINA SANCHEZ CHAPARRO")</f>
        <v>JOAQUINA SANCHEZ CHAPARRO</v>
      </c>
      <c r="K497" s="6">
        <f ca="1">IFERROR(__xludf.DUMMYFUNCTION("""COMPUTED_VALUE"""),2)</f>
        <v>2</v>
      </c>
      <c r="L497" s="139">
        <f ca="1">IFERROR(__xludf.DUMMYFUNCTION("""COMPUTED_VALUE"""),4118.18)</f>
        <v>4118.18</v>
      </c>
      <c r="M497" s="6" t="str">
        <f ca="1">IFERROR(__xludf.DUMMYFUNCTION("""COMPUTED_VALUE"""),"03 ORL")</f>
        <v>03 ORL</v>
      </c>
      <c r="N497" s="6" t="str">
        <f ca="1">IFERROR(__xludf.DUMMYFUNCTION("""COMPUTED_VALUE"""),"06 ORL")</f>
        <v>06 ORL</v>
      </c>
      <c r="O497" s="6" t="str">
        <f ca="1">IFERROR(__xludf.DUMMYFUNCTION("""COMPUTED_VALUE"""),"Dr, Andrés Paulino Herrera")</f>
        <v>Dr, Andrés Paulino Herrera</v>
      </c>
      <c r="P497" s="6" t="str">
        <f ca="1">IFERROR(__xludf.DUMMYFUNCTION("""COMPUTED_VALUE"""),"Lisandro Russian (Madrid, Cáceres, Toledo, Talavera Y Logroño)")</f>
        <v>Lisandro Russian (Madrid, Cáceres, Toledo, Talavera Y Logroño)</v>
      </c>
    </row>
    <row r="498" spans="2:16">
      <c r="B498" s="6">
        <f ca="1">IFERROR(__xludf.DUMMYFUNCTION("""COMPUTED_VALUE"""),2025)</f>
        <v>2025</v>
      </c>
      <c r="C498" s="6">
        <f ca="1">IFERROR(__xludf.DUMMYFUNCTION("""COMPUTED_VALUE"""),4)</f>
        <v>4</v>
      </c>
      <c r="D498" s="6" t="str">
        <f ca="1">IFERROR(__xludf.DUMMYFUNCTION("""COMPUTED_VALUE"""),"NO")</f>
        <v>NO</v>
      </c>
      <c r="E498" s="6" t="str">
        <f ca="1">IFERROR(__xludf.DUMMYFUNCTION("""COMPUTED_VALUE"""),"Alcorcón")</f>
        <v>Alcorcón</v>
      </c>
      <c r="F498" s="16">
        <f ca="1">IFERROR(__xludf.DUMMYFUNCTION("""COMPUTED_VALUE"""),45758)</f>
        <v>45758</v>
      </c>
      <c r="G498" s="16">
        <f ca="1">IFERROR(__xludf.DUMMYFUNCTION("""COMPUTED_VALUE"""),45727)</f>
        <v>45727</v>
      </c>
      <c r="H498" s="6" t="str">
        <f ca="1">IFERROR(__xludf.DUMMYFUNCTION("""COMPUTED_VALUE"""),"Alcorcón")</f>
        <v>Alcorcón</v>
      </c>
      <c r="I498" s="6" t="str">
        <f ca="1">IFERROR(__xludf.DUMMYFUNCTION("""COMPUTED_VALUE"""),"C202531310345895")</f>
        <v>C202531310345895</v>
      </c>
      <c r="J498" s="6" t="str">
        <f ca="1">IFERROR(__xludf.DUMMYFUNCTION("""COMPUTED_VALUE"""),"JOSEFA TENA VALDIVIA")</f>
        <v>JOSEFA TENA VALDIVIA</v>
      </c>
      <c r="K498" s="6">
        <f ca="1">IFERROR(__xludf.DUMMYFUNCTION("""COMPUTED_VALUE"""),2)</f>
        <v>2</v>
      </c>
      <c r="L498" s="139">
        <f ca="1">IFERROR(__xludf.DUMMYFUNCTION("""COMPUTED_VALUE"""),4000)</f>
        <v>4000</v>
      </c>
      <c r="M498" s="6" t="str">
        <f ca="1">IFERROR(__xludf.DUMMYFUNCTION("""COMPUTED_VALUE"""),"03 ORL")</f>
        <v>03 ORL</v>
      </c>
      <c r="N498" s="6" t="str">
        <f ca="1">IFERROR(__xludf.DUMMYFUNCTION("""COMPUTED_VALUE"""),"06 ORL")</f>
        <v>06 ORL</v>
      </c>
      <c r="O498" s="6" t="str">
        <f ca="1">IFERROR(__xludf.DUMMYFUNCTION("""COMPUTED_VALUE"""),"Dr, Raimundo Gómez-Blasi")</f>
        <v>Dr, Raimundo Gómez-Blasi</v>
      </c>
      <c r="P498" s="6" t="str">
        <f ca="1">IFERROR(__xludf.DUMMYFUNCTION("""COMPUTED_VALUE"""),"Maika Blázquez (Madrid)")</f>
        <v>Maika Blázquez (Madrid)</v>
      </c>
    </row>
    <row r="499" spans="2:16">
      <c r="B499" s="6">
        <f ca="1">IFERROR(__xludf.DUMMYFUNCTION("""COMPUTED_VALUE"""),2025)</f>
        <v>2025</v>
      </c>
      <c r="C499" s="6">
        <f ca="1">IFERROR(__xludf.DUMMYFUNCTION("""COMPUTED_VALUE"""),4)</f>
        <v>4</v>
      </c>
      <c r="D499" s="6" t="str">
        <f ca="1">IFERROR(__xludf.DUMMYFUNCTION("""COMPUTED_VALUE"""),"NO")</f>
        <v>NO</v>
      </c>
      <c r="E499" s="6" t="str">
        <f ca="1">IFERROR(__xludf.DUMMYFUNCTION("""COMPUTED_VALUE"""),"Leganés")</f>
        <v>Leganés</v>
      </c>
      <c r="F499" s="16">
        <f ca="1">IFERROR(__xludf.DUMMYFUNCTION("""COMPUTED_VALUE"""),45758)</f>
        <v>45758</v>
      </c>
      <c r="G499" s="16">
        <f ca="1">IFERROR(__xludf.DUMMYFUNCTION("""COMPUTED_VALUE"""),45726)</f>
        <v>45726</v>
      </c>
      <c r="H499" s="6" t="str">
        <f ca="1">IFERROR(__xludf.DUMMYFUNCTION("""COMPUTED_VALUE"""),"Leganés")</f>
        <v>Leganés</v>
      </c>
      <c r="I499" s="6" t="str">
        <f ca="1">IFERROR(__xludf.DUMMYFUNCTION("""COMPUTED_VALUE"""),"C202531417392770")</f>
        <v>C202531417392770</v>
      </c>
      <c r="J499" s="6" t="str">
        <f ca="1">IFERROR(__xludf.DUMMYFUNCTION("""COMPUTED_VALUE"""),"GLORIA TRIGO BRICIOS")</f>
        <v>GLORIA TRIGO BRICIOS</v>
      </c>
      <c r="K499" s="6">
        <f ca="1">IFERROR(__xludf.DUMMYFUNCTION("""COMPUTED_VALUE"""),2)</f>
        <v>2</v>
      </c>
      <c r="L499" s="139">
        <f ca="1">IFERROR(__xludf.DUMMYFUNCTION("""COMPUTED_VALUE"""),2722.73)</f>
        <v>2722.73</v>
      </c>
      <c r="M499" s="6" t="str">
        <f ca="1">IFERROR(__xludf.DUMMYFUNCTION("""COMPUTED_VALUE"""),"03 ORL")</f>
        <v>03 ORL</v>
      </c>
      <c r="N499" s="6" t="str">
        <f ca="1">IFERROR(__xludf.DUMMYFUNCTION("""COMPUTED_VALUE"""),"06 ORL")</f>
        <v>06 ORL</v>
      </c>
      <c r="O499" s="6" t="str">
        <f ca="1">IFERROR(__xludf.DUMMYFUNCTION("""COMPUTED_VALUE"""),"Dr, Carles Heredia Llinás")</f>
        <v>Dr, Carles Heredia Llinás</v>
      </c>
      <c r="P499" s="6" t="str">
        <f ca="1">IFERROR(__xludf.DUMMYFUNCTION("""COMPUTED_VALUE"""),"Maika Blázquez (Madrid)")</f>
        <v>Maika Blázquez (Madrid)</v>
      </c>
    </row>
    <row r="500" spans="2:16">
      <c r="B500" s="6">
        <f ca="1">IFERROR(__xludf.DUMMYFUNCTION("""COMPUTED_VALUE"""),2025)</f>
        <v>2025</v>
      </c>
      <c r="C500" s="6">
        <f ca="1">IFERROR(__xludf.DUMMYFUNCTION("""COMPUTED_VALUE"""),4)</f>
        <v>4</v>
      </c>
      <c r="D500" s="6" t="str">
        <f ca="1">IFERROR(__xludf.DUMMYFUNCTION("""COMPUTED_VALUE"""),"NO")</f>
        <v>NO</v>
      </c>
      <c r="E500" s="6" t="str">
        <f ca="1">IFERROR(__xludf.DUMMYFUNCTION("""COMPUTED_VALUE"""),"Madrid- Moratalaz")</f>
        <v>Madrid- Moratalaz</v>
      </c>
      <c r="F500" s="16">
        <f ca="1">IFERROR(__xludf.DUMMYFUNCTION("""COMPUTED_VALUE"""),45758)</f>
        <v>45758</v>
      </c>
      <c r="G500" s="16">
        <f ca="1">IFERROR(__xludf.DUMMYFUNCTION("""COMPUTED_VALUE"""),45734)</f>
        <v>45734</v>
      </c>
      <c r="H500" s="6" t="str">
        <f ca="1">IFERROR(__xludf.DUMMYFUNCTION("""COMPUTED_VALUE"""),"Moratalaz")</f>
        <v>Moratalaz</v>
      </c>
      <c r="I500" s="6" t="str">
        <f ca="1">IFERROR(__xludf.DUMMYFUNCTION("""COMPUTED_VALUE"""),"C202532412205490")</f>
        <v>C202532412205490</v>
      </c>
      <c r="J500" s="6" t="str">
        <f ca="1">IFERROR(__xludf.DUMMYFUNCTION("""COMPUTED_VALUE"""),"ESPERANZA BAUTISTA FRANCO")</f>
        <v>ESPERANZA BAUTISTA FRANCO</v>
      </c>
      <c r="K500" s="6">
        <f ca="1">IFERROR(__xludf.DUMMYFUNCTION("""COMPUTED_VALUE"""),1)</f>
        <v>1</v>
      </c>
      <c r="L500" s="139">
        <f ca="1">IFERROR(__xludf.DUMMYFUNCTION("""COMPUTED_VALUE"""),2226.36)</f>
        <v>2226.36</v>
      </c>
      <c r="M500" s="6" t="str">
        <f ca="1">IFERROR(__xludf.DUMMYFUNCTION("""COMPUTED_VALUE"""),"03 ORL")</f>
        <v>03 ORL</v>
      </c>
      <c r="N500" s="6" t="str">
        <f ca="1">IFERROR(__xludf.DUMMYFUNCTION("""COMPUTED_VALUE"""),"06 ORL")</f>
        <v>06 ORL</v>
      </c>
      <c r="O500" s="6" t="str">
        <f ca="1">IFERROR(__xludf.DUMMYFUNCTION("""COMPUTED_VALUE"""),"No recuerda ORL")</f>
        <v>No recuerda ORL</v>
      </c>
      <c r="P500" s="6" t="str">
        <f ca="1">IFERROR(__xludf.DUMMYFUNCTION("""COMPUTED_VALUE"""),"Maika Blázquez (Madrid)")</f>
        <v>Maika Blázquez (Madrid)</v>
      </c>
    </row>
    <row r="501" spans="2:16">
      <c r="B501" s="6">
        <f ca="1">IFERROR(__xludf.DUMMYFUNCTION("""COMPUTED_VALUE"""),2025)</f>
        <v>2025</v>
      </c>
      <c r="C501" s="6">
        <f ca="1">IFERROR(__xludf.DUMMYFUNCTION("""COMPUTED_VALUE"""),4)</f>
        <v>4</v>
      </c>
      <c r="D501" s="6" t="str">
        <f ca="1">IFERROR(__xludf.DUMMYFUNCTION("""COMPUTED_VALUE"""),"NO")</f>
        <v>NO</v>
      </c>
      <c r="E501" s="6" t="str">
        <f ca="1">IFERROR(__xludf.DUMMYFUNCTION("""COMPUTED_VALUE"""),"San Javier")</f>
        <v>San Javier</v>
      </c>
      <c r="F501" s="16">
        <f ca="1">IFERROR(__xludf.DUMMYFUNCTION("""COMPUTED_VALUE"""),45758)</f>
        <v>45758</v>
      </c>
      <c r="G501" s="16">
        <f ca="1">IFERROR(__xludf.DUMMYFUNCTION("""COMPUTED_VALUE"""),45742)</f>
        <v>45742</v>
      </c>
      <c r="H501" s="6" t="str">
        <f ca="1">IFERROR(__xludf.DUMMYFUNCTION("""COMPUTED_VALUE"""),"San Javier")</f>
        <v>San Javier</v>
      </c>
      <c r="I501" s="6" t="str">
        <f ca="1">IFERROR(__xludf.DUMMYFUNCTION("""COMPUTED_VALUE"""),"C2025328111754408")</f>
        <v>C2025328111754408</v>
      </c>
      <c r="J501" s="6" t="str">
        <f ca="1">IFERROR(__xludf.DUMMYFUNCTION("""COMPUTED_VALUE"""),"ROSWITHA ZOCH")</f>
        <v>ROSWITHA ZOCH</v>
      </c>
      <c r="K501" s="6">
        <f ca="1">IFERROR(__xludf.DUMMYFUNCTION("""COMPUTED_VALUE"""),2)</f>
        <v>2</v>
      </c>
      <c r="L501" s="139">
        <f ca="1">IFERROR(__xludf.DUMMYFUNCTION("""COMPUTED_VALUE"""),2888.18)</f>
        <v>2888.18</v>
      </c>
      <c r="M501" s="6" t="str">
        <f ca="1">IFERROR(__xludf.DUMMYFUNCTION("""COMPUTED_VALUE"""),"03 ORL")</f>
        <v>03 ORL</v>
      </c>
      <c r="N501" s="6" t="str">
        <f ca="1">IFERROR(__xludf.DUMMYFUNCTION("""COMPUTED_VALUE"""),"06 ORL")</f>
        <v>06 ORL</v>
      </c>
      <c r="O501" s="6" t="str">
        <f ca="1">IFERROR(__xludf.DUMMYFUNCTION("""COMPUTED_VALUE"""),"Dr, Dinis Antunes Silva")</f>
        <v>Dr, Dinis Antunes Silva</v>
      </c>
      <c r="P501" s="6" t="str">
        <f ca="1">IFERROR(__xludf.DUMMYFUNCTION("""COMPUTED_VALUE"""),"Iván Sánchez (Levante Y Albacete)")</f>
        <v>Iván Sánchez (Levante Y Albacete)</v>
      </c>
    </row>
    <row r="502" spans="2:16">
      <c r="B502" s="6">
        <f ca="1">IFERROR(__xludf.DUMMYFUNCTION("""COMPUTED_VALUE"""),2025)</f>
        <v>2025</v>
      </c>
      <c r="C502" s="6">
        <f ca="1">IFERROR(__xludf.DUMMYFUNCTION("""COMPUTED_VALUE"""),4)</f>
        <v>4</v>
      </c>
      <c r="D502" s="6" t="str">
        <f ca="1">IFERROR(__xludf.DUMMYFUNCTION("""COMPUTED_VALUE"""),"NO")</f>
        <v>NO</v>
      </c>
      <c r="E502" s="6" t="str">
        <f ca="1">IFERROR(__xludf.DUMMYFUNCTION("""COMPUTED_VALUE"""),"Sevilla- Montoto")</f>
        <v>Sevilla- Montoto</v>
      </c>
      <c r="F502" s="16">
        <f ca="1">IFERROR(__xludf.DUMMYFUNCTION("""COMPUTED_VALUE"""),45758)</f>
        <v>45758</v>
      </c>
      <c r="G502" s="16">
        <f ca="1">IFERROR(__xludf.DUMMYFUNCTION("""COMPUTED_VALUE"""),45741)</f>
        <v>45741</v>
      </c>
      <c r="H502" s="6" t="str">
        <f ca="1">IFERROR(__xludf.DUMMYFUNCTION("""COMPUTED_VALUE"""),"Montoto")</f>
        <v>Montoto</v>
      </c>
      <c r="I502" s="6" t="str">
        <f ca="1">IFERROR(__xludf.DUMMYFUNCTION("""COMPUTED_VALUE"""),"C202533111411655")</f>
        <v>C202533111411655</v>
      </c>
      <c r="J502" s="6" t="str">
        <f ca="1">IFERROR(__xludf.DUMMYFUNCTION("""COMPUTED_VALUE"""),"CARMEN RICO CABEZUELO")</f>
        <v>CARMEN RICO CABEZUELO</v>
      </c>
      <c r="K502" s="6">
        <f ca="1">IFERROR(__xludf.DUMMYFUNCTION("""COMPUTED_VALUE"""),2)</f>
        <v>2</v>
      </c>
      <c r="L502" s="139">
        <f ca="1">IFERROR(__xludf.DUMMYFUNCTION("""COMPUTED_VALUE"""),3524.5)</f>
        <v>3524.5</v>
      </c>
      <c r="M502" s="6" t="str">
        <f ca="1">IFERROR(__xludf.DUMMYFUNCTION("""COMPUTED_VALUE"""),"03 ORL")</f>
        <v>03 ORL</v>
      </c>
      <c r="N502" s="6" t="str">
        <f ca="1">IFERROR(__xludf.DUMMYFUNCTION("""COMPUTED_VALUE"""),"06 ORL")</f>
        <v>06 ORL</v>
      </c>
      <c r="O502" s="6" t="str">
        <f ca="1">IFERROR(__xludf.DUMMYFUNCTION("""COMPUTED_VALUE"""),"Dr, Miguel Alberto Rodríguez Pérez")</f>
        <v>Dr, Miguel Alberto Rodríguez Pérez</v>
      </c>
      <c r="P502" s="6" t="str">
        <f ca="1">IFERROR(__xludf.DUMMYFUNCTION("""COMPUTED_VALUE"""),"Luis Alberto Rodríguez (Andalucía Y Badajoz)")</f>
        <v>Luis Alberto Rodríguez (Andalucía Y Badajoz)</v>
      </c>
    </row>
    <row r="503" spans="2:16">
      <c r="B503" s="6">
        <f ca="1">IFERROR(__xludf.DUMMYFUNCTION("""COMPUTED_VALUE"""),2025)</f>
        <v>2025</v>
      </c>
      <c r="C503" s="6">
        <f ca="1">IFERROR(__xludf.DUMMYFUNCTION("""COMPUTED_VALUE"""),4)</f>
        <v>4</v>
      </c>
      <c r="D503" s="6" t="str">
        <f ca="1">IFERROR(__xludf.DUMMYFUNCTION("""COMPUTED_VALUE"""),"SI")</f>
        <v>SI</v>
      </c>
      <c r="E503" s="6" t="str">
        <f ca="1">IFERROR(__xludf.DUMMYFUNCTION("""COMPUTED_VALUE"""),"Sevilla- Montoto")</f>
        <v>Sevilla- Montoto</v>
      </c>
      <c r="F503" s="16">
        <f ca="1">IFERROR(__xludf.DUMMYFUNCTION("""COMPUTED_VALUE"""),45758)</f>
        <v>45758</v>
      </c>
      <c r="G503" s="16">
        <f ca="1">IFERROR(__xludf.DUMMYFUNCTION("""COMPUTED_VALUE"""),45429)</f>
        <v>45429</v>
      </c>
      <c r="H503" s="6" t="str">
        <f ca="1">IFERROR(__xludf.DUMMYFUNCTION("""COMPUTED_VALUE"""),"Montoto")</f>
        <v>Montoto</v>
      </c>
      <c r="I503" s="6" t="str">
        <f ca="1">IFERROR(__xludf.DUMMYFUNCTION("""COMPUTED_VALUE"""),"SMO-2353")</f>
        <v>SMO-2353</v>
      </c>
      <c r="J503" s="6" t="str">
        <f ca="1">IFERROR(__xludf.DUMMYFUNCTION("""COMPUTED_VALUE"""),"MARIA DEL CARMEN LEON COBOS")</f>
        <v>MARIA DEL CARMEN LEON COBOS</v>
      </c>
      <c r="K503" s="6">
        <f ca="1">IFERROR(__xludf.DUMMYFUNCTION("""COMPUTED_VALUE"""),1)</f>
        <v>1</v>
      </c>
      <c r="L503" s="139">
        <f ca="1">IFERROR(__xludf.DUMMYFUNCTION("""COMPUTED_VALUE"""),1727.27)</f>
        <v>1727.27</v>
      </c>
      <c r="M503" s="6" t="str">
        <f ca="1">IFERROR(__xludf.DUMMYFUNCTION("""COMPUTED_VALUE"""),"03 ORL")</f>
        <v>03 ORL</v>
      </c>
      <c r="N503" s="6" t="str">
        <f ca="1">IFERROR(__xludf.DUMMYFUNCTION("""COMPUTED_VALUE"""),"06 ORL")</f>
        <v>06 ORL</v>
      </c>
      <c r="O503" s="6" t="str">
        <f ca="1">IFERROR(__xludf.DUMMYFUNCTION("""COMPUTED_VALUE"""),"Dra, Lucia Prieto Sánchez De La Puerta")</f>
        <v>Dra, Lucia Prieto Sánchez De La Puerta</v>
      </c>
      <c r="P503" s="6" t="str">
        <f ca="1">IFERROR(__xludf.DUMMYFUNCTION("""COMPUTED_VALUE"""),"Luis Alberto Rodríguez (Andalucía Y Badajoz)")</f>
        <v>Luis Alberto Rodríguez (Andalucía Y Badajoz)</v>
      </c>
    </row>
    <row r="504" spans="2:16">
      <c r="B504" s="6">
        <f ca="1">IFERROR(__xludf.DUMMYFUNCTION("""COMPUTED_VALUE"""),2025)</f>
        <v>2025</v>
      </c>
      <c r="C504" s="6">
        <f ca="1">IFERROR(__xludf.DUMMYFUNCTION("""COMPUTED_VALUE"""),4)</f>
        <v>4</v>
      </c>
      <c r="D504" s="6" t="str">
        <f ca="1">IFERROR(__xludf.DUMMYFUNCTION("""COMPUTED_VALUE"""),"NO")</f>
        <v>NO</v>
      </c>
      <c r="E504" s="6" t="str">
        <f ca="1">IFERROR(__xludf.DUMMYFUNCTION("""COMPUTED_VALUE"""),"Torrejón de Ardoz")</f>
        <v>Torrejón de Ardoz</v>
      </c>
      <c r="F504" s="16">
        <f ca="1">IFERROR(__xludf.DUMMYFUNCTION("""COMPUTED_VALUE"""),45758)</f>
        <v>45758</v>
      </c>
      <c r="G504" s="16">
        <f ca="1">IFERROR(__xludf.DUMMYFUNCTION("""COMPUTED_VALUE"""),45737)</f>
        <v>45737</v>
      </c>
      <c r="H504" s="6" t="str">
        <f ca="1">IFERROR(__xludf.DUMMYFUNCTION("""COMPUTED_VALUE"""),"Torrejón")</f>
        <v>Torrejón</v>
      </c>
      <c r="I504" s="6" t="str">
        <f ca="1">IFERROR(__xludf.DUMMYFUNCTION("""COMPUTED_VALUE"""),"C2025321102846529")</f>
        <v>C2025321102846529</v>
      </c>
      <c r="J504" s="6" t="str">
        <f ca="1">IFERROR(__xludf.DUMMYFUNCTION("""COMPUTED_VALUE"""),"ANDRES PEREZ SOLIER")</f>
        <v>ANDRES PEREZ SOLIER</v>
      </c>
      <c r="K504" s="6">
        <f ca="1">IFERROR(__xludf.DUMMYFUNCTION("""COMPUTED_VALUE"""),2)</f>
        <v>2</v>
      </c>
      <c r="L504" s="139">
        <f ca="1">IFERROR(__xludf.DUMMYFUNCTION("""COMPUTED_VALUE"""),2727.27)</f>
        <v>2727.27</v>
      </c>
      <c r="M504" s="6" t="str">
        <f ca="1">IFERROR(__xludf.DUMMYFUNCTION("""COMPUTED_VALUE"""),"03 ORL")</f>
        <v>03 ORL</v>
      </c>
      <c r="N504" s="6" t="str">
        <f ca="1">IFERROR(__xludf.DUMMYFUNCTION("""COMPUTED_VALUE"""),"06 ORL")</f>
        <v>06 ORL</v>
      </c>
      <c r="O504" s="6" t="str">
        <f ca="1">IFERROR(__xludf.DUMMYFUNCTION("""COMPUTED_VALUE"""),"Dra, María Garrote Garrote")</f>
        <v>Dra, María Garrote Garrote</v>
      </c>
      <c r="P504" s="6" t="str">
        <f ca="1">IFERROR(__xludf.DUMMYFUNCTION("""COMPUTED_VALUE"""),"Maika Blázquez (Madrid)")</f>
        <v>Maika Blázquez (Madrid)</v>
      </c>
    </row>
    <row r="505" spans="2:16">
      <c r="B505" s="6">
        <f ca="1">IFERROR(__xludf.DUMMYFUNCTION("""COMPUTED_VALUE"""),2025)</f>
        <v>2025</v>
      </c>
      <c r="C505" s="6">
        <f ca="1">IFERROR(__xludf.DUMMYFUNCTION("""COMPUTED_VALUE"""),4)</f>
        <v>4</v>
      </c>
      <c r="D505" s="6" t="str">
        <f ca="1">IFERROR(__xludf.DUMMYFUNCTION("""COMPUTED_VALUE"""),"NO")</f>
        <v>NO</v>
      </c>
      <c r="E505" s="6" t="str">
        <f ca="1">IFERROR(__xludf.DUMMYFUNCTION("""COMPUTED_VALUE"""),"Torrejón de Ardoz")</f>
        <v>Torrejón de Ardoz</v>
      </c>
      <c r="F505" s="16">
        <f ca="1">IFERROR(__xludf.DUMMYFUNCTION("""COMPUTED_VALUE"""),45758)</f>
        <v>45758</v>
      </c>
      <c r="G505" s="16">
        <f ca="1">IFERROR(__xludf.DUMMYFUNCTION("""COMPUTED_VALUE"""),45736)</f>
        <v>45736</v>
      </c>
      <c r="H505" s="6" t="str">
        <f ca="1">IFERROR(__xludf.DUMMYFUNCTION("""COMPUTED_VALUE"""),"Torrejón")</f>
        <v>Torrejón</v>
      </c>
      <c r="I505" s="6" t="str">
        <f ca="1">IFERROR(__xludf.DUMMYFUNCTION("""COMPUTED_VALUE"""),"C2025320195845983")</f>
        <v>C2025320195845983</v>
      </c>
      <c r="J505" s="6" t="str">
        <f ca="1">IFERROR(__xludf.DUMMYFUNCTION("""COMPUTED_VALUE"""),"RAQUEL TABUENCA IZQUIERDO")</f>
        <v>RAQUEL TABUENCA IZQUIERDO</v>
      </c>
      <c r="K505" s="6">
        <f ca="1">IFERROR(__xludf.DUMMYFUNCTION("""COMPUTED_VALUE"""),2)</f>
        <v>2</v>
      </c>
      <c r="L505" s="139">
        <f ca="1">IFERROR(__xludf.DUMMYFUNCTION("""COMPUTED_VALUE"""),4000)</f>
        <v>4000</v>
      </c>
      <c r="M505" s="6" t="str">
        <f ca="1">IFERROR(__xludf.DUMMYFUNCTION("""COMPUTED_VALUE"""),"03 ORL")</f>
        <v>03 ORL</v>
      </c>
      <c r="N505" s="6" t="str">
        <f ca="1">IFERROR(__xludf.DUMMYFUNCTION("""COMPUTED_VALUE"""),"06 ORL")</f>
        <v>06 ORL</v>
      </c>
      <c r="O505" s="6" t="str">
        <f ca="1">IFERROR(__xludf.DUMMYFUNCTION("""COMPUTED_VALUE"""),"Dra, María Garrote Garrote")</f>
        <v>Dra, María Garrote Garrote</v>
      </c>
      <c r="P505" s="6" t="str">
        <f ca="1">IFERROR(__xludf.DUMMYFUNCTION("""COMPUTED_VALUE"""),"Maika Blázquez (Madrid)")</f>
        <v>Maika Blázquez (Madrid)</v>
      </c>
    </row>
    <row r="506" spans="2:16">
      <c r="B506" s="6">
        <f ca="1">IFERROR(__xludf.DUMMYFUNCTION("""COMPUTED_VALUE"""),2025)</f>
        <v>2025</v>
      </c>
      <c r="C506" s="6">
        <f ca="1">IFERROR(__xludf.DUMMYFUNCTION("""COMPUTED_VALUE"""),4)</f>
        <v>4</v>
      </c>
      <c r="D506" s="6" t="str">
        <f ca="1">IFERROR(__xludf.DUMMYFUNCTION("""COMPUTED_VALUE"""),"NO")</f>
        <v>NO</v>
      </c>
      <c r="E506" s="6" t="str">
        <f ca="1">IFERROR(__xludf.DUMMYFUNCTION("""COMPUTED_VALUE"""),"Alicante")</f>
        <v>Alicante</v>
      </c>
      <c r="F506" s="16">
        <f ca="1">IFERROR(__xludf.DUMMYFUNCTION("""COMPUTED_VALUE"""),45761)</f>
        <v>45761</v>
      </c>
      <c r="G506" s="16">
        <f ca="1">IFERROR(__xludf.DUMMYFUNCTION("""COMPUTED_VALUE"""),45729)</f>
        <v>45729</v>
      </c>
      <c r="H506" s="6" t="str">
        <f ca="1">IFERROR(__xludf.DUMMYFUNCTION("""COMPUTED_VALUE"""),"Alicante")</f>
        <v>Alicante</v>
      </c>
      <c r="I506" s="6" t="str">
        <f ca="1">IFERROR(__xludf.DUMMYFUNCTION("""COMPUTED_VALUE"""),"C202532415443267")</f>
        <v>C202532415443267</v>
      </c>
      <c r="J506" s="6" t="str">
        <f ca="1">IFERROR(__xludf.DUMMYFUNCTION("""COMPUTED_VALUE"""),"JOSEFINA APARICI PUCHE")</f>
        <v>JOSEFINA APARICI PUCHE</v>
      </c>
      <c r="K506" s="6">
        <f ca="1">IFERROR(__xludf.DUMMYFUNCTION("""COMPUTED_VALUE"""),2)</f>
        <v>2</v>
      </c>
      <c r="L506" s="139">
        <f ca="1">IFERROR(__xludf.DUMMYFUNCTION("""COMPUTED_VALUE"""),4000)</f>
        <v>4000</v>
      </c>
      <c r="M506" s="6" t="str">
        <f ca="1">IFERROR(__xludf.DUMMYFUNCTION("""COMPUTED_VALUE"""),"03 ORL")</f>
        <v>03 ORL</v>
      </c>
      <c r="N506" s="6" t="str">
        <f ca="1">IFERROR(__xludf.DUMMYFUNCTION("""COMPUTED_VALUE"""),"06 ORL")</f>
        <v>06 ORL</v>
      </c>
      <c r="O506" s="6" t="str">
        <f ca="1">IFERROR(__xludf.DUMMYFUNCTION("""COMPUTED_VALUE"""),"Dra, Isabel Menaches Guardiola")</f>
        <v>Dra, Isabel Menaches Guardiola</v>
      </c>
      <c r="P506" s="6" t="str">
        <f ca="1">IFERROR(__xludf.DUMMYFUNCTION("""COMPUTED_VALUE"""),"Iván Sánchez (Levante Y Albacete)")</f>
        <v>Iván Sánchez (Levante Y Albacete)</v>
      </c>
    </row>
    <row r="507" spans="2:16">
      <c r="B507" s="6">
        <f ca="1">IFERROR(__xludf.DUMMYFUNCTION("""COMPUTED_VALUE"""),2025)</f>
        <v>2025</v>
      </c>
      <c r="C507" s="6">
        <f ca="1">IFERROR(__xludf.DUMMYFUNCTION("""COMPUTED_VALUE"""),4)</f>
        <v>4</v>
      </c>
      <c r="D507" s="6" t="str">
        <f ca="1">IFERROR(__xludf.DUMMYFUNCTION("""COMPUTED_VALUE"""),"NO")</f>
        <v>NO</v>
      </c>
      <c r="E507" s="6" t="str">
        <f ca="1">IFERROR(__xludf.DUMMYFUNCTION("""COMPUTED_VALUE"""),"Lugo")</f>
        <v>Lugo</v>
      </c>
      <c r="F507" s="16">
        <f ca="1">IFERROR(__xludf.DUMMYFUNCTION("""COMPUTED_VALUE"""),45761)</f>
        <v>45761</v>
      </c>
      <c r="G507" s="16">
        <f ca="1">IFERROR(__xludf.DUMMYFUNCTION("""COMPUTED_VALUE"""),45740)</f>
        <v>45740</v>
      </c>
      <c r="H507" s="6" t="str">
        <f ca="1">IFERROR(__xludf.DUMMYFUNCTION("""COMPUTED_VALUE"""),"Lugo")</f>
        <v>Lugo</v>
      </c>
      <c r="I507" s="6" t="str">
        <f ca="1">IFERROR(__xludf.DUMMYFUNCTION("""COMPUTED_VALUE"""),"C2025324114745357")</f>
        <v>C2025324114745357</v>
      </c>
      <c r="J507" s="6" t="str">
        <f ca="1">IFERROR(__xludf.DUMMYFUNCTION("""COMPUTED_VALUE"""),"CARMEN CASTELO CEIDE")</f>
        <v>CARMEN CASTELO CEIDE</v>
      </c>
      <c r="K507" s="6">
        <f ca="1">IFERROR(__xludf.DUMMYFUNCTION("""COMPUTED_VALUE"""),2)</f>
        <v>2</v>
      </c>
      <c r="L507" s="139">
        <f ca="1">IFERROR(__xludf.DUMMYFUNCTION("""COMPUTED_VALUE"""),2743.77)</f>
        <v>2743.77</v>
      </c>
      <c r="M507" s="6" t="str">
        <f ca="1">IFERROR(__xludf.DUMMYFUNCTION("""COMPUTED_VALUE"""),"03 ORL")</f>
        <v>03 ORL</v>
      </c>
      <c r="N507" s="6" t="str">
        <f ca="1">IFERROR(__xludf.DUMMYFUNCTION("""COMPUTED_VALUE"""),"06 ORL")</f>
        <v>06 ORL</v>
      </c>
      <c r="O507" s="6" t="str">
        <f ca="1">IFERROR(__xludf.DUMMYFUNCTION("""COMPUTED_VALUE"""),"Dra, Julia María Rouco Pérez")</f>
        <v>Dra, Julia María Rouco Pérez</v>
      </c>
      <c r="P507" s="6" t="str">
        <f ca="1">IFERROR(__xludf.DUMMYFUNCTION("""COMPUTED_VALUE"""),"Roberto Pereira (Galicia)")</f>
        <v>Roberto Pereira (Galicia)</v>
      </c>
    </row>
    <row r="508" spans="2:16">
      <c r="B508" s="6">
        <f ca="1">IFERROR(__xludf.DUMMYFUNCTION("""COMPUTED_VALUE"""),2025)</f>
        <v>2025</v>
      </c>
      <c r="C508" s="6">
        <f ca="1">IFERROR(__xludf.DUMMYFUNCTION("""COMPUTED_VALUE"""),4)</f>
        <v>4</v>
      </c>
      <c r="D508" s="6" t="str">
        <f ca="1">IFERROR(__xludf.DUMMYFUNCTION("""COMPUTED_VALUE"""),"NO")</f>
        <v>NO</v>
      </c>
      <c r="E508" s="6" t="str">
        <f ca="1">IFERROR(__xludf.DUMMYFUNCTION("""COMPUTED_VALUE"""),"Madrid- Monforte de Lemos")</f>
        <v>Madrid- Monforte de Lemos</v>
      </c>
      <c r="F508" s="16">
        <f ca="1">IFERROR(__xludf.DUMMYFUNCTION("""COMPUTED_VALUE"""),45761)</f>
        <v>45761</v>
      </c>
      <c r="G508" s="16">
        <f ca="1">IFERROR(__xludf.DUMMYFUNCTION("""COMPUTED_VALUE"""),45719)</f>
        <v>45719</v>
      </c>
      <c r="H508" s="6" t="str">
        <f ca="1">IFERROR(__xludf.DUMMYFUNCTION("""COMPUTED_VALUE"""),"La Vaguada")</f>
        <v>La Vaguada</v>
      </c>
      <c r="I508" s="6" t="str">
        <f ca="1">IFERROR(__xludf.DUMMYFUNCTION("""COMPUTED_VALUE"""),"C202531410236625")</f>
        <v>C202531410236625</v>
      </c>
      <c r="J508" s="6" t="str">
        <f ca="1">IFERROR(__xludf.DUMMYFUNCTION("""COMPUTED_VALUE"""),"MARIA ANGELES COLLANTE PORTILLO")</f>
        <v>MARIA ANGELES COLLANTE PORTILLO</v>
      </c>
      <c r="K508" s="6">
        <f ca="1">IFERROR(__xludf.DUMMYFUNCTION("""COMPUTED_VALUE"""),2)</f>
        <v>2</v>
      </c>
      <c r="L508" s="139">
        <f ca="1">IFERROR(__xludf.DUMMYFUNCTION("""COMPUTED_VALUE"""),4000)</f>
        <v>4000</v>
      </c>
      <c r="M508" s="6" t="str">
        <f ca="1">IFERROR(__xludf.DUMMYFUNCTION("""COMPUTED_VALUE"""),"03 ORL")</f>
        <v>03 ORL</v>
      </c>
      <c r="N508" s="6" t="str">
        <f ca="1">IFERROR(__xludf.DUMMYFUNCTION("""COMPUTED_VALUE"""),"06 ORL")</f>
        <v>06 ORL</v>
      </c>
      <c r="O508" s="6" t="str">
        <f ca="1">IFERROR(__xludf.DUMMYFUNCTION("""COMPUTED_VALUE"""),"Dra, Beatriz Arana Fernández")</f>
        <v>Dra, Beatriz Arana Fernández</v>
      </c>
      <c r="P508" s="6" t="str">
        <f ca="1">IFERROR(__xludf.DUMMYFUNCTION("""COMPUTED_VALUE"""),"Maika Blázquez (Madrid)")</f>
        <v>Maika Blázquez (Madrid)</v>
      </c>
    </row>
    <row r="509" spans="2:16">
      <c r="B509" s="6">
        <f ca="1">IFERROR(__xludf.DUMMYFUNCTION("""COMPUTED_VALUE"""),2025)</f>
        <v>2025</v>
      </c>
      <c r="C509" s="6">
        <f ca="1">IFERROR(__xludf.DUMMYFUNCTION("""COMPUTED_VALUE"""),4)</f>
        <v>4</v>
      </c>
      <c r="D509" s="6" t="str">
        <f ca="1">IFERROR(__xludf.DUMMYFUNCTION("""COMPUTED_VALUE"""),"NO")</f>
        <v>NO</v>
      </c>
      <c r="E509" s="6" t="str">
        <f ca="1">IFERROR(__xludf.DUMMYFUNCTION("""COMPUTED_VALUE"""),"Madrid- Moratalaz")</f>
        <v>Madrid- Moratalaz</v>
      </c>
      <c r="F509" s="16">
        <f ca="1">IFERROR(__xludf.DUMMYFUNCTION("""COMPUTED_VALUE"""),45761)</f>
        <v>45761</v>
      </c>
      <c r="G509" s="16">
        <f ca="1">IFERROR(__xludf.DUMMYFUNCTION("""COMPUTED_VALUE"""),45723)</f>
        <v>45723</v>
      </c>
      <c r="H509" s="6" t="str">
        <f ca="1">IFERROR(__xludf.DUMMYFUNCTION("""COMPUTED_VALUE"""),"Moratalaz")</f>
        <v>Moratalaz</v>
      </c>
      <c r="I509" s="6" t="str">
        <f ca="1">IFERROR(__xludf.DUMMYFUNCTION("""COMPUTED_VALUE"""),"C202532610552632")</f>
        <v>C202532610552632</v>
      </c>
      <c r="J509" s="6" t="str">
        <f ca="1">IFERROR(__xludf.DUMMYFUNCTION("""COMPUTED_VALUE"""),"SAGRARIO DIAZ MARTIN")</f>
        <v>SAGRARIO DIAZ MARTIN</v>
      </c>
      <c r="K509" s="6">
        <f ca="1">IFERROR(__xludf.DUMMYFUNCTION("""COMPUTED_VALUE"""),2)</f>
        <v>2</v>
      </c>
      <c r="L509" s="139">
        <f ca="1">IFERROR(__xludf.DUMMYFUNCTION("""COMPUTED_VALUE"""),4000)</f>
        <v>4000</v>
      </c>
      <c r="M509" s="6" t="str">
        <f ca="1">IFERROR(__xludf.DUMMYFUNCTION("""COMPUTED_VALUE"""),"03 ORL")</f>
        <v>03 ORL</v>
      </c>
      <c r="N509" s="6" t="str">
        <f ca="1">IFERROR(__xludf.DUMMYFUNCTION("""COMPUTED_VALUE"""),"06 ORL")</f>
        <v>06 ORL</v>
      </c>
      <c r="O509" s="6" t="str">
        <f ca="1">IFERROR(__xludf.DUMMYFUNCTION("""COMPUTED_VALUE"""),"No recuerda ORL")</f>
        <v>No recuerda ORL</v>
      </c>
      <c r="P509" s="6" t="str">
        <f ca="1">IFERROR(__xludf.DUMMYFUNCTION("""COMPUTED_VALUE"""),"Maika Blázquez (Madrid)")</f>
        <v>Maika Blázquez (Madrid)</v>
      </c>
    </row>
    <row r="510" spans="2:16">
      <c r="B510" s="6">
        <f ca="1">IFERROR(__xludf.DUMMYFUNCTION("""COMPUTED_VALUE"""),2025)</f>
        <v>2025</v>
      </c>
      <c r="C510" s="6">
        <f ca="1">IFERROR(__xludf.DUMMYFUNCTION("""COMPUTED_VALUE"""),4)</f>
        <v>4</v>
      </c>
      <c r="D510" s="6" t="str">
        <f ca="1">IFERROR(__xludf.DUMMYFUNCTION("""COMPUTED_VALUE"""),"NO")</f>
        <v>NO</v>
      </c>
      <c r="E510" s="6" t="str">
        <f ca="1">IFERROR(__xludf.DUMMYFUNCTION("""COMPUTED_VALUE"""),"San Javier")</f>
        <v>San Javier</v>
      </c>
      <c r="F510" s="16">
        <f ca="1">IFERROR(__xludf.DUMMYFUNCTION("""COMPUTED_VALUE"""),45761)</f>
        <v>45761</v>
      </c>
      <c r="G510" s="16">
        <f ca="1">IFERROR(__xludf.DUMMYFUNCTION("""COMPUTED_VALUE"""),45736)</f>
        <v>45736</v>
      </c>
      <c r="H510" s="6" t="str">
        <f ca="1">IFERROR(__xludf.DUMMYFUNCTION("""COMPUTED_VALUE"""),"San Javier")</f>
        <v>San Javier</v>
      </c>
      <c r="I510" s="6" t="str">
        <f ca="1">IFERROR(__xludf.DUMMYFUNCTION("""COMPUTED_VALUE"""),"C2025324103528236")</f>
        <v>C2025324103528236</v>
      </c>
      <c r="J510" s="6" t="str">
        <f ca="1">IFERROR(__xludf.DUMMYFUNCTION("""COMPUTED_VALUE"""),"MANUEL BERISO GARCIA")</f>
        <v>MANUEL BERISO GARCIA</v>
      </c>
      <c r="K510" s="6">
        <f ca="1">IFERROR(__xludf.DUMMYFUNCTION("""COMPUTED_VALUE"""),2)</f>
        <v>2</v>
      </c>
      <c r="L510" s="139">
        <f ca="1">IFERROR(__xludf.DUMMYFUNCTION("""COMPUTED_VALUE"""),4000)</f>
        <v>4000</v>
      </c>
      <c r="M510" s="6" t="str">
        <f ca="1">IFERROR(__xludf.DUMMYFUNCTION("""COMPUTED_VALUE"""),"03 ORL")</f>
        <v>03 ORL</v>
      </c>
      <c r="N510" s="6" t="str">
        <f ca="1">IFERROR(__xludf.DUMMYFUNCTION("""COMPUTED_VALUE"""),"06 ORL")</f>
        <v>06 ORL</v>
      </c>
      <c r="O510" s="6" t="str">
        <f ca="1">IFERROR(__xludf.DUMMYFUNCTION("""COMPUTED_VALUE"""),"Dr, Dinis Antunes Silva")</f>
        <v>Dr, Dinis Antunes Silva</v>
      </c>
      <c r="P510" s="6" t="str">
        <f ca="1">IFERROR(__xludf.DUMMYFUNCTION("""COMPUTED_VALUE"""),"Iván Sánchez (Levante Y Albacete)")</f>
        <v>Iván Sánchez (Levante Y Albacete)</v>
      </c>
    </row>
    <row r="511" spans="2:16">
      <c r="B511" s="6">
        <f ca="1">IFERROR(__xludf.DUMMYFUNCTION("""COMPUTED_VALUE"""),2025)</f>
        <v>2025</v>
      </c>
      <c r="C511" s="6">
        <f ca="1">IFERROR(__xludf.DUMMYFUNCTION("""COMPUTED_VALUE"""),4)</f>
        <v>4</v>
      </c>
      <c r="D511" s="6" t="str">
        <f ca="1">IFERROR(__xludf.DUMMYFUNCTION("""COMPUTED_VALUE"""),"NO")</f>
        <v>NO</v>
      </c>
      <c r="E511" s="6" t="str">
        <f ca="1">IFERROR(__xludf.DUMMYFUNCTION("""COMPUTED_VALUE"""),"Sevilla- Montoto")</f>
        <v>Sevilla- Montoto</v>
      </c>
      <c r="F511" s="16">
        <f ca="1">IFERROR(__xludf.DUMMYFUNCTION("""COMPUTED_VALUE"""),45761)</f>
        <v>45761</v>
      </c>
      <c r="G511" s="16">
        <f ca="1">IFERROR(__xludf.DUMMYFUNCTION("""COMPUTED_VALUE"""),45719)</f>
        <v>45719</v>
      </c>
      <c r="H511" s="6" t="str">
        <f ca="1">IFERROR(__xludf.DUMMYFUNCTION("""COMPUTED_VALUE"""),"Montoto")</f>
        <v>Montoto</v>
      </c>
      <c r="I511" s="6" t="str">
        <f ca="1">IFERROR(__xludf.DUMMYFUNCTION("""COMPUTED_VALUE"""),"C2025311175822328")</f>
        <v>C2025311175822328</v>
      </c>
      <c r="J511" s="6" t="str">
        <f ca="1">IFERROR(__xludf.DUMMYFUNCTION("""COMPUTED_VALUE"""),"TRINIDAD RUFINO CHARLO")</f>
        <v>TRINIDAD RUFINO CHARLO</v>
      </c>
      <c r="K511" s="6">
        <f ca="1">IFERROR(__xludf.DUMMYFUNCTION("""COMPUTED_VALUE"""),2)</f>
        <v>2</v>
      </c>
      <c r="L511" s="139">
        <f ca="1">IFERROR(__xludf.DUMMYFUNCTION("""COMPUTED_VALUE"""),3800)</f>
        <v>3800</v>
      </c>
      <c r="M511" s="6" t="str">
        <f ca="1">IFERROR(__xludf.DUMMYFUNCTION("""COMPUTED_VALUE"""),"03 ORL")</f>
        <v>03 ORL</v>
      </c>
      <c r="N511" s="6" t="str">
        <f ca="1">IFERROR(__xludf.DUMMYFUNCTION("""COMPUTED_VALUE"""),"06 ORL")</f>
        <v>06 ORL</v>
      </c>
      <c r="O511" s="6" t="str">
        <f ca="1">IFERROR(__xludf.DUMMYFUNCTION("""COMPUTED_VALUE"""),"Dr, Francisco Javier Aguilar Vera")</f>
        <v>Dr, Francisco Javier Aguilar Vera</v>
      </c>
      <c r="P511" s="6" t="str">
        <f ca="1">IFERROR(__xludf.DUMMYFUNCTION("""COMPUTED_VALUE"""),"Luis Alberto Rodríguez (Andalucía Y Badajoz)")</f>
        <v>Luis Alberto Rodríguez (Andalucía Y Badajoz)</v>
      </c>
    </row>
    <row r="512" spans="2:16">
      <c r="B512" s="6">
        <f ca="1">IFERROR(__xludf.DUMMYFUNCTION("""COMPUTED_VALUE"""),2025)</f>
        <v>2025</v>
      </c>
      <c r="C512" s="6">
        <f ca="1">IFERROR(__xludf.DUMMYFUNCTION("""COMPUTED_VALUE"""),4)</f>
        <v>4</v>
      </c>
      <c r="D512" s="6" t="str">
        <f ca="1">IFERROR(__xludf.DUMMYFUNCTION("""COMPUTED_VALUE"""),"NO")</f>
        <v>NO</v>
      </c>
      <c r="E512" s="6" t="str">
        <f ca="1">IFERROR(__xludf.DUMMYFUNCTION("""COMPUTED_VALUE"""),"Torrejón de Ardoz")</f>
        <v>Torrejón de Ardoz</v>
      </c>
      <c r="F512" s="16">
        <f ca="1">IFERROR(__xludf.DUMMYFUNCTION("""COMPUTED_VALUE"""),45761)</f>
        <v>45761</v>
      </c>
      <c r="G512" s="16">
        <f ca="1">IFERROR(__xludf.DUMMYFUNCTION("""COMPUTED_VALUE"""),45744)</f>
        <v>45744</v>
      </c>
      <c r="H512" s="6" t="str">
        <f ca="1">IFERROR(__xludf.DUMMYFUNCTION("""COMPUTED_VALUE"""),"Torrejón")</f>
        <v>Torrejón</v>
      </c>
      <c r="I512" s="6" t="str">
        <f ca="1">IFERROR(__xludf.DUMMYFUNCTION("""COMPUTED_VALUE"""),"C202543123057516")</f>
        <v>C202543123057516</v>
      </c>
      <c r="J512" s="6" t="str">
        <f ca="1">IFERROR(__xludf.DUMMYFUNCTION("""COMPUTED_VALUE"""),"ENCARNA MUÑOZ BAREA")</f>
        <v>ENCARNA MUÑOZ BAREA</v>
      </c>
      <c r="K512" s="6">
        <f ca="1">IFERROR(__xludf.DUMMYFUNCTION("""COMPUTED_VALUE"""),2)</f>
        <v>2</v>
      </c>
      <c r="L512" s="139">
        <f ca="1">IFERROR(__xludf.DUMMYFUNCTION("""COMPUTED_VALUE"""),2888.18)</f>
        <v>2888.18</v>
      </c>
      <c r="M512" s="6" t="str">
        <f ca="1">IFERROR(__xludf.DUMMYFUNCTION("""COMPUTED_VALUE"""),"03 ORL")</f>
        <v>03 ORL</v>
      </c>
      <c r="N512" s="6" t="str">
        <f ca="1">IFERROR(__xludf.DUMMYFUNCTION("""COMPUTED_VALUE"""),"06 ORL")</f>
        <v>06 ORL</v>
      </c>
      <c r="O512" s="6" t="str">
        <f ca="1">IFERROR(__xludf.DUMMYFUNCTION("""COMPUTED_VALUE"""),"Dra, María Garrote Garrote")</f>
        <v>Dra, María Garrote Garrote</v>
      </c>
      <c r="P512" s="6" t="str">
        <f ca="1">IFERROR(__xludf.DUMMYFUNCTION("""COMPUTED_VALUE"""),"Maika Blázquez (Madrid)")</f>
        <v>Maika Blázquez (Madrid)</v>
      </c>
    </row>
    <row r="513" spans="2:16">
      <c r="B513" s="6">
        <f ca="1">IFERROR(__xludf.DUMMYFUNCTION("""COMPUTED_VALUE"""),2025)</f>
        <v>2025</v>
      </c>
      <c r="C513" s="6">
        <f ca="1">IFERROR(__xludf.DUMMYFUNCTION("""COMPUTED_VALUE"""),4)</f>
        <v>4</v>
      </c>
      <c r="D513" s="6" t="str">
        <f ca="1">IFERROR(__xludf.DUMMYFUNCTION("""COMPUTED_VALUE"""),"NO")</f>
        <v>NO</v>
      </c>
      <c r="E513" s="6" t="str">
        <f ca="1">IFERROR(__xludf.DUMMYFUNCTION("""COMPUTED_VALUE"""),"Torrejón de Ardoz")</f>
        <v>Torrejón de Ardoz</v>
      </c>
      <c r="F513" s="16">
        <f ca="1">IFERROR(__xludf.DUMMYFUNCTION("""COMPUTED_VALUE"""),45761)</f>
        <v>45761</v>
      </c>
      <c r="G513" s="16">
        <f ca="1">IFERROR(__xludf.DUMMYFUNCTION("""COMPUTED_VALUE"""),45749)</f>
        <v>45749</v>
      </c>
      <c r="H513" s="6" t="str">
        <f ca="1">IFERROR(__xludf.DUMMYFUNCTION("""COMPUTED_VALUE"""),"Torrejón")</f>
        <v>Torrejón</v>
      </c>
      <c r="I513" s="6" t="str">
        <f ca="1">IFERROR(__xludf.DUMMYFUNCTION("""COMPUTED_VALUE"""),"C202544112950303")</f>
        <v>C202544112950303</v>
      </c>
      <c r="J513" s="6" t="str">
        <f ca="1">IFERROR(__xludf.DUMMYFUNCTION("""COMPUTED_VALUE"""),"VICENTE VILLA ROMERO")</f>
        <v>VICENTE VILLA ROMERO</v>
      </c>
      <c r="K513" s="6">
        <f ca="1">IFERROR(__xludf.DUMMYFUNCTION("""COMPUTED_VALUE"""),2)</f>
        <v>2</v>
      </c>
      <c r="L513" s="139">
        <f ca="1">IFERROR(__xludf.DUMMYFUNCTION("""COMPUTED_VALUE"""),4000)</f>
        <v>4000</v>
      </c>
      <c r="M513" s="6" t="str">
        <f ca="1">IFERROR(__xludf.DUMMYFUNCTION("""COMPUTED_VALUE"""),"03 ORL")</f>
        <v>03 ORL</v>
      </c>
      <c r="N513" s="6" t="str">
        <f ca="1">IFERROR(__xludf.DUMMYFUNCTION("""COMPUTED_VALUE"""),"06 ORL")</f>
        <v>06 ORL</v>
      </c>
      <c r="O513" s="6" t="str">
        <f ca="1">IFERROR(__xludf.DUMMYFUNCTION("""COMPUTED_VALUE"""),"Dr, Pablo García González")</f>
        <v>Dr, Pablo García González</v>
      </c>
      <c r="P513" s="6" t="str">
        <f ca="1">IFERROR(__xludf.DUMMYFUNCTION("""COMPUTED_VALUE"""),"Maika Blázquez (Madrid)")</f>
        <v>Maika Blázquez (Madrid)</v>
      </c>
    </row>
    <row r="514" spans="2:16">
      <c r="B514" s="6">
        <f ca="1">IFERROR(__xludf.DUMMYFUNCTION("""COMPUTED_VALUE"""),2025)</f>
        <v>2025</v>
      </c>
      <c r="C514" s="6">
        <f ca="1">IFERROR(__xludf.DUMMYFUNCTION("""COMPUTED_VALUE"""),4)</f>
        <v>4</v>
      </c>
      <c r="D514" s="6" t="str">
        <f ca="1">IFERROR(__xludf.DUMMYFUNCTION("""COMPUTED_VALUE"""),"NO")</f>
        <v>NO</v>
      </c>
      <c r="E514" s="6" t="str">
        <f ca="1">IFERROR(__xludf.DUMMYFUNCTION("""COMPUTED_VALUE"""),"Cáceres")</f>
        <v>Cáceres</v>
      </c>
      <c r="F514" s="16">
        <f ca="1">IFERROR(__xludf.DUMMYFUNCTION("""COMPUTED_VALUE"""),45761)</f>
        <v>45761</v>
      </c>
      <c r="G514" s="16">
        <f ca="1">IFERROR(__xludf.DUMMYFUNCTION("""COMPUTED_VALUE"""),45723)</f>
        <v>45723</v>
      </c>
      <c r="H514" s="6" t="str">
        <f ca="1">IFERROR(__xludf.DUMMYFUNCTION("""COMPUTED_VALUE"""),"Cáceres")</f>
        <v>Cáceres</v>
      </c>
      <c r="I514" s="6" t="str">
        <f ca="1">IFERROR(__xludf.DUMMYFUNCTION("""COMPUTED_VALUE"""),"CAC-248")</f>
        <v>CAC-248</v>
      </c>
      <c r="J514" s="6" t="str">
        <f ca="1">IFERROR(__xludf.DUMMYFUNCTION("""COMPUTED_VALUE"""),"INES MUÑOZ BORRELLA")</f>
        <v>INES MUÑOZ BORRELLA</v>
      </c>
      <c r="K514" s="6">
        <f ca="1">IFERROR(__xludf.DUMMYFUNCTION("""COMPUTED_VALUE"""),2)</f>
        <v>2</v>
      </c>
      <c r="L514" s="139">
        <f ca="1">IFERROR(__xludf.DUMMYFUNCTION("""COMPUTED_VALUE"""),4400)</f>
        <v>4400</v>
      </c>
      <c r="M514" s="6" t="str">
        <f ca="1">IFERROR(__xludf.DUMMYFUNCTION("""COMPUTED_VALUE"""),"03 ORL")</f>
        <v>03 ORL</v>
      </c>
      <c r="N514" s="6" t="str">
        <f ca="1">IFERROR(__xludf.DUMMYFUNCTION("""COMPUTED_VALUE"""),"06 ORL")</f>
        <v>06 ORL</v>
      </c>
      <c r="O514" s="6" t="str">
        <f ca="1">IFERROR(__xludf.DUMMYFUNCTION("""COMPUTED_VALUE"""),"Dr, Javier García Gómez")</f>
        <v>Dr, Javier García Gómez</v>
      </c>
      <c r="P514" s="6" t="str">
        <f ca="1">IFERROR(__xludf.DUMMYFUNCTION("""COMPUTED_VALUE"""),"Lisandro Russian (Madrid, Cáceres, Toledo, Talavera Y Logroño)")</f>
        <v>Lisandro Russian (Madrid, Cáceres, Toledo, Talavera Y Logroño)</v>
      </c>
    </row>
    <row r="515" spans="2:16">
      <c r="B515" s="6">
        <f ca="1">IFERROR(__xludf.DUMMYFUNCTION("""COMPUTED_VALUE"""),2025)</f>
        <v>2025</v>
      </c>
      <c r="C515" s="6">
        <f ca="1">IFERROR(__xludf.DUMMYFUNCTION("""COMPUTED_VALUE"""),4)</f>
        <v>4</v>
      </c>
      <c r="D515" s="6" t="str">
        <f ca="1">IFERROR(__xludf.DUMMYFUNCTION("""COMPUTED_VALUE"""),"NO")</f>
        <v>NO</v>
      </c>
      <c r="E515" s="6" t="str">
        <f ca="1">IFERROR(__xludf.DUMMYFUNCTION("""COMPUTED_VALUE"""),"Badajoz")</f>
        <v>Badajoz</v>
      </c>
      <c r="F515" s="16">
        <f ca="1">IFERROR(__xludf.DUMMYFUNCTION("""COMPUTED_VALUE"""),45761)</f>
        <v>45761</v>
      </c>
      <c r="G515" s="16">
        <f ca="1">IFERROR(__xludf.DUMMYFUNCTION("""COMPUTED_VALUE"""),45726)</f>
        <v>45726</v>
      </c>
      <c r="H515" s="6" t="str">
        <f ca="1">IFERROR(__xludf.DUMMYFUNCTION("""COMPUTED_VALUE"""),"Badajoz")</f>
        <v>Badajoz</v>
      </c>
      <c r="I515" s="6" t="str">
        <f ca="1">IFERROR(__xludf.DUMMYFUNCTION("""COMPUTED_VALUE"""),"BJZE-2474")</f>
        <v>BJZE-2474</v>
      </c>
      <c r="J515" s="6" t="str">
        <f ca="1">IFERROR(__xludf.DUMMYFUNCTION("""COMPUTED_VALUE"""),"MARI SOL MORGADO GONZALEZ")</f>
        <v>MARI SOL MORGADO GONZALEZ</v>
      </c>
      <c r="K515" s="6">
        <f ca="1">IFERROR(__xludf.DUMMYFUNCTION("""COMPUTED_VALUE"""),2)</f>
        <v>2</v>
      </c>
      <c r="L515" s="139">
        <f ca="1">IFERROR(__xludf.DUMMYFUNCTION("""COMPUTED_VALUE"""),3045.45)</f>
        <v>3045.45</v>
      </c>
      <c r="M515" s="6" t="str">
        <f ca="1">IFERROR(__xludf.DUMMYFUNCTION("""COMPUTED_VALUE"""),"03 ORL")</f>
        <v>03 ORL</v>
      </c>
      <c r="N515" s="6" t="str">
        <f ca="1">IFERROR(__xludf.DUMMYFUNCTION("""COMPUTED_VALUE"""),"06 ORL")</f>
        <v>06 ORL</v>
      </c>
      <c r="O515" s="6" t="str">
        <f ca="1">IFERROR(__xludf.DUMMYFUNCTION("""COMPUTED_VALUE"""),"Dr, Pedro Francisco Martínez Guisado")</f>
        <v>Dr, Pedro Francisco Martínez Guisado</v>
      </c>
      <c r="P515" s="6" t="str">
        <f ca="1">IFERROR(__xludf.DUMMYFUNCTION("""COMPUTED_VALUE"""),"Luis Alberto Rodríguez (Andalucía Y Badajoz)")</f>
        <v>Luis Alberto Rodríguez (Andalucía Y Badajoz)</v>
      </c>
    </row>
    <row r="516" spans="2:16">
      <c r="B516" s="6">
        <f ca="1">IFERROR(__xludf.DUMMYFUNCTION("""COMPUTED_VALUE"""),2025)</f>
        <v>2025</v>
      </c>
      <c r="C516" s="6">
        <f ca="1">IFERROR(__xludf.DUMMYFUNCTION("""COMPUTED_VALUE"""),4)</f>
        <v>4</v>
      </c>
      <c r="D516" s="6" t="str">
        <f ca="1">IFERROR(__xludf.DUMMYFUNCTION("""COMPUTED_VALUE"""),"NO")</f>
        <v>NO</v>
      </c>
      <c r="E516" s="6" t="str">
        <f ca="1">IFERROR(__xludf.DUMMYFUNCTION("""COMPUTED_VALUE"""),"Sevilla- Ciencias")</f>
        <v>Sevilla- Ciencias</v>
      </c>
      <c r="F516" s="16">
        <f ca="1">IFERROR(__xludf.DUMMYFUNCTION("""COMPUTED_VALUE"""),45761)</f>
        <v>45761</v>
      </c>
      <c r="G516" s="16">
        <f ca="1">IFERROR(__xludf.DUMMYFUNCTION("""COMPUTED_VALUE"""),45736)</f>
        <v>45736</v>
      </c>
      <c r="H516" s="6" t="str">
        <f ca="1">IFERROR(__xludf.DUMMYFUNCTION("""COMPUTED_VALUE"""),"Sevilla Este")</f>
        <v>Sevilla Este</v>
      </c>
      <c r="I516" s="6" t="str">
        <f ca="1">IFERROR(__xludf.DUMMYFUNCTION("""COMPUTED_VALUE"""),"SEVE-385")</f>
        <v>SEVE-385</v>
      </c>
      <c r="J516" s="6" t="str">
        <f ca="1">IFERROR(__xludf.DUMMYFUNCTION("""COMPUTED_VALUE"""),"JOSE MARIA AGUADO MARTINEZ")</f>
        <v>JOSE MARIA AGUADO MARTINEZ</v>
      </c>
      <c r="K516" s="6">
        <f ca="1">IFERROR(__xludf.DUMMYFUNCTION("""COMPUTED_VALUE"""),2)</f>
        <v>2</v>
      </c>
      <c r="L516" s="139">
        <f ca="1">IFERROR(__xludf.DUMMYFUNCTION("""COMPUTED_VALUE"""),4000)</f>
        <v>4000</v>
      </c>
      <c r="M516" s="6" t="str">
        <f ca="1">IFERROR(__xludf.DUMMYFUNCTION("""COMPUTED_VALUE"""),"03 ORL")</f>
        <v>03 ORL</v>
      </c>
      <c r="N516" s="6" t="str">
        <f ca="1">IFERROR(__xludf.DUMMYFUNCTION("""COMPUTED_VALUE"""),"06 ORL")</f>
        <v>06 ORL</v>
      </c>
      <c r="O516" s="6" t="str">
        <f ca="1">IFERROR(__xludf.DUMMYFUNCTION("""COMPUTED_VALUE"""),"Dr, Enrique Gómez Aldaz")</f>
        <v>Dr, Enrique Gómez Aldaz</v>
      </c>
      <c r="P516" s="6" t="str">
        <f ca="1">IFERROR(__xludf.DUMMYFUNCTION("""COMPUTED_VALUE"""),"Luis Alberto Rodríguez (Andalucía Y Badajoz)")</f>
        <v>Luis Alberto Rodríguez (Andalucía Y Badajoz)</v>
      </c>
    </row>
    <row r="517" spans="2:16">
      <c r="B517" s="6">
        <f ca="1">IFERROR(__xludf.DUMMYFUNCTION("""COMPUTED_VALUE"""),2025)</f>
        <v>2025</v>
      </c>
      <c r="C517" s="6">
        <f ca="1">IFERROR(__xludf.DUMMYFUNCTION("""COMPUTED_VALUE"""),4)</f>
        <v>4</v>
      </c>
      <c r="D517" s="6" t="str">
        <f ca="1">IFERROR(__xludf.DUMMYFUNCTION("""COMPUTED_VALUE"""),"NO")</f>
        <v>NO</v>
      </c>
      <c r="E517" s="6" t="str">
        <f ca="1">IFERROR(__xludf.DUMMYFUNCTION("""COMPUTED_VALUE"""),"Barcelona- Fabra i Puig")</f>
        <v>Barcelona- Fabra i Puig</v>
      </c>
      <c r="F517" s="16">
        <f ca="1">IFERROR(__xludf.DUMMYFUNCTION("""COMPUTED_VALUE"""),45762)</f>
        <v>45762</v>
      </c>
      <c r="G517" s="16">
        <f ca="1">IFERROR(__xludf.DUMMYFUNCTION("""COMPUTED_VALUE"""),45728)</f>
        <v>45728</v>
      </c>
      <c r="H517" s="6" t="str">
        <f ca="1">IFERROR(__xludf.DUMMYFUNCTION("""COMPUTED_VALUE"""),"Fabra")</f>
        <v>Fabra</v>
      </c>
      <c r="I517" s="6" t="str">
        <f ca="1">IFERROR(__xludf.DUMMYFUNCTION("""COMPUTED_VALUE"""),"C2025324102811501")</f>
        <v>C2025324102811501</v>
      </c>
      <c r="J517" s="6" t="str">
        <f ca="1">IFERROR(__xludf.DUMMYFUNCTION("""COMPUTED_VALUE"""),"ANGELES LOBO SANCHA")</f>
        <v>ANGELES LOBO SANCHA</v>
      </c>
      <c r="K517" s="6">
        <f ca="1">IFERROR(__xludf.DUMMYFUNCTION("""COMPUTED_VALUE"""),1)</f>
        <v>1</v>
      </c>
      <c r="L517" s="139">
        <f ca="1">IFERROR(__xludf.DUMMYFUNCTION("""COMPUTED_VALUE"""),2400)</f>
        <v>2400</v>
      </c>
      <c r="M517" s="6" t="str">
        <f ca="1">IFERROR(__xludf.DUMMYFUNCTION("""COMPUTED_VALUE"""),"03 ORL")</f>
        <v>03 ORL</v>
      </c>
      <c r="N517" s="6" t="str">
        <f ca="1">IFERROR(__xludf.DUMMYFUNCTION("""COMPUTED_VALUE"""),"06 ORL")</f>
        <v>06 ORL</v>
      </c>
      <c r="O517" s="6" t="str">
        <f ca="1">IFERROR(__xludf.DUMMYFUNCTION("""COMPUTED_VALUE"""),"Dra, Anna Mateo Montfort")</f>
        <v>Dra, Anna Mateo Montfort</v>
      </c>
      <c r="P517" s="6" t="str">
        <f ca="1">IFERROR(__xludf.DUMMYFUNCTION("""COMPUTED_VALUE"""),"Mercè Cabrera (Cataluña Y Baleares)")</f>
        <v>Mercè Cabrera (Cataluña Y Baleares)</v>
      </c>
    </row>
    <row r="518" spans="2:16">
      <c r="B518" s="6">
        <f ca="1">IFERROR(__xludf.DUMMYFUNCTION("""COMPUTED_VALUE"""),2025)</f>
        <v>2025</v>
      </c>
      <c r="C518" s="6">
        <f ca="1">IFERROR(__xludf.DUMMYFUNCTION("""COMPUTED_VALUE"""),4)</f>
        <v>4</v>
      </c>
      <c r="D518" s="6" t="str">
        <f ca="1">IFERROR(__xludf.DUMMYFUNCTION("""COMPUTED_VALUE"""),"NO")</f>
        <v>NO</v>
      </c>
      <c r="E518" s="6" t="str">
        <f ca="1">IFERROR(__xludf.DUMMYFUNCTION("""COMPUTED_VALUE"""),"Madrid- Costa Rica")</f>
        <v>Madrid- Costa Rica</v>
      </c>
      <c r="F518" s="16">
        <f ca="1">IFERROR(__xludf.DUMMYFUNCTION("""COMPUTED_VALUE"""),45762)</f>
        <v>45762</v>
      </c>
      <c r="G518" s="16">
        <f ca="1">IFERROR(__xludf.DUMMYFUNCTION("""COMPUTED_VALUE"""),45727)</f>
        <v>45727</v>
      </c>
      <c r="H518" s="6" t="str">
        <f ca="1">IFERROR(__xludf.DUMMYFUNCTION("""COMPUTED_VALUE"""),"Costa Rica")</f>
        <v>Costa Rica</v>
      </c>
      <c r="I518" s="6" t="str">
        <f ca="1">IFERROR(__xludf.DUMMYFUNCTION("""COMPUTED_VALUE"""),"C2025312124649839")</f>
        <v>C2025312124649839</v>
      </c>
      <c r="J518" s="6" t="str">
        <f ca="1">IFERROR(__xludf.DUMMYFUNCTION("""COMPUTED_VALUE"""),"ALICE PATRICIA SPILLARS")</f>
        <v>ALICE PATRICIA SPILLARS</v>
      </c>
      <c r="K518" s="6">
        <f ca="1">IFERROR(__xludf.DUMMYFUNCTION("""COMPUTED_VALUE"""),2)</f>
        <v>2</v>
      </c>
      <c r="L518" s="139">
        <f ca="1">IFERROR(__xludf.DUMMYFUNCTION("""COMPUTED_VALUE"""),2888.18)</f>
        <v>2888.18</v>
      </c>
      <c r="M518" s="6" t="str">
        <f ca="1">IFERROR(__xludf.DUMMYFUNCTION("""COMPUTED_VALUE"""),"03 ORL")</f>
        <v>03 ORL</v>
      </c>
      <c r="N518" s="6" t="str">
        <f ca="1">IFERROR(__xludf.DUMMYFUNCTION("""COMPUTED_VALUE"""),"22 AUDIOMETRIA CLINICA")</f>
        <v>22 AUDIOMETRIA CLINICA</v>
      </c>
      <c r="O518" s="6" t="str">
        <f ca="1">IFERROR(__xludf.DUMMYFUNCTION("""COMPUTED_VALUE"""),"Dr, Luis Jiménez Ferreres")</f>
        <v>Dr, Luis Jiménez Ferreres</v>
      </c>
      <c r="P518" s="6" t="str">
        <f ca="1">IFERROR(__xludf.DUMMYFUNCTION("""COMPUTED_VALUE"""),"Lisandro Russian (Madrid, Cáceres, Toledo, Talavera Y Logroño)")</f>
        <v>Lisandro Russian (Madrid, Cáceres, Toledo, Talavera Y Logroño)</v>
      </c>
    </row>
    <row r="519" spans="2:16">
      <c r="B519" s="6">
        <f ca="1">IFERROR(__xludf.DUMMYFUNCTION("""COMPUTED_VALUE"""),2025)</f>
        <v>2025</v>
      </c>
      <c r="C519" s="6">
        <f ca="1">IFERROR(__xludf.DUMMYFUNCTION("""COMPUTED_VALUE"""),4)</f>
        <v>4</v>
      </c>
      <c r="D519" s="6" t="str">
        <f ca="1">IFERROR(__xludf.DUMMYFUNCTION("""COMPUTED_VALUE"""),"NO")</f>
        <v>NO</v>
      </c>
      <c r="E519" s="6" t="str">
        <f ca="1">IFERROR(__xludf.DUMMYFUNCTION("""COMPUTED_VALUE"""),"Sevilla- Ciencias")</f>
        <v>Sevilla- Ciencias</v>
      </c>
      <c r="F519" s="16">
        <f ca="1">IFERROR(__xludf.DUMMYFUNCTION("""COMPUTED_VALUE"""),45762)</f>
        <v>45762</v>
      </c>
      <c r="G519" s="16">
        <f ca="1">IFERROR(__xludf.DUMMYFUNCTION("""COMPUTED_VALUE"""),45712)</f>
        <v>45712</v>
      </c>
      <c r="H519" s="6" t="str">
        <f ca="1">IFERROR(__xludf.DUMMYFUNCTION("""COMPUTED_VALUE"""),"Sevilla Este")</f>
        <v>Sevilla Este</v>
      </c>
      <c r="I519" s="6" t="str">
        <f ca="1">IFERROR(__xludf.DUMMYFUNCTION("""COMPUTED_VALUE"""),"SEVE-372")</f>
        <v>SEVE-372</v>
      </c>
      <c r="J519" s="6" t="str">
        <f ca="1">IFERROR(__xludf.DUMMYFUNCTION("""COMPUTED_VALUE"""),"MIGUEL ESPINOSA HIDALGO")</f>
        <v>MIGUEL ESPINOSA HIDALGO</v>
      </c>
      <c r="K519" s="6">
        <f ca="1">IFERROR(__xludf.DUMMYFUNCTION("""COMPUTED_VALUE"""),2)</f>
        <v>2</v>
      </c>
      <c r="L519" s="139">
        <f ca="1">IFERROR(__xludf.DUMMYFUNCTION("""COMPUTED_VALUE"""),4400)</f>
        <v>4400</v>
      </c>
      <c r="M519" s="6" t="str">
        <f ca="1">IFERROR(__xludf.DUMMYFUNCTION("""COMPUTED_VALUE"""),"01 MARKETING ON LINE")</f>
        <v>01 MARKETING ON LINE</v>
      </c>
      <c r="N519" s="6" t="str">
        <f ca="1">IFERROR(__xludf.DUMMYFUNCTION("""COMPUTED_VALUE"""),"04 AUDIFONO,ES")</f>
        <v>04 AUDIFONO,ES</v>
      </c>
      <c r="O519" s="6" t="str">
        <f ca="1">IFERROR(__xludf.DUMMYFUNCTION("""COMPUTED_VALUE"""),"Dra, Carmen Hernández Torres")</f>
        <v>Dra, Carmen Hernández Torres</v>
      </c>
      <c r="P519" s="6" t="str">
        <f ca="1">IFERROR(__xludf.DUMMYFUNCTION("""COMPUTED_VALUE"""),"Luis Alberto Rodríguez (Andalucía Y Badajoz)")</f>
        <v>Luis Alberto Rodríguez (Andalucía Y Badajoz)</v>
      </c>
    </row>
    <row r="520" spans="2:16">
      <c r="B520" s="6">
        <f ca="1">IFERROR(__xludf.DUMMYFUNCTION("""COMPUTED_VALUE"""),2025)</f>
        <v>2025</v>
      </c>
      <c r="C520" s="6">
        <f ca="1">IFERROR(__xludf.DUMMYFUNCTION("""COMPUTED_VALUE"""),4)</f>
        <v>4</v>
      </c>
      <c r="D520" s="6" t="str">
        <f ca="1">IFERROR(__xludf.DUMMYFUNCTION("""COMPUTED_VALUE"""),"NO")</f>
        <v>NO</v>
      </c>
      <c r="E520" s="6" t="str">
        <f ca="1">IFERROR(__xludf.DUMMYFUNCTION("""COMPUTED_VALUE"""),"Fuenlabrada")</f>
        <v>Fuenlabrada</v>
      </c>
      <c r="F520" s="16">
        <f ca="1">IFERROR(__xludf.DUMMYFUNCTION("""COMPUTED_VALUE"""),45763)</f>
        <v>45763</v>
      </c>
      <c r="G520" s="16">
        <f ca="1">IFERROR(__xludf.DUMMYFUNCTION("""COMPUTED_VALUE"""),45734)</f>
        <v>45734</v>
      </c>
      <c r="H520" s="6" t="str">
        <f ca="1">IFERROR(__xludf.DUMMYFUNCTION("""COMPUTED_VALUE"""),"Fuenlabrada")</f>
        <v>Fuenlabrada</v>
      </c>
      <c r="I520" s="6" t="str">
        <f ca="1">IFERROR(__xludf.DUMMYFUNCTION("""COMPUTED_VALUE"""),"C202532116296904")</f>
        <v>C202532116296904</v>
      </c>
      <c r="J520" s="6" t="str">
        <f ca="1">IFERROR(__xludf.DUMMYFUNCTION("""COMPUTED_VALUE"""),"RAFAEL CUBERO DIAZ")</f>
        <v>RAFAEL CUBERO DIAZ</v>
      </c>
      <c r="K520" s="6">
        <f ca="1">IFERROR(__xludf.DUMMYFUNCTION("""COMPUTED_VALUE"""),2)</f>
        <v>2</v>
      </c>
      <c r="L520" s="139">
        <f ca="1">IFERROR(__xludf.DUMMYFUNCTION("""COMPUTED_VALUE"""),3710)</f>
        <v>3710</v>
      </c>
      <c r="M520" s="6" t="str">
        <f ca="1">IFERROR(__xludf.DUMMYFUNCTION("""COMPUTED_VALUE"""),"03 ORL")</f>
        <v>03 ORL</v>
      </c>
      <c r="N520" s="6" t="str">
        <f ca="1">IFERROR(__xludf.DUMMYFUNCTION("""COMPUTED_VALUE"""),"06 ORL")</f>
        <v>06 ORL</v>
      </c>
      <c r="O520" s="6" t="str">
        <f ca="1">IFERROR(__xludf.DUMMYFUNCTION("""COMPUTED_VALUE"""),"Dra, Victoria García Peces")</f>
        <v>Dra, Victoria García Peces</v>
      </c>
      <c r="P520" s="6" t="str">
        <f ca="1">IFERROR(__xludf.DUMMYFUNCTION("""COMPUTED_VALUE"""),"Maika Blázquez (Madrid)")</f>
        <v>Maika Blázquez (Madrid)</v>
      </c>
    </row>
    <row r="521" spans="2:16">
      <c r="B521" s="6">
        <f ca="1">IFERROR(__xludf.DUMMYFUNCTION("""COMPUTED_VALUE"""),2025)</f>
        <v>2025</v>
      </c>
      <c r="C521" s="6">
        <f ca="1">IFERROR(__xludf.DUMMYFUNCTION("""COMPUTED_VALUE"""),4)</f>
        <v>4</v>
      </c>
      <c r="D521" s="6" t="str">
        <f ca="1">IFERROR(__xludf.DUMMYFUNCTION("""COMPUTED_VALUE"""),"NO")</f>
        <v>NO</v>
      </c>
      <c r="E521" s="6" t="str">
        <f ca="1">IFERROR(__xludf.DUMMYFUNCTION("""COMPUTED_VALUE"""),"Madrid- Juan Bravo")</f>
        <v>Madrid- Juan Bravo</v>
      </c>
      <c r="F521" s="16">
        <f ca="1">IFERROR(__xludf.DUMMYFUNCTION("""COMPUTED_VALUE"""),45763)</f>
        <v>45763</v>
      </c>
      <c r="G521" s="16">
        <f ca="1">IFERROR(__xludf.DUMMYFUNCTION("""COMPUTED_VALUE"""),45692)</f>
        <v>45692</v>
      </c>
      <c r="H521" s="6" t="str">
        <f ca="1">IFERROR(__xludf.DUMMYFUNCTION("""COMPUTED_VALUE"""),"Juan Bravo")</f>
        <v>Juan Bravo</v>
      </c>
      <c r="I521" s="6" t="str">
        <f ca="1">IFERROR(__xludf.DUMMYFUNCTION("""COMPUTED_VALUE"""),"C20252710341649")</f>
        <v>C20252710341649</v>
      </c>
      <c r="J521" s="6" t="str">
        <f ca="1">IFERROR(__xludf.DUMMYFUNCTION("""COMPUTED_VALUE"""),"MARIA CRISTINA SENOSIAIN JIMENO")</f>
        <v>MARIA CRISTINA SENOSIAIN JIMENO</v>
      </c>
      <c r="K521" s="6">
        <f ca="1">IFERROR(__xludf.DUMMYFUNCTION("""COMPUTED_VALUE"""),1)</f>
        <v>1</v>
      </c>
      <c r="L521" s="139">
        <f ca="1">IFERROR(__xludf.DUMMYFUNCTION("""COMPUTED_VALUE"""),2400)</f>
        <v>2400</v>
      </c>
      <c r="M521" s="6" t="str">
        <f ca="1">IFERROR(__xludf.DUMMYFUNCTION("""COMPUTED_VALUE"""),"03 ORL")</f>
        <v>03 ORL</v>
      </c>
      <c r="N521" s="6" t="str">
        <f ca="1">IFERROR(__xludf.DUMMYFUNCTION("""COMPUTED_VALUE"""),"06 ORL")</f>
        <v>06 ORL</v>
      </c>
      <c r="O521" s="6" t="str">
        <f ca="1">IFERROR(__xludf.DUMMYFUNCTION("""COMPUTED_VALUE"""),"Dr, Carlos Barajas Del Rosal")</f>
        <v>Dr, Carlos Barajas Del Rosal</v>
      </c>
      <c r="P521" s="6" t="str">
        <f ca="1">IFERROR(__xludf.DUMMYFUNCTION("""COMPUTED_VALUE"""),"Lisandro Russian (Madrid, Cáceres, Toledo, Talavera Y Logroño)")</f>
        <v>Lisandro Russian (Madrid, Cáceres, Toledo, Talavera Y Logroño)</v>
      </c>
    </row>
    <row r="522" spans="2:16">
      <c r="B522" s="6">
        <f ca="1">IFERROR(__xludf.DUMMYFUNCTION("""COMPUTED_VALUE"""),2025)</f>
        <v>2025</v>
      </c>
      <c r="C522" s="6">
        <f ca="1">IFERROR(__xludf.DUMMYFUNCTION("""COMPUTED_VALUE"""),4)</f>
        <v>4</v>
      </c>
      <c r="D522" s="6" t="str">
        <f ca="1">IFERROR(__xludf.DUMMYFUNCTION("""COMPUTED_VALUE"""),"NO")</f>
        <v>NO</v>
      </c>
      <c r="E522" s="6" t="str">
        <f ca="1">IFERROR(__xludf.DUMMYFUNCTION("""COMPUTED_VALUE"""),"Madrid- La Oca")</f>
        <v>Madrid- La Oca</v>
      </c>
      <c r="F522" s="16">
        <f ca="1">IFERROR(__xludf.DUMMYFUNCTION("""COMPUTED_VALUE"""),45763)</f>
        <v>45763</v>
      </c>
      <c r="G522" s="16">
        <f ca="1">IFERROR(__xludf.DUMMYFUNCTION("""COMPUTED_VALUE"""),45726)</f>
        <v>45726</v>
      </c>
      <c r="H522" s="6" t="str">
        <f ca="1">IFERROR(__xludf.DUMMYFUNCTION("""COMPUTED_VALUE"""),"La Oca")</f>
        <v>La Oca</v>
      </c>
      <c r="I522" s="6" t="str">
        <f ca="1">IFERROR(__xludf.DUMMYFUNCTION("""COMPUTED_VALUE"""),"C202531918054191")</f>
        <v>C202531918054191</v>
      </c>
      <c r="J522" s="6" t="str">
        <f ca="1">IFERROR(__xludf.DUMMYFUNCTION("""COMPUTED_VALUE"""),"AURORA GARCIA PIÑERA")</f>
        <v>AURORA GARCIA PIÑERA</v>
      </c>
      <c r="K522" s="6">
        <f ca="1">IFERROR(__xludf.DUMMYFUNCTION("""COMPUTED_VALUE"""),2)</f>
        <v>2</v>
      </c>
      <c r="L522" s="139">
        <f ca="1">IFERROR(__xludf.DUMMYFUNCTION("""COMPUTED_VALUE"""),3710)</f>
        <v>3710</v>
      </c>
      <c r="M522" s="6" t="str">
        <f ca="1">IFERROR(__xludf.DUMMYFUNCTION("""COMPUTED_VALUE"""),"03 ORL")</f>
        <v>03 ORL</v>
      </c>
      <c r="N522" s="6" t="str">
        <f ca="1">IFERROR(__xludf.DUMMYFUNCTION("""COMPUTED_VALUE"""),"06 ORL")</f>
        <v>06 ORL</v>
      </c>
      <c r="O522" s="6" t="str">
        <f ca="1">IFERROR(__xludf.DUMMYFUNCTION("""COMPUTED_VALUE"""),"Dr, Oscar A, Sánchez Valenzuela")</f>
        <v>Dr, Oscar A, Sánchez Valenzuela</v>
      </c>
      <c r="P522" s="6" t="str">
        <f ca="1">IFERROR(__xludf.DUMMYFUNCTION("""COMPUTED_VALUE"""),"Maika Blázquez (Madrid)")</f>
        <v>Maika Blázquez (Madrid)</v>
      </c>
    </row>
    <row r="523" spans="2:16">
      <c r="B523" s="6">
        <f ca="1">IFERROR(__xludf.DUMMYFUNCTION("""COMPUTED_VALUE"""),2025)</f>
        <v>2025</v>
      </c>
      <c r="C523" s="6">
        <f ca="1">IFERROR(__xludf.DUMMYFUNCTION("""COMPUTED_VALUE"""),4)</f>
        <v>4</v>
      </c>
      <c r="D523" s="6" t="str">
        <f ca="1">IFERROR(__xludf.DUMMYFUNCTION("""COMPUTED_VALUE"""),"NO")</f>
        <v>NO</v>
      </c>
      <c r="E523" s="6" t="str">
        <f ca="1">IFERROR(__xludf.DUMMYFUNCTION("""COMPUTED_VALUE"""),"San Javier")</f>
        <v>San Javier</v>
      </c>
      <c r="F523" s="16">
        <f ca="1">IFERROR(__xludf.DUMMYFUNCTION("""COMPUTED_VALUE"""),45763)</f>
        <v>45763</v>
      </c>
      <c r="G523" s="16">
        <f ca="1">IFERROR(__xludf.DUMMYFUNCTION("""COMPUTED_VALUE"""),45691)</f>
        <v>45691</v>
      </c>
      <c r="H523" s="6" t="str">
        <f ca="1">IFERROR(__xludf.DUMMYFUNCTION("""COMPUTED_VALUE"""),"San Javier")</f>
        <v>San Javier</v>
      </c>
      <c r="I523" s="6" t="str">
        <f ca="1">IFERROR(__xludf.DUMMYFUNCTION("""COMPUTED_VALUE"""),"C202527163711862")</f>
        <v>C202527163711862</v>
      </c>
      <c r="J523" s="6" t="str">
        <f ca="1">IFERROR(__xludf.DUMMYFUNCTION("""COMPUTED_VALUE"""),"JUANA MARIA OLMOS HENAREJOS")</f>
        <v>JUANA MARIA OLMOS HENAREJOS</v>
      </c>
      <c r="K523" s="6">
        <f ca="1">IFERROR(__xludf.DUMMYFUNCTION("""COMPUTED_VALUE"""),2)</f>
        <v>2</v>
      </c>
      <c r="L523" s="139">
        <f ca="1">IFERROR(__xludf.DUMMYFUNCTION("""COMPUTED_VALUE"""),2888.18)</f>
        <v>2888.18</v>
      </c>
      <c r="M523" s="6" t="str">
        <f ca="1">IFERROR(__xludf.DUMMYFUNCTION("""COMPUTED_VALUE"""),"03 ORL")</f>
        <v>03 ORL</v>
      </c>
      <c r="N523" s="6" t="str">
        <f ca="1">IFERROR(__xludf.DUMMYFUNCTION("""COMPUTED_VALUE"""),"06 ORL")</f>
        <v>06 ORL</v>
      </c>
      <c r="O523" s="6" t="str">
        <f ca="1">IFERROR(__xludf.DUMMYFUNCTION("""COMPUTED_VALUE"""),"Dr, Francisco García Purriños")</f>
        <v>Dr, Francisco García Purriños</v>
      </c>
      <c r="P523" s="6" t="str">
        <f ca="1">IFERROR(__xludf.DUMMYFUNCTION("""COMPUTED_VALUE"""),"Iván Sánchez (Levante Y Albacete)")</f>
        <v>Iván Sánchez (Levante Y Albacete)</v>
      </c>
    </row>
    <row r="524" spans="2:16">
      <c r="B524" s="6">
        <f ca="1">IFERROR(__xludf.DUMMYFUNCTION("""COMPUTED_VALUE"""),2025)</f>
        <v>2025</v>
      </c>
      <c r="C524" s="6">
        <f ca="1">IFERROR(__xludf.DUMMYFUNCTION("""COMPUTED_VALUE"""),4)</f>
        <v>4</v>
      </c>
      <c r="D524" s="6" t="str">
        <f ca="1">IFERROR(__xludf.DUMMYFUNCTION("""COMPUTED_VALUE"""),"NO")</f>
        <v>NO</v>
      </c>
      <c r="E524" s="6" t="str">
        <f ca="1">IFERROR(__xludf.DUMMYFUNCTION("""COMPUTED_VALUE"""),"Valencia- Cádiz")</f>
        <v>Valencia- Cádiz</v>
      </c>
      <c r="F524" s="16">
        <f ca="1">IFERROR(__xludf.DUMMYFUNCTION("""COMPUTED_VALUE"""),45763)</f>
        <v>45763</v>
      </c>
      <c r="G524" s="16">
        <f ca="1">IFERROR(__xludf.DUMMYFUNCTION("""COMPUTED_VALUE"""),45727)</f>
        <v>45727</v>
      </c>
      <c r="H524" s="6" t="str">
        <f ca="1">IFERROR(__xludf.DUMMYFUNCTION("""COMPUTED_VALUE"""),"Valencia- Cádiz")</f>
        <v>Valencia- Cádiz</v>
      </c>
      <c r="I524" s="6" t="str">
        <f ca="1">IFERROR(__xludf.DUMMYFUNCTION("""COMPUTED_VALUE"""),"C202531712235115")</f>
        <v>C202531712235115</v>
      </c>
      <c r="J524" s="6" t="str">
        <f ca="1">IFERROR(__xludf.DUMMYFUNCTION("""COMPUTED_VALUE"""),"EMILIA BENEYTO MELIA")</f>
        <v>EMILIA BENEYTO MELIA</v>
      </c>
      <c r="K524" s="6">
        <f ca="1">IFERROR(__xludf.DUMMYFUNCTION("""COMPUTED_VALUE"""),1)</f>
        <v>1</v>
      </c>
      <c r="L524" s="139">
        <f ca="1">IFERROR(__xludf.DUMMYFUNCTION("""COMPUTED_VALUE"""),2400)</f>
        <v>2400</v>
      </c>
      <c r="M524" s="6" t="str">
        <f ca="1">IFERROR(__xludf.DUMMYFUNCTION("""COMPUTED_VALUE"""),"03 ORL")</f>
        <v>03 ORL</v>
      </c>
      <c r="N524" s="6" t="str">
        <f ca="1">IFERROR(__xludf.DUMMYFUNCTION("""COMPUTED_VALUE"""),"06 ORL")</f>
        <v>06 ORL</v>
      </c>
      <c r="O524" s="6" t="str">
        <f ca="1">IFERROR(__xludf.DUMMYFUNCTION("""COMPUTED_VALUE"""),"Dr, Jean Franco Intraprendente Martini")</f>
        <v>Dr, Jean Franco Intraprendente Martini</v>
      </c>
      <c r="P524" s="6" t="str">
        <f ca="1">IFERROR(__xludf.DUMMYFUNCTION("""COMPUTED_VALUE"""),"Ramon Ferrando(Valencia)")</f>
        <v>Ramon Ferrando(Valencia)</v>
      </c>
    </row>
    <row r="525" spans="2:16">
      <c r="B525" s="6">
        <f ca="1">IFERROR(__xludf.DUMMYFUNCTION("""COMPUTED_VALUE"""),2025)</f>
        <v>2025</v>
      </c>
      <c r="C525" s="6">
        <f ca="1">IFERROR(__xludf.DUMMYFUNCTION("""COMPUTED_VALUE"""),4)</f>
        <v>4</v>
      </c>
      <c r="D525" s="6" t="str">
        <f ca="1">IFERROR(__xludf.DUMMYFUNCTION("""COMPUTED_VALUE"""),"NO")</f>
        <v>NO</v>
      </c>
      <c r="E525" s="6" t="str">
        <f ca="1">IFERROR(__xludf.DUMMYFUNCTION("""COMPUTED_VALUE"""),"Cáceres")</f>
        <v>Cáceres</v>
      </c>
      <c r="F525" s="16">
        <f ca="1">IFERROR(__xludf.DUMMYFUNCTION("""COMPUTED_VALUE"""),45763)</f>
        <v>45763</v>
      </c>
      <c r="G525" s="16">
        <f ca="1">IFERROR(__xludf.DUMMYFUNCTION("""COMPUTED_VALUE"""),45737)</f>
        <v>45737</v>
      </c>
      <c r="H525" s="6" t="str">
        <f ca="1">IFERROR(__xludf.DUMMYFUNCTION("""COMPUTED_VALUE"""),"Cáceres")</f>
        <v>Cáceres</v>
      </c>
      <c r="I525" s="6" t="str">
        <f ca="1">IFERROR(__xludf.DUMMYFUNCTION("""COMPUTED_VALUE"""),"CAC-253")</f>
        <v>CAC-253</v>
      </c>
      <c r="J525" s="6" t="str">
        <f ca="1">IFERROR(__xludf.DUMMYFUNCTION("""COMPUTED_VALUE"""),"SAMUEL OLIVERA BARRUECO")</f>
        <v>SAMUEL OLIVERA BARRUECO</v>
      </c>
      <c r="K525" s="6">
        <f ca="1">IFERROR(__xludf.DUMMYFUNCTION("""COMPUTED_VALUE"""),2)</f>
        <v>2</v>
      </c>
      <c r="L525" s="139">
        <f ca="1">IFERROR(__xludf.DUMMYFUNCTION("""COMPUTED_VALUE"""),4295.45)</f>
        <v>4295.45</v>
      </c>
      <c r="M525" s="6" t="str">
        <f ca="1">IFERROR(__xludf.DUMMYFUNCTION("""COMPUTED_VALUE"""),"03 ORL")</f>
        <v>03 ORL</v>
      </c>
      <c r="N525" s="6" t="str">
        <f ca="1">IFERROR(__xludf.DUMMYFUNCTION("""COMPUTED_VALUE"""),"06 ORL")</f>
        <v>06 ORL</v>
      </c>
      <c r="O525" s="6" t="str">
        <f ca="1">IFERROR(__xludf.DUMMYFUNCTION("""COMPUTED_VALUE"""),"Dr, Manuel Cañete Domínguez")</f>
        <v>Dr, Manuel Cañete Domínguez</v>
      </c>
      <c r="P525" s="6" t="str">
        <f ca="1">IFERROR(__xludf.DUMMYFUNCTION("""COMPUTED_VALUE"""),"Lisandro Russian (Madrid, Cáceres, Toledo, Talavera Y Logroño)")</f>
        <v>Lisandro Russian (Madrid, Cáceres, Toledo, Talavera Y Logroño)</v>
      </c>
    </row>
    <row r="526" spans="2:16">
      <c r="B526" s="6">
        <f ca="1">IFERROR(__xludf.DUMMYFUNCTION("""COMPUTED_VALUE"""),2025)</f>
        <v>2025</v>
      </c>
      <c r="C526" s="6">
        <f ca="1">IFERROR(__xludf.DUMMYFUNCTION("""COMPUTED_VALUE"""),4)</f>
        <v>4</v>
      </c>
      <c r="D526" s="6" t="str">
        <f ca="1">IFERROR(__xludf.DUMMYFUNCTION("""COMPUTED_VALUE"""),"NO")</f>
        <v>NO</v>
      </c>
      <c r="E526" s="6" t="str">
        <f ca="1">IFERROR(__xludf.DUMMYFUNCTION("""COMPUTED_VALUE"""),"Zaragoza- León XIII")</f>
        <v>Zaragoza- León XIII</v>
      </c>
      <c r="F526" s="16">
        <f ca="1">IFERROR(__xludf.DUMMYFUNCTION("""COMPUTED_VALUE"""),45764)</f>
        <v>45764</v>
      </c>
      <c r="G526" s="16">
        <f ca="1">IFERROR(__xludf.DUMMYFUNCTION("""COMPUTED_VALUE"""),45734)</f>
        <v>45734</v>
      </c>
      <c r="H526" s="6" t="str">
        <f ca="1">IFERROR(__xludf.DUMMYFUNCTION("""COMPUTED_VALUE"""),"Zaragoza")</f>
        <v>Zaragoza</v>
      </c>
      <c r="I526" s="6" t="str">
        <f ca="1">IFERROR(__xludf.DUMMYFUNCTION("""COMPUTED_VALUE"""),"ZRG-603")</f>
        <v>ZRG-603</v>
      </c>
      <c r="J526" s="6" t="str">
        <f ca="1">IFERROR(__xludf.DUMMYFUNCTION("""COMPUTED_VALUE"""),"Mª ANGELES MORENO MEDINA")</f>
        <v>Mª ANGELES MORENO MEDINA</v>
      </c>
      <c r="K526" s="6">
        <f ca="1">IFERROR(__xludf.DUMMYFUNCTION("""COMPUTED_VALUE"""),2)</f>
        <v>2</v>
      </c>
      <c r="L526" s="139">
        <f ca="1">IFERROR(__xludf.DUMMYFUNCTION("""COMPUTED_VALUE"""),3424.55)</f>
        <v>3424.55</v>
      </c>
      <c r="M526" s="6" t="str">
        <f ca="1">IFERROR(__xludf.DUMMYFUNCTION("""COMPUTED_VALUE"""),"03 ORL")</f>
        <v>03 ORL</v>
      </c>
      <c r="N526" s="6" t="str">
        <f ca="1">IFERROR(__xludf.DUMMYFUNCTION("""COMPUTED_VALUE"""),"06 ORL")</f>
        <v>06 ORL</v>
      </c>
      <c r="O526" s="6" t="str">
        <f ca="1">IFERROR(__xludf.DUMMYFUNCTION("""COMPUTED_VALUE"""),"Dra, María José Naya Gálvez")</f>
        <v>Dra, María José Naya Gálvez</v>
      </c>
      <c r="P526" s="6" t="str">
        <f ca="1">IFERROR(__xludf.DUMMYFUNCTION("""COMPUTED_VALUE"""),"Lisandro Russian (Madrid, Cáceres, Toledo, Talavera Y Logroño)")</f>
        <v>Lisandro Russian (Madrid, Cáceres, Toledo, Talavera Y Logroño)</v>
      </c>
    </row>
    <row r="527" spans="2:16">
      <c r="B527" s="6">
        <f ca="1">IFERROR(__xludf.DUMMYFUNCTION("""COMPUTED_VALUE"""),2025)</f>
        <v>2025</v>
      </c>
      <c r="C527" s="6">
        <f ca="1">IFERROR(__xludf.DUMMYFUNCTION("""COMPUTED_VALUE"""),4)</f>
        <v>4</v>
      </c>
      <c r="D527" s="6" t="str">
        <f ca="1">IFERROR(__xludf.DUMMYFUNCTION("""COMPUTED_VALUE"""),"NO")</f>
        <v>NO</v>
      </c>
      <c r="E527" s="6" t="str">
        <f ca="1">IFERROR(__xludf.DUMMYFUNCTION("""COMPUTED_VALUE"""),"Getafe")</f>
        <v>Getafe</v>
      </c>
      <c r="F527" s="16">
        <f ca="1">IFERROR(__xludf.DUMMYFUNCTION("""COMPUTED_VALUE"""),45768)</f>
        <v>45768</v>
      </c>
      <c r="G527" s="16">
        <f ca="1">IFERROR(__xludf.DUMMYFUNCTION("""COMPUTED_VALUE"""),45734)</f>
        <v>45734</v>
      </c>
      <c r="H527" s="6" t="str">
        <f ca="1">IFERROR(__xludf.DUMMYFUNCTION("""COMPUTED_VALUE"""),"Getafe")</f>
        <v>Getafe</v>
      </c>
      <c r="I527" s="6" t="str">
        <f ca="1">IFERROR(__xludf.DUMMYFUNCTION("""COMPUTED_VALUE"""),"C202532511356291")</f>
        <v>C202532511356291</v>
      </c>
      <c r="J527" s="6" t="str">
        <f ca="1">IFERROR(__xludf.DUMMYFUNCTION("""COMPUTED_VALUE"""),"MARIA CONCEPCION CABRERA AGUDO")</f>
        <v>MARIA CONCEPCION CABRERA AGUDO</v>
      </c>
      <c r="K527" s="6">
        <f ca="1">IFERROR(__xludf.DUMMYFUNCTION("""COMPUTED_VALUE"""),2)</f>
        <v>2</v>
      </c>
      <c r="L527" s="139">
        <f ca="1">IFERROR(__xludf.DUMMYFUNCTION("""COMPUTED_VALUE"""),3524.5)</f>
        <v>3524.5</v>
      </c>
      <c r="M527" s="6" t="str">
        <f ca="1">IFERROR(__xludf.DUMMYFUNCTION("""COMPUTED_VALUE"""),"03 ORL")</f>
        <v>03 ORL</v>
      </c>
      <c r="N527" s="6" t="str">
        <f ca="1">IFERROR(__xludf.DUMMYFUNCTION("""COMPUTED_VALUE"""),"06 ORL")</f>
        <v>06 ORL</v>
      </c>
      <c r="O527" s="6" t="str">
        <f ca="1">IFERROR(__xludf.DUMMYFUNCTION("""COMPUTED_VALUE"""),"Dr, Antonio Rodríguez Rivero")</f>
        <v>Dr, Antonio Rodríguez Rivero</v>
      </c>
      <c r="P527" s="6" t="str">
        <f ca="1">IFERROR(__xludf.DUMMYFUNCTION("""COMPUTED_VALUE"""),"Maika Blázquez (Madrid)")</f>
        <v>Maika Blázquez (Madrid)</v>
      </c>
    </row>
    <row r="528" spans="2:16">
      <c r="B528" s="6">
        <f ca="1">IFERROR(__xludf.DUMMYFUNCTION("""COMPUTED_VALUE"""),2025)</f>
        <v>2025</v>
      </c>
      <c r="C528" s="6">
        <f ca="1">IFERROR(__xludf.DUMMYFUNCTION("""COMPUTED_VALUE"""),4)</f>
        <v>4</v>
      </c>
      <c r="D528" s="6" t="str">
        <f ca="1">IFERROR(__xludf.DUMMYFUNCTION("""COMPUTED_VALUE"""),"NO")</f>
        <v>NO</v>
      </c>
      <c r="E528" s="6" t="str">
        <f ca="1">IFERROR(__xludf.DUMMYFUNCTION("""COMPUTED_VALUE"""),"Jerez de la Frontera")</f>
        <v>Jerez de la Frontera</v>
      </c>
      <c r="F528" s="16">
        <f ca="1">IFERROR(__xludf.DUMMYFUNCTION("""COMPUTED_VALUE"""),45768)</f>
        <v>45768</v>
      </c>
      <c r="G528" s="16">
        <f ca="1">IFERROR(__xludf.DUMMYFUNCTION("""COMPUTED_VALUE"""),45743)</f>
        <v>45743</v>
      </c>
      <c r="H528" s="6" t="str">
        <f ca="1">IFERROR(__xludf.DUMMYFUNCTION("""COMPUTED_VALUE"""),"Jerez")</f>
        <v>Jerez</v>
      </c>
      <c r="I528" s="6" t="str">
        <f ca="1">IFERROR(__xludf.DUMMYFUNCTION("""COMPUTED_VALUE"""),"C2025327161344767")</f>
        <v>C2025327161344767</v>
      </c>
      <c r="J528" s="6" t="str">
        <f ca="1">IFERROR(__xludf.DUMMYFUNCTION("""COMPUTED_VALUE"""),"MARIA DEL CARMEN ANTON RODRIGUEZ")</f>
        <v>MARIA DEL CARMEN ANTON RODRIGUEZ</v>
      </c>
      <c r="K528" s="6">
        <f ca="1">IFERROR(__xludf.DUMMYFUNCTION("""COMPUTED_VALUE"""),1)</f>
        <v>1</v>
      </c>
      <c r="L528" s="139">
        <f ca="1">IFERROR(__xludf.DUMMYFUNCTION("""COMPUTED_VALUE"""),2226.36)</f>
        <v>2226.36</v>
      </c>
      <c r="M528" s="6" t="str">
        <f ca="1">IFERROR(__xludf.DUMMYFUNCTION("""COMPUTED_VALUE"""),"03 ORL")</f>
        <v>03 ORL</v>
      </c>
      <c r="N528" s="6" t="str">
        <f ca="1">IFERROR(__xludf.DUMMYFUNCTION("""COMPUTED_VALUE"""),"06 ORL")</f>
        <v>06 ORL</v>
      </c>
      <c r="O528" s="6" t="str">
        <f ca="1">IFERROR(__xludf.DUMMYFUNCTION("""COMPUTED_VALUE"""),"Dr, Guillermo Sierra Galera")</f>
        <v>Dr, Guillermo Sierra Galera</v>
      </c>
      <c r="P528" s="6" t="str">
        <f ca="1">IFERROR(__xludf.DUMMYFUNCTION("""COMPUTED_VALUE"""),"Luis Alberto Rodríguez (Andalucía Y Badajoz)")</f>
        <v>Luis Alberto Rodríguez (Andalucía Y Badajoz)</v>
      </c>
    </row>
    <row r="529" spans="2:16">
      <c r="B529" s="6">
        <f ca="1">IFERROR(__xludf.DUMMYFUNCTION("""COMPUTED_VALUE"""),2025)</f>
        <v>2025</v>
      </c>
      <c r="C529" s="6">
        <f ca="1">IFERROR(__xludf.DUMMYFUNCTION("""COMPUTED_VALUE"""),4)</f>
        <v>4</v>
      </c>
      <c r="D529" s="6" t="str">
        <f ca="1">IFERROR(__xludf.DUMMYFUNCTION("""COMPUTED_VALUE"""),"NO")</f>
        <v>NO</v>
      </c>
      <c r="E529" s="6" t="str">
        <f ca="1">IFERROR(__xludf.DUMMYFUNCTION("""COMPUTED_VALUE"""),"Madrid- Canillas")</f>
        <v>Madrid- Canillas</v>
      </c>
      <c r="F529" s="16">
        <f ca="1">IFERROR(__xludf.DUMMYFUNCTION("""COMPUTED_VALUE"""),45768)</f>
        <v>45768</v>
      </c>
      <c r="G529" s="16">
        <f ca="1">IFERROR(__xludf.DUMMYFUNCTION("""COMPUTED_VALUE"""),45747)</f>
        <v>45747</v>
      </c>
      <c r="H529" s="6" t="str">
        <f ca="1">IFERROR(__xludf.DUMMYFUNCTION("""COMPUTED_VALUE"""),"Canillas")</f>
        <v>Canillas</v>
      </c>
      <c r="I529" s="6" t="str">
        <f ca="1">IFERROR(__xludf.DUMMYFUNCTION("""COMPUTED_VALUE"""),"C202543105545980")</f>
        <v>C202543105545980</v>
      </c>
      <c r="J529" s="6" t="str">
        <f ca="1">IFERROR(__xludf.DUMMYFUNCTION("""COMPUTED_VALUE"""),"ESTEBAN GUTIERREZ DIAZ")</f>
        <v>ESTEBAN GUTIERREZ DIAZ</v>
      </c>
      <c r="K529" s="6">
        <f ca="1">IFERROR(__xludf.DUMMYFUNCTION("""COMPUTED_VALUE"""),2)</f>
        <v>2</v>
      </c>
      <c r="L529" s="139">
        <f ca="1">IFERROR(__xludf.DUMMYFUNCTION("""COMPUTED_VALUE"""),4000)</f>
        <v>4000</v>
      </c>
      <c r="M529" s="6" t="str">
        <f ca="1">IFERROR(__xludf.DUMMYFUNCTION("""COMPUTED_VALUE"""),"03 ORL")</f>
        <v>03 ORL</v>
      </c>
      <c r="N529" s="6" t="str">
        <f ca="1">IFERROR(__xludf.DUMMYFUNCTION("""COMPUTED_VALUE"""),"06 ORL")</f>
        <v>06 ORL</v>
      </c>
      <c r="O529" s="6" t="str">
        <f ca="1">IFERROR(__xludf.DUMMYFUNCTION("""COMPUTED_VALUE"""),"Dr, José Gustavo Barroso Braojos")</f>
        <v>Dr, José Gustavo Barroso Braojos</v>
      </c>
      <c r="P529" s="6" t="str">
        <f ca="1">IFERROR(__xludf.DUMMYFUNCTION("""COMPUTED_VALUE"""),"Maika Blázquez (Madrid)")</f>
        <v>Maika Blázquez (Madrid)</v>
      </c>
    </row>
    <row r="530" spans="2:16">
      <c r="B530" s="6">
        <f ca="1">IFERROR(__xludf.DUMMYFUNCTION("""COMPUTED_VALUE"""),2025)</f>
        <v>2025</v>
      </c>
      <c r="C530" s="6">
        <f ca="1">IFERROR(__xludf.DUMMYFUNCTION("""COMPUTED_VALUE"""),4)</f>
        <v>4</v>
      </c>
      <c r="D530" s="6" t="str">
        <f ca="1">IFERROR(__xludf.DUMMYFUNCTION("""COMPUTED_VALUE"""),"NO")</f>
        <v>NO</v>
      </c>
      <c r="E530" s="6" t="str">
        <f ca="1">IFERROR(__xludf.DUMMYFUNCTION("""COMPUTED_VALUE"""),"Talavera")</f>
        <v>Talavera</v>
      </c>
      <c r="F530" s="16">
        <f ca="1">IFERROR(__xludf.DUMMYFUNCTION("""COMPUTED_VALUE"""),45768)</f>
        <v>45768</v>
      </c>
      <c r="G530" s="16">
        <f ca="1">IFERROR(__xludf.DUMMYFUNCTION("""COMPUTED_VALUE"""),45747)</f>
        <v>45747</v>
      </c>
      <c r="H530" s="6" t="str">
        <f ca="1">IFERROR(__xludf.DUMMYFUNCTION("""COMPUTED_VALUE"""),"Talavera")</f>
        <v>Talavera</v>
      </c>
      <c r="I530" s="6" t="str">
        <f ca="1">IFERROR(__xludf.DUMMYFUNCTION("""COMPUTED_VALUE"""),"C20254785434864")</f>
        <v>C20254785434864</v>
      </c>
      <c r="J530" s="6" t="str">
        <f ca="1">IFERROR(__xludf.DUMMYFUNCTION("""COMPUTED_VALUE"""),"SALVADOR AGUILAR GARCIA DE LAS HIJAS")</f>
        <v>SALVADOR AGUILAR GARCIA DE LAS HIJAS</v>
      </c>
      <c r="K530" s="6">
        <f ca="1">IFERROR(__xludf.DUMMYFUNCTION("""COMPUTED_VALUE"""),2)</f>
        <v>2</v>
      </c>
      <c r="L530" s="139">
        <f ca="1">IFERROR(__xludf.DUMMYFUNCTION("""COMPUTED_VALUE"""),3710)</f>
        <v>3710</v>
      </c>
      <c r="M530" s="6" t="str">
        <f ca="1">IFERROR(__xludf.DUMMYFUNCTION("""COMPUTED_VALUE"""),"03 ORL")</f>
        <v>03 ORL</v>
      </c>
      <c r="N530" s="6" t="str">
        <f ca="1">IFERROR(__xludf.DUMMYFUNCTION("""COMPUTED_VALUE"""),"06 ORL")</f>
        <v>06 ORL</v>
      </c>
      <c r="O530" s="6" t="str">
        <f ca="1">IFERROR(__xludf.DUMMYFUNCTION("""COMPUTED_VALUE"""),"Dra, Natalia Gisseth Pulido Fonseca")</f>
        <v>Dra, Natalia Gisseth Pulido Fonseca</v>
      </c>
      <c r="P530" s="6" t="str">
        <f ca="1">IFERROR(__xludf.DUMMYFUNCTION("""COMPUTED_VALUE"""),"Lisandro Russian (Madrid, Cáceres, Toledo, Talavera Y Logroño)")</f>
        <v>Lisandro Russian (Madrid, Cáceres, Toledo, Talavera Y Logroño)</v>
      </c>
    </row>
    <row r="531" spans="2:16">
      <c r="B531" s="6">
        <f ca="1">IFERROR(__xludf.DUMMYFUNCTION("""COMPUTED_VALUE"""),2025)</f>
        <v>2025</v>
      </c>
      <c r="C531" s="6">
        <f ca="1">IFERROR(__xludf.DUMMYFUNCTION("""COMPUTED_VALUE"""),4)</f>
        <v>4</v>
      </c>
      <c r="D531" s="6" t="str">
        <f ca="1">IFERROR(__xludf.DUMMYFUNCTION("""COMPUTED_VALUE"""),"NO")</f>
        <v>NO</v>
      </c>
      <c r="E531" s="6" t="str">
        <f ca="1">IFERROR(__xludf.DUMMYFUNCTION("""COMPUTED_VALUE"""),"Salamanca")</f>
        <v>Salamanca</v>
      </c>
      <c r="F531" s="16">
        <f ca="1">IFERROR(__xludf.DUMMYFUNCTION("""COMPUTED_VALUE"""),45768)</f>
        <v>45768</v>
      </c>
      <c r="G531" s="16">
        <f ca="1">IFERROR(__xludf.DUMMYFUNCTION("""COMPUTED_VALUE"""),45720)</f>
        <v>45720</v>
      </c>
      <c r="H531" s="6" t="str">
        <f ca="1">IFERROR(__xludf.DUMMYFUNCTION("""COMPUTED_VALUE"""),"Salamanca")</f>
        <v>Salamanca</v>
      </c>
      <c r="I531" s="6" t="str">
        <f ca="1">IFERROR(__xludf.DUMMYFUNCTION("""COMPUTED_VALUE"""),"SLM-495")</f>
        <v>SLM-495</v>
      </c>
      <c r="J531" s="6" t="str">
        <f ca="1">IFERROR(__xludf.DUMMYFUNCTION("""COMPUTED_VALUE"""),"ELENA GONZALEZ PRIETO")</f>
        <v>ELENA GONZALEZ PRIETO</v>
      </c>
      <c r="K531" s="6">
        <f ca="1">IFERROR(__xludf.DUMMYFUNCTION("""COMPUTED_VALUE"""),2)</f>
        <v>2</v>
      </c>
      <c r="L531" s="139">
        <f ca="1">IFERROR(__xludf.DUMMYFUNCTION("""COMPUTED_VALUE"""),3604.55)</f>
        <v>3604.55</v>
      </c>
      <c r="M531" s="6" t="str">
        <f ca="1">IFERROR(__xludf.DUMMYFUNCTION("""COMPUTED_VALUE"""),"03 ORL")</f>
        <v>03 ORL</v>
      </c>
      <c r="N531" s="6" t="str">
        <f ca="1">IFERROR(__xludf.DUMMYFUNCTION("""COMPUTED_VALUE"""),"06 ORL")</f>
        <v>06 ORL</v>
      </c>
      <c r="O531" s="6" t="str">
        <f ca="1">IFERROR(__xludf.DUMMYFUNCTION("""COMPUTED_VALUE"""),"Dr, María Jesús Cornejo Domínguez")</f>
        <v>Dr, María Jesús Cornejo Domínguez</v>
      </c>
      <c r="P531" s="6" t="str">
        <f ca="1">IFERROR(__xludf.DUMMYFUNCTION("""COMPUTED_VALUE"""),"Patricia Solache (Castilla Y León)")</f>
        <v>Patricia Solache (Castilla Y León)</v>
      </c>
    </row>
    <row r="532" spans="2:16">
      <c r="B532" s="6">
        <f ca="1">IFERROR(__xludf.DUMMYFUNCTION("""COMPUTED_VALUE"""),2025)</f>
        <v>2025</v>
      </c>
      <c r="C532" s="6">
        <f ca="1">IFERROR(__xludf.DUMMYFUNCTION("""COMPUTED_VALUE"""),4)</f>
        <v>4</v>
      </c>
      <c r="D532" s="6" t="str">
        <f ca="1">IFERROR(__xludf.DUMMYFUNCTION("""COMPUTED_VALUE"""),"NO")</f>
        <v>NO</v>
      </c>
      <c r="E532" s="6" t="str">
        <f ca="1">IFERROR(__xludf.DUMMYFUNCTION("""COMPUTED_VALUE"""),"Badajoz")</f>
        <v>Badajoz</v>
      </c>
      <c r="F532" s="16">
        <f ca="1">IFERROR(__xludf.DUMMYFUNCTION("""COMPUTED_VALUE"""),45768)</f>
        <v>45768</v>
      </c>
      <c r="G532" s="16">
        <f ca="1">IFERROR(__xludf.DUMMYFUNCTION("""COMPUTED_VALUE"""),45723)</f>
        <v>45723</v>
      </c>
      <c r="H532" s="6" t="str">
        <f ca="1">IFERROR(__xludf.DUMMYFUNCTION("""COMPUTED_VALUE"""),"Badajoz")</f>
        <v>Badajoz</v>
      </c>
      <c r="I532" s="6" t="str">
        <f ca="1">IFERROR(__xludf.DUMMYFUNCTION("""COMPUTED_VALUE"""),"BJZE-2472")</f>
        <v>BJZE-2472</v>
      </c>
      <c r="J532" s="6" t="str">
        <f ca="1">IFERROR(__xludf.DUMMYFUNCTION("""COMPUTED_VALUE"""),"JUANA VAZQUEZ SALGUERO")</f>
        <v>JUANA VAZQUEZ SALGUERO</v>
      </c>
      <c r="K532" s="6">
        <f ca="1">IFERROR(__xludf.DUMMYFUNCTION("""COMPUTED_VALUE"""),2)</f>
        <v>2</v>
      </c>
      <c r="L532" s="139">
        <f ca="1">IFERROR(__xludf.DUMMYFUNCTION("""COMPUTED_VALUE"""),2181.82)</f>
        <v>2181.8200000000002</v>
      </c>
      <c r="M532" s="6" t="str">
        <f ca="1">IFERROR(__xludf.DUMMYFUNCTION("""COMPUTED_VALUE"""),"03 ORL")</f>
        <v>03 ORL</v>
      </c>
      <c r="N532" s="6" t="str">
        <f ca="1">IFERROR(__xludf.DUMMYFUNCTION("""COMPUTED_VALUE"""),"06 ORL")</f>
        <v>06 ORL</v>
      </c>
      <c r="O532" s="6" t="str">
        <f ca="1">IFERROR(__xludf.DUMMYFUNCTION("""COMPUTED_VALUE"""),"Dr, Isidoro Rubio Correa")</f>
        <v>Dr, Isidoro Rubio Correa</v>
      </c>
      <c r="P532" s="6" t="str">
        <f ca="1">IFERROR(__xludf.DUMMYFUNCTION("""COMPUTED_VALUE"""),"Luis Alberto Rodríguez (Andalucía Y Badajoz)")</f>
        <v>Luis Alberto Rodríguez (Andalucía Y Badajoz)</v>
      </c>
    </row>
    <row r="533" spans="2:16">
      <c r="B533" s="6">
        <f ca="1">IFERROR(__xludf.DUMMYFUNCTION("""COMPUTED_VALUE"""),2025)</f>
        <v>2025</v>
      </c>
      <c r="C533" s="6">
        <f ca="1">IFERROR(__xludf.DUMMYFUNCTION("""COMPUTED_VALUE"""),4)</f>
        <v>4</v>
      </c>
      <c r="D533" s="6" t="str">
        <f ca="1">IFERROR(__xludf.DUMMYFUNCTION("""COMPUTED_VALUE"""),"NO")</f>
        <v>NO</v>
      </c>
      <c r="E533" s="6" t="str">
        <f ca="1">IFERROR(__xludf.DUMMYFUNCTION("""COMPUTED_VALUE"""),"Culleredo")</f>
        <v>Culleredo</v>
      </c>
      <c r="F533" s="16">
        <f ca="1">IFERROR(__xludf.DUMMYFUNCTION("""COMPUTED_VALUE"""),45768)</f>
        <v>45768</v>
      </c>
      <c r="G533" s="16">
        <f ca="1">IFERROR(__xludf.DUMMYFUNCTION("""COMPUTED_VALUE"""),45726)</f>
        <v>45726</v>
      </c>
      <c r="H533" s="6" t="str">
        <f ca="1">IFERROR(__xludf.DUMMYFUNCTION("""COMPUTED_VALUE"""),"Culleredo")</f>
        <v>Culleredo</v>
      </c>
      <c r="I533" s="6" t="str">
        <f ca="1">IFERROR(__xludf.DUMMYFUNCTION("""COMPUTED_VALUE"""),"CULL-179")</f>
        <v>CULL-179</v>
      </c>
      <c r="J533" s="6" t="str">
        <f ca="1">IFERROR(__xludf.DUMMYFUNCTION("""COMPUTED_VALUE"""),"MANUEL AMADO VAZQUEZ")</f>
        <v>MANUEL AMADO VAZQUEZ</v>
      </c>
      <c r="K533" s="6">
        <f ca="1">IFERROR(__xludf.DUMMYFUNCTION("""COMPUTED_VALUE"""),1)</f>
        <v>1</v>
      </c>
      <c r="L533" s="139">
        <f ca="1">IFERROR(__xludf.DUMMYFUNCTION("""COMPUTED_VALUE"""),1927.27)</f>
        <v>1927.27</v>
      </c>
      <c r="M533" s="6" t="str">
        <f ca="1">IFERROR(__xludf.DUMMYFUNCTION("""COMPUTED_VALUE"""),"03 ORL")</f>
        <v>03 ORL</v>
      </c>
      <c r="N533" s="6" t="str">
        <f ca="1">IFERROR(__xludf.DUMMYFUNCTION("""COMPUTED_VALUE"""),"06 ORL")</f>
        <v>06 ORL</v>
      </c>
      <c r="O533" s="6" t="str">
        <f ca="1">IFERROR(__xludf.DUMMYFUNCTION("""COMPUTED_VALUE"""),"Dr, Miguel Mayo Yáñez")</f>
        <v>Dr, Miguel Mayo Yáñez</v>
      </c>
      <c r="P533" s="6" t="str">
        <f ca="1">IFERROR(__xludf.DUMMYFUNCTION("""COMPUTED_VALUE"""),"Roberto Pereira (Galicia)")</f>
        <v>Roberto Pereira (Galicia)</v>
      </c>
    </row>
    <row r="534" spans="2:16">
      <c r="B534" s="6">
        <f ca="1">IFERROR(__xludf.DUMMYFUNCTION("""COMPUTED_VALUE"""),2025)</f>
        <v>2025</v>
      </c>
      <c r="C534" s="6">
        <f ca="1">IFERROR(__xludf.DUMMYFUNCTION("""COMPUTED_VALUE"""),4)</f>
        <v>4</v>
      </c>
      <c r="D534" s="6" t="str">
        <f ca="1">IFERROR(__xludf.DUMMYFUNCTION("""COMPUTED_VALUE"""),"NO")</f>
        <v>NO</v>
      </c>
      <c r="E534" s="6" t="str">
        <f ca="1">IFERROR(__xludf.DUMMYFUNCTION("""COMPUTED_VALUE"""),"Boiro")</f>
        <v>Boiro</v>
      </c>
      <c r="F534" s="16">
        <f ca="1">IFERROR(__xludf.DUMMYFUNCTION("""COMPUTED_VALUE"""),45768)</f>
        <v>45768</v>
      </c>
      <c r="G534" s="16">
        <f ca="1">IFERROR(__xludf.DUMMYFUNCTION("""COMPUTED_VALUE"""),45747)</f>
        <v>45747</v>
      </c>
      <c r="H534" s="6" t="str">
        <f ca="1">IFERROR(__xludf.DUMMYFUNCTION("""COMPUTED_VALUE"""),"Boiro")</f>
        <v>Boiro</v>
      </c>
      <c r="I534" s="6" t="str">
        <f ca="1">IFERROR(__xludf.DUMMYFUNCTION("""COMPUTED_VALUE"""),"BOI-951")</f>
        <v>BOI-951</v>
      </c>
      <c r="J534" s="6" t="str">
        <f ca="1">IFERROR(__xludf.DUMMYFUNCTION("""COMPUTED_VALUE"""),"RAMONA ALCALDE BLANCO")</f>
        <v>RAMONA ALCALDE BLANCO</v>
      </c>
      <c r="K534" s="6">
        <f ca="1">IFERROR(__xludf.DUMMYFUNCTION("""COMPUTED_VALUE"""),2)</f>
        <v>2</v>
      </c>
      <c r="L534" s="139">
        <f ca="1">IFERROR(__xludf.DUMMYFUNCTION("""COMPUTED_VALUE"""),2627.27)</f>
        <v>2627.27</v>
      </c>
      <c r="M534" s="6" t="str">
        <f ca="1">IFERROR(__xludf.DUMMYFUNCTION("""COMPUTED_VALUE"""),"03 ORL")</f>
        <v>03 ORL</v>
      </c>
      <c r="N534" s="6" t="str">
        <f ca="1">IFERROR(__xludf.DUMMYFUNCTION("""COMPUTED_VALUE"""),"06 ORL")</f>
        <v>06 ORL</v>
      </c>
      <c r="O534" s="6" t="str">
        <f ca="1">IFERROR(__xludf.DUMMYFUNCTION("""COMPUTED_VALUE"""),"Dra, Isabel Pensado Banet")</f>
        <v>Dra, Isabel Pensado Banet</v>
      </c>
      <c r="P534" s="6" t="str">
        <f ca="1">IFERROR(__xludf.DUMMYFUNCTION("""COMPUTED_VALUE"""),"Roberto Pereira (Galicia)")</f>
        <v>Roberto Pereira (Galicia)</v>
      </c>
    </row>
    <row r="535" spans="2:16">
      <c r="B535" s="6">
        <f ca="1">IFERROR(__xludf.DUMMYFUNCTION("""COMPUTED_VALUE"""),2025)</f>
        <v>2025</v>
      </c>
      <c r="C535" s="6">
        <f ca="1">IFERROR(__xludf.DUMMYFUNCTION("""COMPUTED_VALUE"""),4)</f>
        <v>4</v>
      </c>
      <c r="D535" s="6" t="str">
        <f ca="1">IFERROR(__xludf.DUMMYFUNCTION("""COMPUTED_VALUE"""),"NO")</f>
        <v>NO</v>
      </c>
      <c r="E535" s="6" t="str">
        <f ca="1">IFERROR(__xludf.DUMMYFUNCTION("""COMPUTED_VALUE"""),"Leganés")</f>
        <v>Leganés</v>
      </c>
      <c r="F535" s="16">
        <f ca="1">IFERROR(__xludf.DUMMYFUNCTION("""COMPUTED_VALUE"""),45769)</f>
        <v>45769</v>
      </c>
      <c r="G535" s="16">
        <f ca="1">IFERROR(__xludf.DUMMYFUNCTION("""COMPUTED_VALUE"""),45734)</f>
        <v>45734</v>
      </c>
      <c r="H535" s="6" t="str">
        <f ca="1">IFERROR(__xludf.DUMMYFUNCTION("""COMPUTED_VALUE"""),"Leganés")</f>
        <v>Leganés</v>
      </c>
      <c r="I535" s="6" t="str">
        <f ca="1">IFERROR(__xludf.DUMMYFUNCTION("""COMPUTED_VALUE"""),"C202532510337339")</f>
        <v>C202532510337339</v>
      </c>
      <c r="J535" s="6" t="str">
        <f ca="1">IFERROR(__xludf.DUMMYFUNCTION("""COMPUTED_VALUE"""),"ISABEL MARTINEZ GRANIZO")</f>
        <v>ISABEL MARTINEZ GRANIZO</v>
      </c>
      <c r="K535" s="6">
        <f ca="1">IFERROR(__xludf.DUMMYFUNCTION("""COMPUTED_VALUE"""),1)</f>
        <v>1</v>
      </c>
      <c r="L535" s="139">
        <f ca="1">IFERROR(__xludf.DUMMYFUNCTION("""COMPUTED_VALUE"""),2400)</f>
        <v>2400</v>
      </c>
      <c r="M535" s="6" t="str">
        <f ca="1">IFERROR(__xludf.DUMMYFUNCTION("""COMPUTED_VALUE"""),"03 ORL")</f>
        <v>03 ORL</v>
      </c>
      <c r="N535" s="6" t="str">
        <f ca="1">IFERROR(__xludf.DUMMYFUNCTION("""COMPUTED_VALUE"""),"06 ORL")</f>
        <v>06 ORL</v>
      </c>
      <c r="O535" s="6" t="str">
        <f ca="1">IFERROR(__xludf.DUMMYFUNCTION("""COMPUTED_VALUE"""),"Dra, Ana Ruiz Fornells Noreña")</f>
        <v>Dra, Ana Ruiz Fornells Noreña</v>
      </c>
      <c r="P535" s="6" t="str">
        <f ca="1">IFERROR(__xludf.DUMMYFUNCTION("""COMPUTED_VALUE"""),"Maika Blázquez (Madrid)")</f>
        <v>Maika Blázquez (Madrid)</v>
      </c>
    </row>
    <row r="536" spans="2:16">
      <c r="B536" s="6">
        <f ca="1">IFERROR(__xludf.DUMMYFUNCTION("""COMPUTED_VALUE"""),2025)</f>
        <v>2025</v>
      </c>
      <c r="C536" s="6">
        <f ca="1">IFERROR(__xludf.DUMMYFUNCTION("""COMPUTED_VALUE"""),4)</f>
        <v>4</v>
      </c>
      <c r="D536" s="6" t="str">
        <f ca="1">IFERROR(__xludf.DUMMYFUNCTION("""COMPUTED_VALUE"""),"NO")</f>
        <v>NO</v>
      </c>
      <c r="E536" s="6" t="str">
        <f ca="1">IFERROR(__xludf.DUMMYFUNCTION("""COMPUTED_VALUE"""),"Madrid- Juan Bravo")</f>
        <v>Madrid- Juan Bravo</v>
      </c>
      <c r="F536" s="16">
        <f ca="1">IFERROR(__xludf.DUMMYFUNCTION("""COMPUTED_VALUE"""),45769)</f>
        <v>45769</v>
      </c>
      <c r="G536" s="16">
        <f ca="1">IFERROR(__xludf.DUMMYFUNCTION("""COMPUTED_VALUE"""),45734)</f>
        <v>45734</v>
      </c>
      <c r="H536" s="6" t="str">
        <f ca="1">IFERROR(__xludf.DUMMYFUNCTION("""COMPUTED_VALUE"""),"Juan Bravo")</f>
        <v>Juan Bravo</v>
      </c>
      <c r="I536" s="6" t="str">
        <f ca="1">IFERROR(__xludf.DUMMYFUNCTION("""COMPUTED_VALUE"""),"C2025325174736492")</f>
        <v>C2025325174736492</v>
      </c>
      <c r="J536" s="6" t="str">
        <f ca="1">IFERROR(__xludf.DUMMYFUNCTION("""COMPUTED_VALUE"""),"MERCEDES MORENO LEAL")</f>
        <v>MERCEDES MORENO LEAL</v>
      </c>
      <c r="K536" s="6">
        <f ca="1">IFERROR(__xludf.DUMMYFUNCTION("""COMPUTED_VALUE"""),1)</f>
        <v>1</v>
      </c>
      <c r="L536" s="139">
        <f ca="1">IFERROR(__xludf.DUMMYFUNCTION("""COMPUTED_VALUE"""),2400)</f>
        <v>2400</v>
      </c>
      <c r="M536" s="6" t="str">
        <f ca="1">IFERROR(__xludf.DUMMYFUNCTION("""COMPUTED_VALUE"""),"03 ORL")</f>
        <v>03 ORL</v>
      </c>
      <c r="N536" s="6" t="str">
        <f ca="1">IFERROR(__xludf.DUMMYFUNCTION("""COMPUTED_VALUE"""),"06 ORL")</f>
        <v>06 ORL</v>
      </c>
      <c r="O536" s="6" t="str">
        <f ca="1">IFERROR(__xludf.DUMMYFUNCTION("""COMPUTED_VALUE"""),"Dr, Javier García Domínguez")</f>
        <v>Dr, Javier García Domínguez</v>
      </c>
      <c r="P536" s="6" t="str">
        <f ca="1">IFERROR(__xludf.DUMMYFUNCTION("""COMPUTED_VALUE"""),"Maika Blázquez (Madrid)")</f>
        <v>Maika Blázquez (Madrid)</v>
      </c>
    </row>
    <row r="537" spans="2:16">
      <c r="B537" s="6">
        <f ca="1">IFERROR(__xludf.DUMMYFUNCTION("""COMPUTED_VALUE"""),2025)</f>
        <v>2025</v>
      </c>
      <c r="C537" s="6">
        <f ca="1">IFERROR(__xludf.DUMMYFUNCTION("""COMPUTED_VALUE"""),4)</f>
        <v>4</v>
      </c>
      <c r="D537" s="6" t="str">
        <f ca="1">IFERROR(__xludf.DUMMYFUNCTION("""COMPUTED_VALUE"""),"NO")</f>
        <v>NO</v>
      </c>
      <c r="E537" s="6" t="str">
        <f ca="1">IFERROR(__xludf.DUMMYFUNCTION("""COMPUTED_VALUE"""),"Madrid- La Oca")</f>
        <v>Madrid- La Oca</v>
      </c>
      <c r="F537" s="16">
        <f ca="1">IFERROR(__xludf.DUMMYFUNCTION("""COMPUTED_VALUE"""),45769)</f>
        <v>45769</v>
      </c>
      <c r="G537" s="16">
        <f ca="1">IFERROR(__xludf.DUMMYFUNCTION("""COMPUTED_VALUE"""),45740)</f>
        <v>45740</v>
      </c>
      <c r="H537" s="6" t="str">
        <f ca="1">IFERROR(__xludf.DUMMYFUNCTION("""COMPUTED_VALUE"""),"La Oca")</f>
        <v>La Oca</v>
      </c>
      <c r="I537" s="6" t="str">
        <f ca="1">IFERROR(__xludf.DUMMYFUNCTION("""COMPUTED_VALUE"""),"C20254117159459")</f>
        <v>C20254117159459</v>
      </c>
      <c r="J537" s="6" t="str">
        <f ca="1">IFERROR(__xludf.DUMMYFUNCTION("""COMPUTED_VALUE"""),"EMILIA GIRONDO ESPIN")</f>
        <v>EMILIA GIRONDO ESPIN</v>
      </c>
      <c r="K537" s="6">
        <f ca="1">IFERROR(__xludf.DUMMYFUNCTION("""COMPUTED_VALUE"""),2)</f>
        <v>2</v>
      </c>
      <c r="L537" s="139">
        <f ca="1">IFERROR(__xludf.DUMMYFUNCTION("""COMPUTED_VALUE"""),3524.55)</f>
        <v>3524.55</v>
      </c>
      <c r="M537" s="6" t="str">
        <f ca="1">IFERROR(__xludf.DUMMYFUNCTION("""COMPUTED_VALUE"""),"03 ORL")</f>
        <v>03 ORL</v>
      </c>
      <c r="N537" s="6" t="str">
        <f ca="1">IFERROR(__xludf.DUMMYFUNCTION("""COMPUTED_VALUE"""),"06 ORL")</f>
        <v>06 ORL</v>
      </c>
      <c r="O537" s="6" t="str">
        <f ca="1">IFERROR(__xludf.DUMMYFUNCTION("""COMPUTED_VALUE"""),"Dr, Pablo Sarrió Solera")</f>
        <v>Dr, Pablo Sarrió Solera</v>
      </c>
      <c r="P537" s="6" t="str">
        <f ca="1">IFERROR(__xludf.DUMMYFUNCTION("""COMPUTED_VALUE"""),"Lisandro Russian (Madrid, Cáceres, Toledo, Talavera Y Logroño)")</f>
        <v>Lisandro Russian (Madrid, Cáceres, Toledo, Talavera Y Logroño)</v>
      </c>
    </row>
    <row r="538" spans="2:16">
      <c r="B538" s="6">
        <f ca="1">IFERROR(__xludf.DUMMYFUNCTION("""COMPUTED_VALUE"""),2025)</f>
        <v>2025</v>
      </c>
      <c r="C538" s="6">
        <f ca="1">IFERROR(__xludf.DUMMYFUNCTION("""COMPUTED_VALUE"""),4)</f>
        <v>4</v>
      </c>
      <c r="D538" s="6" t="str">
        <f ca="1">IFERROR(__xludf.DUMMYFUNCTION("""COMPUTED_VALUE"""),"NO")</f>
        <v>NO</v>
      </c>
      <c r="E538" s="6" t="str">
        <f ca="1">IFERROR(__xludf.DUMMYFUNCTION("""COMPUTED_VALUE"""),"Ourense")</f>
        <v>Ourense</v>
      </c>
      <c r="F538" s="16">
        <f ca="1">IFERROR(__xludf.DUMMYFUNCTION("""COMPUTED_VALUE"""),45769)</f>
        <v>45769</v>
      </c>
      <c r="G538" s="16">
        <f ca="1">IFERROR(__xludf.DUMMYFUNCTION("""COMPUTED_VALUE"""),45743)</f>
        <v>45743</v>
      </c>
      <c r="H538" s="6" t="str">
        <f ca="1">IFERROR(__xludf.DUMMYFUNCTION("""COMPUTED_VALUE"""),"Orense")</f>
        <v>Orense</v>
      </c>
      <c r="I538" s="6" t="str">
        <f ca="1">IFERROR(__xludf.DUMMYFUNCTION("""COMPUTED_VALUE"""),"C202541101629813")</f>
        <v>C202541101629813</v>
      </c>
      <c r="J538" s="6" t="str">
        <f ca="1">IFERROR(__xludf.DUMMYFUNCTION("""COMPUTED_VALUE"""),"CARMEN PEREZ TOUBES")</f>
        <v>CARMEN PEREZ TOUBES</v>
      </c>
      <c r="K538" s="6">
        <f ca="1">IFERROR(__xludf.DUMMYFUNCTION("""COMPUTED_VALUE"""),2)</f>
        <v>2</v>
      </c>
      <c r="L538" s="139">
        <f ca="1">IFERROR(__xludf.DUMMYFUNCTION("""COMPUTED_VALUE"""),3710)</f>
        <v>3710</v>
      </c>
      <c r="M538" s="6" t="str">
        <f ca="1">IFERROR(__xludf.DUMMYFUNCTION("""COMPUTED_VALUE"""),"03 ORL")</f>
        <v>03 ORL</v>
      </c>
      <c r="N538" s="6" t="str">
        <f ca="1">IFERROR(__xludf.DUMMYFUNCTION("""COMPUTED_VALUE"""),"06 ORL")</f>
        <v>06 ORL</v>
      </c>
      <c r="O538" s="6" t="str">
        <f ca="1">IFERROR(__xludf.DUMMYFUNCTION("""COMPUTED_VALUE"""),"Dra, María Rey Marcos")</f>
        <v>Dra, María Rey Marcos</v>
      </c>
      <c r="P538" s="6" t="str">
        <f ca="1">IFERROR(__xludf.DUMMYFUNCTION("""COMPUTED_VALUE"""),"Roberto Pereira (Galicia)")</f>
        <v>Roberto Pereira (Galicia)</v>
      </c>
    </row>
    <row r="539" spans="2:16">
      <c r="B539" s="6">
        <f ca="1">IFERROR(__xludf.DUMMYFUNCTION("""COMPUTED_VALUE"""),2025)</f>
        <v>2025</v>
      </c>
      <c r="C539" s="6">
        <f ca="1">IFERROR(__xludf.DUMMYFUNCTION("""COMPUTED_VALUE"""),4)</f>
        <v>4</v>
      </c>
      <c r="D539" s="6" t="str">
        <f ca="1">IFERROR(__xludf.DUMMYFUNCTION("""COMPUTED_VALUE"""),"NO")</f>
        <v>NO</v>
      </c>
      <c r="E539" s="6" t="str">
        <f ca="1">IFERROR(__xludf.DUMMYFUNCTION("""COMPUTED_VALUE"""),"Torrejón de Ardoz")</f>
        <v>Torrejón de Ardoz</v>
      </c>
      <c r="F539" s="16">
        <f ca="1">IFERROR(__xludf.DUMMYFUNCTION("""COMPUTED_VALUE"""),45769)</f>
        <v>45769</v>
      </c>
      <c r="G539" s="16">
        <f ca="1">IFERROR(__xludf.DUMMYFUNCTION("""COMPUTED_VALUE"""),45742)</f>
        <v>45742</v>
      </c>
      <c r="H539" s="6" t="str">
        <f ca="1">IFERROR(__xludf.DUMMYFUNCTION("""COMPUTED_VALUE"""),"Torrejón")</f>
        <v>Torrejón</v>
      </c>
      <c r="I539" s="6" t="str">
        <f ca="1">IFERROR(__xludf.DUMMYFUNCTION("""COMPUTED_VALUE"""),"C20253261902442")</f>
        <v>C20253261902442</v>
      </c>
      <c r="J539" s="6" t="str">
        <f ca="1">IFERROR(__xludf.DUMMYFUNCTION("""COMPUTED_VALUE"""),"MARIA JOSEFA ROMERO MARTIN")</f>
        <v>MARIA JOSEFA ROMERO MARTIN</v>
      </c>
      <c r="K539" s="6">
        <f ca="1">IFERROR(__xludf.DUMMYFUNCTION("""COMPUTED_VALUE"""),2)</f>
        <v>2</v>
      </c>
      <c r="L539" s="139">
        <f ca="1">IFERROR(__xludf.DUMMYFUNCTION("""COMPUTED_VALUE"""),2888.18)</f>
        <v>2888.18</v>
      </c>
      <c r="M539" s="6" t="str">
        <f ca="1">IFERROR(__xludf.DUMMYFUNCTION("""COMPUTED_VALUE"""),"03 ORL")</f>
        <v>03 ORL</v>
      </c>
      <c r="N539" s="6" t="str">
        <f ca="1">IFERROR(__xludf.DUMMYFUNCTION("""COMPUTED_VALUE"""),"06 ORL")</f>
        <v>06 ORL</v>
      </c>
      <c r="O539" s="6" t="str">
        <f ca="1">IFERROR(__xludf.DUMMYFUNCTION("""COMPUTED_VALUE"""),"Dr, Jose Joaquín Lora Díaz")</f>
        <v>Dr, Jose Joaquín Lora Díaz</v>
      </c>
      <c r="P539" s="6" t="str">
        <f ca="1">IFERROR(__xludf.DUMMYFUNCTION("""COMPUTED_VALUE"""),"Maika Blázquez (Madrid)")</f>
        <v>Maika Blázquez (Madrid)</v>
      </c>
    </row>
    <row r="540" spans="2:16">
      <c r="B540" s="6">
        <f ca="1">IFERROR(__xludf.DUMMYFUNCTION("""COMPUTED_VALUE"""),2025)</f>
        <v>2025</v>
      </c>
      <c r="C540" s="6">
        <f ca="1">IFERROR(__xludf.DUMMYFUNCTION("""COMPUTED_VALUE"""),4)</f>
        <v>4</v>
      </c>
      <c r="D540" s="6" t="str">
        <f ca="1">IFERROR(__xludf.DUMMYFUNCTION("""COMPUTED_VALUE"""),"NO")</f>
        <v>NO</v>
      </c>
      <c r="E540" s="6" t="str">
        <f ca="1">IFERROR(__xludf.DUMMYFUNCTION("""COMPUTED_VALUE"""),"Vigo")</f>
        <v>Vigo</v>
      </c>
      <c r="F540" s="16">
        <f ca="1">IFERROR(__xludf.DUMMYFUNCTION("""COMPUTED_VALUE"""),45769)</f>
        <v>45769</v>
      </c>
      <c r="G540" s="16">
        <f ca="1">IFERROR(__xludf.DUMMYFUNCTION("""COMPUTED_VALUE"""),45687)</f>
        <v>45687</v>
      </c>
      <c r="H540" s="6" t="str">
        <f ca="1">IFERROR(__xludf.DUMMYFUNCTION("""COMPUTED_VALUE"""),"Vigo")</f>
        <v>Vigo</v>
      </c>
      <c r="I540" s="6" t="str">
        <f ca="1">IFERROR(__xludf.DUMMYFUNCTION("""COMPUTED_VALUE"""),"VIG-535")</f>
        <v>VIG-535</v>
      </c>
      <c r="J540" s="6" t="str">
        <f ca="1">IFERROR(__xludf.DUMMYFUNCTION("""COMPUTED_VALUE"""),"ROGELIO MOLARES LAGO")</f>
        <v>ROGELIO MOLARES LAGO</v>
      </c>
      <c r="K540" s="6">
        <f ca="1">IFERROR(__xludf.DUMMYFUNCTION("""COMPUTED_VALUE"""),2)</f>
        <v>2</v>
      </c>
      <c r="L540" s="139">
        <f ca="1">IFERROR(__xludf.DUMMYFUNCTION("""COMPUTED_VALUE"""),3545.46)</f>
        <v>3545.46</v>
      </c>
      <c r="M540" s="6" t="str">
        <f ca="1">IFERROR(__xludf.DUMMYFUNCTION("""COMPUTED_VALUE"""),"03 ORL")</f>
        <v>03 ORL</v>
      </c>
      <c r="N540" s="6" t="str">
        <f ca="1">IFERROR(__xludf.DUMMYFUNCTION("""COMPUTED_VALUE"""),"06 ORL")</f>
        <v>06 ORL</v>
      </c>
      <c r="O540" s="6" t="str">
        <f ca="1">IFERROR(__xludf.DUMMYFUNCTION("""COMPUTED_VALUE"""),"Dr, Manuel Estevez García")</f>
        <v>Dr, Manuel Estevez García</v>
      </c>
      <c r="P540" s="6" t="str">
        <f ca="1">IFERROR(__xludf.DUMMYFUNCTION("""COMPUTED_VALUE"""),"Roberto Pereira (Galicia)")</f>
        <v>Roberto Pereira (Galicia)</v>
      </c>
    </row>
    <row r="541" spans="2:16">
      <c r="B541" s="6">
        <f ca="1">IFERROR(__xludf.DUMMYFUNCTION("""COMPUTED_VALUE"""),2025)</f>
        <v>2025</v>
      </c>
      <c r="C541" s="6">
        <f ca="1">IFERROR(__xludf.DUMMYFUNCTION("""COMPUTED_VALUE"""),4)</f>
        <v>4</v>
      </c>
      <c r="D541" s="6" t="str">
        <f ca="1">IFERROR(__xludf.DUMMYFUNCTION("""COMPUTED_VALUE"""),"NO")</f>
        <v>NO</v>
      </c>
      <c r="E541" s="6" t="str">
        <f ca="1">IFERROR(__xludf.DUMMYFUNCTION("""COMPUTED_VALUE"""),"Almería")</f>
        <v>Almería</v>
      </c>
      <c r="F541" s="16">
        <f ca="1">IFERROR(__xludf.DUMMYFUNCTION("""COMPUTED_VALUE"""),45770)</f>
        <v>45770</v>
      </c>
      <c r="G541" s="16">
        <f ca="1">IFERROR(__xludf.DUMMYFUNCTION("""COMPUTED_VALUE"""),45742)</f>
        <v>45742</v>
      </c>
      <c r="H541" s="6" t="str">
        <f ca="1">IFERROR(__xludf.DUMMYFUNCTION("""COMPUTED_VALUE"""),"Almería")</f>
        <v>Almería</v>
      </c>
      <c r="I541" s="6" t="str">
        <f ca="1">IFERROR(__xludf.DUMMYFUNCTION("""COMPUTED_VALUE"""),"C20254117216134")</f>
        <v>C20254117216134</v>
      </c>
      <c r="J541" s="6" t="str">
        <f ca="1">IFERROR(__xludf.DUMMYFUNCTION("""COMPUTED_VALUE"""),"FRANCISCA BAYARRI GRESA")</f>
        <v>FRANCISCA BAYARRI GRESA</v>
      </c>
      <c r="K541" s="6">
        <f ca="1">IFERROR(__xludf.DUMMYFUNCTION("""COMPUTED_VALUE"""),2)</f>
        <v>2</v>
      </c>
      <c r="L541" s="139">
        <f ca="1">IFERROR(__xludf.DUMMYFUNCTION("""COMPUTED_VALUE"""),2722.73)</f>
        <v>2722.73</v>
      </c>
      <c r="M541" s="6" t="str">
        <f ca="1">IFERROR(__xludf.DUMMYFUNCTION("""COMPUTED_VALUE"""),"03 ORL")</f>
        <v>03 ORL</v>
      </c>
      <c r="N541" s="6" t="str">
        <f ca="1">IFERROR(__xludf.DUMMYFUNCTION("""COMPUTED_VALUE"""),"06 ORL")</f>
        <v>06 ORL</v>
      </c>
      <c r="O541" s="6" t="str">
        <f ca="1">IFERROR(__xludf.DUMMYFUNCTION("""COMPUTED_VALUE"""),"Dra, María José Gámiz Maroto")</f>
        <v>Dra, María José Gámiz Maroto</v>
      </c>
      <c r="P541" s="6" t="str">
        <f ca="1">IFERROR(__xludf.DUMMYFUNCTION("""COMPUTED_VALUE"""),"Ramon Ferrando(Valencia)")</f>
        <v>Ramon Ferrando(Valencia)</v>
      </c>
    </row>
    <row r="542" spans="2:16">
      <c r="B542" s="6">
        <f ca="1">IFERROR(__xludf.DUMMYFUNCTION("""COMPUTED_VALUE"""),2025)</f>
        <v>2025</v>
      </c>
      <c r="C542" s="6">
        <f ca="1">IFERROR(__xludf.DUMMYFUNCTION("""COMPUTED_VALUE"""),4)</f>
        <v>4</v>
      </c>
      <c r="D542" s="6" t="str">
        <f ca="1">IFERROR(__xludf.DUMMYFUNCTION("""COMPUTED_VALUE"""),"NO")</f>
        <v>NO</v>
      </c>
      <c r="E542" s="6" t="str">
        <f ca="1">IFERROR(__xludf.DUMMYFUNCTION("""COMPUTED_VALUE"""),"Almería")</f>
        <v>Almería</v>
      </c>
      <c r="F542" s="16">
        <f ca="1">IFERROR(__xludf.DUMMYFUNCTION("""COMPUTED_VALUE"""),45770)</f>
        <v>45770</v>
      </c>
      <c r="G542" s="16">
        <f ca="1">IFERROR(__xludf.DUMMYFUNCTION("""COMPUTED_VALUE"""),45737)</f>
        <v>45737</v>
      </c>
      <c r="H542" s="6" t="str">
        <f ca="1">IFERROR(__xludf.DUMMYFUNCTION("""COMPUTED_VALUE"""),"Almería")</f>
        <v>Almería</v>
      </c>
      <c r="I542" s="6" t="str">
        <f ca="1">IFERROR(__xludf.DUMMYFUNCTION("""COMPUTED_VALUE"""),"C202532618344868")</f>
        <v>C202532618344868</v>
      </c>
      <c r="J542" s="6" t="str">
        <f ca="1">IFERROR(__xludf.DUMMYFUNCTION("""COMPUTED_VALUE"""),"VINCENT PAUL REID")</f>
        <v>VINCENT PAUL REID</v>
      </c>
      <c r="K542" s="6">
        <f ca="1">IFERROR(__xludf.DUMMYFUNCTION("""COMPUTED_VALUE"""),2)</f>
        <v>2</v>
      </c>
      <c r="L542" s="139">
        <f ca="1">IFERROR(__xludf.DUMMYFUNCTION("""COMPUTED_VALUE"""),4400)</f>
        <v>4400</v>
      </c>
      <c r="M542" s="6" t="str">
        <f ca="1">IFERROR(__xludf.DUMMYFUNCTION("""COMPUTED_VALUE"""),"04 TIENDA")</f>
        <v>04 TIENDA</v>
      </c>
      <c r="N542" s="6" t="str">
        <f ca="1">IFERROR(__xludf.DUMMYFUNCTION("""COMPUTED_VALUE"""),"07 BOCA/BOCA")</f>
        <v>07 BOCA/BOCA</v>
      </c>
      <c r="O542" s="6" t="str">
        <f ca="1">IFERROR(__xludf.DUMMYFUNCTION("""COMPUTED_VALUE"""),"Dr, Javier Padilla Cabello")</f>
        <v>Dr, Javier Padilla Cabello</v>
      </c>
      <c r="P542" s="6" t="str">
        <f ca="1">IFERROR(__xludf.DUMMYFUNCTION("""COMPUTED_VALUE"""),"Ramon Ferrando(Valencia)")</f>
        <v>Ramon Ferrando(Valencia)</v>
      </c>
    </row>
    <row r="543" spans="2:16">
      <c r="B543" s="6">
        <f ca="1">IFERROR(__xludf.DUMMYFUNCTION("""COMPUTED_VALUE"""),2025)</f>
        <v>2025</v>
      </c>
      <c r="C543" s="6">
        <f ca="1">IFERROR(__xludf.DUMMYFUNCTION("""COMPUTED_VALUE"""),4)</f>
        <v>4</v>
      </c>
      <c r="D543" s="6" t="str">
        <f ca="1">IFERROR(__xludf.DUMMYFUNCTION("""COMPUTED_VALUE"""),"NO")</f>
        <v>NO</v>
      </c>
      <c r="E543" s="6" t="str">
        <f ca="1">IFERROR(__xludf.DUMMYFUNCTION("""COMPUTED_VALUE"""),"Logroño")</f>
        <v>Logroño</v>
      </c>
      <c r="F543" s="16">
        <f ca="1">IFERROR(__xludf.DUMMYFUNCTION("""COMPUTED_VALUE"""),45770)</f>
        <v>45770</v>
      </c>
      <c r="G543" s="16">
        <f ca="1">IFERROR(__xludf.DUMMYFUNCTION("""COMPUTED_VALUE"""),45707)</f>
        <v>45707</v>
      </c>
      <c r="H543" s="6" t="str">
        <f ca="1">IFERROR(__xludf.DUMMYFUNCTION("""COMPUTED_VALUE"""),"Logroño")</f>
        <v>Logroño</v>
      </c>
      <c r="I543" s="6" t="str">
        <f ca="1">IFERROR(__xludf.DUMMYFUNCTION("""COMPUTED_VALUE"""),"C202522517525934")</f>
        <v>C202522517525934</v>
      </c>
      <c r="J543" s="6" t="str">
        <f ca="1">IFERROR(__xludf.DUMMYFUNCTION("""COMPUTED_VALUE"""),"JUAN ANTONIO FERNANDEZ SANCHEZ")</f>
        <v>JUAN ANTONIO FERNANDEZ SANCHEZ</v>
      </c>
      <c r="K543" s="6">
        <f ca="1">IFERROR(__xludf.DUMMYFUNCTION("""COMPUTED_VALUE"""),2)</f>
        <v>2</v>
      </c>
      <c r="L543" s="139">
        <f ca="1">IFERROR(__xludf.DUMMYFUNCTION("""COMPUTED_VALUE"""),3390.91)</f>
        <v>3390.91</v>
      </c>
      <c r="M543" s="6" t="str">
        <f ca="1">IFERROR(__xludf.DUMMYFUNCTION("""COMPUTED_VALUE"""),"03 ORL")</f>
        <v>03 ORL</v>
      </c>
      <c r="N543" s="6" t="str">
        <f ca="1">IFERROR(__xludf.DUMMYFUNCTION("""COMPUTED_VALUE"""),"06 ORL")</f>
        <v>06 ORL</v>
      </c>
      <c r="O543" s="6" t="str">
        <f ca="1">IFERROR(__xludf.DUMMYFUNCTION("""COMPUTED_VALUE"""),"Dr, Daniel Briones Crespo")</f>
        <v>Dr, Daniel Briones Crespo</v>
      </c>
      <c r="P543" s="6" t="str">
        <f ca="1">IFERROR(__xludf.DUMMYFUNCTION("""COMPUTED_VALUE"""),"Lisandro Russian (Madrid, Cáceres, Toledo, Talavera Y Logroño)")</f>
        <v>Lisandro Russian (Madrid, Cáceres, Toledo, Talavera Y Logroño)</v>
      </c>
    </row>
    <row r="544" spans="2:16">
      <c r="B544" s="6">
        <f ca="1">IFERROR(__xludf.DUMMYFUNCTION("""COMPUTED_VALUE"""),2025)</f>
        <v>2025</v>
      </c>
      <c r="C544" s="6">
        <f ca="1">IFERROR(__xludf.DUMMYFUNCTION("""COMPUTED_VALUE"""),4)</f>
        <v>4</v>
      </c>
      <c r="D544" s="6" t="str">
        <f ca="1">IFERROR(__xludf.DUMMYFUNCTION("""COMPUTED_VALUE"""),"NO")</f>
        <v>NO</v>
      </c>
      <c r="E544" s="6" t="str">
        <f ca="1">IFERROR(__xludf.DUMMYFUNCTION("""COMPUTED_VALUE"""),"Madrid- Costa Rica")</f>
        <v>Madrid- Costa Rica</v>
      </c>
      <c r="F544" s="16">
        <f ca="1">IFERROR(__xludf.DUMMYFUNCTION("""COMPUTED_VALUE"""),45770)</f>
        <v>45770</v>
      </c>
      <c r="G544" s="16">
        <f ca="1">IFERROR(__xludf.DUMMYFUNCTION("""COMPUTED_VALUE"""),45713)</f>
        <v>45713</v>
      </c>
      <c r="H544" s="6" t="str">
        <f ca="1">IFERROR(__xludf.DUMMYFUNCTION("""COMPUTED_VALUE"""),"Costa Rica")</f>
        <v>Costa Rica</v>
      </c>
      <c r="I544" s="6" t="str">
        <f ca="1">IFERROR(__xludf.DUMMYFUNCTION("""COMPUTED_VALUE"""),"C2025421121012490")</f>
        <v>C2025421121012490</v>
      </c>
      <c r="J544" s="6" t="str">
        <f ca="1">IFERROR(__xludf.DUMMYFUNCTION("""COMPUTED_VALUE"""),"ANGELA DE LA CRUZ")</f>
        <v>ANGELA DE LA CRUZ</v>
      </c>
      <c r="K544" s="6">
        <f ca="1">IFERROR(__xludf.DUMMYFUNCTION("""COMPUTED_VALUE"""),2)</f>
        <v>2</v>
      </c>
      <c r="L544" s="139">
        <f ca="1">IFERROR(__xludf.DUMMYFUNCTION("""COMPUTED_VALUE"""),2888.18)</f>
        <v>2888.18</v>
      </c>
      <c r="M544" s="6" t="str">
        <f ca="1">IFERROR(__xludf.DUMMYFUNCTION("""COMPUTED_VALUE"""),"03 ORL")</f>
        <v>03 ORL</v>
      </c>
      <c r="N544" s="6" t="str">
        <f ca="1">IFERROR(__xludf.DUMMYFUNCTION("""COMPUTED_VALUE"""),"06 ORL")</f>
        <v>06 ORL</v>
      </c>
      <c r="O544" s="6" t="str">
        <f ca="1">IFERROR(__xludf.DUMMYFUNCTION("""COMPUTED_VALUE"""),"Dr, Guillermo San Juan De La Moreta")</f>
        <v>Dr, Guillermo San Juan De La Moreta</v>
      </c>
      <c r="P544" s="6" t="str">
        <f ca="1">IFERROR(__xludf.DUMMYFUNCTION("""COMPUTED_VALUE"""),"Maika Blázquez (Madrid)")</f>
        <v>Maika Blázquez (Madrid)</v>
      </c>
    </row>
    <row r="545" spans="2:16">
      <c r="B545" s="6">
        <f ca="1">IFERROR(__xludf.DUMMYFUNCTION("""COMPUTED_VALUE"""),2025)</f>
        <v>2025</v>
      </c>
      <c r="C545" s="6">
        <f ca="1">IFERROR(__xludf.DUMMYFUNCTION("""COMPUTED_VALUE"""),4)</f>
        <v>4</v>
      </c>
      <c r="D545" s="6" t="str">
        <f ca="1">IFERROR(__xludf.DUMMYFUNCTION("""COMPUTED_VALUE"""),"NO")</f>
        <v>NO</v>
      </c>
      <c r="E545" s="6" t="str">
        <f ca="1">IFERROR(__xludf.DUMMYFUNCTION("""COMPUTED_VALUE"""),"Madrid- Galileo")</f>
        <v>Madrid- Galileo</v>
      </c>
      <c r="F545" s="16">
        <f ca="1">IFERROR(__xludf.DUMMYFUNCTION("""COMPUTED_VALUE"""),45770)</f>
        <v>45770</v>
      </c>
      <c r="G545" s="16">
        <f ca="1">IFERROR(__xludf.DUMMYFUNCTION("""COMPUTED_VALUE"""),45734)</f>
        <v>45734</v>
      </c>
      <c r="H545" s="6" t="str">
        <f ca="1">IFERROR(__xludf.DUMMYFUNCTION("""COMPUTED_VALUE"""),"Moncloa")</f>
        <v>Moncloa</v>
      </c>
      <c r="I545" s="6" t="str">
        <f ca="1">IFERROR(__xludf.DUMMYFUNCTION("""COMPUTED_VALUE"""),"C202542175457452")</f>
        <v>C202542175457452</v>
      </c>
      <c r="J545" s="6" t="str">
        <f ca="1">IFERROR(__xludf.DUMMYFUNCTION("""COMPUTED_VALUE"""),"PILAR LAZARO PRIETO")</f>
        <v>PILAR LAZARO PRIETO</v>
      </c>
      <c r="K545" s="6">
        <f ca="1">IFERROR(__xludf.DUMMYFUNCTION("""COMPUTED_VALUE"""),1)</f>
        <v>1</v>
      </c>
      <c r="L545" s="139">
        <f ca="1">IFERROR(__xludf.DUMMYFUNCTION("""COMPUTED_VALUE"""),2400)</f>
        <v>2400</v>
      </c>
      <c r="M545" s="6" t="str">
        <f ca="1">IFERROR(__xludf.DUMMYFUNCTION("""COMPUTED_VALUE"""),"03 ORL")</f>
        <v>03 ORL</v>
      </c>
      <c r="N545" s="6" t="str">
        <f ca="1">IFERROR(__xludf.DUMMYFUNCTION("""COMPUTED_VALUE"""),"06 ORL")</f>
        <v>06 ORL</v>
      </c>
      <c r="O545" s="6" t="str">
        <f ca="1">IFERROR(__xludf.DUMMYFUNCTION("""COMPUTED_VALUE"""),"Dr, Iván Muerte Moreno")</f>
        <v>Dr, Iván Muerte Moreno</v>
      </c>
      <c r="P545" s="6" t="str">
        <f ca="1">IFERROR(__xludf.DUMMYFUNCTION("""COMPUTED_VALUE"""),"Lisandro Russian (Madrid, Cáceres, Toledo, Talavera Y Logroño)")</f>
        <v>Lisandro Russian (Madrid, Cáceres, Toledo, Talavera Y Logroño)</v>
      </c>
    </row>
    <row r="546" spans="2:16">
      <c r="B546" s="6">
        <f ca="1">IFERROR(__xludf.DUMMYFUNCTION("""COMPUTED_VALUE"""),2025)</f>
        <v>2025</v>
      </c>
      <c r="C546" s="6">
        <f ca="1">IFERROR(__xludf.DUMMYFUNCTION("""COMPUTED_VALUE"""),4)</f>
        <v>4</v>
      </c>
      <c r="D546" s="6" t="str">
        <f ca="1">IFERROR(__xludf.DUMMYFUNCTION("""COMPUTED_VALUE"""),"NO")</f>
        <v>NO</v>
      </c>
      <c r="E546" s="6" t="str">
        <f ca="1">IFERROR(__xludf.DUMMYFUNCTION("""COMPUTED_VALUE"""),"Madrid- Juan Bravo")</f>
        <v>Madrid- Juan Bravo</v>
      </c>
      <c r="F546" s="16">
        <f ca="1">IFERROR(__xludf.DUMMYFUNCTION("""COMPUTED_VALUE"""),45770)</f>
        <v>45770</v>
      </c>
      <c r="G546" s="16">
        <f ca="1">IFERROR(__xludf.DUMMYFUNCTION("""COMPUTED_VALUE"""),45742)</f>
        <v>45742</v>
      </c>
      <c r="H546" s="6" t="str">
        <f ca="1">IFERROR(__xludf.DUMMYFUNCTION("""COMPUTED_VALUE"""),"Juan Bravo")</f>
        <v>Juan Bravo</v>
      </c>
      <c r="I546" s="6" t="str">
        <f ca="1">IFERROR(__xludf.DUMMYFUNCTION("""COMPUTED_VALUE"""),"C20253281052260")</f>
        <v>C20253281052260</v>
      </c>
      <c r="J546" s="6" t="str">
        <f ca="1">IFERROR(__xludf.DUMMYFUNCTION("""COMPUTED_VALUE"""),"CONSUELO ZARATE GALLEGO")</f>
        <v>CONSUELO ZARATE GALLEGO</v>
      </c>
      <c r="K546" s="6">
        <f ca="1">IFERROR(__xludf.DUMMYFUNCTION("""COMPUTED_VALUE"""),2)</f>
        <v>2</v>
      </c>
      <c r="L546" s="139">
        <f ca="1">IFERROR(__xludf.DUMMYFUNCTION("""COMPUTED_VALUE"""),4400)</f>
        <v>4400</v>
      </c>
      <c r="M546" s="6" t="str">
        <f ca="1">IFERROR(__xludf.DUMMYFUNCTION("""COMPUTED_VALUE"""),"03 ORL")</f>
        <v>03 ORL</v>
      </c>
      <c r="N546" s="6" t="str">
        <f ca="1">IFERROR(__xludf.DUMMYFUNCTION("""COMPUTED_VALUE"""),"06 ORL")</f>
        <v>06 ORL</v>
      </c>
      <c r="O546" s="6" t="str">
        <f ca="1">IFERROR(__xludf.DUMMYFUNCTION("""COMPUTED_VALUE"""),"Dr, Alejandro Harguindey Antoli-Candela")</f>
        <v>Dr, Alejandro Harguindey Antoli-Candela</v>
      </c>
      <c r="P546" s="6" t="str">
        <f ca="1">IFERROR(__xludf.DUMMYFUNCTION("""COMPUTED_VALUE"""),"Maika Blázquez (Madrid)")</f>
        <v>Maika Blázquez (Madrid)</v>
      </c>
    </row>
    <row r="547" spans="2:16">
      <c r="B547" s="6">
        <f ca="1">IFERROR(__xludf.DUMMYFUNCTION("""COMPUTED_VALUE"""),2025)</f>
        <v>2025</v>
      </c>
      <c r="C547" s="6">
        <f ca="1">IFERROR(__xludf.DUMMYFUNCTION("""COMPUTED_VALUE"""),4)</f>
        <v>4</v>
      </c>
      <c r="D547" s="6" t="str">
        <f ca="1">IFERROR(__xludf.DUMMYFUNCTION("""COMPUTED_VALUE"""),"NO")</f>
        <v>NO</v>
      </c>
      <c r="E547" s="6" t="str">
        <f ca="1">IFERROR(__xludf.DUMMYFUNCTION("""COMPUTED_VALUE"""),"Ourense")</f>
        <v>Ourense</v>
      </c>
      <c r="F547" s="16">
        <f ca="1">IFERROR(__xludf.DUMMYFUNCTION("""COMPUTED_VALUE"""),45770)</f>
        <v>45770</v>
      </c>
      <c r="G547" s="16">
        <f ca="1">IFERROR(__xludf.DUMMYFUNCTION("""COMPUTED_VALUE"""),45740)</f>
        <v>45740</v>
      </c>
      <c r="H547" s="6" t="str">
        <f ca="1">IFERROR(__xludf.DUMMYFUNCTION("""COMPUTED_VALUE"""),"Orense")</f>
        <v>Orense</v>
      </c>
      <c r="I547" s="6" t="str">
        <f ca="1">IFERROR(__xludf.DUMMYFUNCTION("""COMPUTED_VALUE"""),"C202532616048587")</f>
        <v>C202532616048587</v>
      </c>
      <c r="J547" s="6" t="str">
        <f ca="1">IFERROR(__xludf.DUMMYFUNCTION("""COMPUTED_VALUE"""),"EMILIO NUÑEZ MARTINEZ")</f>
        <v>EMILIO NUÑEZ MARTINEZ</v>
      </c>
      <c r="K547" s="6">
        <f ca="1">IFERROR(__xludf.DUMMYFUNCTION("""COMPUTED_VALUE"""),2)</f>
        <v>2</v>
      </c>
      <c r="L547" s="139">
        <f ca="1">IFERROR(__xludf.DUMMYFUNCTION("""COMPUTED_VALUE"""),3710)</f>
        <v>3710</v>
      </c>
      <c r="M547" s="6" t="str">
        <f ca="1">IFERROR(__xludf.DUMMYFUNCTION("""COMPUTED_VALUE"""),"03 ORL")</f>
        <v>03 ORL</v>
      </c>
      <c r="N547" s="6" t="str">
        <f ca="1">IFERROR(__xludf.DUMMYFUNCTION("""COMPUTED_VALUE"""),"06 ORL")</f>
        <v>06 ORL</v>
      </c>
      <c r="O547" s="6" t="str">
        <f ca="1">IFERROR(__xludf.DUMMYFUNCTION("""COMPUTED_VALUE"""),"Dra, María Rey Marcos")</f>
        <v>Dra, María Rey Marcos</v>
      </c>
      <c r="P547" s="6" t="str">
        <f ca="1">IFERROR(__xludf.DUMMYFUNCTION("""COMPUTED_VALUE"""),"Roberto Pereira (Galicia)")</f>
        <v>Roberto Pereira (Galicia)</v>
      </c>
    </row>
    <row r="548" spans="2:16">
      <c r="B548" s="6">
        <f ca="1">IFERROR(__xludf.DUMMYFUNCTION("""COMPUTED_VALUE"""),2025)</f>
        <v>2025</v>
      </c>
      <c r="C548" s="6">
        <f ca="1">IFERROR(__xludf.DUMMYFUNCTION("""COMPUTED_VALUE"""),4)</f>
        <v>4</v>
      </c>
      <c r="D548" s="6" t="str">
        <f ca="1">IFERROR(__xludf.DUMMYFUNCTION("""COMPUTED_VALUE"""),"NO")</f>
        <v>NO</v>
      </c>
      <c r="E548" s="6" t="str">
        <f ca="1">IFERROR(__xludf.DUMMYFUNCTION("""COMPUTED_VALUE"""),"Sevilla- Montoto")</f>
        <v>Sevilla- Montoto</v>
      </c>
      <c r="F548" s="16">
        <f ca="1">IFERROR(__xludf.DUMMYFUNCTION("""COMPUTED_VALUE"""),45770)</f>
        <v>45770</v>
      </c>
      <c r="G548" s="16">
        <f ca="1">IFERROR(__xludf.DUMMYFUNCTION("""COMPUTED_VALUE"""),45698)</f>
        <v>45698</v>
      </c>
      <c r="H548" s="6" t="str">
        <f ca="1">IFERROR(__xludf.DUMMYFUNCTION("""COMPUTED_VALUE"""),"Montoto")</f>
        <v>Montoto</v>
      </c>
      <c r="I548" s="6" t="str">
        <f ca="1">IFERROR(__xludf.DUMMYFUNCTION("""COMPUTED_VALUE"""),"C2025210123414403")</f>
        <v>C2025210123414403</v>
      </c>
      <c r="J548" s="6" t="str">
        <f ca="1">IFERROR(__xludf.DUMMYFUNCTION("""COMPUTED_VALUE"""),"ELENA CUEVAS GOMEZ")</f>
        <v>ELENA CUEVAS GOMEZ</v>
      </c>
      <c r="K548" s="6">
        <f ca="1">IFERROR(__xludf.DUMMYFUNCTION("""COMPUTED_VALUE"""),2)</f>
        <v>2</v>
      </c>
      <c r="L548" s="139">
        <f ca="1">IFERROR(__xludf.DUMMYFUNCTION("""COMPUTED_VALUE"""),3710)</f>
        <v>3710</v>
      </c>
      <c r="M548" s="6" t="str">
        <f ca="1">IFERROR(__xludf.DUMMYFUNCTION("""COMPUTED_VALUE"""),"03 ORL")</f>
        <v>03 ORL</v>
      </c>
      <c r="N548" s="6" t="str">
        <f ca="1">IFERROR(__xludf.DUMMYFUNCTION("""COMPUTED_VALUE"""),"06 ORL")</f>
        <v>06 ORL</v>
      </c>
      <c r="O548" s="6" t="str">
        <f ca="1">IFERROR(__xludf.DUMMYFUNCTION("""COMPUTED_VALUE"""),"Dr, Cristina Alonso González")</f>
        <v>Dr, Cristina Alonso González</v>
      </c>
      <c r="P548" s="6" t="str">
        <f ca="1">IFERROR(__xludf.DUMMYFUNCTION("""COMPUTED_VALUE"""),"Luis Alberto Rodríguez (Andalucía Y Badajoz)")</f>
        <v>Luis Alberto Rodríguez (Andalucía Y Badajoz)</v>
      </c>
    </row>
    <row r="549" spans="2:16">
      <c r="B549" s="6">
        <f ca="1">IFERROR(__xludf.DUMMYFUNCTION("""COMPUTED_VALUE"""),2025)</f>
        <v>2025</v>
      </c>
      <c r="C549" s="6">
        <f ca="1">IFERROR(__xludf.DUMMYFUNCTION("""COMPUTED_VALUE"""),4)</f>
        <v>4</v>
      </c>
      <c r="D549" s="6" t="str">
        <f ca="1">IFERROR(__xludf.DUMMYFUNCTION("""COMPUTED_VALUE"""),"NO")</f>
        <v>NO</v>
      </c>
      <c r="E549" s="6" t="str">
        <f ca="1">IFERROR(__xludf.DUMMYFUNCTION("""COMPUTED_VALUE"""),"Torrejón de Ardoz")</f>
        <v>Torrejón de Ardoz</v>
      </c>
      <c r="F549" s="16">
        <f ca="1">IFERROR(__xludf.DUMMYFUNCTION("""COMPUTED_VALUE"""),45770)</f>
        <v>45770</v>
      </c>
      <c r="G549" s="16">
        <f ca="1">IFERROR(__xludf.DUMMYFUNCTION("""COMPUTED_VALUE"""),45712)</f>
        <v>45712</v>
      </c>
      <c r="H549" s="6" t="str">
        <f ca="1">IFERROR(__xludf.DUMMYFUNCTION("""COMPUTED_VALUE"""),"Torrejón")</f>
        <v>Torrejón</v>
      </c>
      <c r="I549" s="6" t="str">
        <f ca="1">IFERROR(__xludf.DUMMYFUNCTION("""COMPUTED_VALUE"""),"C202531918228189")</f>
        <v>C202531918228189</v>
      </c>
      <c r="J549" s="6" t="str">
        <f ca="1">IFERROR(__xludf.DUMMYFUNCTION("""COMPUTED_VALUE"""),"MARIA DOLORES GIL SANCHEZ")</f>
        <v>MARIA DOLORES GIL SANCHEZ</v>
      </c>
      <c r="K549" s="6">
        <f ca="1">IFERROR(__xludf.DUMMYFUNCTION("""COMPUTED_VALUE"""),1)</f>
        <v>1</v>
      </c>
      <c r="L549" s="139">
        <f ca="1">IFERROR(__xludf.DUMMYFUNCTION("""COMPUTED_VALUE"""),2400)</f>
        <v>2400</v>
      </c>
      <c r="M549" s="6" t="str">
        <f ca="1">IFERROR(__xludf.DUMMYFUNCTION("""COMPUTED_VALUE"""),"03 ORL")</f>
        <v>03 ORL</v>
      </c>
      <c r="N549" s="6" t="str">
        <f ca="1">IFERROR(__xludf.DUMMYFUNCTION("""COMPUTED_VALUE"""),"06 ORL")</f>
        <v>06 ORL</v>
      </c>
      <c r="O549" s="6" t="str">
        <f ca="1">IFERROR(__xludf.DUMMYFUNCTION("""COMPUTED_VALUE"""),"Dr, Juan De Dios De La Calzada")</f>
        <v>Dr, Juan De Dios De La Calzada</v>
      </c>
      <c r="P549" s="6" t="str">
        <f ca="1">IFERROR(__xludf.DUMMYFUNCTION("""COMPUTED_VALUE"""),"Maika Blázquez (Madrid)")</f>
        <v>Maika Blázquez (Madrid)</v>
      </c>
    </row>
    <row r="550" spans="2:16">
      <c r="B550" s="6">
        <f ca="1">IFERROR(__xludf.DUMMYFUNCTION("""COMPUTED_VALUE"""),2025)</f>
        <v>2025</v>
      </c>
      <c r="C550" s="6">
        <f ca="1">IFERROR(__xludf.DUMMYFUNCTION("""COMPUTED_VALUE"""),4)</f>
        <v>4</v>
      </c>
      <c r="D550" s="6" t="str">
        <f ca="1">IFERROR(__xludf.DUMMYFUNCTION("""COMPUTED_VALUE"""),"NO")</f>
        <v>NO</v>
      </c>
      <c r="E550" s="6" t="str">
        <f ca="1">IFERROR(__xludf.DUMMYFUNCTION("""COMPUTED_VALUE"""),"Torrejón de Ardoz")</f>
        <v>Torrejón de Ardoz</v>
      </c>
      <c r="F550" s="16">
        <f ca="1">IFERROR(__xludf.DUMMYFUNCTION("""COMPUTED_VALUE"""),45770)</f>
        <v>45770</v>
      </c>
      <c r="G550" s="16">
        <f ca="1">IFERROR(__xludf.DUMMYFUNCTION("""COMPUTED_VALUE"""),45751)</f>
        <v>45751</v>
      </c>
      <c r="H550" s="6" t="str">
        <f ca="1">IFERROR(__xludf.DUMMYFUNCTION("""COMPUTED_VALUE"""),"Torrejón")</f>
        <v>Torrejón</v>
      </c>
      <c r="I550" s="6" t="str">
        <f ca="1">IFERROR(__xludf.DUMMYFUNCTION("""COMPUTED_VALUE"""),"C202549185238238")</f>
        <v>C202549185238238</v>
      </c>
      <c r="J550" s="6" t="str">
        <f ca="1">IFERROR(__xludf.DUMMYFUNCTION("""COMPUTED_VALUE"""),"PRISCILIANO DE LUCAS SAN FELIPE")</f>
        <v>PRISCILIANO DE LUCAS SAN FELIPE</v>
      </c>
      <c r="K550" s="6">
        <f ca="1">IFERROR(__xludf.DUMMYFUNCTION("""COMPUTED_VALUE"""),2)</f>
        <v>2</v>
      </c>
      <c r="L550" s="139">
        <f ca="1">IFERROR(__xludf.DUMMYFUNCTION("""COMPUTED_VALUE"""),3523.64)</f>
        <v>3523.64</v>
      </c>
      <c r="M550" s="6" t="str">
        <f ca="1">IFERROR(__xludf.DUMMYFUNCTION("""COMPUTED_VALUE"""),"03 ORL")</f>
        <v>03 ORL</v>
      </c>
      <c r="N550" s="6" t="str">
        <f ca="1">IFERROR(__xludf.DUMMYFUNCTION("""COMPUTED_VALUE"""),"06 ORL")</f>
        <v>06 ORL</v>
      </c>
      <c r="O550" s="6" t="str">
        <f ca="1">IFERROR(__xludf.DUMMYFUNCTION("""COMPUTED_VALUE"""),"Dra, Stephany Rodríguez Mata")</f>
        <v>Dra, Stephany Rodríguez Mata</v>
      </c>
      <c r="P550" s="6" t="str">
        <f ca="1">IFERROR(__xludf.DUMMYFUNCTION("""COMPUTED_VALUE"""),"Maika Blázquez (Madrid)")</f>
        <v>Maika Blázquez (Madrid)</v>
      </c>
    </row>
    <row r="551" spans="2:16">
      <c r="B551" s="6">
        <f ca="1">IFERROR(__xludf.DUMMYFUNCTION("""COMPUTED_VALUE"""),2025)</f>
        <v>2025</v>
      </c>
      <c r="C551" s="6">
        <f ca="1">IFERROR(__xludf.DUMMYFUNCTION("""COMPUTED_VALUE"""),4)</f>
        <v>4</v>
      </c>
      <c r="D551" s="6" t="str">
        <f ca="1">IFERROR(__xludf.DUMMYFUNCTION("""COMPUTED_VALUE"""),"NO")</f>
        <v>NO</v>
      </c>
      <c r="E551" s="6" t="str">
        <f ca="1">IFERROR(__xludf.DUMMYFUNCTION("""COMPUTED_VALUE"""),"Valencia- Parra")</f>
        <v>Valencia- Parra</v>
      </c>
      <c r="F551" s="16">
        <f ca="1">IFERROR(__xludf.DUMMYFUNCTION("""COMPUTED_VALUE"""),45770)</f>
        <v>45770</v>
      </c>
      <c r="G551" s="16">
        <f ca="1">IFERROR(__xludf.DUMMYFUNCTION("""COMPUTED_VALUE"""),45707)</f>
        <v>45707</v>
      </c>
      <c r="H551" s="6" t="str">
        <f ca="1">IFERROR(__xludf.DUMMYFUNCTION("""COMPUTED_VALUE"""),"Valencia- Parra")</f>
        <v>Valencia- Parra</v>
      </c>
      <c r="I551" s="6" t="str">
        <f ca="1">IFERROR(__xludf.DUMMYFUNCTION("""COMPUTED_VALUE"""),"C2025220122158238")</f>
        <v>C2025220122158238</v>
      </c>
      <c r="J551" s="6" t="str">
        <f ca="1">IFERROR(__xludf.DUMMYFUNCTION("""COMPUTED_VALUE"""),"ELISA FAZ MARTINEZ")</f>
        <v>ELISA FAZ MARTINEZ</v>
      </c>
      <c r="K551" s="6">
        <f ca="1">IFERROR(__xludf.DUMMYFUNCTION("""COMPUTED_VALUE"""),2)</f>
        <v>2</v>
      </c>
      <c r="L551" s="139">
        <f ca="1">IFERROR(__xludf.DUMMYFUNCTION("""COMPUTED_VALUE"""),3710)</f>
        <v>3710</v>
      </c>
      <c r="M551" s="6" t="str">
        <f ca="1">IFERROR(__xludf.DUMMYFUNCTION("""COMPUTED_VALUE"""),"03 ORL")</f>
        <v>03 ORL</v>
      </c>
      <c r="N551" s="6" t="str">
        <f ca="1">IFERROR(__xludf.DUMMYFUNCTION("""COMPUTED_VALUE"""),"06 ORL")</f>
        <v>06 ORL</v>
      </c>
      <c r="O551" s="6" t="str">
        <f ca="1">IFERROR(__xludf.DUMMYFUNCTION("""COMPUTED_VALUE"""),"Dr, Carlos De Paula Vernetta")</f>
        <v>Dr, Carlos De Paula Vernetta</v>
      </c>
      <c r="P551" s="6" t="str">
        <f ca="1">IFERROR(__xludf.DUMMYFUNCTION("""COMPUTED_VALUE"""),"Ramon Ferrando(Valencia)")</f>
        <v>Ramon Ferrando(Valencia)</v>
      </c>
    </row>
    <row r="552" spans="2:16">
      <c r="B552" s="6">
        <f ca="1">IFERROR(__xludf.DUMMYFUNCTION("""COMPUTED_VALUE"""),2025)</f>
        <v>2025</v>
      </c>
      <c r="C552" s="6">
        <f ca="1">IFERROR(__xludf.DUMMYFUNCTION("""COMPUTED_VALUE"""),4)</f>
        <v>4</v>
      </c>
      <c r="D552" s="6" t="str">
        <f ca="1">IFERROR(__xludf.DUMMYFUNCTION("""COMPUTED_VALUE"""),"NO")</f>
        <v>NO</v>
      </c>
      <c r="E552" s="6" t="str">
        <f ca="1">IFERROR(__xludf.DUMMYFUNCTION("""COMPUTED_VALUE"""),"Boiro")</f>
        <v>Boiro</v>
      </c>
      <c r="F552" s="16">
        <f ca="1">IFERROR(__xludf.DUMMYFUNCTION("""COMPUTED_VALUE"""),45770)</f>
        <v>45770</v>
      </c>
      <c r="G552" s="16">
        <f ca="1">IFERROR(__xludf.DUMMYFUNCTION("""COMPUTED_VALUE"""),45748)</f>
        <v>45748</v>
      </c>
      <c r="H552" s="6" t="str">
        <f ca="1">IFERROR(__xludf.DUMMYFUNCTION("""COMPUTED_VALUE"""),"Boiro")</f>
        <v>Boiro</v>
      </c>
      <c r="I552" s="6" t="str">
        <f ca="1">IFERROR(__xludf.DUMMYFUNCTION("""COMPUTED_VALUE"""),"BOI-953")</f>
        <v>BOI-953</v>
      </c>
      <c r="J552" s="6" t="str">
        <f ca="1">IFERROR(__xludf.DUMMYFUNCTION("""COMPUTED_VALUE"""),"MANUEL ALLO QUINTANS")</f>
        <v>MANUEL ALLO QUINTANS</v>
      </c>
      <c r="K552" s="6">
        <f ca="1">IFERROR(__xludf.DUMMYFUNCTION("""COMPUTED_VALUE"""),2)</f>
        <v>2</v>
      </c>
      <c r="L552" s="139">
        <f ca="1">IFERROR(__xludf.DUMMYFUNCTION("""COMPUTED_VALUE"""),2627.27)</f>
        <v>2627.27</v>
      </c>
      <c r="M552" s="6" t="str">
        <f ca="1">IFERROR(__xludf.DUMMYFUNCTION("""COMPUTED_VALUE"""),"03 ORL")</f>
        <v>03 ORL</v>
      </c>
      <c r="N552" s="6" t="str">
        <f ca="1">IFERROR(__xludf.DUMMYFUNCTION("""COMPUTED_VALUE"""),"06 ORL")</f>
        <v>06 ORL</v>
      </c>
      <c r="O552" s="6" t="str">
        <f ca="1">IFERROR(__xludf.DUMMYFUNCTION("""COMPUTED_VALUE"""),"Dr, Ernesto Varela Martínez")</f>
        <v>Dr, Ernesto Varela Martínez</v>
      </c>
      <c r="P552" s="6" t="str">
        <f ca="1">IFERROR(__xludf.DUMMYFUNCTION("""COMPUTED_VALUE"""),"Roberto Pereira (Galicia)")</f>
        <v>Roberto Pereira (Galicia)</v>
      </c>
    </row>
    <row r="553" spans="2:16">
      <c r="B553" s="6">
        <f ca="1">IFERROR(__xludf.DUMMYFUNCTION("""COMPUTED_VALUE"""),2025)</f>
        <v>2025</v>
      </c>
      <c r="C553" s="6">
        <f ca="1">IFERROR(__xludf.DUMMYFUNCTION("""COMPUTED_VALUE"""),4)</f>
        <v>4</v>
      </c>
      <c r="D553" s="6" t="str">
        <f ca="1">IFERROR(__xludf.DUMMYFUNCTION("""COMPUTED_VALUE"""),"NO")</f>
        <v>NO</v>
      </c>
      <c r="E553" s="6" t="str">
        <f ca="1">IFERROR(__xludf.DUMMYFUNCTION("""COMPUTED_VALUE"""),"Alicante")</f>
        <v>Alicante</v>
      </c>
      <c r="F553" s="16">
        <f ca="1">IFERROR(__xludf.DUMMYFUNCTION("""COMPUTED_VALUE"""),45771)</f>
        <v>45771</v>
      </c>
      <c r="G553" s="16">
        <f ca="1">IFERROR(__xludf.DUMMYFUNCTION("""COMPUTED_VALUE"""),45741)</f>
        <v>45741</v>
      </c>
      <c r="H553" s="6" t="str">
        <f ca="1">IFERROR(__xludf.DUMMYFUNCTION("""COMPUTED_VALUE"""),"Alicante")</f>
        <v>Alicante</v>
      </c>
      <c r="I553" s="6" t="str">
        <f ca="1">IFERROR(__xludf.DUMMYFUNCTION("""COMPUTED_VALUE"""),"C20254295315630")</f>
        <v>C20254295315630</v>
      </c>
      <c r="J553" s="6" t="str">
        <f ca="1">IFERROR(__xludf.DUMMYFUNCTION("""COMPUTED_VALUE"""),"JUAN MIGUEL SARGANELLA CASTELLO")</f>
        <v>JUAN MIGUEL SARGANELLA CASTELLO</v>
      </c>
      <c r="K553" s="6">
        <f ca="1">IFERROR(__xludf.DUMMYFUNCTION("""COMPUTED_VALUE"""),1)</f>
        <v>1</v>
      </c>
      <c r="L553" s="139">
        <f ca="1">IFERROR(__xludf.DUMMYFUNCTION("""COMPUTED_VALUE"""),2400)</f>
        <v>2400</v>
      </c>
      <c r="M553" s="6" t="str">
        <f ca="1">IFERROR(__xludf.DUMMYFUNCTION("""COMPUTED_VALUE"""),"03 ORL")</f>
        <v>03 ORL</v>
      </c>
      <c r="N553" s="6" t="str">
        <f ca="1">IFERROR(__xludf.DUMMYFUNCTION("""COMPUTED_VALUE"""),"06 ORL")</f>
        <v>06 ORL</v>
      </c>
      <c r="O553" s="6" t="str">
        <f ca="1">IFERROR(__xludf.DUMMYFUNCTION("""COMPUTED_VALUE"""),"Dr, Francisco Pastor Beviá")</f>
        <v>Dr, Francisco Pastor Beviá</v>
      </c>
      <c r="P553" s="6" t="str">
        <f ca="1">IFERROR(__xludf.DUMMYFUNCTION("""COMPUTED_VALUE"""),"Iván Sánchez (Levante Y Albacete)")</f>
        <v>Iván Sánchez (Levante Y Albacete)</v>
      </c>
    </row>
    <row r="554" spans="2:16">
      <c r="B554" s="6">
        <f ca="1">IFERROR(__xludf.DUMMYFUNCTION("""COMPUTED_VALUE"""),2025)</f>
        <v>2025</v>
      </c>
      <c r="C554" s="6">
        <f ca="1">IFERROR(__xludf.DUMMYFUNCTION("""COMPUTED_VALUE"""),4)</f>
        <v>4</v>
      </c>
      <c r="D554" s="6" t="str">
        <f ca="1">IFERROR(__xludf.DUMMYFUNCTION("""COMPUTED_VALUE"""),"NO")</f>
        <v>NO</v>
      </c>
      <c r="E554" s="6" t="str">
        <f ca="1">IFERROR(__xludf.DUMMYFUNCTION("""COMPUTED_VALUE"""),"Alicante")</f>
        <v>Alicante</v>
      </c>
      <c r="F554" s="16">
        <f ca="1">IFERROR(__xludf.DUMMYFUNCTION("""COMPUTED_VALUE"""),45771)</f>
        <v>45771</v>
      </c>
      <c r="G554" s="16">
        <f ca="1">IFERROR(__xludf.DUMMYFUNCTION("""COMPUTED_VALUE"""),45727)</f>
        <v>45727</v>
      </c>
      <c r="H554" s="6" t="str">
        <f ca="1">IFERROR(__xludf.DUMMYFUNCTION("""COMPUTED_VALUE"""),"Alicante")</f>
        <v>Alicante</v>
      </c>
      <c r="I554" s="6" t="str">
        <f ca="1">IFERROR(__xludf.DUMMYFUNCTION("""COMPUTED_VALUE"""),"C2025324113459116")</f>
        <v>C2025324113459116</v>
      </c>
      <c r="J554" s="6" t="str">
        <f ca="1">IFERROR(__xludf.DUMMYFUNCTION("""COMPUTED_VALUE"""),"MANUEL ADOLFO FERNANDEZ FERNANDEZ")</f>
        <v>MANUEL ADOLFO FERNANDEZ FERNANDEZ</v>
      </c>
      <c r="K554" s="6">
        <f ca="1">IFERROR(__xludf.DUMMYFUNCTION("""COMPUTED_VALUE"""),2)</f>
        <v>2</v>
      </c>
      <c r="L554" s="139">
        <f ca="1">IFERROR(__xludf.DUMMYFUNCTION("""COMPUTED_VALUE"""),4000)</f>
        <v>4000</v>
      </c>
      <c r="M554" s="6" t="str">
        <f ca="1">IFERROR(__xludf.DUMMYFUNCTION("""COMPUTED_VALUE"""),"03 ORL")</f>
        <v>03 ORL</v>
      </c>
      <c r="N554" s="6" t="str">
        <f ca="1">IFERROR(__xludf.DUMMYFUNCTION("""COMPUTED_VALUE"""),"06 ORL")</f>
        <v>06 ORL</v>
      </c>
      <c r="O554" s="6" t="str">
        <f ca="1">IFERROR(__xludf.DUMMYFUNCTION("""COMPUTED_VALUE"""),"Dra, Cristina Muñoz Pinto")</f>
        <v>Dra, Cristina Muñoz Pinto</v>
      </c>
      <c r="P554" s="6" t="str">
        <f ca="1">IFERROR(__xludf.DUMMYFUNCTION("""COMPUTED_VALUE"""),"Iván Sánchez (Levante Y Albacete)")</f>
        <v>Iván Sánchez (Levante Y Albacete)</v>
      </c>
    </row>
    <row r="555" spans="2:16">
      <c r="B555" s="6">
        <f ca="1">IFERROR(__xludf.DUMMYFUNCTION("""COMPUTED_VALUE"""),2025)</f>
        <v>2025</v>
      </c>
      <c r="C555" s="6">
        <f ca="1">IFERROR(__xludf.DUMMYFUNCTION("""COMPUTED_VALUE"""),4)</f>
        <v>4</v>
      </c>
      <c r="D555" s="6" t="str">
        <f ca="1">IFERROR(__xludf.DUMMYFUNCTION("""COMPUTED_VALUE"""),"NO")</f>
        <v>NO</v>
      </c>
      <c r="E555" s="6" t="str">
        <f ca="1">IFERROR(__xludf.DUMMYFUNCTION("""COMPUTED_VALUE"""),"Alicante")</f>
        <v>Alicante</v>
      </c>
      <c r="F555" s="16">
        <f ca="1">IFERROR(__xludf.DUMMYFUNCTION("""COMPUTED_VALUE"""),45771)</f>
        <v>45771</v>
      </c>
      <c r="G555" s="16">
        <f ca="1">IFERROR(__xludf.DUMMYFUNCTION("""COMPUTED_VALUE"""),45699)</f>
        <v>45699</v>
      </c>
      <c r="H555" s="6" t="str">
        <f ca="1">IFERROR(__xludf.DUMMYFUNCTION("""COMPUTED_VALUE"""),"Alicante")</f>
        <v>Alicante</v>
      </c>
      <c r="I555" s="6" t="str">
        <f ca="1">IFERROR(__xludf.DUMMYFUNCTION("""COMPUTED_VALUE"""),"C202521716105838")</f>
        <v>C202521716105838</v>
      </c>
      <c r="J555" s="6" t="str">
        <f ca="1">IFERROR(__xludf.DUMMYFUNCTION("""COMPUTED_VALUE"""),"SORIA MEHANNEK")</f>
        <v>SORIA MEHANNEK</v>
      </c>
      <c r="K555" s="6">
        <f ca="1">IFERROR(__xludf.DUMMYFUNCTION("""COMPUTED_VALUE"""),1)</f>
        <v>1</v>
      </c>
      <c r="L555" s="139">
        <f ca="1">IFERROR(__xludf.DUMMYFUNCTION("""COMPUTED_VALUE"""),2640)</f>
        <v>2640</v>
      </c>
      <c r="M555" s="6" t="str">
        <f ca="1">IFERROR(__xludf.DUMMYFUNCTION("""COMPUTED_VALUE"""),"03 ORL")</f>
        <v>03 ORL</v>
      </c>
      <c r="N555" s="6" t="str">
        <f ca="1">IFERROR(__xludf.DUMMYFUNCTION("""COMPUTED_VALUE"""),"06 ORL")</f>
        <v>06 ORL</v>
      </c>
      <c r="O555" s="6" t="str">
        <f ca="1">IFERROR(__xludf.DUMMYFUNCTION("""COMPUTED_VALUE"""),"Dr, Oscar Alemán López")</f>
        <v>Dr, Oscar Alemán López</v>
      </c>
      <c r="P555" s="6" t="str">
        <f ca="1">IFERROR(__xludf.DUMMYFUNCTION("""COMPUTED_VALUE"""),"Iván Sánchez (Levante Y Albacete)")</f>
        <v>Iván Sánchez (Levante Y Albacete)</v>
      </c>
    </row>
    <row r="556" spans="2:16">
      <c r="B556" s="6">
        <f ca="1">IFERROR(__xludf.DUMMYFUNCTION("""COMPUTED_VALUE"""),2025)</f>
        <v>2025</v>
      </c>
      <c r="C556" s="6">
        <f ca="1">IFERROR(__xludf.DUMMYFUNCTION("""COMPUTED_VALUE"""),4)</f>
        <v>4</v>
      </c>
      <c r="D556" s="6" t="str">
        <f ca="1">IFERROR(__xludf.DUMMYFUNCTION("""COMPUTED_VALUE"""),"NO")</f>
        <v>NO</v>
      </c>
      <c r="E556" s="6" t="str">
        <f ca="1">IFERROR(__xludf.DUMMYFUNCTION("""COMPUTED_VALUE"""),"Barcelona- Córcega")</f>
        <v>Barcelona- Córcega</v>
      </c>
      <c r="F556" s="16">
        <f ca="1">IFERROR(__xludf.DUMMYFUNCTION("""COMPUTED_VALUE"""),45771)</f>
        <v>45771</v>
      </c>
      <c r="G556" s="16">
        <f ca="1">IFERROR(__xludf.DUMMYFUNCTION("""COMPUTED_VALUE"""),45740)</f>
        <v>45740</v>
      </c>
      <c r="H556" s="6" t="str">
        <f ca="1">IFERROR(__xludf.DUMMYFUNCTION("""COMPUTED_VALUE"""),"Córcega")</f>
        <v>Córcega</v>
      </c>
      <c r="I556" s="6" t="str">
        <f ca="1">IFERROR(__xludf.DUMMYFUNCTION("""COMPUTED_VALUE"""),"C202532612250205")</f>
        <v>C202532612250205</v>
      </c>
      <c r="J556" s="6" t="str">
        <f ca="1">IFERROR(__xludf.DUMMYFUNCTION("""COMPUTED_VALUE"""),"ANA MARIA ROIG MARI")</f>
        <v>ANA MARIA ROIG MARI</v>
      </c>
      <c r="K556" s="6">
        <f ca="1">IFERROR(__xludf.DUMMYFUNCTION("""COMPUTED_VALUE"""),2)</f>
        <v>2</v>
      </c>
      <c r="L556" s="139">
        <f ca="1">IFERROR(__xludf.DUMMYFUNCTION("""COMPUTED_VALUE"""),4000)</f>
        <v>4000</v>
      </c>
      <c r="M556" s="6" t="str">
        <f ca="1">IFERROR(__xludf.DUMMYFUNCTION("""COMPUTED_VALUE"""),"03 ORL")</f>
        <v>03 ORL</v>
      </c>
      <c r="N556" s="6" t="str">
        <f ca="1">IFERROR(__xludf.DUMMYFUNCTION("""COMPUTED_VALUE"""),"06 ORL")</f>
        <v>06 ORL</v>
      </c>
      <c r="O556" s="6" t="str">
        <f ca="1">IFERROR(__xludf.DUMMYFUNCTION("""COMPUTED_VALUE"""),"Dr, Enric Cisa Lluis")</f>
        <v>Dr, Enric Cisa Lluis</v>
      </c>
      <c r="P556" s="6" t="str">
        <f ca="1">IFERROR(__xludf.DUMMYFUNCTION("""COMPUTED_VALUE"""),"Mercè Cabrera (Cataluña Y Baleares)")</f>
        <v>Mercè Cabrera (Cataluña Y Baleares)</v>
      </c>
    </row>
    <row r="557" spans="2:16">
      <c r="B557" s="6">
        <f ca="1">IFERROR(__xludf.DUMMYFUNCTION("""COMPUTED_VALUE"""),2025)</f>
        <v>2025</v>
      </c>
      <c r="C557" s="6">
        <f ca="1">IFERROR(__xludf.DUMMYFUNCTION("""COMPUTED_VALUE"""),4)</f>
        <v>4</v>
      </c>
      <c r="D557" s="6" t="str">
        <f ca="1">IFERROR(__xludf.DUMMYFUNCTION("""COMPUTED_VALUE"""),"NO")</f>
        <v>NO</v>
      </c>
      <c r="E557" s="6" t="str">
        <f ca="1">IFERROR(__xludf.DUMMYFUNCTION("""COMPUTED_VALUE"""),"Fuenlabrada")</f>
        <v>Fuenlabrada</v>
      </c>
      <c r="F557" s="16">
        <f ca="1">IFERROR(__xludf.DUMMYFUNCTION("""COMPUTED_VALUE"""),45771)</f>
        <v>45771</v>
      </c>
      <c r="G557" s="16">
        <f ca="1">IFERROR(__xludf.DUMMYFUNCTION("""COMPUTED_VALUE"""),45686)</f>
        <v>45686</v>
      </c>
      <c r="H557" s="6" t="str">
        <f ca="1">IFERROR(__xludf.DUMMYFUNCTION("""COMPUTED_VALUE"""),"Fuenlabrada")</f>
        <v>Fuenlabrada</v>
      </c>
      <c r="I557" s="6" t="str">
        <f ca="1">IFERROR(__xludf.DUMMYFUNCTION("""COMPUTED_VALUE"""),"C202525175430985")</f>
        <v>C202525175430985</v>
      </c>
      <c r="J557" s="6" t="str">
        <f ca="1">IFERROR(__xludf.DUMMYFUNCTION("""COMPUTED_VALUE"""),"ETELVINA FERNANDEZ RODRIGUEZ")</f>
        <v>ETELVINA FERNANDEZ RODRIGUEZ</v>
      </c>
      <c r="K557" s="6">
        <f ca="1">IFERROR(__xludf.DUMMYFUNCTION("""COMPUTED_VALUE"""),2)</f>
        <v>2</v>
      </c>
      <c r="L557" s="139">
        <f ca="1">IFERROR(__xludf.DUMMYFUNCTION("""COMPUTED_VALUE"""),2888.18)</f>
        <v>2888.18</v>
      </c>
      <c r="M557" s="6" t="str">
        <f ca="1">IFERROR(__xludf.DUMMYFUNCTION("""COMPUTED_VALUE"""),"03 ORL")</f>
        <v>03 ORL</v>
      </c>
      <c r="N557" s="6" t="str">
        <f ca="1">IFERROR(__xludf.DUMMYFUNCTION("""COMPUTED_VALUE"""),"06 ORL")</f>
        <v>06 ORL</v>
      </c>
      <c r="O557" s="6" t="str">
        <f ca="1">IFERROR(__xludf.DUMMYFUNCTION("""COMPUTED_VALUE"""),"No recuerda ORL")</f>
        <v>No recuerda ORL</v>
      </c>
      <c r="P557" s="6" t="str">
        <f ca="1">IFERROR(__xludf.DUMMYFUNCTION("""COMPUTED_VALUE"""),"Maika Blázquez (Madrid)")</f>
        <v>Maika Blázquez (Madrid)</v>
      </c>
    </row>
    <row r="558" spans="2:16">
      <c r="B558" s="6">
        <f ca="1">IFERROR(__xludf.DUMMYFUNCTION("""COMPUTED_VALUE"""),2025)</f>
        <v>2025</v>
      </c>
      <c r="C558" s="6">
        <f ca="1">IFERROR(__xludf.DUMMYFUNCTION("""COMPUTED_VALUE"""),4)</f>
        <v>4</v>
      </c>
      <c r="D558" s="6" t="str">
        <f ca="1">IFERROR(__xludf.DUMMYFUNCTION("""COMPUTED_VALUE"""),"NO")</f>
        <v>NO</v>
      </c>
      <c r="E558" s="6" t="str">
        <f ca="1">IFERROR(__xludf.DUMMYFUNCTION("""COMPUTED_VALUE"""),"Leganés")</f>
        <v>Leganés</v>
      </c>
      <c r="F558" s="16">
        <f ca="1">IFERROR(__xludf.DUMMYFUNCTION("""COMPUTED_VALUE"""),45771)</f>
        <v>45771</v>
      </c>
      <c r="G558" s="16">
        <f ca="1">IFERROR(__xludf.DUMMYFUNCTION("""COMPUTED_VALUE"""),45741)</f>
        <v>45741</v>
      </c>
      <c r="H558" s="6" t="str">
        <f ca="1">IFERROR(__xludf.DUMMYFUNCTION("""COMPUTED_VALUE"""),"Leganés")</f>
        <v>Leganés</v>
      </c>
      <c r="I558" s="6" t="str">
        <f ca="1">IFERROR(__xludf.DUMMYFUNCTION("""COMPUTED_VALUE"""),"C202532695742387")</f>
        <v>C202532695742387</v>
      </c>
      <c r="J558" s="6" t="str">
        <f ca="1">IFERROR(__xludf.DUMMYFUNCTION("""COMPUTED_VALUE"""),"EUSEBIO ROSAS GONZALEZ")</f>
        <v>EUSEBIO ROSAS GONZALEZ</v>
      </c>
      <c r="K558" s="6">
        <f ca="1">IFERROR(__xludf.DUMMYFUNCTION("""COMPUTED_VALUE"""),2)</f>
        <v>2</v>
      </c>
      <c r="L558" s="139">
        <f ca="1">IFERROR(__xludf.DUMMYFUNCTION("""COMPUTED_VALUE"""),2722.73)</f>
        <v>2722.73</v>
      </c>
      <c r="M558" s="6" t="str">
        <f ca="1">IFERROR(__xludf.DUMMYFUNCTION("""COMPUTED_VALUE"""),"03 ORL")</f>
        <v>03 ORL</v>
      </c>
      <c r="N558" s="6" t="str">
        <f ca="1">IFERROR(__xludf.DUMMYFUNCTION("""COMPUTED_VALUE"""),"06 ORL")</f>
        <v>06 ORL</v>
      </c>
      <c r="O558" s="6" t="str">
        <f ca="1">IFERROR(__xludf.DUMMYFUNCTION("""COMPUTED_VALUE"""),"No recuerda ORL")</f>
        <v>No recuerda ORL</v>
      </c>
      <c r="P558" s="6" t="str">
        <f ca="1">IFERROR(__xludf.DUMMYFUNCTION("""COMPUTED_VALUE"""),"Maika Blázquez (Madrid)")</f>
        <v>Maika Blázquez (Madrid)</v>
      </c>
    </row>
    <row r="559" spans="2:16">
      <c r="B559" s="6">
        <f ca="1">IFERROR(__xludf.DUMMYFUNCTION("""COMPUTED_VALUE"""),2025)</f>
        <v>2025</v>
      </c>
      <c r="C559" s="6">
        <f ca="1">IFERROR(__xludf.DUMMYFUNCTION("""COMPUTED_VALUE"""),4)</f>
        <v>4</v>
      </c>
      <c r="D559" s="6" t="str">
        <f ca="1">IFERROR(__xludf.DUMMYFUNCTION("""COMPUTED_VALUE"""),"NO")</f>
        <v>NO</v>
      </c>
      <c r="E559" s="6" t="str">
        <f ca="1">IFERROR(__xludf.DUMMYFUNCTION("""COMPUTED_VALUE"""),"Madrid- La Oca")</f>
        <v>Madrid- La Oca</v>
      </c>
      <c r="F559" s="16">
        <f ca="1">IFERROR(__xludf.DUMMYFUNCTION("""COMPUTED_VALUE"""),45771)</f>
        <v>45771</v>
      </c>
      <c r="G559" s="16">
        <f ca="1">IFERROR(__xludf.DUMMYFUNCTION("""COMPUTED_VALUE"""),45747)</f>
        <v>45747</v>
      </c>
      <c r="H559" s="6" t="str">
        <f ca="1">IFERROR(__xludf.DUMMYFUNCTION("""COMPUTED_VALUE"""),"La Oca")</f>
        <v>La Oca</v>
      </c>
      <c r="I559" s="6" t="str">
        <f ca="1">IFERROR(__xludf.DUMMYFUNCTION("""COMPUTED_VALUE"""),"C202542112951685")</f>
        <v>C202542112951685</v>
      </c>
      <c r="J559" s="6" t="str">
        <f ca="1">IFERROR(__xludf.DUMMYFUNCTION("""COMPUTED_VALUE"""),"MARIA DOLORES CESPEDES RUBIO")</f>
        <v>MARIA DOLORES CESPEDES RUBIO</v>
      </c>
      <c r="K559" s="6">
        <f ca="1">IFERROR(__xludf.DUMMYFUNCTION("""COMPUTED_VALUE"""),1)</f>
        <v>1</v>
      </c>
      <c r="L559" s="139">
        <f ca="1">IFERROR(__xludf.DUMMYFUNCTION("""COMPUTED_VALUE"""),2226.36)</f>
        <v>2226.36</v>
      </c>
      <c r="M559" s="6" t="str">
        <f ca="1">IFERROR(__xludf.DUMMYFUNCTION("""COMPUTED_VALUE"""),"03 ORL")</f>
        <v>03 ORL</v>
      </c>
      <c r="N559" s="6" t="str">
        <f ca="1">IFERROR(__xludf.DUMMYFUNCTION("""COMPUTED_VALUE"""),"06 ORL")</f>
        <v>06 ORL</v>
      </c>
      <c r="O559" s="6" t="str">
        <f ca="1">IFERROR(__xludf.DUMMYFUNCTION("""COMPUTED_VALUE"""),"Dr, Javier Gavilanes Plasencia")</f>
        <v>Dr, Javier Gavilanes Plasencia</v>
      </c>
      <c r="P559" s="6" t="str">
        <f ca="1">IFERROR(__xludf.DUMMYFUNCTION("""COMPUTED_VALUE"""),"Maika Blázquez (Madrid)")</f>
        <v>Maika Blázquez (Madrid)</v>
      </c>
    </row>
    <row r="560" spans="2:16">
      <c r="B560" s="6">
        <f ca="1">IFERROR(__xludf.DUMMYFUNCTION("""COMPUTED_VALUE"""),2025)</f>
        <v>2025</v>
      </c>
      <c r="C560" s="6">
        <f ca="1">IFERROR(__xludf.DUMMYFUNCTION("""COMPUTED_VALUE"""),4)</f>
        <v>4</v>
      </c>
      <c r="D560" s="6" t="str">
        <f ca="1">IFERROR(__xludf.DUMMYFUNCTION("""COMPUTED_VALUE"""),"SI")</f>
        <v>SI</v>
      </c>
      <c r="E560" s="6" t="str">
        <f ca="1">IFERROR(__xludf.DUMMYFUNCTION("""COMPUTED_VALUE"""),"Murcia")</f>
        <v>Murcia</v>
      </c>
      <c r="F560" s="16">
        <f ca="1">IFERROR(__xludf.DUMMYFUNCTION("""COMPUTED_VALUE"""),45771)</f>
        <v>45771</v>
      </c>
      <c r="G560" s="16">
        <f ca="1">IFERROR(__xludf.DUMMYFUNCTION("""COMPUTED_VALUE"""),44120)</f>
        <v>44120</v>
      </c>
      <c r="H560" s="6" t="str">
        <f ca="1">IFERROR(__xludf.DUMMYFUNCTION("""COMPUTED_VALUE"""),"Murcia")</f>
        <v>Murcia</v>
      </c>
      <c r="I560" s="6" t="str">
        <f ca="1">IFERROR(__xludf.DUMMYFUNCTION("""COMPUTED_VALUE"""),"MUR-491")</f>
        <v>MUR-491</v>
      </c>
      <c r="J560" s="6" t="str">
        <f ca="1">IFERROR(__xludf.DUMMYFUNCTION("""COMPUTED_VALUE"""),"ENCARNACION GARCIA BALIBREA")</f>
        <v>ENCARNACION GARCIA BALIBREA</v>
      </c>
      <c r="K560" s="6">
        <f ca="1">IFERROR(__xludf.DUMMYFUNCTION("""COMPUTED_VALUE"""),2)</f>
        <v>2</v>
      </c>
      <c r="L560" s="139">
        <f ca="1">IFERROR(__xludf.DUMMYFUNCTION("""COMPUTED_VALUE"""),3304.95)</f>
        <v>3304.95</v>
      </c>
      <c r="M560" s="6" t="str">
        <f ca="1">IFERROR(__xludf.DUMMYFUNCTION("""COMPUTED_VALUE"""),"03 ORL")</f>
        <v>03 ORL</v>
      </c>
      <c r="N560" s="6" t="str">
        <f ca="1">IFERROR(__xludf.DUMMYFUNCTION("""COMPUTED_VALUE"""),"06 ORL")</f>
        <v>06 ORL</v>
      </c>
      <c r="O560" s="6" t="str">
        <f ca="1">IFERROR(__xludf.DUMMYFUNCTION("""COMPUTED_VALUE"""),"Dr, Jesús Miguel Iniesta Turpín")</f>
        <v>Dr, Jesús Miguel Iniesta Turpín</v>
      </c>
      <c r="P560" s="6" t="str">
        <f ca="1">IFERROR(__xludf.DUMMYFUNCTION("""COMPUTED_VALUE"""),"Iván Sánchez (Levante Y Albacete)")</f>
        <v>Iván Sánchez (Levante Y Albacete)</v>
      </c>
    </row>
    <row r="561" spans="2:16">
      <c r="B561" s="6">
        <f ca="1">IFERROR(__xludf.DUMMYFUNCTION("""COMPUTED_VALUE"""),2025)</f>
        <v>2025</v>
      </c>
      <c r="C561" s="6">
        <f ca="1">IFERROR(__xludf.DUMMYFUNCTION("""COMPUTED_VALUE"""),4)</f>
        <v>4</v>
      </c>
      <c r="D561" s="6" t="str">
        <f ca="1">IFERROR(__xludf.DUMMYFUNCTION("""COMPUTED_VALUE"""),"NO")</f>
        <v>NO</v>
      </c>
      <c r="E561" s="6" t="str">
        <f ca="1">IFERROR(__xludf.DUMMYFUNCTION("""COMPUTED_VALUE"""),"Torrejón de Ardoz")</f>
        <v>Torrejón de Ardoz</v>
      </c>
      <c r="F561" s="16">
        <f ca="1">IFERROR(__xludf.DUMMYFUNCTION("""COMPUTED_VALUE"""),45771)</f>
        <v>45771</v>
      </c>
      <c r="G561" s="16">
        <f ca="1">IFERROR(__xludf.DUMMYFUNCTION("""COMPUTED_VALUE"""),45734)</f>
        <v>45734</v>
      </c>
      <c r="H561" s="6" t="str">
        <f ca="1">IFERROR(__xludf.DUMMYFUNCTION("""COMPUTED_VALUE"""),"Torrejón")</f>
        <v>Torrejón</v>
      </c>
      <c r="I561" s="6" t="str">
        <f ca="1">IFERROR(__xludf.DUMMYFUNCTION("""COMPUTED_VALUE"""),"C2025320185344533")</f>
        <v>C2025320185344533</v>
      </c>
      <c r="J561" s="6" t="str">
        <f ca="1">IFERROR(__xludf.DUMMYFUNCTION("""COMPUTED_VALUE"""),"MARIA VICTORIA LOPEZ PIREZ")</f>
        <v>MARIA VICTORIA LOPEZ PIREZ</v>
      </c>
      <c r="K561" s="6">
        <f ca="1">IFERROR(__xludf.DUMMYFUNCTION("""COMPUTED_VALUE"""),2)</f>
        <v>2</v>
      </c>
      <c r="L561" s="139">
        <f ca="1">IFERROR(__xludf.DUMMYFUNCTION("""COMPUTED_VALUE"""),3710)</f>
        <v>3710</v>
      </c>
      <c r="M561" s="6" t="str">
        <f ca="1">IFERROR(__xludf.DUMMYFUNCTION("""COMPUTED_VALUE"""),"03 ORL")</f>
        <v>03 ORL</v>
      </c>
      <c r="N561" s="6" t="str">
        <f ca="1">IFERROR(__xludf.DUMMYFUNCTION("""COMPUTED_VALUE"""),"06 ORL")</f>
        <v>06 ORL</v>
      </c>
      <c r="O561" s="6" t="str">
        <f ca="1">IFERROR(__xludf.DUMMYFUNCTION("""COMPUTED_VALUE"""),"Dra, María Garrote Garrote")</f>
        <v>Dra, María Garrote Garrote</v>
      </c>
      <c r="P561" s="6" t="str">
        <f ca="1">IFERROR(__xludf.DUMMYFUNCTION("""COMPUTED_VALUE"""),"Maika Blázquez (Madrid)")</f>
        <v>Maika Blázquez (Madrid)</v>
      </c>
    </row>
    <row r="562" spans="2:16">
      <c r="B562" s="6">
        <f ca="1">IFERROR(__xludf.DUMMYFUNCTION("""COMPUTED_VALUE"""),2025)</f>
        <v>2025</v>
      </c>
      <c r="C562" s="6">
        <f ca="1">IFERROR(__xludf.DUMMYFUNCTION("""COMPUTED_VALUE"""),4)</f>
        <v>4</v>
      </c>
      <c r="D562" s="6" t="str">
        <f ca="1">IFERROR(__xludf.DUMMYFUNCTION("""COMPUTED_VALUE"""),"NO")</f>
        <v>NO</v>
      </c>
      <c r="E562" s="6" t="str">
        <f ca="1">IFERROR(__xludf.DUMMYFUNCTION("""COMPUTED_VALUE"""),"Alicante")</f>
        <v>Alicante</v>
      </c>
      <c r="F562" s="16">
        <f ca="1">IFERROR(__xludf.DUMMYFUNCTION("""COMPUTED_VALUE"""),45772)</f>
        <v>45772</v>
      </c>
      <c r="G562" s="16">
        <f ca="1">IFERROR(__xludf.DUMMYFUNCTION("""COMPUTED_VALUE"""),45726)</f>
        <v>45726</v>
      </c>
      <c r="H562" s="6" t="str">
        <f ca="1">IFERROR(__xludf.DUMMYFUNCTION("""COMPUTED_VALUE"""),"Alicante")</f>
        <v>Alicante</v>
      </c>
      <c r="I562" s="6" t="str">
        <f ca="1">IFERROR(__xludf.DUMMYFUNCTION("""COMPUTED_VALUE"""),"C202532811343568")</f>
        <v>C202532811343568</v>
      </c>
      <c r="J562" s="6" t="str">
        <f ca="1">IFERROR(__xludf.DUMMYFUNCTION("""COMPUTED_VALUE"""),"MARIA TERESA MARTI MARTI")</f>
        <v>MARIA TERESA MARTI MARTI</v>
      </c>
      <c r="K562" s="6">
        <f ca="1">IFERROR(__xludf.DUMMYFUNCTION("""COMPUTED_VALUE"""),1)</f>
        <v>1</v>
      </c>
      <c r="L562" s="139">
        <f ca="1">IFERROR(__xludf.DUMMYFUNCTION("""COMPUTED_VALUE"""),2640)</f>
        <v>2640</v>
      </c>
      <c r="M562" s="6" t="str">
        <f ca="1">IFERROR(__xludf.DUMMYFUNCTION("""COMPUTED_VALUE"""),"03 ORL")</f>
        <v>03 ORL</v>
      </c>
      <c r="N562" s="6" t="str">
        <f ca="1">IFERROR(__xludf.DUMMYFUNCTION("""COMPUTED_VALUE"""),"06 ORL")</f>
        <v>06 ORL</v>
      </c>
      <c r="O562" s="6" t="str">
        <f ca="1">IFERROR(__xludf.DUMMYFUNCTION("""COMPUTED_VALUE"""),"Dr, Francisco Pastor Beviá")</f>
        <v>Dr, Francisco Pastor Beviá</v>
      </c>
      <c r="P562" s="6" t="str">
        <f ca="1">IFERROR(__xludf.DUMMYFUNCTION("""COMPUTED_VALUE"""),"Iván Sánchez (Levante Y Albacete)")</f>
        <v>Iván Sánchez (Levante Y Albacete)</v>
      </c>
    </row>
    <row r="563" spans="2:16">
      <c r="B563" s="6">
        <f ca="1">IFERROR(__xludf.DUMMYFUNCTION("""COMPUTED_VALUE"""),2025)</f>
        <v>2025</v>
      </c>
      <c r="C563" s="6">
        <f ca="1">IFERROR(__xludf.DUMMYFUNCTION("""COMPUTED_VALUE"""),4)</f>
        <v>4</v>
      </c>
      <c r="D563" s="6" t="str">
        <f ca="1">IFERROR(__xludf.DUMMYFUNCTION("""COMPUTED_VALUE"""),"NO")</f>
        <v>NO</v>
      </c>
      <c r="E563" s="6" t="str">
        <f ca="1">IFERROR(__xludf.DUMMYFUNCTION("""COMPUTED_VALUE"""),"Getafe")</f>
        <v>Getafe</v>
      </c>
      <c r="F563" s="16">
        <f ca="1">IFERROR(__xludf.DUMMYFUNCTION("""COMPUTED_VALUE"""),45772)</f>
        <v>45772</v>
      </c>
      <c r="G563" s="16">
        <f ca="1">IFERROR(__xludf.DUMMYFUNCTION("""COMPUTED_VALUE"""),45744)</f>
        <v>45744</v>
      </c>
      <c r="H563" s="6" t="str">
        <f ca="1">IFERROR(__xludf.DUMMYFUNCTION("""COMPUTED_VALUE"""),"Getafe")</f>
        <v>Getafe</v>
      </c>
      <c r="I563" s="6" t="str">
        <f ca="1">IFERROR(__xludf.DUMMYFUNCTION("""COMPUTED_VALUE"""),"C202533193254143")</f>
        <v>C202533193254143</v>
      </c>
      <c r="J563" s="6" t="str">
        <f ca="1">IFERROR(__xludf.DUMMYFUNCTION("""COMPUTED_VALUE"""),"MARIA MARCO PEINADO")</f>
        <v>MARIA MARCO PEINADO</v>
      </c>
      <c r="K563" s="6">
        <f ca="1">IFERROR(__xludf.DUMMYFUNCTION("""COMPUTED_VALUE"""),2)</f>
        <v>2</v>
      </c>
      <c r="L563" s="139">
        <f ca="1">IFERROR(__xludf.DUMMYFUNCTION("""COMPUTED_VALUE"""),4400)</f>
        <v>4400</v>
      </c>
      <c r="M563" s="6" t="str">
        <f ca="1">IFERROR(__xludf.DUMMYFUNCTION("""COMPUTED_VALUE"""),"03 ORL")</f>
        <v>03 ORL</v>
      </c>
      <c r="N563" s="6" t="str">
        <f ca="1">IFERROR(__xludf.DUMMYFUNCTION("""COMPUTED_VALUE"""),"06 ORL")</f>
        <v>06 ORL</v>
      </c>
      <c r="O563" s="6" t="str">
        <f ca="1">IFERROR(__xludf.DUMMYFUNCTION("""COMPUTED_VALUE"""),"Dr, Juan Ignacio Riestra Ayora")</f>
        <v>Dr, Juan Ignacio Riestra Ayora</v>
      </c>
      <c r="P563" s="6" t="str">
        <f ca="1">IFERROR(__xludf.DUMMYFUNCTION("""COMPUTED_VALUE"""),"Maika Blázquez (Madrid)")</f>
        <v>Maika Blázquez (Madrid)</v>
      </c>
    </row>
    <row r="564" spans="2:16">
      <c r="B564" s="6">
        <f ca="1">IFERROR(__xludf.DUMMYFUNCTION("""COMPUTED_VALUE"""),2025)</f>
        <v>2025</v>
      </c>
      <c r="C564" s="6">
        <f ca="1">IFERROR(__xludf.DUMMYFUNCTION("""COMPUTED_VALUE"""),4)</f>
        <v>4</v>
      </c>
      <c r="D564" s="6" t="str">
        <f ca="1">IFERROR(__xludf.DUMMYFUNCTION("""COMPUTED_VALUE"""),"NO")</f>
        <v>NO</v>
      </c>
      <c r="E564" s="6" t="str">
        <f ca="1">IFERROR(__xludf.DUMMYFUNCTION("""COMPUTED_VALUE"""),"Madrid- Galileo")</f>
        <v>Madrid- Galileo</v>
      </c>
      <c r="F564" s="16">
        <f ca="1">IFERROR(__xludf.DUMMYFUNCTION("""COMPUTED_VALUE"""),45772)</f>
        <v>45772</v>
      </c>
      <c r="G564" s="16">
        <f ca="1">IFERROR(__xludf.DUMMYFUNCTION("""COMPUTED_VALUE"""),45743)</f>
        <v>45743</v>
      </c>
      <c r="H564" s="6" t="str">
        <f ca="1">IFERROR(__xludf.DUMMYFUNCTION("""COMPUTED_VALUE"""),"Moncloa")</f>
        <v>Moncloa</v>
      </c>
      <c r="I564" s="6" t="str">
        <f ca="1">IFERROR(__xludf.DUMMYFUNCTION("""COMPUTED_VALUE"""),"C202541182722744")</f>
        <v>C202541182722744</v>
      </c>
      <c r="J564" s="6" t="str">
        <f ca="1">IFERROR(__xludf.DUMMYFUNCTION("""COMPUTED_VALUE"""),"VENANCIA GONZALEZ RODRIGUEZ")</f>
        <v>VENANCIA GONZALEZ RODRIGUEZ</v>
      </c>
      <c r="K564" s="6">
        <f ca="1">IFERROR(__xludf.DUMMYFUNCTION("""COMPUTED_VALUE"""),2)</f>
        <v>2</v>
      </c>
      <c r="L564" s="139">
        <f ca="1">IFERROR(__xludf.DUMMYFUNCTION("""COMPUTED_VALUE"""),4000)</f>
        <v>4000</v>
      </c>
      <c r="M564" s="6" t="str">
        <f ca="1">IFERROR(__xludf.DUMMYFUNCTION("""COMPUTED_VALUE"""),"03 ORL")</f>
        <v>03 ORL</v>
      </c>
      <c r="N564" s="6" t="str">
        <f ca="1">IFERROR(__xludf.DUMMYFUNCTION("""COMPUTED_VALUE"""),"06 ORL")</f>
        <v>06 ORL</v>
      </c>
      <c r="O564" s="6" t="str">
        <f ca="1">IFERROR(__xludf.DUMMYFUNCTION("""COMPUTED_VALUE"""),"Dr, Alejandro Harguindey Antoli-Candela")</f>
        <v>Dr, Alejandro Harguindey Antoli-Candela</v>
      </c>
      <c r="P564" s="6" t="str">
        <f ca="1">IFERROR(__xludf.DUMMYFUNCTION("""COMPUTED_VALUE"""),"Maika Blázquez (Madrid)")</f>
        <v>Maika Blázquez (Madrid)</v>
      </c>
    </row>
    <row r="565" spans="2:16">
      <c r="B565" s="6">
        <f ca="1">IFERROR(__xludf.DUMMYFUNCTION("""COMPUTED_VALUE"""),2025)</f>
        <v>2025</v>
      </c>
      <c r="C565" s="6">
        <f ca="1">IFERROR(__xludf.DUMMYFUNCTION("""COMPUTED_VALUE"""),4)</f>
        <v>4</v>
      </c>
      <c r="D565" s="6" t="str">
        <f ca="1">IFERROR(__xludf.DUMMYFUNCTION("""COMPUTED_VALUE"""),"NO")</f>
        <v>NO</v>
      </c>
      <c r="E565" s="6" t="str">
        <f ca="1">IFERROR(__xludf.DUMMYFUNCTION("""COMPUTED_VALUE"""),"Murcia")</f>
        <v>Murcia</v>
      </c>
      <c r="F565" s="16">
        <f ca="1">IFERROR(__xludf.DUMMYFUNCTION("""COMPUTED_VALUE"""),45772)</f>
        <v>45772</v>
      </c>
      <c r="G565" s="16">
        <f ca="1">IFERROR(__xludf.DUMMYFUNCTION("""COMPUTED_VALUE"""),45741)</f>
        <v>45741</v>
      </c>
      <c r="H565" s="6" t="str">
        <f ca="1">IFERROR(__xludf.DUMMYFUNCTION("""COMPUTED_VALUE"""),"Murcia")</f>
        <v>Murcia</v>
      </c>
      <c r="I565" s="6" t="str">
        <f ca="1">IFERROR(__xludf.DUMMYFUNCTION("""COMPUTED_VALUE"""),"C202541173241430")</f>
        <v>C202541173241430</v>
      </c>
      <c r="J565" s="6" t="str">
        <f ca="1">IFERROR(__xludf.DUMMYFUNCTION("""COMPUTED_VALUE"""),"MARIA JOSEFA DEL POZO GIBAJA")</f>
        <v>MARIA JOSEFA DEL POZO GIBAJA</v>
      </c>
      <c r="K565" s="6">
        <f ca="1">IFERROR(__xludf.DUMMYFUNCTION("""COMPUTED_VALUE"""),2)</f>
        <v>2</v>
      </c>
      <c r="L565" s="139">
        <f ca="1">IFERROR(__xludf.DUMMYFUNCTION("""COMPUTED_VALUE"""),4000)</f>
        <v>4000</v>
      </c>
      <c r="M565" s="6" t="str">
        <f ca="1">IFERROR(__xludf.DUMMYFUNCTION("""COMPUTED_VALUE"""),"03 ORL")</f>
        <v>03 ORL</v>
      </c>
      <c r="N565" s="6" t="str">
        <f ca="1">IFERROR(__xludf.DUMMYFUNCTION("""COMPUTED_VALUE"""),"06 ORL")</f>
        <v>06 ORL</v>
      </c>
      <c r="O565" s="6" t="str">
        <f ca="1">IFERROR(__xludf.DUMMYFUNCTION("""COMPUTED_VALUE"""),"Dra, Nuria Salas Barrio")</f>
        <v>Dra, Nuria Salas Barrio</v>
      </c>
      <c r="P565" s="6" t="str">
        <f ca="1">IFERROR(__xludf.DUMMYFUNCTION("""COMPUTED_VALUE"""),"Iván Sánchez (Levante Y Albacete)")</f>
        <v>Iván Sánchez (Levante Y Albacete)</v>
      </c>
    </row>
    <row r="566" spans="2:16">
      <c r="B566" s="6">
        <f ca="1">IFERROR(__xludf.DUMMYFUNCTION("""COMPUTED_VALUE"""),2025)</f>
        <v>2025</v>
      </c>
      <c r="C566" s="6">
        <f ca="1">IFERROR(__xludf.DUMMYFUNCTION("""COMPUTED_VALUE"""),4)</f>
        <v>4</v>
      </c>
      <c r="D566" s="6" t="str">
        <f ca="1">IFERROR(__xludf.DUMMYFUNCTION("""COMPUTED_VALUE"""),"NO")</f>
        <v>NO</v>
      </c>
      <c r="E566" s="6" t="str">
        <f ca="1">IFERROR(__xludf.DUMMYFUNCTION("""COMPUTED_VALUE"""),"Ourense")</f>
        <v>Ourense</v>
      </c>
      <c r="F566" s="16">
        <f ca="1">IFERROR(__xludf.DUMMYFUNCTION("""COMPUTED_VALUE"""),45772)</f>
        <v>45772</v>
      </c>
      <c r="G566" s="16">
        <f ca="1">IFERROR(__xludf.DUMMYFUNCTION("""COMPUTED_VALUE"""),45740)</f>
        <v>45740</v>
      </c>
      <c r="H566" s="6" t="str">
        <f ca="1">IFERROR(__xludf.DUMMYFUNCTION("""COMPUTED_VALUE"""),"Orense")</f>
        <v>Orense</v>
      </c>
      <c r="I566" s="6" t="str">
        <f ca="1">IFERROR(__xludf.DUMMYFUNCTION("""COMPUTED_VALUE"""),"C2025325103040346")</f>
        <v>C2025325103040346</v>
      </c>
      <c r="J566" s="6" t="str">
        <f ca="1">IFERROR(__xludf.DUMMYFUNCTION("""COMPUTED_VALUE"""),"JOSE BENITO BLANCO RAMOS")</f>
        <v>JOSE BENITO BLANCO RAMOS</v>
      </c>
      <c r="K566" s="6">
        <f ca="1">IFERROR(__xludf.DUMMYFUNCTION("""COMPUTED_VALUE"""),2)</f>
        <v>2</v>
      </c>
      <c r="L566" s="139">
        <f ca="1">IFERROR(__xludf.DUMMYFUNCTION("""COMPUTED_VALUE"""),2888.18)</f>
        <v>2888.18</v>
      </c>
      <c r="M566" s="6" t="str">
        <f ca="1">IFERROR(__xludf.DUMMYFUNCTION("""COMPUTED_VALUE"""),"03 ORL")</f>
        <v>03 ORL</v>
      </c>
      <c r="N566" s="6" t="str">
        <f ca="1">IFERROR(__xludf.DUMMYFUNCTION("""COMPUTED_VALUE"""),"06 ORL")</f>
        <v>06 ORL</v>
      </c>
      <c r="O566" s="6" t="str">
        <f ca="1">IFERROR(__xludf.DUMMYFUNCTION("""COMPUTED_VALUE"""),"Dra, María Rey Marcos")</f>
        <v>Dra, María Rey Marcos</v>
      </c>
      <c r="P566" s="6" t="str">
        <f ca="1">IFERROR(__xludf.DUMMYFUNCTION("""COMPUTED_VALUE"""),"Roberto Pereira (Galicia)")</f>
        <v>Roberto Pereira (Galicia)</v>
      </c>
    </row>
    <row r="567" spans="2:16">
      <c r="B567" s="6">
        <f ca="1">IFERROR(__xludf.DUMMYFUNCTION("""COMPUTED_VALUE"""),2025)</f>
        <v>2025</v>
      </c>
      <c r="C567" s="6">
        <f ca="1">IFERROR(__xludf.DUMMYFUNCTION("""COMPUTED_VALUE"""),4)</f>
        <v>4</v>
      </c>
      <c r="D567" s="6" t="str">
        <f ca="1">IFERROR(__xludf.DUMMYFUNCTION("""COMPUTED_VALUE"""),"NO")</f>
        <v>NO</v>
      </c>
      <c r="E567" s="6" t="str">
        <f ca="1">IFERROR(__xludf.DUMMYFUNCTION("""COMPUTED_VALUE"""),"San Javier")</f>
        <v>San Javier</v>
      </c>
      <c r="F567" s="16">
        <f ca="1">IFERROR(__xludf.DUMMYFUNCTION("""COMPUTED_VALUE"""),45772)</f>
        <v>45772</v>
      </c>
      <c r="G567" s="16">
        <f ca="1">IFERROR(__xludf.DUMMYFUNCTION("""COMPUTED_VALUE"""),45727)</f>
        <v>45727</v>
      </c>
      <c r="H567" s="6" t="str">
        <f ca="1">IFERROR(__xludf.DUMMYFUNCTION("""COMPUTED_VALUE"""),"San Javier")</f>
        <v>San Javier</v>
      </c>
      <c r="I567" s="6" t="str">
        <f ca="1">IFERROR(__xludf.DUMMYFUNCTION("""COMPUTED_VALUE"""),"C2025326164016894")</f>
        <v>C2025326164016894</v>
      </c>
      <c r="J567" s="6" t="str">
        <f ca="1">IFERROR(__xludf.DUMMYFUNCTION("""COMPUTED_VALUE"""),"VERONICA GOMEZ SANCHEZ")</f>
        <v>VERONICA GOMEZ SANCHEZ</v>
      </c>
      <c r="K567" s="6">
        <f ca="1">IFERROR(__xludf.DUMMYFUNCTION("""COMPUTED_VALUE"""),2)</f>
        <v>2</v>
      </c>
      <c r="L567" s="139">
        <f ca="1">IFERROR(__xludf.DUMMYFUNCTION("""COMPUTED_VALUE"""),3710)</f>
        <v>3710</v>
      </c>
      <c r="M567" s="6" t="str">
        <f ca="1">IFERROR(__xludf.DUMMYFUNCTION("""COMPUTED_VALUE"""),"03 ORL")</f>
        <v>03 ORL</v>
      </c>
      <c r="N567" s="6" t="str">
        <f ca="1">IFERROR(__xludf.DUMMYFUNCTION("""COMPUTED_VALUE"""),"06 ORL")</f>
        <v>06 ORL</v>
      </c>
      <c r="O567" s="6" t="str">
        <f ca="1">IFERROR(__xludf.DUMMYFUNCTION("""COMPUTED_VALUE"""),"Dra, Ana Giribet Fernández-Pacheco")</f>
        <v>Dra, Ana Giribet Fernández-Pacheco</v>
      </c>
      <c r="P567" s="6" t="str">
        <f ca="1">IFERROR(__xludf.DUMMYFUNCTION("""COMPUTED_VALUE"""),"Iván Sánchez (Levante Y Albacete)")</f>
        <v>Iván Sánchez (Levante Y Albacete)</v>
      </c>
    </row>
    <row r="568" spans="2:16">
      <c r="B568" s="6">
        <f ca="1">IFERROR(__xludf.DUMMYFUNCTION("""COMPUTED_VALUE"""),2025)</f>
        <v>2025</v>
      </c>
      <c r="C568" s="6">
        <f ca="1">IFERROR(__xludf.DUMMYFUNCTION("""COMPUTED_VALUE"""),4)</f>
        <v>4</v>
      </c>
      <c r="D568" s="6" t="str">
        <f ca="1">IFERROR(__xludf.DUMMYFUNCTION("""COMPUTED_VALUE"""),"NO")</f>
        <v>NO</v>
      </c>
      <c r="E568" s="6" t="str">
        <f ca="1">IFERROR(__xludf.DUMMYFUNCTION("""COMPUTED_VALUE"""),"Cáceres")</f>
        <v>Cáceres</v>
      </c>
      <c r="F568" s="16">
        <f ca="1">IFERROR(__xludf.DUMMYFUNCTION("""COMPUTED_VALUE"""),45772)</f>
        <v>45772</v>
      </c>
      <c r="G568" s="16">
        <f ca="1">IFERROR(__xludf.DUMMYFUNCTION("""COMPUTED_VALUE"""),45719)</f>
        <v>45719</v>
      </c>
      <c r="H568" s="6" t="str">
        <f ca="1">IFERROR(__xludf.DUMMYFUNCTION("""COMPUTED_VALUE"""),"Cáceres")</f>
        <v>Cáceres</v>
      </c>
      <c r="I568" s="6" t="str">
        <f ca="1">IFERROR(__xludf.DUMMYFUNCTION("""COMPUTED_VALUE"""),"CAC-245")</f>
        <v>CAC-245</v>
      </c>
      <c r="J568" s="6" t="str">
        <f ca="1">IFERROR(__xludf.DUMMYFUNCTION("""COMPUTED_VALUE"""),"MONTAÑA MENDOZA IGLESIAS")</f>
        <v>MONTAÑA MENDOZA IGLESIAS</v>
      </c>
      <c r="K568" s="6">
        <f ca="1">IFERROR(__xludf.DUMMYFUNCTION("""COMPUTED_VALUE"""),2)</f>
        <v>2</v>
      </c>
      <c r="L568" s="139">
        <f ca="1">IFERROR(__xludf.DUMMYFUNCTION("""COMPUTED_VALUE"""),4090.91)</f>
        <v>4090.91</v>
      </c>
      <c r="M568" s="6" t="str">
        <f ca="1">IFERROR(__xludf.DUMMYFUNCTION("""COMPUTED_VALUE"""),"03 ORL")</f>
        <v>03 ORL</v>
      </c>
      <c r="N568" s="6" t="str">
        <f ca="1">IFERROR(__xludf.DUMMYFUNCTION("""COMPUTED_VALUE"""),"06 ORL")</f>
        <v>06 ORL</v>
      </c>
      <c r="O568" s="6" t="str">
        <f ca="1">IFERROR(__xludf.DUMMYFUNCTION("""COMPUTED_VALUE"""),"Dr, Javier García Gómez")</f>
        <v>Dr, Javier García Gómez</v>
      </c>
      <c r="P568" s="6" t="str">
        <f ca="1">IFERROR(__xludf.DUMMYFUNCTION("""COMPUTED_VALUE"""),"Lisandro Russian (Madrid, Cáceres, Toledo, Talavera Y Logroño)")</f>
        <v>Lisandro Russian (Madrid, Cáceres, Toledo, Talavera Y Logroño)</v>
      </c>
    </row>
    <row r="569" spans="2:16">
      <c r="B569" s="6">
        <f ca="1">IFERROR(__xludf.DUMMYFUNCTION("""COMPUTED_VALUE"""),2025)</f>
        <v>2025</v>
      </c>
      <c r="C569" s="6">
        <f ca="1">IFERROR(__xludf.DUMMYFUNCTION("""COMPUTED_VALUE"""),4)</f>
        <v>4</v>
      </c>
      <c r="D569" s="6" t="str">
        <f ca="1">IFERROR(__xludf.DUMMYFUNCTION("""COMPUTED_VALUE"""),"NO")</f>
        <v>NO</v>
      </c>
      <c r="E569" s="6" t="str">
        <f ca="1">IFERROR(__xludf.DUMMYFUNCTION("""COMPUTED_VALUE"""),"Cáceres")</f>
        <v>Cáceres</v>
      </c>
      <c r="F569" s="16">
        <f ca="1">IFERROR(__xludf.DUMMYFUNCTION("""COMPUTED_VALUE"""),45772)</f>
        <v>45772</v>
      </c>
      <c r="G569" s="16">
        <f ca="1">IFERROR(__xludf.DUMMYFUNCTION("""COMPUTED_VALUE"""),45740)</f>
        <v>45740</v>
      </c>
      <c r="H569" s="6" t="str">
        <f ca="1">IFERROR(__xludf.DUMMYFUNCTION("""COMPUTED_VALUE"""),"Cáceres")</f>
        <v>Cáceres</v>
      </c>
      <c r="I569" s="6" t="str">
        <f ca="1">IFERROR(__xludf.DUMMYFUNCTION("""COMPUTED_VALUE"""),"CAC-255")</f>
        <v>CAC-255</v>
      </c>
      <c r="J569" s="6" t="str">
        <f ca="1">IFERROR(__xludf.DUMMYFUNCTION("""COMPUTED_VALUE"""),"PLACIDA DURAN GARCIA")</f>
        <v>PLACIDA DURAN GARCIA</v>
      </c>
      <c r="K569" s="6">
        <f ca="1">IFERROR(__xludf.DUMMYFUNCTION("""COMPUTED_VALUE"""),2)</f>
        <v>2</v>
      </c>
      <c r="L569" s="139">
        <f ca="1">IFERROR(__xludf.DUMMYFUNCTION("""COMPUTED_VALUE"""),3863.64)</f>
        <v>3863.64</v>
      </c>
      <c r="M569" s="6" t="str">
        <f ca="1">IFERROR(__xludf.DUMMYFUNCTION("""COMPUTED_VALUE"""),"03 ORL")</f>
        <v>03 ORL</v>
      </c>
      <c r="N569" s="6" t="str">
        <f ca="1">IFERROR(__xludf.DUMMYFUNCTION("""COMPUTED_VALUE"""),"06 ORL")</f>
        <v>06 ORL</v>
      </c>
      <c r="O569" s="6" t="str">
        <f ca="1">IFERROR(__xludf.DUMMYFUNCTION("""COMPUTED_VALUE"""),"Dr, Alejandro Harguindey Antoli-Candela")</f>
        <v>Dr, Alejandro Harguindey Antoli-Candela</v>
      </c>
      <c r="P569" s="6" t="str">
        <f ca="1">IFERROR(__xludf.DUMMYFUNCTION("""COMPUTED_VALUE"""),"Maika Blázquez (Madrid)")</f>
        <v>Maika Blázquez (Madrid)</v>
      </c>
    </row>
    <row r="570" spans="2:16">
      <c r="B570" s="6">
        <f ca="1">IFERROR(__xludf.DUMMYFUNCTION("""COMPUTED_VALUE"""),2025)</f>
        <v>2025</v>
      </c>
      <c r="C570" s="6">
        <f ca="1">IFERROR(__xludf.DUMMYFUNCTION("""COMPUTED_VALUE"""),4)</f>
        <v>4</v>
      </c>
      <c r="D570" s="6" t="str">
        <f ca="1">IFERROR(__xludf.DUMMYFUNCTION("""COMPUTED_VALUE"""),"NO")</f>
        <v>NO</v>
      </c>
      <c r="E570" s="6" t="str">
        <f ca="1">IFERROR(__xludf.DUMMYFUNCTION("""COMPUTED_VALUE"""),"Sevilla- Ciencias")</f>
        <v>Sevilla- Ciencias</v>
      </c>
      <c r="F570" s="16">
        <f ca="1">IFERROR(__xludf.DUMMYFUNCTION("""COMPUTED_VALUE"""),45772)</f>
        <v>45772</v>
      </c>
      <c r="G570" s="16">
        <f ca="1">IFERROR(__xludf.DUMMYFUNCTION("""COMPUTED_VALUE"""),45736)</f>
        <v>45736</v>
      </c>
      <c r="H570" s="6" t="str">
        <f ca="1">IFERROR(__xludf.DUMMYFUNCTION("""COMPUTED_VALUE"""),"Sevilla Este")</f>
        <v>Sevilla Este</v>
      </c>
      <c r="I570" s="6" t="str">
        <f ca="1">IFERROR(__xludf.DUMMYFUNCTION("""COMPUTED_VALUE"""),"SEVE-386")</f>
        <v>SEVE-386</v>
      </c>
      <c r="J570" s="6" t="str">
        <f ca="1">IFERROR(__xludf.DUMMYFUNCTION("""COMPUTED_VALUE"""),"PEDRO SAAVEDRA RODRIGUEZ")</f>
        <v>PEDRO SAAVEDRA RODRIGUEZ</v>
      </c>
      <c r="K570" s="6">
        <f ca="1">IFERROR(__xludf.DUMMYFUNCTION("""COMPUTED_VALUE"""),2)</f>
        <v>2</v>
      </c>
      <c r="L570" s="139">
        <f ca="1">IFERROR(__xludf.DUMMYFUNCTION("""COMPUTED_VALUE"""),3358.18)</f>
        <v>3358.18</v>
      </c>
      <c r="M570" s="6" t="str">
        <f ca="1">IFERROR(__xludf.DUMMYFUNCTION("""COMPUTED_VALUE"""),"03 ORL")</f>
        <v>03 ORL</v>
      </c>
      <c r="N570" s="6" t="str">
        <f ca="1">IFERROR(__xludf.DUMMYFUNCTION("""COMPUTED_VALUE"""),"06 ORL")</f>
        <v>06 ORL</v>
      </c>
      <c r="O570" s="6" t="str">
        <f ca="1">IFERROR(__xludf.DUMMYFUNCTION("""COMPUTED_VALUE"""),"Dra, Estefanía Berrocal Postigo")</f>
        <v>Dra, Estefanía Berrocal Postigo</v>
      </c>
      <c r="P570" s="6" t="str">
        <f ca="1">IFERROR(__xludf.DUMMYFUNCTION("""COMPUTED_VALUE"""),"Luis Alberto Rodríguez (Andalucía Y Badajoz)")</f>
        <v>Luis Alberto Rodríguez (Andalucía Y Badajoz)</v>
      </c>
    </row>
    <row r="571" spans="2:16">
      <c r="B571" s="6">
        <f ca="1">IFERROR(__xludf.DUMMYFUNCTION("""COMPUTED_VALUE"""),2025)</f>
        <v>2025</v>
      </c>
      <c r="C571" s="6">
        <f ca="1">IFERROR(__xludf.DUMMYFUNCTION("""COMPUTED_VALUE"""),4)</f>
        <v>4</v>
      </c>
      <c r="D571" s="6" t="str">
        <f ca="1">IFERROR(__xludf.DUMMYFUNCTION("""COMPUTED_VALUE"""),"NO")</f>
        <v>NO</v>
      </c>
      <c r="E571" s="6" t="str">
        <f ca="1">IFERROR(__xludf.DUMMYFUNCTION("""COMPUTED_VALUE"""),"Alicante")</f>
        <v>Alicante</v>
      </c>
      <c r="F571" s="16">
        <f ca="1">IFERROR(__xludf.DUMMYFUNCTION("""COMPUTED_VALUE"""),45775)</f>
        <v>45775</v>
      </c>
      <c r="G571" s="16">
        <f ca="1">IFERROR(__xludf.DUMMYFUNCTION("""COMPUTED_VALUE"""),45729)</f>
        <v>45729</v>
      </c>
      <c r="H571" s="6" t="str">
        <f ca="1">IFERROR(__xludf.DUMMYFUNCTION("""COMPUTED_VALUE"""),"Alicante")</f>
        <v>Alicante</v>
      </c>
      <c r="I571" s="6" t="str">
        <f ca="1">IFERROR(__xludf.DUMMYFUNCTION("""COMPUTED_VALUE"""),"C2025326163318613")</f>
        <v>C2025326163318613</v>
      </c>
      <c r="J571" s="6" t="str">
        <f ca="1">IFERROR(__xludf.DUMMYFUNCTION("""COMPUTED_VALUE"""),"MARIA DEL PILAR MORALES BUENO")</f>
        <v>MARIA DEL PILAR MORALES BUENO</v>
      </c>
      <c r="K571" s="6">
        <f ca="1">IFERROR(__xludf.DUMMYFUNCTION("""COMPUTED_VALUE"""),2)</f>
        <v>2</v>
      </c>
      <c r="L571" s="139">
        <f ca="1">IFERROR(__xludf.DUMMYFUNCTION("""COMPUTED_VALUE"""),2888.18)</f>
        <v>2888.18</v>
      </c>
      <c r="M571" s="6" t="str">
        <f ca="1">IFERROR(__xludf.DUMMYFUNCTION("""COMPUTED_VALUE"""),"03 ORL")</f>
        <v>03 ORL</v>
      </c>
      <c r="N571" s="6" t="str">
        <f ca="1">IFERROR(__xludf.DUMMYFUNCTION("""COMPUTED_VALUE"""),"06 ORL")</f>
        <v>06 ORL</v>
      </c>
      <c r="O571" s="6" t="str">
        <f ca="1">IFERROR(__xludf.DUMMYFUNCTION("""COMPUTED_VALUE"""),"Dr, Francisco Pastor Beviá")</f>
        <v>Dr, Francisco Pastor Beviá</v>
      </c>
      <c r="P571" s="6" t="str">
        <f ca="1">IFERROR(__xludf.DUMMYFUNCTION("""COMPUTED_VALUE"""),"Iván Sánchez (Levante Y Albacete)")</f>
        <v>Iván Sánchez (Levante Y Albacete)</v>
      </c>
    </row>
    <row r="572" spans="2:16">
      <c r="B572" s="6">
        <f ca="1">IFERROR(__xludf.DUMMYFUNCTION("""COMPUTED_VALUE"""),2025)</f>
        <v>2025</v>
      </c>
      <c r="C572" s="6">
        <f ca="1">IFERROR(__xludf.DUMMYFUNCTION("""COMPUTED_VALUE"""),4)</f>
        <v>4</v>
      </c>
      <c r="D572" s="6" t="str">
        <f ca="1">IFERROR(__xludf.DUMMYFUNCTION("""COMPUTED_VALUE"""),"NO")</f>
        <v>NO</v>
      </c>
      <c r="E572" s="6" t="str">
        <f ca="1">IFERROR(__xludf.DUMMYFUNCTION("""COMPUTED_VALUE"""),"Madrid- Galileo")</f>
        <v>Madrid- Galileo</v>
      </c>
      <c r="F572" s="16">
        <f ca="1">IFERROR(__xludf.DUMMYFUNCTION("""COMPUTED_VALUE"""),45775)</f>
        <v>45775</v>
      </c>
      <c r="G572" s="16">
        <f ca="1">IFERROR(__xludf.DUMMYFUNCTION("""COMPUTED_VALUE"""),45744)</f>
        <v>45744</v>
      </c>
      <c r="H572" s="6" t="str">
        <f ca="1">IFERROR(__xludf.DUMMYFUNCTION("""COMPUTED_VALUE"""),"Moncloa")</f>
        <v>Moncloa</v>
      </c>
      <c r="I572" s="6" t="str">
        <f ca="1">IFERROR(__xludf.DUMMYFUNCTION("""COMPUTED_VALUE"""),"C202544115921187")</f>
        <v>C202544115921187</v>
      </c>
      <c r="J572" s="6" t="str">
        <f ca="1">IFERROR(__xludf.DUMMYFUNCTION("""COMPUTED_VALUE"""),"CARMEN GARCIA-CAMBA DE LA MUELA")</f>
        <v>CARMEN GARCIA-CAMBA DE LA MUELA</v>
      </c>
      <c r="K572" s="6">
        <f ca="1">IFERROR(__xludf.DUMMYFUNCTION("""COMPUTED_VALUE"""),1)</f>
        <v>1</v>
      </c>
      <c r="L572" s="139">
        <f ca="1">IFERROR(__xludf.DUMMYFUNCTION("""COMPUTED_VALUE"""),2400)</f>
        <v>2400</v>
      </c>
      <c r="M572" s="6" t="str">
        <f ca="1">IFERROR(__xludf.DUMMYFUNCTION("""COMPUTED_VALUE"""),"03 ORL")</f>
        <v>03 ORL</v>
      </c>
      <c r="N572" s="6" t="str">
        <f ca="1">IFERROR(__xludf.DUMMYFUNCTION("""COMPUTED_VALUE"""),"06 ORL")</f>
        <v>06 ORL</v>
      </c>
      <c r="O572" s="6" t="str">
        <f ca="1">IFERROR(__xludf.DUMMYFUNCTION("""COMPUTED_VALUE"""),"Dra, Ana María Sánchez-Prieto Fernández")</f>
        <v>Dra, Ana María Sánchez-Prieto Fernández</v>
      </c>
      <c r="P572" s="6" t="str">
        <f ca="1">IFERROR(__xludf.DUMMYFUNCTION("""COMPUTED_VALUE"""),"Lisandro Russian (Madrid, Cáceres, Toledo, Talavera Y Logroño)")</f>
        <v>Lisandro Russian (Madrid, Cáceres, Toledo, Talavera Y Logroño)</v>
      </c>
    </row>
    <row r="573" spans="2:16">
      <c r="B573" s="6">
        <f ca="1">IFERROR(__xludf.DUMMYFUNCTION("""COMPUTED_VALUE"""),2025)</f>
        <v>2025</v>
      </c>
      <c r="C573" s="6">
        <f ca="1">IFERROR(__xludf.DUMMYFUNCTION("""COMPUTED_VALUE"""),4)</f>
        <v>4</v>
      </c>
      <c r="D573" s="6" t="str">
        <f ca="1">IFERROR(__xludf.DUMMYFUNCTION("""COMPUTED_VALUE"""),"NO")</f>
        <v>NO</v>
      </c>
      <c r="E573" s="6" t="str">
        <f ca="1">IFERROR(__xludf.DUMMYFUNCTION("""COMPUTED_VALUE"""),"Madrid- Juan Bravo")</f>
        <v>Madrid- Juan Bravo</v>
      </c>
      <c r="F573" s="16">
        <f ca="1">IFERROR(__xludf.DUMMYFUNCTION("""COMPUTED_VALUE"""),45775)</f>
        <v>45775</v>
      </c>
      <c r="G573" s="16">
        <f ca="1">IFERROR(__xludf.DUMMYFUNCTION("""COMPUTED_VALUE"""),45734)</f>
        <v>45734</v>
      </c>
      <c r="H573" s="6" t="str">
        <f ca="1">IFERROR(__xludf.DUMMYFUNCTION("""COMPUTED_VALUE"""),"Juan Bravo")</f>
        <v>Juan Bravo</v>
      </c>
      <c r="I573" s="6" t="str">
        <f ca="1">IFERROR(__xludf.DUMMYFUNCTION("""COMPUTED_VALUE"""),"C2025326155957325")</f>
        <v>C2025326155957325</v>
      </c>
      <c r="J573" s="6" t="str">
        <f ca="1">IFERROR(__xludf.DUMMYFUNCTION("""COMPUTED_VALUE"""),"BLANCA RUIZ ADANERO")</f>
        <v>BLANCA RUIZ ADANERO</v>
      </c>
      <c r="K573" s="6">
        <f ca="1">IFERROR(__xludf.DUMMYFUNCTION("""COMPUTED_VALUE"""),1)</f>
        <v>1</v>
      </c>
      <c r="L573" s="139">
        <f ca="1">IFERROR(__xludf.DUMMYFUNCTION("""COMPUTED_VALUE"""),2640)</f>
        <v>2640</v>
      </c>
      <c r="M573" s="6" t="str">
        <f ca="1">IFERROR(__xludf.DUMMYFUNCTION("""COMPUTED_VALUE"""),"03 ORL")</f>
        <v>03 ORL</v>
      </c>
      <c r="N573" s="6" t="str">
        <f ca="1">IFERROR(__xludf.DUMMYFUNCTION("""COMPUTED_VALUE"""),"06 ORL")</f>
        <v>06 ORL</v>
      </c>
      <c r="O573" s="6" t="str">
        <f ca="1">IFERROR(__xludf.DUMMYFUNCTION("""COMPUTED_VALUE"""),"Dr, Carlos Barajas Del Rosal")</f>
        <v>Dr, Carlos Barajas Del Rosal</v>
      </c>
      <c r="P573" s="6" t="str">
        <f ca="1">IFERROR(__xludf.DUMMYFUNCTION("""COMPUTED_VALUE"""),"Lisandro Russian (Madrid, Cáceres, Toledo, Talavera Y Logroño)")</f>
        <v>Lisandro Russian (Madrid, Cáceres, Toledo, Talavera Y Logroño)</v>
      </c>
    </row>
    <row r="574" spans="2:16">
      <c r="B574" s="6">
        <f ca="1">IFERROR(__xludf.DUMMYFUNCTION("""COMPUTED_VALUE"""),2025)</f>
        <v>2025</v>
      </c>
      <c r="C574" s="6">
        <f ca="1">IFERROR(__xludf.DUMMYFUNCTION("""COMPUTED_VALUE"""),4)</f>
        <v>4</v>
      </c>
      <c r="D574" s="6" t="str">
        <f ca="1">IFERROR(__xludf.DUMMYFUNCTION("""COMPUTED_VALUE"""),"NO")</f>
        <v>NO</v>
      </c>
      <c r="E574" s="6" t="str">
        <f ca="1">IFERROR(__xludf.DUMMYFUNCTION("""COMPUTED_VALUE"""),"Murcia")</f>
        <v>Murcia</v>
      </c>
      <c r="F574" s="16">
        <f ca="1">IFERROR(__xludf.DUMMYFUNCTION("""COMPUTED_VALUE"""),45775)</f>
        <v>45775</v>
      </c>
      <c r="G574" s="16">
        <f ca="1">IFERROR(__xludf.DUMMYFUNCTION("""COMPUTED_VALUE"""),45699)</f>
        <v>45699</v>
      </c>
      <c r="H574" s="6" t="str">
        <f ca="1">IFERROR(__xludf.DUMMYFUNCTION("""COMPUTED_VALUE"""),"Murcia")</f>
        <v>Murcia</v>
      </c>
      <c r="I574" s="6" t="str">
        <f ca="1">IFERROR(__xludf.DUMMYFUNCTION("""COMPUTED_VALUE"""),"C2025217111723386")</f>
        <v>C2025217111723386</v>
      </c>
      <c r="J574" s="6" t="str">
        <f ca="1">IFERROR(__xludf.DUMMYFUNCTION("""COMPUTED_VALUE"""),"ANGEL ALARCON ESCUDERO")</f>
        <v>ANGEL ALARCON ESCUDERO</v>
      </c>
      <c r="K574" s="6">
        <f ca="1">IFERROR(__xludf.DUMMYFUNCTION("""COMPUTED_VALUE"""),2)</f>
        <v>2</v>
      </c>
      <c r="L574" s="139">
        <f ca="1">IFERROR(__xludf.DUMMYFUNCTION("""COMPUTED_VALUE"""),3710)</f>
        <v>3710</v>
      </c>
      <c r="M574" s="6" t="str">
        <f ca="1">IFERROR(__xludf.DUMMYFUNCTION("""COMPUTED_VALUE"""),"01 MARKETING ON LINE")</f>
        <v>01 MARKETING ON LINE</v>
      </c>
      <c r="N574" s="6" t="str">
        <f ca="1">IFERROR(__xludf.DUMMYFUNCTION("""COMPUTED_VALUE"""),"04 AUDIFONO,ES")</f>
        <v>04 AUDIFONO,ES</v>
      </c>
      <c r="O574" s="6" t="str">
        <f ca="1">IFERROR(__xludf.DUMMYFUNCTION("""COMPUTED_VALUE"""),"Dra, Nuria Salas Barrio")</f>
        <v>Dra, Nuria Salas Barrio</v>
      </c>
      <c r="P574" s="6" t="str">
        <f ca="1">IFERROR(__xludf.DUMMYFUNCTION("""COMPUTED_VALUE"""),"Iván Sánchez (Levante Y Albacete)")</f>
        <v>Iván Sánchez (Levante Y Albacete)</v>
      </c>
    </row>
    <row r="575" spans="2:16">
      <c r="B575" s="6">
        <f ca="1">IFERROR(__xludf.DUMMYFUNCTION("""COMPUTED_VALUE"""),2025)</f>
        <v>2025</v>
      </c>
      <c r="C575" s="6">
        <f ca="1">IFERROR(__xludf.DUMMYFUNCTION("""COMPUTED_VALUE"""),4)</f>
        <v>4</v>
      </c>
      <c r="D575" s="6" t="str">
        <f ca="1">IFERROR(__xludf.DUMMYFUNCTION("""COMPUTED_VALUE"""),"NO")</f>
        <v>NO</v>
      </c>
      <c r="E575" s="6" t="str">
        <f ca="1">IFERROR(__xludf.DUMMYFUNCTION("""COMPUTED_VALUE"""),"Ourense")</f>
        <v>Ourense</v>
      </c>
      <c r="F575" s="16">
        <f ca="1">IFERROR(__xludf.DUMMYFUNCTION("""COMPUTED_VALUE"""),45775)</f>
        <v>45775</v>
      </c>
      <c r="G575" s="16">
        <f ca="1">IFERROR(__xludf.DUMMYFUNCTION("""COMPUTED_VALUE"""),45755)</f>
        <v>45755</v>
      </c>
      <c r="H575" s="6" t="str">
        <f ca="1">IFERROR(__xludf.DUMMYFUNCTION("""COMPUTED_VALUE"""),"Orense")</f>
        <v>Orense</v>
      </c>
      <c r="I575" s="6" t="str">
        <f ca="1">IFERROR(__xludf.DUMMYFUNCTION("""COMPUTED_VALUE"""),"C20254995138678")</f>
        <v>C20254995138678</v>
      </c>
      <c r="J575" s="6" t="str">
        <f ca="1">IFERROR(__xludf.DUMMYFUNCTION("""COMPUTED_VALUE"""),"MARIA MILAGROS DEL CAMPO DEL CAMPO")</f>
        <v>MARIA MILAGROS DEL CAMPO DEL CAMPO</v>
      </c>
      <c r="K575" s="6">
        <f ca="1">IFERROR(__xludf.DUMMYFUNCTION("""COMPUTED_VALUE"""),1)</f>
        <v>1</v>
      </c>
      <c r="L575" s="139">
        <f ca="1">IFERROR(__xludf.DUMMYFUNCTION("""COMPUTED_VALUE"""),1732.73)</f>
        <v>1732.73</v>
      </c>
      <c r="M575" s="6" t="str">
        <f ca="1">IFERROR(__xludf.DUMMYFUNCTION("""COMPUTED_VALUE"""),"03 ORL")</f>
        <v>03 ORL</v>
      </c>
      <c r="N575" s="6" t="str">
        <f ca="1">IFERROR(__xludf.DUMMYFUNCTION("""COMPUTED_VALUE"""),"06 ORL")</f>
        <v>06 ORL</v>
      </c>
      <c r="O575" s="6" t="str">
        <f ca="1">IFERROR(__xludf.DUMMYFUNCTION("""COMPUTED_VALUE"""),"Dra, Ana Quintana Sanjuan")</f>
        <v>Dra, Ana Quintana Sanjuan</v>
      </c>
      <c r="P575" s="6" t="str">
        <f ca="1">IFERROR(__xludf.DUMMYFUNCTION("""COMPUTED_VALUE"""),"Roberto Pereira (Galicia)")</f>
        <v>Roberto Pereira (Galicia)</v>
      </c>
    </row>
    <row r="576" spans="2:16">
      <c r="B576" s="6">
        <f ca="1">IFERROR(__xludf.DUMMYFUNCTION("""COMPUTED_VALUE"""),2025)</f>
        <v>2025</v>
      </c>
      <c r="C576" s="6">
        <f ca="1">IFERROR(__xludf.DUMMYFUNCTION("""COMPUTED_VALUE"""),4)</f>
        <v>4</v>
      </c>
      <c r="D576" s="6" t="str">
        <f ca="1">IFERROR(__xludf.DUMMYFUNCTION("""COMPUTED_VALUE"""),"NO")</f>
        <v>NO</v>
      </c>
      <c r="E576" s="6" t="str">
        <f ca="1">IFERROR(__xludf.DUMMYFUNCTION("""COMPUTED_VALUE"""),"Albacete")</f>
        <v>Albacete</v>
      </c>
      <c r="F576" s="16">
        <f ca="1">IFERROR(__xludf.DUMMYFUNCTION("""COMPUTED_VALUE"""),45776)</f>
        <v>45776</v>
      </c>
      <c r="G576" s="16">
        <f ca="1">IFERROR(__xludf.DUMMYFUNCTION("""COMPUTED_VALUE"""),45733)</f>
        <v>45733</v>
      </c>
      <c r="H576" s="6" t="str">
        <f ca="1">IFERROR(__xludf.DUMMYFUNCTION("""COMPUTED_VALUE"""),"Albacete")</f>
        <v>Albacete</v>
      </c>
      <c r="I576" s="6" t="str">
        <f ca="1">IFERROR(__xludf.DUMMYFUNCTION("""COMPUTED_VALUE"""),"C2025317152319499")</f>
        <v>C2025317152319499</v>
      </c>
      <c r="J576" s="6" t="str">
        <f ca="1">IFERROR(__xludf.DUMMYFUNCTION("""COMPUTED_VALUE"""),"JUAN GOMEZ TOLOSA")</f>
        <v>JUAN GOMEZ TOLOSA</v>
      </c>
      <c r="K576" s="6">
        <f ca="1">IFERROR(__xludf.DUMMYFUNCTION("""COMPUTED_VALUE"""),2)</f>
        <v>2</v>
      </c>
      <c r="L576" s="139">
        <f ca="1">IFERROR(__xludf.DUMMYFUNCTION("""COMPUTED_VALUE"""),2884.62)</f>
        <v>2884.62</v>
      </c>
      <c r="M576" s="6" t="str">
        <f ca="1">IFERROR(__xludf.DUMMYFUNCTION("""COMPUTED_VALUE"""),"03 ORL")</f>
        <v>03 ORL</v>
      </c>
      <c r="N576" s="6" t="str">
        <f ca="1">IFERROR(__xludf.DUMMYFUNCTION("""COMPUTED_VALUE"""),"06 ORL")</f>
        <v>06 ORL</v>
      </c>
      <c r="O576" s="6" t="str">
        <f ca="1">IFERROR(__xludf.DUMMYFUNCTION("""COMPUTED_VALUE"""),"Dr, Pedro Masegosa Zapata")</f>
        <v>Dr, Pedro Masegosa Zapata</v>
      </c>
      <c r="P576" s="6" t="str">
        <f ca="1">IFERROR(__xludf.DUMMYFUNCTION("""COMPUTED_VALUE"""),"Iván Sánchez (Levante Y Albacete)")</f>
        <v>Iván Sánchez (Levante Y Albacete)</v>
      </c>
    </row>
    <row r="577" spans="2:16">
      <c r="B577" s="6">
        <f ca="1">IFERROR(__xludf.DUMMYFUNCTION("""COMPUTED_VALUE"""),2025)</f>
        <v>2025</v>
      </c>
      <c r="C577" s="6">
        <f ca="1">IFERROR(__xludf.DUMMYFUNCTION("""COMPUTED_VALUE"""),4)</f>
        <v>4</v>
      </c>
      <c r="D577" s="6" t="str">
        <f ca="1">IFERROR(__xludf.DUMMYFUNCTION("""COMPUTED_VALUE"""),"NO")</f>
        <v>NO</v>
      </c>
      <c r="E577" s="6" t="str">
        <f ca="1">IFERROR(__xludf.DUMMYFUNCTION("""COMPUTED_VALUE"""),"El Albir (Benidorm)")</f>
        <v>El Albir (Benidorm)</v>
      </c>
      <c r="F577" s="16">
        <f ca="1">IFERROR(__xludf.DUMMYFUNCTION("""COMPUTED_VALUE"""),45776)</f>
        <v>45776</v>
      </c>
      <c r="G577" s="16">
        <f ca="1">IFERROR(__xludf.DUMMYFUNCTION("""COMPUTED_VALUE"""),45721)</f>
        <v>45721</v>
      </c>
      <c r="H577" s="6" t="str">
        <f ca="1">IFERROR(__xludf.DUMMYFUNCTION("""COMPUTED_VALUE"""),"El Albir (Benidorm)")</f>
        <v>El Albir (Benidorm)</v>
      </c>
      <c r="I577" s="6" t="str">
        <f ca="1">IFERROR(__xludf.DUMMYFUNCTION("""COMPUTED_VALUE"""),"C2025311175742850")</f>
        <v>C2025311175742850</v>
      </c>
      <c r="J577" s="6" t="str">
        <f ca="1">IFERROR(__xludf.DUMMYFUNCTION("""COMPUTED_VALUE"""),"JUAN ZARAGOCI IBORRA")</f>
        <v>JUAN ZARAGOCI IBORRA</v>
      </c>
      <c r="K577" s="6">
        <f ca="1">IFERROR(__xludf.DUMMYFUNCTION("""COMPUTED_VALUE"""),2)</f>
        <v>2</v>
      </c>
      <c r="L577" s="139">
        <f ca="1">IFERROR(__xludf.DUMMYFUNCTION("""COMPUTED_VALUE"""),3710)</f>
        <v>3710</v>
      </c>
      <c r="M577" s="6" t="str">
        <f ca="1">IFERROR(__xludf.DUMMYFUNCTION("""COMPUTED_VALUE"""),"03 ORL")</f>
        <v>03 ORL</v>
      </c>
      <c r="N577" s="6" t="str">
        <f ca="1">IFERROR(__xludf.DUMMYFUNCTION("""COMPUTED_VALUE"""),"06 ORL")</f>
        <v>06 ORL</v>
      </c>
      <c r="O577" s="6" t="str">
        <f ca="1">IFERROR(__xludf.DUMMYFUNCTION("""COMPUTED_VALUE"""),"Dra, María Emilia García Ruiz")</f>
        <v>Dra, María Emilia García Ruiz</v>
      </c>
      <c r="P577" s="6" t="str">
        <f ca="1">IFERROR(__xludf.DUMMYFUNCTION("""COMPUTED_VALUE"""),"Ramon Ferrando(Valencia)")</f>
        <v>Ramon Ferrando(Valencia)</v>
      </c>
    </row>
    <row r="578" spans="2:16">
      <c r="B578" s="6">
        <f ca="1">IFERROR(__xludf.DUMMYFUNCTION("""COMPUTED_VALUE"""),2025)</f>
        <v>2025</v>
      </c>
      <c r="C578" s="6">
        <f ca="1">IFERROR(__xludf.DUMMYFUNCTION("""COMPUTED_VALUE"""),4)</f>
        <v>4</v>
      </c>
      <c r="D578" s="6" t="str">
        <f ca="1">IFERROR(__xludf.DUMMYFUNCTION("""COMPUTED_VALUE"""),"NO")</f>
        <v>NO</v>
      </c>
      <c r="E578" s="6" t="str">
        <f ca="1">IFERROR(__xludf.DUMMYFUNCTION("""COMPUTED_VALUE"""),"Fuenlabrada")</f>
        <v>Fuenlabrada</v>
      </c>
      <c r="F578" s="16">
        <f ca="1">IFERROR(__xludf.DUMMYFUNCTION("""COMPUTED_VALUE"""),45776)</f>
        <v>45776</v>
      </c>
      <c r="G578" s="16">
        <f ca="1">IFERROR(__xludf.DUMMYFUNCTION("""COMPUTED_VALUE"""),45665)</f>
        <v>45665</v>
      </c>
      <c r="H578" s="6" t="str">
        <f ca="1">IFERROR(__xludf.DUMMYFUNCTION("""COMPUTED_VALUE"""),"Fuenlabrada")</f>
        <v>Fuenlabrada</v>
      </c>
      <c r="I578" s="6" t="str">
        <f ca="1">IFERROR(__xludf.DUMMYFUNCTION("""COMPUTED_VALUE"""),"C2025110115758397")</f>
        <v>C2025110115758397</v>
      </c>
      <c r="J578" s="6" t="str">
        <f ca="1">IFERROR(__xludf.DUMMYFUNCTION("""COMPUTED_VALUE"""),"MARIA GARRIDO SANCHA")</f>
        <v>MARIA GARRIDO SANCHA</v>
      </c>
      <c r="K578" s="6">
        <f ca="1">IFERROR(__xludf.DUMMYFUNCTION("""COMPUTED_VALUE"""),2)</f>
        <v>2</v>
      </c>
      <c r="L578" s="139">
        <f ca="1">IFERROR(__xludf.DUMMYFUNCTION("""COMPUTED_VALUE"""),4000)</f>
        <v>4000</v>
      </c>
      <c r="M578" s="6" t="str">
        <f ca="1">IFERROR(__xludf.DUMMYFUNCTION("""COMPUTED_VALUE"""),"03 ORL")</f>
        <v>03 ORL</v>
      </c>
      <c r="N578" s="6" t="str">
        <f ca="1">IFERROR(__xludf.DUMMYFUNCTION("""COMPUTED_VALUE"""),"06 ORL")</f>
        <v>06 ORL</v>
      </c>
      <c r="O578" s="6" t="str">
        <f ca="1">IFERROR(__xludf.DUMMYFUNCTION("""COMPUTED_VALUE"""),"Dr, Raimundo Andres Navarro Mediano")</f>
        <v>Dr, Raimundo Andres Navarro Mediano</v>
      </c>
      <c r="P578" s="6" t="str">
        <f ca="1">IFERROR(__xludf.DUMMYFUNCTION("""COMPUTED_VALUE"""),"Maika Blázquez (Madrid)")</f>
        <v>Maika Blázquez (Madrid)</v>
      </c>
    </row>
    <row r="579" spans="2:16">
      <c r="B579" s="6">
        <f ca="1">IFERROR(__xludf.DUMMYFUNCTION("""COMPUTED_VALUE"""),2025)</f>
        <v>2025</v>
      </c>
      <c r="C579" s="6">
        <f ca="1">IFERROR(__xludf.DUMMYFUNCTION("""COMPUTED_VALUE"""),4)</f>
        <v>4</v>
      </c>
      <c r="D579" s="6" t="str">
        <f ca="1">IFERROR(__xludf.DUMMYFUNCTION("""COMPUTED_VALUE"""),"NO")</f>
        <v>NO</v>
      </c>
      <c r="E579" s="6" t="str">
        <f ca="1">IFERROR(__xludf.DUMMYFUNCTION("""COMPUTED_VALUE"""),"Getafe")</f>
        <v>Getafe</v>
      </c>
      <c r="F579" s="16">
        <f ca="1">IFERROR(__xludf.DUMMYFUNCTION("""COMPUTED_VALUE"""),45776)</f>
        <v>45776</v>
      </c>
      <c r="G579" s="16">
        <f ca="1">IFERROR(__xludf.DUMMYFUNCTION("""COMPUTED_VALUE"""),45756)</f>
        <v>45756</v>
      </c>
      <c r="H579" s="6" t="str">
        <f ca="1">IFERROR(__xludf.DUMMYFUNCTION("""COMPUTED_VALUE"""),"Getafe")</f>
        <v>Getafe</v>
      </c>
      <c r="I579" s="6" t="str">
        <f ca="1">IFERROR(__xludf.DUMMYFUNCTION("""COMPUTED_VALUE"""),"C20254111629612")</f>
        <v>C20254111629612</v>
      </c>
      <c r="J579" s="6" t="str">
        <f ca="1">IFERROR(__xludf.DUMMYFUNCTION("""COMPUTED_VALUE"""),"MARIA PAZ SAEZ MEDIERO")</f>
        <v>MARIA PAZ SAEZ MEDIERO</v>
      </c>
      <c r="K579" s="6">
        <f ca="1">IFERROR(__xludf.DUMMYFUNCTION("""COMPUTED_VALUE"""),2)</f>
        <v>2</v>
      </c>
      <c r="L579" s="139">
        <f ca="1">IFERROR(__xludf.DUMMYFUNCTION("""COMPUTED_VALUE"""),2888.18)</f>
        <v>2888.18</v>
      </c>
      <c r="M579" s="6" t="str">
        <f ca="1">IFERROR(__xludf.DUMMYFUNCTION("""COMPUTED_VALUE"""),"03 ORL")</f>
        <v>03 ORL</v>
      </c>
      <c r="N579" s="6" t="str">
        <f ca="1">IFERROR(__xludf.DUMMYFUNCTION("""COMPUTED_VALUE"""),"06 ORL")</f>
        <v>06 ORL</v>
      </c>
      <c r="O579" s="6" t="str">
        <f ca="1">IFERROR(__xludf.DUMMYFUNCTION("""COMPUTED_VALUE"""),"Dra, Cristina Vaduva")</f>
        <v>Dra, Cristina Vaduva</v>
      </c>
      <c r="P579" s="6" t="str">
        <f ca="1">IFERROR(__xludf.DUMMYFUNCTION("""COMPUTED_VALUE"""),"Maika Blázquez (Madrid)")</f>
        <v>Maika Blázquez (Madrid)</v>
      </c>
    </row>
    <row r="580" spans="2:16">
      <c r="B580" s="6">
        <f ca="1">IFERROR(__xludf.DUMMYFUNCTION("""COMPUTED_VALUE"""),2025)</f>
        <v>2025</v>
      </c>
      <c r="C580" s="6">
        <f ca="1">IFERROR(__xludf.DUMMYFUNCTION("""COMPUTED_VALUE"""),4)</f>
        <v>4</v>
      </c>
      <c r="D580" s="6" t="str">
        <f ca="1">IFERROR(__xludf.DUMMYFUNCTION("""COMPUTED_VALUE"""),"NO")</f>
        <v>NO</v>
      </c>
      <c r="E580" s="6" t="str">
        <f ca="1">IFERROR(__xludf.DUMMYFUNCTION("""COMPUTED_VALUE"""),"Lugo")</f>
        <v>Lugo</v>
      </c>
      <c r="F580" s="16">
        <f ca="1">IFERROR(__xludf.DUMMYFUNCTION("""COMPUTED_VALUE"""),45776)</f>
        <v>45776</v>
      </c>
      <c r="G580" s="16">
        <f ca="1">IFERROR(__xludf.DUMMYFUNCTION("""COMPUTED_VALUE"""),45713)</f>
        <v>45713</v>
      </c>
      <c r="H580" s="6" t="str">
        <f ca="1">IFERROR(__xludf.DUMMYFUNCTION("""COMPUTED_VALUE"""),"Lugo")</f>
        <v>Lugo</v>
      </c>
      <c r="I580" s="6" t="str">
        <f ca="1">IFERROR(__xludf.DUMMYFUNCTION("""COMPUTED_VALUE"""),"C20253591552134")</f>
        <v>C20253591552134</v>
      </c>
      <c r="J580" s="6" t="str">
        <f ca="1">IFERROR(__xludf.DUMMYFUNCTION("""COMPUTED_VALUE"""),"EMILIO GONZALEZ LOPEZ")</f>
        <v>EMILIO GONZALEZ LOPEZ</v>
      </c>
      <c r="K580" s="6">
        <f ca="1">IFERROR(__xludf.DUMMYFUNCTION("""COMPUTED_VALUE"""),2)</f>
        <v>2</v>
      </c>
      <c r="L580" s="139">
        <f ca="1">IFERROR(__xludf.DUMMYFUNCTION("""COMPUTED_VALUE"""),3710)</f>
        <v>3710</v>
      </c>
      <c r="M580" s="6" t="str">
        <f ca="1">IFERROR(__xludf.DUMMYFUNCTION("""COMPUTED_VALUE"""),"03 ORL")</f>
        <v>03 ORL</v>
      </c>
      <c r="N580" s="6" t="str">
        <f ca="1">IFERROR(__xludf.DUMMYFUNCTION("""COMPUTED_VALUE"""),"06 ORL")</f>
        <v>06 ORL</v>
      </c>
      <c r="O580" s="6" t="str">
        <f ca="1">IFERROR(__xludf.DUMMYFUNCTION("""COMPUTED_VALUE"""),"Dr, Juan Pedro Rubio Rodríguez")</f>
        <v>Dr, Juan Pedro Rubio Rodríguez</v>
      </c>
      <c r="P580" s="6" t="str">
        <f ca="1">IFERROR(__xludf.DUMMYFUNCTION("""COMPUTED_VALUE"""),"Roberto Pereira (Galicia)")</f>
        <v>Roberto Pereira (Galicia)</v>
      </c>
    </row>
    <row r="581" spans="2:16">
      <c r="B581" s="6">
        <f ca="1">IFERROR(__xludf.DUMMYFUNCTION("""COMPUTED_VALUE"""),2025)</f>
        <v>2025</v>
      </c>
      <c r="C581" s="6">
        <f ca="1">IFERROR(__xludf.DUMMYFUNCTION("""COMPUTED_VALUE"""),4)</f>
        <v>4</v>
      </c>
      <c r="D581" s="6" t="str">
        <f ca="1">IFERROR(__xludf.DUMMYFUNCTION("""COMPUTED_VALUE"""),"NO")</f>
        <v>NO</v>
      </c>
      <c r="E581" s="6" t="str">
        <f ca="1">IFERROR(__xludf.DUMMYFUNCTION("""COMPUTED_VALUE"""),"Madrid- Costa Rica")</f>
        <v>Madrid- Costa Rica</v>
      </c>
      <c r="F581" s="16">
        <f ca="1">IFERROR(__xludf.DUMMYFUNCTION("""COMPUTED_VALUE"""),45776)</f>
        <v>45776</v>
      </c>
      <c r="G581" s="16">
        <f ca="1">IFERROR(__xludf.DUMMYFUNCTION("""COMPUTED_VALUE"""),45747)</f>
        <v>45747</v>
      </c>
      <c r="H581" s="6" t="str">
        <f ca="1">IFERROR(__xludf.DUMMYFUNCTION("""COMPUTED_VALUE"""),"Costa Rica")</f>
        <v>Costa Rica</v>
      </c>
      <c r="I581" s="6" t="str">
        <f ca="1">IFERROR(__xludf.DUMMYFUNCTION("""COMPUTED_VALUE"""),"C202543102131316")</f>
        <v>C202543102131316</v>
      </c>
      <c r="J581" s="6" t="str">
        <f ca="1">IFERROR(__xludf.DUMMYFUNCTION("""COMPUTED_VALUE"""),"MAGDALENA RECASENS FALOMIR")</f>
        <v>MAGDALENA RECASENS FALOMIR</v>
      </c>
      <c r="K581" s="6">
        <f ca="1">IFERROR(__xludf.DUMMYFUNCTION("""COMPUTED_VALUE"""),2)</f>
        <v>2</v>
      </c>
      <c r="L581" s="139">
        <f ca="1">IFERROR(__xludf.DUMMYFUNCTION("""COMPUTED_VALUE"""),2888.18)</f>
        <v>2888.18</v>
      </c>
      <c r="M581" s="6" t="str">
        <f ca="1">IFERROR(__xludf.DUMMYFUNCTION("""COMPUTED_VALUE"""),"03 ORL")</f>
        <v>03 ORL</v>
      </c>
      <c r="N581" s="6" t="str">
        <f ca="1">IFERROR(__xludf.DUMMYFUNCTION("""COMPUTED_VALUE"""),"22 AUDIOMETRIA CLINICA")</f>
        <v>22 AUDIOMETRIA CLINICA</v>
      </c>
      <c r="O581" s="6" t="str">
        <f ca="1">IFERROR(__xludf.DUMMYFUNCTION("""COMPUTED_VALUE"""),"Dr, Antonio Bueno Ríos")</f>
        <v>Dr, Antonio Bueno Ríos</v>
      </c>
      <c r="P581" s="6" t="str">
        <f ca="1">IFERROR(__xludf.DUMMYFUNCTION("""COMPUTED_VALUE"""),"Lisandro Russian (Madrid, Cáceres, Toledo, Talavera Y Logroño)")</f>
        <v>Lisandro Russian (Madrid, Cáceres, Toledo, Talavera Y Logroño)</v>
      </c>
    </row>
    <row r="582" spans="2:16">
      <c r="B582" s="6">
        <f ca="1">IFERROR(__xludf.DUMMYFUNCTION("""COMPUTED_VALUE"""),2025)</f>
        <v>2025</v>
      </c>
      <c r="C582" s="6">
        <f ca="1">IFERROR(__xludf.DUMMYFUNCTION("""COMPUTED_VALUE"""),4)</f>
        <v>4</v>
      </c>
      <c r="D582" s="6" t="str">
        <f ca="1">IFERROR(__xludf.DUMMYFUNCTION("""COMPUTED_VALUE"""),"NO")</f>
        <v>NO</v>
      </c>
      <c r="E582" s="6" t="str">
        <f ca="1">IFERROR(__xludf.DUMMYFUNCTION("""COMPUTED_VALUE"""),"Madrid- Juan Bravo")</f>
        <v>Madrid- Juan Bravo</v>
      </c>
      <c r="F582" s="16">
        <f ca="1">IFERROR(__xludf.DUMMYFUNCTION("""COMPUTED_VALUE"""),45776)</f>
        <v>45776</v>
      </c>
      <c r="G582" s="16">
        <f ca="1">IFERROR(__xludf.DUMMYFUNCTION("""COMPUTED_VALUE"""),45758)</f>
        <v>45758</v>
      </c>
      <c r="H582" s="6" t="str">
        <f ca="1">IFERROR(__xludf.DUMMYFUNCTION("""COMPUTED_VALUE"""),"Juan Bravo")</f>
        <v>Juan Bravo</v>
      </c>
      <c r="I582" s="6" t="str">
        <f ca="1">IFERROR(__xludf.DUMMYFUNCTION("""COMPUTED_VALUE"""),"C2025411104246800")</f>
        <v>C2025411104246800</v>
      </c>
      <c r="J582" s="6" t="str">
        <f ca="1">IFERROR(__xludf.DUMMYFUNCTION("""COMPUTED_VALUE"""),"MARIA LUISA TARDAGUILA CEPERO")</f>
        <v>MARIA LUISA TARDAGUILA CEPERO</v>
      </c>
      <c r="K582" s="6">
        <f ca="1">IFERROR(__xludf.DUMMYFUNCTION("""COMPUTED_VALUE"""),2)</f>
        <v>2</v>
      </c>
      <c r="L582" s="139">
        <f ca="1">IFERROR(__xludf.DUMMYFUNCTION("""COMPUTED_VALUE"""),2888.18)</f>
        <v>2888.18</v>
      </c>
      <c r="M582" s="6" t="str">
        <f ca="1">IFERROR(__xludf.DUMMYFUNCTION("""COMPUTED_VALUE"""),"03 ORL")</f>
        <v>03 ORL</v>
      </c>
      <c r="N582" s="6" t="str">
        <f ca="1">IFERROR(__xludf.DUMMYFUNCTION("""COMPUTED_VALUE"""),"06 ORL")</f>
        <v>06 ORL</v>
      </c>
      <c r="O582" s="6" t="str">
        <f ca="1">IFERROR(__xludf.DUMMYFUNCTION("""COMPUTED_VALUE"""),"Dr, Carlos Barajas Del Rosal")</f>
        <v>Dr, Carlos Barajas Del Rosal</v>
      </c>
      <c r="P582" s="6" t="str">
        <f ca="1">IFERROR(__xludf.DUMMYFUNCTION("""COMPUTED_VALUE"""),"Lisandro Russian (Madrid, Cáceres, Toledo, Talavera Y Logroño)")</f>
        <v>Lisandro Russian (Madrid, Cáceres, Toledo, Talavera Y Logroño)</v>
      </c>
    </row>
    <row r="583" spans="2:16">
      <c r="B583" s="6">
        <f ca="1">IFERROR(__xludf.DUMMYFUNCTION("""COMPUTED_VALUE"""),2025)</f>
        <v>2025</v>
      </c>
      <c r="C583" s="6">
        <f ca="1">IFERROR(__xludf.DUMMYFUNCTION("""COMPUTED_VALUE"""),4)</f>
        <v>4</v>
      </c>
      <c r="D583" s="6" t="str">
        <f ca="1">IFERROR(__xludf.DUMMYFUNCTION("""COMPUTED_VALUE"""),"NO")</f>
        <v>NO</v>
      </c>
      <c r="E583" s="6" t="str">
        <f ca="1">IFERROR(__xludf.DUMMYFUNCTION("""COMPUTED_VALUE"""),"Madrid- La Oca")</f>
        <v>Madrid- La Oca</v>
      </c>
      <c r="F583" s="16">
        <f ca="1">IFERROR(__xludf.DUMMYFUNCTION("""COMPUTED_VALUE"""),45776)</f>
        <v>45776</v>
      </c>
      <c r="G583" s="16">
        <f ca="1">IFERROR(__xludf.DUMMYFUNCTION("""COMPUTED_VALUE"""),45743)</f>
        <v>45743</v>
      </c>
      <c r="H583" s="6" t="str">
        <f ca="1">IFERROR(__xludf.DUMMYFUNCTION("""COMPUTED_VALUE"""),"La Oca")</f>
        <v>La Oca</v>
      </c>
      <c r="I583" s="6" t="str">
        <f ca="1">IFERROR(__xludf.DUMMYFUNCTION("""COMPUTED_VALUE"""),"C202533111812303")</f>
        <v>C202533111812303</v>
      </c>
      <c r="J583" s="6" t="str">
        <f ca="1">IFERROR(__xludf.DUMMYFUNCTION("""COMPUTED_VALUE"""),"EDUARDO PALOMINO RIOS")</f>
        <v>EDUARDO PALOMINO RIOS</v>
      </c>
      <c r="K583" s="6">
        <f ca="1">IFERROR(__xludf.DUMMYFUNCTION("""COMPUTED_VALUE"""),2)</f>
        <v>2</v>
      </c>
      <c r="L583" s="139">
        <f ca="1">IFERROR(__xludf.DUMMYFUNCTION("""COMPUTED_VALUE"""),3710)</f>
        <v>3710</v>
      </c>
      <c r="M583" s="6" t="str">
        <f ca="1">IFERROR(__xludf.DUMMYFUNCTION("""COMPUTED_VALUE"""),"03 ORL")</f>
        <v>03 ORL</v>
      </c>
      <c r="N583" s="6" t="str">
        <f ca="1">IFERROR(__xludf.DUMMYFUNCTION("""COMPUTED_VALUE"""),"06 ORL")</f>
        <v>06 ORL</v>
      </c>
      <c r="O583" s="6" t="str">
        <f ca="1">IFERROR(__xludf.DUMMYFUNCTION("""COMPUTED_VALUE"""),"No recuerda ORL")</f>
        <v>No recuerda ORL</v>
      </c>
      <c r="P583" s="6" t="str">
        <f ca="1">IFERROR(__xludf.DUMMYFUNCTION("""COMPUTED_VALUE"""),"Maika Blázquez (Madrid)")</f>
        <v>Maika Blázquez (Madrid)</v>
      </c>
    </row>
    <row r="584" spans="2:16">
      <c r="B584" s="6">
        <f ca="1">IFERROR(__xludf.DUMMYFUNCTION("""COMPUTED_VALUE"""),2025)</f>
        <v>2025</v>
      </c>
      <c r="C584" s="6">
        <f ca="1">IFERROR(__xludf.DUMMYFUNCTION("""COMPUTED_VALUE"""),4)</f>
        <v>4</v>
      </c>
      <c r="D584" s="6" t="str">
        <f ca="1">IFERROR(__xludf.DUMMYFUNCTION("""COMPUTED_VALUE"""),"NO")</f>
        <v>NO</v>
      </c>
      <c r="E584" s="6" t="str">
        <f ca="1">IFERROR(__xludf.DUMMYFUNCTION("""COMPUTED_VALUE"""),"Orihuela")</f>
        <v>Orihuela</v>
      </c>
      <c r="F584" s="16">
        <f ca="1">IFERROR(__xludf.DUMMYFUNCTION("""COMPUTED_VALUE"""),45776)</f>
        <v>45776</v>
      </c>
      <c r="G584" s="16">
        <f ca="1">IFERROR(__xludf.DUMMYFUNCTION("""COMPUTED_VALUE"""),45744)</f>
        <v>45744</v>
      </c>
      <c r="H584" s="6" t="str">
        <f ca="1">IFERROR(__xludf.DUMMYFUNCTION("""COMPUTED_VALUE"""),"La Zenia")</f>
        <v>La Zenia</v>
      </c>
      <c r="I584" s="6" t="str">
        <f ca="1">IFERROR(__xludf.DUMMYFUNCTION("""COMPUTED_VALUE"""),"C202547115817370")</f>
        <v>C202547115817370</v>
      </c>
      <c r="J584" s="6" t="str">
        <f ca="1">IFERROR(__xludf.DUMMYFUNCTION("""COMPUTED_VALUE"""),"AUREA MANUELA PALACIOS RODRIGUEZ")</f>
        <v>AUREA MANUELA PALACIOS RODRIGUEZ</v>
      </c>
      <c r="K584" s="6">
        <f ca="1">IFERROR(__xludf.DUMMYFUNCTION("""COMPUTED_VALUE"""),2)</f>
        <v>2</v>
      </c>
      <c r="L584" s="139">
        <f ca="1">IFERROR(__xludf.DUMMYFUNCTION("""COMPUTED_VALUE"""),4000)</f>
        <v>4000</v>
      </c>
      <c r="M584" s="6" t="str">
        <f ca="1">IFERROR(__xludf.DUMMYFUNCTION("""COMPUTED_VALUE"""),"03 ORL")</f>
        <v>03 ORL</v>
      </c>
      <c r="N584" s="6" t="str">
        <f ca="1">IFERROR(__xludf.DUMMYFUNCTION("""COMPUTED_VALUE"""),"06 ORL")</f>
        <v>06 ORL</v>
      </c>
      <c r="O584" s="6" t="str">
        <f ca="1">IFERROR(__xludf.DUMMYFUNCTION("""COMPUTED_VALUE"""),"Dr, Carlos Velásquez Fermín")</f>
        <v>Dr, Carlos Velásquez Fermín</v>
      </c>
      <c r="P584" s="6" t="str">
        <f ca="1">IFERROR(__xludf.DUMMYFUNCTION("""COMPUTED_VALUE"""),"Iván Sánchez (Levante Y Albacete)")</f>
        <v>Iván Sánchez (Levante Y Albacete)</v>
      </c>
    </row>
    <row r="585" spans="2:16">
      <c r="B585" s="6">
        <f ca="1">IFERROR(__xludf.DUMMYFUNCTION("""COMPUTED_VALUE"""),2025)</f>
        <v>2025</v>
      </c>
      <c r="C585" s="6">
        <f ca="1">IFERROR(__xludf.DUMMYFUNCTION("""COMPUTED_VALUE"""),4)</f>
        <v>4</v>
      </c>
      <c r="D585" s="6" t="str">
        <f ca="1">IFERROR(__xludf.DUMMYFUNCTION("""COMPUTED_VALUE"""),"NO")</f>
        <v>NO</v>
      </c>
      <c r="E585" s="6" t="str">
        <f ca="1">IFERROR(__xludf.DUMMYFUNCTION("""COMPUTED_VALUE"""),"San Javier")</f>
        <v>San Javier</v>
      </c>
      <c r="F585" s="16">
        <f ca="1">IFERROR(__xludf.DUMMYFUNCTION("""COMPUTED_VALUE"""),45776)</f>
        <v>45776</v>
      </c>
      <c r="G585" s="16">
        <f ca="1">IFERROR(__xludf.DUMMYFUNCTION("""COMPUTED_VALUE"""),45757)</f>
        <v>45757</v>
      </c>
      <c r="H585" s="6" t="str">
        <f ca="1">IFERROR(__xludf.DUMMYFUNCTION("""COMPUTED_VALUE"""),"San Javier")</f>
        <v>San Javier</v>
      </c>
      <c r="I585" s="6" t="str">
        <f ca="1">IFERROR(__xludf.DUMMYFUNCTION("""COMPUTED_VALUE"""),"C20254149273123")</f>
        <v>C20254149273123</v>
      </c>
      <c r="J585" s="6" t="str">
        <f ca="1">IFERROR(__xludf.DUMMYFUNCTION("""COMPUTED_VALUE"""),"ANTONIA PRO DELGADO")</f>
        <v>ANTONIA PRO DELGADO</v>
      </c>
      <c r="K585" s="6">
        <f ca="1">IFERROR(__xludf.DUMMYFUNCTION("""COMPUTED_VALUE"""),2)</f>
        <v>2</v>
      </c>
      <c r="L585" s="139">
        <f ca="1">IFERROR(__xludf.DUMMYFUNCTION("""COMPUTED_VALUE"""),4400)</f>
        <v>4400</v>
      </c>
      <c r="M585" s="6" t="str">
        <f ca="1">IFERROR(__xludf.DUMMYFUNCTION("""COMPUTED_VALUE"""),"03 ORL")</f>
        <v>03 ORL</v>
      </c>
      <c r="N585" s="6" t="str">
        <f ca="1">IFERROR(__xludf.DUMMYFUNCTION("""COMPUTED_VALUE"""),"06 ORL")</f>
        <v>06 ORL</v>
      </c>
      <c r="O585" s="6" t="str">
        <f ca="1">IFERROR(__xludf.DUMMYFUNCTION("""COMPUTED_VALUE"""),"Dra, María Teresa Almela Rojo")</f>
        <v>Dra, María Teresa Almela Rojo</v>
      </c>
      <c r="P585" s="6" t="str">
        <f ca="1">IFERROR(__xludf.DUMMYFUNCTION("""COMPUTED_VALUE"""),"Iván Sánchez (Levante Y Albacete)")</f>
        <v>Iván Sánchez (Levante Y Albacete)</v>
      </c>
    </row>
    <row r="586" spans="2:16">
      <c r="B586" s="6">
        <f ca="1">IFERROR(__xludf.DUMMYFUNCTION("""COMPUTED_VALUE"""),2025)</f>
        <v>2025</v>
      </c>
      <c r="C586" s="6">
        <f ca="1">IFERROR(__xludf.DUMMYFUNCTION("""COMPUTED_VALUE"""),4)</f>
        <v>4</v>
      </c>
      <c r="D586" s="6" t="str">
        <f ca="1">IFERROR(__xludf.DUMMYFUNCTION("""COMPUTED_VALUE"""),"NO")</f>
        <v>NO</v>
      </c>
      <c r="E586" s="6" t="str">
        <f ca="1">IFERROR(__xludf.DUMMYFUNCTION("""COMPUTED_VALUE"""),"San Javier")</f>
        <v>San Javier</v>
      </c>
      <c r="F586" s="16">
        <f ca="1">IFERROR(__xludf.DUMMYFUNCTION("""COMPUTED_VALUE"""),45776)</f>
        <v>45776</v>
      </c>
      <c r="G586" s="16">
        <f ca="1">IFERROR(__xludf.DUMMYFUNCTION("""COMPUTED_VALUE"""),45750)</f>
        <v>45750</v>
      </c>
      <c r="H586" s="6" t="str">
        <f ca="1">IFERROR(__xludf.DUMMYFUNCTION("""COMPUTED_VALUE"""),"San Javier")</f>
        <v>San Javier</v>
      </c>
      <c r="I586" s="6" t="str">
        <f ca="1">IFERROR(__xludf.DUMMYFUNCTION("""COMPUTED_VALUE"""),"C20254818156921")</f>
        <v>C20254818156921</v>
      </c>
      <c r="J586" s="6" t="str">
        <f ca="1">IFERROR(__xludf.DUMMYFUNCTION("""COMPUTED_VALUE"""),"ASCENSION VIDAL MATEO")</f>
        <v>ASCENSION VIDAL MATEO</v>
      </c>
      <c r="K586" s="6">
        <f ca="1">IFERROR(__xludf.DUMMYFUNCTION("""COMPUTED_VALUE"""),2)</f>
        <v>2</v>
      </c>
      <c r="L586" s="139">
        <f ca="1">IFERROR(__xludf.DUMMYFUNCTION("""COMPUTED_VALUE"""),3710)</f>
        <v>3710</v>
      </c>
      <c r="M586" s="6" t="str">
        <f ca="1">IFERROR(__xludf.DUMMYFUNCTION("""COMPUTED_VALUE"""),"03 ORL")</f>
        <v>03 ORL</v>
      </c>
      <c r="N586" s="6" t="str">
        <f ca="1">IFERROR(__xludf.DUMMYFUNCTION("""COMPUTED_VALUE"""),"06 ORL")</f>
        <v>06 ORL</v>
      </c>
      <c r="O586" s="6" t="str">
        <f ca="1">IFERROR(__xludf.DUMMYFUNCTION("""COMPUTED_VALUE"""),"Dr, Dinis Antunes Silva")</f>
        <v>Dr, Dinis Antunes Silva</v>
      </c>
      <c r="P586" s="6" t="str">
        <f ca="1">IFERROR(__xludf.DUMMYFUNCTION("""COMPUTED_VALUE"""),"Iván Sánchez (Levante Y Albacete)")</f>
        <v>Iván Sánchez (Levante Y Albacete)</v>
      </c>
    </row>
    <row r="587" spans="2:16">
      <c r="B587" s="6">
        <f ca="1">IFERROR(__xludf.DUMMYFUNCTION("""COMPUTED_VALUE"""),2025)</f>
        <v>2025</v>
      </c>
      <c r="C587" s="6">
        <f ca="1">IFERROR(__xludf.DUMMYFUNCTION("""COMPUTED_VALUE"""),4)</f>
        <v>4</v>
      </c>
      <c r="D587" s="6" t="str">
        <f ca="1">IFERROR(__xludf.DUMMYFUNCTION("""COMPUTED_VALUE"""),"NO")</f>
        <v>NO</v>
      </c>
      <c r="E587" s="6" t="str">
        <f ca="1">IFERROR(__xludf.DUMMYFUNCTION("""COMPUTED_VALUE"""),"Boiro")</f>
        <v>Boiro</v>
      </c>
      <c r="F587" s="16">
        <f ca="1">IFERROR(__xludf.DUMMYFUNCTION("""COMPUTED_VALUE"""),45776)</f>
        <v>45776</v>
      </c>
      <c r="G587" s="16">
        <f ca="1">IFERROR(__xludf.DUMMYFUNCTION("""COMPUTED_VALUE"""),45751)</f>
        <v>45751</v>
      </c>
      <c r="H587" s="6" t="str">
        <f ca="1">IFERROR(__xludf.DUMMYFUNCTION("""COMPUTED_VALUE"""),"Boiro")</f>
        <v>Boiro</v>
      </c>
      <c r="I587" s="6" t="str">
        <f ca="1">IFERROR(__xludf.DUMMYFUNCTION("""COMPUTED_VALUE"""),"BOI-955")</f>
        <v>BOI-955</v>
      </c>
      <c r="J587" s="6" t="str">
        <f ca="1">IFERROR(__xludf.DUMMYFUNCTION("""COMPUTED_VALUE"""),"REBECA MARIÑO ALONSO")</f>
        <v>REBECA MARIÑO ALONSO</v>
      </c>
      <c r="K587" s="6">
        <f ca="1">IFERROR(__xludf.DUMMYFUNCTION("""COMPUTED_VALUE"""),2)</f>
        <v>2</v>
      </c>
      <c r="L587" s="139">
        <f ca="1">IFERROR(__xludf.DUMMYFUNCTION("""COMPUTED_VALUE"""),2636.36)</f>
        <v>2636.36</v>
      </c>
      <c r="M587" s="6" t="str">
        <f ca="1">IFERROR(__xludf.DUMMYFUNCTION("""COMPUTED_VALUE"""),"03 ORL")</f>
        <v>03 ORL</v>
      </c>
      <c r="N587" s="6" t="str">
        <f ca="1">IFERROR(__xludf.DUMMYFUNCTION("""COMPUTED_VALUE"""),"06 ORL")</f>
        <v>06 ORL</v>
      </c>
      <c r="O587" s="6" t="str">
        <f ca="1">IFERROR(__xludf.DUMMYFUNCTION("""COMPUTED_VALUE"""),"Dra, Isabel Pensado Banet")</f>
        <v>Dra, Isabel Pensado Banet</v>
      </c>
      <c r="P587" s="6" t="str">
        <f ca="1">IFERROR(__xludf.DUMMYFUNCTION("""COMPUTED_VALUE"""),"Roberto Pereira (Galicia)")</f>
        <v>Roberto Pereira (Galicia)</v>
      </c>
    </row>
    <row r="588" spans="2:16">
      <c r="B588" s="6">
        <f ca="1">IFERROR(__xludf.DUMMYFUNCTION("""COMPUTED_VALUE"""),2025)</f>
        <v>2025</v>
      </c>
      <c r="C588" s="6">
        <f ca="1">IFERROR(__xludf.DUMMYFUNCTION("""COMPUTED_VALUE"""),4)</f>
        <v>4</v>
      </c>
      <c r="D588" s="6" t="str">
        <f ca="1">IFERROR(__xludf.DUMMYFUNCTION("""COMPUTED_VALUE"""),"NO")</f>
        <v>NO</v>
      </c>
      <c r="E588" s="6" t="str">
        <f ca="1">IFERROR(__xludf.DUMMYFUNCTION("""COMPUTED_VALUE"""),"Lalín")</f>
        <v>Lalín</v>
      </c>
      <c r="F588" s="16">
        <f ca="1">IFERROR(__xludf.DUMMYFUNCTION("""COMPUTED_VALUE"""),45776)</f>
        <v>45776</v>
      </c>
      <c r="G588" s="16">
        <f ca="1">IFERROR(__xludf.DUMMYFUNCTION("""COMPUTED_VALUE"""),45744)</f>
        <v>45744</v>
      </c>
      <c r="H588" s="6" t="str">
        <f ca="1">IFERROR(__xludf.DUMMYFUNCTION("""COMPUTED_VALUE"""),"Lalín")</f>
        <v>Lalín</v>
      </c>
      <c r="I588" s="6" t="str">
        <f ca="1">IFERROR(__xludf.DUMMYFUNCTION("""COMPUTED_VALUE"""),"LAL-138")</f>
        <v>LAL-138</v>
      </c>
      <c r="J588" s="6" t="str">
        <f ca="1">IFERROR(__xludf.DUMMYFUNCTION("""COMPUTED_VALUE"""),"JOSE TABOADA BERNANDEZ")</f>
        <v>JOSE TABOADA BERNANDEZ</v>
      </c>
      <c r="K588" s="6">
        <f ca="1">IFERROR(__xludf.DUMMYFUNCTION("""COMPUTED_VALUE"""),2)</f>
        <v>2</v>
      </c>
      <c r="L588" s="139">
        <f ca="1">IFERROR(__xludf.DUMMYFUNCTION("""COMPUTED_VALUE"""),2900)</f>
        <v>2900</v>
      </c>
      <c r="M588" s="6" t="str">
        <f ca="1">IFERROR(__xludf.DUMMYFUNCTION("""COMPUTED_VALUE"""),"03 ORL")</f>
        <v>03 ORL</v>
      </c>
      <c r="N588" s="6" t="str">
        <f ca="1">IFERROR(__xludf.DUMMYFUNCTION("""COMPUTED_VALUE"""),"06 ORL")</f>
        <v>06 ORL</v>
      </c>
      <c r="O588" s="6" t="str">
        <f ca="1">IFERROR(__xludf.DUMMYFUNCTION("""COMPUTED_VALUE"""),"Dr, Gabriel Martínez Capoccini")</f>
        <v>Dr, Gabriel Martínez Capoccini</v>
      </c>
      <c r="P588" s="6" t="str">
        <f ca="1">IFERROR(__xludf.DUMMYFUNCTION("""COMPUTED_VALUE"""),"Roberto Pereira (Galicia)")</f>
        <v>Roberto Pereira (Galicia)</v>
      </c>
    </row>
    <row r="589" spans="2:16">
      <c r="B589" s="6">
        <f ca="1">IFERROR(__xludf.DUMMYFUNCTION("""COMPUTED_VALUE"""),2025)</f>
        <v>2025</v>
      </c>
      <c r="C589" s="6">
        <f ca="1">IFERROR(__xludf.DUMMYFUNCTION("""COMPUTED_VALUE"""),4)</f>
        <v>4</v>
      </c>
      <c r="D589" s="6" t="str">
        <f ca="1">IFERROR(__xludf.DUMMYFUNCTION("""COMPUTED_VALUE"""),"NO")</f>
        <v>NO</v>
      </c>
      <c r="E589" s="6" t="str">
        <f ca="1">IFERROR(__xludf.DUMMYFUNCTION("""COMPUTED_VALUE"""),"León")</f>
        <v>León</v>
      </c>
      <c r="F589" s="16">
        <f ca="1">IFERROR(__xludf.DUMMYFUNCTION("""COMPUTED_VALUE"""),45776)</f>
        <v>45776</v>
      </c>
      <c r="G589" s="16">
        <f ca="1">IFERROR(__xludf.DUMMYFUNCTION("""COMPUTED_VALUE"""),45756)</f>
        <v>45756</v>
      </c>
      <c r="H589" s="6" t="str">
        <f ca="1">IFERROR(__xludf.DUMMYFUNCTION("""COMPUTED_VALUE"""),"León")</f>
        <v>León</v>
      </c>
      <c r="I589" s="6" t="str">
        <f ca="1">IFERROR(__xludf.DUMMYFUNCTION("""COMPUTED_VALUE"""),"LEO-452")</f>
        <v>LEO-452</v>
      </c>
      <c r="J589" s="6" t="str">
        <f ca="1">IFERROR(__xludf.DUMMYFUNCTION("""COMPUTED_VALUE"""),"ANTONIA RODRIGUEZ CANTON")</f>
        <v>ANTONIA RODRIGUEZ CANTON</v>
      </c>
      <c r="K589" s="6">
        <f ca="1">IFERROR(__xludf.DUMMYFUNCTION("""COMPUTED_VALUE"""),2)</f>
        <v>2</v>
      </c>
      <c r="L589" s="139">
        <f ca="1">IFERROR(__xludf.DUMMYFUNCTION("""COMPUTED_VALUE"""),2909.09)</f>
        <v>2909.09</v>
      </c>
      <c r="M589" s="6" t="str">
        <f ca="1">IFERROR(__xludf.DUMMYFUNCTION("""COMPUTED_VALUE"""),"03 ORL")</f>
        <v>03 ORL</v>
      </c>
      <c r="N589" s="6" t="str">
        <f ca="1">IFERROR(__xludf.DUMMYFUNCTION("""COMPUTED_VALUE"""),"06 ORL")</f>
        <v>06 ORL</v>
      </c>
      <c r="O589" s="6" t="str">
        <f ca="1">IFERROR(__xludf.DUMMYFUNCTION("""COMPUTED_VALUE"""),"Dr, Rafael Pérez González")</f>
        <v>Dr, Rafael Pérez González</v>
      </c>
      <c r="P589" s="6" t="str">
        <f ca="1">IFERROR(__xludf.DUMMYFUNCTION("""COMPUTED_VALUE"""),"Patricia Solache (Castilla Y León)")</f>
        <v>Patricia Solache (Castilla Y León)</v>
      </c>
    </row>
    <row r="590" spans="2:16">
      <c r="B590" s="6">
        <f ca="1">IFERROR(__xludf.DUMMYFUNCTION("""COMPUTED_VALUE"""),2025)</f>
        <v>2025</v>
      </c>
      <c r="C590" s="6">
        <f ca="1">IFERROR(__xludf.DUMMYFUNCTION("""COMPUTED_VALUE"""),4)</f>
        <v>4</v>
      </c>
      <c r="D590" s="6" t="str">
        <f ca="1">IFERROR(__xludf.DUMMYFUNCTION("""COMPUTED_VALUE"""),"NO")</f>
        <v>NO</v>
      </c>
      <c r="E590" s="6" t="str">
        <f ca="1">IFERROR(__xludf.DUMMYFUNCTION("""COMPUTED_VALUE"""),"Valladolid")</f>
        <v>Valladolid</v>
      </c>
      <c r="F590" s="16">
        <f ca="1">IFERROR(__xludf.DUMMYFUNCTION("""COMPUTED_VALUE"""),45776)</f>
        <v>45776</v>
      </c>
      <c r="G590" s="16">
        <f ca="1">IFERROR(__xludf.DUMMYFUNCTION("""COMPUTED_VALUE"""),45729)</f>
        <v>45729</v>
      </c>
      <c r="H590" s="6" t="str">
        <f ca="1">IFERROR(__xludf.DUMMYFUNCTION("""COMPUTED_VALUE"""),"Valladolid")</f>
        <v>Valladolid</v>
      </c>
      <c r="I590" s="6" t="str">
        <f ca="1">IFERROR(__xludf.DUMMYFUNCTION("""COMPUTED_VALUE"""),"VLL-362")</f>
        <v>VLL-362</v>
      </c>
      <c r="J590" s="6" t="str">
        <f ca="1">IFERROR(__xludf.DUMMYFUNCTION("""COMPUTED_VALUE"""),"PIO PAJARES GARRAPUCHO")</f>
        <v>PIO PAJARES GARRAPUCHO</v>
      </c>
      <c r="K590" s="6">
        <f ca="1">IFERROR(__xludf.DUMMYFUNCTION("""COMPUTED_VALUE"""),2)</f>
        <v>2</v>
      </c>
      <c r="L590" s="139">
        <f ca="1">IFERROR(__xludf.DUMMYFUNCTION("""COMPUTED_VALUE"""),3977.27)</f>
        <v>3977.27</v>
      </c>
      <c r="M590" s="6" t="str">
        <f ca="1">IFERROR(__xludf.DUMMYFUNCTION("""COMPUTED_VALUE"""),"03 ORL")</f>
        <v>03 ORL</v>
      </c>
      <c r="N590" s="6" t="str">
        <f ca="1">IFERROR(__xludf.DUMMYFUNCTION("""COMPUTED_VALUE"""),"06 ORL")</f>
        <v>06 ORL</v>
      </c>
      <c r="O590" s="6" t="str">
        <f ca="1">IFERROR(__xludf.DUMMYFUNCTION("""COMPUTED_VALUE"""),"Dra, Angela Enterría González")</f>
        <v>Dra, Angela Enterría González</v>
      </c>
      <c r="P590" s="6" t="str">
        <f ca="1">IFERROR(__xludf.DUMMYFUNCTION("""COMPUTED_VALUE"""),"Patricia Solache (Castilla Y León)")</f>
        <v>Patricia Solache (Castilla Y León)</v>
      </c>
    </row>
    <row r="591" spans="2:16">
      <c r="B591" s="6">
        <f ca="1">IFERROR(__xludf.DUMMYFUNCTION("""COMPUTED_VALUE"""),2025)</f>
        <v>2025</v>
      </c>
      <c r="C591" s="6">
        <f ca="1">IFERROR(__xludf.DUMMYFUNCTION("""COMPUTED_VALUE"""),4)</f>
        <v>4</v>
      </c>
      <c r="D591" s="6" t="str">
        <f ca="1">IFERROR(__xludf.DUMMYFUNCTION("""COMPUTED_VALUE"""),"NO")</f>
        <v>NO</v>
      </c>
      <c r="E591" s="6" t="str">
        <f ca="1">IFERROR(__xludf.DUMMYFUNCTION("""COMPUTED_VALUE"""),"Vigo")</f>
        <v>Vigo</v>
      </c>
      <c r="F591" s="16">
        <f ca="1">IFERROR(__xludf.DUMMYFUNCTION("""COMPUTED_VALUE"""),45776)</f>
        <v>45776</v>
      </c>
      <c r="G591" s="16">
        <f ca="1">IFERROR(__xludf.DUMMYFUNCTION("""COMPUTED_VALUE"""),45737)</f>
        <v>45737</v>
      </c>
      <c r="H591" s="6" t="str">
        <f ca="1">IFERROR(__xludf.DUMMYFUNCTION("""COMPUTED_VALUE"""),"Vigo")</f>
        <v>Vigo</v>
      </c>
      <c r="I591" s="6" t="str">
        <f ca="1">IFERROR(__xludf.DUMMYFUNCTION("""COMPUTED_VALUE"""),"VIG-557")</f>
        <v>VIG-557</v>
      </c>
      <c r="J591" s="6" t="str">
        <f ca="1">IFERROR(__xludf.DUMMYFUNCTION("""COMPUTED_VALUE"""),"JESUS IBAÑEZ RUAN")</f>
        <v>JESUS IBAÑEZ RUAN</v>
      </c>
      <c r="K591" s="6">
        <f ca="1">IFERROR(__xludf.DUMMYFUNCTION("""COMPUTED_VALUE"""),2)</f>
        <v>2</v>
      </c>
      <c r="L591" s="139">
        <f ca="1">IFERROR(__xludf.DUMMYFUNCTION("""COMPUTED_VALUE"""),3636.36)</f>
        <v>3636.36</v>
      </c>
      <c r="M591" s="6" t="str">
        <f ca="1">IFERROR(__xludf.DUMMYFUNCTION("""COMPUTED_VALUE"""),"03 ORL")</f>
        <v>03 ORL</v>
      </c>
      <c r="N591" s="6" t="str">
        <f ca="1">IFERROR(__xludf.DUMMYFUNCTION("""COMPUTED_VALUE"""),"06 ORL")</f>
        <v>06 ORL</v>
      </c>
      <c r="O591" s="6" t="str">
        <f ca="1">IFERROR(__xludf.DUMMYFUNCTION("""COMPUTED_VALUE"""),"Dra, María Jesús González Cortes")</f>
        <v>Dra, María Jesús González Cortes</v>
      </c>
      <c r="P591" s="6" t="str">
        <f ca="1">IFERROR(__xludf.DUMMYFUNCTION("""COMPUTED_VALUE"""),"Roberto Pereira (Galicia)")</f>
        <v>Roberto Pereira (Galicia)</v>
      </c>
    </row>
    <row r="592" spans="2:16">
      <c r="B592" s="6">
        <f ca="1">IFERROR(__xludf.DUMMYFUNCTION("""COMPUTED_VALUE"""),2025)</f>
        <v>2025</v>
      </c>
      <c r="C592" s="6">
        <f ca="1">IFERROR(__xludf.DUMMYFUNCTION("""COMPUTED_VALUE"""),4)</f>
        <v>4</v>
      </c>
      <c r="D592" s="6" t="str">
        <f ca="1">IFERROR(__xludf.DUMMYFUNCTION("""COMPUTED_VALUE"""),"NO")</f>
        <v>NO</v>
      </c>
      <c r="E592" s="6" t="str">
        <f ca="1">IFERROR(__xludf.DUMMYFUNCTION("""COMPUTED_VALUE"""),"Albacete")</f>
        <v>Albacete</v>
      </c>
      <c r="F592" s="16">
        <f ca="1">IFERROR(__xludf.DUMMYFUNCTION("""COMPUTED_VALUE"""),45777)</f>
        <v>45777</v>
      </c>
      <c r="G592" s="16">
        <f ca="1">IFERROR(__xludf.DUMMYFUNCTION("""COMPUTED_VALUE"""),45712)</f>
        <v>45712</v>
      </c>
      <c r="H592" s="6" t="str">
        <f ca="1">IFERROR(__xludf.DUMMYFUNCTION("""COMPUTED_VALUE"""),"Albacete")</f>
        <v>Albacete</v>
      </c>
      <c r="I592" s="6" t="str">
        <f ca="1">IFERROR(__xludf.DUMMYFUNCTION("""COMPUTED_VALUE"""),"C202537164450420")</f>
        <v>C202537164450420</v>
      </c>
      <c r="J592" s="6" t="str">
        <f ca="1">IFERROR(__xludf.DUMMYFUNCTION("""COMPUTED_VALUE"""),"LOURDES PINAR CUARTERO")</f>
        <v>LOURDES PINAR CUARTERO</v>
      </c>
      <c r="K592" s="6">
        <f ca="1">IFERROR(__xludf.DUMMYFUNCTION("""COMPUTED_VALUE"""),1)</f>
        <v>1</v>
      </c>
      <c r="L592" s="139">
        <f ca="1">IFERROR(__xludf.DUMMYFUNCTION("""COMPUTED_VALUE"""),2400)</f>
        <v>2400</v>
      </c>
      <c r="M592" s="6" t="str">
        <f ca="1">IFERROR(__xludf.DUMMYFUNCTION("""COMPUTED_VALUE"""),"03 ORL")</f>
        <v>03 ORL</v>
      </c>
      <c r="N592" s="6" t="str">
        <f ca="1">IFERROR(__xludf.DUMMYFUNCTION("""COMPUTED_VALUE"""),"06 ORL")</f>
        <v>06 ORL</v>
      </c>
      <c r="O592" s="6" t="str">
        <f ca="1">IFERROR(__xludf.DUMMYFUNCTION("""COMPUTED_VALUE"""),"Dra, Alejandra Jara Maquilón")</f>
        <v>Dra, Alejandra Jara Maquilón</v>
      </c>
      <c r="P592" s="6" t="str">
        <f ca="1">IFERROR(__xludf.DUMMYFUNCTION("""COMPUTED_VALUE"""),"Iván Sánchez (Levante Y Albacete)")</f>
        <v>Iván Sánchez (Levante Y Albacete)</v>
      </c>
    </row>
    <row r="593" spans="2:16">
      <c r="B593" s="6">
        <f ca="1">IFERROR(__xludf.DUMMYFUNCTION("""COMPUTED_VALUE"""),2025)</f>
        <v>2025</v>
      </c>
      <c r="C593" s="6">
        <f ca="1">IFERROR(__xludf.DUMMYFUNCTION("""COMPUTED_VALUE"""),4)</f>
        <v>4</v>
      </c>
      <c r="D593" s="6" t="str">
        <f ca="1">IFERROR(__xludf.DUMMYFUNCTION("""COMPUTED_VALUE"""),"NO")</f>
        <v>NO</v>
      </c>
      <c r="E593" s="6" t="str">
        <f ca="1">IFERROR(__xludf.DUMMYFUNCTION("""COMPUTED_VALUE"""),"Alicante")</f>
        <v>Alicante</v>
      </c>
      <c r="F593" s="16">
        <f ca="1">IFERROR(__xludf.DUMMYFUNCTION("""COMPUTED_VALUE"""),45777)</f>
        <v>45777</v>
      </c>
      <c r="G593" s="16">
        <f ca="1">IFERROR(__xludf.DUMMYFUNCTION("""COMPUTED_VALUE"""),45748)</f>
        <v>45748</v>
      </c>
      <c r="H593" s="6" t="str">
        <f ca="1">IFERROR(__xludf.DUMMYFUNCTION("""COMPUTED_VALUE"""),"Alicante")</f>
        <v>Alicante</v>
      </c>
      <c r="I593" s="6" t="str">
        <f ca="1">IFERROR(__xludf.DUMMYFUNCTION("""COMPUTED_VALUE"""),"C20254119527381")</f>
        <v>C20254119527381</v>
      </c>
      <c r="J593" s="6" t="str">
        <f ca="1">IFERROR(__xludf.DUMMYFUNCTION("""COMPUTED_VALUE"""),"BENITO PEREZ PEDRAZA")</f>
        <v>BENITO PEREZ PEDRAZA</v>
      </c>
      <c r="K593" s="6">
        <f ca="1">IFERROR(__xludf.DUMMYFUNCTION("""COMPUTED_VALUE"""),2)</f>
        <v>2</v>
      </c>
      <c r="L593" s="139">
        <f ca="1">IFERROR(__xludf.DUMMYFUNCTION("""COMPUTED_VALUE"""),2743.77)</f>
        <v>2743.77</v>
      </c>
      <c r="M593" s="6" t="str">
        <f ca="1">IFERROR(__xludf.DUMMYFUNCTION("""COMPUTED_VALUE"""),"03 ORL")</f>
        <v>03 ORL</v>
      </c>
      <c r="N593" s="6" t="str">
        <f ca="1">IFERROR(__xludf.DUMMYFUNCTION("""COMPUTED_VALUE"""),"06 ORL")</f>
        <v>06 ORL</v>
      </c>
      <c r="O593" s="6" t="str">
        <f ca="1">IFERROR(__xludf.DUMMYFUNCTION("""COMPUTED_VALUE"""),"Dr, Oscar Alemán López")</f>
        <v>Dr, Oscar Alemán López</v>
      </c>
      <c r="P593" s="6" t="str">
        <f ca="1">IFERROR(__xludf.DUMMYFUNCTION("""COMPUTED_VALUE"""),"Iván Sánchez (Levante Y Albacete)")</f>
        <v>Iván Sánchez (Levante Y Albacete)</v>
      </c>
    </row>
    <row r="594" spans="2:16">
      <c r="B594" s="6">
        <f ca="1">IFERROR(__xludf.DUMMYFUNCTION("""COMPUTED_VALUE"""),2025)</f>
        <v>2025</v>
      </c>
      <c r="C594" s="6">
        <f ca="1">IFERROR(__xludf.DUMMYFUNCTION("""COMPUTED_VALUE"""),4)</f>
        <v>4</v>
      </c>
      <c r="D594" s="6" t="str">
        <f ca="1">IFERROR(__xludf.DUMMYFUNCTION("""COMPUTED_VALUE"""),"NO")</f>
        <v>NO</v>
      </c>
      <c r="E594" s="6" t="str">
        <f ca="1">IFERROR(__xludf.DUMMYFUNCTION("""COMPUTED_VALUE"""),"Huelva")</f>
        <v>Huelva</v>
      </c>
      <c r="F594" s="16">
        <f ca="1">IFERROR(__xludf.DUMMYFUNCTION("""COMPUTED_VALUE"""),45777)</f>
        <v>45777</v>
      </c>
      <c r="G594" s="16">
        <f ca="1">IFERROR(__xludf.DUMMYFUNCTION("""COMPUTED_VALUE"""),45735)</f>
        <v>45735</v>
      </c>
      <c r="H594" s="6" t="str">
        <f ca="1">IFERROR(__xludf.DUMMYFUNCTION("""COMPUTED_VALUE"""),"Huelva")</f>
        <v>Huelva</v>
      </c>
      <c r="I594" s="6" t="str">
        <f ca="1">IFERROR(__xludf.DUMMYFUNCTION("""COMPUTED_VALUE"""),"C2025325161319461")</f>
        <v>C2025325161319461</v>
      </c>
      <c r="J594" s="6" t="str">
        <f ca="1">IFERROR(__xludf.DUMMYFUNCTION("""COMPUTED_VALUE"""),"ASCENSION MORA DUQUE")</f>
        <v>ASCENSION MORA DUQUE</v>
      </c>
      <c r="K594" s="6">
        <f ca="1">IFERROR(__xludf.DUMMYFUNCTION("""COMPUTED_VALUE"""),2)</f>
        <v>2</v>
      </c>
      <c r="L594" s="139">
        <f ca="1">IFERROR(__xludf.DUMMYFUNCTION("""COMPUTED_VALUE"""),3710)</f>
        <v>3710</v>
      </c>
      <c r="M594" s="6" t="str">
        <f ca="1">IFERROR(__xludf.DUMMYFUNCTION("""COMPUTED_VALUE"""),"03 ORL")</f>
        <v>03 ORL</v>
      </c>
      <c r="N594" s="6" t="str">
        <f ca="1">IFERROR(__xludf.DUMMYFUNCTION("""COMPUTED_VALUE"""),"06 ORL")</f>
        <v>06 ORL</v>
      </c>
      <c r="O594" s="6" t="str">
        <f ca="1">IFERROR(__xludf.DUMMYFUNCTION("""COMPUTED_VALUE"""),"Dra, María Teresa Cervilla Martín")</f>
        <v>Dra, María Teresa Cervilla Martín</v>
      </c>
      <c r="P594" s="6" t="str">
        <f ca="1">IFERROR(__xludf.DUMMYFUNCTION("""COMPUTED_VALUE"""),"Luis Alberto Rodríguez (Andalucía Y Badajoz)")</f>
        <v>Luis Alberto Rodríguez (Andalucía Y Badajoz)</v>
      </c>
    </row>
    <row r="595" spans="2:16">
      <c r="B595" s="6">
        <f ca="1">IFERROR(__xludf.DUMMYFUNCTION("""COMPUTED_VALUE"""),2025)</f>
        <v>2025</v>
      </c>
      <c r="C595" s="6">
        <f ca="1">IFERROR(__xludf.DUMMYFUNCTION("""COMPUTED_VALUE"""),4)</f>
        <v>4</v>
      </c>
      <c r="D595" s="6" t="str">
        <f ca="1">IFERROR(__xludf.DUMMYFUNCTION("""COMPUTED_VALUE"""),"NO")</f>
        <v>NO</v>
      </c>
      <c r="E595" s="6" t="str">
        <f ca="1">IFERROR(__xludf.DUMMYFUNCTION("""COMPUTED_VALUE"""),"Leganés")</f>
        <v>Leganés</v>
      </c>
      <c r="F595" s="16">
        <f ca="1">IFERROR(__xludf.DUMMYFUNCTION("""COMPUTED_VALUE"""),45777)</f>
        <v>45777</v>
      </c>
      <c r="G595" s="16">
        <f ca="1">IFERROR(__xludf.DUMMYFUNCTION("""COMPUTED_VALUE"""),45741)</f>
        <v>45741</v>
      </c>
      <c r="H595" s="6" t="str">
        <f ca="1">IFERROR(__xludf.DUMMYFUNCTION("""COMPUTED_VALUE"""),"Leganés")</f>
        <v>Leganés</v>
      </c>
      <c r="I595" s="6" t="str">
        <f ca="1">IFERROR(__xludf.DUMMYFUNCTION("""COMPUTED_VALUE"""),"C2025327175818490")</f>
        <v>C2025327175818490</v>
      </c>
      <c r="J595" s="6" t="str">
        <f ca="1">IFERROR(__xludf.DUMMYFUNCTION("""COMPUTED_VALUE"""),"CONSOLACIÓN BARROSO TRIGUERO")</f>
        <v>CONSOLACIÓN BARROSO TRIGUERO</v>
      </c>
      <c r="K595" s="6">
        <f ca="1">IFERROR(__xludf.DUMMYFUNCTION("""COMPUTED_VALUE"""),1)</f>
        <v>1</v>
      </c>
      <c r="L595" s="139">
        <f ca="1">IFERROR(__xludf.DUMMYFUNCTION("""COMPUTED_VALUE"""),2400)</f>
        <v>2400</v>
      </c>
      <c r="M595" s="6" t="str">
        <f ca="1">IFERROR(__xludf.DUMMYFUNCTION("""COMPUTED_VALUE"""),"03 ORL")</f>
        <v>03 ORL</v>
      </c>
      <c r="N595" s="6" t="str">
        <f ca="1">IFERROR(__xludf.DUMMYFUNCTION("""COMPUTED_VALUE"""),"06 ORL")</f>
        <v>06 ORL</v>
      </c>
      <c r="O595" s="6" t="str">
        <f ca="1">IFERROR(__xludf.DUMMYFUNCTION("""COMPUTED_VALUE"""),"Dr, Julio López Moya")</f>
        <v>Dr, Julio López Moya</v>
      </c>
      <c r="P595" s="6" t="str">
        <f ca="1">IFERROR(__xludf.DUMMYFUNCTION("""COMPUTED_VALUE"""),"Maika Blázquez (Madrid)")</f>
        <v>Maika Blázquez (Madrid)</v>
      </c>
    </row>
    <row r="596" spans="2:16">
      <c r="B596" s="6">
        <f ca="1">IFERROR(__xludf.DUMMYFUNCTION("""COMPUTED_VALUE"""),2025)</f>
        <v>2025</v>
      </c>
      <c r="C596" s="6">
        <f ca="1">IFERROR(__xludf.DUMMYFUNCTION("""COMPUTED_VALUE"""),4)</f>
        <v>4</v>
      </c>
      <c r="D596" s="6" t="str">
        <f ca="1">IFERROR(__xludf.DUMMYFUNCTION("""COMPUTED_VALUE"""),"NO")</f>
        <v>NO</v>
      </c>
      <c r="E596" s="6" t="str">
        <f ca="1">IFERROR(__xludf.DUMMYFUNCTION("""COMPUTED_VALUE"""),"Leganés")</f>
        <v>Leganés</v>
      </c>
      <c r="F596" s="16">
        <f ca="1">IFERROR(__xludf.DUMMYFUNCTION("""COMPUTED_VALUE"""),45777)</f>
        <v>45777</v>
      </c>
      <c r="G596" s="16">
        <f ca="1">IFERROR(__xludf.DUMMYFUNCTION("""COMPUTED_VALUE"""),45743)</f>
        <v>45743</v>
      </c>
      <c r="H596" s="6" t="str">
        <f ca="1">IFERROR(__xludf.DUMMYFUNCTION("""COMPUTED_VALUE"""),"Leganés")</f>
        <v>Leganés</v>
      </c>
      <c r="I596" s="6" t="str">
        <f ca="1">IFERROR(__xludf.DUMMYFUNCTION("""COMPUTED_VALUE"""),"C20254818255245")</f>
        <v>C20254818255245</v>
      </c>
      <c r="J596" s="6" t="str">
        <f ca="1">IFERROR(__xludf.DUMMYFUNCTION("""COMPUTED_VALUE"""),"JACINTA CRISOSTOMO MARTIN")</f>
        <v>JACINTA CRISOSTOMO MARTIN</v>
      </c>
      <c r="K596" s="6">
        <f ca="1">IFERROR(__xludf.DUMMYFUNCTION("""COMPUTED_VALUE"""),2)</f>
        <v>2</v>
      </c>
      <c r="L596" s="139">
        <f ca="1">IFERROR(__xludf.DUMMYFUNCTION("""COMPUTED_VALUE"""),4000)</f>
        <v>4000</v>
      </c>
      <c r="M596" s="6" t="str">
        <f ca="1">IFERROR(__xludf.DUMMYFUNCTION("""COMPUTED_VALUE"""),"03 ORL")</f>
        <v>03 ORL</v>
      </c>
      <c r="N596" s="6" t="str">
        <f ca="1">IFERROR(__xludf.DUMMYFUNCTION("""COMPUTED_VALUE"""),"06 ORL")</f>
        <v>06 ORL</v>
      </c>
      <c r="O596" s="6" t="str">
        <f ca="1">IFERROR(__xludf.DUMMYFUNCTION("""COMPUTED_VALUE"""),"Dra, Montserrat Portell Soriano")</f>
        <v>Dra, Montserrat Portell Soriano</v>
      </c>
      <c r="P596" s="6" t="str">
        <f ca="1">IFERROR(__xludf.DUMMYFUNCTION("""COMPUTED_VALUE"""),"Maika Blázquez (Madrid)")</f>
        <v>Maika Blázquez (Madrid)</v>
      </c>
    </row>
    <row r="597" spans="2:16">
      <c r="B597" s="6">
        <f ca="1">IFERROR(__xludf.DUMMYFUNCTION("""COMPUTED_VALUE"""),2025)</f>
        <v>2025</v>
      </c>
      <c r="C597" s="6">
        <f ca="1">IFERROR(__xludf.DUMMYFUNCTION("""COMPUTED_VALUE"""),4)</f>
        <v>4</v>
      </c>
      <c r="D597" s="6" t="str">
        <f ca="1">IFERROR(__xludf.DUMMYFUNCTION("""COMPUTED_VALUE"""),"NO")</f>
        <v>NO</v>
      </c>
      <c r="E597" s="6" t="str">
        <f ca="1">IFERROR(__xludf.DUMMYFUNCTION("""COMPUTED_VALUE"""),"Leganés")</f>
        <v>Leganés</v>
      </c>
      <c r="F597" s="16">
        <f ca="1">IFERROR(__xludf.DUMMYFUNCTION("""COMPUTED_VALUE"""),45777)</f>
        <v>45777</v>
      </c>
      <c r="G597" s="16">
        <f ca="1">IFERROR(__xludf.DUMMYFUNCTION("""COMPUTED_VALUE"""),45734)</f>
        <v>45734</v>
      </c>
      <c r="H597" s="6" t="str">
        <f ca="1">IFERROR(__xludf.DUMMYFUNCTION("""COMPUTED_VALUE"""),"Leganés")</f>
        <v>Leganés</v>
      </c>
      <c r="I597" s="6" t="str">
        <f ca="1">IFERROR(__xludf.DUMMYFUNCTION("""COMPUTED_VALUE"""),"C2025325182646127")</f>
        <v>C2025325182646127</v>
      </c>
      <c r="J597" s="6" t="str">
        <f ca="1">IFERROR(__xludf.DUMMYFUNCTION("""COMPUTED_VALUE"""),"MARIA SAGRARIO CALVO GUTIERREZ")</f>
        <v>MARIA SAGRARIO CALVO GUTIERREZ</v>
      </c>
      <c r="K597" s="6">
        <f ca="1">IFERROR(__xludf.DUMMYFUNCTION("""COMPUTED_VALUE"""),2)</f>
        <v>2</v>
      </c>
      <c r="L597" s="139">
        <f ca="1">IFERROR(__xludf.DUMMYFUNCTION("""COMPUTED_VALUE"""),4000)</f>
        <v>4000</v>
      </c>
      <c r="M597" s="6" t="str">
        <f ca="1">IFERROR(__xludf.DUMMYFUNCTION("""COMPUTED_VALUE"""),"03 ORL")</f>
        <v>03 ORL</v>
      </c>
      <c r="N597" s="6" t="str">
        <f ca="1">IFERROR(__xludf.DUMMYFUNCTION("""COMPUTED_VALUE"""),"06 ORL")</f>
        <v>06 ORL</v>
      </c>
      <c r="O597" s="6" t="str">
        <f ca="1">IFERROR(__xludf.DUMMYFUNCTION("""COMPUTED_VALUE"""),"Dr, Jesús Ramos Fernández")</f>
        <v>Dr, Jesús Ramos Fernández</v>
      </c>
      <c r="P597" s="6" t="str">
        <f ca="1">IFERROR(__xludf.DUMMYFUNCTION("""COMPUTED_VALUE"""),"Maika Blázquez (Madrid)")</f>
        <v>Maika Blázquez (Madrid)</v>
      </c>
    </row>
    <row r="598" spans="2:16">
      <c r="B598" s="6">
        <f ca="1">IFERROR(__xludf.DUMMYFUNCTION("""COMPUTED_VALUE"""),2025)</f>
        <v>2025</v>
      </c>
      <c r="C598" s="6">
        <f ca="1">IFERROR(__xludf.DUMMYFUNCTION("""COMPUTED_VALUE"""),4)</f>
        <v>4</v>
      </c>
      <c r="D598" s="6" t="str">
        <f ca="1">IFERROR(__xludf.DUMMYFUNCTION("""COMPUTED_VALUE"""),"NO")</f>
        <v>NO</v>
      </c>
      <c r="E598" s="6" t="str">
        <f ca="1">IFERROR(__xludf.DUMMYFUNCTION("""COMPUTED_VALUE"""),"Madrid- La Oca")</f>
        <v>Madrid- La Oca</v>
      </c>
      <c r="F598" s="16">
        <f ca="1">IFERROR(__xludf.DUMMYFUNCTION("""COMPUTED_VALUE"""),45777)</f>
        <v>45777</v>
      </c>
      <c r="G598" s="16">
        <f ca="1">IFERROR(__xludf.DUMMYFUNCTION("""COMPUTED_VALUE"""),45733)</f>
        <v>45733</v>
      </c>
      <c r="H598" s="6" t="str">
        <f ca="1">IFERROR(__xludf.DUMMYFUNCTION("""COMPUTED_VALUE"""),"La Oca")</f>
        <v>La Oca</v>
      </c>
      <c r="I598" s="6" t="str">
        <f ca="1">IFERROR(__xludf.DUMMYFUNCTION("""COMPUTED_VALUE"""),"C202532115547611")</f>
        <v>C202532115547611</v>
      </c>
      <c r="J598" s="6" t="str">
        <f ca="1">IFERROR(__xludf.DUMMYFUNCTION("""COMPUTED_VALUE"""),"LUISA PASCUA CORBATON")</f>
        <v>LUISA PASCUA CORBATON</v>
      </c>
      <c r="K598" s="6">
        <f ca="1">IFERROR(__xludf.DUMMYFUNCTION("""COMPUTED_VALUE"""),2)</f>
        <v>2</v>
      </c>
      <c r="L598" s="139">
        <f ca="1">IFERROR(__xludf.DUMMYFUNCTION("""COMPUTED_VALUE"""),4000)</f>
        <v>4000</v>
      </c>
      <c r="M598" s="6" t="str">
        <f ca="1">IFERROR(__xludf.DUMMYFUNCTION("""COMPUTED_VALUE"""),"03 ORL")</f>
        <v>03 ORL</v>
      </c>
      <c r="N598" s="6" t="str">
        <f ca="1">IFERROR(__xludf.DUMMYFUNCTION("""COMPUTED_VALUE"""),"06 ORL")</f>
        <v>06 ORL</v>
      </c>
      <c r="O598" s="6" t="str">
        <f ca="1">IFERROR(__xludf.DUMMYFUNCTION("""COMPUTED_VALUE"""),"Dr, César Charles Martínez")</f>
        <v>Dr, César Charles Martínez</v>
      </c>
      <c r="P598" s="6" t="str">
        <f ca="1">IFERROR(__xludf.DUMMYFUNCTION("""COMPUTED_VALUE"""),"Maika Blázquez (Madrid)")</f>
        <v>Maika Blázquez (Madrid)</v>
      </c>
    </row>
    <row r="599" spans="2:16">
      <c r="B599" s="6">
        <f ca="1">IFERROR(__xludf.DUMMYFUNCTION("""COMPUTED_VALUE"""),2025)</f>
        <v>2025</v>
      </c>
      <c r="C599" s="6">
        <f ca="1">IFERROR(__xludf.DUMMYFUNCTION("""COMPUTED_VALUE"""),4)</f>
        <v>4</v>
      </c>
      <c r="D599" s="6" t="str">
        <f ca="1">IFERROR(__xludf.DUMMYFUNCTION("""COMPUTED_VALUE"""),"NO")</f>
        <v>NO</v>
      </c>
      <c r="E599" s="6" t="str">
        <f ca="1">IFERROR(__xludf.DUMMYFUNCTION("""COMPUTED_VALUE"""),"Madrid- Moratalaz")</f>
        <v>Madrid- Moratalaz</v>
      </c>
      <c r="F599" s="16">
        <f ca="1">IFERROR(__xludf.DUMMYFUNCTION("""COMPUTED_VALUE"""),45777)</f>
        <v>45777</v>
      </c>
      <c r="G599" s="16">
        <f ca="1">IFERROR(__xludf.DUMMYFUNCTION("""COMPUTED_VALUE"""),45743)</f>
        <v>45743</v>
      </c>
      <c r="H599" s="6" t="str">
        <f ca="1">IFERROR(__xludf.DUMMYFUNCTION("""COMPUTED_VALUE"""),"Moratalaz")</f>
        <v>Moratalaz</v>
      </c>
      <c r="I599" s="6" t="str">
        <f ca="1">IFERROR(__xludf.DUMMYFUNCTION("""COMPUTED_VALUE"""),"C202549124323417")</f>
        <v>C202549124323417</v>
      </c>
      <c r="J599" s="6" t="str">
        <f ca="1">IFERROR(__xludf.DUMMYFUNCTION("""COMPUTED_VALUE"""),"MARIA JESUS SANCHEZ ESPINOSA")</f>
        <v>MARIA JESUS SANCHEZ ESPINOSA</v>
      </c>
      <c r="K599" s="6">
        <f ca="1">IFERROR(__xludf.DUMMYFUNCTION("""COMPUTED_VALUE"""),1)</f>
        <v>1</v>
      </c>
      <c r="L599" s="139">
        <f ca="1">IFERROR(__xludf.DUMMYFUNCTION("""COMPUTED_VALUE"""),2400)</f>
        <v>2400</v>
      </c>
      <c r="M599" s="6" t="str">
        <f ca="1">IFERROR(__xludf.DUMMYFUNCTION("""COMPUTED_VALUE"""),"03 ORL")</f>
        <v>03 ORL</v>
      </c>
      <c r="N599" s="6" t="str">
        <f ca="1">IFERROR(__xludf.DUMMYFUNCTION("""COMPUTED_VALUE"""),"06 ORL")</f>
        <v>06 ORL</v>
      </c>
      <c r="O599" s="1" t="str">
        <f ca="1">IFERROR(__xludf.DUMMYFUNCTION("""COMPUTED_VALUE"""),"Dr, Julio López Moya")</f>
        <v>Dr, Julio López Moya</v>
      </c>
      <c r="P599" s="6" t="str">
        <f ca="1">IFERROR(__xludf.DUMMYFUNCTION("""COMPUTED_VALUE"""),"Maika Blázquez (Madrid)")</f>
        <v>Maika Blázquez (Madrid)</v>
      </c>
    </row>
    <row r="600" spans="2:16">
      <c r="B600" s="6">
        <f ca="1">IFERROR(__xludf.DUMMYFUNCTION("""COMPUTED_VALUE"""),2025)</f>
        <v>2025</v>
      </c>
      <c r="C600" s="6">
        <f ca="1">IFERROR(__xludf.DUMMYFUNCTION("""COMPUTED_VALUE"""),4)</f>
        <v>4</v>
      </c>
      <c r="D600" s="6" t="str">
        <f ca="1">IFERROR(__xludf.DUMMYFUNCTION("""COMPUTED_VALUE"""),"NO")</f>
        <v>NO</v>
      </c>
      <c r="E600" s="6" t="str">
        <f ca="1">IFERROR(__xludf.DUMMYFUNCTION("""COMPUTED_VALUE"""),"Murcia")</f>
        <v>Murcia</v>
      </c>
      <c r="F600" s="16">
        <f ca="1">IFERROR(__xludf.DUMMYFUNCTION("""COMPUTED_VALUE"""),45777)</f>
        <v>45777</v>
      </c>
      <c r="G600" s="16">
        <f ca="1">IFERROR(__xludf.DUMMYFUNCTION("""COMPUTED_VALUE"""),45749)</f>
        <v>45749</v>
      </c>
      <c r="H600" s="6" t="str">
        <f ca="1">IFERROR(__xludf.DUMMYFUNCTION("""COMPUTED_VALUE"""),"Murcia")</f>
        <v>Murcia</v>
      </c>
      <c r="I600" s="6" t="str">
        <f ca="1">IFERROR(__xludf.DUMMYFUNCTION("""COMPUTED_VALUE"""),"C202541510443625")</f>
        <v>C202541510443625</v>
      </c>
      <c r="J600" s="6" t="str">
        <f ca="1">IFERROR(__xludf.DUMMYFUNCTION("""COMPUTED_VALUE"""),"MARGARET ROSE WORMINGTON")</f>
        <v>MARGARET ROSE WORMINGTON</v>
      </c>
      <c r="K600" s="6">
        <f ca="1">IFERROR(__xludf.DUMMYFUNCTION("""COMPUTED_VALUE"""),1)</f>
        <v>1</v>
      </c>
      <c r="L600" s="139">
        <f ca="1">IFERROR(__xludf.DUMMYFUNCTION("""COMPUTED_VALUE"""),2400)</f>
        <v>2400</v>
      </c>
      <c r="M600" s="6" t="str">
        <f ca="1">IFERROR(__xludf.DUMMYFUNCTION("""COMPUTED_VALUE"""),"03 ORL")</f>
        <v>03 ORL</v>
      </c>
      <c r="N600" s="6" t="str">
        <f ca="1">IFERROR(__xludf.DUMMYFUNCTION("""COMPUTED_VALUE"""),"06 ORL")</f>
        <v>06 ORL</v>
      </c>
      <c r="O600" s="6" t="str">
        <f ca="1">IFERROR(__xludf.DUMMYFUNCTION("""COMPUTED_VALUE"""),"Dra, Araceli González Delgado")</f>
        <v>Dra, Araceli González Delgado</v>
      </c>
      <c r="P600" s="6" t="str">
        <f ca="1">IFERROR(__xludf.DUMMYFUNCTION("""COMPUTED_VALUE"""),"Iván Sánchez (Levante Y Albacete)")</f>
        <v>Iván Sánchez (Levante Y Albacete)</v>
      </c>
    </row>
    <row r="601" spans="2:16">
      <c r="B601" s="6">
        <f ca="1">IFERROR(__xludf.DUMMYFUNCTION("""COMPUTED_VALUE"""),2025)</f>
        <v>2025</v>
      </c>
      <c r="C601" s="6">
        <f ca="1">IFERROR(__xludf.DUMMYFUNCTION("""COMPUTED_VALUE"""),4)</f>
        <v>4</v>
      </c>
      <c r="D601" s="6" t="str">
        <f ca="1">IFERROR(__xludf.DUMMYFUNCTION("""COMPUTED_VALUE"""),"NO")</f>
        <v>NO</v>
      </c>
      <c r="E601" s="6" t="str">
        <f ca="1">IFERROR(__xludf.DUMMYFUNCTION("""COMPUTED_VALUE"""),"Talavera")</f>
        <v>Talavera</v>
      </c>
      <c r="F601" s="16">
        <f ca="1">IFERROR(__xludf.DUMMYFUNCTION("""COMPUTED_VALUE"""),45777)</f>
        <v>45777</v>
      </c>
      <c r="G601" s="16">
        <f ca="1">IFERROR(__xludf.DUMMYFUNCTION("""COMPUTED_VALUE"""),45748)</f>
        <v>45748</v>
      </c>
      <c r="H601" s="6" t="str">
        <f ca="1">IFERROR(__xludf.DUMMYFUNCTION("""COMPUTED_VALUE"""),"Talavera")</f>
        <v>Talavera</v>
      </c>
      <c r="I601" s="6" t="str">
        <f ca="1">IFERROR(__xludf.DUMMYFUNCTION("""COMPUTED_VALUE"""),"C20254910758482")</f>
        <v>C20254910758482</v>
      </c>
      <c r="J601" s="6" t="str">
        <f ca="1">IFERROR(__xludf.DUMMYFUNCTION("""COMPUTED_VALUE"""),"JESUS GUERRA LESMES")</f>
        <v>JESUS GUERRA LESMES</v>
      </c>
      <c r="K601" s="6">
        <f ca="1">IFERROR(__xludf.DUMMYFUNCTION("""COMPUTED_VALUE"""),2)</f>
        <v>2</v>
      </c>
      <c r="L601" s="139">
        <f ca="1">IFERROR(__xludf.DUMMYFUNCTION("""COMPUTED_VALUE"""),4000)</f>
        <v>4000</v>
      </c>
      <c r="M601" s="6" t="str">
        <f ca="1">IFERROR(__xludf.DUMMYFUNCTION("""COMPUTED_VALUE"""),"03 ORL")</f>
        <v>03 ORL</v>
      </c>
      <c r="N601" s="6" t="str">
        <f ca="1">IFERROR(__xludf.DUMMYFUNCTION("""COMPUTED_VALUE"""),"06 ORL")</f>
        <v>06 ORL</v>
      </c>
      <c r="O601" s="6" t="str">
        <f ca="1">IFERROR(__xludf.DUMMYFUNCTION("""COMPUTED_VALUE"""),"Dr, Carlos Félix Asensio Nieto")</f>
        <v>Dr, Carlos Félix Asensio Nieto</v>
      </c>
      <c r="P601" s="6" t="str">
        <f ca="1">IFERROR(__xludf.DUMMYFUNCTION("""COMPUTED_VALUE"""),"Lisandro Russian (Madrid, Cáceres, Toledo, Talavera Y Logroño)")</f>
        <v>Lisandro Russian (Madrid, Cáceres, Toledo, Talavera Y Logroño)</v>
      </c>
    </row>
    <row r="602" spans="2:16">
      <c r="B602" s="6">
        <f ca="1">IFERROR(__xludf.DUMMYFUNCTION("""COMPUTED_VALUE"""),2025)</f>
        <v>2025</v>
      </c>
      <c r="C602" s="6">
        <f ca="1">IFERROR(__xludf.DUMMYFUNCTION("""COMPUTED_VALUE"""),4)</f>
        <v>4</v>
      </c>
      <c r="D602" s="6" t="str">
        <f ca="1">IFERROR(__xludf.DUMMYFUNCTION("""COMPUTED_VALUE"""),"NO")</f>
        <v>NO</v>
      </c>
      <c r="E602" s="6" t="str">
        <f ca="1">IFERROR(__xludf.DUMMYFUNCTION("""COMPUTED_VALUE"""),"Talavera")</f>
        <v>Talavera</v>
      </c>
      <c r="F602" s="16">
        <f ca="1">IFERROR(__xludf.DUMMYFUNCTION("""COMPUTED_VALUE"""),45777)</f>
        <v>45777</v>
      </c>
      <c r="G602" s="16">
        <f ca="1">IFERROR(__xludf.DUMMYFUNCTION("""COMPUTED_VALUE"""),45747)</f>
        <v>45747</v>
      </c>
      <c r="H602" s="6" t="str">
        <f ca="1">IFERROR(__xludf.DUMMYFUNCTION("""COMPUTED_VALUE"""),"Talavera")</f>
        <v>Talavera</v>
      </c>
      <c r="I602" s="6" t="str">
        <f ca="1">IFERROR(__xludf.DUMMYFUNCTION("""COMPUTED_VALUE"""),"C2025411226184")</f>
        <v>C2025411226184</v>
      </c>
      <c r="J602" s="6" t="str">
        <f ca="1">IFERROR(__xludf.DUMMYFUNCTION("""COMPUTED_VALUE"""),"MARIA JESUS VAZQUEZ JIMENEZ")</f>
        <v>MARIA JESUS VAZQUEZ JIMENEZ</v>
      </c>
      <c r="K602" s="6">
        <f ca="1">IFERROR(__xludf.DUMMYFUNCTION("""COMPUTED_VALUE"""),1)</f>
        <v>1</v>
      </c>
      <c r="L602" s="139">
        <f ca="1">IFERROR(__xludf.DUMMYFUNCTION("""COMPUTED_VALUE"""),2226.36)</f>
        <v>2226.36</v>
      </c>
      <c r="M602" s="6" t="str">
        <f ca="1">IFERROR(__xludf.DUMMYFUNCTION("""COMPUTED_VALUE"""),"03 ORL")</f>
        <v>03 ORL</v>
      </c>
      <c r="N602" s="6" t="str">
        <f ca="1">IFERROR(__xludf.DUMMYFUNCTION("""COMPUTED_VALUE"""),"06 ORL")</f>
        <v>06 ORL</v>
      </c>
      <c r="O602" s="6" t="str">
        <f ca="1">IFERROR(__xludf.DUMMYFUNCTION("""COMPUTED_VALUE"""),"Dra, Maria Del Rocío Lobato Pérez")</f>
        <v>Dra, Maria Del Rocío Lobato Pérez</v>
      </c>
      <c r="P602" s="6" t="str">
        <f ca="1">IFERROR(__xludf.DUMMYFUNCTION("""COMPUTED_VALUE"""),"Lisandro Russian (Madrid, Cáceres, Toledo, Talavera Y Logroño)")</f>
        <v>Lisandro Russian (Madrid, Cáceres, Toledo, Talavera Y Logroño)</v>
      </c>
    </row>
    <row r="603" spans="2:16">
      <c r="B603" s="6">
        <f ca="1">IFERROR(__xludf.DUMMYFUNCTION("""COMPUTED_VALUE"""),2025)</f>
        <v>2025</v>
      </c>
      <c r="C603" s="6">
        <f ca="1">IFERROR(__xludf.DUMMYFUNCTION("""COMPUTED_VALUE"""),4)</f>
        <v>4</v>
      </c>
      <c r="D603" s="6" t="str">
        <f ca="1">IFERROR(__xludf.DUMMYFUNCTION("""COMPUTED_VALUE"""),"NO")</f>
        <v>NO</v>
      </c>
      <c r="E603" s="6" t="str">
        <f ca="1">IFERROR(__xludf.DUMMYFUNCTION("""COMPUTED_VALUE"""),"Toledo")</f>
        <v>Toledo</v>
      </c>
      <c r="F603" s="16">
        <f ca="1">IFERROR(__xludf.DUMMYFUNCTION("""COMPUTED_VALUE"""),45777)</f>
        <v>45777</v>
      </c>
      <c r="G603" s="16">
        <f ca="1">IFERROR(__xludf.DUMMYFUNCTION("""COMPUTED_VALUE"""),45729)</f>
        <v>45729</v>
      </c>
      <c r="H603" s="6" t="str">
        <f ca="1">IFERROR(__xludf.DUMMYFUNCTION("""COMPUTED_VALUE"""),"Toledo")</f>
        <v>Toledo</v>
      </c>
      <c r="I603" s="6" t="str">
        <f ca="1">IFERROR(__xludf.DUMMYFUNCTION("""COMPUTED_VALUE"""),"C2025320102248794")</f>
        <v>C2025320102248794</v>
      </c>
      <c r="J603" s="6" t="str">
        <f ca="1">IFERROR(__xludf.DUMMYFUNCTION("""COMPUTED_VALUE"""),"PILAR NOGALES LARA")</f>
        <v>PILAR NOGALES LARA</v>
      </c>
      <c r="K603" s="6">
        <f ca="1">IFERROR(__xludf.DUMMYFUNCTION("""COMPUTED_VALUE"""),1)</f>
        <v>1</v>
      </c>
      <c r="L603" s="139">
        <f ca="1">IFERROR(__xludf.DUMMYFUNCTION("""COMPUTED_VALUE"""),2400)</f>
        <v>2400</v>
      </c>
      <c r="M603" s="6" t="str">
        <f ca="1">IFERROR(__xludf.DUMMYFUNCTION("""COMPUTED_VALUE"""),"03 ORL")</f>
        <v>03 ORL</v>
      </c>
      <c r="N603" s="6" t="str">
        <f ca="1">IFERROR(__xludf.DUMMYFUNCTION("""COMPUTED_VALUE"""),"06 ORL")</f>
        <v>06 ORL</v>
      </c>
      <c r="O603" s="6" t="str">
        <f ca="1">IFERROR(__xludf.DUMMYFUNCTION("""COMPUTED_VALUE"""),"Dra, Eva Ruiz De Gauna")</f>
        <v>Dra, Eva Ruiz De Gauna</v>
      </c>
      <c r="P603" s="6" t="str">
        <f ca="1">IFERROR(__xludf.DUMMYFUNCTION("""COMPUTED_VALUE"""),"Lisandro Russian (Madrid, Cáceres, Toledo, Talavera Y Logroño)")</f>
        <v>Lisandro Russian (Madrid, Cáceres, Toledo, Talavera Y Logroño)</v>
      </c>
    </row>
    <row r="604" spans="2:16">
      <c r="B604" s="6">
        <f ca="1">IFERROR(__xludf.DUMMYFUNCTION("""COMPUTED_VALUE"""),2025)</f>
        <v>2025</v>
      </c>
      <c r="C604" s="6">
        <f ca="1">IFERROR(__xludf.DUMMYFUNCTION("""COMPUTED_VALUE"""),4)</f>
        <v>4</v>
      </c>
      <c r="D604" s="6" t="str">
        <f ca="1">IFERROR(__xludf.DUMMYFUNCTION("""COMPUTED_VALUE"""),"NO")</f>
        <v>NO</v>
      </c>
      <c r="E604" s="6" t="str">
        <f ca="1">IFERROR(__xludf.DUMMYFUNCTION("""COMPUTED_VALUE"""),"Valencia- Cádiz")</f>
        <v>Valencia- Cádiz</v>
      </c>
      <c r="F604" s="16">
        <f ca="1">IFERROR(__xludf.DUMMYFUNCTION("""COMPUTED_VALUE"""),45777)</f>
        <v>45777</v>
      </c>
      <c r="G604" s="16">
        <f ca="1">IFERROR(__xludf.DUMMYFUNCTION("""COMPUTED_VALUE"""),45750)</f>
        <v>45750</v>
      </c>
      <c r="H604" s="6" t="str">
        <f ca="1">IFERROR(__xludf.DUMMYFUNCTION("""COMPUTED_VALUE"""),"Valencia- Cádiz")</f>
        <v>Valencia- Cádiz</v>
      </c>
      <c r="I604" s="6" t="str">
        <f ca="1">IFERROR(__xludf.DUMMYFUNCTION("""COMPUTED_VALUE"""),"C20254715111937")</f>
        <v>C20254715111937</v>
      </c>
      <c r="J604" s="6" t="str">
        <f ca="1">IFERROR(__xludf.DUMMYFUNCTION("""COMPUTED_VALUE"""),"EMPAR DE LANUZA HURTADO")</f>
        <v>EMPAR DE LANUZA HURTADO</v>
      </c>
      <c r="K604" s="6">
        <f ca="1">IFERROR(__xludf.DUMMYFUNCTION("""COMPUTED_VALUE"""),2)</f>
        <v>2</v>
      </c>
      <c r="L604" s="139">
        <f ca="1">IFERROR(__xludf.DUMMYFUNCTION("""COMPUTED_VALUE"""),2888.18)</f>
        <v>2888.18</v>
      </c>
      <c r="M604" s="6" t="str">
        <f ca="1">IFERROR(__xludf.DUMMYFUNCTION("""COMPUTED_VALUE"""),"03 ORL")</f>
        <v>03 ORL</v>
      </c>
      <c r="N604" s="6" t="str">
        <f ca="1">IFERROR(__xludf.DUMMYFUNCTION("""COMPUTED_VALUE"""),"06 ORL")</f>
        <v>06 ORL</v>
      </c>
      <c r="O604" s="6" t="str">
        <f ca="1">IFERROR(__xludf.DUMMYFUNCTION("""COMPUTED_VALUE"""),"Dr, José Ramiro De León Lima")</f>
        <v>Dr, José Ramiro De León Lima</v>
      </c>
      <c r="P604" s="6" t="str">
        <f ca="1">IFERROR(__xludf.DUMMYFUNCTION("""COMPUTED_VALUE"""),"Ramon Ferrando(Valencia)")</f>
        <v>Ramon Ferrando(Valencia)</v>
      </c>
    </row>
    <row r="605" spans="2:16">
      <c r="B605" s="6">
        <f ca="1">IFERROR(__xludf.DUMMYFUNCTION("""COMPUTED_VALUE"""),2025)</f>
        <v>2025</v>
      </c>
      <c r="C605" s="6">
        <f ca="1">IFERROR(__xludf.DUMMYFUNCTION("""COMPUTED_VALUE"""),4)</f>
        <v>4</v>
      </c>
      <c r="D605" s="6" t="str">
        <f ca="1">IFERROR(__xludf.DUMMYFUNCTION("""COMPUTED_VALUE"""),"NO")</f>
        <v>NO</v>
      </c>
      <c r="E605" s="6" t="str">
        <f ca="1">IFERROR(__xludf.DUMMYFUNCTION("""COMPUTED_VALUE"""),"Valencia- Cádiz")</f>
        <v>Valencia- Cádiz</v>
      </c>
      <c r="F605" s="16">
        <f ca="1">IFERROR(__xludf.DUMMYFUNCTION("""COMPUTED_VALUE"""),45777)</f>
        <v>45777</v>
      </c>
      <c r="G605" s="16">
        <f ca="1">IFERROR(__xludf.DUMMYFUNCTION("""COMPUTED_VALUE"""),45727)</f>
        <v>45727</v>
      </c>
      <c r="H605" s="6" t="str">
        <f ca="1">IFERROR(__xludf.DUMMYFUNCTION("""COMPUTED_VALUE"""),"Valencia- Cádiz")</f>
        <v>Valencia- Cádiz</v>
      </c>
      <c r="I605" s="6" t="str">
        <f ca="1">IFERROR(__xludf.DUMMYFUNCTION("""COMPUTED_VALUE"""),"C2025325122735477")</f>
        <v>C2025325122735477</v>
      </c>
      <c r="J605" s="6" t="str">
        <f ca="1">IFERROR(__xludf.DUMMYFUNCTION("""COMPUTED_VALUE"""),"JOSE SANCHIS TROBAT")</f>
        <v>JOSE SANCHIS TROBAT</v>
      </c>
      <c r="K605" s="6">
        <f ca="1">IFERROR(__xludf.DUMMYFUNCTION("""COMPUTED_VALUE"""),2)</f>
        <v>2</v>
      </c>
      <c r="L605" s="139">
        <f ca="1">IFERROR(__xludf.DUMMYFUNCTION("""COMPUTED_VALUE"""),3710)</f>
        <v>3710</v>
      </c>
      <c r="M605" s="6" t="str">
        <f ca="1">IFERROR(__xludf.DUMMYFUNCTION("""COMPUTED_VALUE"""),"03 ORL")</f>
        <v>03 ORL</v>
      </c>
      <c r="N605" s="6" t="str">
        <f ca="1">IFERROR(__xludf.DUMMYFUNCTION("""COMPUTED_VALUE"""),"06 ORL")</f>
        <v>06 ORL</v>
      </c>
      <c r="O605" s="6" t="str">
        <f ca="1">IFERROR(__xludf.DUMMYFUNCTION("""COMPUTED_VALUE"""),"Dr, José Ramiro De León Lima")</f>
        <v>Dr, José Ramiro De León Lima</v>
      </c>
      <c r="P605" s="6" t="str">
        <f ca="1">IFERROR(__xludf.DUMMYFUNCTION("""COMPUTED_VALUE"""),"Ramon Ferrando(Valencia)")</f>
        <v>Ramon Ferrando(Valencia)</v>
      </c>
    </row>
    <row r="606" spans="2:16">
      <c r="B606" s="6">
        <f ca="1">IFERROR(__xludf.DUMMYFUNCTION("""COMPUTED_VALUE"""),2025)</f>
        <v>2025</v>
      </c>
      <c r="C606" s="6">
        <f ca="1">IFERROR(__xludf.DUMMYFUNCTION("""COMPUTED_VALUE"""),4)</f>
        <v>4</v>
      </c>
      <c r="D606" s="6" t="str">
        <f ca="1">IFERROR(__xludf.DUMMYFUNCTION("""COMPUTED_VALUE"""),"NO")</f>
        <v>NO</v>
      </c>
      <c r="E606" s="6" t="str">
        <f ca="1">IFERROR(__xludf.DUMMYFUNCTION("""COMPUTED_VALUE"""),"Valencia- Cádiz")</f>
        <v>Valencia- Cádiz</v>
      </c>
      <c r="F606" s="16">
        <f ca="1">IFERROR(__xludf.DUMMYFUNCTION("""COMPUTED_VALUE"""),45777)</f>
        <v>45777</v>
      </c>
      <c r="G606" s="16">
        <f ca="1">IFERROR(__xludf.DUMMYFUNCTION("""COMPUTED_VALUE"""),45727)</f>
        <v>45727</v>
      </c>
      <c r="H606" s="6" t="str">
        <f ca="1">IFERROR(__xludf.DUMMYFUNCTION("""COMPUTED_VALUE"""),"Valencia- Cádiz")</f>
        <v>Valencia- Cádiz</v>
      </c>
      <c r="I606" s="6" t="str">
        <f ca="1">IFERROR(__xludf.DUMMYFUNCTION("""COMPUTED_VALUE"""),"C2025325174726641")</f>
        <v>C2025325174726641</v>
      </c>
      <c r="J606" s="6" t="str">
        <f ca="1">IFERROR(__xludf.DUMMYFUNCTION("""COMPUTED_VALUE"""),"MARIA CARMEN GOMEZ IBAÑEZ")</f>
        <v>MARIA CARMEN GOMEZ IBAÑEZ</v>
      </c>
      <c r="K606" s="6">
        <f ca="1">IFERROR(__xludf.DUMMYFUNCTION("""COMPUTED_VALUE"""),2)</f>
        <v>2</v>
      </c>
      <c r="L606" s="139">
        <f ca="1">IFERROR(__xludf.DUMMYFUNCTION("""COMPUTED_VALUE"""),4000)</f>
        <v>4000</v>
      </c>
      <c r="M606" s="6" t="str">
        <f ca="1">IFERROR(__xludf.DUMMYFUNCTION("""COMPUTED_VALUE"""),"03 ORL")</f>
        <v>03 ORL</v>
      </c>
      <c r="N606" s="6" t="str">
        <f ca="1">IFERROR(__xludf.DUMMYFUNCTION("""COMPUTED_VALUE"""),"06 ORL")</f>
        <v>06 ORL</v>
      </c>
      <c r="O606" s="6" t="str">
        <f ca="1">IFERROR(__xludf.DUMMYFUNCTION("""COMPUTED_VALUE"""),"Dr, Raimon García Chillerón")</f>
        <v>Dr, Raimon García Chillerón</v>
      </c>
      <c r="P606" s="6" t="str">
        <f ca="1">IFERROR(__xludf.DUMMYFUNCTION("""COMPUTED_VALUE"""),"Ramon Ferrando(Valencia)")</f>
        <v>Ramon Ferrando(Valencia)</v>
      </c>
    </row>
    <row r="607" spans="2:16">
      <c r="B607" s="6">
        <f ca="1">IFERROR(__xludf.DUMMYFUNCTION("""COMPUTED_VALUE"""),2025)</f>
        <v>2025</v>
      </c>
      <c r="C607" s="6">
        <f ca="1">IFERROR(__xludf.DUMMYFUNCTION("""COMPUTED_VALUE"""),4)</f>
        <v>4</v>
      </c>
      <c r="D607" s="6" t="str">
        <f ca="1">IFERROR(__xludf.DUMMYFUNCTION("""COMPUTED_VALUE"""),"NO")</f>
        <v>NO</v>
      </c>
      <c r="E607" s="6" t="str">
        <f ca="1">IFERROR(__xludf.DUMMYFUNCTION("""COMPUTED_VALUE"""),"Culleredo")</f>
        <v>Culleredo</v>
      </c>
      <c r="F607" s="16">
        <f ca="1">IFERROR(__xludf.DUMMYFUNCTION("""COMPUTED_VALUE"""),45777)</f>
        <v>45777</v>
      </c>
      <c r="G607" s="16">
        <f ca="1">IFERROR(__xludf.DUMMYFUNCTION("""COMPUTED_VALUE"""),45734)</f>
        <v>45734</v>
      </c>
      <c r="H607" s="6" t="str">
        <f ca="1">IFERROR(__xludf.DUMMYFUNCTION("""COMPUTED_VALUE"""),"Culleredo")</f>
        <v>Culleredo</v>
      </c>
      <c r="I607" s="6" t="str">
        <f ca="1">IFERROR(__xludf.DUMMYFUNCTION("""COMPUTED_VALUE"""),"CULL-182")</f>
        <v>CULL-182</v>
      </c>
      <c r="J607" s="6" t="str">
        <f ca="1">IFERROR(__xludf.DUMMYFUNCTION("""COMPUTED_VALUE"""),"JOSE FERREIRO DAPIA")</f>
        <v>JOSE FERREIRO DAPIA</v>
      </c>
      <c r="K607" s="6">
        <f ca="1">IFERROR(__xludf.DUMMYFUNCTION("""COMPUTED_VALUE"""),2)</f>
        <v>2</v>
      </c>
      <c r="L607" s="139">
        <f ca="1">IFERROR(__xludf.DUMMYFUNCTION("""COMPUTED_VALUE"""),1816.36)</f>
        <v>1816.36</v>
      </c>
      <c r="M607" s="6" t="str">
        <f ca="1">IFERROR(__xludf.DUMMYFUNCTION("""COMPUTED_VALUE"""),"03 ORL")</f>
        <v>03 ORL</v>
      </c>
      <c r="N607" s="6" t="str">
        <f ca="1">IFERROR(__xludf.DUMMYFUNCTION("""COMPUTED_VALUE"""),"06 ORL")</f>
        <v>06 ORL</v>
      </c>
      <c r="O607" s="6" t="str">
        <f ca="1">IFERROR(__xludf.DUMMYFUNCTION("""COMPUTED_VALUE"""),"Dr, Miguel Mayo Yáñez")</f>
        <v>Dr, Miguel Mayo Yáñez</v>
      </c>
      <c r="P607" s="6" t="str">
        <f ca="1">IFERROR(__xludf.DUMMYFUNCTION("""COMPUTED_VALUE"""),"Roberto Pereira (Galicia)")</f>
        <v>Roberto Pereira (Galicia)</v>
      </c>
    </row>
    <row r="608" spans="2:16">
      <c r="B608" s="6">
        <f ca="1">IFERROR(__xludf.DUMMYFUNCTION("""COMPUTED_VALUE"""),2025)</f>
        <v>2025</v>
      </c>
      <c r="C608" s="6">
        <f ca="1">IFERROR(__xludf.DUMMYFUNCTION("""COMPUTED_VALUE"""),4)</f>
        <v>4</v>
      </c>
      <c r="D608" s="6" t="str">
        <f ca="1">IFERROR(__xludf.DUMMYFUNCTION("""COMPUTED_VALUE"""),"NO")</f>
        <v>NO</v>
      </c>
      <c r="E608" s="6" t="str">
        <f ca="1">IFERROR(__xludf.DUMMYFUNCTION("""COMPUTED_VALUE"""),"Salamanca")</f>
        <v>Salamanca</v>
      </c>
      <c r="F608" s="16">
        <f ca="1">IFERROR(__xludf.DUMMYFUNCTION("""COMPUTED_VALUE"""),45777)</f>
        <v>45777</v>
      </c>
      <c r="G608" s="16">
        <f ca="1">IFERROR(__xludf.DUMMYFUNCTION("""COMPUTED_VALUE"""),45708)</f>
        <v>45708</v>
      </c>
      <c r="H608" s="6" t="str">
        <f ca="1">IFERROR(__xludf.DUMMYFUNCTION("""COMPUTED_VALUE"""),"Salamanca")</f>
        <v>Salamanca</v>
      </c>
      <c r="I608" s="6" t="str">
        <f ca="1">IFERROR(__xludf.DUMMYFUNCTION("""COMPUTED_VALUE"""),"SLM-485")</f>
        <v>SLM-485</v>
      </c>
      <c r="J608" s="6" t="str">
        <f ca="1">IFERROR(__xludf.DUMMYFUNCTION("""COMPUTED_VALUE"""),"MARIA DOLORES MESANAT MARTIN")</f>
        <v>MARIA DOLORES MESANAT MARTIN</v>
      </c>
      <c r="K608" s="6">
        <f ca="1">IFERROR(__xludf.DUMMYFUNCTION("""COMPUTED_VALUE"""),2)</f>
        <v>2</v>
      </c>
      <c r="L608" s="139">
        <f ca="1">IFERROR(__xludf.DUMMYFUNCTION("""COMPUTED_VALUE"""),3604.55)</f>
        <v>3604.55</v>
      </c>
      <c r="M608" s="6" t="str">
        <f ca="1">IFERROR(__xludf.DUMMYFUNCTION("""COMPUTED_VALUE"""),"03 ORL")</f>
        <v>03 ORL</v>
      </c>
      <c r="N608" s="1" t="str">
        <f ca="1">IFERROR(__xludf.DUMMYFUNCTION("""COMPUTED_VALUE"""),"06 ORL")</f>
        <v>06 ORL</v>
      </c>
      <c r="O608" s="6" t="str">
        <f ca="1">IFERROR(__xludf.DUMMYFUNCTION("""COMPUTED_VALUE"""),"Dr, Ángel Muñoz Herrera")</f>
        <v>Dr, Ángel Muñoz Herrera</v>
      </c>
      <c r="P608" s="6" t="str">
        <f ca="1">IFERROR(__xludf.DUMMYFUNCTION("""COMPUTED_VALUE"""),"Patricia Solache (Castilla Y León)")</f>
        <v>Patricia Solache (Castilla Y León)</v>
      </c>
    </row>
    <row r="609" spans="2:16">
      <c r="B609" s="6">
        <f ca="1">IFERROR(__xludf.DUMMYFUNCTION("""COMPUTED_VALUE"""),2025)</f>
        <v>2025</v>
      </c>
      <c r="C609" s="6">
        <f ca="1">IFERROR(__xludf.DUMMYFUNCTION("""COMPUTED_VALUE"""),4)</f>
        <v>4</v>
      </c>
      <c r="D609" s="6" t="str">
        <f ca="1">IFERROR(__xludf.DUMMYFUNCTION("""COMPUTED_VALUE"""),"NO")</f>
        <v>NO</v>
      </c>
      <c r="E609" s="6" t="str">
        <f ca="1">IFERROR(__xludf.DUMMYFUNCTION("""COMPUTED_VALUE"""),"Sevilla- Ciencias")</f>
        <v>Sevilla- Ciencias</v>
      </c>
      <c r="F609" s="16">
        <f ca="1">IFERROR(__xludf.DUMMYFUNCTION("""COMPUTED_VALUE"""),45777)</f>
        <v>45777</v>
      </c>
      <c r="G609" s="16">
        <f ca="1">IFERROR(__xludf.DUMMYFUNCTION("""COMPUTED_VALUE"""),45736)</f>
        <v>45736</v>
      </c>
      <c r="H609" s="6" t="str">
        <f ca="1">IFERROR(__xludf.DUMMYFUNCTION("""COMPUTED_VALUE"""),"Sevilla Este")</f>
        <v>Sevilla Este</v>
      </c>
      <c r="I609" s="6" t="str">
        <f ca="1">IFERROR(__xludf.DUMMYFUNCTION("""COMPUTED_VALUE"""),"SEVE-387")</f>
        <v>SEVE-387</v>
      </c>
      <c r="J609" s="6" t="str">
        <f ca="1">IFERROR(__xludf.DUMMYFUNCTION("""COMPUTED_VALUE"""),"VALLE GARCIA RIVERA")</f>
        <v>VALLE GARCIA RIVERA</v>
      </c>
      <c r="K609" s="6">
        <f ca="1">IFERROR(__xludf.DUMMYFUNCTION("""COMPUTED_VALUE"""),2)</f>
        <v>2</v>
      </c>
      <c r="L609" s="139">
        <f ca="1">IFERROR(__xludf.DUMMYFUNCTION("""COMPUTED_VALUE"""),3372.73)</f>
        <v>3372.73</v>
      </c>
      <c r="M609" s="6" t="str">
        <f ca="1">IFERROR(__xludf.DUMMYFUNCTION("""COMPUTED_VALUE"""),"03 ORL")</f>
        <v>03 ORL</v>
      </c>
      <c r="N609" s="6" t="str">
        <f ca="1">IFERROR(__xludf.DUMMYFUNCTION("""COMPUTED_VALUE"""),"06 ORL")</f>
        <v>06 ORL</v>
      </c>
      <c r="O609" s="6" t="str">
        <f ca="1">IFERROR(__xludf.DUMMYFUNCTION("""COMPUTED_VALUE"""),"Dr, Gustavo Benavente Bermudo")</f>
        <v>Dr, Gustavo Benavente Bermudo</v>
      </c>
      <c r="P609" s="6" t="str">
        <f ca="1">IFERROR(__xludf.DUMMYFUNCTION("""COMPUTED_VALUE"""),"Luis Alberto Rodríguez (Andalucía Y Badajoz)")</f>
        <v>Luis Alberto Rodríguez (Andalucía Y Badajoz)</v>
      </c>
    </row>
    <row r="610" spans="2:16">
      <c r="B610" s="6">
        <f ca="1">IFERROR(__xludf.DUMMYFUNCTION("""COMPUTED_VALUE"""),2025)</f>
        <v>2025</v>
      </c>
      <c r="C610" s="6">
        <f ca="1">IFERROR(__xludf.DUMMYFUNCTION("""COMPUTED_VALUE"""),5)</f>
        <v>5</v>
      </c>
      <c r="D610" s="6" t="str">
        <f ca="1">IFERROR(__xludf.DUMMYFUNCTION("""COMPUTED_VALUE"""),"NO")</f>
        <v>NO</v>
      </c>
      <c r="E610" s="6" t="str">
        <f ca="1">IFERROR(__xludf.DUMMYFUNCTION("""COMPUTED_VALUE"""),"Albacete")</f>
        <v>Albacete</v>
      </c>
      <c r="F610" s="16">
        <f ca="1">IFERROR(__xludf.DUMMYFUNCTION("""COMPUTED_VALUE"""),45793)</f>
        <v>45793</v>
      </c>
      <c r="G610" s="16">
        <f ca="1">IFERROR(__xludf.DUMMYFUNCTION("""COMPUTED_VALUE"""),45650)</f>
        <v>45650</v>
      </c>
      <c r="H610" s="6" t="str">
        <f ca="1">IFERROR(__xludf.DUMMYFUNCTION("""COMPUTED_VALUE"""),"Albacete")</f>
        <v>Albacete</v>
      </c>
      <c r="I610" s="6" t="str">
        <f ca="1">IFERROR(__xludf.DUMMYFUNCTION("""COMPUTED_VALUE"""),"C2025122105841733")</f>
        <v>C2025122105841733</v>
      </c>
      <c r="J610" s="6" t="str">
        <f ca="1">IFERROR(__xludf.DUMMYFUNCTION("""COMPUTED_VALUE"""),"FRANCISCO MOLLA BAÑON")</f>
        <v>FRANCISCO MOLLA BAÑON</v>
      </c>
      <c r="K610" s="6">
        <f ca="1">IFERROR(__xludf.DUMMYFUNCTION("""COMPUTED_VALUE"""),1)</f>
        <v>1</v>
      </c>
      <c r="L610" s="139">
        <f ca="1">IFERROR(__xludf.DUMMYFUNCTION("""COMPUTED_VALUE"""),1980.77)</f>
        <v>1980.77</v>
      </c>
      <c r="M610" s="6" t="str">
        <f ca="1">IFERROR(__xludf.DUMMYFUNCTION("""COMPUTED_VALUE"""),"03 ORL")</f>
        <v>03 ORL</v>
      </c>
      <c r="N610" s="6" t="str">
        <f ca="1">IFERROR(__xludf.DUMMYFUNCTION("""COMPUTED_VALUE"""),"06 ORL")</f>
        <v>06 ORL</v>
      </c>
      <c r="O610" s="6" t="str">
        <f ca="1">IFERROR(__xludf.DUMMYFUNCTION("""COMPUTED_VALUE"""),"Dra, Blanca Maria Martinez Duro")</f>
        <v>Dra, Blanca Maria Martinez Duro</v>
      </c>
      <c r="P610" s="6" t="str">
        <f ca="1">IFERROR(__xludf.DUMMYFUNCTION("""COMPUTED_VALUE"""),"Iván Sánchez (Levante Y Albacete)")</f>
        <v>Iván Sánchez (Levante Y Albacete)</v>
      </c>
    </row>
    <row r="611" spans="2:16">
      <c r="B611" s="6">
        <f ca="1">IFERROR(__xludf.DUMMYFUNCTION("""COMPUTED_VALUE"""),2025)</f>
        <v>2025</v>
      </c>
      <c r="C611" s="6">
        <f ca="1">IFERROR(__xludf.DUMMYFUNCTION("""COMPUTED_VALUE"""),5)</f>
        <v>5</v>
      </c>
      <c r="D611" s="6" t="str">
        <f ca="1">IFERROR(__xludf.DUMMYFUNCTION("""COMPUTED_VALUE"""),"NO")</f>
        <v>NO</v>
      </c>
      <c r="E611" s="6" t="str">
        <f ca="1">IFERROR(__xludf.DUMMYFUNCTION("""COMPUTED_VALUE"""),"Albacete")</f>
        <v>Albacete</v>
      </c>
      <c r="F611" s="16">
        <f ca="1">IFERROR(__xludf.DUMMYFUNCTION("""COMPUTED_VALUE"""),45793)</f>
        <v>45793</v>
      </c>
      <c r="G611" s="16">
        <f ca="1">IFERROR(__xludf.DUMMYFUNCTION("""COMPUTED_VALUE"""),45769)</f>
        <v>45769</v>
      </c>
      <c r="H611" s="6" t="str">
        <f ca="1">IFERROR(__xludf.DUMMYFUNCTION("""COMPUTED_VALUE"""),"Albacete")</f>
        <v>Albacete</v>
      </c>
      <c r="I611" s="6" t="str">
        <f ca="1">IFERROR(__xludf.DUMMYFUNCTION("""COMPUTED_VALUE"""),"C2025425185618539")</f>
        <v>C2025425185618539</v>
      </c>
      <c r="J611" s="6" t="str">
        <f ca="1">IFERROR(__xludf.DUMMYFUNCTION("""COMPUTED_VALUE"""),"José Maria García Garrido")</f>
        <v>José Maria García Garrido</v>
      </c>
      <c r="K611" s="6">
        <f ca="1">IFERROR(__xludf.DUMMYFUNCTION("""COMPUTED_VALUE"""),2)</f>
        <v>2</v>
      </c>
      <c r="L611" s="139">
        <f ca="1">IFERROR(__xludf.DUMMYFUNCTION("""COMPUTED_VALUE"""),2963.64)</f>
        <v>2963.64</v>
      </c>
      <c r="M611" s="6" t="str">
        <f ca="1">IFERROR(__xludf.DUMMYFUNCTION("""COMPUTED_VALUE"""),"03 ORL")</f>
        <v>03 ORL</v>
      </c>
      <c r="N611" s="6" t="str">
        <f ca="1">IFERROR(__xludf.DUMMYFUNCTION("""COMPUTED_VALUE"""),"06 ORL")</f>
        <v>06 ORL</v>
      </c>
      <c r="O611" s="6" t="str">
        <f ca="1">IFERROR(__xludf.DUMMYFUNCTION("""COMPUTED_VALUE"""),"Dra, María Emilia García Ruiz")</f>
        <v>Dra, María Emilia García Ruiz</v>
      </c>
      <c r="P611" s="6" t="str">
        <f ca="1">IFERROR(__xludf.DUMMYFUNCTION("""COMPUTED_VALUE"""),"Ramon Ferrando(Valencia)")</f>
        <v>Ramon Ferrando(Valencia)</v>
      </c>
    </row>
    <row r="612" spans="2:16">
      <c r="B612" s="6">
        <f ca="1">IFERROR(__xludf.DUMMYFUNCTION("""COMPUTED_VALUE"""),2025)</f>
        <v>2025</v>
      </c>
      <c r="C612" s="6">
        <f ca="1">IFERROR(__xludf.DUMMYFUNCTION("""COMPUTED_VALUE"""),5)</f>
        <v>5</v>
      </c>
      <c r="D612" s="6" t="str">
        <f ca="1">IFERROR(__xludf.DUMMYFUNCTION("""COMPUTED_VALUE"""),"NO")</f>
        <v>NO</v>
      </c>
      <c r="E612" s="6" t="str">
        <f ca="1">IFERROR(__xludf.DUMMYFUNCTION("""COMPUTED_VALUE"""),"Albacete")</f>
        <v>Albacete</v>
      </c>
      <c r="F612" s="16">
        <f ca="1">IFERROR(__xludf.DUMMYFUNCTION("""COMPUTED_VALUE"""),45790)</f>
        <v>45790</v>
      </c>
      <c r="G612" s="16">
        <f ca="1">IFERROR(__xludf.DUMMYFUNCTION("""COMPUTED_VALUE"""),45720)</f>
        <v>45720</v>
      </c>
      <c r="H612" s="6" t="str">
        <f ca="1">IFERROR(__xludf.DUMMYFUNCTION("""COMPUTED_VALUE"""),"Albacete")</f>
        <v>Albacete</v>
      </c>
      <c r="I612" s="6" t="str">
        <f ca="1">IFERROR(__xludf.DUMMYFUNCTION("""COMPUTED_VALUE"""),"C20253416827806")</f>
        <v>C20253416827806</v>
      </c>
      <c r="J612" s="6" t="str">
        <f ca="1">IFERROR(__xludf.DUMMYFUNCTION("""COMPUTED_VALUE"""),"MANUEL GARCÍA SÁNCHEZ")</f>
        <v>MANUEL GARCÍA SÁNCHEZ</v>
      </c>
      <c r="K612" s="6">
        <f ca="1">IFERROR(__xludf.DUMMYFUNCTION("""COMPUTED_VALUE"""),2)</f>
        <v>2</v>
      </c>
      <c r="L612" s="139">
        <f ca="1">IFERROR(__xludf.DUMMYFUNCTION("""COMPUTED_VALUE"""),4400)</f>
        <v>4400</v>
      </c>
      <c r="M612" s="6" t="str">
        <f ca="1">IFERROR(__xludf.DUMMYFUNCTION("""COMPUTED_VALUE"""),"03 ORL")</f>
        <v>03 ORL</v>
      </c>
      <c r="N612" s="6" t="str">
        <f ca="1">IFERROR(__xludf.DUMMYFUNCTION("""COMPUTED_VALUE"""),"06 ORL")</f>
        <v>06 ORL</v>
      </c>
      <c r="O612" s="6" t="str">
        <f ca="1">IFERROR(__xludf.DUMMYFUNCTION("""COMPUTED_VALUE"""),"Dr, Pedro Seguí Moya")</f>
        <v>Dr, Pedro Seguí Moya</v>
      </c>
      <c r="P612" s="6" t="str">
        <f ca="1">IFERROR(__xludf.DUMMYFUNCTION("""COMPUTED_VALUE"""),"Iván Sánchez (Levante Y Albacete)")</f>
        <v>Iván Sánchez (Levante Y Albacete)</v>
      </c>
    </row>
    <row r="613" spans="2:16">
      <c r="B613" s="6">
        <f ca="1">IFERROR(__xludf.DUMMYFUNCTION("""COMPUTED_VALUE"""),2025)</f>
        <v>2025</v>
      </c>
      <c r="C613" s="6">
        <f ca="1">IFERROR(__xludf.DUMMYFUNCTION("""COMPUTED_VALUE"""),5)</f>
        <v>5</v>
      </c>
      <c r="D613" s="6" t="str">
        <f ca="1">IFERROR(__xludf.DUMMYFUNCTION("""COMPUTED_VALUE"""),"NO")</f>
        <v>NO</v>
      </c>
      <c r="E613" s="6" t="str">
        <f ca="1">IFERROR(__xludf.DUMMYFUNCTION("""COMPUTED_VALUE"""),"Albacete")</f>
        <v>Albacete</v>
      </c>
      <c r="F613" s="16">
        <f ca="1">IFERROR(__xludf.DUMMYFUNCTION("""COMPUTED_VALUE"""),45790)</f>
        <v>45790</v>
      </c>
      <c r="G613" s="16">
        <f ca="1">IFERROR(__xludf.DUMMYFUNCTION("""COMPUTED_VALUE"""),45757)</f>
        <v>45757</v>
      </c>
      <c r="H613" s="6" t="str">
        <f ca="1">IFERROR(__xludf.DUMMYFUNCTION("""COMPUTED_VALUE"""),"Albacete")</f>
        <v>Albacete</v>
      </c>
      <c r="I613" s="6" t="str">
        <f ca="1">IFERROR(__xludf.DUMMYFUNCTION("""COMPUTED_VALUE"""),"C2025411113311291")</f>
        <v>C2025411113311291</v>
      </c>
      <c r="J613" s="6" t="str">
        <f ca="1">IFERROR(__xludf.DUMMYFUNCTION("""COMPUTED_VALUE"""),"MARIA GONZÁLEZ MURCIA")</f>
        <v>MARIA GONZÁLEZ MURCIA</v>
      </c>
      <c r="K613" s="6">
        <f ca="1">IFERROR(__xludf.DUMMYFUNCTION("""COMPUTED_VALUE"""),2)</f>
        <v>2</v>
      </c>
      <c r="L613" s="139">
        <f ca="1">IFERROR(__xludf.DUMMYFUNCTION("""COMPUTED_VALUE"""),2888.18)</f>
        <v>2888.18</v>
      </c>
      <c r="M613" s="6" t="str">
        <f ca="1">IFERROR(__xludf.DUMMYFUNCTION("""COMPUTED_VALUE"""),"03 ORL")</f>
        <v>03 ORL</v>
      </c>
      <c r="N613" s="6" t="str">
        <f ca="1">IFERROR(__xludf.DUMMYFUNCTION("""COMPUTED_VALUE"""),"06 ORL")</f>
        <v>06 ORL</v>
      </c>
      <c r="O613" s="6" t="str">
        <f ca="1">IFERROR(__xludf.DUMMYFUNCTION("""COMPUTED_VALUE"""),"Dr, Pedro Seguí Moya")</f>
        <v>Dr, Pedro Seguí Moya</v>
      </c>
      <c r="P613" s="6" t="str">
        <f ca="1">IFERROR(__xludf.DUMMYFUNCTION("""COMPUTED_VALUE"""),"Iván Sánchez (Levante Y Albacete)")</f>
        <v>Iván Sánchez (Levante Y Albacete)</v>
      </c>
    </row>
    <row r="614" spans="2:16">
      <c r="B614" s="6">
        <f ca="1">IFERROR(__xludf.DUMMYFUNCTION("""COMPUTED_VALUE"""),2025)</f>
        <v>2025</v>
      </c>
      <c r="C614" s="6">
        <f ca="1">IFERROR(__xludf.DUMMYFUNCTION("""COMPUTED_VALUE"""),5)</f>
        <v>5</v>
      </c>
      <c r="D614" s="6" t="str">
        <f ca="1">IFERROR(__xludf.DUMMYFUNCTION("""COMPUTED_VALUE"""),"NO")</f>
        <v>NO</v>
      </c>
      <c r="E614" s="6" t="str">
        <f ca="1">IFERROR(__xludf.DUMMYFUNCTION("""COMPUTED_VALUE"""),"Alcorcón")</f>
        <v>Alcorcón</v>
      </c>
      <c r="F614" s="16">
        <f ca="1">IFERROR(__xludf.DUMMYFUNCTION("""COMPUTED_VALUE"""),45805)</f>
        <v>45805</v>
      </c>
      <c r="G614" s="16">
        <f ca="1">IFERROR(__xludf.DUMMYFUNCTION("""COMPUTED_VALUE"""),45734)</f>
        <v>45734</v>
      </c>
      <c r="H614" s="6" t="str">
        <f ca="1">IFERROR(__xludf.DUMMYFUNCTION("""COMPUTED_VALUE"""),"Alcorcón")</f>
        <v>Alcorcón</v>
      </c>
      <c r="I614" s="6" t="str">
        <f ca="1">IFERROR(__xludf.DUMMYFUNCTION("""COMPUTED_VALUE"""),"C2025326163444120")</f>
        <v>C2025326163444120</v>
      </c>
      <c r="J614" s="6" t="str">
        <f ca="1">IFERROR(__xludf.DUMMYFUNCTION("""COMPUTED_VALUE"""),"MARIA ALVAREZ CARPEÑO")</f>
        <v>MARIA ALVAREZ CARPEÑO</v>
      </c>
      <c r="K614" s="6">
        <f ca="1">IFERROR(__xludf.DUMMYFUNCTION("""COMPUTED_VALUE"""),1)</f>
        <v>1</v>
      </c>
      <c r="L614" s="139">
        <f ca="1">IFERROR(__xludf.DUMMYFUNCTION("""COMPUTED_VALUE"""),2400)</f>
        <v>2400</v>
      </c>
      <c r="M614" s="6" t="str">
        <f ca="1">IFERROR(__xludf.DUMMYFUNCTION("""COMPUTED_VALUE"""),"03 ORL")</f>
        <v>03 ORL</v>
      </c>
      <c r="N614" s="6" t="str">
        <f ca="1">IFERROR(__xludf.DUMMYFUNCTION("""COMPUTED_VALUE"""),"06 ORL")</f>
        <v>06 ORL</v>
      </c>
      <c r="O614" s="6" t="str">
        <f ca="1">IFERROR(__xludf.DUMMYFUNCTION("""COMPUTED_VALUE"""),"Dr, Álvaro Sánchez Álvarez")</f>
        <v>Dr, Álvaro Sánchez Álvarez</v>
      </c>
      <c r="P614" s="6" t="str">
        <f ca="1">IFERROR(__xludf.DUMMYFUNCTION("""COMPUTED_VALUE"""),"Lisandro Russian (Madrid, Cáceres, Toledo, Talavera Y Logroño)")</f>
        <v>Lisandro Russian (Madrid, Cáceres, Toledo, Talavera Y Logroño)</v>
      </c>
    </row>
    <row r="615" spans="2:16">
      <c r="B615" s="6">
        <f ca="1">IFERROR(__xludf.DUMMYFUNCTION("""COMPUTED_VALUE"""),2025)</f>
        <v>2025</v>
      </c>
      <c r="C615" s="6">
        <f ca="1">IFERROR(__xludf.DUMMYFUNCTION("""COMPUTED_VALUE"""),5)</f>
        <v>5</v>
      </c>
      <c r="D615" s="6" t="str">
        <f ca="1">IFERROR(__xludf.DUMMYFUNCTION("""COMPUTED_VALUE"""),"NO")</f>
        <v>NO</v>
      </c>
      <c r="E615" s="6" t="str">
        <f ca="1">IFERROR(__xludf.DUMMYFUNCTION("""COMPUTED_VALUE"""),"Alcorcón")</f>
        <v>Alcorcón</v>
      </c>
      <c r="F615" s="16">
        <f ca="1">IFERROR(__xludf.DUMMYFUNCTION("""COMPUTED_VALUE"""),45807)</f>
        <v>45807</v>
      </c>
      <c r="G615" s="16">
        <f ca="1">IFERROR(__xludf.DUMMYFUNCTION("""COMPUTED_VALUE"""),45754)</f>
        <v>45754</v>
      </c>
      <c r="H615" s="6" t="str">
        <f ca="1">IFERROR(__xludf.DUMMYFUNCTION("""COMPUTED_VALUE"""),"Alcorcón")</f>
        <v>Alcorcón</v>
      </c>
      <c r="I615" s="6" t="str">
        <f ca="1">IFERROR(__xludf.DUMMYFUNCTION("""COMPUTED_VALUE"""),"C2025411161616351")</f>
        <v>C2025411161616351</v>
      </c>
      <c r="J615" s="6" t="str">
        <f ca="1">IFERROR(__xludf.DUMMYFUNCTION("""COMPUTED_VALUE"""),"MATIAS MONTOYA URBANO")</f>
        <v>MATIAS MONTOYA URBANO</v>
      </c>
      <c r="K615" s="6">
        <f ca="1">IFERROR(__xludf.DUMMYFUNCTION("""COMPUTED_VALUE"""),1)</f>
        <v>1</v>
      </c>
      <c r="L615" s="139">
        <f ca="1">IFERROR(__xludf.DUMMYFUNCTION("""COMPUTED_VALUE"""),2400)</f>
        <v>2400</v>
      </c>
      <c r="M615" s="6" t="str">
        <f ca="1">IFERROR(__xludf.DUMMYFUNCTION("""COMPUTED_VALUE"""),"03 ORL")</f>
        <v>03 ORL</v>
      </c>
      <c r="N615" s="6" t="str">
        <f ca="1">IFERROR(__xludf.DUMMYFUNCTION("""COMPUTED_VALUE"""),"06 ORL")</f>
        <v>06 ORL</v>
      </c>
      <c r="O615" s="6" t="str">
        <f ca="1">IFERROR(__xludf.DUMMYFUNCTION("""COMPUTED_VALUE"""),"Dr, Álvaro Sánchez Álvarez")</f>
        <v>Dr, Álvaro Sánchez Álvarez</v>
      </c>
      <c r="P615" s="6" t="str">
        <f ca="1">IFERROR(__xludf.DUMMYFUNCTION("""COMPUTED_VALUE"""),"Maika Blázquez (Madrid)")</f>
        <v>Maika Blázquez (Madrid)</v>
      </c>
    </row>
    <row r="616" spans="2:16">
      <c r="B616" s="6">
        <f ca="1">IFERROR(__xludf.DUMMYFUNCTION("""COMPUTED_VALUE"""),2025)</f>
        <v>2025</v>
      </c>
      <c r="C616" s="6">
        <f ca="1">IFERROR(__xludf.DUMMYFUNCTION("""COMPUTED_VALUE"""),5)</f>
        <v>5</v>
      </c>
      <c r="D616" s="6" t="str">
        <f ca="1">IFERROR(__xludf.DUMMYFUNCTION("""COMPUTED_VALUE"""),"NO")</f>
        <v>NO</v>
      </c>
      <c r="E616" s="6" t="str">
        <f ca="1">IFERROR(__xludf.DUMMYFUNCTION("""COMPUTED_VALUE"""),"Alicante")</f>
        <v>Alicante</v>
      </c>
      <c r="F616" s="16">
        <f ca="1">IFERROR(__xludf.DUMMYFUNCTION("""COMPUTED_VALUE"""),45800)</f>
        <v>45800</v>
      </c>
      <c r="G616" s="16">
        <f ca="1">IFERROR(__xludf.DUMMYFUNCTION("""COMPUTED_VALUE"""),45751)</f>
        <v>45751</v>
      </c>
      <c r="H616" s="6" t="str">
        <f ca="1">IFERROR(__xludf.DUMMYFUNCTION("""COMPUTED_VALUE"""),"Alicante")</f>
        <v>Alicante</v>
      </c>
      <c r="I616" s="6" t="str">
        <f ca="1">IFERROR(__xludf.DUMMYFUNCTION("""COMPUTED_VALUE"""),"C20254151145219")</f>
        <v>C20254151145219</v>
      </c>
      <c r="J616" s="6" t="str">
        <f ca="1">IFERROR(__xludf.DUMMYFUNCTION("""COMPUTED_VALUE"""),"BRUNO FRANCES GIMENEZ")</f>
        <v>BRUNO FRANCES GIMENEZ</v>
      </c>
      <c r="K616" s="6">
        <f ca="1">IFERROR(__xludf.DUMMYFUNCTION("""COMPUTED_VALUE"""),2)</f>
        <v>2</v>
      </c>
      <c r="L616" s="139">
        <f ca="1">IFERROR(__xludf.DUMMYFUNCTION("""COMPUTED_VALUE"""),4400)</f>
        <v>4400</v>
      </c>
      <c r="M616" s="6" t="str">
        <f ca="1">IFERROR(__xludf.DUMMYFUNCTION("""COMPUTED_VALUE"""),"03 ORL")</f>
        <v>03 ORL</v>
      </c>
      <c r="N616" s="6" t="str">
        <f ca="1">IFERROR(__xludf.DUMMYFUNCTION("""COMPUTED_VALUE"""),"06 ORL")</f>
        <v>06 ORL</v>
      </c>
      <c r="O616" s="6" t="str">
        <f ca="1">IFERROR(__xludf.DUMMYFUNCTION("""COMPUTED_VALUE"""),"Dr, Oscar Alemán López")</f>
        <v>Dr, Oscar Alemán López</v>
      </c>
      <c r="P616" s="6" t="str">
        <f ca="1">IFERROR(__xludf.DUMMYFUNCTION("""COMPUTED_VALUE"""),"Iván Sánchez (Levante Y Albacete)")</f>
        <v>Iván Sánchez (Levante Y Albacete)</v>
      </c>
    </row>
    <row r="617" spans="2:16">
      <c r="B617" s="6">
        <f ca="1">IFERROR(__xludf.DUMMYFUNCTION("""COMPUTED_VALUE"""),2025)</f>
        <v>2025</v>
      </c>
      <c r="C617" s="6">
        <f ca="1">IFERROR(__xludf.DUMMYFUNCTION("""COMPUTED_VALUE"""),5)</f>
        <v>5</v>
      </c>
      <c r="D617" s="6" t="str">
        <f ca="1">IFERROR(__xludf.DUMMYFUNCTION("""COMPUTED_VALUE"""),"NO")</f>
        <v>NO</v>
      </c>
      <c r="E617" s="6" t="str">
        <f ca="1">IFERROR(__xludf.DUMMYFUNCTION("""COMPUTED_VALUE"""),"Alicante")</f>
        <v>Alicante</v>
      </c>
      <c r="F617" s="16">
        <f ca="1">IFERROR(__xludf.DUMMYFUNCTION("""COMPUTED_VALUE"""),45807)</f>
        <v>45807</v>
      </c>
      <c r="G617" s="16">
        <f ca="1">IFERROR(__xludf.DUMMYFUNCTION("""COMPUTED_VALUE"""),45775)</f>
        <v>45775</v>
      </c>
      <c r="H617" s="6" t="str">
        <f ca="1">IFERROR(__xludf.DUMMYFUNCTION("""COMPUTED_VALUE"""),"Alicante")</f>
        <v>Alicante</v>
      </c>
      <c r="I617" s="6" t="str">
        <f ca="1">IFERROR(__xludf.DUMMYFUNCTION("""COMPUTED_VALUE"""),"C20254301129362")</f>
        <v>C20254301129362</v>
      </c>
      <c r="J617" s="6" t="str">
        <f ca="1">IFERROR(__xludf.DUMMYFUNCTION("""COMPUTED_VALUE"""),"JUANA ALICIA CASTAÑERA REINHART")</f>
        <v>JUANA ALICIA CASTAÑERA REINHART</v>
      </c>
      <c r="K617" s="6">
        <f ca="1">IFERROR(__xludf.DUMMYFUNCTION("""COMPUTED_VALUE"""),2)</f>
        <v>2</v>
      </c>
      <c r="L617" s="139">
        <f ca="1">IFERROR(__xludf.DUMMYFUNCTION("""COMPUTED_VALUE"""),2744.09)</f>
        <v>2744.09</v>
      </c>
      <c r="M617" s="6" t="str">
        <f ca="1">IFERROR(__xludf.DUMMYFUNCTION("""COMPUTED_VALUE"""),"03 ORL")</f>
        <v>03 ORL</v>
      </c>
      <c r="N617" s="6" t="str">
        <f ca="1">IFERROR(__xludf.DUMMYFUNCTION("""COMPUTED_VALUE"""),"06 ORL")</f>
        <v>06 ORL</v>
      </c>
      <c r="O617" s="6" t="str">
        <f ca="1">IFERROR(__xludf.DUMMYFUNCTION("""COMPUTED_VALUE"""),"Dra, Ana Gabriela Jover Espla")</f>
        <v>Dra, Ana Gabriela Jover Espla</v>
      </c>
      <c r="P617" s="6" t="str">
        <f ca="1">IFERROR(__xludf.DUMMYFUNCTION("""COMPUTED_VALUE"""),"Iván Sánchez (Levante Y Albacete)")</f>
        <v>Iván Sánchez (Levante Y Albacete)</v>
      </c>
    </row>
    <row r="618" spans="2:16">
      <c r="B618" s="6">
        <f ca="1">IFERROR(__xludf.DUMMYFUNCTION("""COMPUTED_VALUE"""),2025)</f>
        <v>2025</v>
      </c>
      <c r="C618" s="6">
        <f ca="1">IFERROR(__xludf.DUMMYFUNCTION("""COMPUTED_VALUE"""),5)</f>
        <v>5</v>
      </c>
      <c r="D618" s="6" t="str">
        <f ca="1">IFERROR(__xludf.DUMMYFUNCTION("""COMPUTED_VALUE"""),"NO")</f>
        <v>NO</v>
      </c>
      <c r="E618" s="6" t="str">
        <f ca="1">IFERROR(__xludf.DUMMYFUNCTION("""COMPUTED_VALUE"""),"Alicante")</f>
        <v>Alicante</v>
      </c>
      <c r="F618" s="16">
        <f ca="1">IFERROR(__xludf.DUMMYFUNCTION("""COMPUTED_VALUE"""),45791)</f>
        <v>45791</v>
      </c>
      <c r="G618" s="16">
        <f ca="1">IFERROR(__xludf.DUMMYFUNCTION("""COMPUTED_VALUE"""),45742)</f>
        <v>45742</v>
      </c>
      <c r="H618" s="6" t="str">
        <f ca="1">IFERROR(__xludf.DUMMYFUNCTION("""COMPUTED_VALUE"""),"Alicante")</f>
        <v>Alicante</v>
      </c>
      <c r="I618" s="6" t="str">
        <f ca="1">IFERROR(__xludf.DUMMYFUNCTION("""COMPUTED_VALUE"""),"C202547155653185")</f>
        <v>C202547155653185</v>
      </c>
      <c r="J618" s="6" t="str">
        <f ca="1">IFERROR(__xludf.DUMMYFUNCTION("""COMPUTED_VALUE"""),"MANUEL SEVERA FERRANDIS")</f>
        <v>MANUEL SEVERA FERRANDIS</v>
      </c>
      <c r="K618" s="6">
        <f ca="1">IFERROR(__xludf.DUMMYFUNCTION("""COMPUTED_VALUE"""),2)</f>
        <v>2</v>
      </c>
      <c r="L618" s="139">
        <f ca="1">IFERROR(__xludf.DUMMYFUNCTION("""COMPUTED_VALUE"""),3740)</f>
        <v>3740</v>
      </c>
      <c r="M618" s="6" t="str">
        <f ca="1">IFERROR(__xludf.DUMMYFUNCTION("""COMPUTED_VALUE"""),"03 ORL")</f>
        <v>03 ORL</v>
      </c>
      <c r="N618" s="6" t="str">
        <f ca="1">IFERROR(__xludf.DUMMYFUNCTION("""COMPUTED_VALUE"""),"06 ORL")</f>
        <v>06 ORL</v>
      </c>
      <c r="O618" s="6" t="str">
        <f ca="1">IFERROR(__xludf.DUMMYFUNCTION("""COMPUTED_VALUE"""),"Dr, Guillermo Severá Ferrándiz")</f>
        <v>Dr, Guillermo Severá Ferrándiz</v>
      </c>
      <c r="P618" s="6" t="str">
        <f ca="1">IFERROR(__xludf.DUMMYFUNCTION("""COMPUTED_VALUE"""),"Iván Sánchez (Levante Y Albacete)")</f>
        <v>Iván Sánchez (Levante Y Albacete)</v>
      </c>
    </row>
    <row r="619" spans="2:16">
      <c r="B619" s="6">
        <f ca="1">IFERROR(__xludf.DUMMYFUNCTION("""COMPUTED_VALUE"""),2025)</f>
        <v>2025</v>
      </c>
      <c r="C619" s="6">
        <f ca="1">IFERROR(__xludf.DUMMYFUNCTION("""COMPUTED_VALUE"""),5)</f>
        <v>5</v>
      </c>
      <c r="D619" s="6" t="str">
        <f ca="1">IFERROR(__xludf.DUMMYFUNCTION("""COMPUTED_VALUE"""),"NO")</f>
        <v>NO</v>
      </c>
      <c r="E619" s="6" t="str">
        <f ca="1">IFERROR(__xludf.DUMMYFUNCTION("""COMPUTED_VALUE"""),"Alicante")</f>
        <v>Alicante</v>
      </c>
      <c r="F619" s="16">
        <f ca="1">IFERROR(__xludf.DUMMYFUNCTION("""COMPUTED_VALUE"""),45803)</f>
        <v>45803</v>
      </c>
      <c r="G619" s="16">
        <f ca="1">IFERROR(__xludf.DUMMYFUNCTION("""COMPUTED_VALUE"""),45754)</f>
        <v>45754</v>
      </c>
      <c r="H619" s="6" t="str">
        <f ca="1">IFERROR(__xludf.DUMMYFUNCTION("""COMPUTED_VALUE"""),"Alicante")</f>
        <v>Alicante</v>
      </c>
      <c r="I619" s="6" t="str">
        <f ca="1">IFERROR(__xludf.DUMMYFUNCTION("""COMPUTED_VALUE"""),"C202541411623984")</f>
        <v>C202541411623984</v>
      </c>
      <c r="J619" s="6" t="str">
        <f ca="1">IFERROR(__xludf.DUMMYFUNCTION("""COMPUTED_VALUE"""),"REMEDIOS MEDINA ALENDA")</f>
        <v>REMEDIOS MEDINA ALENDA</v>
      </c>
      <c r="K619" s="6">
        <f ca="1">IFERROR(__xludf.DUMMYFUNCTION("""COMPUTED_VALUE"""),2)</f>
        <v>2</v>
      </c>
      <c r="L619" s="139">
        <f ca="1">IFERROR(__xludf.DUMMYFUNCTION("""COMPUTED_VALUE"""),3710)</f>
        <v>3710</v>
      </c>
      <c r="M619" s="6" t="str">
        <f ca="1">IFERROR(__xludf.DUMMYFUNCTION("""COMPUTED_VALUE"""),"03 ORL")</f>
        <v>03 ORL</v>
      </c>
      <c r="N619" s="6" t="str">
        <f ca="1">IFERROR(__xludf.DUMMYFUNCTION("""COMPUTED_VALUE"""),"06 ORL")</f>
        <v>06 ORL</v>
      </c>
      <c r="O619" s="6" t="str">
        <f ca="1">IFERROR(__xludf.DUMMYFUNCTION("""COMPUTED_VALUE"""),"Dra, Mónica Rodríguez Valero")</f>
        <v>Dra, Mónica Rodríguez Valero</v>
      </c>
      <c r="P619" s="6" t="str">
        <f ca="1">IFERROR(__xludf.DUMMYFUNCTION("""COMPUTED_VALUE"""),"Iván Sánchez (Levante Y Albacete)")</f>
        <v>Iván Sánchez (Levante Y Albacete)</v>
      </c>
    </row>
    <row r="620" spans="2:16">
      <c r="B620" s="6">
        <f ca="1">IFERROR(__xludf.DUMMYFUNCTION("""COMPUTED_VALUE"""),2025)</f>
        <v>2025</v>
      </c>
      <c r="C620" s="6">
        <f ca="1">IFERROR(__xludf.DUMMYFUNCTION("""COMPUTED_VALUE"""),5)</f>
        <v>5</v>
      </c>
      <c r="D620" s="6" t="str">
        <f ca="1">IFERROR(__xludf.DUMMYFUNCTION("""COMPUTED_VALUE"""),"NO")</f>
        <v>NO</v>
      </c>
      <c r="E620" s="6" t="str">
        <f ca="1">IFERROR(__xludf.DUMMYFUNCTION("""COMPUTED_VALUE"""),"Alicante")</f>
        <v>Alicante</v>
      </c>
      <c r="F620" s="16">
        <f ca="1">IFERROR(__xludf.DUMMYFUNCTION("""COMPUTED_VALUE"""),45807)</f>
        <v>45807</v>
      </c>
      <c r="G620" s="16">
        <f ca="1">IFERROR(__xludf.DUMMYFUNCTION("""COMPUTED_VALUE"""),45763)</f>
        <v>45763</v>
      </c>
      <c r="H620" s="6" t="str">
        <f ca="1">IFERROR(__xludf.DUMMYFUNCTION("""COMPUTED_VALUE"""),"Alicante")</f>
        <v>Alicante</v>
      </c>
      <c r="I620" s="6" t="str">
        <f ca="1">IFERROR(__xludf.DUMMYFUNCTION("""COMPUTED_VALUE"""),"C2025425105237710")</f>
        <v>C2025425105237710</v>
      </c>
      <c r="J620" s="6" t="str">
        <f ca="1">IFERROR(__xludf.DUMMYFUNCTION("""COMPUTED_VALUE"""),"ROSA VILA GRANCHA")</f>
        <v>ROSA VILA GRANCHA</v>
      </c>
      <c r="K620" s="6">
        <f ca="1">IFERROR(__xludf.DUMMYFUNCTION("""COMPUTED_VALUE"""),2)</f>
        <v>2</v>
      </c>
      <c r="L620" s="139">
        <f ca="1">IFERROR(__xludf.DUMMYFUNCTION("""COMPUTED_VALUE"""),4000)</f>
        <v>4000</v>
      </c>
      <c r="M620" s="6" t="str">
        <f ca="1">IFERROR(__xludf.DUMMYFUNCTION("""COMPUTED_VALUE"""),"03 ORL")</f>
        <v>03 ORL</v>
      </c>
      <c r="N620" s="6" t="str">
        <f ca="1">IFERROR(__xludf.DUMMYFUNCTION("""COMPUTED_VALUE"""),"06 ORL")</f>
        <v>06 ORL</v>
      </c>
      <c r="O620" s="6" t="str">
        <f ca="1">IFERROR(__xludf.DUMMYFUNCTION("""COMPUTED_VALUE"""),"Dr, Javier Lafarga Vázquez")</f>
        <v>Dr, Javier Lafarga Vázquez</v>
      </c>
      <c r="P620" s="6" t="str">
        <f ca="1">IFERROR(__xludf.DUMMYFUNCTION("""COMPUTED_VALUE"""),"Iván Sánchez (Levante Y Albacete)")</f>
        <v>Iván Sánchez (Levante Y Albacete)</v>
      </c>
    </row>
    <row r="621" spans="2:16">
      <c r="B621" s="6">
        <f ca="1">IFERROR(__xludf.DUMMYFUNCTION("""COMPUTED_VALUE"""),2025)</f>
        <v>2025</v>
      </c>
      <c r="C621" s="6">
        <f ca="1">IFERROR(__xludf.DUMMYFUNCTION("""COMPUTED_VALUE"""),5)</f>
        <v>5</v>
      </c>
      <c r="D621" s="6" t="str">
        <f ca="1">IFERROR(__xludf.DUMMYFUNCTION("""COMPUTED_VALUE"""),"NO")</f>
        <v>NO</v>
      </c>
      <c r="E621" s="6" t="str">
        <f ca="1">IFERROR(__xludf.DUMMYFUNCTION("""COMPUTED_VALUE"""),"Alicante")</f>
        <v>Alicante</v>
      </c>
      <c r="F621" s="16">
        <f ca="1">IFERROR(__xludf.DUMMYFUNCTION("""COMPUTED_VALUE"""),45806)</f>
        <v>45806</v>
      </c>
      <c r="G621" s="16">
        <f ca="1">IFERROR(__xludf.DUMMYFUNCTION("""COMPUTED_VALUE"""),45775)</f>
        <v>45775</v>
      </c>
      <c r="H621" s="6" t="str">
        <f ca="1">IFERROR(__xludf.DUMMYFUNCTION("""COMPUTED_VALUE"""),"Alicante")</f>
        <v>Alicante</v>
      </c>
      <c r="I621" s="6" t="str">
        <f ca="1">IFERROR(__xludf.DUMMYFUNCTION("""COMPUTED_VALUE"""),"C2025430174328526")</f>
        <v>C2025430174328526</v>
      </c>
      <c r="J621" s="6" t="str">
        <f ca="1">IFERROR(__xludf.DUMMYFUNCTION("""COMPUTED_VALUE"""),"TRINIDAD GARCIA CAPPA")</f>
        <v>TRINIDAD GARCIA CAPPA</v>
      </c>
      <c r="K621" s="6">
        <f ca="1">IFERROR(__xludf.DUMMYFUNCTION("""COMPUTED_VALUE"""),2)</f>
        <v>2</v>
      </c>
      <c r="L621" s="139">
        <f ca="1">IFERROR(__xludf.DUMMYFUNCTION("""COMPUTED_VALUE"""),3800)</f>
        <v>3800</v>
      </c>
      <c r="M621" s="6" t="str">
        <f ca="1">IFERROR(__xludf.DUMMYFUNCTION("""COMPUTED_VALUE"""),"03 ORL")</f>
        <v>03 ORL</v>
      </c>
      <c r="N621" s="6" t="str">
        <f ca="1">IFERROR(__xludf.DUMMYFUNCTION("""COMPUTED_VALUE"""),"06 ORL")</f>
        <v>06 ORL</v>
      </c>
      <c r="O621" s="6" t="str">
        <f ca="1">IFERROR(__xludf.DUMMYFUNCTION("""COMPUTED_VALUE"""),"Dr, Guillermo Severá Ferrándiz")</f>
        <v>Dr, Guillermo Severá Ferrándiz</v>
      </c>
      <c r="P621" s="6" t="str">
        <f ca="1">IFERROR(__xludf.DUMMYFUNCTION("""COMPUTED_VALUE"""),"Iván Sánchez (Levante Y Albacete)")</f>
        <v>Iván Sánchez (Levante Y Albacete)</v>
      </c>
    </row>
    <row r="622" spans="2:16">
      <c r="B622" s="6">
        <f ca="1">IFERROR(__xludf.DUMMYFUNCTION("""COMPUTED_VALUE"""),2025)</f>
        <v>2025</v>
      </c>
      <c r="C622" s="6">
        <f ca="1">IFERROR(__xludf.DUMMYFUNCTION("""COMPUTED_VALUE"""),5)</f>
        <v>5</v>
      </c>
      <c r="D622" s="6" t="str">
        <f ca="1">IFERROR(__xludf.DUMMYFUNCTION("""COMPUTED_VALUE"""),"NO")</f>
        <v>NO</v>
      </c>
      <c r="E622" s="6" t="str">
        <f ca="1">IFERROR(__xludf.DUMMYFUNCTION("""COMPUTED_VALUE"""),"Almería")</f>
        <v>Almería</v>
      </c>
      <c r="F622" s="16">
        <f ca="1">IFERROR(__xludf.DUMMYFUNCTION("""COMPUTED_VALUE"""),45779)</f>
        <v>45779</v>
      </c>
      <c r="G622" s="16">
        <f ca="1">IFERROR(__xludf.DUMMYFUNCTION("""COMPUTED_VALUE"""),45257)</f>
        <v>45257</v>
      </c>
      <c r="H622" s="6" t="str">
        <f ca="1">IFERROR(__xludf.DUMMYFUNCTION("""COMPUTED_VALUE"""),"Almería")</f>
        <v>Almería</v>
      </c>
      <c r="I622" s="6" t="str">
        <f ca="1">IFERROR(__xludf.DUMMYFUNCTION("""COMPUTED_VALUE"""),"ALM-1214")</f>
        <v>ALM-1214</v>
      </c>
      <c r="J622" s="6" t="str">
        <f ca="1">IFERROR(__xludf.DUMMYFUNCTION("""COMPUTED_VALUE"""),"VIRTUDES RUBI LOPEZ")</f>
        <v>VIRTUDES RUBI LOPEZ</v>
      </c>
      <c r="K622" s="6">
        <f ca="1">IFERROR(__xludf.DUMMYFUNCTION("""COMPUTED_VALUE"""),2)</f>
        <v>2</v>
      </c>
      <c r="L622" s="139">
        <f ca="1">IFERROR(__xludf.DUMMYFUNCTION("""COMPUTED_VALUE"""),2722.73)</f>
        <v>2722.73</v>
      </c>
      <c r="M622" s="6" t="str">
        <f ca="1">IFERROR(__xludf.DUMMYFUNCTION("""COMPUTED_VALUE"""),"03 ORL")</f>
        <v>03 ORL</v>
      </c>
      <c r="N622" s="6" t="str">
        <f ca="1">IFERROR(__xludf.DUMMYFUNCTION("""COMPUTED_VALUE"""),"06 ORL")</f>
        <v>06 ORL</v>
      </c>
      <c r="O622" s="6" t="str">
        <f ca="1">IFERROR(__xludf.DUMMYFUNCTION("""COMPUTED_VALUE"""),"Dr, Javier Padilla Caballero")</f>
        <v>Dr, Javier Padilla Caballero</v>
      </c>
      <c r="P622" s="6" t="str">
        <f ca="1">IFERROR(__xludf.DUMMYFUNCTION("""COMPUTED_VALUE"""),"Ramon Ferrando(Valencia)")</f>
        <v>Ramon Ferrando(Valencia)</v>
      </c>
    </row>
    <row r="623" spans="2:16">
      <c r="B623" s="6">
        <f ca="1">IFERROR(__xludf.DUMMYFUNCTION("""COMPUTED_VALUE"""),2025)</f>
        <v>2025</v>
      </c>
      <c r="C623" s="6">
        <f ca="1">IFERROR(__xludf.DUMMYFUNCTION("""COMPUTED_VALUE"""),5)</f>
        <v>5</v>
      </c>
      <c r="D623" s="6" t="str">
        <f ca="1">IFERROR(__xludf.DUMMYFUNCTION("""COMPUTED_VALUE"""),"NO")</f>
        <v>NO</v>
      </c>
      <c r="E623" s="6" t="str">
        <f ca="1">IFERROR(__xludf.DUMMYFUNCTION("""COMPUTED_VALUE"""),"Barcelona- Córcega")</f>
        <v>Barcelona- Córcega</v>
      </c>
      <c r="F623" s="16">
        <f ca="1">IFERROR(__xludf.DUMMYFUNCTION("""COMPUTED_VALUE"""),45790)</f>
        <v>45790</v>
      </c>
      <c r="G623" s="16">
        <f ca="1">IFERROR(__xludf.DUMMYFUNCTION("""COMPUTED_VALUE"""),45740)</f>
        <v>45740</v>
      </c>
      <c r="H623" s="6" t="str">
        <f ca="1">IFERROR(__xludf.DUMMYFUNCTION("""COMPUTED_VALUE"""),"Córcega")</f>
        <v>Córcega</v>
      </c>
      <c r="I623" s="6" t="str">
        <f ca="1">IFERROR(__xludf.DUMMYFUNCTION("""COMPUTED_VALUE"""),"C20253251623281")</f>
        <v>C20253251623281</v>
      </c>
      <c r="J623" s="6" t="str">
        <f ca="1">IFERROR(__xludf.DUMMYFUNCTION("""COMPUTED_VALUE"""),"EDUARDO MANUEL MATEOS FRIAS")</f>
        <v>EDUARDO MANUEL MATEOS FRIAS</v>
      </c>
      <c r="K623" s="6">
        <f ca="1">IFERROR(__xludf.DUMMYFUNCTION("""COMPUTED_VALUE"""),2)</f>
        <v>2</v>
      </c>
      <c r="L623" s="139">
        <f ca="1">IFERROR(__xludf.DUMMYFUNCTION("""COMPUTED_VALUE"""),4400)</f>
        <v>4400</v>
      </c>
      <c r="M623" s="6" t="str">
        <f ca="1">IFERROR(__xludf.DUMMYFUNCTION("""COMPUTED_VALUE"""),"03 ORL")</f>
        <v>03 ORL</v>
      </c>
      <c r="N623" s="6" t="str">
        <f ca="1">IFERROR(__xludf.DUMMYFUNCTION("""COMPUTED_VALUE"""),"06 ORL")</f>
        <v>06 ORL</v>
      </c>
      <c r="O623" s="6" t="str">
        <f ca="1">IFERROR(__xludf.DUMMYFUNCTION("""COMPUTED_VALUE"""),"Dra, Marta Sandoval Puig")</f>
        <v>Dra, Marta Sandoval Puig</v>
      </c>
      <c r="P623" s="6" t="str">
        <f ca="1">IFERROR(__xludf.DUMMYFUNCTION("""COMPUTED_VALUE"""),"Mercè Cabrera (Cataluña Y Baleares)")</f>
        <v>Mercè Cabrera (Cataluña Y Baleares)</v>
      </c>
    </row>
    <row r="624" spans="2:16">
      <c r="B624" s="6">
        <f ca="1">IFERROR(__xludf.DUMMYFUNCTION("""COMPUTED_VALUE"""),2025)</f>
        <v>2025</v>
      </c>
      <c r="C624" s="6">
        <f ca="1">IFERROR(__xludf.DUMMYFUNCTION("""COMPUTED_VALUE"""),5)</f>
        <v>5</v>
      </c>
      <c r="D624" s="6" t="str">
        <f ca="1">IFERROR(__xludf.DUMMYFUNCTION("""COMPUTED_VALUE"""),"NO")</f>
        <v>NO</v>
      </c>
      <c r="E624" s="6" t="str">
        <f ca="1">IFERROR(__xludf.DUMMYFUNCTION("""COMPUTED_VALUE"""),"Barcelona- Fabra i Puig")</f>
        <v>Barcelona- Fabra i Puig</v>
      </c>
      <c r="F624" s="16">
        <f ca="1">IFERROR(__xludf.DUMMYFUNCTION("""COMPUTED_VALUE"""),45782)</f>
        <v>45782</v>
      </c>
      <c r="G624" s="16">
        <f ca="1">IFERROR(__xludf.DUMMYFUNCTION("""COMPUTED_VALUE"""),45720)</f>
        <v>45720</v>
      </c>
      <c r="H624" s="6" t="str">
        <f ca="1">IFERROR(__xludf.DUMMYFUNCTION("""COMPUTED_VALUE"""),"Fabra")</f>
        <v>Fabra</v>
      </c>
      <c r="I624" s="6" t="str">
        <f ca="1">IFERROR(__xludf.DUMMYFUNCTION("""COMPUTED_VALUE"""),"C2025313122834934")</f>
        <v>C2025313122834934</v>
      </c>
      <c r="J624" s="6" t="str">
        <f ca="1">IFERROR(__xludf.DUMMYFUNCTION("""COMPUTED_VALUE"""),"AGUSTIN ZURERA RUBIO")</f>
        <v>AGUSTIN ZURERA RUBIO</v>
      </c>
      <c r="K624" s="6">
        <f ca="1">IFERROR(__xludf.DUMMYFUNCTION("""COMPUTED_VALUE"""),2)</f>
        <v>2</v>
      </c>
      <c r="L624" s="139">
        <f ca="1">IFERROR(__xludf.DUMMYFUNCTION("""COMPUTED_VALUE"""),2586.36)</f>
        <v>2586.36</v>
      </c>
      <c r="M624" s="6" t="str">
        <f ca="1">IFERROR(__xludf.DUMMYFUNCTION("""COMPUTED_VALUE"""),"03 ORL")</f>
        <v>03 ORL</v>
      </c>
      <c r="N624" s="6" t="str">
        <f ca="1">IFERROR(__xludf.DUMMYFUNCTION("""COMPUTED_VALUE"""),"06 ORL")</f>
        <v>06 ORL</v>
      </c>
      <c r="O624" s="6" t="str">
        <f ca="1">IFERROR(__xludf.DUMMYFUNCTION("""COMPUTED_VALUE"""),"Dr, Pablo Vergés Fort")</f>
        <v>Dr, Pablo Vergés Fort</v>
      </c>
      <c r="P624" s="6" t="str">
        <f ca="1">IFERROR(__xludf.DUMMYFUNCTION("""COMPUTED_VALUE"""),"Mercè Cabrera (Cataluña Y Baleares)")</f>
        <v>Mercè Cabrera (Cataluña Y Baleares)</v>
      </c>
    </row>
    <row r="625" spans="2:16">
      <c r="B625" s="6">
        <f ca="1">IFERROR(__xludf.DUMMYFUNCTION("""COMPUTED_VALUE"""),2025)</f>
        <v>2025</v>
      </c>
      <c r="C625" s="6">
        <f ca="1">IFERROR(__xludf.DUMMYFUNCTION("""COMPUTED_VALUE"""),5)</f>
        <v>5</v>
      </c>
      <c r="D625" s="6" t="str">
        <f ca="1">IFERROR(__xludf.DUMMYFUNCTION("""COMPUTED_VALUE"""),"NO")</f>
        <v>NO</v>
      </c>
      <c r="E625" s="6" t="str">
        <f ca="1">IFERROR(__xludf.DUMMYFUNCTION("""COMPUTED_VALUE"""),"Barcelona- Fabra i Puig")</f>
        <v>Barcelona- Fabra i Puig</v>
      </c>
      <c r="F625" s="16">
        <f ca="1">IFERROR(__xludf.DUMMYFUNCTION("""COMPUTED_VALUE"""),45789)</f>
        <v>45789</v>
      </c>
      <c r="G625" s="16">
        <f ca="1">IFERROR(__xludf.DUMMYFUNCTION("""COMPUTED_VALUE"""),45750)</f>
        <v>45750</v>
      </c>
      <c r="H625" s="6" t="str">
        <f ca="1">IFERROR(__xludf.DUMMYFUNCTION("""COMPUTED_VALUE"""),"Fabra")</f>
        <v>Fabra</v>
      </c>
      <c r="I625" s="6" t="str">
        <f ca="1">IFERROR(__xludf.DUMMYFUNCTION("""COMPUTED_VALUE"""),"C20254711323072")</f>
        <v>C20254711323072</v>
      </c>
      <c r="J625" s="6" t="str">
        <f ca="1">IFERROR(__xludf.DUMMYFUNCTION("""COMPUTED_VALUE"""),"JESUS ÁNGEL UBEDA MARTINEZ")</f>
        <v>JESUS ÁNGEL UBEDA MARTINEZ</v>
      </c>
      <c r="K625" s="6">
        <f ca="1">IFERROR(__xludf.DUMMYFUNCTION("""COMPUTED_VALUE"""),2)</f>
        <v>2</v>
      </c>
      <c r="L625" s="139">
        <f ca="1">IFERROR(__xludf.DUMMYFUNCTION("""COMPUTED_VALUE"""),4000)</f>
        <v>4000</v>
      </c>
      <c r="M625" s="6" t="str">
        <f ca="1">IFERROR(__xludf.DUMMYFUNCTION("""COMPUTED_VALUE"""),"03 ORL")</f>
        <v>03 ORL</v>
      </c>
      <c r="N625" s="6" t="str">
        <f ca="1">IFERROR(__xludf.DUMMYFUNCTION("""COMPUTED_VALUE"""),"06 ORL")</f>
        <v>06 ORL</v>
      </c>
      <c r="O625" s="6" t="str">
        <f ca="1">IFERROR(__xludf.DUMMYFUNCTION("""COMPUTED_VALUE"""),"Dr, Pablo Vergés Fort")</f>
        <v>Dr, Pablo Vergés Fort</v>
      </c>
      <c r="P625" s="6" t="str">
        <f ca="1">IFERROR(__xludf.DUMMYFUNCTION("""COMPUTED_VALUE"""),"Mercè Cabrera (Cataluña Y Baleares)")</f>
        <v>Mercè Cabrera (Cataluña Y Baleares)</v>
      </c>
    </row>
    <row r="626" spans="2:16">
      <c r="B626" s="6">
        <f ca="1">IFERROR(__xludf.DUMMYFUNCTION("""COMPUTED_VALUE"""),2025)</f>
        <v>2025</v>
      </c>
      <c r="C626" s="6">
        <f ca="1">IFERROR(__xludf.DUMMYFUNCTION("""COMPUTED_VALUE"""),5)</f>
        <v>5</v>
      </c>
      <c r="D626" s="6" t="str">
        <f ca="1">IFERROR(__xludf.DUMMYFUNCTION("""COMPUTED_VALUE"""),"NO")</f>
        <v>NO</v>
      </c>
      <c r="E626" s="6" t="str">
        <f ca="1">IFERROR(__xludf.DUMMYFUNCTION("""COMPUTED_VALUE"""),"Barcelona- Fabra i Puig")</f>
        <v>Barcelona- Fabra i Puig</v>
      </c>
      <c r="F626" s="16">
        <f ca="1">IFERROR(__xludf.DUMMYFUNCTION("""COMPUTED_VALUE"""),45806)</f>
        <v>45806</v>
      </c>
      <c r="G626" s="16">
        <f ca="1">IFERROR(__xludf.DUMMYFUNCTION("""COMPUTED_VALUE"""),45793)</f>
        <v>45793</v>
      </c>
      <c r="H626" s="6" t="str">
        <f ca="1">IFERROR(__xludf.DUMMYFUNCTION("""COMPUTED_VALUE"""),"Fabra")</f>
        <v>Fabra</v>
      </c>
      <c r="I626" s="6" t="str">
        <f ca="1">IFERROR(__xludf.DUMMYFUNCTION("""COMPUTED_VALUE"""),"C2025519121555494")</f>
        <v>C2025519121555494</v>
      </c>
      <c r="J626" s="6" t="str">
        <f ca="1">IFERROR(__xludf.DUMMYFUNCTION("""COMPUTED_VALUE"""),"MARIA DEL CARMEN ALSINA SANTAEUGENIA")</f>
        <v>MARIA DEL CARMEN ALSINA SANTAEUGENIA</v>
      </c>
      <c r="K626" s="6">
        <f ca="1">IFERROR(__xludf.DUMMYFUNCTION("""COMPUTED_VALUE"""),2)</f>
        <v>2</v>
      </c>
      <c r="L626" s="139">
        <f ca="1">IFERROR(__xludf.DUMMYFUNCTION("""COMPUTED_VALUE"""),4000)</f>
        <v>4000</v>
      </c>
      <c r="M626" s="6" t="str">
        <f ca="1">IFERROR(__xludf.DUMMYFUNCTION("""COMPUTED_VALUE"""),"03 ORL")</f>
        <v>03 ORL</v>
      </c>
      <c r="N626" s="6" t="str">
        <f ca="1">IFERROR(__xludf.DUMMYFUNCTION("""COMPUTED_VALUE"""),"06 ORL")</f>
        <v>06 ORL</v>
      </c>
      <c r="O626" s="6" t="str">
        <f ca="1">IFERROR(__xludf.DUMMYFUNCTION("""COMPUTED_VALUE"""),"Dr, Pablo Vergés Fort")</f>
        <v>Dr, Pablo Vergés Fort</v>
      </c>
      <c r="P626" s="6" t="str">
        <f ca="1">IFERROR(__xludf.DUMMYFUNCTION("""COMPUTED_VALUE"""),"Mercè Cabrera (Cataluña Y Baleares)")</f>
        <v>Mercè Cabrera (Cataluña Y Baleares)</v>
      </c>
    </row>
    <row r="627" spans="2:16">
      <c r="B627" s="6">
        <f ca="1">IFERROR(__xludf.DUMMYFUNCTION("""COMPUTED_VALUE"""),2025)</f>
        <v>2025</v>
      </c>
      <c r="C627" s="6">
        <f ca="1">IFERROR(__xludf.DUMMYFUNCTION("""COMPUTED_VALUE"""),5)</f>
        <v>5</v>
      </c>
      <c r="D627" s="6" t="str">
        <f ca="1">IFERROR(__xludf.DUMMYFUNCTION("""COMPUTED_VALUE"""),"NO")</f>
        <v>NO</v>
      </c>
      <c r="E627" s="6" t="str">
        <f ca="1">IFERROR(__xludf.DUMMYFUNCTION("""COMPUTED_VALUE"""),"El Albir (Benidorm)")</f>
        <v>El Albir (Benidorm)</v>
      </c>
      <c r="F627" s="16">
        <f ca="1">IFERROR(__xludf.DUMMYFUNCTION("""COMPUTED_VALUE"""),45807)</f>
        <v>45807</v>
      </c>
      <c r="G627" s="16">
        <f ca="1">IFERROR(__xludf.DUMMYFUNCTION("""COMPUTED_VALUE"""),45779)</f>
        <v>45779</v>
      </c>
      <c r="H627" s="6" t="str">
        <f ca="1">IFERROR(__xludf.DUMMYFUNCTION("""COMPUTED_VALUE"""),"El Albir (Benidorm)")</f>
        <v>El Albir (Benidorm)</v>
      </c>
      <c r="I627" s="6" t="str">
        <f ca="1">IFERROR(__xludf.DUMMYFUNCTION("""COMPUTED_VALUE"""),"C20255716515308")</f>
        <v>C20255716515308</v>
      </c>
      <c r="J627" s="6" t="str">
        <f ca="1">IFERROR(__xludf.DUMMYFUNCTION("""COMPUTED_VALUE"""),"ANTONIO BECERRIL LEON")</f>
        <v>ANTONIO BECERRIL LEON</v>
      </c>
      <c r="K627" s="6">
        <f ca="1">IFERROR(__xludf.DUMMYFUNCTION("""COMPUTED_VALUE"""),2)</f>
        <v>2</v>
      </c>
      <c r="L627" s="139">
        <f ca="1">IFERROR(__xludf.DUMMYFUNCTION("""COMPUTED_VALUE"""),3710)</f>
        <v>3710</v>
      </c>
      <c r="M627" s="6" t="str">
        <f ca="1">IFERROR(__xludf.DUMMYFUNCTION("""COMPUTED_VALUE"""),"03 ORL")</f>
        <v>03 ORL</v>
      </c>
      <c r="N627" s="6" t="str">
        <f ca="1">IFERROR(__xludf.DUMMYFUNCTION("""COMPUTED_VALUE"""),"06 ORL")</f>
        <v>06 ORL</v>
      </c>
      <c r="O627" s="6" t="str">
        <f ca="1">IFERROR(__xludf.DUMMYFUNCTION("""COMPUTED_VALUE"""),"Dra, María Emilia García Ruiz")</f>
        <v>Dra, María Emilia García Ruiz</v>
      </c>
      <c r="P627" s="6" t="str">
        <f ca="1">IFERROR(__xludf.DUMMYFUNCTION("""COMPUTED_VALUE"""),"Ramon Ferrando(Valencia)")</f>
        <v>Ramon Ferrando(Valencia)</v>
      </c>
    </row>
    <row r="628" spans="2:16">
      <c r="B628" s="6">
        <f ca="1">IFERROR(__xludf.DUMMYFUNCTION("""COMPUTED_VALUE"""),2025)</f>
        <v>2025</v>
      </c>
      <c r="C628" s="6">
        <f ca="1">IFERROR(__xludf.DUMMYFUNCTION("""COMPUTED_VALUE"""),5)</f>
        <v>5</v>
      </c>
      <c r="D628" s="6" t="str">
        <f ca="1">IFERROR(__xludf.DUMMYFUNCTION("""COMPUTED_VALUE"""),"NO")</f>
        <v>NO</v>
      </c>
      <c r="E628" s="6" t="str">
        <f ca="1">IFERROR(__xludf.DUMMYFUNCTION("""COMPUTED_VALUE"""),"El Albir (Benidorm)")</f>
        <v>El Albir (Benidorm)</v>
      </c>
      <c r="F628" s="16">
        <f ca="1">IFERROR(__xludf.DUMMYFUNCTION("""COMPUTED_VALUE"""),45804)</f>
        <v>45804</v>
      </c>
      <c r="G628" s="16">
        <f ca="1">IFERROR(__xludf.DUMMYFUNCTION("""COMPUTED_VALUE"""),45181)</f>
        <v>45181</v>
      </c>
      <c r="H628" s="6" t="str">
        <f ca="1">IFERROR(__xludf.DUMMYFUNCTION("""COMPUTED_VALUE"""),"El Albir (Benidorm)")</f>
        <v>El Albir (Benidorm)</v>
      </c>
      <c r="I628" s="6" t="str">
        <f ca="1">IFERROR(__xludf.DUMMYFUNCTION("""COMPUTED_VALUE"""),"BNI-75")</f>
        <v>BNI-75</v>
      </c>
      <c r="J628" s="6" t="str">
        <f ca="1">IFERROR(__xludf.DUMMYFUNCTION("""COMPUTED_VALUE"""),"MIGUEL ANGEL BOLAÑOS LOSADA")</f>
        <v>MIGUEL ANGEL BOLAÑOS LOSADA</v>
      </c>
      <c r="K628" s="6">
        <f ca="1">IFERROR(__xludf.DUMMYFUNCTION("""COMPUTED_VALUE"""),1)</f>
        <v>1</v>
      </c>
      <c r="L628" s="139">
        <f ca="1">IFERROR(__xludf.DUMMYFUNCTION("""COMPUTED_VALUE"""),2640)</f>
        <v>2640</v>
      </c>
      <c r="M628" s="6" t="str">
        <f ca="1">IFERROR(__xludf.DUMMYFUNCTION("""COMPUTED_VALUE"""),"03 ORL")</f>
        <v>03 ORL</v>
      </c>
      <c r="N628" s="6" t="str">
        <f ca="1">IFERROR(__xludf.DUMMYFUNCTION("""COMPUTED_VALUE"""),"06 ORL")</f>
        <v>06 ORL</v>
      </c>
      <c r="O628" s="6" t="str">
        <f ca="1">IFERROR(__xludf.DUMMYFUNCTION("""COMPUTED_VALUE"""),"Dra, Salwa Laraqui Hossini")</f>
        <v>Dra, Salwa Laraqui Hossini</v>
      </c>
      <c r="P628" s="6" t="str">
        <f ca="1">IFERROR(__xludf.DUMMYFUNCTION("""COMPUTED_VALUE"""),"Iván Sánchez (Levante Y Albacete)")</f>
        <v>Iván Sánchez (Levante Y Albacete)</v>
      </c>
    </row>
    <row r="629" spans="2:16">
      <c r="B629" s="6">
        <f ca="1">IFERROR(__xludf.DUMMYFUNCTION("""COMPUTED_VALUE"""),2025)</f>
        <v>2025</v>
      </c>
      <c r="C629" s="6">
        <f ca="1">IFERROR(__xludf.DUMMYFUNCTION("""COMPUTED_VALUE"""),5)</f>
        <v>5</v>
      </c>
      <c r="D629" s="6" t="str">
        <f ca="1">IFERROR(__xludf.DUMMYFUNCTION("""COMPUTED_VALUE"""),"SI")</f>
        <v>SI</v>
      </c>
      <c r="E629" s="6" t="str">
        <f ca="1">IFERROR(__xludf.DUMMYFUNCTION("""COMPUTED_VALUE"""),"El Albir (Benidorm)")</f>
        <v>El Albir (Benidorm)</v>
      </c>
      <c r="F629" s="16">
        <f ca="1">IFERROR(__xludf.DUMMYFUNCTION("""COMPUTED_VALUE"""),45807)</f>
        <v>45807</v>
      </c>
      <c r="G629" s="16">
        <f ca="1">IFERROR(__xludf.DUMMYFUNCTION("""COMPUTED_VALUE"""),45042)</f>
        <v>45042</v>
      </c>
      <c r="H629" s="6" t="str">
        <f ca="1">IFERROR(__xludf.DUMMYFUNCTION("""COMPUTED_VALUE"""),"El Albir (Benidorm)")</f>
        <v>El Albir (Benidorm)</v>
      </c>
      <c r="I629" s="6" t="str">
        <f ca="1">IFERROR(__xludf.DUMMYFUNCTION("""COMPUTED_VALUE"""),"BNI-37")</f>
        <v>BNI-37</v>
      </c>
      <c r="J629" s="6" t="str">
        <f ca="1">IFERROR(__xludf.DUMMYFUNCTION("""COMPUTED_VALUE"""),"SUSAN MANNION")</f>
        <v>SUSAN MANNION</v>
      </c>
      <c r="K629" s="6">
        <f ca="1">IFERROR(__xludf.DUMMYFUNCTION("""COMPUTED_VALUE"""),1)</f>
        <v>1</v>
      </c>
      <c r="L629" s="139">
        <f ca="1">IFERROR(__xludf.DUMMYFUNCTION("""COMPUTED_VALUE"""),1386.18)</f>
        <v>1386.18</v>
      </c>
      <c r="M629" s="6" t="str">
        <f ca="1">IFERROR(__xludf.DUMMYFUNCTION("""COMPUTED_VALUE"""),"03 ORL")</f>
        <v>03 ORL</v>
      </c>
      <c r="N629" s="6" t="str">
        <f ca="1">IFERROR(__xludf.DUMMYFUNCTION("""COMPUTED_VALUE"""),"06 ORL")</f>
        <v>06 ORL</v>
      </c>
      <c r="O629" s="6" t="str">
        <f ca="1">IFERROR(__xludf.DUMMYFUNCTION("""COMPUTED_VALUE"""),"Dr, Carlos Velásquez Fermín")</f>
        <v>Dr, Carlos Velásquez Fermín</v>
      </c>
      <c r="P629" s="6" t="str">
        <f ca="1">IFERROR(__xludf.DUMMYFUNCTION("""COMPUTED_VALUE"""),"Iván Sánchez (Levante Y Albacete)")</f>
        <v>Iván Sánchez (Levante Y Albacete)</v>
      </c>
    </row>
    <row r="630" spans="2:16">
      <c r="B630" s="6">
        <f ca="1">IFERROR(__xludf.DUMMYFUNCTION("""COMPUTED_VALUE"""),2025)</f>
        <v>2025</v>
      </c>
      <c r="C630" s="6">
        <f ca="1">IFERROR(__xludf.DUMMYFUNCTION("""COMPUTED_VALUE"""),5)</f>
        <v>5</v>
      </c>
      <c r="D630" s="6" t="str">
        <f ca="1">IFERROR(__xludf.DUMMYFUNCTION("""COMPUTED_VALUE"""),"NO")</f>
        <v>NO</v>
      </c>
      <c r="E630" s="6" t="str">
        <f ca="1">IFERROR(__xludf.DUMMYFUNCTION("""COMPUTED_VALUE"""),"Fuenlabrada")</f>
        <v>Fuenlabrada</v>
      </c>
      <c r="F630" s="16">
        <f ca="1">IFERROR(__xludf.DUMMYFUNCTION("""COMPUTED_VALUE"""),45806)</f>
        <v>45806</v>
      </c>
      <c r="G630" s="16">
        <f ca="1">IFERROR(__xludf.DUMMYFUNCTION("""COMPUTED_VALUE"""),45722)</f>
        <v>45722</v>
      </c>
      <c r="H630" s="6" t="str">
        <f ca="1">IFERROR(__xludf.DUMMYFUNCTION("""COMPUTED_VALUE"""),"Fuenlabrada")</f>
        <v>Fuenlabrada</v>
      </c>
      <c r="I630" s="6" t="str">
        <f ca="1">IFERROR(__xludf.DUMMYFUNCTION("""COMPUTED_VALUE"""),"C20253121743464")</f>
        <v>C20253121743464</v>
      </c>
      <c r="J630" s="6" t="str">
        <f ca="1">IFERROR(__xludf.DUMMYFUNCTION("""COMPUTED_VALUE"""),"CRISTINA MORENO GOMEZ")</f>
        <v>CRISTINA MORENO GOMEZ</v>
      </c>
      <c r="K630" s="6">
        <f ca="1">IFERROR(__xludf.DUMMYFUNCTION("""COMPUTED_VALUE"""),1)</f>
        <v>1</v>
      </c>
      <c r="L630" s="139">
        <f ca="1">IFERROR(__xludf.DUMMYFUNCTION("""COMPUTED_VALUE"""),2226.36)</f>
        <v>2226.36</v>
      </c>
      <c r="M630" s="6" t="str">
        <f ca="1">IFERROR(__xludf.DUMMYFUNCTION("""COMPUTED_VALUE"""),"03 ORL")</f>
        <v>03 ORL</v>
      </c>
      <c r="N630" s="6" t="str">
        <f ca="1">IFERROR(__xludf.DUMMYFUNCTION("""COMPUTED_VALUE"""),"06 ORL")</f>
        <v>06 ORL</v>
      </c>
      <c r="O630" s="6" t="str">
        <f ca="1">IFERROR(__xludf.DUMMYFUNCTION("""COMPUTED_VALUE"""),"Dra, Estefania Miranda Sánchez")</f>
        <v>Dra, Estefania Miranda Sánchez</v>
      </c>
      <c r="P630" s="6" t="str">
        <f ca="1">IFERROR(__xludf.DUMMYFUNCTION("""COMPUTED_VALUE"""),"Maika Blázquez (Madrid)")</f>
        <v>Maika Blázquez (Madrid)</v>
      </c>
    </row>
    <row r="631" spans="2:16">
      <c r="B631" s="6">
        <f ca="1">IFERROR(__xludf.DUMMYFUNCTION("""COMPUTED_VALUE"""),2025)</f>
        <v>2025</v>
      </c>
      <c r="C631" s="6">
        <f ca="1">IFERROR(__xludf.DUMMYFUNCTION("""COMPUTED_VALUE"""),5)</f>
        <v>5</v>
      </c>
      <c r="D631" s="6" t="str">
        <f ca="1">IFERROR(__xludf.DUMMYFUNCTION("""COMPUTED_VALUE"""),"NO")</f>
        <v>NO</v>
      </c>
      <c r="E631" s="6" t="str">
        <f ca="1">IFERROR(__xludf.DUMMYFUNCTION("""COMPUTED_VALUE"""),"Fuenlabrada")</f>
        <v>Fuenlabrada</v>
      </c>
      <c r="F631" s="16">
        <f ca="1">IFERROR(__xludf.DUMMYFUNCTION("""COMPUTED_VALUE"""),45793)</f>
        <v>45793</v>
      </c>
      <c r="G631" s="16">
        <f ca="1">IFERROR(__xludf.DUMMYFUNCTION("""COMPUTED_VALUE"""),45769)</f>
        <v>45769</v>
      </c>
      <c r="H631" s="6" t="str">
        <f ca="1">IFERROR(__xludf.DUMMYFUNCTION("""COMPUTED_VALUE"""),"Fuenlabrada")</f>
        <v>Fuenlabrada</v>
      </c>
      <c r="I631" s="6" t="str">
        <f ca="1">IFERROR(__xludf.DUMMYFUNCTION("""COMPUTED_VALUE"""),"C202542512464297")</f>
        <v>C202542512464297</v>
      </c>
      <c r="J631" s="6" t="str">
        <f ca="1">IFERROR(__xludf.DUMMYFUNCTION("""COMPUTED_VALUE"""),"ANGELICA  PORTELA GIRON")</f>
        <v>ANGELICA  PORTELA GIRON</v>
      </c>
      <c r="K631" s="6">
        <f ca="1">IFERROR(__xludf.DUMMYFUNCTION("""COMPUTED_VALUE"""),1)</f>
        <v>1</v>
      </c>
      <c r="L631" s="139">
        <f ca="1">IFERROR(__xludf.DUMMYFUNCTION("""COMPUTED_VALUE"""),2400)</f>
        <v>2400</v>
      </c>
      <c r="M631" s="6" t="str">
        <f ca="1">IFERROR(__xludf.DUMMYFUNCTION("""COMPUTED_VALUE"""),"03 ORL")</f>
        <v>03 ORL</v>
      </c>
      <c r="N631" s="6" t="str">
        <f ca="1">IFERROR(__xludf.DUMMYFUNCTION("""COMPUTED_VALUE"""),"06 ORL")</f>
        <v>06 ORL</v>
      </c>
      <c r="O631" s="6" t="str">
        <f ca="1">IFERROR(__xludf.DUMMYFUNCTION("""COMPUTED_VALUE"""),"Dra, Concepcion Rodríguez Izquierdo")</f>
        <v>Dra, Concepcion Rodríguez Izquierdo</v>
      </c>
      <c r="P631" s="6" t="str">
        <f ca="1">IFERROR(__xludf.DUMMYFUNCTION("""COMPUTED_VALUE"""),"Maika Blázquez (Madrid)")</f>
        <v>Maika Blázquez (Madrid)</v>
      </c>
    </row>
    <row r="632" spans="2:16">
      <c r="B632" s="6">
        <f ca="1">IFERROR(__xludf.DUMMYFUNCTION("""COMPUTED_VALUE"""),2025)</f>
        <v>2025</v>
      </c>
      <c r="C632" s="6">
        <f ca="1">IFERROR(__xludf.DUMMYFUNCTION("""COMPUTED_VALUE"""),5)</f>
        <v>5</v>
      </c>
      <c r="D632" s="6" t="str">
        <f ca="1">IFERROR(__xludf.DUMMYFUNCTION("""COMPUTED_VALUE"""),"NO")</f>
        <v>NO</v>
      </c>
      <c r="E632" s="6" t="str">
        <f ca="1">IFERROR(__xludf.DUMMYFUNCTION("""COMPUTED_VALUE"""),"Fuenlabrada")</f>
        <v>Fuenlabrada</v>
      </c>
      <c r="F632" s="16">
        <f ca="1">IFERROR(__xludf.DUMMYFUNCTION("""COMPUTED_VALUE"""),45804)</f>
        <v>45804</v>
      </c>
      <c r="G632" s="16">
        <f ca="1">IFERROR(__xludf.DUMMYFUNCTION("""COMPUTED_VALUE"""),45742)</f>
        <v>45742</v>
      </c>
      <c r="H632" s="6" t="str">
        <f ca="1">IFERROR(__xludf.DUMMYFUNCTION("""COMPUTED_VALUE"""),"Fuenlabrada")</f>
        <v>Fuenlabrada</v>
      </c>
      <c r="I632" s="6" t="str">
        <f ca="1">IFERROR(__xludf.DUMMYFUNCTION("""COMPUTED_VALUE"""),"C202543182525468")</f>
        <v>C202543182525468</v>
      </c>
      <c r="J632" s="6" t="str">
        <f ca="1">IFERROR(__xludf.DUMMYFUNCTION("""COMPUTED_VALUE"""),"JOSE VICENTE LARA VILLENA")</f>
        <v>JOSE VICENTE LARA VILLENA</v>
      </c>
      <c r="K632" s="6">
        <f ca="1">IFERROR(__xludf.DUMMYFUNCTION("""COMPUTED_VALUE"""),1)</f>
        <v>1</v>
      </c>
      <c r="L632" s="139">
        <f ca="1">IFERROR(__xludf.DUMMYFUNCTION("""COMPUTED_VALUE"""),2640)</f>
        <v>2640</v>
      </c>
      <c r="M632" s="6" t="str">
        <f ca="1">IFERROR(__xludf.DUMMYFUNCTION("""COMPUTED_VALUE"""),"03 ORL")</f>
        <v>03 ORL</v>
      </c>
      <c r="N632" s="6" t="str">
        <f ca="1">IFERROR(__xludf.DUMMYFUNCTION("""COMPUTED_VALUE"""),"06 ORL")</f>
        <v>06 ORL</v>
      </c>
      <c r="O632" s="6" t="str">
        <f ca="1">IFERROR(__xludf.DUMMYFUNCTION("""COMPUTED_VALUE"""),"Dra, Mar Lasso de la Vega Zamora")</f>
        <v>Dra, Mar Lasso de la Vega Zamora</v>
      </c>
      <c r="P632" s="6" t="str">
        <f ca="1">IFERROR(__xludf.DUMMYFUNCTION("""COMPUTED_VALUE"""),"Maika Blázquez (Madrid)")</f>
        <v>Maika Blázquez (Madrid)</v>
      </c>
    </row>
    <row r="633" spans="2:16">
      <c r="B633" s="6">
        <f ca="1">IFERROR(__xludf.DUMMYFUNCTION("""COMPUTED_VALUE"""),2025)</f>
        <v>2025</v>
      </c>
      <c r="C633" s="6">
        <f ca="1">IFERROR(__xludf.DUMMYFUNCTION("""COMPUTED_VALUE"""),5)</f>
        <v>5</v>
      </c>
      <c r="D633" s="6" t="str">
        <f ca="1">IFERROR(__xludf.DUMMYFUNCTION("""COMPUTED_VALUE"""),"NO")</f>
        <v>NO</v>
      </c>
      <c r="E633" s="6" t="str">
        <f ca="1">IFERROR(__xludf.DUMMYFUNCTION("""COMPUTED_VALUE"""),"Fuenlabrada")</f>
        <v>Fuenlabrada</v>
      </c>
      <c r="F633" s="16">
        <f ca="1">IFERROR(__xludf.DUMMYFUNCTION("""COMPUTED_VALUE"""),45807)</f>
        <v>45807</v>
      </c>
      <c r="G633" s="16">
        <f ca="1">IFERROR(__xludf.DUMMYFUNCTION("""COMPUTED_VALUE"""),45771)</f>
        <v>45771</v>
      </c>
      <c r="H633" s="6" t="str">
        <f ca="1">IFERROR(__xludf.DUMMYFUNCTION("""COMPUTED_VALUE"""),"Fuenlabrada")</f>
        <v>Fuenlabrada</v>
      </c>
      <c r="I633" s="6" t="str">
        <f ca="1">IFERROR(__xludf.DUMMYFUNCTION("""COMPUTED_VALUE"""),"C202555113157822")</f>
        <v>C202555113157822</v>
      </c>
      <c r="J633" s="6" t="str">
        <f ca="1">IFERROR(__xludf.DUMMYFUNCTION("""COMPUTED_VALUE"""),"JUAN  PINTOR MOGENA")</f>
        <v>JUAN  PINTOR MOGENA</v>
      </c>
      <c r="K633" s="6">
        <f ca="1">IFERROR(__xludf.DUMMYFUNCTION("""COMPUTED_VALUE"""),2)</f>
        <v>2</v>
      </c>
      <c r="L633" s="139">
        <f ca="1">IFERROR(__xludf.DUMMYFUNCTION("""COMPUTED_VALUE"""),2578.85)</f>
        <v>2578.85</v>
      </c>
      <c r="M633" s="6" t="str">
        <f ca="1">IFERROR(__xludf.DUMMYFUNCTION("""COMPUTED_VALUE"""),"03 ORL")</f>
        <v>03 ORL</v>
      </c>
      <c r="N633" s="6" t="str">
        <f ca="1">IFERROR(__xludf.DUMMYFUNCTION("""COMPUTED_VALUE"""),"06 ORL")</f>
        <v>06 ORL</v>
      </c>
      <c r="O633" s="6" t="str">
        <f ca="1">IFERROR(__xludf.DUMMYFUNCTION("""COMPUTED_VALUE"""),"Dra, Estefania Miranda Sánchez")</f>
        <v>Dra, Estefania Miranda Sánchez</v>
      </c>
      <c r="P633" s="6" t="str">
        <f ca="1">IFERROR(__xludf.DUMMYFUNCTION("""COMPUTED_VALUE"""),"Maika Blázquez (Madrid)")</f>
        <v>Maika Blázquez (Madrid)</v>
      </c>
    </row>
    <row r="634" spans="2:16">
      <c r="B634" s="6">
        <f ca="1">IFERROR(__xludf.DUMMYFUNCTION("""COMPUTED_VALUE"""),2025)</f>
        <v>2025</v>
      </c>
      <c r="C634" s="6">
        <f ca="1">IFERROR(__xludf.DUMMYFUNCTION("""COMPUTED_VALUE"""),5)</f>
        <v>5</v>
      </c>
      <c r="D634" s="6" t="str">
        <f ca="1">IFERROR(__xludf.DUMMYFUNCTION("""COMPUTED_VALUE"""),"NO")</f>
        <v>NO</v>
      </c>
      <c r="E634" s="6" t="str">
        <f ca="1">IFERROR(__xludf.DUMMYFUNCTION("""COMPUTED_VALUE"""),"Fuenlabrada")</f>
        <v>Fuenlabrada</v>
      </c>
      <c r="F634" s="16">
        <f ca="1">IFERROR(__xludf.DUMMYFUNCTION("""COMPUTED_VALUE"""),45796)</f>
        <v>45796</v>
      </c>
      <c r="G634" s="16">
        <f ca="1">IFERROR(__xludf.DUMMYFUNCTION("""COMPUTED_VALUE"""),45758)</f>
        <v>45758</v>
      </c>
      <c r="H634" s="6" t="str">
        <f ca="1">IFERROR(__xludf.DUMMYFUNCTION("""COMPUTED_VALUE"""),"Fuenlabrada")</f>
        <v>Fuenlabrada</v>
      </c>
      <c r="I634" s="6" t="str">
        <f ca="1">IFERROR(__xludf.DUMMYFUNCTION("""COMPUTED_VALUE"""),"C2025415163948454")</f>
        <v>C2025415163948454</v>
      </c>
      <c r="J634" s="6" t="str">
        <f ca="1">IFERROR(__xludf.DUMMYFUNCTION("""COMPUTED_VALUE"""),"LAUREANO VIDAL LOPEZ")</f>
        <v>LAUREANO VIDAL LOPEZ</v>
      </c>
      <c r="K634" s="6">
        <f ca="1">IFERROR(__xludf.DUMMYFUNCTION("""COMPUTED_VALUE"""),1)</f>
        <v>1</v>
      </c>
      <c r="L634" s="139">
        <f ca="1">IFERROR(__xludf.DUMMYFUNCTION("""COMPUTED_VALUE"""),2400)</f>
        <v>2400</v>
      </c>
      <c r="M634" s="6" t="str">
        <f ca="1">IFERROR(__xludf.DUMMYFUNCTION("""COMPUTED_VALUE"""),"03 ORL")</f>
        <v>03 ORL</v>
      </c>
      <c r="N634" s="6" t="str">
        <f ca="1">IFERROR(__xludf.DUMMYFUNCTION("""COMPUTED_VALUE"""),"06 ORL")</f>
        <v>06 ORL</v>
      </c>
      <c r="O634" s="6" t="str">
        <f ca="1">IFERROR(__xludf.DUMMYFUNCTION("""COMPUTED_VALUE"""),"Dra, Anastasiya Audiyuk Martynyuk")</f>
        <v>Dra, Anastasiya Audiyuk Martynyuk</v>
      </c>
      <c r="P634" s="6" t="str">
        <f ca="1">IFERROR(__xludf.DUMMYFUNCTION("""COMPUTED_VALUE"""),"Maika Blázquez (Madrid)")</f>
        <v>Maika Blázquez (Madrid)</v>
      </c>
    </row>
    <row r="635" spans="2:16">
      <c r="B635" s="6">
        <f ca="1">IFERROR(__xludf.DUMMYFUNCTION("""COMPUTED_VALUE"""),2025)</f>
        <v>2025</v>
      </c>
      <c r="C635" s="6">
        <f ca="1">IFERROR(__xludf.DUMMYFUNCTION("""COMPUTED_VALUE"""),5)</f>
        <v>5</v>
      </c>
      <c r="D635" s="6" t="str">
        <f ca="1">IFERROR(__xludf.DUMMYFUNCTION("""COMPUTED_VALUE"""),"NO")</f>
        <v>NO</v>
      </c>
      <c r="E635" s="6" t="str">
        <f ca="1">IFERROR(__xludf.DUMMYFUNCTION("""COMPUTED_VALUE"""),"Fuenlabrada")</f>
        <v>Fuenlabrada</v>
      </c>
      <c r="F635" s="16">
        <f ca="1">IFERROR(__xludf.DUMMYFUNCTION("""COMPUTED_VALUE"""),45805)</f>
        <v>45805</v>
      </c>
      <c r="G635" s="16">
        <f ca="1">IFERROR(__xludf.DUMMYFUNCTION("""COMPUTED_VALUE"""),45692)</f>
        <v>45692</v>
      </c>
      <c r="H635" s="6" t="str">
        <f ca="1">IFERROR(__xludf.DUMMYFUNCTION("""COMPUTED_VALUE"""),"Fuenlabrada")</f>
        <v>Fuenlabrada</v>
      </c>
      <c r="I635" s="6" t="str">
        <f ca="1">IFERROR(__xludf.DUMMYFUNCTION("""COMPUTED_VALUE"""),"C202557123237267")</f>
        <v>C202557123237267</v>
      </c>
      <c r="J635" s="6" t="str">
        <f ca="1">IFERROR(__xludf.DUMMYFUNCTION("""COMPUTED_VALUE"""),"LUIS FERNANDEZ ALEGRIA")</f>
        <v>LUIS FERNANDEZ ALEGRIA</v>
      </c>
      <c r="K635" s="6">
        <f ca="1">IFERROR(__xludf.DUMMYFUNCTION("""COMPUTED_VALUE"""),2)</f>
        <v>2</v>
      </c>
      <c r="L635" s="139">
        <f ca="1">IFERROR(__xludf.DUMMYFUNCTION("""COMPUTED_VALUE"""),4000)</f>
        <v>4000</v>
      </c>
      <c r="M635" s="6" t="str">
        <f ca="1">IFERROR(__xludf.DUMMYFUNCTION("""COMPUTED_VALUE"""),"03 ORL")</f>
        <v>03 ORL</v>
      </c>
      <c r="N635" s="6" t="str">
        <f ca="1">IFERROR(__xludf.DUMMYFUNCTION("""COMPUTED_VALUE"""),"06 ORL")</f>
        <v>06 ORL</v>
      </c>
      <c r="O635" s="6" t="str">
        <f ca="1">IFERROR(__xludf.DUMMYFUNCTION("""COMPUTED_VALUE"""),"Dra, Elisabeth Amarillo Espitia")</f>
        <v>Dra, Elisabeth Amarillo Espitia</v>
      </c>
      <c r="P635" s="6" t="str">
        <f ca="1">IFERROR(__xludf.DUMMYFUNCTION("""COMPUTED_VALUE"""),"Maika Blázquez (Madrid)")</f>
        <v>Maika Blázquez (Madrid)</v>
      </c>
    </row>
    <row r="636" spans="2:16">
      <c r="B636" s="6">
        <f ca="1">IFERROR(__xludf.DUMMYFUNCTION("""COMPUTED_VALUE"""),2025)</f>
        <v>2025</v>
      </c>
      <c r="C636" s="6">
        <f ca="1">IFERROR(__xludf.DUMMYFUNCTION("""COMPUTED_VALUE"""),5)</f>
        <v>5</v>
      </c>
      <c r="D636" s="6" t="str">
        <f ca="1">IFERROR(__xludf.DUMMYFUNCTION("""COMPUTED_VALUE"""),"NO")</f>
        <v>NO</v>
      </c>
      <c r="E636" s="6" t="str">
        <f ca="1">IFERROR(__xludf.DUMMYFUNCTION("""COMPUTED_VALUE"""),"Getafe")</f>
        <v>Getafe</v>
      </c>
      <c r="F636" s="16">
        <f ca="1">IFERROR(__xludf.DUMMYFUNCTION("""COMPUTED_VALUE"""),45786)</f>
        <v>45786</v>
      </c>
      <c r="G636" s="16">
        <f ca="1">IFERROR(__xludf.DUMMYFUNCTION("""COMPUTED_VALUE"""),45735)</f>
        <v>45735</v>
      </c>
      <c r="H636" s="6" t="str">
        <f ca="1">IFERROR(__xludf.DUMMYFUNCTION("""COMPUTED_VALUE"""),"Getafe")</f>
        <v>Getafe</v>
      </c>
      <c r="I636" s="6" t="str">
        <f ca="1">IFERROR(__xludf.DUMMYFUNCTION("""COMPUTED_VALUE"""),"C2025326165431860")</f>
        <v>C2025326165431860</v>
      </c>
      <c r="J636" s="6" t="str">
        <f ca="1">IFERROR(__xludf.DUMMYFUNCTION("""COMPUTED_VALUE"""),"JACINTA CORISCO BENITO")</f>
        <v>JACINTA CORISCO BENITO</v>
      </c>
      <c r="K636" s="6">
        <f ca="1">IFERROR(__xludf.DUMMYFUNCTION("""COMPUTED_VALUE"""),2)</f>
        <v>2</v>
      </c>
      <c r="L636" s="139">
        <f ca="1">IFERROR(__xludf.DUMMYFUNCTION("""COMPUTED_VALUE"""),3524.5)</f>
        <v>3524.5</v>
      </c>
      <c r="M636" s="6" t="str">
        <f ca="1">IFERROR(__xludf.DUMMYFUNCTION("""COMPUTED_VALUE"""),"03 ORL")</f>
        <v>03 ORL</v>
      </c>
      <c r="N636" s="6" t="str">
        <f ca="1">IFERROR(__xludf.DUMMYFUNCTION("""COMPUTED_VALUE"""),"06 ORL")</f>
        <v>06 ORL</v>
      </c>
      <c r="O636" s="6" t="str">
        <f ca="1">IFERROR(__xludf.DUMMYFUNCTION("""COMPUTED_VALUE"""),"Dr, Jonathan Esteban Sánchez")</f>
        <v>Dr, Jonathan Esteban Sánchez</v>
      </c>
      <c r="P636" s="6" t="str">
        <f ca="1">IFERROR(__xludf.DUMMYFUNCTION("""COMPUTED_VALUE"""),"Maika Blázquez (Madrid)")</f>
        <v>Maika Blázquez (Madrid)</v>
      </c>
    </row>
    <row r="637" spans="2:16">
      <c r="B637" s="6">
        <f ca="1">IFERROR(__xludf.DUMMYFUNCTION("""COMPUTED_VALUE"""),2025)</f>
        <v>2025</v>
      </c>
      <c r="C637" s="6">
        <f ca="1">IFERROR(__xludf.DUMMYFUNCTION("""COMPUTED_VALUE"""),5)</f>
        <v>5</v>
      </c>
      <c r="D637" s="6" t="str">
        <f ca="1">IFERROR(__xludf.DUMMYFUNCTION("""COMPUTED_VALUE"""),"NO")</f>
        <v>NO</v>
      </c>
      <c r="E637" s="6" t="str">
        <f ca="1">IFERROR(__xludf.DUMMYFUNCTION("""COMPUTED_VALUE"""),"Getafe")</f>
        <v>Getafe</v>
      </c>
      <c r="F637" s="16">
        <f ca="1">IFERROR(__xludf.DUMMYFUNCTION("""COMPUTED_VALUE"""),45803)</f>
        <v>45803</v>
      </c>
      <c r="G637" s="16">
        <f ca="1">IFERROR(__xludf.DUMMYFUNCTION("""COMPUTED_VALUE"""),45768)</f>
        <v>45768</v>
      </c>
      <c r="H637" s="6" t="str">
        <f ca="1">IFERROR(__xludf.DUMMYFUNCTION("""COMPUTED_VALUE"""),"Getafe")</f>
        <v>Getafe</v>
      </c>
      <c r="I637" s="6" t="str">
        <f ca="1">IFERROR(__xludf.DUMMYFUNCTION("""COMPUTED_VALUE"""),"C2025425104049157")</f>
        <v>C2025425104049157</v>
      </c>
      <c r="J637" s="6" t="str">
        <f ca="1">IFERROR(__xludf.DUMMYFUNCTION("""COMPUTED_VALUE"""),"JULIA VAQUERO GARCIA")</f>
        <v>JULIA VAQUERO GARCIA</v>
      </c>
      <c r="K637" s="6">
        <f ca="1">IFERROR(__xludf.DUMMYFUNCTION("""COMPUTED_VALUE"""),2)</f>
        <v>2</v>
      </c>
      <c r="L637" s="139">
        <f ca="1">IFERROR(__xludf.DUMMYFUNCTION("""COMPUTED_VALUE"""),2888.18)</f>
        <v>2888.18</v>
      </c>
      <c r="M637" s="6" t="str">
        <f ca="1">IFERROR(__xludf.DUMMYFUNCTION("""COMPUTED_VALUE"""),"03 ORL")</f>
        <v>03 ORL</v>
      </c>
      <c r="N637" s="6" t="str">
        <f ca="1">IFERROR(__xludf.DUMMYFUNCTION("""COMPUTED_VALUE"""),"06 ORL")</f>
        <v>06 ORL</v>
      </c>
      <c r="O637" s="6" t="str">
        <f ca="1">IFERROR(__xludf.DUMMYFUNCTION("""COMPUTED_VALUE"""),"Dra, María Garrote Garrote")</f>
        <v>Dra, María Garrote Garrote</v>
      </c>
      <c r="P637" s="6" t="str">
        <f ca="1">IFERROR(__xludf.DUMMYFUNCTION("""COMPUTED_VALUE"""),"Maika Blázquez (Madrid)")</f>
        <v>Maika Blázquez (Madrid)</v>
      </c>
    </row>
    <row r="638" spans="2:16">
      <c r="B638" s="6">
        <f ca="1">IFERROR(__xludf.DUMMYFUNCTION("""COMPUTED_VALUE"""),2025)</f>
        <v>2025</v>
      </c>
      <c r="C638" s="6">
        <f ca="1">IFERROR(__xludf.DUMMYFUNCTION("""COMPUTED_VALUE"""),5)</f>
        <v>5</v>
      </c>
      <c r="D638" s="6" t="str">
        <f ca="1">IFERROR(__xludf.DUMMYFUNCTION("""COMPUTED_VALUE"""),"NO")</f>
        <v>NO</v>
      </c>
      <c r="E638" s="6" t="str">
        <f ca="1">IFERROR(__xludf.DUMMYFUNCTION("""COMPUTED_VALUE"""),"Getafe")</f>
        <v>Getafe</v>
      </c>
      <c r="F638" s="16">
        <f ca="1">IFERROR(__xludf.DUMMYFUNCTION("""COMPUTED_VALUE"""),45805)</f>
        <v>45805</v>
      </c>
      <c r="G638" s="16">
        <f ca="1">IFERROR(__xludf.DUMMYFUNCTION("""COMPUTED_VALUE"""),45755)</f>
        <v>45755</v>
      </c>
      <c r="H638" s="6" t="str">
        <f ca="1">IFERROR(__xludf.DUMMYFUNCTION("""COMPUTED_VALUE"""),"Getafe")</f>
        <v>Getafe</v>
      </c>
      <c r="I638" s="6" t="str">
        <f ca="1">IFERROR(__xludf.DUMMYFUNCTION("""COMPUTED_VALUE"""),"C2025429173418611")</f>
        <v>C2025429173418611</v>
      </c>
      <c r="J638" s="6" t="str">
        <f ca="1">IFERROR(__xludf.DUMMYFUNCTION("""COMPUTED_VALUE"""),"MARIA INMACULADA  GALLARDO GINES")</f>
        <v>MARIA INMACULADA  GALLARDO GINES</v>
      </c>
      <c r="K638" s="6">
        <f ca="1">IFERROR(__xludf.DUMMYFUNCTION("""COMPUTED_VALUE"""),2)</f>
        <v>2</v>
      </c>
      <c r="L638" s="139">
        <f ca="1">IFERROR(__xludf.DUMMYFUNCTION("""COMPUTED_VALUE"""),3710)</f>
        <v>3710</v>
      </c>
      <c r="M638" s="6" t="str">
        <f ca="1">IFERROR(__xludf.DUMMYFUNCTION("""COMPUTED_VALUE"""),"03 ORL")</f>
        <v>03 ORL</v>
      </c>
      <c r="N638" s="6" t="str">
        <f ca="1">IFERROR(__xludf.DUMMYFUNCTION("""COMPUTED_VALUE"""),"06 ORL")</f>
        <v>06 ORL</v>
      </c>
      <c r="O638" s="6" t="str">
        <f ca="1">IFERROR(__xludf.DUMMYFUNCTION("""COMPUTED_VALUE"""),"Dra, María Garrote Garrote")</f>
        <v>Dra, María Garrote Garrote</v>
      </c>
      <c r="P638" s="6" t="str">
        <f ca="1">IFERROR(__xludf.DUMMYFUNCTION("""COMPUTED_VALUE"""),"Maika Blázquez (Madrid)")</f>
        <v>Maika Blázquez (Madrid)</v>
      </c>
    </row>
    <row r="639" spans="2:16">
      <c r="B639" s="6">
        <f ca="1">IFERROR(__xludf.DUMMYFUNCTION("""COMPUTED_VALUE"""),2025)</f>
        <v>2025</v>
      </c>
      <c r="C639" s="6">
        <f ca="1">IFERROR(__xludf.DUMMYFUNCTION("""COMPUTED_VALUE"""),5)</f>
        <v>5</v>
      </c>
      <c r="D639" s="6" t="str">
        <f ca="1">IFERROR(__xludf.DUMMYFUNCTION("""COMPUTED_VALUE"""),"NO")</f>
        <v>NO</v>
      </c>
      <c r="E639" s="6" t="str">
        <f ca="1">IFERROR(__xludf.DUMMYFUNCTION("""COMPUTED_VALUE"""),"Getafe")</f>
        <v>Getafe</v>
      </c>
      <c r="F639" s="16">
        <f ca="1">IFERROR(__xludf.DUMMYFUNCTION("""COMPUTED_VALUE"""),45805)</f>
        <v>45805</v>
      </c>
      <c r="G639" s="16">
        <f ca="1">IFERROR(__xludf.DUMMYFUNCTION("""COMPUTED_VALUE"""),45748)</f>
        <v>45748</v>
      </c>
      <c r="H639" s="6" t="str">
        <f ca="1">IFERROR(__xludf.DUMMYFUNCTION("""COMPUTED_VALUE"""),"Getafe")</f>
        <v>Getafe</v>
      </c>
      <c r="I639" s="6" t="str">
        <f ca="1">IFERROR(__xludf.DUMMYFUNCTION("""COMPUTED_VALUE"""),"C20254111366973")</f>
        <v>C20254111366973</v>
      </c>
      <c r="J639" s="6" t="str">
        <f ca="1">IFERROR(__xludf.DUMMYFUNCTION("""COMPUTED_VALUE"""),"ORENCIO HERNANDEZ GALINDO")</f>
        <v>ORENCIO HERNANDEZ GALINDO</v>
      </c>
      <c r="K639" s="6">
        <f ca="1">IFERROR(__xludf.DUMMYFUNCTION("""COMPUTED_VALUE"""),2)</f>
        <v>2</v>
      </c>
      <c r="L639" s="139">
        <f ca="1">IFERROR(__xludf.DUMMYFUNCTION("""COMPUTED_VALUE"""),4000)</f>
        <v>4000</v>
      </c>
      <c r="M639" s="6" t="str">
        <f ca="1">IFERROR(__xludf.DUMMYFUNCTION("""COMPUTED_VALUE"""),"03 ORL")</f>
        <v>03 ORL</v>
      </c>
      <c r="N639" s="6" t="str">
        <f ca="1">IFERROR(__xludf.DUMMYFUNCTION("""COMPUTED_VALUE"""),"06 ORL")</f>
        <v>06 ORL</v>
      </c>
      <c r="O639" s="6" t="str">
        <f ca="1">IFERROR(__xludf.DUMMYFUNCTION("""COMPUTED_VALUE"""),"Dr, Jonathan Esteban Sánchez")</f>
        <v>Dr, Jonathan Esteban Sánchez</v>
      </c>
      <c r="P639" s="6" t="str">
        <f ca="1">IFERROR(__xludf.DUMMYFUNCTION("""COMPUTED_VALUE"""),"Maika Blázquez (Madrid)")</f>
        <v>Maika Blázquez (Madrid)</v>
      </c>
    </row>
    <row r="640" spans="2:16">
      <c r="B640" s="6">
        <f ca="1">IFERROR(__xludf.DUMMYFUNCTION("""COMPUTED_VALUE"""),2025)</f>
        <v>2025</v>
      </c>
      <c r="C640" s="6">
        <f ca="1">IFERROR(__xludf.DUMMYFUNCTION("""COMPUTED_VALUE"""),5)</f>
        <v>5</v>
      </c>
      <c r="D640" s="6" t="str">
        <f ca="1">IFERROR(__xludf.DUMMYFUNCTION("""COMPUTED_VALUE"""),"NO")</f>
        <v>NO</v>
      </c>
      <c r="E640" s="6" t="str">
        <f ca="1">IFERROR(__xludf.DUMMYFUNCTION("""COMPUTED_VALUE"""),"Girona")</f>
        <v>Girona</v>
      </c>
      <c r="F640" s="16">
        <f ca="1">IFERROR(__xludf.DUMMYFUNCTION("""COMPUTED_VALUE"""),45798)</f>
        <v>45798</v>
      </c>
      <c r="G640" s="16">
        <f ca="1">IFERROR(__xludf.DUMMYFUNCTION("""COMPUTED_VALUE"""),45393)</f>
        <v>45393</v>
      </c>
      <c r="H640" s="6" t="str">
        <f ca="1">IFERROR(__xludf.DUMMYFUNCTION("""COMPUTED_VALUE"""),"Girona")</f>
        <v>Girona</v>
      </c>
      <c r="I640" s="6" t="str">
        <f ca="1">IFERROR(__xludf.DUMMYFUNCTION("""COMPUTED_VALUE"""),"GER-92")</f>
        <v>GER-92</v>
      </c>
      <c r="J640" s="6" t="str">
        <f ca="1">IFERROR(__xludf.DUMMYFUNCTION("""COMPUTED_VALUE"""),"IBRAHIMA BALEDEH")</f>
        <v>IBRAHIMA BALEDEH</v>
      </c>
      <c r="K640" s="6">
        <f ca="1">IFERROR(__xludf.DUMMYFUNCTION("""COMPUTED_VALUE"""),-2)</f>
        <v>-2</v>
      </c>
      <c r="L640" s="139">
        <f ca="1">IFERROR(__xludf.DUMMYFUNCTION("""COMPUTED_VALUE"""),-2576.92)</f>
        <v>-2576.92</v>
      </c>
      <c r="M640" s="6" t="str">
        <f ca="1">IFERROR(__xludf.DUMMYFUNCTION("""COMPUTED_VALUE"""),"03 ORL")</f>
        <v>03 ORL</v>
      </c>
      <c r="N640" s="6" t="str">
        <f ca="1">IFERROR(__xludf.DUMMYFUNCTION("""COMPUTED_VALUE"""),"06 ORL")</f>
        <v>06 ORL</v>
      </c>
      <c r="O640" s="6" t="str">
        <f ca="1">IFERROR(__xludf.DUMMYFUNCTION("""COMPUTED_VALUE"""),"Dr, Enric Ferran Benstrom")</f>
        <v>Dr, Enric Ferran Benstrom</v>
      </c>
      <c r="P640" s="6" t="str">
        <f ca="1">IFERROR(__xludf.DUMMYFUNCTION("""COMPUTED_VALUE"""),"Mercè Cabrera (Cataluña Y Baleares)")</f>
        <v>Mercè Cabrera (Cataluña Y Baleares)</v>
      </c>
    </row>
    <row r="641" spans="2:16">
      <c r="B641" s="6">
        <f ca="1">IFERROR(__xludf.DUMMYFUNCTION("""COMPUTED_VALUE"""),2025)</f>
        <v>2025</v>
      </c>
      <c r="C641" s="6">
        <f ca="1">IFERROR(__xludf.DUMMYFUNCTION("""COMPUTED_VALUE"""),5)</f>
        <v>5</v>
      </c>
      <c r="D641" s="6" t="str">
        <f ca="1">IFERROR(__xludf.DUMMYFUNCTION("""COMPUTED_VALUE"""),"NO")</f>
        <v>NO</v>
      </c>
      <c r="E641" s="6" t="str">
        <f ca="1">IFERROR(__xludf.DUMMYFUNCTION("""COMPUTED_VALUE"""),"Jerez de la Frontera")</f>
        <v>Jerez de la Frontera</v>
      </c>
      <c r="F641" s="16">
        <f ca="1">IFERROR(__xludf.DUMMYFUNCTION("""COMPUTED_VALUE"""),45785)</f>
        <v>45785</v>
      </c>
      <c r="G641" s="16">
        <f ca="1">IFERROR(__xludf.DUMMYFUNCTION("""COMPUTED_VALUE"""),45740)</f>
        <v>45740</v>
      </c>
      <c r="H641" s="6" t="str">
        <f ca="1">IFERROR(__xludf.DUMMYFUNCTION("""COMPUTED_VALUE"""),"Jerez")</f>
        <v>Jerez</v>
      </c>
      <c r="I641" s="6" t="str">
        <f ca="1">IFERROR(__xludf.DUMMYFUNCTION("""COMPUTED_VALUE"""),"C20253241851025")</f>
        <v>C20253241851025</v>
      </c>
      <c r="J641" s="1" t="str">
        <f ca="1">IFERROR(__xludf.DUMMYFUNCTION("""COMPUTED_VALUE"""),"FRANCISCA MATEOS MONTES DE OCA")</f>
        <v>FRANCISCA MATEOS MONTES DE OCA</v>
      </c>
      <c r="K641" s="6">
        <f ca="1">IFERROR(__xludf.DUMMYFUNCTION("""COMPUTED_VALUE"""),1)</f>
        <v>1</v>
      </c>
      <c r="L641" s="139">
        <f ca="1">IFERROR(__xludf.DUMMYFUNCTION("""COMPUTED_VALUE"""),2400)</f>
        <v>2400</v>
      </c>
      <c r="M641" s="6" t="str">
        <f ca="1">IFERROR(__xludf.DUMMYFUNCTION("""COMPUTED_VALUE"""),"03 ORL")</f>
        <v>03 ORL</v>
      </c>
      <c r="N641" s="6" t="str">
        <f ca="1">IFERROR(__xludf.DUMMYFUNCTION("""COMPUTED_VALUE"""),"06 ORL")</f>
        <v>06 ORL</v>
      </c>
      <c r="O641" s="6" t="str">
        <f ca="1">IFERROR(__xludf.DUMMYFUNCTION("""COMPUTED_VALUE"""),"Dr, Vicente Mira Escartí")</f>
        <v>Dr, Vicente Mira Escartí</v>
      </c>
      <c r="P641" s="6" t="str">
        <f ca="1">IFERROR(__xludf.DUMMYFUNCTION("""COMPUTED_VALUE"""),"Luis Alberto Rodríguez (Andalucía y Badajoz)")</f>
        <v>Luis Alberto Rodríguez (Andalucía y Badajoz)</v>
      </c>
    </row>
    <row r="642" spans="2:16">
      <c r="B642" s="6">
        <f ca="1">IFERROR(__xludf.DUMMYFUNCTION("""COMPUTED_VALUE"""),2025)</f>
        <v>2025</v>
      </c>
      <c r="C642" s="6">
        <f ca="1">IFERROR(__xludf.DUMMYFUNCTION("""COMPUTED_VALUE"""),5)</f>
        <v>5</v>
      </c>
      <c r="D642" s="6" t="str">
        <f ca="1">IFERROR(__xludf.DUMMYFUNCTION("""COMPUTED_VALUE"""),"NO")</f>
        <v>NO</v>
      </c>
      <c r="E642" s="6" t="str">
        <f ca="1">IFERROR(__xludf.DUMMYFUNCTION("""COMPUTED_VALUE"""),"Leganés")</f>
        <v>Leganés</v>
      </c>
      <c r="F642" s="16">
        <f ca="1">IFERROR(__xludf.DUMMYFUNCTION("""COMPUTED_VALUE"""),45792)</f>
        <v>45792</v>
      </c>
      <c r="G642" s="16">
        <f ca="1">IFERROR(__xludf.DUMMYFUNCTION("""COMPUTED_VALUE"""),45698)</f>
        <v>45698</v>
      </c>
      <c r="H642" s="6" t="str">
        <f ca="1">IFERROR(__xludf.DUMMYFUNCTION("""COMPUTED_VALUE"""),"Leganés")</f>
        <v>Leganés</v>
      </c>
      <c r="I642" s="6" t="str">
        <f ca="1">IFERROR(__xludf.DUMMYFUNCTION("""COMPUTED_VALUE"""),"C2025227104849928")</f>
        <v>C2025227104849928</v>
      </c>
      <c r="J642" s="6" t="str">
        <f ca="1">IFERROR(__xludf.DUMMYFUNCTION("""COMPUTED_VALUE"""),"ANTONIA MORENO RODRIGO")</f>
        <v>ANTONIA MORENO RODRIGO</v>
      </c>
      <c r="K642" s="6">
        <f ca="1">IFERROR(__xludf.DUMMYFUNCTION("""COMPUTED_VALUE"""),2)</f>
        <v>2</v>
      </c>
      <c r="L642" s="139">
        <f ca="1">IFERROR(__xludf.DUMMYFUNCTION("""COMPUTED_VALUE"""),3424.55)</f>
        <v>3424.55</v>
      </c>
      <c r="M642" s="6" t="str">
        <f ca="1">IFERROR(__xludf.DUMMYFUNCTION("""COMPUTED_VALUE"""),"03 ORL")</f>
        <v>03 ORL</v>
      </c>
      <c r="N642" s="6" t="str">
        <f ca="1">IFERROR(__xludf.DUMMYFUNCTION("""COMPUTED_VALUE"""),"06 ORL")</f>
        <v>06 ORL</v>
      </c>
      <c r="O642" s="6" t="str">
        <f ca="1">IFERROR(__xludf.DUMMYFUNCTION("""COMPUTED_VALUE"""),"Dra, Mar Lasso de la Vega Zamora")</f>
        <v>Dra, Mar Lasso de la Vega Zamora</v>
      </c>
      <c r="P642" s="6" t="str">
        <f ca="1">IFERROR(__xludf.DUMMYFUNCTION("""COMPUTED_VALUE"""),"Maika Blázquez (Madrid)")</f>
        <v>Maika Blázquez (Madrid)</v>
      </c>
    </row>
    <row r="643" spans="2:16">
      <c r="B643" s="6">
        <f ca="1">IFERROR(__xludf.DUMMYFUNCTION("""COMPUTED_VALUE"""),2025)</f>
        <v>2025</v>
      </c>
      <c r="C643" s="6">
        <f ca="1">IFERROR(__xludf.DUMMYFUNCTION("""COMPUTED_VALUE"""),5)</f>
        <v>5</v>
      </c>
      <c r="D643" s="6" t="str">
        <f ca="1">IFERROR(__xludf.DUMMYFUNCTION("""COMPUTED_VALUE"""),"NO")</f>
        <v>NO</v>
      </c>
      <c r="E643" s="6" t="str">
        <f ca="1">IFERROR(__xludf.DUMMYFUNCTION("""COMPUTED_VALUE"""),"Leganés")</f>
        <v>Leganés</v>
      </c>
      <c r="F643" s="16">
        <f ca="1">IFERROR(__xludf.DUMMYFUNCTION("""COMPUTED_VALUE"""),45804)</f>
        <v>45804</v>
      </c>
      <c r="G643" s="16">
        <f ca="1">IFERROR(__xludf.DUMMYFUNCTION("""COMPUTED_VALUE"""),45755)</f>
        <v>45755</v>
      </c>
      <c r="H643" s="6" t="str">
        <f ca="1">IFERROR(__xludf.DUMMYFUNCTION("""COMPUTED_VALUE"""),"Leganés")</f>
        <v>Leganés</v>
      </c>
      <c r="I643" s="6" t="str">
        <f ca="1">IFERROR(__xludf.DUMMYFUNCTION("""COMPUTED_VALUE"""),"C202542416422541")</f>
        <v>C202542416422541</v>
      </c>
      <c r="J643" s="6" t="str">
        <f ca="1">IFERROR(__xludf.DUMMYFUNCTION("""COMPUTED_VALUE"""),"ISIDORA ESCRIBANO MARTINEZ")</f>
        <v>ISIDORA ESCRIBANO MARTINEZ</v>
      </c>
      <c r="K643" s="6">
        <f ca="1">IFERROR(__xludf.DUMMYFUNCTION("""COMPUTED_VALUE"""),2)</f>
        <v>2</v>
      </c>
      <c r="L643" s="139">
        <f ca="1">IFERROR(__xludf.DUMMYFUNCTION("""COMPUTED_VALUE"""),3604.55)</f>
        <v>3604.55</v>
      </c>
      <c r="M643" s="6" t="str">
        <f ca="1">IFERROR(__xludf.DUMMYFUNCTION("""COMPUTED_VALUE"""),"03 ORL")</f>
        <v>03 ORL</v>
      </c>
      <c r="N643" s="6" t="str">
        <f ca="1">IFERROR(__xludf.DUMMYFUNCTION("""COMPUTED_VALUE"""),"06 ORL")</f>
        <v>06 ORL</v>
      </c>
      <c r="O643" s="6" t="str">
        <f ca="1">IFERROR(__xludf.DUMMYFUNCTION("""COMPUTED_VALUE"""),"Dra, Desirée Méndez Brenderbache")</f>
        <v>Dra, Desirée Méndez Brenderbache</v>
      </c>
      <c r="P643" s="6" t="str">
        <f ca="1">IFERROR(__xludf.DUMMYFUNCTION("""COMPUTED_VALUE"""),"Maika Blázquez (Madrid)")</f>
        <v>Maika Blázquez (Madrid)</v>
      </c>
    </row>
    <row r="644" spans="2:16">
      <c r="B644" s="6">
        <f ca="1">IFERROR(__xludf.DUMMYFUNCTION("""COMPUTED_VALUE"""),2025)</f>
        <v>2025</v>
      </c>
      <c r="C644" s="6">
        <f ca="1">IFERROR(__xludf.DUMMYFUNCTION("""COMPUTED_VALUE"""),5)</f>
        <v>5</v>
      </c>
      <c r="D644" s="6" t="str">
        <f ca="1">IFERROR(__xludf.DUMMYFUNCTION("""COMPUTED_VALUE"""),"NO")</f>
        <v>NO</v>
      </c>
      <c r="E644" s="6" t="str">
        <f ca="1">IFERROR(__xludf.DUMMYFUNCTION("""COMPUTED_VALUE"""),"Leganés")</f>
        <v>Leganés</v>
      </c>
      <c r="F644" s="16">
        <f ca="1">IFERROR(__xludf.DUMMYFUNCTION("""COMPUTED_VALUE"""),45806)</f>
        <v>45806</v>
      </c>
      <c r="G644" s="16">
        <f ca="1">IFERROR(__xludf.DUMMYFUNCTION("""COMPUTED_VALUE"""),45728)</f>
        <v>45728</v>
      </c>
      <c r="H644" s="6" t="str">
        <f ca="1">IFERROR(__xludf.DUMMYFUNCTION("""COMPUTED_VALUE"""),"Leganés")</f>
        <v>Leganés</v>
      </c>
      <c r="I644" s="6" t="str">
        <f ca="1">IFERROR(__xludf.DUMMYFUNCTION("""COMPUTED_VALUE"""),"C20254217223331")</f>
        <v>C20254217223331</v>
      </c>
      <c r="J644" s="6" t="str">
        <f ca="1">IFERROR(__xludf.DUMMYFUNCTION("""COMPUTED_VALUE"""),"MATEA NIEVA VALIENTE")</f>
        <v>MATEA NIEVA VALIENTE</v>
      </c>
      <c r="K644" s="6">
        <f ca="1">IFERROR(__xludf.DUMMYFUNCTION("""COMPUTED_VALUE"""),2)</f>
        <v>2</v>
      </c>
      <c r="L644" s="139">
        <f ca="1">IFERROR(__xludf.DUMMYFUNCTION("""COMPUTED_VALUE"""),2722.73)</f>
        <v>2722.73</v>
      </c>
      <c r="M644" s="6" t="str">
        <f ca="1">IFERROR(__xludf.DUMMYFUNCTION("""COMPUTED_VALUE"""),"03 ORL")</f>
        <v>03 ORL</v>
      </c>
      <c r="N644" s="6" t="str">
        <f ca="1">IFERROR(__xludf.DUMMYFUNCTION("""COMPUTED_VALUE"""),"06 ORL")</f>
        <v>06 ORL</v>
      </c>
      <c r="O644" s="6" t="str">
        <f ca="1">IFERROR(__xludf.DUMMYFUNCTION("""COMPUTED_VALUE"""),"Dr, Julio López Moya")</f>
        <v>Dr, Julio López Moya</v>
      </c>
      <c r="P644" s="6" t="str">
        <f ca="1">IFERROR(__xludf.DUMMYFUNCTION("""COMPUTED_VALUE"""),"Maika Blázquez (Madrid)")</f>
        <v>Maika Blázquez (Madrid)</v>
      </c>
    </row>
    <row r="645" spans="2:16">
      <c r="B645" s="6">
        <f ca="1">IFERROR(__xludf.DUMMYFUNCTION("""COMPUTED_VALUE"""),2025)</f>
        <v>2025</v>
      </c>
      <c r="C645" s="6">
        <f ca="1">IFERROR(__xludf.DUMMYFUNCTION("""COMPUTED_VALUE"""),5)</f>
        <v>5</v>
      </c>
      <c r="D645" s="6" t="str">
        <f ca="1">IFERROR(__xludf.DUMMYFUNCTION("""COMPUTED_VALUE"""),"NO")</f>
        <v>NO</v>
      </c>
      <c r="E645" s="6" t="str">
        <f ca="1">IFERROR(__xludf.DUMMYFUNCTION("""COMPUTED_VALUE"""),"Leganés")</f>
        <v>Leganés</v>
      </c>
      <c r="F645" s="16">
        <f ca="1">IFERROR(__xludf.DUMMYFUNCTION("""COMPUTED_VALUE"""),45784)</f>
        <v>45784</v>
      </c>
      <c r="G645" s="16">
        <f ca="1">IFERROR(__xludf.DUMMYFUNCTION("""COMPUTED_VALUE"""),45751)</f>
        <v>45751</v>
      </c>
      <c r="H645" s="6" t="str">
        <f ca="1">IFERROR(__xludf.DUMMYFUNCTION("""COMPUTED_VALUE"""),"Leganés")</f>
        <v>Leganés</v>
      </c>
      <c r="I645" s="6" t="str">
        <f ca="1">IFERROR(__xludf.DUMMYFUNCTION("""COMPUTED_VALUE"""),"C202541111010838")</f>
        <v>C202541111010838</v>
      </c>
      <c r="J645" s="6" t="str">
        <f ca="1">IFERROR(__xludf.DUMMYFUNCTION("""COMPUTED_VALUE"""),"RAFAEL MADERO ESCUDERO")</f>
        <v>RAFAEL MADERO ESCUDERO</v>
      </c>
      <c r="K645" s="6">
        <f ca="1">IFERROR(__xludf.DUMMYFUNCTION("""COMPUTED_VALUE"""),2)</f>
        <v>2</v>
      </c>
      <c r="L645" s="139">
        <f ca="1">IFERROR(__xludf.DUMMYFUNCTION("""COMPUTED_VALUE"""),2722.73)</f>
        <v>2722.73</v>
      </c>
      <c r="M645" s="6" t="str">
        <f ca="1">IFERROR(__xludf.DUMMYFUNCTION("""COMPUTED_VALUE"""),"03 ORL")</f>
        <v>03 ORL</v>
      </c>
      <c r="N645" s="6" t="str">
        <f ca="1">IFERROR(__xludf.DUMMYFUNCTION("""COMPUTED_VALUE"""),"06 ORL")</f>
        <v>06 ORL</v>
      </c>
      <c r="O645" s="6" t="str">
        <f ca="1">IFERROR(__xludf.DUMMYFUNCTION("""COMPUTED_VALUE"""),"Dr, Jesús Ramos Fernández")</f>
        <v>Dr, Jesús Ramos Fernández</v>
      </c>
      <c r="P645" s="6" t="str">
        <f ca="1">IFERROR(__xludf.DUMMYFUNCTION("""COMPUTED_VALUE"""),"Maika Blázquez (Madrid)")</f>
        <v>Maika Blázquez (Madrid)</v>
      </c>
    </row>
    <row r="646" spans="2:16">
      <c r="B646" s="6">
        <f ca="1">IFERROR(__xludf.DUMMYFUNCTION("""COMPUTED_VALUE"""),2025)</f>
        <v>2025</v>
      </c>
      <c r="C646" s="6">
        <f ca="1">IFERROR(__xludf.DUMMYFUNCTION("""COMPUTED_VALUE"""),5)</f>
        <v>5</v>
      </c>
      <c r="D646" s="6" t="str">
        <f ca="1">IFERROR(__xludf.DUMMYFUNCTION("""COMPUTED_VALUE"""),"NO")</f>
        <v>NO</v>
      </c>
      <c r="E646" s="6" t="str">
        <f ca="1">IFERROR(__xludf.DUMMYFUNCTION("""COMPUTED_VALUE"""),"Leganés")</f>
        <v>Leganés</v>
      </c>
      <c r="F646" s="16">
        <f ca="1">IFERROR(__xludf.DUMMYFUNCTION("""COMPUTED_VALUE"""),45800)</f>
        <v>45800</v>
      </c>
      <c r="G646" s="16">
        <f ca="1">IFERROR(__xludf.DUMMYFUNCTION("""COMPUTED_VALUE"""),45748)</f>
        <v>45748</v>
      </c>
      <c r="H646" s="6" t="str">
        <f ca="1">IFERROR(__xludf.DUMMYFUNCTION("""COMPUTED_VALUE"""),"Leganés")</f>
        <v>Leganés</v>
      </c>
      <c r="I646" s="6" t="str">
        <f ca="1">IFERROR(__xludf.DUMMYFUNCTION("""COMPUTED_VALUE"""),"C202544111746204")</f>
        <v>C202544111746204</v>
      </c>
      <c r="J646" s="6" t="str">
        <f ca="1">IFERROR(__xludf.DUMMYFUNCTION("""COMPUTED_VALUE"""),"VISITACION  SANCHEZ VALLADARES PEDRAZA")</f>
        <v>VISITACION  SANCHEZ VALLADARES PEDRAZA</v>
      </c>
      <c r="K646" s="6">
        <f ca="1">IFERROR(__xludf.DUMMYFUNCTION("""COMPUTED_VALUE"""),2)</f>
        <v>2</v>
      </c>
      <c r="L646" s="139">
        <f ca="1">IFERROR(__xludf.DUMMYFUNCTION("""COMPUTED_VALUE"""),2722.73)</f>
        <v>2722.73</v>
      </c>
      <c r="M646" s="6" t="str">
        <f ca="1">IFERROR(__xludf.DUMMYFUNCTION("""COMPUTED_VALUE"""),"03 ORL")</f>
        <v>03 ORL</v>
      </c>
      <c r="N646" s="6" t="str">
        <f ca="1">IFERROR(__xludf.DUMMYFUNCTION("""COMPUTED_VALUE"""),"06 ORL")</f>
        <v>06 ORL</v>
      </c>
      <c r="O646" s="6" t="str">
        <f ca="1">IFERROR(__xludf.DUMMYFUNCTION("""COMPUTED_VALUE"""),"Dra, Desirée Méndez Brenderbache")</f>
        <v>Dra, Desirée Méndez Brenderbache</v>
      </c>
      <c r="P646" s="6" t="str">
        <f ca="1">IFERROR(__xludf.DUMMYFUNCTION("""COMPUTED_VALUE"""),"Maika Blázquez (Madrid)")</f>
        <v>Maika Blázquez (Madrid)</v>
      </c>
    </row>
    <row r="647" spans="2:16">
      <c r="B647" s="6">
        <f ca="1">IFERROR(__xludf.DUMMYFUNCTION("""COMPUTED_VALUE"""),2025)</f>
        <v>2025</v>
      </c>
      <c r="C647" s="6">
        <f ca="1">IFERROR(__xludf.DUMMYFUNCTION("""COMPUTED_VALUE"""),5)</f>
        <v>5</v>
      </c>
      <c r="D647" s="6" t="str">
        <f ca="1">IFERROR(__xludf.DUMMYFUNCTION("""COMPUTED_VALUE"""),"NO")</f>
        <v>NO</v>
      </c>
      <c r="E647" s="6" t="str">
        <f ca="1">IFERROR(__xludf.DUMMYFUNCTION("""COMPUTED_VALUE"""),"Logroño")</f>
        <v>Logroño</v>
      </c>
      <c r="F647" s="16">
        <f ca="1">IFERROR(__xludf.DUMMYFUNCTION("""COMPUTED_VALUE"""),45798)</f>
        <v>45798</v>
      </c>
      <c r="G647" s="16">
        <f ca="1">IFERROR(__xludf.DUMMYFUNCTION("""COMPUTED_VALUE"""),45756)</f>
        <v>45756</v>
      </c>
      <c r="H647" s="6" t="str">
        <f ca="1">IFERROR(__xludf.DUMMYFUNCTION("""COMPUTED_VALUE"""),"Logroño")</f>
        <v>Logroño</v>
      </c>
      <c r="I647" s="6" t="str">
        <f ca="1">IFERROR(__xludf.DUMMYFUNCTION("""COMPUTED_VALUE"""),"C202541411934790")</f>
        <v>C202541411934790</v>
      </c>
      <c r="J647" s="6" t="str">
        <f ca="1">IFERROR(__xludf.DUMMYFUNCTION("""COMPUTED_VALUE"""),"FEDERICO ESCUSOL PUIGGENE")</f>
        <v>FEDERICO ESCUSOL PUIGGENE</v>
      </c>
      <c r="K647" s="6">
        <f ca="1">IFERROR(__xludf.DUMMYFUNCTION("""COMPUTED_VALUE"""),2)</f>
        <v>2</v>
      </c>
      <c r="L647" s="139">
        <f ca="1">IFERROR(__xludf.DUMMYFUNCTION("""COMPUTED_VALUE"""),2888.18)</f>
        <v>2888.18</v>
      </c>
      <c r="M647" s="6" t="str">
        <f ca="1">IFERROR(__xludf.DUMMYFUNCTION("""COMPUTED_VALUE"""),"03 ORL")</f>
        <v>03 ORL</v>
      </c>
      <c r="N647" s="6" t="str">
        <f ca="1">IFERROR(__xludf.DUMMYFUNCTION("""COMPUTED_VALUE"""),"06 ORL")</f>
        <v>06 ORL</v>
      </c>
      <c r="O647" s="6" t="str">
        <f ca="1">IFERROR(__xludf.DUMMYFUNCTION("""COMPUTED_VALUE"""),"Dr, Daniel Briones Crespo")</f>
        <v>Dr, Daniel Briones Crespo</v>
      </c>
      <c r="P647" s="6" t="str">
        <f ca="1">IFERROR(__xludf.DUMMYFUNCTION("""COMPUTED_VALUE"""),"Lisandro Russian (Madrid, Cáceres, Toledo, Talavera Y Logroño)")</f>
        <v>Lisandro Russian (Madrid, Cáceres, Toledo, Talavera Y Logroño)</v>
      </c>
    </row>
    <row r="648" spans="2:16">
      <c r="B648" s="6">
        <f ca="1">IFERROR(__xludf.DUMMYFUNCTION("""COMPUTED_VALUE"""),2025)</f>
        <v>2025</v>
      </c>
      <c r="C648" s="6">
        <f ca="1">IFERROR(__xludf.DUMMYFUNCTION("""COMPUTED_VALUE"""),5)</f>
        <v>5</v>
      </c>
      <c r="D648" s="6" t="str">
        <f ca="1">IFERROR(__xludf.DUMMYFUNCTION("""COMPUTED_VALUE"""),"NO")</f>
        <v>NO</v>
      </c>
      <c r="E648" s="6" t="str">
        <f ca="1">IFERROR(__xludf.DUMMYFUNCTION("""COMPUTED_VALUE"""),"Logroño")</f>
        <v>Logroño</v>
      </c>
      <c r="F648" s="16">
        <f ca="1">IFERROR(__xludf.DUMMYFUNCTION("""COMPUTED_VALUE"""),45790)</f>
        <v>45790</v>
      </c>
      <c r="G648" s="16">
        <f ca="1">IFERROR(__xludf.DUMMYFUNCTION("""COMPUTED_VALUE"""),45729)</f>
        <v>45729</v>
      </c>
      <c r="H648" s="6" t="str">
        <f ca="1">IFERROR(__xludf.DUMMYFUNCTION("""COMPUTED_VALUE"""),"Logroño")</f>
        <v>Logroño</v>
      </c>
      <c r="I648" s="6" t="str">
        <f ca="1">IFERROR(__xludf.DUMMYFUNCTION("""COMPUTED_VALUE"""),"C2025324175738963")</f>
        <v>C2025324175738963</v>
      </c>
      <c r="J648" s="6" t="str">
        <f ca="1">IFERROR(__xludf.DUMMYFUNCTION("""COMPUTED_VALUE"""),"LOURDES LARA BLANCO")</f>
        <v>LOURDES LARA BLANCO</v>
      </c>
      <c r="K648" s="6">
        <f ca="1">IFERROR(__xludf.DUMMYFUNCTION("""COMPUTED_VALUE"""),2)</f>
        <v>2</v>
      </c>
      <c r="L648" s="139">
        <f ca="1">IFERROR(__xludf.DUMMYFUNCTION("""COMPUTED_VALUE"""),4000)</f>
        <v>4000</v>
      </c>
      <c r="M648" s="6" t="str">
        <f ca="1">IFERROR(__xludf.DUMMYFUNCTION("""COMPUTED_VALUE"""),"03 ORL")</f>
        <v>03 ORL</v>
      </c>
      <c r="N648" s="6" t="str">
        <f ca="1">IFERROR(__xludf.DUMMYFUNCTION("""COMPUTED_VALUE"""),"06 ORL")</f>
        <v>06 ORL</v>
      </c>
      <c r="O648" s="6" t="str">
        <f ca="1">IFERROR(__xludf.DUMMYFUNCTION("""COMPUTED_VALUE"""),"Dr, Fernando Salazar Barcelona")</f>
        <v>Dr, Fernando Salazar Barcelona</v>
      </c>
      <c r="P648" s="6" t="str">
        <f ca="1">IFERROR(__xludf.DUMMYFUNCTION("""COMPUTED_VALUE"""),"Lisandro Russian (Madrid, Cáceres, Toledo, Talavera Y Logroño)")</f>
        <v>Lisandro Russian (Madrid, Cáceres, Toledo, Talavera Y Logroño)</v>
      </c>
    </row>
    <row r="649" spans="2:16">
      <c r="B649" s="6">
        <f ca="1">IFERROR(__xludf.DUMMYFUNCTION("""COMPUTED_VALUE"""),2025)</f>
        <v>2025</v>
      </c>
      <c r="C649" s="6">
        <f ca="1">IFERROR(__xludf.DUMMYFUNCTION("""COMPUTED_VALUE"""),5)</f>
        <v>5</v>
      </c>
      <c r="D649" s="6" t="str">
        <f ca="1">IFERROR(__xludf.DUMMYFUNCTION("""COMPUTED_VALUE"""),"NO")</f>
        <v>NO</v>
      </c>
      <c r="E649" s="6" t="str">
        <f ca="1">IFERROR(__xludf.DUMMYFUNCTION("""COMPUTED_VALUE"""),"Logroño")</f>
        <v>Logroño</v>
      </c>
      <c r="F649" s="16">
        <f ca="1">IFERROR(__xludf.DUMMYFUNCTION("""COMPUTED_VALUE"""),45804)</f>
        <v>45804</v>
      </c>
      <c r="G649" s="16">
        <f ca="1">IFERROR(__xludf.DUMMYFUNCTION("""COMPUTED_VALUE"""),45165)</f>
        <v>45165</v>
      </c>
      <c r="H649" s="6" t="str">
        <f ca="1">IFERROR(__xludf.DUMMYFUNCTION("""COMPUTED_VALUE"""),"Logroño")</f>
        <v>Logroño</v>
      </c>
      <c r="I649" s="6" t="str">
        <f ca="1">IFERROR(__xludf.DUMMYFUNCTION("""COMPUTED_VALUE"""),"LOG-1169")</f>
        <v>LOG-1169</v>
      </c>
      <c r="J649" s="6" t="str">
        <f ca="1">IFERROR(__xludf.DUMMYFUNCTION("""COMPUTED_VALUE"""),"MARIA PILAR NANCLARES PEREZ")</f>
        <v>MARIA PILAR NANCLARES PEREZ</v>
      </c>
      <c r="K649" s="6">
        <f ca="1">IFERROR(__xludf.DUMMYFUNCTION("""COMPUTED_VALUE"""),2)</f>
        <v>2</v>
      </c>
      <c r="L649" s="139">
        <f ca="1">IFERROR(__xludf.DUMMYFUNCTION("""COMPUTED_VALUE"""),3710)</f>
        <v>3710</v>
      </c>
      <c r="M649" s="6" t="str">
        <f ca="1">IFERROR(__xludf.DUMMYFUNCTION("""COMPUTED_VALUE"""),"03 ORL")</f>
        <v>03 ORL</v>
      </c>
      <c r="N649" s="6" t="str">
        <f ca="1">IFERROR(__xludf.DUMMYFUNCTION("""COMPUTED_VALUE"""),"06 ORL")</f>
        <v>06 ORL</v>
      </c>
      <c r="O649" s="6" t="str">
        <f ca="1">IFERROR(__xludf.DUMMYFUNCTION("""COMPUTED_VALUE"""),"Dr, Fernando Salazar Barcelona")</f>
        <v>Dr, Fernando Salazar Barcelona</v>
      </c>
      <c r="P649" s="6" t="str">
        <f ca="1">IFERROR(__xludf.DUMMYFUNCTION("""COMPUTED_VALUE"""),"Lisandro Russian (Madrid, Cáceres, Toledo, Talavera Y Logroño)")</f>
        <v>Lisandro Russian (Madrid, Cáceres, Toledo, Talavera Y Logroño)</v>
      </c>
    </row>
    <row r="650" spans="2:16">
      <c r="B650" s="6">
        <f ca="1">IFERROR(__xludf.DUMMYFUNCTION("""COMPUTED_VALUE"""),2025)</f>
        <v>2025</v>
      </c>
      <c r="C650" s="6">
        <f ca="1">IFERROR(__xludf.DUMMYFUNCTION("""COMPUTED_VALUE"""),5)</f>
        <v>5</v>
      </c>
      <c r="D650" s="6" t="str">
        <f ca="1">IFERROR(__xludf.DUMMYFUNCTION("""COMPUTED_VALUE"""),"NO")</f>
        <v>NO</v>
      </c>
      <c r="E650" s="6" t="str">
        <f ca="1">IFERROR(__xludf.DUMMYFUNCTION("""COMPUTED_VALUE"""),"Logroño")</f>
        <v>Logroño</v>
      </c>
      <c r="F650" s="16">
        <f ca="1">IFERROR(__xludf.DUMMYFUNCTION("""COMPUTED_VALUE"""),45806)</f>
        <v>45806</v>
      </c>
      <c r="G650" s="16">
        <f ca="1">IFERROR(__xludf.DUMMYFUNCTION("""COMPUTED_VALUE"""),45755)</f>
        <v>45755</v>
      </c>
      <c r="H650" s="6" t="str">
        <f ca="1">IFERROR(__xludf.DUMMYFUNCTION("""COMPUTED_VALUE"""),"Logroño")</f>
        <v>Logroño</v>
      </c>
      <c r="I650" s="6" t="str">
        <f ca="1">IFERROR(__xludf.DUMMYFUNCTION("""COMPUTED_VALUE"""),"C2025415171827123")</f>
        <v>C2025415171827123</v>
      </c>
      <c r="J650" s="6" t="str">
        <f ca="1">IFERROR(__xludf.DUMMYFUNCTION("""COMPUTED_VALUE"""),"PETRA VILLASCORNA PASCUAL")</f>
        <v>PETRA VILLASCORNA PASCUAL</v>
      </c>
      <c r="K650" s="6">
        <f ca="1">IFERROR(__xludf.DUMMYFUNCTION("""COMPUTED_VALUE"""),1)</f>
        <v>1</v>
      </c>
      <c r="L650" s="139">
        <f ca="1">IFERROR(__xludf.DUMMYFUNCTION("""COMPUTED_VALUE"""),1936.36)</f>
        <v>1936.36</v>
      </c>
      <c r="M650" s="6" t="str">
        <f ca="1">IFERROR(__xludf.DUMMYFUNCTION("""COMPUTED_VALUE"""),"03 ORL")</f>
        <v>03 ORL</v>
      </c>
      <c r="N650" s="6" t="str">
        <f ca="1">IFERROR(__xludf.DUMMYFUNCTION("""COMPUTED_VALUE"""),"06 ORL")</f>
        <v>06 ORL</v>
      </c>
      <c r="O650" s="6" t="str">
        <f ca="1">IFERROR(__xludf.DUMMYFUNCTION("""COMPUTED_VALUE"""),"Dr, Garikoitz Calzada Uriondo")</f>
        <v>Dr, Garikoitz Calzada Uriondo</v>
      </c>
      <c r="P650" s="6" t="str">
        <f ca="1">IFERROR(__xludf.DUMMYFUNCTION("""COMPUTED_VALUE"""),"Lisandro Russian (Madrid, Cáceres, Toledo, Talavera Y Logroño)")</f>
        <v>Lisandro Russian (Madrid, Cáceres, Toledo, Talavera Y Logroño)</v>
      </c>
    </row>
    <row r="651" spans="2:16">
      <c r="B651" s="6">
        <f ca="1">IFERROR(__xludf.DUMMYFUNCTION("""COMPUTED_VALUE"""),2025)</f>
        <v>2025</v>
      </c>
      <c r="C651" s="6">
        <f ca="1">IFERROR(__xludf.DUMMYFUNCTION("""COMPUTED_VALUE"""),5)</f>
        <v>5</v>
      </c>
      <c r="D651" s="6" t="str">
        <f ca="1">IFERROR(__xludf.DUMMYFUNCTION("""COMPUTED_VALUE"""),"NO")</f>
        <v>NO</v>
      </c>
      <c r="E651" s="6" t="str">
        <f ca="1">IFERROR(__xludf.DUMMYFUNCTION("""COMPUTED_VALUE"""),"Lugo")</f>
        <v>Lugo</v>
      </c>
      <c r="F651" s="16">
        <f ca="1">IFERROR(__xludf.DUMMYFUNCTION("""COMPUTED_VALUE"""),45803)</f>
        <v>45803</v>
      </c>
      <c r="G651" s="16">
        <f ca="1">IFERROR(__xludf.DUMMYFUNCTION("""COMPUTED_VALUE"""),45762)</f>
        <v>45762</v>
      </c>
      <c r="H651" s="6" t="str">
        <f ca="1">IFERROR(__xludf.DUMMYFUNCTION("""COMPUTED_VALUE"""),"Lugo")</f>
        <v>Lugo</v>
      </c>
      <c r="I651" s="6" t="str">
        <f ca="1">IFERROR(__xludf.DUMMYFUNCTION("""COMPUTED_VALUE"""),"C202542895155415")</f>
        <v>C202542895155415</v>
      </c>
      <c r="J651" s="6" t="str">
        <f ca="1">IFERROR(__xludf.DUMMYFUNCTION("""COMPUTED_VALUE"""),"MARIA LUISA SOBRADO GAY")</f>
        <v>MARIA LUISA SOBRADO GAY</v>
      </c>
      <c r="K651" s="6">
        <f ca="1">IFERROR(__xludf.DUMMYFUNCTION("""COMPUTED_VALUE"""),2)</f>
        <v>2</v>
      </c>
      <c r="L651" s="139">
        <f ca="1">IFERROR(__xludf.DUMMYFUNCTION("""COMPUTED_VALUE"""),3818.18)</f>
        <v>3818.18</v>
      </c>
      <c r="M651" s="6" t="str">
        <f ca="1">IFERROR(__xludf.DUMMYFUNCTION("""COMPUTED_VALUE"""),"03 ORL")</f>
        <v>03 ORL</v>
      </c>
      <c r="N651" s="6" t="str">
        <f ca="1">IFERROR(__xludf.DUMMYFUNCTION("""COMPUTED_VALUE"""),"06 ORL")</f>
        <v>06 ORL</v>
      </c>
      <c r="O651" s="6" t="str">
        <f ca="1">IFERROR(__xludf.DUMMYFUNCTION("""COMPUTED_VALUE"""),"Dr, Pedro Juiz López")</f>
        <v>Dr, Pedro Juiz López</v>
      </c>
      <c r="P651" s="6" t="str">
        <f ca="1">IFERROR(__xludf.DUMMYFUNCTION("""COMPUTED_VALUE"""),"Roberto Pereira (Galicia)")</f>
        <v>Roberto Pereira (Galicia)</v>
      </c>
    </row>
    <row r="652" spans="2:16">
      <c r="B652" s="6">
        <f ca="1">IFERROR(__xludf.DUMMYFUNCTION("""COMPUTED_VALUE"""),2025)</f>
        <v>2025</v>
      </c>
      <c r="C652" s="6">
        <f ca="1">IFERROR(__xludf.DUMMYFUNCTION("""COMPUTED_VALUE"""),5)</f>
        <v>5</v>
      </c>
      <c r="D652" s="6" t="str">
        <f ca="1">IFERROR(__xludf.DUMMYFUNCTION("""COMPUTED_VALUE"""),"NO")</f>
        <v>NO</v>
      </c>
      <c r="E652" s="6" t="str">
        <f ca="1">IFERROR(__xludf.DUMMYFUNCTION("""COMPUTED_VALUE"""),"Madrid- Canillas")</f>
        <v>Madrid- Canillas</v>
      </c>
      <c r="F652" s="16">
        <f ca="1">IFERROR(__xludf.DUMMYFUNCTION("""COMPUTED_VALUE"""),45791)</f>
        <v>45791</v>
      </c>
      <c r="G652" s="16">
        <f ca="1">IFERROR(__xludf.DUMMYFUNCTION("""COMPUTED_VALUE"""),45783)</f>
        <v>45783</v>
      </c>
      <c r="H652" s="6" t="str">
        <f ca="1">IFERROR(__xludf.DUMMYFUNCTION("""COMPUTED_VALUE"""),"Canillas")</f>
        <v>Canillas</v>
      </c>
      <c r="I652" s="6" t="str">
        <f ca="1">IFERROR(__xludf.DUMMYFUNCTION("""COMPUTED_VALUE"""),"C20255810946643")</f>
        <v>C20255810946643</v>
      </c>
      <c r="J652" s="6" t="str">
        <f ca="1">IFERROR(__xludf.DUMMYFUNCTION("""COMPUTED_VALUE"""),"EMILIANA NIETO HORNERO")</f>
        <v>EMILIANA NIETO HORNERO</v>
      </c>
      <c r="K652" s="6">
        <f ca="1">IFERROR(__xludf.DUMMYFUNCTION("""COMPUTED_VALUE"""),1)</f>
        <v>1</v>
      </c>
      <c r="L652" s="139">
        <f ca="1">IFERROR(__xludf.DUMMYFUNCTION("""COMPUTED_VALUE"""),2400)</f>
        <v>2400</v>
      </c>
      <c r="M652" s="6" t="str">
        <f ca="1">IFERROR(__xludf.DUMMYFUNCTION("""COMPUTED_VALUE"""),"03 ORL")</f>
        <v>03 ORL</v>
      </c>
      <c r="N652" s="6" t="str">
        <f ca="1">IFERROR(__xludf.DUMMYFUNCTION("""COMPUTED_VALUE"""),"06 ORL")</f>
        <v>06 ORL</v>
      </c>
      <c r="O652" s="6" t="str">
        <f ca="1">IFERROR(__xludf.DUMMYFUNCTION("""COMPUTED_VALUE"""),"Dra, Laura Yeguas Ramírez")</f>
        <v>Dra, Laura Yeguas Ramírez</v>
      </c>
      <c r="P652" s="6" t="str">
        <f ca="1">IFERROR(__xludf.DUMMYFUNCTION("""COMPUTED_VALUE"""),"Maika Blázquez (Madrid)")</f>
        <v>Maika Blázquez (Madrid)</v>
      </c>
    </row>
    <row r="653" spans="2:16">
      <c r="B653" s="6">
        <f ca="1">IFERROR(__xludf.DUMMYFUNCTION("""COMPUTED_VALUE"""),2025)</f>
        <v>2025</v>
      </c>
      <c r="C653" s="6">
        <f ca="1">IFERROR(__xludf.DUMMYFUNCTION("""COMPUTED_VALUE"""),5)</f>
        <v>5</v>
      </c>
      <c r="D653" s="6" t="str">
        <f ca="1">IFERROR(__xludf.DUMMYFUNCTION("""COMPUTED_VALUE"""),"NO")</f>
        <v>NO</v>
      </c>
      <c r="E653" s="6" t="str">
        <f ca="1">IFERROR(__xludf.DUMMYFUNCTION("""COMPUTED_VALUE"""),"Madrid- Canillas")</f>
        <v>Madrid- Canillas</v>
      </c>
      <c r="F653" s="16">
        <f ca="1">IFERROR(__xludf.DUMMYFUNCTION("""COMPUTED_VALUE"""),45791)</f>
        <v>45791</v>
      </c>
      <c r="G653" s="16">
        <f ca="1">IFERROR(__xludf.DUMMYFUNCTION("""COMPUTED_VALUE"""),45783)</f>
        <v>45783</v>
      </c>
      <c r="H653" s="6" t="str">
        <f ca="1">IFERROR(__xludf.DUMMYFUNCTION("""COMPUTED_VALUE"""),"Canillas")</f>
        <v>Canillas</v>
      </c>
      <c r="I653" s="6" t="str">
        <f ca="1">IFERROR(__xludf.DUMMYFUNCTION("""COMPUTED_VALUE"""),"C202559104028128")</f>
        <v>C202559104028128</v>
      </c>
      <c r="J653" s="6" t="str">
        <f ca="1">IFERROR(__xludf.DUMMYFUNCTION("""COMPUTED_VALUE"""),"HELIODORA MUÑOZ IRIEPAR")</f>
        <v>HELIODORA MUÑOZ IRIEPAR</v>
      </c>
      <c r="K653" s="6">
        <f ca="1">IFERROR(__xludf.DUMMYFUNCTION("""COMPUTED_VALUE"""),2)</f>
        <v>2</v>
      </c>
      <c r="L653" s="139">
        <f ca="1">IFERROR(__xludf.DUMMYFUNCTION("""COMPUTED_VALUE"""),3710)</f>
        <v>3710</v>
      </c>
      <c r="M653" s="6" t="str">
        <f ca="1">IFERROR(__xludf.DUMMYFUNCTION("""COMPUTED_VALUE"""),"03 ORL")</f>
        <v>03 ORL</v>
      </c>
      <c r="N653" s="6" t="str">
        <f ca="1">IFERROR(__xludf.DUMMYFUNCTION("""COMPUTED_VALUE"""),"06 ORL")</f>
        <v>06 ORL</v>
      </c>
      <c r="O653" s="6" t="str">
        <f ca="1">IFERROR(__xludf.DUMMYFUNCTION("""COMPUTED_VALUE"""),"Dr, José Gustavo Barroso Braojos")</f>
        <v>Dr, José Gustavo Barroso Braojos</v>
      </c>
      <c r="P653" s="6" t="str">
        <f ca="1">IFERROR(__xludf.DUMMYFUNCTION("""COMPUTED_VALUE"""),"Maika Blázquez (Madrid)")</f>
        <v>Maika Blázquez (Madrid)</v>
      </c>
    </row>
    <row r="654" spans="2:16">
      <c r="B654" s="6">
        <f ca="1">IFERROR(__xludf.DUMMYFUNCTION("""COMPUTED_VALUE"""),2025)</f>
        <v>2025</v>
      </c>
      <c r="C654" s="6">
        <f ca="1">IFERROR(__xludf.DUMMYFUNCTION("""COMPUTED_VALUE"""),5)</f>
        <v>5</v>
      </c>
      <c r="D654" s="6" t="str">
        <f ca="1">IFERROR(__xludf.DUMMYFUNCTION("""COMPUTED_VALUE"""),"NO")</f>
        <v>NO</v>
      </c>
      <c r="E654" s="6" t="str">
        <f ca="1">IFERROR(__xludf.DUMMYFUNCTION("""COMPUTED_VALUE"""),"Madrid- Canillas")</f>
        <v>Madrid- Canillas</v>
      </c>
      <c r="F654" s="16">
        <f ca="1">IFERROR(__xludf.DUMMYFUNCTION("""COMPUTED_VALUE"""),45805)</f>
        <v>45805</v>
      </c>
      <c r="G654" s="16">
        <f ca="1">IFERROR(__xludf.DUMMYFUNCTION("""COMPUTED_VALUE"""),45777)</f>
        <v>45777</v>
      </c>
      <c r="H654" s="6" t="str">
        <f ca="1">IFERROR(__xludf.DUMMYFUNCTION("""COMPUTED_VALUE"""),"Canillas")</f>
        <v>Canillas</v>
      </c>
      <c r="I654" s="6" t="str">
        <f ca="1">IFERROR(__xludf.DUMMYFUNCTION("""COMPUTED_VALUE"""),"C202556113422987")</f>
        <v>C202556113422987</v>
      </c>
      <c r="J654" s="6" t="str">
        <f ca="1">IFERROR(__xludf.DUMMYFUNCTION("""COMPUTED_VALUE"""),"JOSE LUIS GOMEZ DE SEGURA")</f>
        <v>JOSE LUIS GOMEZ DE SEGURA</v>
      </c>
      <c r="K654" s="6">
        <f ca="1">IFERROR(__xludf.DUMMYFUNCTION("""COMPUTED_VALUE"""),2)</f>
        <v>2</v>
      </c>
      <c r="L654" s="139">
        <f ca="1">IFERROR(__xludf.DUMMYFUNCTION("""COMPUTED_VALUE"""),4000)</f>
        <v>4000</v>
      </c>
      <c r="M654" s="6" t="str">
        <f ca="1">IFERROR(__xludf.DUMMYFUNCTION("""COMPUTED_VALUE"""),"03 ORL")</f>
        <v>03 ORL</v>
      </c>
      <c r="N654" s="6" t="str">
        <f ca="1">IFERROR(__xludf.DUMMYFUNCTION("""COMPUTED_VALUE"""),"06 ORL")</f>
        <v>06 ORL</v>
      </c>
      <c r="O654" s="6" t="str">
        <f ca="1">IFERROR(__xludf.DUMMYFUNCTION("""COMPUTED_VALUE"""),"Dra, Helena Moreno Pardo")</f>
        <v>Dra, Helena Moreno Pardo</v>
      </c>
      <c r="P654" s="6" t="str">
        <f ca="1">IFERROR(__xludf.DUMMYFUNCTION("""COMPUTED_VALUE"""),"Maika Blázquez (Madrid)")</f>
        <v>Maika Blázquez (Madrid)</v>
      </c>
    </row>
    <row r="655" spans="2:16">
      <c r="B655" s="6">
        <f ca="1">IFERROR(__xludf.DUMMYFUNCTION("""COMPUTED_VALUE"""),2025)</f>
        <v>2025</v>
      </c>
      <c r="C655" s="6">
        <f ca="1">IFERROR(__xludf.DUMMYFUNCTION("""COMPUTED_VALUE"""),5)</f>
        <v>5</v>
      </c>
      <c r="D655" s="6" t="str">
        <f ca="1">IFERROR(__xludf.DUMMYFUNCTION("""COMPUTED_VALUE"""),"NO")</f>
        <v>NO</v>
      </c>
      <c r="E655" s="6" t="str">
        <f ca="1">IFERROR(__xludf.DUMMYFUNCTION("""COMPUTED_VALUE"""),"Madrid- Costa Rica")</f>
        <v>Madrid- Costa Rica</v>
      </c>
      <c r="F655" s="16">
        <f ca="1">IFERROR(__xludf.DUMMYFUNCTION("""COMPUTED_VALUE"""),45784)</f>
        <v>45784</v>
      </c>
      <c r="G655" s="16">
        <f ca="1">IFERROR(__xludf.DUMMYFUNCTION("""COMPUTED_VALUE"""),45741)</f>
        <v>45741</v>
      </c>
      <c r="H655" s="6" t="str">
        <f ca="1">IFERROR(__xludf.DUMMYFUNCTION("""COMPUTED_VALUE"""),"Costa Rica")</f>
        <v>Costa Rica</v>
      </c>
      <c r="I655" s="6" t="str">
        <f ca="1">IFERROR(__xludf.DUMMYFUNCTION("""COMPUTED_VALUE"""),"C202541115234926")</f>
        <v>C202541115234926</v>
      </c>
      <c r="J655" s="6" t="str">
        <f ca="1">IFERROR(__xludf.DUMMYFUNCTION("""COMPUTED_VALUE"""),"MARIA ROSA VEGA OTERO")</f>
        <v>MARIA ROSA VEGA OTERO</v>
      </c>
      <c r="K655" s="6">
        <f ca="1">IFERROR(__xludf.DUMMYFUNCTION("""COMPUTED_VALUE"""),1)</f>
        <v>1</v>
      </c>
      <c r="L655" s="139">
        <f ca="1">IFERROR(__xludf.DUMMYFUNCTION("""COMPUTED_VALUE"""),2068.18)</f>
        <v>2068.1799999999998</v>
      </c>
      <c r="M655" s="6" t="str">
        <f ca="1">IFERROR(__xludf.DUMMYFUNCTION("""COMPUTED_VALUE"""),"03 ORL")</f>
        <v>03 ORL</v>
      </c>
      <c r="N655" s="6" t="str">
        <f ca="1">IFERROR(__xludf.DUMMYFUNCTION("""COMPUTED_VALUE"""),"06 ORL")</f>
        <v>06 ORL</v>
      </c>
      <c r="O655" s="6" t="str">
        <f ca="1">IFERROR(__xludf.DUMMYFUNCTION("""COMPUTED_VALUE"""),"DR, Javier Olarieta Soto")</f>
        <v>DR, Javier Olarieta Soto</v>
      </c>
      <c r="P655" s="6" t="str">
        <f ca="1">IFERROR(__xludf.DUMMYFUNCTION("""COMPUTED_VALUE"""),"Maika Blázquez (Madrid)")</f>
        <v>Maika Blázquez (Madrid)</v>
      </c>
    </row>
    <row r="656" spans="2:16">
      <c r="B656" s="6">
        <f ca="1">IFERROR(__xludf.DUMMYFUNCTION("""COMPUTED_VALUE"""),2025)</f>
        <v>2025</v>
      </c>
      <c r="C656" s="6">
        <f ca="1">IFERROR(__xludf.DUMMYFUNCTION("""COMPUTED_VALUE"""),5)</f>
        <v>5</v>
      </c>
      <c r="D656" s="6" t="str">
        <f ca="1">IFERROR(__xludf.DUMMYFUNCTION("""COMPUTED_VALUE"""),"NO")</f>
        <v>NO</v>
      </c>
      <c r="E656" s="6" t="str">
        <f ca="1">IFERROR(__xludf.DUMMYFUNCTION("""COMPUTED_VALUE"""),"Madrid- Costa Rica")</f>
        <v>Madrid- Costa Rica</v>
      </c>
      <c r="F656" s="16">
        <f ca="1">IFERROR(__xludf.DUMMYFUNCTION("""COMPUTED_VALUE"""),45799)</f>
        <v>45799</v>
      </c>
      <c r="G656" s="16">
        <f ca="1">IFERROR(__xludf.DUMMYFUNCTION("""COMPUTED_VALUE"""),45776)</f>
        <v>45776</v>
      </c>
      <c r="H656" s="6" t="str">
        <f ca="1">IFERROR(__xludf.DUMMYFUNCTION("""COMPUTED_VALUE"""),"Costa Rica")</f>
        <v>Costa Rica</v>
      </c>
      <c r="I656" s="6" t="str">
        <f ca="1">IFERROR(__xludf.DUMMYFUNCTION("""COMPUTED_VALUE"""),"C202556104840639")</f>
        <v>C202556104840639</v>
      </c>
      <c r="J656" s="6" t="str">
        <f ca="1">IFERROR(__xludf.DUMMYFUNCTION("""COMPUTED_VALUE"""),"ANTONIO  MARTÍNEZ ARMENTEROS")</f>
        <v>ANTONIO  MARTÍNEZ ARMENTEROS</v>
      </c>
      <c r="K656" s="6">
        <f ca="1">IFERROR(__xludf.DUMMYFUNCTION("""COMPUTED_VALUE"""),2)</f>
        <v>2</v>
      </c>
      <c r="L656" s="139">
        <f ca="1">IFERROR(__xludf.DUMMYFUNCTION("""COMPUTED_VALUE"""),4000)</f>
        <v>4000</v>
      </c>
      <c r="M656" s="6" t="str">
        <f ca="1">IFERROR(__xludf.DUMMYFUNCTION("""COMPUTED_VALUE"""),"03 ORL")</f>
        <v>03 ORL</v>
      </c>
      <c r="N656" s="6" t="str">
        <f ca="1">IFERROR(__xludf.DUMMYFUNCTION("""COMPUTED_VALUE"""),"06 ORL")</f>
        <v>06 ORL</v>
      </c>
      <c r="O656" s="6" t="str">
        <f ca="1">IFERROR(__xludf.DUMMYFUNCTION("""COMPUTED_VALUE"""),"Dr, Antonio Bueno Ríos")</f>
        <v>Dr, Antonio Bueno Ríos</v>
      </c>
      <c r="P656" s="6" t="str">
        <f ca="1">IFERROR(__xludf.DUMMYFUNCTION("""COMPUTED_VALUE"""),"Lisandro Russian (Madrid, Cáceres, Toledo, Talavera Y Logroño)")</f>
        <v>Lisandro Russian (Madrid, Cáceres, Toledo, Talavera Y Logroño)</v>
      </c>
    </row>
    <row r="657" spans="2:16">
      <c r="B657" s="6">
        <f ca="1">IFERROR(__xludf.DUMMYFUNCTION("""COMPUTED_VALUE"""),2025)</f>
        <v>2025</v>
      </c>
      <c r="C657" s="6">
        <f ca="1">IFERROR(__xludf.DUMMYFUNCTION("""COMPUTED_VALUE"""),5)</f>
        <v>5</v>
      </c>
      <c r="D657" s="6" t="str">
        <f ca="1">IFERROR(__xludf.DUMMYFUNCTION("""COMPUTED_VALUE"""),"NO")</f>
        <v>NO</v>
      </c>
      <c r="E657" s="6" t="str">
        <f ca="1">IFERROR(__xludf.DUMMYFUNCTION("""COMPUTED_VALUE"""),"Madrid- Juan Bravo")</f>
        <v>Madrid- Juan Bravo</v>
      </c>
      <c r="F657" s="16">
        <f ca="1">IFERROR(__xludf.DUMMYFUNCTION("""COMPUTED_VALUE"""),45798)</f>
        <v>45798</v>
      </c>
      <c r="G657" s="16">
        <f ca="1">IFERROR(__xludf.DUMMYFUNCTION("""COMPUTED_VALUE"""),45758)</f>
        <v>45758</v>
      </c>
      <c r="H657" s="6" t="str">
        <f ca="1">IFERROR(__xludf.DUMMYFUNCTION("""COMPUTED_VALUE"""),"Juan Bravo")</f>
        <v>Juan Bravo</v>
      </c>
      <c r="I657" s="6" t="str">
        <f ca="1">IFERROR(__xludf.DUMMYFUNCTION("""COMPUTED_VALUE"""),"C2025416104956953")</f>
        <v>C2025416104956953</v>
      </c>
      <c r="J657" s="6" t="str">
        <f ca="1">IFERROR(__xludf.DUMMYFUNCTION("""COMPUTED_VALUE"""),"ALEJANDRO  GOMEZ PRETOLINO")</f>
        <v>ALEJANDRO  GOMEZ PRETOLINO</v>
      </c>
      <c r="K657" s="6">
        <f ca="1">IFERROR(__xludf.DUMMYFUNCTION("""COMPUTED_VALUE"""),2)</f>
        <v>2</v>
      </c>
      <c r="L657" s="139">
        <f ca="1">IFERROR(__xludf.DUMMYFUNCTION("""COMPUTED_VALUE"""),4000)</f>
        <v>4000</v>
      </c>
      <c r="M657" s="6" t="str">
        <f ca="1">IFERROR(__xludf.DUMMYFUNCTION("""COMPUTED_VALUE"""),"03 ORL")</f>
        <v>03 ORL</v>
      </c>
      <c r="N657" s="6" t="str">
        <f ca="1">IFERROR(__xludf.DUMMYFUNCTION("""COMPUTED_VALUE"""),"06 ORL")</f>
        <v>06 ORL</v>
      </c>
      <c r="O657" s="6" t="str">
        <f ca="1">IFERROR(__xludf.DUMMYFUNCTION("""COMPUTED_VALUE"""),"Dr, Carlos Barajas del Rosal")</f>
        <v>Dr, Carlos Barajas del Rosal</v>
      </c>
      <c r="P657" s="6" t="str">
        <f ca="1">IFERROR(__xludf.DUMMYFUNCTION("""COMPUTED_VALUE"""),"Lisandro Russian (Madrid, Cáceres, Toledo, Talavera Y Logroño)")</f>
        <v>Lisandro Russian (Madrid, Cáceres, Toledo, Talavera Y Logroño)</v>
      </c>
    </row>
    <row r="658" spans="2:16">
      <c r="B658" s="6">
        <f ca="1">IFERROR(__xludf.DUMMYFUNCTION("""COMPUTED_VALUE"""),2025)</f>
        <v>2025</v>
      </c>
      <c r="C658" s="6">
        <f ca="1">IFERROR(__xludf.DUMMYFUNCTION("""COMPUTED_VALUE"""),5)</f>
        <v>5</v>
      </c>
      <c r="D658" s="6" t="str">
        <f ca="1">IFERROR(__xludf.DUMMYFUNCTION("""COMPUTED_VALUE"""),"NO")</f>
        <v>NO</v>
      </c>
      <c r="E658" s="6" t="str">
        <f ca="1">IFERROR(__xludf.DUMMYFUNCTION("""COMPUTED_VALUE"""),"Madrid- Juan Bravo")</f>
        <v>Madrid- Juan Bravo</v>
      </c>
      <c r="F658" s="16">
        <f ca="1">IFERROR(__xludf.DUMMYFUNCTION("""COMPUTED_VALUE"""),45790)</f>
        <v>45790</v>
      </c>
      <c r="G658" s="16">
        <f ca="1">IFERROR(__xludf.DUMMYFUNCTION("""COMPUTED_VALUE"""),45350)</f>
        <v>45350</v>
      </c>
      <c r="H658" s="6" t="str">
        <f ca="1">IFERROR(__xludf.DUMMYFUNCTION("""COMPUTED_VALUE"""),"Juan Bravo")</f>
        <v>Juan Bravo</v>
      </c>
      <c r="I658" s="6" t="str">
        <f ca="1">IFERROR(__xludf.DUMMYFUNCTION("""COMPUTED_VALUE"""),"JBR-2038")</f>
        <v>JBR-2038</v>
      </c>
      <c r="J658" s="6" t="str">
        <f ca="1">IFERROR(__xludf.DUMMYFUNCTION("""COMPUTED_VALUE"""),"ALVARO ESPINOSA DE LOS MONTEROS BANEGAS")</f>
        <v>ALVARO ESPINOSA DE LOS MONTEROS BANEGAS</v>
      </c>
      <c r="K658" s="6">
        <f ca="1">IFERROR(__xludf.DUMMYFUNCTION("""COMPUTED_VALUE"""),2)</f>
        <v>2</v>
      </c>
      <c r="L658" s="139">
        <f ca="1">IFERROR(__xludf.DUMMYFUNCTION("""COMPUTED_VALUE"""),4400)</f>
        <v>4400</v>
      </c>
      <c r="M658" s="6" t="str">
        <f ca="1">IFERROR(__xludf.DUMMYFUNCTION("""COMPUTED_VALUE"""),"03 ORL")</f>
        <v>03 ORL</v>
      </c>
      <c r="N658" s="6" t="str">
        <f ca="1">IFERROR(__xludf.DUMMYFUNCTION("""COMPUTED_VALUE"""),"06 ORL")</f>
        <v>06 ORL</v>
      </c>
      <c r="O658" s="6" t="str">
        <f ca="1">IFERROR(__xludf.DUMMYFUNCTION("""COMPUTED_VALUE"""),"Dra, Paloma Pinacho Martínez")</f>
        <v>Dra, Paloma Pinacho Martínez</v>
      </c>
      <c r="P658" s="6" t="str">
        <f ca="1">IFERROR(__xludf.DUMMYFUNCTION("""COMPUTED_VALUE"""),"Maika Blázquez (Madrid)")</f>
        <v>Maika Blázquez (Madrid)</v>
      </c>
    </row>
    <row r="659" spans="2:16">
      <c r="B659" s="6">
        <f ca="1">IFERROR(__xludf.DUMMYFUNCTION("""COMPUTED_VALUE"""),2025)</f>
        <v>2025</v>
      </c>
      <c r="C659" s="6">
        <f ca="1">IFERROR(__xludf.DUMMYFUNCTION("""COMPUTED_VALUE"""),5)</f>
        <v>5</v>
      </c>
      <c r="D659" s="6" t="str">
        <f ca="1">IFERROR(__xludf.DUMMYFUNCTION("""COMPUTED_VALUE"""),"NO")</f>
        <v>NO</v>
      </c>
      <c r="E659" s="6" t="str">
        <f ca="1">IFERROR(__xludf.DUMMYFUNCTION("""COMPUTED_VALUE"""),"Madrid- Juan Bravo")</f>
        <v>Madrid- Juan Bravo</v>
      </c>
      <c r="F659" s="16">
        <f ca="1">IFERROR(__xludf.DUMMYFUNCTION("""COMPUTED_VALUE"""),45791)</f>
        <v>45791</v>
      </c>
      <c r="G659" s="16">
        <f ca="1">IFERROR(__xludf.DUMMYFUNCTION("""COMPUTED_VALUE"""),45758)</f>
        <v>45758</v>
      </c>
      <c r="H659" s="6" t="str">
        <f ca="1">IFERROR(__xludf.DUMMYFUNCTION("""COMPUTED_VALUE"""),"Juan Bravo")</f>
        <v>Juan Bravo</v>
      </c>
      <c r="I659" s="6" t="str">
        <f ca="1">IFERROR(__xludf.DUMMYFUNCTION("""COMPUTED_VALUE"""),"C2025414161941271")</f>
        <v>C2025414161941271</v>
      </c>
      <c r="J659" s="6" t="str">
        <f ca="1">IFERROR(__xludf.DUMMYFUNCTION("""COMPUTED_VALUE"""),"CARMEN MARTIN ROJO")</f>
        <v>CARMEN MARTIN ROJO</v>
      </c>
      <c r="K659" s="6">
        <f ca="1">IFERROR(__xludf.DUMMYFUNCTION("""COMPUTED_VALUE"""),2)</f>
        <v>2</v>
      </c>
      <c r="L659" s="139">
        <f ca="1">IFERROR(__xludf.DUMMYFUNCTION("""COMPUTED_VALUE"""),3710)</f>
        <v>3710</v>
      </c>
      <c r="M659" s="6" t="str">
        <f ca="1">IFERROR(__xludf.DUMMYFUNCTION("""COMPUTED_VALUE"""),"03 ORL")</f>
        <v>03 ORL</v>
      </c>
      <c r="N659" s="6" t="str">
        <f ca="1">IFERROR(__xludf.DUMMYFUNCTION("""COMPUTED_VALUE"""),"06 ORL")</f>
        <v>06 ORL</v>
      </c>
      <c r="O659" s="6" t="str">
        <f ca="1">IFERROR(__xludf.DUMMYFUNCTION("""COMPUTED_VALUE"""),"Dr, José Montojo Woodeson")</f>
        <v>Dr, José Montojo Woodeson</v>
      </c>
      <c r="P659" s="6" t="str">
        <f ca="1">IFERROR(__xludf.DUMMYFUNCTION("""COMPUTED_VALUE"""),"Maika Blázquez (Madrid)")</f>
        <v>Maika Blázquez (Madrid)</v>
      </c>
    </row>
    <row r="660" spans="2:16">
      <c r="B660" s="6">
        <f ca="1">IFERROR(__xludf.DUMMYFUNCTION("""COMPUTED_VALUE"""),2025)</f>
        <v>2025</v>
      </c>
      <c r="C660" s="6">
        <f ca="1">IFERROR(__xludf.DUMMYFUNCTION("""COMPUTED_VALUE"""),5)</f>
        <v>5</v>
      </c>
      <c r="D660" s="6" t="str">
        <f ca="1">IFERROR(__xludf.DUMMYFUNCTION("""COMPUTED_VALUE"""),"NO")</f>
        <v>NO</v>
      </c>
      <c r="E660" s="6" t="str">
        <f ca="1">IFERROR(__xludf.DUMMYFUNCTION("""COMPUTED_VALUE"""),"Madrid- Juan Bravo")</f>
        <v>Madrid- Juan Bravo</v>
      </c>
      <c r="F660" s="16">
        <f ca="1">IFERROR(__xludf.DUMMYFUNCTION("""COMPUTED_VALUE"""),45803)</f>
        <v>45803</v>
      </c>
      <c r="G660" s="16">
        <f ca="1">IFERROR(__xludf.DUMMYFUNCTION("""COMPUTED_VALUE"""),45771)</f>
        <v>45771</v>
      </c>
      <c r="H660" s="6" t="str">
        <f ca="1">IFERROR(__xludf.DUMMYFUNCTION("""COMPUTED_VALUE"""),"Juan Bravo")</f>
        <v>Juan Bravo</v>
      </c>
      <c r="I660" s="6" t="str">
        <f ca="1">IFERROR(__xludf.DUMMYFUNCTION("""COMPUTED_VALUE"""),"C202542810135933")</f>
        <v>C202542810135933</v>
      </c>
      <c r="J660" s="6" t="str">
        <f ca="1">IFERROR(__xludf.DUMMYFUNCTION("""COMPUTED_VALUE"""),"LUIS SOLANCE MARTINEZ")</f>
        <v>LUIS SOLANCE MARTINEZ</v>
      </c>
      <c r="K660" s="6">
        <f ca="1">IFERROR(__xludf.DUMMYFUNCTION("""COMPUTED_VALUE"""),1)</f>
        <v>1</v>
      </c>
      <c r="L660" s="139">
        <f ca="1">IFERROR(__xludf.DUMMYFUNCTION("""COMPUTED_VALUE"""),2280)</f>
        <v>2280</v>
      </c>
      <c r="M660" s="6" t="str">
        <f ca="1">IFERROR(__xludf.DUMMYFUNCTION("""COMPUTED_VALUE"""),"03 ORL")</f>
        <v>03 ORL</v>
      </c>
      <c r="N660" s="6" t="str">
        <f ca="1">IFERROR(__xludf.DUMMYFUNCTION("""COMPUTED_VALUE"""),"06 ORL")</f>
        <v>06 ORL</v>
      </c>
      <c r="O660" s="6" t="str">
        <f ca="1">IFERROR(__xludf.DUMMYFUNCTION("""COMPUTED_VALUE"""),"Dra, María Antonia Rodríguez Castejón")</f>
        <v>Dra, María Antonia Rodríguez Castejón</v>
      </c>
      <c r="P660" s="6" t="str">
        <f ca="1">IFERROR(__xludf.DUMMYFUNCTION("""COMPUTED_VALUE"""),"Maika Blázquez (Madrid)")</f>
        <v>Maika Blázquez (Madrid)</v>
      </c>
    </row>
    <row r="661" spans="2:16">
      <c r="B661" s="6">
        <f ca="1">IFERROR(__xludf.DUMMYFUNCTION("""COMPUTED_VALUE"""),2025)</f>
        <v>2025</v>
      </c>
      <c r="C661" s="6">
        <f ca="1">IFERROR(__xludf.DUMMYFUNCTION("""COMPUTED_VALUE"""),5)</f>
        <v>5</v>
      </c>
      <c r="D661" s="6" t="str">
        <f ca="1">IFERROR(__xludf.DUMMYFUNCTION("""COMPUTED_VALUE"""),"SI")</f>
        <v>SI</v>
      </c>
      <c r="E661" s="6" t="str">
        <f ca="1">IFERROR(__xludf.DUMMYFUNCTION("""COMPUTED_VALUE"""),"Madrid- Juan Bravo")</f>
        <v>Madrid- Juan Bravo</v>
      </c>
      <c r="F661" s="16">
        <f ca="1">IFERROR(__xludf.DUMMYFUNCTION("""COMPUTED_VALUE"""),45799)</f>
        <v>45799</v>
      </c>
      <c r="G661" s="16">
        <f ca="1">IFERROR(__xludf.DUMMYFUNCTION("""COMPUTED_VALUE"""),45056)</f>
        <v>45056</v>
      </c>
      <c r="H661" s="6" t="str">
        <f ca="1">IFERROR(__xludf.DUMMYFUNCTION("""COMPUTED_VALUE"""),"Juan Bravo")</f>
        <v>Juan Bravo</v>
      </c>
      <c r="I661" s="6" t="str">
        <f ca="1">IFERROR(__xludf.DUMMYFUNCTION("""COMPUTED_VALUE"""),"JBR-1797")</f>
        <v>JBR-1797</v>
      </c>
      <c r="J661" s="6" t="str">
        <f ca="1">IFERROR(__xludf.DUMMYFUNCTION("""COMPUTED_VALUE"""),"MARCELO STERNBERG")</f>
        <v>MARCELO STERNBERG</v>
      </c>
      <c r="K661" s="6">
        <f ca="1">IFERROR(__xludf.DUMMYFUNCTION("""COMPUTED_VALUE"""),2)</f>
        <v>2</v>
      </c>
      <c r="L661" s="139">
        <f ca="1">IFERROR(__xludf.DUMMYFUNCTION("""COMPUTED_VALUE"""),3400)</f>
        <v>3400</v>
      </c>
      <c r="M661" s="6" t="str">
        <f ca="1">IFERROR(__xludf.DUMMYFUNCTION("""COMPUTED_VALUE"""),"04 TIENDA")</f>
        <v>04 TIENDA</v>
      </c>
      <c r="N661" s="6" t="str">
        <f ca="1">IFERROR(__xludf.DUMMYFUNCTION("""COMPUTED_VALUE"""),"19 CLIENTE RECOMPRA ESPONTANEA")</f>
        <v>19 CLIENTE RECOMPRA ESPONTANEA</v>
      </c>
      <c r="O661" s="6" t="str">
        <f ca="1">IFERROR(__xludf.DUMMYFUNCTION("""COMPUTED_VALUE"""),"Dr, Carlos Barajas del Rosal")</f>
        <v>Dr, Carlos Barajas del Rosal</v>
      </c>
      <c r="P661" s="6" t="str">
        <f ca="1">IFERROR(__xludf.DUMMYFUNCTION("""COMPUTED_VALUE"""),"Lisandro Russian (Madrid, Cáceres, Toledo, Talavera Y Logroño)")</f>
        <v>Lisandro Russian (Madrid, Cáceres, Toledo, Talavera Y Logroño)</v>
      </c>
    </row>
    <row r="662" spans="2:16">
      <c r="B662" s="6">
        <f ca="1">IFERROR(__xludf.DUMMYFUNCTION("""COMPUTED_VALUE"""),2025)</f>
        <v>2025</v>
      </c>
      <c r="C662" s="6">
        <f ca="1">IFERROR(__xludf.DUMMYFUNCTION("""COMPUTED_VALUE"""),5)</f>
        <v>5</v>
      </c>
      <c r="D662" s="6" t="str">
        <f ca="1">IFERROR(__xludf.DUMMYFUNCTION("""COMPUTED_VALUE"""),"NO")</f>
        <v>NO</v>
      </c>
      <c r="E662" s="6" t="str">
        <f ca="1">IFERROR(__xludf.DUMMYFUNCTION("""COMPUTED_VALUE"""),"Madrid- Juan Bravo")</f>
        <v>Madrid- Juan Bravo</v>
      </c>
      <c r="F662" s="16">
        <f ca="1">IFERROR(__xludf.DUMMYFUNCTION("""COMPUTED_VALUE"""),45805)</f>
        <v>45805</v>
      </c>
      <c r="G662" s="16">
        <f ca="1">IFERROR(__xludf.DUMMYFUNCTION("""COMPUTED_VALUE"""),45769)</f>
        <v>45769</v>
      </c>
      <c r="H662" s="6" t="str">
        <f ca="1">IFERROR(__xludf.DUMMYFUNCTION("""COMPUTED_VALUE"""),"Juan Bravo")</f>
        <v>Juan Bravo</v>
      </c>
      <c r="I662" s="6" t="str">
        <f ca="1">IFERROR(__xludf.DUMMYFUNCTION("""COMPUTED_VALUE"""),"C20255512337333")</f>
        <v>C20255512337333</v>
      </c>
      <c r="J662" s="6" t="str">
        <f ca="1">IFERROR(__xludf.DUMMYFUNCTION("""COMPUTED_VALUE"""),"MARIA DEL CARMEN MARTINEZ BRELL")</f>
        <v>MARIA DEL CARMEN MARTINEZ BRELL</v>
      </c>
      <c r="K662" s="6">
        <f ca="1">IFERROR(__xludf.DUMMYFUNCTION("""COMPUTED_VALUE"""),2)</f>
        <v>2</v>
      </c>
      <c r="L662" s="139">
        <f ca="1">IFERROR(__xludf.DUMMYFUNCTION("""COMPUTED_VALUE"""),4000)</f>
        <v>4000</v>
      </c>
      <c r="M662" s="6" t="str">
        <f ca="1">IFERROR(__xludf.DUMMYFUNCTION("""COMPUTED_VALUE"""),"03 ORL")</f>
        <v>03 ORL</v>
      </c>
      <c r="N662" s="6" t="str">
        <f ca="1">IFERROR(__xludf.DUMMYFUNCTION("""COMPUTED_VALUE"""),"06 ORL")</f>
        <v>06 ORL</v>
      </c>
      <c r="O662" s="6" t="str">
        <f ca="1">IFERROR(__xludf.DUMMYFUNCTION("""COMPUTED_VALUE"""),"Dr, Alejandro Harguindey Antoli-Candela")</f>
        <v>Dr, Alejandro Harguindey Antoli-Candela</v>
      </c>
      <c r="P662" s="6" t="str">
        <f ca="1">IFERROR(__xludf.DUMMYFUNCTION("""COMPUTED_VALUE"""),"Maika Blázquez (Madrid)")</f>
        <v>Maika Blázquez (Madrid)</v>
      </c>
    </row>
    <row r="663" spans="2:16">
      <c r="B663" s="6">
        <f ca="1">IFERROR(__xludf.DUMMYFUNCTION("""COMPUTED_VALUE"""),2025)</f>
        <v>2025</v>
      </c>
      <c r="C663" s="6">
        <f ca="1">IFERROR(__xludf.DUMMYFUNCTION("""COMPUTED_VALUE"""),5)</f>
        <v>5</v>
      </c>
      <c r="D663" s="6" t="str">
        <f ca="1">IFERROR(__xludf.DUMMYFUNCTION("""COMPUTED_VALUE"""),"SI")</f>
        <v>SI</v>
      </c>
      <c r="E663" s="6" t="str">
        <f ca="1">IFERROR(__xludf.DUMMYFUNCTION("""COMPUTED_VALUE"""),"Madrid- Juan Bravo")</f>
        <v>Madrid- Juan Bravo</v>
      </c>
      <c r="F663" s="16">
        <f ca="1">IFERROR(__xludf.DUMMYFUNCTION("""COMPUTED_VALUE"""),45789)</f>
        <v>45789</v>
      </c>
      <c r="G663" s="16">
        <f ca="1">IFERROR(__xludf.DUMMYFUNCTION("""COMPUTED_VALUE"""),45351)</f>
        <v>45351</v>
      </c>
      <c r="H663" s="6" t="str">
        <f ca="1">IFERROR(__xludf.DUMMYFUNCTION("""COMPUTED_VALUE"""),"Juan Bravo")</f>
        <v>Juan Bravo</v>
      </c>
      <c r="I663" s="6" t="str">
        <f ca="1">IFERROR(__xludf.DUMMYFUNCTION("""COMPUTED_VALUE"""),"JBR-2039")</f>
        <v>JBR-2039</v>
      </c>
      <c r="J663" s="6" t="str">
        <f ca="1">IFERROR(__xludf.DUMMYFUNCTION("""COMPUTED_VALUE"""),"MARIA JESUS SOLORZANO BARGA")</f>
        <v>MARIA JESUS SOLORZANO BARGA</v>
      </c>
      <c r="K663" s="6">
        <f ca="1">IFERROR(__xludf.DUMMYFUNCTION("""COMPUTED_VALUE"""),2)</f>
        <v>2</v>
      </c>
      <c r="L663" s="139">
        <f ca="1">IFERROR(__xludf.DUMMYFUNCTION("""COMPUTED_VALUE"""),3710)</f>
        <v>3710</v>
      </c>
      <c r="M663" s="6" t="str">
        <f ca="1">IFERROR(__xludf.DUMMYFUNCTION("""COMPUTED_VALUE"""),"03 ORL")</f>
        <v>03 ORL</v>
      </c>
      <c r="N663" s="6" t="str">
        <f ca="1">IFERROR(__xludf.DUMMYFUNCTION("""COMPUTED_VALUE"""),"06 ORL")</f>
        <v>06 ORL</v>
      </c>
      <c r="O663" s="6" t="str">
        <f ca="1">IFERROR(__xludf.DUMMYFUNCTION("""COMPUTED_VALUE"""),"Dr, Joaquín Alacio Casero")</f>
        <v>Dr, Joaquín Alacio Casero</v>
      </c>
      <c r="P663" s="6" t="str">
        <f ca="1">IFERROR(__xludf.DUMMYFUNCTION("""COMPUTED_VALUE"""),"Maika Blázquez (Madrid)")</f>
        <v>Maika Blázquez (Madrid)</v>
      </c>
    </row>
    <row r="664" spans="2:16">
      <c r="B664" s="6">
        <f ca="1">IFERROR(__xludf.DUMMYFUNCTION("""COMPUTED_VALUE"""),2025)</f>
        <v>2025</v>
      </c>
      <c r="C664" s="6">
        <f ca="1">IFERROR(__xludf.DUMMYFUNCTION("""COMPUTED_VALUE"""),5)</f>
        <v>5</v>
      </c>
      <c r="D664" s="6" t="str">
        <f ca="1">IFERROR(__xludf.DUMMYFUNCTION("""COMPUTED_VALUE"""),"NO")</f>
        <v>NO</v>
      </c>
      <c r="E664" s="6" t="str">
        <f ca="1">IFERROR(__xludf.DUMMYFUNCTION("""COMPUTED_VALUE"""),"Madrid- Juan Bravo")</f>
        <v>Madrid- Juan Bravo</v>
      </c>
      <c r="F664" s="16">
        <f ca="1">IFERROR(__xludf.DUMMYFUNCTION("""COMPUTED_VALUE"""),45800)</f>
        <v>45800</v>
      </c>
      <c r="G664" s="16">
        <f ca="1">IFERROR(__xludf.DUMMYFUNCTION("""COMPUTED_VALUE"""),45758)</f>
        <v>45758</v>
      </c>
      <c r="H664" s="6" t="str">
        <f ca="1">IFERROR(__xludf.DUMMYFUNCTION("""COMPUTED_VALUE"""),"Juan Bravo")</f>
        <v>Juan Bravo</v>
      </c>
      <c r="I664" s="6" t="str">
        <f ca="1">IFERROR(__xludf.DUMMYFUNCTION("""COMPUTED_VALUE"""),"C2025411104246800")</f>
        <v>C2025411104246800</v>
      </c>
      <c r="J664" s="6" t="str">
        <f ca="1">IFERROR(__xludf.DUMMYFUNCTION("""COMPUTED_VALUE"""),"MARIA LUISA TARDAGUILA CEPERO")</f>
        <v>MARIA LUISA TARDAGUILA CEPERO</v>
      </c>
      <c r="K664" s="6">
        <f ca="1">IFERROR(__xludf.DUMMYFUNCTION("""COMPUTED_VALUE"""),-2)</f>
        <v>-2</v>
      </c>
      <c r="L664" s="139">
        <f ca="1">IFERROR(__xludf.DUMMYFUNCTION("""COMPUTED_VALUE"""),-2888.18)</f>
        <v>-2888.18</v>
      </c>
      <c r="M664" s="6" t="str">
        <f ca="1">IFERROR(__xludf.DUMMYFUNCTION("""COMPUTED_VALUE"""),"03 ORL")</f>
        <v>03 ORL</v>
      </c>
      <c r="N664" s="6" t="str">
        <f ca="1">IFERROR(__xludf.DUMMYFUNCTION("""COMPUTED_VALUE"""),"06 ORL")</f>
        <v>06 ORL</v>
      </c>
      <c r="O664" s="6" t="str">
        <f ca="1">IFERROR(__xludf.DUMMYFUNCTION("""COMPUTED_VALUE"""),"Dr, Carlos Barajas del Rosal")</f>
        <v>Dr, Carlos Barajas del Rosal</v>
      </c>
      <c r="P664" s="6" t="str">
        <f ca="1">IFERROR(__xludf.DUMMYFUNCTION("""COMPUTED_VALUE"""),"Lisandro Russian (Madrid, Cáceres, Toledo, Talavera Y Logroño)")</f>
        <v>Lisandro Russian (Madrid, Cáceres, Toledo, Talavera Y Logroño)</v>
      </c>
    </row>
    <row r="665" spans="2:16">
      <c r="B665" s="6">
        <f ca="1">IFERROR(__xludf.DUMMYFUNCTION("""COMPUTED_VALUE"""),2025)</f>
        <v>2025</v>
      </c>
      <c r="C665" s="6">
        <f ca="1">IFERROR(__xludf.DUMMYFUNCTION("""COMPUTED_VALUE"""),5)</f>
        <v>5</v>
      </c>
      <c r="D665" s="6" t="str">
        <f ca="1">IFERROR(__xludf.DUMMYFUNCTION("""COMPUTED_VALUE"""),"NO")</f>
        <v>NO</v>
      </c>
      <c r="E665" s="6" t="str">
        <f ca="1">IFERROR(__xludf.DUMMYFUNCTION("""COMPUTED_VALUE"""),"Madrid- La Oca")</f>
        <v>Madrid- La Oca</v>
      </c>
      <c r="F665" s="16">
        <f ca="1">IFERROR(__xludf.DUMMYFUNCTION("""COMPUTED_VALUE"""),45807)</f>
        <v>45807</v>
      </c>
      <c r="G665" s="16">
        <f ca="1">IFERROR(__xludf.DUMMYFUNCTION("""COMPUTED_VALUE"""),45608)</f>
        <v>45608</v>
      </c>
      <c r="H665" s="6" t="str">
        <f ca="1">IFERROR(__xludf.DUMMYFUNCTION("""COMPUTED_VALUE"""),"La Oca")</f>
        <v>La Oca</v>
      </c>
      <c r="I665" s="6" t="str">
        <f ca="1">IFERROR(__xludf.DUMMYFUNCTION("""COMPUTED_VALUE"""),"C20241120161651439")</f>
        <v>C20241120161651439</v>
      </c>
      <c r="J665" s="6" t="str">
        <f ca="1">IFERROR(__xludf.DUMMYFUNCTION("""COMPUTED_VALUE"""),"ANA MARIA LINDEZ MARTINEZ")</f>
        <v>ANA MARIA LINDEZ MARTINEZ</v>
      </c>
      <c r="K665" s="6">
        <f ca="1">IFERROR(__xludf.DUMMYFUNCTION("""COMPUTED_VALUE"""),2)</f>
        <v>2</v>
      </c>
      <c r="L665" s="139">
        <f ca="1">IFERROR(__xludf.DUMMYFUNCTION("""COMPUTED_VALUE"""),2743.64)</f>
        <v>2743.64</v>
      </c>
      <c r="M665" s="6" t="str">
        <f ca="1">IFERROR(__xludf.DUMMYFUNCTION("""COMPUTED_VALUE"""),"03 ORL")</f>
        <v>03 ORL</v>
      </c>
      <c r="N665" s="6" t="str">
        <f ca="1">IFERROR(__xludf.DUMMYFUNCTION("""COMPUTED_VALUE"""),"22 AUDIOMETRIA CLINICA")</f>
        <v>22 AUDIOMETRIA CLINICA</v>
      </c>
      <c r="O665" s="6" t="str">
        <f ca="1">IFERROR(__xludf.DUMMYFUNCTION("""COMPUTED_VALUE"""),"Dr, Eviatar Friedlander")</f>
        <v>Dr, Eviatar Friedlander</v>
      </c>
      <c r="P665" s="6" t="str">
        <f ca="1">IFERROR(__xludf.DUMMYFUNCTION("""COMPUTED_VALUE"""),"Maika Blázquez (Madrid)")</f>
        <v>Maika Blázquez (Madrid)</v>
      </c>
    </row>
    <row r="666" spans="2:16">
      <c r="B666" s="6">
        <f ca="1">IFERROR(__xludf.DUMMYFUNCTION("""COMPUTED_VALUE"""),2025)</f>
        <v>2025</v>
      </c>
      <c r="C666" s="6">
        <f ca="1">IFERROR(__xludf.DUMMYFUNCTION("""COMPUTED_VALUE"""),5)</f>
        <v>5</v>
      </c>
      <c r="D666" s="6" t="str">
        <f ca="1">IFERROR(__xludf.DUMMYFUNCTION("""COMPUTED_VALUE"""),"NO")</f>
        <v>NO</v>
      </c>
      <c r="E666" s="6" t="str">
        <f ca="1">IFERROR(__xludf.DUMMYFUNCTION("""COMPUTED_VALUE"""),"Madrid- La Oca")</f>
        <v>Madrid- La Oca</v>
      </c>
      <c r="F666" s="16">
        <f ca="1">IFERROR(__xludf.DUMMYFUNCTION("""COMPUTED_VALUE"""),45798)</f>
        <v>45798</v>
      </c>
      <c r="G666" s="16">
        <f ca="1">IFERROR(__xludf.DUMMYFUNCTION("""COMPUTED_VALUE"""),45771)</f>
        <v>45771</v>
      </c>
      <c r="H666" s="6" t="str">
        <f ca="1">IFERROR(__xludf.DUMMYFUNCTION("""COMPUTED_VALUE"""),"La Oca")</f>
        <v>La Oca</v>
      </c>
      <c r="I666" s="6" t="str">
        <f ca="1">IFERROR(__xludf.DUMMYFUNCTION("""COMPUTED_VALUE"""),"C20254251351436")</f>
        <v>C20254251351436</v>
      </c>
      <c r="J666" s="6" t="str">
        <f ca="1">IFERROR(__xludf.DUMMYFUNCTION("""COMPUTED_VALUE"""),"ANTONIO FRANCISCO AQUINO HERRERA")</f>
        <v>ANTONIO FRANCISCO AQUINO HERRERA</v>
      </c>
      <c r="K666" s="6">
        <f ca="1">IFERROR(__xludf.DUMMYFUNCTION("""COMPUTED_VALUE"""),2)</f>
        <v>2</v>
      </c>
      <c r="L666" s="139">
        <f ca="1">IFERROR(__xludf.DUMMYFUNCTION("""COMPUTED_VALUE"""),3710)</f>
        <v>3710</v>
      </c>
      <c r="M666" s="6" t="str">
        <f ca="1">IFERROR(__xludf.DUMMYFUNCTION("""COMPUTED_VALUE"""),"03 ORL")</f>
        <v>03 ORL</v>
      </c>
      <c r="N666" s="6" t="str">
        <f ca="1">IFERROR(__xludf.DUMMYFUNCTION("""COMPUTED_VALUE"""),"06 ORL")</f>
        <v>06 ORL</v>
      </c>
      <c r="O666" s="6" t="str">
        <f ca="1">IFERROR(__xludf.DUMMYFUNCTION("""COMPUTED_VALUE"""),"Dra, Laura Ruano De Pablo")</f>
        <v>Dra, Laura Ruano De Pablo</v>
      </c>
      <c r="P666" s="6" t="str">
        <f ca="1">IFERROR(__xludf.DUMMYFUNCTION("""COMPUTED_VALUE"""),"Maika Blázquez (Madrid)")</f>
        <v>Maika Blázquez (Madrid)</v>
      </c>
    </row>
    <row r="667" spans="2:16">
      <c r="B667" s="6">
        <f ca="1">IFERROR(__xludf.DUMMYFUNCTION("""COMPUTED_VALUE"""),2025)</f>
        <v>2025</v>
      </c>
      <c r="C667" s="6">
        <f ca="1">IFERROR(__xludf.DUMMYFUNCTION("""COMPUTED_VALUE"""),5)</f>
        <v>5</v>
      </c>
      <c r="D667" s="6" t="str">
        <f ca="1">IFERROR(__xludf.DUMMYFUNCTION("""COMPUTED_VALUE"""),"NO")</f>
        <v>NO</v>
      </c>
      <c r="E667" s="6" t="str">
        <f ca="1">IFERROR(__xludf.DUMMYFUNCTION("""COMPUTED_VALUE"""),"Madrid- La Oca")</f>
        <v>Madrid- La Oca</v>
      </c>
      <c r="F667" s="16">
        <f ca="1">IFERROR(__xludf.DUMMYFUNCTION("""COMPUTED_VALUE"""),45790)</f>
        <v>45790</v>
      </c>
      <c r="G667" s="16">
        <f ca="1">IFERROR(__xludf.DUMMYFUNCTION("""COMPUTED_VALUE"""),45771)</f>
        <v>45771</v>
      </c>
      <c r="H667" s="6" t="str">
        <f ca="1">IFERROR(__xludf.DUMMYFUNCTION("""COMPUTED_VALUE"""),"La Oca")</f>
        <v>La Oca</v>
      </c>
      <c r="I667" s="6" t="str">
        <f ca="1">IFERROR(__xludf.DUMMYFUNCTION("""COMPUTED_VALUE"""),"C2025424172910131")</f>
        <v>C2025424172910131</v>
      </c>
      <c r="J667" s="6" t="str">
        <f ca="1">IFERROR(__xludf.DUMMYFUNCTION("""COMPUTED_VALUE"""),"DOLORES AURELIA  LOPEZ SANCHEZ")</f>
        <v>DOLORES AURELIA  LOPEZ SANCHEZ</v>
      </c>
      <c r="K667" s="6">
        <f ca="1">IFERROR(__xludf.DUMMYFUNCTION("""COMPUTED_VALUE"""),1)</f>
        <v>1</v>
      </c>
      <c r="L667" s="139">
        <f ca="1">IFERROR(__xludf.DUMMYFUNCTION("""COMPUTED_VALUE"""),2115.05)</f>
        <v>2115.0500000000002</v>
      </c>
      <c r="M667" s="6" t="str">
        <f ca="1">IFERROR(__xludf.DUMMYFUNCTION("""COMPUTED_VALUE"""),"03 ORL")</f>
        <v>03 ORL</v>
      </c>
      <c r="N667" s="6" t="str">
        <f ca="1">IFERROR(__xludf.DUMMYFUNCTION("""COMPUTED_VALUE"""),"06 ORL")</f>
        <v>06 ORL</v>
      </c>
      <c r="O667" s="6" t="str">
        <f ca="1">IFERROR(__xludf.DUMMYFUNCTION("""COMPUTED_VALUE"""),"Dra, Bárbara Castillo Ávila")</f>
        <v>Dra, Bárbara Castillo Ávila</v>
      </c>
      <c r="P667" s="6" t="str">
        <f ca="1">IFERROR(__xludf.DUMMYFUNCTION("""COMPUTED_VALUE"""),"Maika Blázquez (Madrid)")</f>
        <v>Maika Blázquez (Madrid)</v>
      </c>
    </row>
    <row r="668" spans="2:16">
      <c r="B668" s="6">
        <f ca="1">IFERROR(__xludf.DUMMYFUNCTION("""COMPUTED_VALUE"""),2025)</f>
        <v>2025</v>
      </c>
      <c r="C668" s="6">
        <f ca="1">IFERROR(__xludf.DUMMYFUNCTION("""COMPUTED_VALUE"""),5)</f>
        <v>5</v>
      </c>
      <c r="D668" s="6" t="str">
        <f ca="1">IFERROR(__xludf.DUMMYFUNCTION("""COMPUTED_VALUE"""),"NO")</f>
        <v>NO</v>
      </c>
      <c r="E668" s="6" t="str">
        <f ca="1">IFERROR(__xludf.DUMMYFUNCTION("""COMPUTED_VALUE"""),"Madrid- La Oca")</f>
        <v>Madrid- La Oca</v>
      </c>
      <c r="F668" s="16">
        <f ca="1">IFERROR(__xludf.DUMMYFUNCTION("""COMPUTED_VALUE"""),45798)</f>
        <v>45798</v>
      </c>
      <c r="G668" s="16">
        <f ca="1">IFERROR(__xludf.DUMMYFUNCTION("""COMPUTED_VALUE"""),45747)</f>
        <v>45747</v>
      </c>
      <c r="H668" s="6" t="str">
        <f ca="1">IFERROR(__xludf.DUMMYFUNCTION("""COMPUTED_VALUE"""),"La Oca")</f>
        <v>La Oca</v>
      </c>
      <c r="I668" s="6" t="str">
        <f ca="1">IFERROR(__xludf.DUMMYFUNCTION("""COMPUTED_VALUE"""),"C202543115411107")</f>
        <v>C202543115411107</v>
      </c>
      <c r="J668" s="6" t="str">
        <f ca="1">IFERROR(__xludf.DUMMYFUNCTION("""COMPUTED_VALUE"""),"FRANCISCA FERNANDEZ CASTELLANOS")</f>
        <v>FRANCISCA FERNANDEZ CASTELLANOS</v>
      </c>
      <c r="K668" s="6">
        <f ca="1">IFERROR(__xludf.DUMMYFUNCTION("""COMPUTED_VALUE"""),2)</f>
        <v>2</v>
      </c>
      <c r="L668" s="139">
        <f ca="1">IFERROR(__xludf.DUMMYFUNCTION("""COMPUTED_VALUE"""),2888.18)</f>
        <v>2888.18</v>
      </c>
      <c r="M668" s="6" t="str">
        <f ca="1">IFERROR(__xludf.DUMMYFUNCTION("""COMPUTED_VALUE"""),"03 ORL")</f>
        <v>03 ORL</v>
      </c>
      <c r="N668" s="6" t="str">
        <f ca="1">IFERROR(__xludf.DUMMYFUNCTION("""COMPUTED_VALUE"""),"06 ORL")</f>
        <v>06 ORL</v>
      </c>
      <c r="O668" s="6" t="str">
        <f ca="1">IFERROR(__xludf.DUMMYFUNCTION("""COMPUTED_VALUE"""),"Dr, Eviatar Friedlander")</f>
        <v>Dr, Eviatar Friedlander</v>
      </c>
      <c r="P668" s="6" t="str">
        <f ca="1">IFERROR(__xludf.DUMMYFUNCTION("""COMPUTED_VALUE"""),"Maika Blázquez (Madrid)")</f>
        <v>Maika Blázquez (Madrid)</v>
      </c>
    </row>
    <row r="669" spans="2:16">
      <c r="B669" s="6">
        <f ca="1">IFERROR(__xludf.DUMMYFUNCTION("""COMPUTED_VALUE"""),2025)</f>
        <v>2025</v>
      </c>
      <c r="C669" s="6">
        <f ca="1">IFERROR(__xludf.DUMMYFUNCTION("""COMPUTED_VALUE"""),5)</f>
        <v>5</v>
      </c>
      <c r="D669" s="6" t="str">
        <f ca="1">IFERROR(__xludf.DUMMYFUNCTION("""COMPUTED_VALUE"""),"NO")</f>
        <v>NO</v>
      </c>
      <c r="E669" s="6" t="str">
        <f ca="1">IFERROR(__xludf.DUMMYFUNCTION("""COMPUTED_VALUE"""),"Madrid- La Oca")</f>
        <v>Madrid- La Oca</v>
      </c>
      <c r="F669" s="16">
        <f ca="1">IFERROR(__xludf.DUMMYFUNCTION("""COMPUTED_VALUE"""),45782)</f>
        <v>45782</v>
      </c>
      <c r="G669" s="16">
        <f ca="1">IFERROR(__xludf.DUMMYFUNCTION("""COMPUTED_VALUE"""),45750)</f>
        <v>45750</v>
      </c>
      <c r="H669" s="6" t="str">
        <f ca="1">IFERROR(__xludf.DUMMYFUNCTION("""COMPUTED_VALUE"""),"La Oca")</f>
        <v>La Oca</v>
      </c>
      <c r="I669" s="6" t="str">
        <f ca="1">IFERROR(__xludf.DUMMYFUNCTION("""COMPUTED_VALUE"""),"C20254316290829")</f>
        <v>C20254316290829</v>
      </c>
      <c r="J669" s="6" t="str">
        <f ca="1">IFERROR(__xludf.DUMMYFUNCTION("""COMPUTED_VALUE"""),"JOSEFA HERNANDEZ SANCHEZ")</f>
        <v>JOSEFA HERNANDEZ SANCHEZ</v>
      </c>
      <c r="K669" s="6">
        <f ca="1">IFERROR(__xludf.DUMMYFUNCTION("""COMPUTED_VALUE"""),2)</f>
        <v>2</v>
      </c>
      <c r="L669" s="139">
        <f ca="1">IFERROR(__xludf.DUMMYFUNCTION("""COMPUTED_VALUE"""),2727.27)</f>
        <v>2727.27</v>
      </c>
      <c r="M669" s="6" t="str">
        <f ca="1">IFERROR(__xludf.DUMMYFUNCTION("""COMPUTED_VALUE"""),"03 ORL")</f>
        <v>03 ORL</v>
      </c>
      <c r="N669" s="6" t="str">
        <f ca="1">IFERROR(__xludf.DUMMYFUNCTION("""COMPUTED_VALUE"""),"06 ORL")</f>
        <v>06 ORL</v>
      </c>
      <c r="O669" s="6" t="str">
        <f ca="1">IFERROR(__xludf.DUMMYFUNCTION("""COMPUTED_VALUE"""),"Dr, Eviatar Friedlander")</f>
        <v>Dr, Eviatar Friedlander</v>
      </c>
      <c r="P669" s="6" t="str">
        <f ca="1">IFERROR(__xludf.DUMMYFUNCTION("""COMPUTED_VALUE"""),"Maika Blázquez (Madrid)")</f>
        <v>Maika Blázquez (Madrid)</v>
      </c>
    </row>
    <row r="670" spans="2:16">
      <c r="B670" s="6">
        <f ca="1">IFERROR(__xludf.DUMMYFUNCTION("""COMPUTED_VALUE"""),2025)</f>
        <v>2025</v>
      </c>
      <c r="C670" s="6">
        <f ca="1">IFERROR(__xludf.DUMMYFUNCTION("""COMPUTED_VALUE"""),5)</f>
        <v>5</v>
      </c>
      <c r="D670" s="6" t="str">
        <f ca="1">IFERROR(__xludf.DUMMYFUNCTION("""COMPUTED_VALUE"""),"NO")</f>
        <v>NO</v>
      </c>
      <c r="E670" s="6" t="str">
        <f ca="1">IFERROR(__xludf.DUMMYFUNCTION("""COMPUTED_VALUE"""),"Madrid- La Oca")</f>
        <v>Madrid- La Oca</v>
      </c>
      <c r="F670" s="16">
        <f ca="1">IFERROR(__xludf.DUMMYFUNCTION("""COMPUTED_VALUE"""),45803)</f>
        <v>45803</v>
      </c>
      <c r="G670" s="16">
        <f ca="1">IFERROR(__xludf.DUMMYFUNCTION("""COMPUTED_VALUE"""),45768)</f>
        <v>45768</v>
      </c>
      <c r="H670" s="6" t="str">
        <f ca="1">IFERROR(__xludf.DUMMYFUNCTION("""COMPUTED_VALUE"""),"La Oca")</f>
        <v>La Oca</v>
      </c>
      <c r="I670" s="6" t="str">
        <f ca="1">IFERROR(__xludf.DUMMYFUNCTION("""COMPUTED_VALUE"""),"C202542411245691")</f>
        <v>C202542411245691</v>
      </c>
      <c r="J670" s="6" t="str">
        <f ca="1">IFERROR(__xludf.DUMMYFUNCTION("""COMPUTED_VALUE"""),"MARIA CONCEPCION OVEJA SANCHEZ")</f>
        <v>MARIA CONCEPCION OVEJA SANCHEZ</v>
      </c>
      <c r="K670" s="6">
        <f ca="1">IFERROR(__xludf.DUMMYFUNCTION("""COMPUTED_VALUE"""),2)</f>
        <v>2</v>
      </c>
      <c r="L670" s="139">
        <f ca="1">IFERROR(__xludf.DUMMYFUNCTION("""COMPUTED_VALUE"""),4000)</f>
        <v>4000</v>
      </c>
      <c r="M670" s="6" t="str">
        <f ca="1">IFERROR(__xludf.DUMMYFUNCTION("""COMPUTED_VALUE"""),"03 ORL")</f>
        <v>03 ORL</v>
      </c>
      <c r="N670" s="6" t="str">
        <f ca="1">IFERROR(__xludf.DUMMYFUNCTION("""COMPUTED_VALUE"""),"06 ORL")</f>
        <v>06 ORL</v>
      </c>
      <c r="O670" s="6" t="str">
        <f ca="1">IFERROR(__xludf.DUMMYFUNCTION("""COMPUTED_VALUE"""),"Dr, César Charles Martínez")</f>
        <v>Dr, César Charles Martínez</v>
      </c>
      <c r="P670" s="6" t="str">
        <f ca="1">IFERROR(__xludf.DUMMYFUNCTION("""COMPUTED_VALUE"""),"Maika Blázquez (Madrid)")</f>
        <v>Maika Blázquez (Madrid)</v>
      </c>
    </row>
    <row r="671" spans="2:16">
      <c r="B671" s="6">
        <f ca="1">IFERROR(__xludf.DUMMYFUNCTION("""COMPUTED_VALUE"""),2025)</f>
        <v>2025</v>
      </c>
      <c r="C671" s="6">
        <f ca="1">IFERROR(__xludf.DUMMYFUNCTION("""COMPUTED_VALUE"""),5)</f>
        <v>5</v>
      </c>
      <c r="D671" s="6" t="str">
        <f ca="1">IFERROR(__xludf.DUMMYFUNCTION("""COMPUTED_VALUE"""),"NO")</f>
        <v>NO</v>
      </c>
      <c r="E671" s="6" t="str">
        <f ca="1">IFERROR(__xludf.DUMMYFUNCTION("""COMPUTED_VALUE"""),"Madrid- La Oca")</f>
        <v>Madrid- La Oca</v>
      </c>
      <c r="F671" s="16">
        <f ca="1">IFERROR(__xludf.DUMMYFUNCTION("""COMPUTED_VALUE"""),45790)</f>
        <v>45790</v>
      </c>
      <c r="G671" s="16">
        <f ca="1">IFERROR(__xludf.DUMMYFUNCTION("""COMPUTED_VALUE"""),45750)</f>
        <v>45750</v>
      </c>
      <c r="H671" s="6" t="str">
        <f ca="1">IFERROR(__xludf.DUMMYFUNCTION("""COMPUTED_VALUE"""),"La Oca")</f>
        <v>La Oca</v>
      </c>
      <c r="I671" s="6" t="str">
        <f ca="1">IFERROR(__xludf.DUMMYFUNCTION("""COMPUTED_VALUE"""),"C2025491715052")</f>
        <v>C2025491715052</v>
      </c>
      <c r="J671" s="6" t="str">
        <f ca="1">IFERROR(__xludf.DUMMYFUNCTION("""COMPUTED_VALUE"""),"MARIA CRISTINA GARCIA RODRIGO")</f>
        <v>MARIA CRISTINA GARCIA RODRIGO</v>
      </c>
      <c r="K671" s="6">
        <f ca="1">IFERROR(__xludf.DUMMYFUNCTION("""COMPUTED_VALUE"""),2)</f>
        <v>2</v>
      </c>
      <c r="L671" s="139">
        <f ca="1">IFERROR(__xludf.DUMMYFUNCTION("""COMPUTED_VALUE"""),3710)</f>
        <v>3710</v>
      </c>
      <c r="M671" s="6" t="str">
        <f ca="1">IFERROR(__xludf.DUMMYFUNCTION("""COMPUTED_VALUE"""),"03 ORL")</f>
        <v>03 ORL</v>
      </c>
      <c r="N671" s="6" t="str">
        <f ca="1">IFERROR(__xludf.DUMMYFUNCTION("""COMPUTED_VALUE"""),"06 ORL")</f>
        <v>06 ORL</v>
      </c>
      <c r="O671" s="6" t="str">
        <f ca="1">IFERROR(__xludf.DUMMYFUNCTION("""COMPUTED_VALUE"""),"Dr, José Joaquín Gutiérrez Barquín")</f>
        <v>Dr, José Joaquín Gutiérrez Barquín</v>
      </c>
      <c r="P671" s="6" t="str">
        <f ca="1">IFERROR(__xludf.DUMMYFUNCTION("""COMPUTED_VALUE"""),"Maika Blázquez (Madrid)")</f>
        <v>Maika Blázquez (Madrid)</v>
      </c>
    </row>
    <row r="672" spans="2:16">
      <c r="B672" s="6">
        <f ca="1">IFERROR(__xludf.DUMMYFUNCTION("""COMPUTED_VALUE"""),2025)</f>
        <v>2025</v>
      </c>
      <c r="C672" s="6">
        <f ca="1">IFERROR(__xludf.DUMMYFUNCTION("""COMPUTED_VALUE"""),5)</f>
        <v>5</v>
      </c>
      <c r="D672" s="6" t="str">
        <f ca="1">IFERROR(__xludf.DUMMYFUNCTION("""COMPUTED_VALUE"""),"NO")</f>
        <v>NO</v>
      </c>
      <c r="E672" s="6" t="str">
        <f ca="1">IFERROR(__xludf.DUMMYFUNCTION("""COMPUTED_VALUE"""),"Madrid- La Oca")</f>
        <v>Madrid- La Oca</v>
      </c>
      <c r="F672" s="16">
        <f ca="1">IFERROR(__xludf.DUMMYFUNCTION("""COMPUTED_VALUE"""),45782)</f>
        <v>45782</v>
      </c>
      <c r="G672" s="16">
        <f ca="1">IFERROR(__xludf.DUMMYFUNCTION("""COMPUTED_VALUE"""),45729)</f>
        <v>45729</v>
      </c>
      <c r="H672" s="6" t="str">
        <f ca="1">IFERROR(__xludf.DUMMYFUNCTION("""COMPUTED_VALUE"""),"La Oca")</f>
        <v>La Oca</v>
      </c>
      <c r="I672" s="6" t="str">
        <f ca="1">IFERROR(__xludf.DUMMYFUNCTION("""COMPUTED_VALUE"""),"C2025327162552848")</f>
        <v>C2025327162552848</v>
      </c>
      <c r="J672" s="6" t="str">
        <f ca="1">IFERROR(__xludf.DUMMYFUNCTION("""COMPUTED_VALUE"""),"RAFAEL MENA MORENO")</f>
        <v>RAFAEL MENA MORENO</v>
      </c>
      <c r="K672" s="6">
        <f ca="1">IFERROR(__xludf.DUMMYFUNCTION("""COMPUTED_VALUE"""),2)</f>
        <v>2</v>
      </c>
      <c r="L672" s="139">
        <f ca="1">IFERROR(__xludf.DUMMYFUNCTION("""COMPUTED_VALUE"""),2727.27)</f>
        <v>2727.27</v>
      </c>
      <c r="M672" s="6" t="str">
        <f ca="1">IFERROR(__xludf.DUMMYFUNCTION("""COMPUTED_VALUE"""),"03 ORL")</f>
        <v>03 ORL</v>
      </c>
      <c r="N672" s="6" t="str">
        <f ca="1">IFERROR(__xludf.DUMMYFUNCTION("""COMPUTED_VALUE"""),"06 ORL")</f>
        <v>06 ORL</v>
      </c>
      <c r="O672" s="6" t="str">
        <f ca="1">IFERROR(__xludf.DUMMYFUNCTION("""COMPUTED_VALUE"""),"Dr, Oscar A, Sánchez Valenzuela")</f>
        <v>Dr, Oscar A, Sánchez Valenzuela</v>
      </c>
      <c r="P672" s="6" t="str">
        <f ca="1">IFERROR(__xludf.DUMMYFUNCTION("""COMPUTED_VALUE"""),"Maika Blázquez (Madrid)")</f>
        <v>Maika Blázquez (Madrid)</v>
      </c>
    </row>
    <row r="673" spans="2:16">
      <c r="B673" s="6">
        <f ca="1">IFERROR(__xludf.DUMMYFUNCTION("""COMPUTED_VALUE"""),2025)</f>
        <v>2025</v>
      </c>
      <c r="C673" s="6">
        <f ca="1">IFERROR(__xludf.DUMMYFUNCTION("""COMPUTED_VALUE"""),5)</f>
        <v>5</v>
      </c>
      <c r="D673" s="6" t="str">
        <f ca="1">IFERROR(__xludf.DUMMYFUNCTION("""COMPUTED_VALUE"""),"NO")</f>
        <v>NO</v>
      </c>
      <c r="E673" s="6" t="str">
        <f ca="1">IFERROR(__xludf.DUMMYFUNCTION("""COMPUTED_VALUE"""),"Madrid- La Oca")</f>
        <v>Madrid- La Oca</v>
      </c>
      <c r="F673" s="16">
        <f ca="1">IFERROR(__xludf.DUMMYFUNCTION("""COMPUTED_VALUE"""),45807)</f>
        <v>45807</v>
      </c>
      <c r="G673" s="16">
        <f ca="1">IFERROR(__xludf.DUMMYFUNCTION("""COMPUTED_VALUE"""),45751)</f>
        <v>45751</v>
      </c>
      <c r="H673" s="6" t="str">
        <f ca="1">IFERROR(__xludf.DUMMYFUNCTION("""COMPUTED_VALUE"""),"La Oca")</f>
        <v>La Oca</v>
      </c>
      <c r="I673" s="6" t="str">
        <f ca="1">IFERROR(__xludf.DUMMYFUNCTION("""COMPUTED_VALUE"""),"C202549113558772")</f>
        <v>C202549113558772</v>
      </c>
      <c r="J673" s="6" t="str">
        <f ca="1">IFERROR(__xludf.DUMMYFUNCTION("""COMPUTED_VALUE"""),"TERESA GALINDO SERRANO")</f>
        <v>TERESA GALINDO SERRANO</v>
      </c>
      <c r="K673" s="6">
        <f ca="1">IFERROR(__xludf.DUMMYFUNCTION("""COMPUTED_VALUE"""),2)</f>
        <v>2</v>
      </c>
      <c r="L673" s="139">
        <f ca="1">IFERROR(__xludf.DUMMYFUNCTION("""COMPUTED_VALUE"""),3710)</f>
        <v>3710</v>
      </c>
      <c r="M673" s="6" t="str">
        <f ca="1">IFERROR(__xludf.DUMMYFUNCTION("""COMPUTED_VALUE"""),"03 ORL")</f>
        <v>03 ORL</v>
      </c>
      <c r="N673" s="6" t="str">
        <f ca="1">IFERROR(__xludf.DUMMYFUNCTION("""COMPUTED_VALUE"""),"22 AUDIOMETRIA CLINICA")</f>
        <v>22 AUDIOMETRIA CLINICA</v>
      </c>
      <c r="O673" s="6" t="str">
        <f ca="1">IFERROR(__xludf.DUMMYFUNCTION("""COMPUTED_VALUE"""),"Dra, Cristina Povedano Fernández")</f>
        <v>Dra, Cristina Povedano Fernández</v>
      </c>
      <c r="P673" s="6" t="str">
        <f ca="1">IFERROR(__xludf.DUMMYFUNCTION("""COMPUTED_VALUE"""),"Maika Blázquez (Madrid)")</f>
        <v>Maika Blázquez (Madrid)</v>
      </c>
    </row>
    <row r="674" spans="2:16">
      <c r="B674" s="6">
        <f ca="1">IFERROR(__xludf.DUMMYFUNCTION("""COMPUTED_VALUE"""),2025)</f>
        <v>2025</v>
      </c>
      <c r="C674" s="6">
        <f ca="1">IFERROR(__xludf.DUMMYFUNCTION("""COMPUTED_VALUE"""),5)</f>
        <v>5</v>
      </c>
      <c r="D674" s="6" t="str">
        <f ca="1">IFERROR(__xludf.DUMMYFUNCTION("""COMPUTED_VALUE"""),"NO")</f>
        <v>NO</v>
      </c>
      <c r="E674" s="6" t="str">
        <f ca="1">IFERROR(__xludf.DUMMYFUNCTION("""COMPUTED_VALUE"""),"Madrid- Monforte de Lemos")</f>
        <v>Madrid- Monforte de Lemos</v>
      </c>
      <c r="F674" s="16">
        <f ca="1">IFERROR(__xludf.DUMMYFUNCTION("""COMPUTED_VALUE"""),45798)</f>
        <v>45798</v>
      </c>
      <c r="G674" s="16">
        <f ca="1">IFERROR(__xludf.DUMMYFUNCTION("""COMPUTED_VALUE"""),45782)</f>
        <v>45782</v>
      </c>
      <c r="H674" s="6" t="str">
        <f ca="1">IFERROR(__xludf.DUMMYFUNCTION("""COMPUTED_VALUE"""),"La Vaguada")</f>
        <v>La Vaguada</v>
      </c>
      <c r="I674" s="6" t="str">
        <f ca="1">IFERROR(__xludf.DUMMYFUNCTION("""COMPUTED_VALUE"""),"C202557162154624")</f>
        <v>C202557162154624</v>
      </c>
      <c r="J674" s="6" t="str">
        <f ca="1">IFERROR(__xludf.DUMMYFUNCTION("""COMPUTED_VALUE"""),"DOMINGO DOS SANTOS FERREIRA")</f>
        <v>DOMINGO DOS SANTOS FERREIRA</v>
      </c>
      <c r="K674" s="6">
        <f ca="1">IFERROR(__xludf.DUMMYFUNCTION("""COMPUTED_VALUE"""),2)</f>
        <v>2</v>
      </c>
      <c r="L674" s="139">
        <f ca="1">IFERROR(__xludf.DUMMYFUNCTION("""COMPUTED_VALUE"""),4000)</f>
        <v>4000</v>
      </c>
      <c r="M674" s="6" t="str">
        <f ca="1">IFERROR(__xludf.DUMMYFUNCTION("""COMPUTED_VALUE"""),"03 ORL")</f>
        <v>03 ORL</v>
      </c>
      <c r="N674" s="6" t="str">
        <f ca="1">IFERROR(__xludf.DUMMYFUNCTION("""COMPUTED_VALUE"""),"06 ORL")</f>
        <v>06 ORL</v>
      </c>
      <c r="O674" s="6" t="str">
        <f ca="1">IFERROR(__xludf.DUMMYFUNCTION("""COMPUTED_VALUE"""),"Dr, Álvaro Sánchez de Arriba")</f>
        <v>Dr, Álvaro Sánchez de Arriba</v>
      </c>
      <c r="P674" s="6" t="str">
        <f ca="1">IFERROR(__xludf.DUMMYFUNCTION("""COMPUTED_VALUE"""),"Lisandro Russian (Madrid, Cáceres, Toledo, Talavera Y Logroño)")</f>
        <v>Lisandro Russian (Madrid, Cáceres, Toledo, Talavera Y Logroño)</v>
      </c>
    </row>
    <row r="675" spans="2:16">
      <c r="B675" s="6">
        <f ca="1">IFERROR(__xludf.DUMMYFUNCTION("""COMPUTED_VALUE"""),2025)</f>
        <v>2025</v>
      </c>
      <c r="C675" s="6">
        <f ca="1">IFERROR(__xludf.DUMMYFUNCTION("""COMPUTED_VALUE"""),5)</f>
        <v>5</v>
      </c>
      <c r="D675" s="6" t="str">
        <f ca="1">IFERROR(__xludf.DUMMYFUNCTION("""COMPUTED_VALUE"""),"NO")</f>
        <v>NO</v>
      </c>
      <c r="E675" s="6" t="str">
        <f ca="1">IFERROR(__xludf.DUMMYFUNCTION("""COMPUTED_VALUE"""),"Madrid- Monforte de Lemos")</f>
        <v>Madrid- Monforte de Lemos</v>
      </c>
      <c r="F675" s="16">
        <f ca="1">IFERROR(__xludf.DUMMYFUNCTION("""COMPUTED_VALUE"""),45803)</f>
        <v>45803</v>
      </c>
      <c r="G675" s="16">
        <f ca="1">IFERROR(__xludf.DUMMYFUNCTION("""COMPUTED_VALUE"""),45776)</f>
        <v>45776</v>
      </c>
      <c r="H675" s="6" t="str">
        <f ca="1">IFERROR(__xludf.DUMMYFUNCTION("""COMPUTED_VALUE"""),"La Vaguada")</f>
        <v>La Vaguada</v>
      </c>
      <c r="I675" s="6" t="str">
        <f ca="1">IFERROR(__xludf.DUMMYFUNCTION("""COMPUTED_VALUE"""),"C2025430131738688")</f>
        <v>C2025430131738688</v>
      </c>
      <c r="J675" s="6" t="str">
        <f ca="1">IFERROR(__xludf.DUMMYFUNCTION("""COMPUTED_VALUE"""),"JOSE FELIX JIMENEZ MORENO")</f>
        <v>JOSE FELIX JIMENEZ MORENO</v>
      </c>
      <c r="K675" s="6">
        <f ca="1">IFERROR(__xludf.DUMMYFUNCTION("""COMPUTED_VALUE"""),2)</f>
        <v>2</v>
      </c>
      <c r="L675" s="139">
        <f ca="1">IFERROR(__xludf.DUMMYFUNCTION("""COMPUTED_VALUE"""),3710)</f>
        <v>3710</v>
      </c>
      <c r="M675" s="6" t="str">
        <f ca="1">IFERROR(__xludf.DUMMYFUNCTION("""COMPUTED_VALUE"""),"03 ORL")</f>
        <v>03 ORL</v>
      </c>
      <c r="N675" s="6" t="str">
        <f ca="1">IFERROR(__xludf.DUMMYFUNCTION("""COMPUTED_VALUE"""),"06 ORL")</f>
        <v>06 ORL</v>
      </c>
      <c r="O675" s="6" t="str">
        <f ca="1">IFERROR(__xludf.DUMMYFUNCTION("""COMPUTED_VALUE"""),"Dr, José Gustavo Barroso Braojos")</f>
        <v>Dr, José Gustavo Barroso Braojos</v>
      </c>
      <c r="P675" s="6" t="str">
        <f ca="1">IFERROR(__xludf.DUMMYFUNCTION("""COMPUTED_VALUE"""),"Maika Blázquez (Madrid)")</f>
        <v>Maika Blázquez (Madrid)</v>
      </c>
    </row>
    <row r="676" spans="2:16">
      <c r="B676" s="6">
        <f ca="1">IFERROR(__xludf.DUMMYFUNCTION("""COMPUTED_VALUE"""),2025)</f>
        <v>2025</v>
      </c>
      <c r="C676" s="6">
        <f ca="1">IFERROR(__xludf.DUMMYFUNCTION("""COMPUTED_VALUE"""),5)</f>
        <v>5</v>
      </c>
      <c r="D676" s="6" t="str">
        <f ca="1">IFERROR(__xludf.DUMMYFUNCTION("""COMPUTED_VALUE"""),"NO")</f>
        <v>NO</v>
      </c>
      <c r="E676" s="6" t="str">
        <f ca="1">IFERROR(__xludf.DUMMYFUNCTION("""COMPUTED_VALUE"""),"Madrid- Monforte de Lemos")</f>
        <v>Madrid- Monforte de Lemos</v>
      </c>
      <c r="F676" s="16">
        <f ca="1">IFERROR(__xludf.DUMMYFUNCTION("""COMPUTED_VALUE"""),45797)</f>
        <v>45797</v>
      </c>
      <c r="G676" s="16">
        <f ca="1">IFERROR(__xludf.DUMMYFUNCTION("""COMPUTED_VALUE"""),45756)</f>
        <v>45756</v>
      </c>
      <c r="H676" s="6" t="str">
        <f ca="1">IFERROR(__xludf.DUMMYFUNCTION("""COMPUTED_VALUE"""),"La Vaguada")</f>
        <v>La Vaguada</v>
      </c>
      <c r="I676" s="6" t="str">
        <f ca="1">IFERROR(__xludf.DUMMYFUNCTION("""COMPUTED_VALUE"""),"C202542316221658")</f>
        <v>C202542316221658</v>
      </c>
      <c r="J676" s="6" t="str">
        <f ca="1">IFERROR(__xludf.DUMMYFUNCTION("""COMPUTED_VALUE"""),"MARIA JESUS ESCOBEDO SAIZ")</f>
        <v>MARIA JESUS ESCOBEDO SAIZ</v>
      </c>
      <c r="K676" s="6">
        <f ca="1">IFERROR(__xludf.DUMMYFUNCTION("""COMPUTED_VALUE"""),2)</f>
        <v>2</v>
      </c>
      <c r="L676" s="139">
        <f ca="1">IFERROR(__xludf.DUMMYFUNCTION("""COMPUTED_VALUE"""),2888.18)</f>
        <v>2888.18</v>
      </c>
      <c r="M676" s="6" t="str">
        <f ca="1">IFERROR(__xludf.DUMMYFUNCTION("""COMPUTED_VALUE"""),"03 ORL")</f>
        <v>03 ORL</v>
      </c>
      <c r="N676" s="6" t="str">
        <f ca="1">IFERROR(__xludf.DUMMYFUNCTION("""COMPUTED_VALUE"""),"06 ORL")</f>
        <v>06 ORL</v>
      </c>
      <c r="O676" s="6" t="str">
        <f ca="1">IFERROR(__xludf.DUMMYFUNCTION("""COMPUTED_VALUE"""),"Dra, Laura Gálvez Gazo")</f>
        <v>Dra, Laura Gálvez Gazo</v>
      </c>
      <c r="P676" s="6" t="str">
        <f ca="1">IFERROR(__xludf.DUMMYFUNCTION("""COMPUTED_VALUE"""),"Maika Blázquez (Madrid)")</f>
        <v>Maika Blázquez (Madrid)</v>
      </c>
    </row>
    <row r="677" spans="2:16">
      <c r="B677" s="6">
        <f ca="1">IFERROR(__xludf.DUMMYFUNCTION("""COMPUTED_VALUE"""),2025)</f>
        <v>2025</v>
      </c>
      <c r="C677" s="6">
        <f ca="1">IFERROR(__xludf.DUMMYFUNCTION("""COMPUTED_VALUE"""),5)</f>
        <v>5</v>
      </c>
      <c r="D677" s="6" t="str">
        <f ca="1">IFERROR(__xludf.DUMMYFUNCTION("""COMPUTED_VALUE"""),"NO")</f>
        <v>NO</v>
      </c>
      <c r="E677" s="6" t="str">
        <f ca="1">IFERROR(__xludf.DUMMYFUNCTION("""COMPUTED_VALUE"""),"Madrid- Monforte de Lemos")</f>
        <v>Madrid- Monforte de Lemos</v>
      </c>
      <c r="F677" s="16">
        <f ca="1">IFERROR(__xludf.DUMMYFUNCTION("""COMPUTED_VALUE"""),45791)</f>
        <v>45791</v>
      </c>
      <c r="G677" s="16">
        <f ca="1">IFERROR(__xludf.DUMMYFUNCTION("""COMPUTED_VALUE"""),45754)</f>
        <v>45754</v>
      </c>
      <c r="H677" s="6" t="str">
        <f ca="1">IFERROR(__xludf.DUMMYFUNCTION("""COMPUTED_VALUE"""),"La Vaguada")</f>
        <v>La Vaguada</v>
      </c>
      <c r="I677" s="6" t="str">
        <f ca="1">IFERROR(__xludf.DUMMYFUNCTION("""COMPUTED_VALUE"""),"C202547125519540")</f>
        <v>C202547125519540</v>
      </c>
      <c r="J677" s="6" t="str">
        <f ca="1">IFERROR(__xludf.DUMMYFUNCTION("""COMPUTED_VALUE"""),"ROCIO LOPEZ PRIETO")</f>
        <v>ROCIO LOPEZ PRIETO</v>
      </c>
      <c r="K677" s="6">
        <f ca="1">IFERROR(__xludf.DUMMYFUNCTION("""COMPUTED_VALUE"""),1)</f>
        <v>1</v>
      </c>
      <c r="L677" s="139">
        <f ca="1">IFERROR(__xludf.DUMMYFUNCTION("""COMPUTED_VALUE"""),2226.36)</f>
        <v>2226.36</v>
      </c>
      <c r="M677" s="6" t="str">
        <f ca="1">IFERROR(__xludf.DUMMYFUNCTION("""COMPUTED_VALUE"""),"03 ORL")</f>
        <v>03 ORL</v>
      </c>
      <c r="N677" s="6" t="str">
        <f ca="1">IFERROR(__xludf.DUMMYFUNCTION("""COMPUTED_VALUE"""),"06 ORL")</f>
        <v>06 ORL</v>
      </c>
      <c r="O677" s="6" t="str">
        <f ca="1">IFERROR(__xludf.DUMMYFUNCTION("""COMPUTED_VALUE"""),"Dra, María Fernanda Escala Pedreros")</f>
        <v>Dra, María Fernanda Escala Pedreros</v>
      </c>
      <c r="P677" s="6" t="str">
        <f ca="1">IFERROR(__xludf.DUMMYFUNCTION("""COMPUTED_VALUE"""),"Lisandro Russian (Madrid, Cáceres, Toledo, Talavera Y Logroño)")</f>
        <v>Lisandro Russian (Madrid, Cáceres, Toledo, Talavera Y Logroño)</v>
      </c>
    </row>
    <row r="678" spans="2:16">
      <c r="B678" s="6">
        <f ca="1">IFERROR(__xludf.DUMMYFUNCTION("""COMPUTED_VALUE"""),2025)</f>
        <v>2025</v>
      </c>
      <c r="C678" s="6">
        <f ca="1">IFERROR(__xludf.DUMMYFUNCTION("""COMPUTED_VALUE"""),5)</f>
        <v>5</v>
      </c>
      <c r="D678" s="6" t="str">
        <f ca="1">IFERROR(__xludf.DUMMYFUNCTION("""COMPUTED_VALUE"""),"NO")</f>
        <v>NO</v>
      </c>
      <c r="E678" s="6" t="str">
        <f ca="1">IFERROR(__xludf.DUMMYFUNCTION("""COMPUTED_VALUE"""),"Madrid- Monforte de Lemos")</f>
        <v>Madrid- Monforte de Lemos</v>
      </c>
      <c r="F678" s="16">
        <f ca="1">IFERROR(__xludf.DUMMYFUNCTION("""COMPUTED_VALUE"""),45796)</f>
        <v>45796</v>
      </c>
      <c r="G678" s="16">
        <f ca="1">IFERROR(__xludf.DUMMYFUNCTION("""COMPUTED_VALUE"""),45783)</f>
        <v>45783</v>
      </c>
      <c r="H678" s="6" t="str">
        <f ca="1">IFERROR(__xludf.DUMMYFUNCTION("""COMPUTED_VALUE"""),"La Vaguada")</f>
        <v>La Vaguada</v>
      </c>
      <c r="I678" s="6" t="str">
        <f ca="1">IFERROR(__xludf.DUMMYFUNCTION("""COMPUTED_VALUE"""),"C202558162243855")</f>
        <v>C202558162243855</v>
      </c>
      <c r="J678" s="6" t="str">
        <f ca="1">IFERROR(__xludf.DUMMYFUNCTION("""COMPUTED_VALUE"""),"VICTORINO OLLOQUI GARCIA")</f>
        <v>VICTORINO OLLOQUI GARCIA</v>
      </c>
      <c r="K678" s="6">
        <f ca="1">IFERROR(__xludf.DUMMYFUNCTION("""COMPUTED_VALUE"""),2)</f>
        <v>2</v>
      </c>
      <c r="L678" s="139">
        <f ca="1">IFERROR(__xludf.DUMMYFUNCTION("""COMPUTED_VALUE"""),4531.82)</f>
        <v>4531.82</v>
      </c>
      <c r="M678" s="6" t="str">
        <f ca="1">IFERROR(__xludf.DUMMYFUNCTION("""COMPUTED_VALUE"""),"03 ORL")</f>
        <v>03 ORL</v>
      </c>
      <c r="N678" s="6" t="str">
        <f ca="1">IFERROR(__xludf.DUMMYFUNCTION("""COMPUTED_VALUE"""),"06 ORL")</f>
        <v>06 ORL</v>
      </c>
      <c r="O678" s="6" t="str">
        <f ca="1">IFERROR(__xludf.DUMMYFUNCTION("""COMPUTED_VALUE"""),"Dr, Javier Gavilanes Plasencia")</f>
        <v>Dr, Javier Gavilanes Plasencia</v>
      </c>
      <c r="P678" s="6" t="str">
        <f ca="1">IFERROR(__xludf.DUMMYFUNCTION("""COMPUTED_VALUE"""),"Maika Blázquez (Madrid)")</f>
        <v>Maika Blázquez (Madrid)</v>
      </c>
    </row>
    <row r="679" spans="2:16">
      <c r="B679" s="6">
        <f ca="1">IFERROR(__xludf.DUMMYFUNCTION("""COMPUTED_VALUE"""),2025)</f>
        <v>2025</v>
      </c>
      <c r="C679" s="6">
        <f ca="1">IFERROR(__xludf.DUMMYFUNCTION("""COMPUTED_VALUE"""),5)</f>
        <v>5</v>
      </c>
      <c r="D679" s="6" t="str">
        <f ca="1">IFERROR(__xludf.DUMMYFUNCTION("""COMPUTED_VALUE"""),"NO")</f>
        <v>NO</v>
      </c>
      <c r="E679" s="6" t="str">
        <f ca="1">IFERROR(__xludf.DUMMYFUNCTION("""COMPUTED_VALUE"""),"Madrid- Moratalaz")</f>
        <v>Madrid- Moratalaz</v>
      </c>
      <c r="F679" s="16">
        <f ca="1">IFERROR(__xludf.DUMMYFUNCTION("""COMPUTED_VALUE"""),45807)</f>
        <v>45807</v>
      </c>
      <c r="G679" s="16">
        <f ca="1">IFERROR(__xludf.DUMMYFUNCTION("""COMPUTED_VALUE"""),45785)</f>
        <v>45785</v>
      </c>
      <c r="H679" s="6" t="str">
        <f ca="1">IFERROR(__xludf.DUMMYFUNCTION("""COMPUTED_VALUE"""),"Moratalaz")</f>
        <v>Moratalaz</v>
      </c>
      <c r="I679" s="6" t="str">
        <f ca="1">IFERROR(__xludf.DUMMYFUNCTION("""COMPUTED_VALUE"""),"C202551312215598")</f>
        <v>C202551312215598</v>
      </c>
      <c r="J679" s="6" t="str">
        <f ca="1">IFERROR(__xludf.DUMMYFUNCTION("""COMPUTED_VALUE"""),"CARMEN  GARCIA TOLOBA")</f>
        <v>CARMEN  GARCIA TOLOBA</v>
      </c>
      <c r="K679" s="6">
        <f ca="1">IFERROR(__xludf.DUMMYFUNCTION("""COMPUTED_VALUE"""),2)</f>
        <v>2</v>
      </c>
      <c r="L679" s="139">
        <f ca="1">IFERROR(__xludf.DUMMYFUNCTION("""COMPUTED_VALUE"""),4531.82)</f>
        <v>4531.82</v>
      </c>
      <c r="M679" s="6" t="str">
        <f ca="1">IFERROR(__xludf.DUMMYFUNCTION("""COMPUTED_VALUE"""),"03 ORL")</f>
        <v>03 ORL</v>
      </c>
      <c r="N679" s="6" t="str">
        <f ca="1">IFERROR(__xludf.DUMMYFUNCTION("""COMPUTED_VALUE"""),"06 ORL")</f>
        <v>06 ORL</v>
      </c>
      <c r="O679" s="6" t="str">
        <f ca="1">IFERROR(__xludf.DUMMYFUNCTION("""COMPUTED_VALUE"""),"Dr, Antonio Rodríguez Rivero")</f>
        <v>Dr, Antonio Rodríguez Rivero</v>
      </c>
      <c r="P679" s="6" t="str">
        <f ca="1">IFERROR(__xludf.DUMMYFUNCTION("""COMPUTED_VALUE"""),"Maika Blázquez (Madrid)")</f>
        <v>Maika Blázquez (Madrid)</v>
      </c>
    </row>
    <row r="680" spans="2:16">
      <c r="B680" s="6">
        <f ca="1">IFERROR(__xludf.DUMMYFUNCTION("""COMPUTED_VALUE"""),2025)</f>
        <v>2025</v>
      </c>
      <c r="C680" s="6">
        <f ca="1">IFERROR(__xludf.DUMMYFUNCTION("""COMPUTED_VALUE"""),5)</f>
        <v>5</v>
      </c>
      <c r="D680" s="6" t="str">
        <f ca="1">IFERROR(__xludf.DUMMYFUNCTION("""COMPUTED_VALUE"""),"NO")</f>
        <v>NO</v>
      </c>
      <c r="E680" s="6" t="str">
        <f ca="1">IFERROR(__xludf.DUMMYFUNCTION("""COMPUTED_VALUE"""),"Madrid- Moratalaz")</f>
        <v>Madrid- Moratalaz</v>
      </c>
      <c r="F680" s="16">
        <f ca="1">IFERROR(__xludf.DUMMYFUNCTION("""COMPUTED_VALUE"""),45806)</f>
        <v>45806</v>
      </c>
      <c r="G680" s="16">
        <f ca="1">IFERROR(__xludf.DUMMYFUNCTION("""COMPUTED_VALUE"""),44649)</f>
        <v>44649</v>
      </c>
      <c r="H680" s="6" t="str">
        <f ca="1">IFERROR(__xludf.DUMMYFUNCTION("""COMPUTED_VALUE"""),"Moratalaz")</f>
        <v>Moratalaz</v>
      </c>
      <c r="I680" s="6" t="str">
        <f ca="1">IFERROR(__xludf.DUMMYFUNCTION("""COMPUTED_VALUE"""),"MOR-1921")</f>
        <v>MOR-1921</v>
      </c>
      <c r="J680" s="6" t="str">
        <f ca="1">IFERROR(__xludf.DUMMYFUNCTION("""COMPUTED_VALUE"""),"KENIA MERCEDES MERCEDES")</f>
        <v>KENIA MERCEDES MERCEDES</v>
      </c>
      <c r="K680" s="6">
        <f ca="1">IFERROR(__xludf.DUMMYFUNCTION("""COMPUTED_VALUE"""),1)</f>
        <v>1</v>
      </c>
      <c r="L680" s="139">
        <f ca="1">IFERROR(__xludf.DUMMYFUNCTION("""COMPUTED_VALUE"""),1962.02)</f>
        <v>1962.02</v>
      </c>
      <c r="M680" s="6" t="str">
        <f ca="1">IFERROR(__xludf.DUMMYFUNCTION("""COMPUTED_VALUE"""),"03 ORL")</f>
        <v>03 ORL</v>
      </c>
      <c r="N680" s="6" t="str">
        <f ca="1">IFERROR(__xludf.DUMMYFUNCTION("""COMPUTED_VALUE"""),"06 ORL")</f>
        <v>06 ORL</v>
      </c>
      <c r="O680" s="6" t="str">
        <f ca="1">IFERROR(__xludf.DUMMYFUNCTION("""COMPUTED_VALUE"""),"Dra, Sara Reda del Barrio")</f>
        <v>Dra, Sara Reda del Barrio</v>
      </c>
      <c r="P680" s="6" t="str">
        <f ca="1">IFERROR(__xludf.DUMMYFUNCTION("""COMPUTED_VALUE"""),"Maika Blázquez (Madrid)")</f>
        <v>Maika Blázquez (Madrid)</v>
      </c>
    </row>
    <row r="681" spans="2:16">
      <c r="B681" s="6">
        <f ca="1">IFERROR(__xludf.DUMMYFUNCTION("""COMPUTED_VALUE"""),2025)</f>
        <v>2025</v>
      </c>
      <c r="C681" s="6">
        <f ca="1">IFERROR(__xludf.DUMMYFUNCTION("""COMPUTED_VALUE"""),5)</f>
        <v>5</v>
      </c>
      <c r="D681" s="6" t="str">
        <f ca="1">IFERROR(__xludf.DUMMYFUNCTION("""COMPUTED_VALUE"""),"NO")</f>
        <v>NO</v>
      </c>
      <c r="E681" s="6" t="str">
        <f ca="1">IFERROR(__xludf.DUMMYFUNCTION("""COMPUTED_VALUE"""),"Madrid- Moratalaz")</f>
        <v>Madrid- Moratalaz</v>
      </c>
      <c r="F681" s="16">
        <f ca="1">IFERROR(__xludf.DUMMYFUNCTION("""COMPUTED_VALUE"""),45797)</f>
        <v>45797</v>
      </c>
      <c r="G681" s="16">
        <f ca="1">IFERROR(__xludf.DUMMYFUNCTION("""COMPUTED_VALUE"""),45755)</f>
        <v>45755</v>
      </c>
      <c r="H681" s="6" t="str">
        <f ca="1">IFERROR(__xludf.DUMMYFUNCTION("""COMPUTED_VALUE"""),"Moratalaz")</f>
        <v>Moratalaz</v>
      </c>
      <c r="I681" s="6" t="str">
        <f ca="1">IFERROR(__xludf.DUMMYFUNCTION("""COMPUTED_VALUE"""),"C202551215548461")</f>
        <v>C202551215548461</v>
      </c>
      <c r="J681" s="6" t="str">
        <f ca="1">IFERROR(__xludf.DUMMYFUNCTION("""COMPUTED_VALUE"""),"PILAR QUEJIGO TORRES")</f>
        <v>PILAR QUEJIGO TORRES</v>
      </c>
      <c r="K681" s="6">
        <f ca="1">IFERROR(__xludf.DUMMYFUNCTION("""COMPUTED_VALUE"""),1)</f>
        <v>1</v>
      </c>
      <c r="L681" s="139">
        <f ca="1">IFERROR(__xludf.DUMMYFUNCTION("""COMPUTED_VALUE"""),2400)</f>
        <v>2400</v>
      </c>
      <c r="M681" s="6" t="str">
        <f ca="1">IFERROR(__xludf.DUMMYFUNCTION("""COMPUTED_VALUE"""),"03 ORL")</f>
        <v>03 ORL</v>
      </c>
      <c r="N681" s="6" t="str">
        <f ca="1">IFERROR(__xludf.DUMMYFUNCTION("""COMPUTED_VALUE"""),"06 ORL")</f>
        <v>06 ORL</v>
      </c>
      <c r="O681" s="6" t="str">
        <f ca="1">IFERROR(__xludf.DUMMYFUNCTION("""COMPUTED_VALUE"""),"Dr, Francisco Javier Redondo del Barco")</f>
        <v>Dr, Francisco Javier Redondo del Barco</v>
      </c>
      <c r="P681" s="6" t="str">
        <f ca="1">IFERROR(__xludf.DUMMYFUNCTION("""COMPUTED_VALUE"""),"Lisandro Russian (Madrid, Cáceres, Toledo, Talavera Y Logroño)")</f>
        <v>Lisandro Russian (Madrid, Cáceres, Toledo, Talavera Y Logroño)</v>
      </c>
    </row>
    <row r="682" spans="2:16">
      <c r="B682" s="6">
        <f ca="1">IFERROR(__xludf.DUMMYFUNCTION("""COMPUTED_VALUE"""),2025)</f>
        <v>2025</v>
      </c>
      <c r="C682" s="6">
        <f ca="1">IFERROR(__xludf.DUMMYFUNCTION("""COMPUTED_VALUE"""),5)</f>
        <v>5</v>
      </c>
      <c r="D682" s="6" t="str">
        <f ca="1">IFERROR(__xludf.DUMMYFUNCTION("""COMPUTED_VALUE"""),"NO")</f>
        <v>NO</v>
      </c>
      <c r="E682" s="6" t="str">
        <f ca="1">IFERROR(__xludf.DUMMYFUNCTION("""COMPUTED_VALUE"""),"Murcia")</f>
        <v>Murcia</v>
      </c>
      <c r="F682" s="16">
        <f ca="1">IFERROR(__xludf.DUMMYFUNCTION("""COMPUTED_VALUE"""),45779)</f>
        <v>45779</v>
      </c>
      <c r="G682" s="16">
        <f ca="1">IFERROR(__xludf.DUMMYFUNCTION("""COMPUTED_VALUE"""),45734)</f>
        <v>45734</v>
      </c>
      <c r="H682" s="6" t="str">
        <f ca="1">IFERROR(__xludf.DUMMYFUNCTION("""COMPUTED_VALUE"""),"Murcia")</f>
        <v>Murcia</v>
      </c>
      <c r="I682" s="6" t="str">
        <f ca="1">IFERROR(__xludf.DUMMYFUNCTION("""COMPUTED_VALUE"""),"C202532617178208")</f>
        <v>C202532617178208</v>
      </c>
      <c r="J682" s="6" t="str">
        <f ca="1">IFERROR(__xludf.DUMMYFUNCTION("""COMPUTED_VALUE"""),"CARIDAD GONZALEZ PELLICER")</f>
        <v>CARIDAD GONZALEZ PELLICER</v>
      </c>
      <c r="K682" s="6">
        <f ca="1">IFERROR(__xludf.DUMMYFUNCTION("""COMPUTED_VALUE"""),2)</f>
        <v>2</v>
      </c>
      <c r="L682" s="139">
        <f ca="1">IFERROR(__xludf.DUMMYFUNCTION("""COMPUTED_VALUE"""),2888.19)</f>
        <v>2888.19</v>
      </c>
      <c r="M682" s="6" t="str">
        <f ca="1">IFERROR(__xludf.DUMMYFUNCTION("""COMPUTED_VALUE"""),"03 ORL")</f>
        <v>03 ORL</v>
      </c>
      <c r="N682" s="6" t="str">
        <f ca="1">IFERROR(__xludf.DUMMYFUNCTION("""COMPUTED_VALUE"""),"06 ORL")</f>
        <v>06 ORL</v>
      </c>
      <c r="O682" s="6" t="str">
        <f ca="1">IFERROR(__xludf.DUMMYFUNCTION("""COMPUTED_VALUE"""),"Dr, Enrique Viviente Rodríguez")</f>
        <v>Dr, Enrique Viviente Rodríguez</v>
      </c>
      <c r="P682" s="6" t="str">
        <f ca="1">IFERROR(__xludf.DUMMYFUNCTION("""COMPUTED_VALUE"""),"Iván Sánchez (Levante Y Albacete)")</f>
        <v>Iván Sánchez (Levante Y Albacete)</v>
      </c>
    </row>
    <row r="683" spans="2:16">
      <c r="B683" s="6">
        <f ca="1">IFERROR(__xludf.DUMMYFUNCTION("""COMPUTED_VALUE"""),2025)</f>
        <v>2025</v>
      </c>
      <c r="C683" s="6">
        <f ca="1">IFERROR(__xludf.DUMMYFUNCTION("""COMPUTED_VALUE"""),5)</f>
        <v>5</v>
      </c>
      <c r="D683" s="6" t="str">
        <f ca="1">IFERROR(__xludf.DUMMYFUNCTION("""COMPUTED_VALUE"""),"NO")</f>
        <v>NO</v>
      </c>
      <c r="E683" s="6" t="str">
        <f ca="1">IFERROR(__xludf.DUMMYFUNCTION("""COMPUTED_VALUE"""),"Murcia")</f>
        <v>Murcia</v>
      </c>
      <c r="F683" s="16">
        <f ca="1">IFERROR(__xludf.DUMMYFUNCTION("""COMPUTED_VALUE"""),45805)</f>
        <v>45805</v>
      </c>
      <c r="G683" s="16">
        <f ca="1">IFERROR(__xludf.DUMMYFUNCTION("""COMPUTED_VALUE"""),45763)</f>
        <v>45763</v>
      </c>
      <c r="H683" s="6" t="str">
        <f ca="1">IFERROR(__xludf.DUMMYFUNCTION("""COMPUTED_VALUE"""),"Murcia")</f>
        <v>Murcia</v>
      </c>
      <c r="I683" s="6" t="str">
        <f ca="1">IFERROR(__xludf.DUMMYFUNCTION("""COMPUTED_VALUE"""),"C20254231623403")</f>
        <v>C20254231623403</v>
      </c>
      <c r="J683" s="6" t="str">
        <f ca="1">IFERROR(__xludf.DUMMYFUNCTION("""COMPUTED_VALUE"""),"ISABEL PACHECO COBARRO")</f>
        <v>ISABEL PACHECO COBARRO</v>
      </c>
      <c r="K683" s="6">
        <f ca="1">IFERROR(__xludf.DUMMYFUNCTION("""COMPUTED_VALUE"""),2)</f>
        <v>2</v>
      </c>
      <c r="L683" s="139">
        <f ca="1">IFERROR(__xludf.DUMMYFUNCTION("""COMPUTED_VALUE"""),3710)</f>
        <v>3710</v>
      </c>
      <c r="M683" s="6" t="str">
        <f ca="1">IFERROR(__xludf.DUMMYFUNCTION("""COMPUTED_VALUE"""),"03 ORL")</f>
        <v>03 ORL</v>
      </c>
      <c r="N683" s="6" t="str">
        <f ca="1">IFERROR(__xludf.DUMMYFUNCTION("""COMPUTED_VALUE"""),"06 ORL")</f>
        <v>06 ORL</v>
      </c>
      <c r="O683" s="6" t="str">
        <f ca="1">IFERROR(__xludf.DUMMYFUNCTION("""COMPUTED_VALUE"""),"Dra, Aida Aviñoa Arias")</f>
        <v>Dra, Aida Aviñoa Arias</v>
      </c>
      <c r="P683" s="6" t="str">
        <f ca="1">IFERROR(__xludf.DUMMYFUNCTION("""COMPUTED_VALUE"""),"Iván Sánchez (Levante Y Albacete)")</f>
        <v>Iván Sánchez (Levante Y Albacete)</v>
      </c>
    </row>
    <row r="684" spans="2:16">
      <c r="B684" s="6">
        <f ca="1">IFERROR(__xludf.DUMMYFUNCTION("""COMPUTED_VALUE"""),2025)</f>
        <v>2025</v>
      </c>
      <c r="C684" s="6">
        <f ca="1">IFERROR(__xludf.DUMMYFUNCTION("""COMPUTED_VALUE"""),5)</f>
        <v>5</v>
      </c>
      <c r="D684" s="6" t="str">
        <f ca="1">IFERROR(__xludf.DUMMYFUNCTION("""COMPUTED_VALUE"""),"NO")</f>
        <v>NO</v>
      </c>
      <c r="E684" s="6" t="str">
        <f ca="1">IFERROR(__xludf.DUMMYFUNCTION("""COMPUTED_VALUE"""),"Murcia")</f>
        <v>Murcia</v>
      </c>
      <c r="F684" s="16">
        <f ca="1">IFERROR(__xludf.DUMMYFUNCTION("""COMPUTED_VALUE"""),45793)</f>
        <v>45793</v>
      </c>
      <c r="G684" s="16">
        <f ca="1">IFERROR(__xludf.DUMMYFUNCTION("""COMPUTED_VALUE"""),45772)</f>
        <v>45772</v>
      </c>
      <c r="H684" s="6" t="str">
        <f ca="1">IFERROR(__xludf.DUMMYFUNCTION("""COMPUTED_VALUE"""),"Murcia")</f>
        <v>Murcia</v>
      </c>
      <c r="I684" s="6" t="str">
        <f ca="1">IFERROR(__xludf.DUMMYFUNCTION("""COMPUTED_VALUE"""),"C202542912365278")</f>
        <v>C202542912365278</v>
      </c>
      <c r="J684" s="6" t="str">
        <f ca="1">IFERROR(__xludf.DUMMYFUNCTION("""COMPUTED_VALUE"""),"JOSEFA BEATRIZ MARIN EGEA")</f>
        <v>JOSEFA BEATRIZ MARIN EGEA</v>
      </c>
      <c r="K684" s="6">
        <f ca="1">IFERROR(__xludf.DUMMYFUNCTION("""COMPUTED_VALUE"""),2)</f>
        <v>2</v>
      </c>
      <c r="L684" s="139">
        <f ca="1">IFERROR(__xludf.DUMMYFUNCTION("""COMPUTED_VALUE"""),2884.62)</f>
        <v>2884.62</v>
      </c>
      <c r="M684" s="6" t="str">
        <f ca="1">IFERROR(__xludf.DUMMYFUNCTION("""COMPUTED_VALUE"""),"03 ORL")</f>
        <v>03 ORL</v>
      </c>
      <c r="N684" s="6" t="str">
        <f ca="1">IFERROR(__xludf.DUMMYFUNCTION("""COMPUTED_VALUE"""),"06 ORL")</f>
        <v>06 ORL</v>
      </c>
      <c r="O684" s="6" t="str">
        <f ca="1">IFERROR(__xludf.DUMMYFUNCTION("""COMPUTED_VALUE"""),"Dr, Enrique Viviente Rodríguez")</f>
        <v>Dr, Enrique Viviente Rodríguez</v>
      </c>
      <c r="P684" s="6" t="str">
        <f ca="1">IFERROR(__xludf.DUMMYFUNCTION("""COMPUTED_VALUE"""),"Iván Sánchez (Levante Y Albacete)")</f>
        <v>Iván Sánchez (Levante Y Albacete)</v>
      </c>
    </row>
    <row r="685" spans="2:16">
      <c r="B685" s="6">
        <f ca="1">IFERROR(__xludf.DUMMYFUNCTION("""COMPUTED_VALUE"""),2025)</f>
        <v>2025</v>
      </c>
      <c r="C685" s="6">
        <f ca="1">IFERROR(__xludf.DUMMYFUNCTION("""COMPUTED_VALUE"""),5)</f>
        <v>5</v>
      </c>
      <c r="D685" s="6" t="str">
        <f ca="1">IFERROR(__xludf.DUMMYFUNCTION("""COMPUTED_VALUE"""),"NO")</f>
        <v>NO</v>
      </c>
      <c r="E685" s="6" t="str">
        <f ca="1">IFERROR(__xludf.DUMMYFUNCTION("""COMPUTED_VALUE"""),"Murcia")</f>
        <v>Murcia</v>
      </c>
      <c r="F685" s="16">
        <f ca="1">IFERROR(__xludf.DUMMYFUNCTION("""COMPUTED_VALUE"""),45804)</f>
        <v>45804</v>
      </c>
      <c r="G685" s="16">
        <f ca="1">IFERROR(__xludf.DUMMYFUNCTION("""COMPUTED_VALUE"""),45783)</f>
        <v>45783</v>
      </c>
      <c r="H685" s="6" t="str">
        <f ca="1">IFERROR(__xludf.DUMMYFUNCTION("""COMPUTED_VALUE"""),"Murcia")</f>
        <v>Murcia</v>
      </c>
      <c r="I685" s="6" t="str">
        <f ca="1">IFERROR(__xludf.DUMMYFUNCTION("""COMPUTED_VALUE"""),"C202557183244726")</f>
        <v>C202557183244726</v>
      </c>
      <c r="J685" s="6" t="str">
        <f ca="1">IFERROR(__xludf.DUMMYFUNCTION("""COMPUTED_VALUE"""),"JOSEFA ROS BELTRAN")</f>
        <v>JOSEFA ROS BELTRAN</v>
      </c>
      <c r="K685" s="6">
        <f ca="1">IFERROR(__xludf.DUMMYFUNCTION("""COMPUTED_VALUE"""),2)</f>
        <v>2</v>
      </c>
      <c r="L685" s="139">
        <f ca="1">IFERROR(__xludf.DUMMYFUNCTION("""COMPUTED_VALUE"""),3710)</f>
        <v>3710</v>
      </c>
      <c r="M685" s="6" t="str">
        <f ca="1">IFERROR(__xludf.DUMMYFUNCTION("""COMPUTED_VALUE"""),"03 ORL")</f>
        <v>03 ORL</v>
      </c>
      <c r="N685" s="6" t="str">
        <f ca="1">IFERROR(__xludf.DUMMYFUNCTION("""COMPUTED_VALUE"""),"06 ORL")</f>
        <v>06 ORL</v>
      </c>
      <c r="O685" s="6" t="str">
        <f ca="1">IFERROR(__xludf.DUMMYFUNCTION("""COMPUTED_VALUE"""),"Dra, María Agustina Sevilla García")</f>
        <v>Dra, María Agustina Sevilla García</v>
      </c>
      <c r="P685" s="6" t="str">
        <f ca="1">IFERROR(__xludf.DUMMYFUNCTION("""COMPUTED_VALUE"""),"Iván Sánchez (Levante Y Albacete)")</f>
        <v>Iván Sánchez (Levante Y Albacete)</v>
      </c>
    </row>
    <row r="686" spans="2:16">
      <c r="B686" s="6">
        <f ca="1">IFERROR(__xludf.DUMMYFUNCTION("""COMPUTED_VALUE"""),2025)</f>
        <v>2025</v>
      </c>
      <c r="C686" s="6">
        <f ca="1">IFERROR(__xludf.DUMMYFUNCTION("""COMPUTED_VALUE"""),5)</f>
        <v>5</v>
      </c>
      <c r="D686" s="6" t="str">
        <f ca="1">IFERROR(__xludf.DUMMYFUNCTION("""COMPUTED_VALUE"""),"NO")</f>
        <v>NO</v>
      </c>
      <c r="E686" s="6" t="str">
        <f ca="1">IFERROR(__xludf.DUMMYFUNCTION("""COMPUTED_VALUE"""),"Murcia")</f>
        <v>Murcia</v>
      </c>
      <c r="F686" s="16">
        <f ca="1">IFERROR(__xludf.DUMMYFUNCTION("""COMPUTED_VALUE"""),45779)</f>
        <v>45779</v>
      </c>
      <c r="G686" s="16">
        <f ca="1">IFERROR(__xludf.DUMMYFUNCTION("""COMPUTED_VALUE"""),45741)</f>
        <v>45741</v>
      </c>
      <c r="H686" s="6" t="str">
        <f ca="1">IFERROR(__xludf.DUMMYFUNCTION("""COMPUTED_VALUE"""),"Murcia")</f>
        <v>Murcia</v>
      </c>
      <c r="I686" s="6" t="str">
        <f ca="1">IFERROR(__xludf.DUMMYFUNCTION("""COMPUTED_VALUE"""),"C202532610155344")</f>
        <v>C202532610155344</v>
      </c>
      <c r="J686" s="6" t="str">
        <f ca="1">IFERROR(__xludf.DUMMYFUNCTION("""COMPUTED_VALUE"""),"JUAN TEODORO BAÑO FRANCO")</f>
        <v>JUAN TEODORO BAÑO FRANCO</v>
      </c>
      <c r="K686" s="6">
        <f ca="1">IFERROR(__xludf.DUMMYFUNCTION("""COMPUTED_VALUE"""),1)</f>
        <v>1</v>
      </c>
      <c r="L686" s="139">
        <f ca="1">IFERROR(__xludf.DUMMYFUNCTION("""COMPUTED_VALUE"""),2280)</f>
        <v>2280</v>
      </c>
      <c r="M686" s="6" t="str">
        <f ca="1">IFERROR(__xludf.DUMMYFUNCTION("""COMPUTED_VALUE"""),"03 ORL")</f>
        <v>03 ORL</v>
      </c>
      <c r="N686" s="6" t="str">
        <f ca="1">IFERROR(__xludf.DUMMYFUNCTION("""COMPUTED_VALUE"""),"06 ORL")</f>
        <v>06 ORL</v>
      </c>
      <c r="O686" s="6" t="str">
        <f ca="1">IFERROR(__xludf.DUMMYFUNCTION("""COMPUTED_VALUE"""),"Dra, Aida Aviñoa Arias")</f>
        <v>Dra, Aida Aviñoa Arias</v>
      </c>
      <c r="P686" s="6" t="str">
        <f ca="1">IFERROR(__xludf.DUMMYFUNCTION("""COMPUTED_VALUE"""),"Iván Sánchez (Levante Y Albacete)")</f>
        <v>Iván Sánchez (Levante Y Albacete)</v>
      </c>
    </row>
    <row r="687" spans="2:16">
      <c r="B687" s="6">
        <f ca="1">IFERROR(__xludf.DUMMYFUNCTION("""COMPUTED_VALUE"""),2025)</f>
        <v>2025</v>
      </c>
      <c r="C687" s="6">
        <f ca="1">IFERROR(__xludf.DUMMYFUNCTION("""COMPUTED_VALUE"""),5)</f>
        <v>5</v>
      </c>
      <c r="D687" s="6" t="str">
        <f ca="1">IFERROR(__xludf.DUMMYFUNCTION("""COMPUTED_VALUE"""),"NO")</f>
        <v>NO</v>
      </c>
      <c r="E687" s="6" t="str">
        <f ca="1">IFERROR(__xludf.DUMMYFUNCTION("""COMPUTED_VALUE"""),"Murcia")</f>
        <v>Murcia</v>
      </c>
      <c r="F687" s="16">
        <f ca="1">IFERROR(__xludf.DUMMYFUNCTION("""COMPUTED_VALUE"""),45790)</f>
        <v>45790</v>
      </c>
      <c r="G687" s="16">
        <f ca="1">IFERROR(__xludf.DUMMYFUNCTION("""COMPUTED_VALUE"""),45733)</f>
        <v>45733</v>
      </c>
      <c r="H687" s="6" t="str">
        <f ca="1">IFERROR(__xludf.DUMMYFUNCTION("""COMPUTED_VALUE"""),"Murcia")</f>
        <v>Murcia</v>
      </c>
      <c r="I687" s="6" t="str">
        <f ca="1">IFERROR(__xludf.DUMMYFUNCTION("""COMPUTED_VALUE"""),"C202532516432291")</f>
        <v>C202532516432291</v>
      </c>
      <c r="J687" s="6" t="str">
        <f ca="1">IFERROR(__xludf.DUMMYFUNCTION("""COMPUTED_VALUE"""),"SONIA MARTINEZ MARTINEZ")</f>
        <v>SONIA MARTINEZ MARTINEZ</v>
      </c>
      <c r="K687" s="6">
        <f ca="1">IFERROR(__xludf.DUMMYFUNCTION("""COMPUTED_VALUE"""),2)</f>
        <v>2</v>
      </c>
      <c r="L687" s="139">
        <f ca="1">IFERROR(__xludf.DUMMYFUNCTION("""COMPUTED_VALUE"""),4000)</f>
        <v>4000</v>
      </c>
      <c r="M687" s="6" t="str">
        <f ca="1">IFERROR(__xludf.DUMMYFUNCTION("""COMPUTED_VALUE"""),"03 ORL")</f>
        <v>03 ORL</v>
      </c>
      <c r="N687" s="6" t="str">
        <f ca="1">IFERROR(__xludf.DUMMYFUNCTION("""COMPUTED_VALUE"""),"22 AUDIOMETRIA CLINICA")</f>
        <v>22 AUDIOMETRIA CLINICA</v>
      </c>
      <c r="O687" s="6" t="str">
        <f ca="1">IFERROR(__xludf.DUMMYFUNCTION("""COMPUTED_VALUE"""),"Dra, María Agustina Sevilla García")</f>
        <v>Dra, María Agustina Sevilla García</v>
      </c>
      <c r="P687" s="6" t="str">
        <f ca="1">IFERROR(__xludf.DUMMYFUNCTION("""COMPUTED_VALUE"""),"Iván Sánchez (Levante Y Albacete)")</f>
        <v>Iván Sánchez (Levante Y Albacete)</v>
      </c>
    </row>
    <row r="688" spans="2:16">
      <c r="B688" s="6">
        <f ca="1">IFERROR(__xludf.DUMMYFUNCTION("""COMPUTED_VALUE"""),2025)</f>
        <v>2025</v>
      </c>
      <c r="C688" s="6">
        <f ca="1">IFERROR(__xludf.DUMMYFUNCTION("""COMPUTED_VALUE"""),5)</f>
        <v>5</v>
      </c>
      <c r="D688" s="6" t="str">
        <f ca="1">IFERROR(__xludf.DUMMYFUNCTION("""COMPUTED_VALUE"""),"NO")</f>
        <v>NO</v>
      </c>
      <c r="E688" s="6" t="str">
        <f ca="1">IFERROR(__xludf.DUMMYFUNCTION("""COMPUTED_VALUE"""),"Orihuela")</f>
        <v>Orihuela</v>
      </c>
      <c r="F688" s="16">
        <f ca="1">IFERROR(__xludf.DUMMYFUNCTION("""COMPUTED_VALUE"""),45791)</f>
        <v>45791</v>
      </c>
      <c r="G688" s="16">
        <f ca="1">IFERROR(__xludf.DUMMYFUNCTION("""COMPUTED_VALUE"""),45755)</f>
        <v>45755</v>
      </c>
      <c r="H688" s="6" t="str">
        <f ca="1">IFERROR(__xludf.DUMMYFUNCTION("""COMPUTED_VALUE"""),"La Zenia")</f>
        <v>La Zenia</v>
      </c>
      <c r="I688" s="6" t="str">
        <f ca="1">IFERROR(__xludf.DUMMYFUNCTION("""COMPUTED_VALUE"""),"C202541015594666")</f>
        <v>C202541015594666</v>
      </c>
      <c r="J688" s="6" t="str">
        <f ca="1">IFERROR(__xludf.DUMMYFUNCTION("""COMPUTED_VALUE"""),"ELSA IRENE SANDBERG")</f>
        <v>ELSA IRENE SANDBERG</v>
      </c>
      <c r="K688" s="6">
        <f ca="1">IFERROR(__xludf.DUMMYFUNCTION("""COMPUTED_VALUE"""),1)</f>
        <v>1</v>
      </c>
      <c r="L688" s="139">
        <f ca="1">IFERROR(__xludf.DUMMYFUNCTION("""COMPUTED_VALUE"""),2400)</f>
        <v>2400</v>
      </c>
      <c r="M688" s="6" t="str">
        <f ca="1">IFERROR(__xludf.DUMMYFUNCTION("""COMPUTED_VALUE"""),"03 ORL")</f>
        <v>03 ORL</v>
      </c>
      <c r="N688" s="6" t="str">
        <f ca="1">IFERROR(__xludf.DUMMYFUNCTION("""COMPUTED_VALUE"""),"06 ORL")</f>
        <v>06 ORL</v>
      </c>
      <c r="O688" s="6" t="str">
        <f ca="1">IFERROR(__xludf.DUMMYFUNCTION("""COMPUTED_VALUE"""),"Dra, Oreana Carolina Camacaro González")</f>
        <v>Dra, Oreana Carolina Camacaro González</v>
      </c>
      <c r="P688" s="6" t="str">
        <f ca="1">IFERROR(__xludf.DUMMYFUNCTION("""COMPUTED_VALUE"""),"Iván Sánchez (Levante Y Albacete)")</f>
        <v>Iván Sánchez (Levante Y Albacete)</v>
      </c>
    </row>
    <row r="689" spans="2:16">
      <c r="B689" s="6">
        <f ca="1">IFERROR(__xludf.DUMMYFUNCTION("""COMPUTED_VALUE"""),2025)</f>
        <v>2025</v>
      </c>
      <c r="C689" s="6">
        <f ca="1">IFERROR(__xludf.DUMMYFUNCTION("""COMPUTED_VALUE"""),5)</f>
        <v>5</v>
      </c>
      <c r="D689" s="6" t="str">
        <f ca="1">IFERROR(__xludf.DUMMYFUNCTION("""COMPUTED_VALUE"""),"NO")</f>
        <v>NO</v>
      </c>
      <c r="E689" s="6" t="str">
        <f ca="1">IFERROR(__xludf.DUMMYFUNCTION("""COMPUTED_VALUE"""),"Ourense")</f>
        <v>Ourense</v>
      </c>
      <c r="F689" s="16">
        <f ca="1">IFERROR(__xludf.DUMMYFUNCTION("""COMPUTED_VALUE"""),45800)</f>
        <v>45800</v>
      </c>
      <c r="G689" s="16">
        <f ca="1">IFERROR(__xludf.DUMMYFUNCTION("""COMPUTED_VALUE"""),45770)</f>
        <v>45770</v>
      </c>
      <c r="H689" s="6" t="str">
        <f ca="1">IFERROR(__xludf.DUMMYFUNCTION("""COMPUTED_VALUE"""),"Orense")</f>
        <v>Orense</v>
      </c>
      <c r="I689" s="6" t="str">
        <f ca="1">IFERROR(__xludf.DUMMYFUNCTION("""COMPUTED_VALUE"""),"C202543016459972")</f>
        <v>C202543016459972</v>
      </c>
      <c r="J689" s="6" t="str">
        <f ca="1">IFERROR(__xludf.DUMMYFUNCTION("""COMPUTED_VALUE"""),"CARMEN PIÑIERO CONDE")</f>
        <v>CARMEN PIÑIERO CONDE</v>
      </c>
      <c r="K689" s="6">
        <f ca="1">IFERROR(__xludf.DUMMYFUNCTION("""COMPUTED_VALUE"""),2)</f>
        <v>2</v>
      </c>
      <c r="L689" s="139">
        <f ca="1">IFERROR(__xludf.DUMMYFUNCTION("""COMPUTED_VALUE"""),2743.77)</f>
        <v>2743.77</v>
      </c>
      <c r="M689" s="6" t="str">
        <f ca="1">IFERROR(__xludf.DUMMYFUNCTION("""COMPUTED_VALUE"""),"03 ORL")</f>
        <v>03 ORL</v>
      </c>
      <c r="N689" s="6" t="str">
        <f ca="1">IFERROR(__xludf.DUMMYFUNCTION("""COMPUTED_VALUE"""),"06 ORL")</f>
        <v>06 ORL</v>
      </c>
      <c r="O689" s="6" t="str">
        <f ca="1">IFERROR(__xludf.DUMMYFUNCTION("""COMPUTED_VALUE"""),"Dra, María Rey Marcos")</f>
        <v>Dra, María Rey Marcos</v>
      </c>
      <c r="P689" s="6" t="str">
        <f ca="1">IFERROR(__xludf.DUMMYFUNCTION("""COMPUTED_VALUE"""),"Roberto Pereira (Galicia)")</f>
        <v>Roberto Pereira (Galicia)</v>
      </c>
    </row>
    <row r="690" spans="2:16">
      <c r="B690" s="6">
        <f ca="1">IFERROR(__xludf.DUMMYFUNCTION("""COMPUTED_VALUE"""),2025)</f>
        <v>2025</v>
      </c>
      <c r="C690" s="6">
        <f ca="1">IFERROR(__xludf.DUMMYFUNCTION("""COMPUTED_VALUE"""),5)</f>
        <v>5</v>
      </c>
      <c r="D690" s="6" t="str">
        <f ca="1">IFERROR(__xludf.DUMMYFUNCTION("""COMPUTED_VALUE"""),"NO")</f>
        <v>NO</v>
      </c>
      <c r="E690" s="6" t="str">
        <f ca="1">IFERROR(__xludf.DUMMYFUNCTION("""COMPUTED_VALUE"""),"Ourense")</f>
        <v>Ourense</v>
      </c>
      <c r="F690" s="16">
        <f ca="1">IFERROR(__xludf.DUMMYFUNCTION("""COMPUTED_VALUE"""),45782)</f>
        <v>45782</v>
      </c>
      <c r="G690" s="16">
        <f ca="1">IFERROR(__xludf.DUMMYFUNCTION("""COMPUTED_VALUE"""),45750)</f>
        <v>45750</v>
      </c>
      <c r="H690" s="6" t="str">
        <f ca="1">IFERROR(__xludf.DUMMYFUNCTION("""COMPUTED_VALUE"""),"Orense")</f>
        <v>Orense</v>
      </c>
      <c r="I690" s="6" t="str">
        <f ca="1">IFERROR(__xludf.DUMMYFUNCTION("""COMPUTED_VALUE"""),"C20254810541824")</f>
        <v>C20254810541824</v>
      </c>
      <c r="J690" s="6" t="str">
        <f ca="1">IFERROR(__xludf.DUMMYFUNCTION("""COMPUTED_VALUE"""),"DELMIRO CABIDO LEDO")</f>
        <v>DELMIRO CABIDO LEDO</v>
      </c>
      <c r="K690" s="6">
        <f ca="1">IFERROR(__xludf.DUMMYFUNCTION("""COMPUTED_VALUE"""),2)</f>
        <v>2</v>
      </c>
      <c r="L690" s="139">
        <f ca="1">IFERROR(__xludf.DUMMYFUNCTION("""COMPUTED_VALUE"""),2888.18)</f>
        <v>2888.18</v>
      </c>
      <c r="M690" s="6" t="str">
        <f ca="1">IFERROR(__xludf.DUMMYFUNCTION("""COMPUTED_VALUE"""),"03 ORL")</f>
        <v>03 ORL</v>
      </c>
      <c r="N690" s="6" t="str">
        <f ca="1">IFERROR(__xludf.DUMMYFUNCTION("""COMPUTED_VALUE"""),"06 ORL")</f>
        <v>06 ORL</v>
      </c>
      <c r="O690" s="6" t="str">
        <f ca="1">IFERROR(__xludf.DUMMYFUNCTION("""COMPUTED_VALUE"""),"Dra, Socorro Tedín García")</f>
        <v>Dra, Socorro Tedín García</v>
      </c>
      <c r="P690" s="6" t="str">
        <f ca="1">IFERROR(__xludf.DUMMYFUNCTION("""COMPUTED_VALUE"""),"Roberto Pereira (Galicia)")</f>
        <v>Roberto Pereira (Galicia)</v>
      </c>
    </row>
    <row r="691" spans="2:16">
      <c r="B691" s="6">
        <f ca="1">IFERROR(__xludf.DUMMYFUNCTION("""COMPUTED_VALUE"""),2025)</f>
        <v>2025</v>
      </c>
      <c r="C691" s="6">
        <f ca="1">IFERROR(__xludf.DUMMYFUNCTION("""COMPUTED_VALUE"""),5)</f>
        <v>5</v>
      </c>
      <c r="D691" s="6" t="str">
        <f ca="1">IFERROR(__xludf.DUMMYFUNCTION("""COMPUTED_VALUE"""),"NO")</f>
        <v>NO</v>
      </c>
      <c r="E691" s="6" t="str">
        <f ca="1">IFERROR(__xludf.DUMMYFUNCTION("""COMPUTED_VALUE"""),"Ourense")</f>
        <v>Ourense</v>
      </c>
      <c r="F691" s="16">
        <f ca="1">IFERROR(__xludf.DUMMYFUNCTION("""COMPUTED_VALUE"""),45805)</f>
        <v>45805</v>
      </c>
      <c r="G691" s="16">
        <f ca="1">IFERROR(__xludf.DUMMYFUNCTION("""COMPUTED_VALUE"""),45783)</f>
        <v>45783</v>
      </c>
      <c r="H691" s="6" t="str">
        <f ca="1">IFERROR(__xludf.DUMMYFUNCTION("""COMPUTED_VALUE"""),"Orense")</f>
        <v>Orense</v>
      </c>
      <c r="I691" s="6" t="str">
        <f ca="1">IFERROR(__xludf.DUMMYFUNCTION("""COMPUTED_VALUE"""),"C2025591271264")</f>
        <v>C2025591271264</v>
      </c>
      <c r="J691" s="6" t="str">
        <f ca="1">IFERROR(__xludf.DUMMYFUNCTION("""COMPUTED_VALUE"""),"FERNANDO BLANCO GONZALEZ")</f>
        <v>FERNANDO BLANCO GONZALEZ</v>
      </c>
      <c r="K691" s="6">
        <f ca="1">IFERROR(__xludf.DUMMYFUNCTION("""COMPUTED_VALUE"""),2)</f>
        <v>2</v>
      </c>
      <c r="L691" s="139">
        <f ca="1">IFERROR(__xludf.DUMMYFUNCTION("""COMPUTED_VALUE"""),4000)</f>
        <v>4000</v>
      </c>
      <c r="M691" s="6" t="str">
        <f ca="1">IFERROR(__xludf.DUMMYFUNCTION("""COMPUTED_VALUE"""),"03 ORL")</f>
        <v>03 ORL</v>
      </c>
      <c r="N691" s="6" t="str">
        <f ca="1">IFERROR(__xludf.DUMMYFUNCTION("""COMPUTED_VALUE"""),"06 ORL")</f>
        <v>06 ORL</v>
      </c>
      <c r="O691" s="6" t="str">
        <f ca="1">IFERROR(__xludf.DUMMYFUNCTION("""COMPUTED_VALUE"""),"Dra, María Rey Marcos")</f>
        <v>Dra, María Rey Marcos</v>
      </c>
      <c r="P691" s="6" t="str">
        <f ca="1">IFERROR(__xludf.DUMMYFUNCTION("""COMPUTED_VALUE"""),"Roberto Pereira (Galicia)")</f>
        <v>Roberto Pereira (Galicia)</v>
      </c>
    </row>
    <row r="692" spans="2:16">
      <c r="B692" s="6">
        <f ca="1">IFERROR(__xludf.DUMMYFUNCTION("""COMPUTED_VALUE"""),2025)</f>
        <v>2025</v>
      </c>
      <c r="C692" s="6">
        <f ca="1">IFERROR(__xludf.DUMMYFUNCTION("""COMPUTED_VALUE"""),5)</f>
        <v>5</v>
      </c>
      <c r="D692" s="6" t="str">
        <f ca="1">IFERROR(__xludf.DUMMYFUNCTION("""COMPUTED_VALUE"""),"NO")</f>
        <v>NO</v>
      </c>
      <c r="E692" s="6" t="str">
        <f ca="1">IFERROR(__xludf.DUMMYFUNCTION("""COMPUTED_VALUE"""),"Ourense")</f>
        <v>Ourense</v>
      </c>
      <c r="F692" s="16">
        <f ca="1">IFERROR(__xludf.DUMMYFUNCTION("""COMPUTED_VALUE"""),45791)</f>
        <v>45791</v>
      </c>
      <c r="G692" s="16">
        <f ca="1">IFERROR(__xludf.DUMMYFUNCTION("""COMPUTED_VALUE"""),45750)</f>
        <v>45750</v>
      </c>
      <c r="H692" s="6" t="str">
        <f ca="1">IFERROR(__xludf.DUMMYFUNCTION("""COMPUTED_VALUE"""),"Orense")</f>
        <v>Orense</v>
      </c>
      <c r="I692" s="6" t="str">
        <f ca="1">IFERROR(__xludf.DUMMYFUNCTION("""COMPUTED_VALUE"""),"C20254715511355")</f>
        <v>C20254715511355</v>
      </c>
      <c r="J692" s="6" t="str">
        <f ca="1">IFERROR(__xludf.DUMMYFUNCTION("""COMPUTED_VALUE"""),"JULIO FERNANDEZ RAPELA")</f>
        <v>JULIO FERNANDEZ RAPELA</v>
      </c>
      <c r="K692" s="6">
        <f ca="1">IFERROR(__xludf.DUMMYFUNCTION("""COMPUTED_VALUE"""),1)</f>
        <v>1</v>
      </c>
      <c r="L692" s="139">
        <f ca="1">IFERROR(__xludf.DUMMYFUNCTION("""COMPUTED_VALUE"""),2226.36)</f>
        <v>2226.36</v>
      </c>
      <c r="M692" s="6" t="str">
        <f ca="1">IFERROR(__xludf.DUMMYFUNCTION("""COMPUTED_VALUE"""),"03 ORL")</f>
        <v>03 ORL</v>
      </c>
      <c r="N692" s="6" t="str">
        <f ca="1">IFERROR(__xludf.DUMMYFUNCTION("""COMPUTED_VALUE"""),"06 ORL")</f>
        <v>06 ORL</v>
      </c>
      <c r="O692" s="6" t="str">
        <f ca="1">IFERROR(__xludf.DUMMYFUNCTION("""COMPUTED_VALUE"""),"Dr, Mohamed Al Rifal Al Masti")</f>
        <v>Dr, Mohamed Al Rifal Al Masti</v>
      </c>
      <c r="P692" s="6" t="str">
        <f ca="1">IFERROR(__xludf.DUMMYFUNCTION("""COMPUTED_VALUE"""),"Roberto Pereira (Galicia)")</f>
        <v>Roberto Pereira (Galicia)</v>
      </c>
    </row>
    <row r="693" spans="2:16">
      <c r="B693" s="6">
        <f ca="1">IFERROR(__xludf.DUMMYFUNCTION("""COMPUTED_VALUE"""),2025)</f>
        <v>2025</v>
      </c>
      <c r="C693" s="6">
        <f ca="1">IFERROR(__xludf.DUMMYFUNCTION("""COMPUTED_VALUE"""),5)</f>
        <v>5</v>
      </c>
      <c r="D693" s="6" t="str">
        <f ca="1">IFERROR(__xludf.DUMMYFUNCTION("""COMPUTED_VALUE"""),"NO")</f>
        <v>NO</v>
      </c>
      <c r="E693" s="6" t="str">
        <f ca="1">IFERROR(__xludf.DUMMYFUNCTION("""COMPUTED_VALUE"""),"Ourense")</f>
        <v>Ourense</v>
      </c>
      <c r="F693" s="16">
        <f ca="1">IFERROR(__xludf.DUMMYFUNCTION("""COMPUTED_VALUE"""),45784)</f>
        <v>45784</v>
      </c>
      <c r="G693" s="16">
        <f ca="1">IFERROR(__xludf.DUMMYFUNCTION("""COMPUTED_VALUE"""),45726)</f>
        <v>45726</v>
      </c>
      <c r="H693" s="6" t="str">
        <f ca="1">IFERROR(__xludf.DUMMYFUNCTION("""COMPUTED_VALUE"""),"Orense")</f>
        <v>Orense</v>
      </c>
      <c r="I693" s="6" t="str">
        <f ca="1">IFERROR(__xludf.DUMMYFUNCTION("""COMPUTED_VALUE"""),"C20253141012518")</f>
        <v>C20253141012518</v>
      </c>
      <c r="J693" s="6" t="str">
        <f ca="1">IFERROR(__xludf.DUMMYFUNCTION("""COMPUTED_VALUE"""),"TERESA ROMERO VASQUEZ")</f>
        <v>TERESA ROMERO VASQUEZ</v>
      </c>
      <c r="K693" s="6">
        <f ca="1">IFERROR(__xludf.DUMMYFUNCTION("""COMPUTED_VALUE"""),2)</f>
        <v>2</v>
      </c>
      <c r="L693" s="139">
        <f ca="1">IFERROR(__xludf.DUMMYFUNCTION("""COMPUTED_VALUE"""),2888.18)</f>
        <v>2888.18</v>
      </c>
      <c r="M693" s="6" t="str">
        <f ca="1">IFERROR(__xludf.DUMMYFUNCTION("""COMPUTED_VALUE"""),"03 ORL")</f>
        <v>03 ORL</v>
      </c>
      <c r="N693" s="6" t="str">
        <f ca="1">IFERROR(__xludf.DUMMYFUNCTION("""COMPUTED_VALUE"""),"06 ORL")</f>
        <v>06 ORL</v>
      </c>
      <c r="O693" s="6" t="str">
        <f ca="1">IFERROR(__xludf.DUMMYFUNCTION("""COMPUTED_VALUE"""),"Dra, María Rey Marcos")</f>
        <v>Dra, María Rey Marcos</v>
      </c>
      <c r="P693" s="6" t="str">
        <f ca="1">IFERROR(__xludf.DUMMYFUNCTION("""COMPUTED_VALUE"""),"Roberto Pereira (Galicia)")</f>
        <v>Roberto Pereira (Galicia)</v>
      </c>
    </row>
    <row r="694" spans="2:16">
      <c r="B694" s="6">
        <f ca="1">IFERROR(__xludf.DUMMYFUNCTION("""COMPUTED_VALUE"""),2025)</f>
        <v>2025</v>
      </c>
      <c r="C694" s="6">
        <f ca="1">IFERROR(__xludf.DUMMYFUNCTION("""COMPUTED_VALUE"""),5)</f>
        <v>5</v>
      </c>
      <c r="D694" s="6" t="str">
        <f ca="1">IFERROR(__xludf.DUMMYFUNCTION("""COMPUTED_VALUE"""),"NO")</f>
        <v>NO</v>
      </c>
      <c r="E694" s="6" t="str">
        <f ca="1">IFERROR(__xludf.DUMMYFUNCTION("""COMPUTED_VALUE"""),"Palencia")</f>
        <v>Palencia</v>
      </c>
      <c r="F694" s="16">
        <f ca="1">IFERROR(__xludf.DUMMYFUNCTION("""COMPUTED_VALUE"""),45793)</f>
        <v>45793</v>
      </c>
      <c r="G694" s="16">
        <f ca="1">IFERROR(__xludf.DUMMYFUNCTION("""COMPUTED_VALUE"""),45712)</f>
        <v>45712</v>
      </c>
      <c r="H694" s="6" t="str">
        <f ca="1">IFERROR(__xludf.DUMMYFUNCTION("""COMPUTED_VALUE"""),"Palencia")</f>
        <v>Palencia</v>
      </c>
      <c r="I694" s="6" t="str">
        <f ca="1">IFERROR(__xludf.DUMMYFUNCTION("""COMPUTED_VALUE"""),"C2025410112041214")</f>
        <v>C2025410112041214</v>
      </c>
      <c r="J694" s="6" t="str">
        <f ca="1">IFERROR(__xludf.DUMMYFUNCTION("""COMPUTED_VALUE"""),"EMILIANA RAYACES CURIEL")</f>
        <v>EMILIANA RAYACES CURIEL</v>
      </c>
      <c r="K694" s="6">
        <f ca="1">IFERROR(__xludf.DUMMYFUNCTION("""COMPUTED_VALUE"""),1)</f>
        <v>1</v>
      </c>
      <c r="L694" s="139">
        <f ca="1">IFERROR(__xludf.DUMMYFUNCTION("""COMPUTED_VALUE"""),1727.88)</f>
        <v>1727.88</v>
      </c>
      <c r="M694" s="6" t="str">
        <f ca="1">IFERROR(__xludf.DUMMYFUNCTION("""COMPUTED_VALUE"""),"03 ORL")</f>
        <v>03 ORL</v>
      </c>
      <c r="N694" s="6" t="str">
        <f ca="1">IFERROR(__xludf.DUMMYFUNCTION("""COMPUTED_VALUE"""),"06 ORL")</f>
        <v>06 ORL</v>
      </c>
      <c r="O694" s="6" t="str">
        <f ca="1">IFERROR(__xludf.DUMMYFUNCTION("""COMPUTED_VALUE"""),"No recuerda ORL")</f>
        <v>No recuerda ORL</v>
      </c>
      <c r="P694" s="6" t="str">
        <f ca="1">IFERROR(__xludf.DUMMYFUNCTION("""COMPUTED_VALUE"""),"Patricia Solache (Castilla y León)")</f>
        <v>Patricia Solache (Castilla y León)</v>
      </c>
    </row>
    <row r="695" spans="2:16">
      <c r="B695" s="6">
        <f ca="1">IFERROR(__xludf.DUMMYFUNCTION("""COMPUTED_VALUE"""),2025)</f>
        <v>2025</v>
      </c>
      <c r="C695" s="6">
        <f ca="1">IFERROR(__xludf.DUMMYFUNCTION("""COMPUTED_VALUE"""),5)</f>
        <v>5</v>
      </c>
      <c r="D695" s="6" t="str">
        <f ca="1">IFERROR(__xludf.DUMMYFUNCTION("""COMPUTED_VALUE"""),"NO")</f>
        <v>NO</v>
      </c>
      <c r="E695" s="6" t="str">
        <f ca="1">IFERROR(__xludf.DUMMYFUNCTION("""COMPUTED_VALUE"""),"San Javier")</f>
        <v>San Javier</v>
      </c>
      <c r="F695" s="16">
        <f ca="1">IFERROR(__xludf.DUMMYFUNCTION("""COMPUTED_VALUE"""),45807)</f>
        <v>45807</v>
      </c>
      <c r="G695" s="16">
        <f ca="1">IFERROR(__xludf.DUMMYFUNCTION("""COMPUTED_VALUE"""),45785)</f>
        <v>45785</v>
      </c>
      <c r="H695" s="6" t="str">
        <f ca="1">IFERROR(__xludf.DUMMYFUNCTION("""COMPUTED_VALUE"""),"San Javier")</f>
        <v>San Javier</v>
      </c>
      <c r="I695" s="6" t="str">
        <f ca="1">IFERROR(__xludf.DUMMYFUNCTION("""COMPUTED_VALUE"""),"C202551411855147")</f>
        <v>C202551411855147</v>
      </c>
      <c r="J695" s="6" t="str">
        <f ca="1">IFERROR(__xludf.DUMMYFUNCTION("""COMPUTED_VALUE"""),"ANTONIA MARIA TARRAGA HERNANDEZ")</f>
        <v>ANTONIA MARIA TARRAGA HERNANDEZ</v>
      </c>
      <c r="K695" s="6">
        <f ca="1">IFERROR(__xludf.DUMMYFUNCTION("""COMPUTED_VALUE"""),1)</f>
        <v>1</v>
      </c>
      <c r="L695" s="139">
        <f ca="1">IFERROR(__xludf.DUMMYFUNCTION("""COMPUTED_VALUE"""),2226.36)</f>
        <v>2226.36</v>
      </c>
      <c r="M695" s="6" t="str">
        <f ca="1">IFERROR(__xludf.DUMMYFUNCTION("""COMPUTED_VALUE"""),"03 ORL")</f>
        <v>03 ORL</v>
      </c>
      <c r="N695" s="6" t="str">
        <f ca="1">IFERROR(__xludf.DUMMYFUNCTION("""COMPUTED_VALUE"""),"06 ORL")</f>
        <v>06 ORL</v>
      </c>
      <c r="O695" s="6" t="str">
        <f ca="1">IFERROR(__xludf.DUMMYFUNCTION("""COMPUTED_VALUE"""),"Dra, María Teresa Almela Rojo")</f>
        <v>Dra, María Teresa Almela Rojo</v>
      </c>
      <c r="P695" s="6" t="str">
        <f ca="1">IFERROR(__xludf.DUMMYFUNCTION("""COMPUTED_VALUE"""),"Iván Sánchez (Levante Y Albacete)")</f>
        <v>Iván Sánchez (Levante Y Albacete)</v>
      </c>
    </row>
    <row r="696" spans="2:16">
      <c r="B696" s="6">
        <f ca="1">IFERROR(__xludf.DUMMYFUNCTION("""COMPUTED_VALUE"""),2025)</f>
        <v>2025</v>
      </c>
      <c r="C696" s="6">
        <f ca="1">IFERROR(__xludf.DUMMYFUNCTION("""COMPUTED_VALUE"""),5)</f>
        <v>5</v>
      </c>
      <c r="D696" s="6" t="str">
        <f ca="1">IFERROR(__xludf.DUMMYFUNCTION("""COMPUTED_VALUE"""),"NO")</f>
        <v>NO</v>
      </c>
      <c r="E696" s="6" t="str">
        <f ca="1">IFERROR(__xludf.DUMMYFUNCTION("""COMPUTED_VALUE"""),"San Javier")</f>
        <v>San Javier</v>
      </c>
      <c r="F696" s="16">
        <f ca="1">IFERROR(__xludf.DUMMYFUNCTION("""COMPUTED_VALUE"""),45803)</f>
        <v>45803</v>
      </c>
      <c r="G696" s="16">
        <f ca="1">IFERROR(__xludf.DUMMYFUNCTION("""COMPUTED_VALUE"""),45776)</f>
        <v>45776</v>
      </c>
      <c r="H696" s="6" t="str">
        <f ca="1">IFERROR(__xludf.DUMMYFUNCTION("""COMPUTED_VALUE"""),"San Javier")</f>
        <v>San Javier</v>
      </c>
      <c r="I696" s="6" t="str">
        <f ca="1">IFERROR(__xludf.DUMMYFUNCTION("""COMPUTED_VALUE"""),"C20255811275847")</f>
        <v>C20255811275847</v>
      </c>
      <c r="J696" s="6" t="str">
        <f ca="1">IFERROR(__xludf.DUMMYFUNCTION("""COMPUTED_VALUE"""),"MARIA ANGELES SOTO GALINDO")</f>
        <v>MARIA ANGELES SOTO GALINDO</v>
      </c>
      <c r="K696" s="6">
        <f ca="1">IFERROR(__xludf.DUMMYFUNCTION("""COMPUTED_VALUE"""),1)</f>
        <v>1</v>
      </c>
      <c r="L696" s="139">
        <f ca="1">IFERROR(__xludf.DUMMYFUNCTION("""COMPUTED_VALUE"""),2400)</f>
        <v>2400</v>
      </c>
      <c r="M696" s="6" t="str">
        <f ca="1">IFERROR(__xludf.DUMMYFUNCTION("""COMPUTED_VALUE"""),"03 ORL")</f>
        <v>03 ORL</v>
      </c>
      <c r="N696" s="6" t="str">
        <f ca="1">IFERROR(__xludf.DUMMYFUNCTION("""COMPUTED_VALUE"""),"06 ORL")</f>
        <v>06 ORL</v>
      </c>
      <c r="O696" s="6" t="str">
        <f ca="1">IFERROR(__xludf.DUMMYFUNCTION("""COMPUTED_VALUE"""),"Dr, Rubén Moreno Arrones")</f>
        <v>Dr, Rubén Moreno Arrones</v>
      </c>
      <c r="P696" s="6" t="str">
        <f ca="1">IFERROR(__xludf.DUMMYFUNCTION("""COMPUTED_VALUE"""),"Iván Sánchez (Levante Y Albacete)")</f>
        <v>Iván Sánchez (Levante Y Albacete)</v>
      </c>
    </row>
    <row r="697" spans="2:16">
      <c r="B697" s="6">
        <f ca="1">IFERROR(__xludf.DUMMYFUNCTION("""COMPUTED_VALUE"""),2025)</f>
        <v>2025</v>
      </c>
      <c r="C697" s="6">
        <f ca="1">IFERROR(__xludf.DUMMYFUNCTION("""COMPUTED_VALUE"""),5)</f>
        <v>5</v>
      </c>
      <c r="D697" s="6" t="str">
        <f ca="1">IFERROR(__xludf.DUMMYFUNCTION("""COMPUTED_VALUE"""),"NO")</f>
        <v>NO</v>
      </c>
      <c r="E697" s="6" t="str">
        <f ca="1">IFERROR(__xludf.DUMMYFUNCTION("""COMPUTED_VALUE"""),"Santiago de Compostela")</f>
        <v>Santiago de Compostela</v>
      </c>
      <c r="F697" s="16">
        <f ca="1">IFERROR(__xludf.DUMMYFUNCTION("""COMPUTED_VALUE"""),45807)</f>
        <v>45807</v>
      </c>
      <c r="G697" s="16">
        <f ca="1">IFERROR(__xludf.DUMMYFUNCTION("""COMPUTED_VALUE"""),45789)</f>
        <v>45789</v>
      </c>
      <c r="H697" s="6" t="str">
        <f ca="1">IFERROR(__xludf.DUMMYFUNCTION("""COMPUTED_VALUE"""),"Santiago")</f>
        <v>Santiago</v>
      </c>
      <c r="I697" s="6" t="str">
        <f ca="1">IFERROR(__xludf.DUMMYFUNCTION("""COMPUTED_VALUE"""),"C2025514104716583")</f>
        <v>C2025514104716583</v>
      </c>
      <c r="J697" s="6" t="str">
        <f ca="1">IFERROR(__xludf.DUMMYFUNCTION("""COMPUTED_VALUE"""),"XOSÉ SIGNIORINI PEREZ")</f>
        <v>XOSÉ SIGNIORINI PEREZ</v>
      </c>
      <c r="K697" s="6">
        <f ca="1">IFERROR(__xludf.DUMMYFUNCTION("""COMPUTED_VALUE"""),2)</f>
        <v>2</v>
      </c>
      <c r="L697" s="139">
        <f ca="1">IFERROR(__xludf.DUMMYFUNCTION("""COMPUTED_VALUE"""),4400)</f>
        <v>4400</v>
      </c>
      <c r="M697" s="6" t="str">
        <f ca="1">IFERROR(__xludf.DUMMYFUNCTION("""COMPUTED_VALUE"""),"03 ORL")</f>
        <v>03 ORL</v>
      </c>
      <c r="N697" s="6" t="str">
        <f ca="1">IFERROR(__xludf.DUMMYFUNCTION("""COMPUTED_VALUE"""),"06 ORL")</f>
        <v>06 ORL</v>
      </c>
      <c r="O697" s="6" t="str">
        <f ca="1">IFERROR(__xludf.DUMMYFUNCTION("""COMPUTED_VALUE"""),"Dr, Miguel Mayo Yáñez")</f>
        <v>Dr, Miguel Mayo Yáñez</v>
      </c>
      <c r="P697" s="6" t="str">
        <f ca="1">IFERROR(__xludf.DUMMYFUNCTION("""COMPUTED_VALUE"""),"Roberto Pereira (Galicia)")</f>
        <v>Roberto Pereira (Galicia)</v>
      </c>
    </row>
    <row r="698" spans="2:16">
      <c r="B698" s="6">
        <f ca="1">IFERROR(__xludf.DUMMYFUNCTION("""COMPUTED_VALUE"""),2025)</f>
        <v>2025</v>
      </c>
      <c r="C698" s="6">
        <f ca="1">IFERROR(__xludf.DUMMYFUNCTION("""COMPUTED_VALUE"""),5)</f>
        <v>5</v>
      </c>
      <c r="D698" s="6" t="str">
        <f ca="1">IFERROR(__xludf.DUMMYFUNCTION("""COMPUTED_VALUE"""),"NO")</f>
        <v>NO</v>
      </c>
      <c r="E698" s="6" t="str">
        <f ca="1">IFERROR(__xludf.DUMMYFUNCTION("""COMPUTED_VALUE"""),"Sevilla- Montoto")</f>
        <v>Sevilla- Montoto</v>
      </c>
      <c r="F698" s="16">
        <f ca="1">IFERROR(__xludf.DUMMYFUNCTION("""COMPUTED_VALUE"""),45789)</f>
        <v>45789</v>
      </c>
      <c r="G698" s="16">
        <f ca="1">IFERROR(__xludf.DUMMYFUNCTION("""COMPUTED_VALUE"""),45768)</f>
        <v>45768</v>
      </c>
      <c r="H698" s="6" t="str">
        <f ca="1">IFERROR(__xludf.DUMMYFUNCTION("""COMPUTED_VALUE"""),"Montoto")</f>
        <v>Montoto</v>
      </c>
      <c r="I698" s="6" t="str">
        <f ca="1">IFERROR(__xludf.DUMMYFUNCTION("""COMPUTED_VALUE"""),"C202542511209299")</f>
        <v>C202542511209299</v>
      </c>
      <c r="J698" s="6" t="str">
        <f ca="1">IFERROR(__xludf.DUMMYFUNCTION("""COMPUTED_VALUE"""),"CARMEN PECE HERNANDEZ")</f>
        <v>CARMEN PECE HERNANDEZ</v>
      </c>
      <c r="K698" s="6">
        <f ca="1">IFERROR(__xludf.DUMMYFUNCTION("""COMPUTED_VALUE"""),2)</f>
        <v>2</v>
      </c>
      <c r="L698" s="139">
        <f ca="1">IFERROR(__xludf.DUMMYFUNCTION("""COMPUTED_VALUE"""),2888.18)</f>
        <v>2888.18</v>
      </c>
      <c r="M698" s="6" t="str">
        <f ca="1">IFERROR(__xludf.DUMMYFUNCTION("""COMPUTED_VALUE"""),"03 ORL")</f>
        <v>03 ORL</v>
      </c>
      <c r="N698" s="6" t="str">
        <f ca="1">IFERROR(__xludf.DUMMYFUNCTION("""COMPUTED_VALUE"""),"06 ORL")</f>
        <v>06 ORL</v>
      </c>
      <c r="O698" s="6" t="str">
        <f ca="1">IFERROR(__xludf.DUMMYFUNCTION("""COMPUTED_VALUE"""),"Dra, Paloma Martín Díaz")</f>
        <v>Dra, Paloma Martín Díaz</v>
      </c>
      <c r="P698" s="6" t="str">
        <f ca="1">IFERROR(__xludf.DUMMYFUNCTION("""COMPUTED_VALUE"""),"Luis Alberto Rodríguez (Andalucía y Badajoz)")</f>
        <v>Luis Alberto Rodríguez (Andalucía y Badajoz)</v>
      </c>
    </row>
    <row r="699" spans="2:16">
      <c r="B699" s="6">
        <f ca="1">IFERROR(__xludf.DUMMYFUNCTION("""COMPUTED_VALUE"""),2025)</f>
        <v>2025</v>
      </c>
      <c r="C699" s="6">
        <f ca="1">IFERROR(__xludf.DUMMYFUNCTION("""COMPUTED_VALUE"""),5)</f>
        <v>5</v>
      </c>
      <c r="D699" s="6" t="str">
        <f ca="1">IFERROR(__xludf.DUMMYFUNCTION("""COMPUTED_VALUE"""),"NO")</f>
        <v>NO</v>
      </c>
      <c r="E699" s="6" t="str">
        <f ca="1">IFERROR(__xludf.DUMMYFUNCTION("""COMPUTED_VALUE"""),"Sevilla- Montoto")</f>
        <v>Sevilla- Montoto</v>
      </c>
      <c r="F699" s="16">
        <f ca="1">IFERROR(__xludf.DUMMYFUNCTION("""COMPUTED_VALUE"""),45793)</f>
        <v>45793</v>
      </c>
      <c r="G699" s="16">
        <f ca="1">IFERROR(__xludf.DUMMYFUNCTION("""COMPUTED_VALUE"""),45771)</f>
        <v>45771</v>
      </c>
      <c r="H699" s="6" t="str">
        <f ca="1">IFERROR(__xludf.DUMMYFUNCTION("""COMPUTED_VALUE"""),"Montoto")</f>
        <v>Montoto</v>
      </c>
      <c r="I699" s="6" t="str">
        <f ca="1">IFERROR(__xludf.DUMMYFUNCTION("""COMPUTED_VALUE"""),"C202552105912604")</f>
        <v>C202552105912604</v>
      </c>
      <c r="J699" s="6" t="str">
        <f ca="1">IFERROR(__xludf.DUMMYFUNCTION("""COMPUTED_VALUE"""),"MANUEL CARCELA GARCIA")</f>
        <v>MANUEL CARCELA GARCIA</v>
      </c>
      <c r="K699" s="6">
        <f ca="1">IFERROR(__xludf.DUMMYFUNCTION("""COMPUTED_VALUE"""),2)</f>
        <v>2</v>
      </c>
      <c r="L699" s="139">
        <f ca="1">IFERROR(__xludf.DUMMYFUNCTION("""COMPUTED_VALUE"""),3710)</f>
        <v>3710</v>
      </c>
      <c r="M699" s="6" t="str">
        <f ca="1">IFERROR(__xludf.DUMMYFUNCTION("""COMPUTED_VALUE"""),"03 ORL")</f>
        <v>03 ORL</v>
      </c>
      <c r="N699" s="6" t="str">
        <f ca="1">IFERROR(__xludf.DUMMYFUNCTION("""COMPUTED_VALUE"""),"06 ORL")</f>
        <v>06 ORL</v>
      </c>
      <c r="O699" s="6" t="str">
        <f ca="1">IFERROR(__xludf.DUMMYFUNCTION("""COMPUTED_VALUE"""),"Dra, María Teresa Cervilla Martín")</f>
        <v>Dra, María Teresa Cervilla Martín</v>
      </c>
      <c r="P699" s="6" t="str">
        <f ca="1">IFERROR(__xludf.DUMMYFUNCTION("""COMPUTED_VALUE"""),"Luis Alberto Rodríguez (Andalucía y Badajoz)")</f>
        <v>Luis Alberto Rodríguez (Andalucía y Badajoz)</v>
      </c>
    </row>
    <row r="700" spans="2:16">
      <c r="B700" s="6">
        <f ca="1">IFERROR(__xludf.DUMMYFUNCTION("""COMPUTED_VALUE"""),2025)</f>
        <v>2025</v>
      </c>
      <c r="C700" s="6">
        <f ca="1">IFERROR(__xludf.DUMMYFUNCTION("""COMPUTED_VALUE"""),5)</f>
        <v>5</v>
      </c>
      <c r="D700" s="6" t="str">
        <f ca="1">IFERROR(__xludf.DUMMYFUNCTION("""COMPUTED_VALUE"""),"NO")</f>
        <v>NO</v>
      </c>
      <c r="E700" s="6" t="str">
        <f ca="1">IFERROR(__xludf.DUMMYFUNCTION("""COMPUTED_VALUE"""),"Sevilla- Montoto")</f>
        <v>Sevilla- Montoto</v>
      </c>
      <c r="F700" s="16">
        <f ca="1">IFERROR(__xludf.DUMMYFUNCTION("""COMPUTED_VALUE"""),45803)</f>
        <v>45803</v>
      </c>
      <c r="G700" s="16">
        <f ca="1">IFERROR(__xludf.DUMMYFUNCTION("""COMPUTED_VALUE"""),45771)</f>
        <v>45771</v>
      </c>
      <c r="H700" s="6" t="str">
        <f ca="1">IFERROR(__xludf.DUMMYFUNCTION("""COMPUTED_VALUE"""),"Montoto")</f>
        <v>Montoto</v>
      </c>
      <c r="I700" s="6" t="str">
        <f ca="1">IFERROR(__xludf.DUMMYFUNCTION("""COMPUTED_VALUE"""),"C2025430182246180")</f>
        <v>C2025430182246180</v>
      </c>
      <c r="J700" s="6" t="str">
        <f ca="1">IFERROR(__xludf.DUMMYFUNCTION("""COMPUTED_VALUE"""),"MANUELA CAMPOS DEL CAMPO")</f>
        <v>MANUELA CAMPOS DEL CAMPO</v>
      </c>
      <c r="K700" s="6">
        <f ca="1">IFERROR(__xludf.DUMMYFUNCTION("""COMPUTED_VALUE"""),2)</f>
        <v>2</v>
      </c>
      <c r="L700" s="139">
        <f ca="1">IFERROR(__xludf.DUMMYFUNCTION("""COMPUTED_VALUE"""),3636.36)</f>
        <v>3636.36</v>
      </c>
      <c r="M700" s="6" t="str">
        <f ca="1">IFERROR(__xludf.DUMMYFUNCTION("""COMPUTED_VALUE"""),"03 ORL")</f>
        <v>03 ORL</v>
      </c>
      <c r="N700" s="6" t="str">
        <f ca="1">IFERROR(__xludf.DUMMYFUNCTION("""COMPUTED_VALUE"""),"06 ORL")</f>
        <v>06 ORL</v>
      </c>
      <c r="O700" s="6" t="str">
        <f ca="1">IFERROR(__xludf.DUMMYFUNCTION("""COMPUTED_VALUE"""),"Dra, Rocío Corrales Millán")</f>
        <v>Dra, Rocío Corrales Millán</v>
      </c>
      <c r="P700" s="6" t="str">
        <f ca="1">IFERROR(__xludf.DUMMYFUNCTION("""COMPUTED_VALUE"""),"Luis Alberto Rodríguez (Andalucía y Badajoz)")</f>
        <v>Luis Alberto Rodríguez (Andalucía y Badajoz)</v>
      </c>
    </row>
    <row r="701" spans="2:16">
      <c r="B701" s="6">
        <f ca="1">IFERROR(__xludf.DUMMYFUNCTION("""COMPUTED_VALUE"""),2025)</f>
        <v>2025</v>
      </c>
      <c r="C701" s="6">
        <f ca="1">IFERROR(__xludf.DUMMYFUNCTION("""COMPUTED_VALUE"""),5)</f>
        <v>5</v>
      </c>
      <c r="D701" s="6" t="str">
        <f ca="1">IFERROR(__xludf.DUMMYFUNCTION("""COMPUTED_VALUE"""),"NO")</f>
        <v>NO</v>
      </c>
      <c r="E701" s="6" t="str">
        <f ca="1">IFERROR(__xludf.DUMMYFUNCTION("""COMPUTED_VALUE"""),"Sevilla- Montoto")</f>
        <v>Sevilla- Montoto</v>
      </c>
      <c r="F701" s="16">
        <f ca="1">IFERROR(__xludf.DUMMYFUNCTION("""COMPUTED_VALUE"""),45793)</f>
        <v>45793</v>
      </c>
      <c r="G701" s="16">
        <f ca="1">IFERROR(__xludf.DUMMYFUNCTION("""COMPUTED_VALUE"""),45755)</f>
        <v>45755</v>
      </c>
      <c r="H701" s="6" t="str">
        <f ca="1">IFERROR(__xludf.DUMMYFUNCTION("""COMPUTED_VALUE"""),"Montoto")</f>
        <v>Montoto</v>
      </c>
      <c r="I701" s="6" t="str">
        <f ca="1">IFERROR(__xludf.DUMMYFUNCTION("""COMPUTED_VALUE"""),"C202542310410398")</f>
        <v>C202542310410398</v>
      </c>
      <c r="J701" s="6" t="str">
        <f ca="1">IFERROR(__xludf.DUMMYFUNCTION("""COMPUTED_VALUE"""),"MARCOS PASTOR PINILLOS")</f>
        <v>MARCOS PASTOR PINILLOS</v>
      </c>
      <c r="K701" s="6">
        <f ca="1">IFERROR(__xludf.DUMMYFUNCTION("""COMPUTED_VALUE"""),2)</f>
        <v>2</v>
      </c>
      <c r="L701" s="139">
        <f ca="1">IFERROR(__xludf.DUMMYFUNCTION("""COMPUTED_VALUE"""),3524.5)</f>
        <v>3524.5</v>
      </c>
      <c r="M701" s="6" t="str">
        <f ca="1">IFERROR(__xludf.DUMMYFUNCTION("""COMPUTED_VALUE"""),"03 ORL")</f>
        <v>03 ORL</v>
      </c>
      <c r="N701" s="6" t="str">
        <f ca="1">IFERROR(__xludf.DUMMYFUNCTION("""COMPUTED_VALUE"""),"06 ORL")</f>
        <v>06 ORL</v>
      </c>
      <c r="O701" s="6" t="str">
        <f ca="1">IFERROR(__xludf.DUMMYFUNCTION("""COMPUTED_VALUE"""),"Dr, Juan Pedro Benaixa")</f>
        <v>Dr, Juan Pedro Benaixa</v>
      </c>
      <c r="P701" s="6" t="str">
        <f ca="1">IFERROR(__xludf.DUMMYFUNCTION("""COMPUTED_VALUE"""),"Luis Alberto Rodríguez (Andalucía y Badajoz)")</f>
        <v>Luis Alberto Rodríguez (Andalucía y Badajoz)</v>
      </c>
    </row>
    <row r="702" spans="2:16">
      <c r="B702" s="6">
        <f ca="1">IFERROR(__xludf.DUMMYFUNCTION("""COMPUTED_VALUE"""),2025)</f>
        <v>2025</v>
      </c>
      <c r="C702" s="6">
        <f ca="1">IFERROR(__xludf.DUMMYFUNCTION("""COMPUTED_VALUE"""),5)</f>
        <v>5</v>
      </c>
      <c r="D702" s="6" t="str">
        <f ca="1">IFERROR(__xludf.DUMMYFUNCTION("""COMPUTED_VALUE"""),"NO")</f>
        <v>NO</v>
      </c>
      <c r="E702" s="6" t="str">
        <f ca="1">IFERROR(__xludf.DUMMYFUNCTION("""COMPUTED_VALUE"""),"Sevilla- Montoto")</f>
        <v>Sevilla- Montoto</v>
      </c>
      <c r="F702" s="16">
        <f ca="1">IFERROR(__xludf.DUMMYFUNCTION("""COMPUTED_VALUE"""),45799)</f>
        <v>45799</v>
      </c>
      <c r="G702" s="16">
        <f ca="1">IFERROR(__xludf.DUMMYFUNCTION("""COMPUTED_VALUE"""),45786)</f>
        <v>45786</v>
      </c>
      <c r="H702" s="6" t="str">
        <f ca="1">IFERROR(__xludf.DUMMYFUNCTION("""COMPUTED_VALUE"""),"Montoto")</f>
        <v>Montoto</v>
      </c>
      <c r="I702" s="6" t="str">
        <f ca="1">IFERROR(__xludf.DUMMYFUNCTION("""COMPUTED_VALUE"""),"C2025515155746506")</f>
        <v>C2025515155746506</v>
      </c>
      <c r="J702" s="6" t="str">
        <f ca="1">IFERROR(__xludf.DUMMYFUNCTION("""COMPUTED_VALUE"""),"MARIA ISABEL VALIENTE FABERO")</f>
        <v>MARIA ISABEL VALIENTE FABERO</v>
      </c>
      <c r="K702" s="6">
        <f ca="1">IFERROR(__xludf.DUMMYFUNCTION("""COMPUTED_VALUE"""),2)</f>
        <v>2</v>
      </c>
      <c r="L702" s="139">
        <f ca="1">IFERROR(__xludf.DUMMYFUNCTION("""COMPUTED_VALUE"""),4077.27)</f>
        <v>4077.27</v>
      </c>
      <c r="M702" s="6" t="str">
        <f ca="1">IFERROR(__xludf.DUMMYFUNCTION("""COMPUTED_VALUE"""),"03 ORL")</f>
        <v>03 ORL</v>
      </c>
      <c r="N702" s="6" t="str">
        <f ca="1">IFERROR(__xludf.DUMMYFUNCTION("""COMPUTED_VALUE"""),"06 ORL")</f>
        <v>06 ORL</v>
      </c>
      <c r="O702" s="6" t="str">
        <f ca="1">IFERROR(__xludf.DUMMYFUNCTION("""COMPUTED_VALUE"""),"Dr, Enrique Ruiz Veguilla")</f>
        <v>Dr, Enrique Ruiz Veguilla</v>
      </c>
      <c r="P702" s="6" t="str">
        <f ca="1">IFERROR(__xludf.DUMMYFUNCTION("""COMPUTED_VALUE"""),"Luis Alberto Rodríguez (Andalucía y Badajoz)")</f>
        <v>Luis Alberto Rodríguez (Andalucía y Badajoz)</v>
      </c>
    </row>
    <row r="703" spans="2:16">
      <c r="B703" s="6">
        <f ca="1">IFERROR(__xludf.DUMMYFUNCTION("""COMPUTED_VALUE"""),2025)</f>
        <v>2025</v>
      </c>
      <c r="C703" s="6">
        <f ca="1">IFERROR(__xludf.DUMMYFUNCTION("""COMPUTED_VALUE"""),5)</f>
        <v>5</v>
      </c>
      <c r="D703" s="6" t="str">
        <f ca="1">IFERROR(__xludf.DUMMYFUNCTION("""COMPUTED_VALUE"""),"NO")</f>
        <v>NO</v>
      </c>
      <c r="E703" s="6" t="str">
        <f ca="1">IFERROR(__xludf.DUMMYFUNCTION("""COMPUTED_VALUE"""),"Sevilla- Montoto")</f>
        <v>Sevilla- Montoto</v>
      </c>
      <c r="F703" s="16">
        <f ca="1">IFERROR(__xludf.DUMMYFUNCTION("""COMPUTED_VALUE"""),45806)</f>
        <v>45806</v>
      </c>
      <c r="G703" s="16">
        <f ca="1">IFERROR(__xludf.DUMMYFUNCTION("""COMPUTED_VALUE"""),45789)</f>
        <v>45789</v>
      </c>
      <c r="H703" s="6" t="str">
        <f ca="1">IFERROR(__xludf.DUMMYFUNCTION("""COMPUTED_VALUE"""),"Montoto")</f>
        <v>Montoto</v>
      </c>
      <c r="I703" s="6" t="str">
        <f ca="1">IFERROR(__xludf.DUMMYFUNCTION("""COMPUTED_VALUE"""),"C2025515104529526")</f>
        <v>C2025515104529526</v>
      </c>
      <c r="J703" s="6" t="str">
        <f ca="1">IFERROR(__xludf.DUMMYFUNCTION("""COMPUTED_VALUE"""),"MERCEDES CAMPOS MORON")</f>
        <v>MERCEDES CAMPOS MORON</v>
      </c>
      <c r="K703" s="6">
        <f ca="1">IFERROR(__xludf.DUMMYFUNCTION("""COMPUTED_VALUE"""),2)</f>
        <v>2</v>
      </c>
      <c r="L703" s="139">
        <f ca="1">IFERROR(__xludf.DUMMYFUNCTION("""COMPUTED_VALUE"""),2743.77)</f>
        <v>2743.77</v>
      </c>
      <c r="M703" s="6" t="str">
        <f ca="1">IFERROR(__xludf.DUMMYFUNCTION("""COMPUTED_VALUE"""),"03 ORL")</f>
        <v>03 ORL</v>
      </c>
      <c r="N703" s="6" t="str">
        <f ca="1">IFERROR(__xludf.DUMMYFUNCTION("""COMPUTED_VALUE"""),"06 ORL")</f>
        <v>06 ORL</v>
      </c>
      <c r="O703" s="6" t="str">
        <f ca="1">IFERROR(__xludf.DUMMYFUNCTION("""COMPUTED_VALUE"""),"Dr, Francisco Alés Conejo")</f>
        <v>Dr, Francisco Alés Conejo</v>
      </c>
      <c r="P703" s="6" t="str">
        <f ca="1">IFERROR(__xludf.DUMMYFUNCTION("""COMPUTED_VALUE"""),"Luis Alberto Rodríguez (Andalucía y Badajoz)")</f>
        <v>Luis Alberto Rodríguez (Andalucía y Badajoz)</v>
      </c>
    </row>
    <row r="704" spans="2:16">
      <c r="B704" s="6">
        <f ca="1">IFERROR(__xludf.DUMMYFUNCTION("""COMPUTED_VALUE"""),2025)</f>
        <v>2025</v>
      </c>
      <c r="C704" s="6">
        <f ca="1">IFERROR(__xludf.DUMMYFUNCTION("""COMPUTED_VALUE"""),5)</f>
        <v>5</v>
      </c>
      <c r="D704" s="6" t="str">
        <f ca="1">IFERROR(__xludf.DUMMYFUNCTION("""COMPUTED_VALUE"""),"NO")</f>
        <v>NO</v>
      </c>
      <c r="E704" s="6" t="str">
        <f ca="1">IFERROR(__xludf.DUMMYFUNCTION("""COMPUTED_VALUE"""),"Talavera")</f>
        <v>Talavera</v>
      </c>
      <c r="F704" s="16">
        <f ca="1">IFERROR(__xludf.DUMMYFUNCTION("""COMPUTED_VALUE"""),45803)</f>
        <v>45803</v>
      </c>
      <c r="G704" s="16">
        <f ca="1">IFERROR(__xludf.DUMMYFUNCTION("""COMPUTED_VALUE"""),45772)</f>
        <v>45772</v>
      </c>
      <c r="H704" s="6" t="str">
        <f ca="1">IFERROR(__xludf.DUMMYFUNCTION("""COMPUTED_VALUE"""),"Talavera")</f>
        <v>Talavera</v>
      </c>
      <c r="I704" s="6" t="str">
        <f ca="1">IFERROR(__xludf.DUMMYFUNCTION("""COMPUTED_VALUE"""),"C2025559032454")</f>
        <v>C2025559032454</v>
      </c>
      <c r="J704" s="6" t="str">
        <f ca="1">IFERROR(__xludf.DUMMYFUNCTION("""COMPUTED_VALUE"""),"MARÍA DEL PRADO JIMENEZ BLANCO")</f>
        <v>MARÍA DEL PRADO JIMENEZ BLANCO</v>
      </c>
      <c r="K704" s="6">
        <f ca="1">IFERROR(__xludf.DUMMYFUNCTION("""COMPUTED_VALUE"""),1)</f>
        <v>1</v>
      </c>
      <c r="L704" s="139">
        <f ca="1">IFERROR(__xludf.DUMMYFUNCTION("""COMPUTED_VALUE"""),2400)</f>
        <v>2400</v>
      </c>
      <c r="M704" s="6" t="str">
        <f ca="1">IFERROR(__xludf.DUMMYFUNCTION("""COMPUTED_VALUE"""),"03 ORL")</f>
        <v>03 ORL</v>
      </c>
      <c r="N704" s="6" t="str">
        <f ca="1">IFERROR(__xludf.DUMMYFUNCTION("""COMPUTED_VALUE"""),"06 ORL")</f>
        <v>06 ORL</v>
      </c>
      <c r="O704" s="6" t="str">
        <f ca="1">IFERROR(__xludf.DUMMYFUNCTION("""COMPUTED_VALUE"""),"Dra, Ainhoa Moreno Bravo")</f>
        <v>Dra, Ainhoa Moreno Bravo</v>
      </c>
      <c r="P704" s="6" t="str">
        <f ca="1">IFERROR(__xludf.DUMMYFUNCTION("""COMPUTED_VALUE"""),"Lisandro Russian (Madrid, Cáceres, Toledo, Talavera Y Logroño)")</f>
        <v>Lisandro Russian (Madrid, Cáceres, Toledo, Talavera Y Logroño)</v>
      </c>
    </row>
    <row r="705" spans="2:16">
      <c r="B705" s="6">
        <f ca="1">IFERROR(__xludf.DUMMYFUNCTION("""COMPUTED_VALUE"""),2025)</f>
        <v>2025</v>
      </c>
      <c r="C705" s="6">
        <f ca="1">IFERROR(__xludf.DUMMYFUNCTION("""COMPUTED_VALUE"""),5)</f>
        <v>5</v>
      </c>
      <c r="D705" s="6" t="str">
        <f ca="1">IFERROR(__xludf.DUMMYFUNCTION("""COMPUTED_VALUE"""),"NO")</f>
        <v>NO</v>
      </c>
      <c r="E705" s="6" t="str">
        <f ca="1">IFERROR(__xludf.DUMMYFUNCTION("""COMPUTED_VALUE"""),"Talavera")</f>
        <v>Talavera</v>
      </c>
      <c r="F705" s="16">
        <f ca="1">IFERROR(__xludf.DUMMYFUNCTION("""COMPUTED_VALUE"""),45805)</f>
        <v>45805</v>
      </c>
      <c r="G705" s="16">
        <f ca="1">IFERROR(__xludf.DUMMYFUNCTION("""COMPUTED_VALUE"""),45790)</f>
        <v>45790</v>
      </c>
      <c r="H705" s="6" t="str">
        <f ca="1">IFERROR(__xludf.DUMMYFUNCTION("""COMPUTED_VALUE"""),"Talavera")</f>
        <v>Talavera</v>
      </c>
      <c r="I705" s="6" t="str">
        <f ca="1">IFERROR(__xludf.DUMMYFUNCTION("""COMPUTED_VALUE"""),"C2025513111916844")</f>
        <v>C2025513111916844</v>
      </c>
      <c r="J705" s="6" t="str">
        <f ca="1">IFERROR(__xludf.DUMMYFUNCTION("""COMPUTED_VALUE"""),"PEDRO SANCHEZ MARTIN")</f>
        <v>PEDRO SANCHEZ MARTIN</v>
      </c>
      <c r="K705" s="6">
        <f ca="1">IFERROR(__xludf.DUMMYFUNCTION("""COMPUTED_VALUE"""),2)</f>
        <v>2</v>
      </c>
      <c r="L705" s="139">
        <f ca="1">IFERROR(__xludf.DUMMYFUNCTION("""COMPUTED_VALUE"""),2888.18)</f>
        <v>2888.18</v>
      </c>
      <c r="M705" s="6" t="str">
        <f ca="1">IFERROR(__xludf.DUMMYFUNCTION("""COMPUTED_VALUE"""),"03 ORL")</f>
        <v>03 ORL</v>
      </c>
      <c r="N705" s="6" t="str">
        <f ca="1">IFERROR(__xludf.DUMMYFUNCTION("""COMPUTED_VALUE"""),"06 ORL")</f>
        <v>06 ORL</v>
      </c>
      <c r="O705" s="6" t="str">
        <f ca="1">IFERROR(__xludf.DUMMYFUNCTION("""COMPUTED_VALUE"""),"Dra, Ainhoa Moreno Bravo")</f>
        <v>Dra, Ainhoa Moreno Bravo</v>
      </c>
      <c r="P705" s="6" t="str">
        <f ca="1">IFERROR(__xludf.DUMMYFUNCTION("""COMPUTED_VALUE"""),"Lisandro Russian (Madrid, Cáceres, Toledo, Talavera Y Logroño)")</f>
        <v>Lisandro Russian (Madrid, Cáceres, Toledo, Talavera Y Logroño)</v>
      </c>
    </row>
    <row r="706" spans="2:16">
      <c r="B706" s="6">
        <f ca="1">IFERROR(__xludf.DUMMYFUNCTION("""COMPUTED_VALUE"""),2025)</f>
        <v>2025</v>
      </c>
      <c r="C706" s="6">
        <f ca="1">IFERROR(__xludf.DUMMYFUNCTION("""COMPUTED_VALUE"""),5)</f>
        <v>5</v>
      </c>
      <c r="D706" s="6" t="str">
        <f ca="1">IFERROR(__xludf.DUMMYFUNCTION("""COMPUTED_VALUE"""),"NO")</f>
        <v>NO</v>
      </c>
      <c r="E706" s="6" t="str">
        <f ca="1">IFERROR(__xludf.DUMMYFUNCTION("""COMPUTED_VALUE"""),"Torrejón de Ardoz")</f>
        <v>Torrejón de Ardoz</v>
      </c>
      <c r="F706" s="16">
        <f ca="1">IFERROR(__xludf.DUMMYFUNCTION("""COMPUTED_VALUE"""),45798)</f>
        <v>45798</v>
      </c>
      <c r="G706" s="16">
        <f ca="1">IFERROR(__xludf.DUMMYFUNCTION("""COMPUTED_VALUE"""),45776)</f>
        <v>45776</v>
      </c>
      <c r="H706" s="6" t="str">
        <f ca="1">IFERROR(__xludf.DUMMYFUNCTION("""COMPUTED_VALUE"""),"Torrejón")</f>
        <v>Torrejón</v>
      </c>
      <c r="I706" s="6" t="str">
        <f ca="1">IFERROR(__xludf.DUMMYFUNCTION("""COMPUTED_VALUE"""),"C2025430171017606")</f>
        <v>C2025430171017606</v>
      </c>
      <c r="J706" s="6" t="str">
        <f ca="1">IFERROR(__xludf.DUMMYFUNCTION("""COMPUTED_VALUE"""),"DAVID FLORES BARRIGA")</f>
        <v>DAVID FLORES BARRIGA</v>
      </c>
      <c r="K706" s="6">
        <f ca="1">IFERROR(__xludf.DUMMYFUNCTION("""COMPUTED_VALUE"""),2)</f>
        <v>2</v>
      </c>
      <c r="L706" s="139">
        <f ca="1">IFERROR(__xludf.DUMMYFUNCTION("""COMPUTED_VALUE"""),3800)</f>
        <v>3800</v>
      </c>
      <c r="M706" s="6" t="str">
        <f ca="1">IFERROR(__xludf.DUMMYFUNCTION("""COMPUTED_VALUE"""),"03 ORL")</f>
        <v>03 ORL</v>
      </c>
      <c r="N706" s="6" t="str">
        <f ca="1">IFERROR(__xludf.DUMMYFUNCTION("""COMPUTED_VALUE"""),"06 ORL")</f>
        <v>06 ORL</v>
      </c>
      <c r="O706" s="6" t="str">
        <f ca="1">IFERROR(__xludf.DUMMYFUNCTION("""COMPUTED_VALUE"""),"Dra, Marta Abad Pascual")</f>
        <v>Dra, Marta Abad Pascual</v>
      </c>
      <c r="P706" s="6" t="str">
        <f ca="1">IFERROR(__xludf.DUMMYFUNCTION("""COMPUTED_VALUE"""),"Maika Blázquez (Madrid)")</f>
        <v>Maika Blázquez (Madrid)</v>
      </c>
    </row>
    <row r="707" spans="2:16">
      <c r="B707" s="6">
        <f ca="1">IFERROR(__xludf.DUMMYFUNCTION("""COMPUTED_VALUE"""),2025)</f>
        <v>2025</v>
      </c>
      <c r="C707" s="6">
        <f ca="1">IFERROR(__xludf.DUMMYFUNCTION("""COMPUTED_VALUE"""),5)</f>
        <v>5</v>
      </c>
      <c r="D707" s="6" t="str">
        <f ca="1">IFERROR(__xludf.DUMMYFUNCTION("""COMPUTED_VALUE"""),"NO")</f>
        <v>NO</v>
      </c>
      <c r="E707" s="6" t="str">
        <f ca="1">IFERROR(__xludf.DUMMYFUNCTION("""COMPUTED_VALUE"""),"Torrejón de Ardoz")</f>
        <v>Torrejón de Ardoz</v>
      </c>
      <c r="F707" s="16">
        <f ca="1">IFERROR(__xludf.DUMMYFUNCTION("""COMPUTED_VALUE"""),45799)</f>
        <v>45799</v>
      </c>
      <c r="G707" s="16">
        <f ca="1">IFERROR(__xludf.DUMMYFUNCTION("""COMPUTED_VALUE"""),45789)</f>
        <v>45789</v>
      </c>
      <c r="H707" s="6" t="str">
        <f ca="1">IFERROR(__xludf.DUMMYFUNCTION("""COMPUTED_VALUE"""),"Torrejón")</f>
        <v>Torrejón</v>
      </c>
      <c r="I707" s="6" t="str">
        <f ca="1">IFERROR(__xludf.DUMMYFUNCTION("""COMPUTED_VALUE"""),"C2025512115146618")</f>
        <v>C2025512115146618</v>
      </c>
      <c r="J707" s="6" t="str">
        <f ca="1">IFERROR(__xludf.DUMMYFUNCTION("""COMPUTED_VALUE"""),"GEMA ATIENZA PARRADO")</f>
        <v>GEMA ATIENZA PARRADO</v>
      </c>
      <c r="K707" s="6">
        <f ca="1">IFERROR(__xludf.DUMMYFUNCTION("""COMPUTED_VALUE"""),2)</f>
        <v>2</v>
      </c>
      <c r="L707" s="139">
        <f ca="1">IFERROR(__xludf.DUMMYFUNCTION("""COMPUTED_VALUE"""),4180)</f>
        <v>4180</v>
      </c>
      <c r="M707" s="6" t="str">
        <f ca="1">IFERROR(__xludf.DUMMYFUNCTION("""COMPUTED_VALUE"""),"03 ORL")</f>
        <v>03 ORL</v>
      </c>
      <c r="N707" s="6" t="str">
        <f ca="1">IFERROR(__xludf.DUMMYFUNCTION("""COMPUTED_VALUE"""),"06 ORL")</f>
        <v>06 ORL</v>
      </c>
      <c r="O707" s="6" t="str">
        <f ca="1">IFERROR(__xludf.DUMMYFUNCTION("""COMPUTED_VALUE"""),"Dra, María Garrote Garrote")</f>
        <v>Dra, María Garrote Garrote</v>
      </c>
      <c r="P707" s="6" t="str">
        <f ca="1">IFERROR(__xludf.DUMMYFUNCTION("""COMPUTED_VALUE"""),"Maika Blázquez (Madrid)")</f>
        <v>Maika Blázquez (Madrid)</v>
      </c>
    </row>
    <row r="708" spans="2:16">
      <c r="B708" s="6">
        <f ca="1">IFERROR(__xludf.DUMMYFUNCTION("""COMPUTED_VALUE"""),2025)</f>
        <v>2025</v>
      </c>
      <c r="C708" s="6">
        <f ca="1">IFERROR(__xludf.DUMMYFUNCTION("""COMPUTED_VALUE"""),5)</f>
        <v>5</v>
      </c>
      <c r="D708" s="6" t="str">
        <f ca="1">IFERROR(__xludf.DUMMYFUNCTION("""COMPUTED_VALUE"""),"NO")</f>
        <v>NO</v>
      </c>
      <c r="E708" s="6" t="str">
        <f ca="1">IFERROR(__xludf.DUMMYFUNCTION("""COMPUTED_VALUE"""),"Torrejón de Ardoz")</f>
        <v>Torrejón de Ardoz</v>
      </c>
      <c r="F708" s="16">
        <f ca="1">IFERROR(__xludf.DUMMYFUNCTION("""COMPUTED_VALUE"""),45784)</f>
        <v>45784</v>
      </c>
      <c r="G708" s="16">
        <f ca="1">IFERROR(__xludf.DUMMYFUNCTION("""COMPUTED_VALUE"""),45712)</f>
        <v>45712</v>
      </c>
      <c r="H708" s="6" t="str">
        <f ca="1">IFERROR(__xludf.DUMMYFUNCTION("""COMPUTED_VALUE"""),"Torrejón")</f>
        <v>Torrejón</v>
      </c>
      <c r="I708" s="6" t="str">
        <f ca="1">IFERROR(__xludf.DUMMYFUNCTION("""COMPUTED_VALUE"""),"C202531918228189")</f>
        <v>C202531918228189</v>
      </c>
      <c r="J708" s="6" t="str">
        <f ca="1">IFERROR(__xludf.DUMMYFUNCTION("""COMPUTED_VALUE"""),"MARIA DOLORES GIL SANCHEZ")</f>
        <v>MARIA DOLORES GIL SANCHEZ</v>
      </c>
      <c r="K708" s="6">
        <f ca="1">IFERROR(__xludf.DUMMYFUNCTION("""COMPUTED_VALUE"""),-1)</f>
        <v>-1</v>
      </c>
      <c r="L708" s="139">
        <f ca="1">IFERROR(__xludf.DUMMYFUNCTION("""COMPUTED_VALUE"""),-2400)</f>
        <v>-2400</v>
      </c>
      <c r="M708" s="6" t="str">
        <f ca="1">IFERROR(__xludf.DUMMYFUNCTION("""COMPUTED_VALUE"""),"03 ORL")</f>
        <v>03 ORL</v>
      </c>
      <c r="N708" s="6" t="str">
        <f ca="1">IFERROR(__xludf.DUMMYFUNCTION("""COMPUTED_VALUE"""),"06 ORL")</f>
        <v>06 ORL</v>
      </c>
      <c r="O708" s="6" t="str">
        <f ca="1">IFERROR(__xludf.DUMMYFUNCTION("""COMPUTED_VALUE"""),"Dr, Juan de Dios de la Calzada")</f>
        <v>Dr, Juan de Dios de la Calzada</v>
      </c>
      <c r="P708" s="6" t="str">
        <f ca="1">IFERROR(__xludf.DUMMYFUNCTION("""COMPUTED_VALUE"""),"Maika Blázquez (Madrid)")</f>
        <v>Maika Blázquez (Madrid)</v>
      </c>
    </row>
    <row r="709" spans="2:16">
      <c r="B709" s="6">
        <f ca="1">IFERROR(__xludf.DUMMYFUNCTION("""COMPUTED_VALUE"""),2025)</f>
        <v>2025</v>
      </c>
      <c r="C709" s="6">
        <f ca="1">IFERROR(__xludf.DUMMYFUNCTION("""COMPUTED_VALUE"""),5)</f>
        <v>5</v>
      </c>
      <c r="D709" s="6" t="str">
        <f ca="1">IFERROR(__xludf.DUMMYFUNCTION("""COMPUTED_VALUE"""),"NO")</f>
        <v>NO</v>
      </c>
      <c r="E709" s="6" t="str">
        <f ca="1">IFERROR(__xludf.DUMMYFUNCTION("""COMPUTED_VALUE"""),"Torrejón de Ardoz")</f>
        <v>Torrejón de Ardoz</v>
      </c>
      <c r="F709" s="16">
        <f ca="1">IFERROR(__xludf.DUMMYFUNCTION("""COMPUTED_VALUE"""),45807)</f>
        <v>45807</v>
      </c>
      <c r="G709" s="16">
        <f ca="1">IFERROR(__xludf.DUMMYFUNCTION("""COMPUTED_VALUE"""),45782)</f>
        <v>45782</v>
      </c>
      <c r="H709" s="6" t="str">
        <f ca="1">IFERROR(__xludf.DUMMYFUNCTION("""COMPUTED_VALUE"""),"Torrejón")</f>
        <v>Torrejón</v>
      </c>
      <c r="I709" s="6" t="str">
        <f ca="1">IFERROR(__xludf.DUMMYFUNCTION("""COMPUTED_VALUE"""),"C20255910354791")</f>
        <v>C20255910354791</v>
      </c>
      <c r="J709" s="6" t="str">
        <f ca="1">IFERROR(__xludf.DUMMYFUNCTION("""COMPUTED_VALUE"""),"NARCISO ROMERO BAONZA")</f>
        <v>NARCISO ROMERO BAONZA</v>
      </c>
      <c r="K709" s="6">
        <f ca="1">IFERROR(__xludf.DUMMYFUNCTION("""COMPUTED_VALUE"""),2)</f>
        <v>2</v>
      </c>
      <c r="L709" s="139">
        <f ca="1">IFERROR(__xludf.DUMMYFUNCTION("""COMPUTED_VALUE"""),4531.82)</f>
        <v>4531.82</v>
      </c>
      <c r="M709" s="6" t="str">
        <f ca="1">IFERROR(__xludf.DUMMYFUNCTION("""COMPUTED_VALUE"""),"03 ORL")</f>
        <v>03 ORL</v>
      </c>
      <c r="N709" s="6" t="str">
        <f ca="1">IFERROR(__xludf.DUMMYFUNCTION("""COMPUTED_VALUE"""),"06 ORL")</f>
        <v>06 ORL</v>
      </c>
      <c r="O709" s="6" t="str">
        <f ca="1">IFERROR(__xludf.DUMMYFUNCTION("""COMPUTED_VALUE"""),"Dra, Mar Lasso de la Vega Zamora")</f>
        <v>Dra, Mar Lasso de la Vega Zamora</v>
      </c>
      <c r="P709" s="6" t="str">
        <f ca="1">IFERROR(__xludf.DUMMYFUNCTION("""COMPUTED_VALUE"""),"Maika Blázquez (Madrid)")</f>
        <v>Maika Blázquez (Madrid)</v>
      </c>
    </row>
    <row r="710" spans="2:16">
      <c r="B710" s="6">
        <f ca="1">IFERROR(__xludf.DUMMYFUNCTION("""COMPUTED_VALUE"""),2025)</f>
        <v>2025</v>
      </c>
      <c r="C710" s="6">
        <f ca="1">IFERROR(__xludf.DUMMYFUNCTION("""COMPUTED_VALUE"""),5)</f>
        <v>5</v>
      </c>
      <c r="D710" s="6" t="str">
        <f ca="1">IFERROR(__xludf.DUMMYFUNCTION("""COMPUTED_VALUE"""),"NO")</f>
        <v>NO</v>
      </c>
      <c r="E710" s="6" t="str">
        <f ca="1">IFERROR(__xludf.DUMMYFUNCTION("""COMPUTED_VALUE"""),"Valencia- Cádiz")</f>
        <v>Valencia- Cádiz</v>
      </c>
      <c r="F710" s="16">
        <f ca="1">IFERROR(__xludf.DUMMYFUNCTION("""COMPUTED_VALUE"""),45798)</f>
        <v>45798</v>
      </c>
      <c r="G710" s="16">
        <f ca="1">IFERROR(__xludf.DUMMYFUNCTION("""COMPUTED_VALUE"""),45755)</f>
        <v>45755</v>
      </c>
      <c r="H710" s="6" t="str">
        <f ca="1">IFERROR(__xludf.DUMMYFUNCTION("""COMPUTED_VALUE"""),"Valencia- Cádiz")</f>
        <v>Valencia- Cádiz</v>
      </c>
      <c r="I710" s="6" t="str">
        <f ca="1">IFERROR(__xludf.DUMMYFUNCTION("""COMPUTED_VALUE"""),"C20254149410566")</f>
        <v>C20254149410566</v>
      </c>
      <c r="J710" s="6" t="str">
        <f ca="1">IFERROR(__xludf.DUMMYFUNCTION("""COMPUTED_VALUE"""),"FRANCISCO  TARREGA GONZALEZ")</f>
        <v>FRANCISCO  TARREGA GONZALEZ</v>
      </c>
      <c r="K710" s="6">
        <f ca="1">IFERROR(__xludf.DUMMYFUNCTION("""COMPUTED_VALUE"""),2)</f>
        <v>2</v>
      </c>
      <c r="L710" s="139">
        <f ca="1">IFERROR(__xludf.DUMMYFUNCTION("""COMPUTED_VALUE"""),4000)</f>
        <v>4000</v>
      </c>
      <c r="M710" s="6" t="str">
        <f ca="1">IFERROR(__xludf.DUMMYFUNCTION("""COMPUTED_VALUE"""),"03 ORL")</f>
        <v>03 ORL</v>
      </c>
      <c r="N710" s="6" t="str">
        <f ca="1">IFERROR(__xludf.DUMMYFUNCTION("""COMPUTED_VALUE"""),"06 ORL")</f>
        <v>06 ORL</v>
      </c>
      <c r="O710" s="6" t="str">
        <f ca="1">IFERROR(__xludf.DUMMYFUNCTION("""COMPUTED_VALUE"""),"Dr, Jean Franco Intraprendente Martini")</f>
        <v>Dr, Jean Franco Intraprendente Martini</v>
      </c>
      <c r="P710" s="6" t="str">
        <f ca="1">IFERROR(__xludf.DUMMYFUNCTION("""COMPUTED_VALUE"""),"Ramon Ferrando(Valencia)")</f>
        <v>Ramon Ferrando(Valencia)</v>
      </c>
    </row>
    <row r="711" spans="2:16">
      <c r="B711" s="6">
        <f ca="1">IFERROR(__xludf.DUMMYFUNCTION("""COMPUTED_VALUE"""),2025)</f>
        <v>2025</v>
      </c>
      <c r="C711" s="6">
        <f ca="1">IFERROR(__xludf.DUMMYFUNCTION("""COMPUTED_VALUE"""),5)</f>
        <v>5</v>
      </c>
      <c r="D711" s="6" t="str">
        <f ca="1">IFERROR(__xludf.DUMMYFUNCTION("""COMPUTED_VALUE"""),"NO")</f>
        <v>NO</v>
      </c>
      <c r="E711" s="6" t="str">
        <f ca="1">IFERROR(__xludf.DUMMYFUNCTION("""COMPUTED_VALUE"""),"Valencia- Cádiz")</f>
        <v>Valencia- Cádiz</v>
      </c>
      <c r="F711" s="16">
        <f ca="1">IFERROR(__xludf.DUMMYFUNCTION("""COMPUTED_VALUE"""),45796)</f>
        <v>45796</v>
      </c>
      <c r="G711" s="16">
        <f ca="1">IFERROR(__xludf.DUMMYFUNCTION("""COMPUTED_VALUE"""),45761)</f>
        <v>45761</v>
      </c>
      <c r="H711" s="6" t="str">
        <f ca="1">IFERROR(__xludf.DUMMYFUNCTION("""COMPUTED_VALUE"""),"Valencia- Cádiz")</f>
        <v>Valencia- Cádiz</v>
      </c>
      <c r="I711" s="6" t="str">
        <f ca="1">IFERROR(__xludf.DUMMYFUNCTION("""COMPUTED_VALUE"""),"C202542310580896")</f>
        <v>C202542310580896</v>
      </c>
      <c r="J711" s="6" t="str">
        <f ca="1">IFERROR(__xludf.DUMMYFUNCTION("""COMPUTED_VALUE"""),"FELIPE PEREZ NOVELLA")</f>
        <v>FELIPE PEREZ NOVELLA</v>
      </c>
      <c r="K711" s="6">
        <f ca="1">IFERROR(__xludf.DUMMYFUNCTION("""COMPUTED_VALUE"""),2)</f>
        <v>2</v>
      </c>
      <c r="L711" s="139">
        <f ca="1">IFERROR(__xludf.DUMMYFUNCTION("""COMPUTED_VALUE"""),3710)</f>
        <v>3710</v>
      </c>
      <c r="M711" s="6" t="str">
        <f ca="1">IFERROR(__xludf.DUMMYFUNCTION("""COMPUTED_VALUE"""),"03 ORL")</f>
        <v>03 ORL</v>
      </c>
      <c r="N711" s="6" t="str">
        <f ca="1">IFERROR(__xludf.DUMMYFUNCTION("""COMPUTED_VALUE"""),"06 ORL")</f>
        <v>06 ORL</v>
      </c>
      <c r="O711" s="6" t="str">
        <f ca="1">IFERROR(__xludf.DUMMYFUNCTION("""COMPUTED_VALUE"""),"Dr, José Ramiro de León Lima")</f>
        <v>Dr, José Ramiro de León Lima</v>
      </c>
      <c r="P711" s="6" t="str">
        <f ca="1">IFERROR(__xludf.DUMMYFUNCTION("""COMPUTED_VALUE"""),"Ramon Ferrando(Valencia)")</f>
        <v>Ramon Ferrando(Valencia)</v>
      </c>
    </row>
    <row r="712" spans="2:16">
      <c r="B712" s="6">
        <f ca="1">IFERROR(__xludf.DUMMYFUNCTION("""COMPUTED_VALUE"""),2025)</f>
        <v>2025</v>
      </c>
      <c r="C712" s="6">
        <f ca="1">IFERROR(__xludf.DUMMYFUNCTION("""COMPUTED_VALUE"""),5)</f>
        <v>5</v>
      </c>
      <c r="D712" s="6" t="str">
        <f ca="1">IFERROR(__xludf.DUMMYFUNCTION("""COMPUTED_VALUE"""),"NO")</f>
        <v>NO</v>
      </c>
      <c r="E712" s="6" t="str">
        <f ca="1">IFERROR(__xludf.DUMMYFUNCTION("""COMPUTED_VALUE"""),"Valencia- Cádiz")</f>
        <v>Valencia- Cádiz</v>
      </c>
      <c r="F712" s="16">
        <f ca="1">IFERROR(__xludf.DUMMYFUNCTION("""COMPUTED_VALUE"""),45799)</f>
        <v>45799</v>
      </c>
      <c r="G712" s="16">
        <f ca="1">IFERROR(__xludf.DUMMYFUNCTION("""COMPUTED_VALUE"""),45771)</f>
        <v>45771</v>
      </c>
      <c r="H712" s="6" t="str">
        <f ca="1">IFERROR(__xludf.DUMMYFUNCTION("""COMPUTED_VALUE"""),"Valencia- Cádiz")</f>
        <v>Valencia- Cádiz</v>
      </c>
      <c r="I712" s="6" t="str">
        <f ca="1">IFERROR(__xludf.DUMMYFUNCTION("""COMPUTED_VALUE"""),"C202552152756729")</f>
        <v>C202552152756729</v>
      </c>
      <c r="J712" s="6" t="str">
        <f ca="1">IFERROR(__xludf.DUMMYFUNCTION("""COMPUTED_VALUE"""),"FERNANDO MIGUEL LEAL FERNANDEZ")</f>
        <v>FERNANDO MIGUEL LEAL FERNANDEZ</v>
      </c>
      <c r="K712" s="6">
        <f ca="1">IFERROR(__xludf.DUMMYFUNCTION("""COMPUTED_VALUE"""),1)</f>
        <v>1</v>
      </c>
      <c r="L712" s="139">
        <f ca="1">IFERROR(__xludf.DUMMYFUNCTION("""COMPUTED_VALUE"""),1732.73)</f>
        <v>1732.73</v>
      </c>
      <c r="M712" s="6" t="str">
        <f ca="1">IFERROR(__xludf.DUMMYFUNCTION("""COMPUTED_VALUE"""),"03 ORL")</f>
        <v>03 ORL</v>
      </c>
      <c r="N712" s="6" t="str">
        <f ca="1">IFERROR(__xludf.DUMMYFUNCTION("""COMPUTED_VALUE"""),"06 ORL")</f>
        <v>06 ORL</v>
      </c>
      <c r="O712" s="6" t="str">
        <f ca="1">IFERROR(__xludf.DUMMYFUNCTION("""COMPUTED_VALUE"""),"Dra, Celia López Molla")</f>
        <v>Dra, Celia López Molla</v>
      </c>
      <c r="P712" s="6" t="str">
        <f ca="1">IFERROR(__xludf.DUMMYFUNCTION("""COMPUTED_VALUE"""),"Ramon Ferrando(Valencia)")</f>
        <v>Ramon Ferrando(Valencia)</v>
      </c>
    </row>
    <row r="713" spans="2:16">
      <c r="B713" s="6">
        <f ca="1">IFERROR(__xludf.DUMMYFUNCTION("""COMPUTED_VALUE"""),2025)</f>
        <v>2025</v>
      </c>
      <c r="C713" s="6">
        <f ca="1">IFERROR(__xludf.DUMMYFUNCTION("""COMPUTED_VALUE"""),5)</f>
        <v>5</v>
      </c>
      <c r="D713" s="6" t="str">
        <f ca="1">IFERROR(__xludf.DUMMYFUNCTION("""COMPUTED_VALUE"""),"NO")</f>
        <v>NO</v>
      </c>
      <c r="E713" s="6" t="str">
        <f ca="1">IFERROR(__xludf.DUMMYFUNCTION("""COMPUTED_VALUE"""),"Valencia- Cádiz")</f>
        <v>Valencia- Cádiz</v>
      </c>
      <c r="F713" s="16">
        <f ca="1">IFERROR(__xludf.DUMMYFUNCTION("""COMPUTED_VALUE"""),45799)</f>
        <v>45799</v>
      </c>
      <c r="G713" s="16">
        <f ca="1">IFERROR(__xludf.DUMMYFUNCTION("""COMPUTED_VALUE"""),45750)</f>
        <v>45750</v>
      </c>
      <c r="H713" s="6" t="str">
        <f ca="1">IFERROR(__xludf.DUMMYFUNCTION("""COMPUTED_VALUE"""),"Valencia- Cádiz")</f>
        <v>Valencia- Cádiz</v>
      </c>
      <c r="I713" s="6" t="str">
        <f ca="1">IFERROR(__xludf.DUMMYFUNCTION("""COMPUTED_VALUE"""),"C202542217536584")</f>
        <v>C202542217536584</v>
      </c>
      <c r="J713" s="6" t="str">
        <f ca="1">IFERROR(__xludf.DUMMYFUNCTION("""COMPUTED_VALUE"""),"FRANCISCO GARCIA MORATA")</f>
        <v>FRANCISCO GARCIA MORATA</v>
      </c>
      <c r="K713" s="6">
        <f ca="1">IFERROR(__xludf.DUMMYFUNCTION("""COMPUTED_VALUE"""),2)</f>
        <v>2</v>
      </c>
      <c r="L713" s="139">
        <f ca="1">IFERROR(__xludf.DUMMYFUNCTION("""COMPUTED_VALUE"""),4000)</f>
        <v>4000</v>
      </c>
      <c r="M713" s="6" t="str">
        <f ca="1">IFERROR(__xludf.DUMMYFUNCTION("""COMPUTED_VALUE"""),"03 ORL")</f>
        <v>03 ORL</v>
      </c>
      <c r="N713" s="6" t="str">
        <f ca="1">IFERROR(__xludf.DUMMYFUNCTION("""COMPUTED_VALUE"""),"06 ORL")</f>
        <v>06 ORL</v>
      </c>
      <c r="O713" s="6" t="str">
        <f ca="1">IFERROR(__xludf.DUMMYFUNCTION("""COMPUTED_VALUE"""),"Dr, Martín Eduardo Marcano Acuña")</f>
        <v>Dr, Martín Eduardo Marcano Acuña</v>
      </c>
      <c r="P713" s="6" t="str">
        <f ca="1">IFERROR(__xludf.DUMMYFUNCTION("""COMPUTED_VALUE"""),"Ramon Ferrando(Valencia)")</f>
        <v>Ramon Ferrando(Valencia)</v>
      </c>
    </row>
    <row r="714" spans="2:16">
      <c r="B714" s="6">
        <f ca="1">IFERROR(__xludf.DUMMYFUNCTION("""COMPUTED_VALUE"""),2025)</f>
        <v>2025</v>
      </c>
      <c r="C714" s="6">
        <f ca="1">IFERROR(__xludf.DUMMYFUNCTION("""COMPUTED_VALUE"""),5)</f>
        <v>5</v>
      </c>
      <c r="D714" s="6" t="str">
        <f ca="1">IFERROR(__xludf.DUMMYFUNCTION("""COMPUTED_VALUE"""),"NO")</f>
        <v>NO</v>
      </c>
      <c r="E714" s="6" t="str">
        <f ca="1">IFERROR(__xludf.DUMMYFUNCTION("""COMPUTED_VALUE"""),"Valencia- Cádiz")</f>
        <v>Valencia- Cádiz</v>
      </c>
      <c r="F714" s="16">
        <f ca="1">IFERROR(__xludf.DUMMYFUNCTION("""COMPUTED_VALUE"""),45797)</f>
        <v>45797</v>
      </c>
      <c r="G714" s="16">
        <f ca="1">IFERROR(__xludf.DUMMYFUNCTION("""COMPUTED_VALUE"""),45749)</f>
        <v>45749</v>
      </c>
      <c r="H714" s="6" t="str">
        <f ca="1">IFERROR(__xludf.DUMMYFUNCTION("""COMPUTED_VALUE"""),"Valencia- Cádiz")</f>
        <v>Valencia- Cádiz</v>
      </c>
      <c r="I714" s="6" t="str">
        <f ca="1">IFERROR(__xludf.DUMMYFUNCTION("""COMPUTED_VALUE"""),"C2025481791514")</f>
        <v>C2025481791514</v>
      </c>
      <c r="J714" s="6" t="str">
        <f ca="1">IFERROR(__xludf.DUMMYFUNCTION("""COMPUTED_VALUE"""),"MIGUEL CERVERA SANZ")</f>
        <v>MIGUEL CERVERA SANZ</v>
      </c>
      <c r="K714" s="6">
        <f ca="1">IFERROR(__xludf.DUMMYFUNCTION("""COMPUTED_VALUE"""),1)</f>
        <v>1</v>
      </c>
      <c r="L714" s="139">
        <f ca="1">IFERROR(__xludf.DUMMYFUNCTION("""COMPUTED_VALUE"""),1646.09)</f>
        <v>1646.09</v>
      </c>
      <c r="M714" s="6" t="str">
        <f ca="1">IFERROR(__xludf.DUMMYFUNCTION("""COMPUTED_VALUE"""),"03 ORL")</f>
        <v>03 ORL</v>
      </c>
      <c r="N714" s="6" t="str">
        <f ca="1">IFERROR(__xludf.DUMMYFUNCTION("""COMPUTED_VALUE"""),"06 ORL")</f>
        <v>06 ORL</v>
      </c>
      <c r="O714" s="6" t="str">
        <f ca="1">IFERROR(__xludf.DUMMYFUNCTION("""COMPUTED_VALUE"""),"Dr, José Montalt Marco")</f>
        <v>Dr, José Montalt Marco</v>
      </c>
      <c r="P714" s="6" t="str">
        <f ca="1">IFERROR(__xludf.DUMMYFUNCTION("""COMPUTED_VALUE"""),"Ramon Ferrando(Valencia)")</f>
        <v>Ramon Ferrando(Valencia)</v>
      </c>
    </row>
    <row r="715" spans="2:16">
      <c r="B715" s="6">
        <f ca="1">IFERROR(__xludf.DUMMYFUNCTION("""COMPUTED_VALUE"""),2025)</f>
        <v>2025</v>
      </c>
      <c r="C715" s="6">
        <f ca="1">IFERROR(__xludf.DUMMYFUNCTION("""COMPUTED_VALUE"""),5)</f>
        <v>5</v>
      </c>
      <c r="D715" s="6" t="str">
        <f ca="1">IFERROR(__xludf.DUMMYFUNCTION("""COMPUTED_VALUE"""),"NO")</f>
        <v>NO</v>
      </c>
      <c r="E715" s="6" t="str">
        <f ca="1">IFERROR(__xludf.DUMMYFUNCTION("""COMPUTED_VALUE"""),"Valencia- Cádiz")</f>
        <v>Valencia- Cádiz</v>
      </c>
      <c r="F715" s="16">
        <f ca="1">IFERROR(__xludf.DUMMYFUNCTION("""COMPUTED_VALUE"""),45799)</f>
        <v>45799</v>
      </c>
      <c r="G715" s="16">
        <f ca="1">IFERROR(__xludf.DUMMYFUNCTION("""COMPUTED_VALUE"""),45763)</f>
        <v>45763</v>
      </c>
      <c r="H715" s="6" t="str">
        <f ca="1">IFERROR(__xludf.DUMMYFUNCTION("""COMPUTED_VALUE"""),"Valencia- Cádiz")</f>
        <v>Valencia- Cádiz</v>
      </c>
      <c r="I715" s="6" t="str">
        <f ca="1">IFERROR(__xludf.DUMMYFUNCTION("""COMPUTED_VALUE"""),"C202552115756922")</f>
        <v>C202552115756922</v>
      </c>
      <c r="J715" s="6" t="str">
        <f ca="1">IFERROR(__xludf.DUMMYFUNCTION("""COMPUTED_VALUE"""),"SALVADOR MARIN GARCIA")</f>
        <v>SALVADOR MARIN GARCIA</v>
      </c>
      <c r="K715" s="6">
        <f ca="1">IFERROR(__xludf.DUMMYFUNCTION("""COMPUTED_VALUE"""),2)</f>
        <v>2</v>
      </c>
      <c r="L715" s="139">
        <f ca="1">IFERROR(__xludf.DUMMYFUNCTION("""COMPUTED_VALUE"""),4180)</f>
        <v>4180</v>
      </c>
      <c r="M715" s="6" t="str">
        <f ca="1">IFERROR(__xludf.DUMMYFUNCTION("""COMPUTED_VALUE"""),"03 ORL")</f>
        <v>03 ORL</v>
      </c>
      <c r="N715" s="6" t="str">
        <f ca="1">IFERROR(__xludf.DUMMYFUNCTION("""COMPUTED_VALUE"""),"06 ORL")</f>
        <v>06 ORL</v>
      </c>
      <c r="O715" s="6" t="str">
        <f ca="1">IFERROR(__xludf.DUMMYFUNCTION("""COMPUTED_VALUE"""),"Dra, Ainhoa García-Lliberos de Miguel")</f>
        <v>Dra, Ainhoa García-Lliberos de Miguel</v>
      </c>
      <c r="P715" s="6" t="str">
        <f ca="1">IFERROR(__xludf.DUMMYFUNCTION("""COMPUTED_VALUE"""),"Ramon Ferrando(Valencia)")</f>
        <v>Ramon Ferrando(Valencia)</v>
      </c>
    </row>
    <row r="716" spans="2:16">
      <c r="B716" s="6">
        <f ca="1">IFERROR(__xludf.DUMMYFUNCTION("""COMPUTED_VALUE"""),2025)</f>
        <v>2025</v>
      </c>
      <c r="C716" s="6">
        <f ca="1">IFERROR(__xludf.DUMMYFUNCTION("""COMPUTED_VALUE"""),5)</f>
        <v>5</v>
      </c>
      <c r="D716" s="6" t="str">
        <f ca="1">IFERROR(__xludf.DUMMYFUNCTION("""COMPUTED_VALUE"""),"NO")</f>
        <v>NO</v>
      </c>
      <c r="E716" s="6" t="str">
        <f ca="1">IFERROR(__xludf.DUMMYFUNCTION("""COMPUTED_VALUE"""),"Valencia- Cádiz")</f>
        <v>Valencia- Cádiz</v>
      </c>
      <c r="F716" s="16">
        <f ca="1">IFERROR(__xludf.DUMMYFUNCTION("""COMPUTED_VALUE"""),45800)</f>
        <v>45800</v>
      </c>
      <c r="G716" s="16">
        <f ca="1">IFERROR(__xludf.DUMMYFUNCTION("""COMPUTED_VALUE"""),45736)</f>
        <v>45736</v>
      </c>
      <c r="H716" s="6" t="str">
        <f ca="1">IFERROR(__xludf.DUMMYFUNCTION("""COMPUTED_VALUE"""),"Valencia- Cádiz")</f>
        <v>Valencia- Cádiz</v>
      </c>
      <c r="I716" s="6" t="str">
        <f ca="1">IFERROR(__xludf.DUMMYFUNCTION("""COMPUTED_VALUE"""),"C202541410493447")</f>
        <v>C202541410493447</v>
      </c>
      <c r="J716" s="6" t="str">
        <f ca="1">IFERROR(__xludf.DUMMYFUNCTION("""COMPUTED_VALUE"""),"VIRGINIA DEL PINO GRACIA")</f>
        <v>VIRGINIA DEL PINO GRACIA</v>
      </c>
      <c r="K716" s="6">
        <f ca="1">IFERROR(__xludf.DUMMYFUNCTION("""COMPUTED_VALUE"""),2)</f>
        <v>2</v>
      </c>
      <c r="L716" s="139">
        <f ca="1">IFERROR(__xludf.DUMMYFUNCTION("""COMPUTED_VALUE"""),4000)</f>
        <v>4000</v>
      </c>
      <c r="M716" s="6" t="str">
        <f ca="1">IFERROR(__xludf.DUMMYFUNCTION("""COMPUTED_VALUE"""),"03 ORL")</f>
        <v>03 ORL</v>
      </c>
      <c r="N716" s="6" t="str">
        <f ca="1">IFERROR(__xludf.DUMMYFUNCTION("""COMPUTED_VALUE"""),"06 ORL")</f>
        <v>06 ORL</v>
      </c>
      <c r="O716" s="6" t="str">
        <f ca="1">IFERROR(__xludf.DUMMYFUNCTION("""COMPUTED_VALUE"""),"Dr, Martín Eduardo Marcano Acuña")</f>
        <v>Dr, Martín Eduardo Marcano Acuña</v>
      </c>
      <c r="P716" s="6" t="str">
        <f ca="1">IFERROR(__xludf.DUMMYFUNCTION("""COMPUTED_VALUE"""),"Ramon Ferrando(Valencia)")</f>
        <v>Ramon Ferrando(Valencia)</v>
      </c>
    </row>
    <row r="717" spans="2:16">
      <c r="B717" s="6">
        <f ca="1">IFERROR(__xludf.DUMMYFUNCTION("""COMPUTED_VALUE"""),2025)</f>
        <v>2025</v>
      </c>
      <c r="C717" s="6">
        <f ca="1">IFERROR(__xludf.DUMMYFUNCTION("""COMPUTED_VALUE"""),5)</f>
        <v>5</v>
      </c>
      <c r="D717" s="6" t="str">
        <f ca="1">IFERROR(__xludf.DUMMYFUNCTION("""COMPUTED_VALUE"""),"NO")</f>
        <v>NO</v>
      </c>
      <c r="E717" s="6" t="str">
        <f ca="1">IFERROR(__xludf.DUMMYFUNCTION("""COMPUTED_VALUE"""),"Valencia- Parra")</f>
        <v>Valencia- Parra</v>
      </c>
      <c r="F717" s="16">
        <f ca="1">IFERROR(__xludf.DUMMYFUNCTION("""COMPUTED_VALUE"""),45800)</f>
        <v>45800</v>
      </c>
      <c r="G717" s="16">
        <f ca="1">IFERROR(__xludf.DUMMYFUNCTION("""COMPUTED_VALUE"""),45751)</f>
        <v>45751</v>
      </c>
      <c r="H717" s="6" t="str">
        <f ca="1">IFERROR(__xludf.DUMMYFUNCTION("""COMPUTED_VALUE"""),"Valencia- Parra")</f>
        <v>Valencia- Parra</v>
      </c>
      <c r="I717" s="6" t="str">
        <f ca="1">IFERROR(__xludf.DUMMYFUNCTION("""COMPUTED_VALUE"""),"C202549184519787")</f>
        <v>C202549184519787</v>
      </c>
      <c r="J717" s="6" t="str">
        <f ca="1">IFERROR(__xludf.DUMMYFUNCTION("""COMPUTED_VALUE"""),"CARMEN CORCOLES MARCOS")</f>
        <v>CARMEN CORCOLES MARCOS</v>
      </c>
      <c r="K717" s="6">
        <f ca="1">IFERROR(__xludf.DUMMYFUNCTION("""COMPUTED_VALUE"""),2)</f>
        <v>2</v>
      </c>
      <c r="L717" s="139">
        <f ca="1">IFERROR(__xludf.DUMMYFUNCTION("""COMPUTED_VALUE"""),3710)</f>
        <v>3710</v>
      </c>
      <c r="M717" s="6" t="str">
        <f ca="1">IFERROR(__xludf.DUMMYFUNCTION("""COMPUTED_VALUE"""),"03 ORL")</f>
        <v>03 ORL</v>
      </c>
      <c r="N717" s="6" t="str">
        <f ca="1">IFERROR(__xludf.DUMMYFUNCTION("""COMPUTED_VALUE"""),"06 ORL")</f>
        <v>06 ORL</v>
      </c>
      <c r="O717" s="6" t="str">
        <f ca="1">IFERROR(__xludf.DUMMYFUNCTION("""COMPUTED_VALUE"""),"Dra, Mariella Anaya Sifuentes")</f>
        <v>Dra, Mariella Anaya Sifuentes</v>
      </c>
      <c r="P717" s="6" t="str">
        <f ca="1">IFERROR(__xludf.DUMMYFUNCTION("""COMPUTED_VALUE"""),"Iván Sánchez (Levante Y Albacete)")</f>
        <v>Iván Sánchez (Levante Y Albacete)</v>
      </c>
    </row>
    <row r="718" spans="2:16">
      <c r="B718" s="6">
        <f ca="1">IFERROR(__xludf.DUMMYFUNCTION("""COMPUTED_VALUE"""),2025)</f>
        <v>2025</v>
      </c>
      <c r="C718" s="6">
        <f ca="1">IFERROR(__xludf.DUMMYFUNCTION("""COMPUTED_VALUE"""),5)</f>
        <v>5</v>
      </c>
      <c r="D718" s="6" t="str">
        <f ca="1">IFERROR(__xludf.DUMMYFUNCTION("""COMPUTED_VALUE"""),"NO")</f>
        <v>NO</v>
      </c>
      <c r="E718" s="6" t="str">
        <f ca="1">IFERROR(__xludf.DUMMYFUNCTION("""COMPUTED_VALUE"""),"Valencia- Parra")</f>
        <v>Valencia- Parra</v>
      </c>
      <c r="F718" s="16">
        <f ca="1">IFERROR(__xludf.DUMMYFUNCTION("""COMPUTED_VALUE"""),45797)</f>
        <v>45797</v>
      </c>
      <c r="G718" s="16">
        <f ca="1">IFERROR(__xludf.DUMMYFUNCTION("""COMPUTED_VALUE"""),45740)</f>
        <v>45740</v>
      </c>
      <c r="H718" s="6" t="str">
        <f ca="1">IFERROR(__xludf.DUMMYFUNCTION("""COMPUTED_VALUE"""),"Valencia- Parra")</f>
        <v>Valencia- Parra</v>
      </c>
      <c r="I718" s="6" t="str">
        <f ca="1">IFERROR(__xludf.DUMMYFUNCTION("""COMPUTED_VALUE"""),"C2025411238823")</f>
        <v>C2025411238823</v>
      </c>
      <c r="J718" s="6" t="str">
        <f ca="1">IFERROR(__xludf.DUMMYFUNCTION("""COMPUTED_VALUE"""),"JOSE LAFONT MARTINEZ")</f>
        <v>JOSE LAFONT MARTINEZ</v>
      </c>
      <c r="K718" s="6">
        <f ca="1">IFERROR(__xludf.DUMMYFUNCTION("""COMPUTED_VALUE"""),2)</f>
        <v>2</v>
      </c>
      <c r="L718" s="139">
        <f ca="1">IFERROR(__xludf.DUMMYFUNCTION("""COMPUTED_VALUE"""),3710)</f>
        <v>3710</v>
      </c>
      <c r="M718" s="6" t="str">
        <f ca="1">IFERROR(__xludf.DUMMYFUNCTION("""COMPUTED_VALUE"""),"03 ORL")</f>
        <v>03 ORL</v>
      </c>
      <c r="N718" s="6" t="str">
        <f ca="1">IFERROR(__xludf.DUMMYFUNCTION("""COMPUTED_VALUE"""),"06 ORL")</f>
        <v>06 ORL</v>
      </c>
      <c r="O718" s="6" t="str">
        <f ca="1">IFERROR(__xludf.DUMMYFUNCTION("""COMPUTED_VALUE"""),"Dra, María Begoña Capella Soriano")</f>
        <v>Dra, María Begoña Capella Soriano</v>
      </c>
      <c r="P718" s="6" t="str">
        <f ca="1">IFERROR(__xludf.DUMMYFUNCTION("""COMPUTED_VALUE"""),"Ramon Ferrando(Valencia)")</f>
        <v>Ramon Ferrando(Valencia)</v>
      </c>
    </row>
    <row r="719" spans="2:16">
      <c r="B719" s="6">
        <f ca="1">IFERROR(__xludf.DUMMYFUNCTION("""COMPUTED_VALUE"""),2025)</f>
        <v>2025</v>
      </c>
      <c r="C719" s="6">
        <f ca="1">IFERROR(__xludf.DUMMYFUNCTION("""COMPUTED_VALUE"""),5)</f>
        <v>5</v>
      </c>
      <c r="D719" s="6" t="str">
        <f ca="1">IFERROR(__xludf.DUMMYFUNCTION("""COMPUTED_VALUE"""),"NO")</f>
        <v>NO</v>
      </c>
      <c r="E719" s="6" t="str">
        <f ca="1">IFERROR(__xludf.DUMMYFUNCTION("""COMPUTED_VALUE"""),"Valencia- Parra")</f>
        <v>Valencia- Parra</v>
      </c>
      <c r="F719" s="16">
        <f ca="1">IFERROR(__xludf.DUMMYFUNCTION("""COMPUTED_VALUE"""),45800)</f>
        <v>45800</v>
      </c>
      <c r="G719" s="16">
        <f ca="1">IFERROR(__xludf.DUMMYFUNCTION("""COMPUTED_VALUE"""),45736)</f>
        <v>45736</v>
      </c>
      <c r="H719" s="6" t="str">
        <f ca="1">IFERROR(__xludf.DUMMYFUNCTION("""COMPUTED_VALUE"""),"Valencia- Parra")</f>
        <v>Valencia- Parra</v>
      </c>
      <c r="I719" s="6" t="str">
        <f ca="1">IFERROR(__xludf.DUMMYFUNCTION("""COMPUTED_VALUE"""),"C2025327175754453")</f>
        <v>C2025327175754453</v>
      </c>
      <c r="J719" s="6" t="str">
        <f ca="1">IFERROR(__xludf.DUMMYFUNCTION("""COMPUTED_VALUE"""),"ROCIO DOMINGUEZ DOMINGUEZ")</f>
        <v>ROCIO DOMINGUEZ DOMINGUEZ</v>
      </c>
      <c r="K719" s="6">
        <f ca="1">IFERROR(__xludf.DUMMYFUNCTION("""COMPUTED_VALUE"""),2)</f>
        <v>2</v>
      </c>
      <c r="L719" s="139">
        <f ca="1">IFERROR(__xludf.DUMMYFUNCTION("""COMPUTED_VALUE"""),4000)</f>
        <v>4000</v>
      </c>
      <c r="M719" s="6" t="str">
        <f ca="1">IFERROR(__xludf.DUMMYFUNCTION("""COMPUTED_VALUE"""),"03 ORL")</f>
        <v>03 ORL</v>
      </c>
      <c r="N719" s="6" t="str">
        <f ca="1">IFERROR(__xludf.DUMMYFUNCTION("""COMPUTED_VALUE"""),"06 ORL")</f>
        <v>06 ORL</v>
      </c>
      <c r="O719" s="6" t="str">
        <f ca="1">IFERROR(__xludf.DUMMYFUNCTION("""COMPUTED_VALUE"""),"Dr, Manuel Mateos Fernández")</f>
        <v>Dr, Manuel Mateos Fernández</v>
      </c>
      <c r="P719" s="6" t="str">
        <f ca="1">IFERROR(__xludf.DUMMYFUNCTION("""COMPUTED_VALUE"""),"Ramon Ferrando(Valencia)")</f>
        <v>Ramon Ferrando(Valencia)</v>
      </c>
    </row>
    <row r="720" spans="2:16">
      <c r="B720" s="6">
        <f ca="1">IFERROR(__xludf.DUMMYFUNCTION("""COMPUTED_VALUE"""),2025)</f>
        <v>2025</v>
      </c>
      <c r="C720" s="6">
        <f ca="1">IFERROR(__xludf.DUMMYFUNCTION("""COMPUTED_VALUE"""),5)</f>
        <v>5</v>
      </c>
      <c r="D720" s="6" t="str">
        <f ca="1">IFERROR(__xludf.DUMMYFUNCTION("""COMPUTED_VALUE"""),"NO")</f>
        <v>NO</v>
      </c>
      <c r="E720" s="6" t="str">
        <f ca="1">IFERROR(__xludf.DUMMYFUNCTION("""COMPUTED_VALUE"""),"Valencia- Parra")</f>
        <v>Valencia- Parra</v>
      </c>
      <c r="F720" s="16">
        <f ca="1">IFERROR(__xludf.DUMMYFUNCTION("""COMPUTED_VALUE"""),45797)</f>
        <v>45797</v>
      </c>
      <c r="G720" s="16">
        <f ca="1">IFERROR(__xludf.DUMMYFUNCTION("""COMPUTED_VALUE"""),45740)</f>
        <v>45740</v>
      </c>
      <c r="H720" s="6" t="str">
        <f ca="1">IFERROR(__xludf.DUMMYFUNCTION("""COMPUTED_VALUE"""),"Valencia- Parra")</f>
        <v>Valencia- Parra</v>
      </c>
      <c r="I720" s="6" t="str">
        <f ca="1">IFERROR(__xludf.DUMMYFUNCTION("""COMPUTED_VALUE"""),"C202541182926561")</f>
        <v>C202541182926561</v>
      </c>
      <c r="J720" s="6" t="str">
        <f ca="1">IFERROR(__xludf.DUMMYFUNCTION("""COMPUTED_VALUE"""),"VICENTE FERRER PILES")</f>
        <v>VICENTE FERRER PILES</v>
      </c>
      <c r="K720" s="6">
        <f ca="1">IFERROR(__xludf.DUMMYFUNCTION("""COMPUTED_VALUE"""),1)</f>
        <v>1</v>
      </c>
      <c r="L720" s="139">
        <f ca="1">IFERROR(__xludf.DUMMYFUNCTION("""COMPUTED_VALUE"""),2400)</f>
        <v>2400</v>
      </c>
      <c r="M720" s="6" t="str">
        <f ca="1">IFERROR(__xludf.DUMMYFUNCTION("""COMPUTED_VALUE"""),"03 ORL")</f>
        <v>03 ORL</v>
      </c>
      <c r="N720" s="6" t="str">
        <f ca="1">IFERROR(__xludf.DUMMYFUNCTION("""COMPUTED_VALUE"""),"06 ORL")</f>
        <v>06 ORL</v>
      </c>
      <c r="O720" s="6" t="str">
        <f ca="1">IFERROR(__xludf.DUMMYFUNCTION("""COMPUTED_VALUE"""),"Dr, Jean Franco Intraprendente Martini")</f>
        <v>Dr, Jean Franco Intraprendente Martini</v>
      </c>
      <c r="P720" s="6" t="str">
        <f ca="1">IFERROR(__xludf.DUMMYFUNCTION("""COMPUTED_VALUE"""),"Ramon Ferrando(Valencia)")</f>
        <v>Ramon Ferrando(Valencia)</v>
      </c>
    </row>
    <row r="721" spans="2:16">
      <c r="B721" s="6">
        <f ca="1">IFERROR(__xludf.DUMMYFUNCTION("""COMPUTED_VALUE"""),2025)</f>
        <v>2025</v>
      </c>
      <c r="C721" s="6">
        <f ca="1">IFERROR(__xludf.DUMMYFUNCTION("""COMPUTED_VALUE"""),5)</f>
        <v>5</v>
      </c>
      <c r="D721" s="6" t="str">
        <f ca="1">IFERROR(__xludf.DUMMYFUNCTION("""COMPUTED_VALUE"""),"NO")</f>
        <v>NO</v>
      </c>
      <c r="E721" s="6" t="str">
        <f ca="1">IFERROR(__xludf.DUMMYFUNCTION("""COMPUTED_VALUE"""),"Vilanova")</f>
        <v>Vilanova</v>
      </c>
      <c r="F721" s="16">
        <f ca="1">IFERROR(__xludf.DUMMYFUNCTION("""COMPUTED_VALUE"""),45785)</f>
        <v>45785</v>
      </c>
      <c r="G721" s="16">
        <f ca="1">IFERROR(__xludf.DUMMYFUNCTION("""COMPUTED_VALUE"""),45749)</f>
        <v>45749</v>
      </c>
      <c r="H721" s="6" t="str">
        <f ca="1">IFERROR(__xludf.DUMMYFUNCTION("""COMPUTED_VALUE"""),"Vilanova")</f>
        <v>Vilanova</v>
      </c>
      <c r="I721" s="6" t="str">
        <f ca="1">IFERROR(__xludf.DUMMYFUNCTION("""COMPUTED_VALUE"""),"C20254911245719")</f>
        <v>C20254911245719</v>
      </c>
      <c r="J721" s="6" t="str">
        <f ca="1">IFERROR(__xludf.DUMMYFUNCTION("""COMPUTED_VALUE"""),"DIEGO LOPEZ GARCIA")</f>
        <v>DIEGO LOPEZ GARCIA</v>
      </c>
      <c r="K721" s="6">
        <f ca="1">IFERROR(__xludf.DUMMYFUNCTION("""COMPUTED_VALUE"""),2)</f>
        <v>2</v>
      </c>
      <c r="L721" s="139">
        <f ca="1">IFERROR(__xludf.DUMMYFUNCTION("""COMPUTED_VALUE"""),3603.85)</f>
        <v>3603.85</v>
      </c>
      <c r="M721" s="6" t="str">
        <f ca="1">IFERROR(__xludf.DUMMYFUNCTION("""COMPUTED_VALUE"""),"03 ORL")</f>
        <v>03 ORL</v>
      </c>
      <c r="N721" s="6" t="str">
        <f ca="1">IFERROR(__xludf.DUMMYFUNCTION("""COMPUTED_VALUE"""),"06 ORL")</f>
        <v>06 ORL</v>
      </c>
      <c r="O721" s="6" t="str">
        <f ca="1">IFERROR(__xludf.DUMMYFUNCTION("""COMPUTED_VALUE"""),"Dr, Enrique Romero Van Abeleen")</f>
        <v>Dr, Enrique Romero Van Abeleen</v>
      </c>
      <c r="P721" s="6" t="str">
        <f ca="1">IFERROR(__xludf.DUMMYFUNCTION("""COMPUTED_VALUE"""),"Mercè Cabrera (Cataluña Y Baleares)")</f>
        <v>Mercè Cabrera (Cataluña Y Baleares)</v>
      </c>
    </row>
    <row r="722" spans="2:16">
      <c r="B722" s="6">
        <f ca="1">IFERROR(__xludf.DUMMYFUNCTION("""COMPUTED_VALUE"""),2025)</f>
        <v>2025</v>
      </c>
      <c r="C722" s="6">
        <f ca="1">IFERROR(__xludf.DUMMYFUNCTION("""COMPUTED_VALUE"""),5)</f>
        <v>5</v>
      </c>
      <c r="D722" s="6" t="str">
        <f ca="1">IFERROR(__xludf.DUMMYFUNCTION("""COMPUTED_VALUE"""),"NO")</f>
        <v>NO</v>
      </c>
      <c r="E722" s="6" t="str">
        <f ca="1">IFERROR(__xludf.DUMMYFUNCTION("""COMPUTED_VALUE"""),"Vilanova")</f>
        <v>Vilanova</v>
      </c>
      <c r="F722" s="16">
        <f ca="1">IFERROR(__xludf.DUMMYFUNCTION("""COMPUTED_VALUE"""),45804)</f>
        <v>45804</v>
      </c>
      <c r="G722" s="16">
        <f ca="1">IFERROR(__xludf.DUMMYFUNCTION("""COMPUTED_VALUE"""),45755)</f>
        <v>45755</v>
      </c>
      <c r="H722" s="6" t="str">
        <f ca="1">IFERROR(__xludf.DUMMYFUNCTION("""COMPUTED_VALUE"""),"Vilanova")</f>
        <v>Vilanova</v>
      </c>
      <c r="I722" s="6" t="str">
        <f ca="1">IFERROR(__xludf.DUMMYFUNCTION("""COMPUTED_VALUE"""),"C202542210295671")</f>
        <v>C202542210295671</v>
      </c>
      <c r="J722" s="6" t="str">
        <f ca="1">IFERROR(__xludf.DUMMYFUNCTION("""COMPUTED_VALUE"""),"MANUELA PAJUELO VALSERA")</f>
        <v>MANUELA PAJUELO VALSERA</v>
      </c>
      <c r="K722" s="6">
        <f ca="1">IFERROR(__xludf.DUMMYFUNCTION("""COMPUTED_VALUE"""),1)</f>
        <v>1</v>
      </c>
      <c r="L722" s="139">
        <f ca="1">IFERROR(__xludf.DUMMYFUNCTION("""COMPUTED_VALUE"""),2162.73)</f>
        <v>2162.73</v>
      </c>
      <c r="M722" s="6" t="str">
        <f ca="1">IFERROR(__xludf.DUMMYFUNCTION("""COMPUTED_VALUE"""),"03 ORL")</f>
        <v>03 ORL</v>
      </c>
      <c r="N722" s="6" t="str">
        <f ca="1">IFERROR(__xludf.DUMMYFUNCTION("""COMPUTED_VALUE"""),"06 ORL")</f>
        <v>06 ORL</v>
      </c>
      <c r="O722" s="6" t="str">
        <f ca="1">IFERROR(__xludf.DUMMYFUNCTION("""COMPUTED_VALUE"""),"Dr, Enrique Romero Van Abeleen")</f>
        <v>Dr, Enrique Romero Van Abeleen</v>
      </c>
      <c r="P722" s="6" t="str">
        <f ca="1">IFERROR(__xludf.DUMMYFUNCTION("""COMPUTED_VALUE"""),"Mercè Cabrera (Cataluña Y Baleares)")</f>
        <v>Mercè Cabrera (Cataluña Y Baleares)</v>
      </c>
    </row>
    <row r="723" spans="2:16">
      <c r="B723" s="6">
        <f ca="1">IFERROR(__xludf.DUMMYFUNCTION("""COMPUTED_VALUE"""),2025)</f>
        <v>2025</v>
      </c>
      <c r="C723" s="6">
        <f ca="1">IFERROR(__xludf.DUMMYFUNCTION("""COMPUTED_VALUE"""),5)</f>
        <v>5</v>
      </c>
      <c r="D723" s="6" t="str">
        <f ca="1">IFERROR(__xludf.DUMMYFUNCTION("""COMPUTED_VALUE"""),"NO")</f>
        <v>NO</v>
      </c>
      <c r="E723" s="6" t="str">
        <f ca="1">IFERROR(__xludf.DUMMYFUNCTION("""COMPUTED_VALUE"""),"Cáceres")</f>
        <v>Cáceres</v>
      </c>
      <c r="F723" s="16">
        <f ca="1">IFERROR(__xludf.DUMMYFUNCTION("""COMPUTED_VALUE"""),45779)</f>
        <v>45779</v>
      </c>
      <c r="G723" s="16">
        <f ca="1">IFERROR(__xludf.DUMMYFUNCTION("""COMPUTED_VALUE"""),45754)</f>
        <v>45754</v>
      </c>
      <c r="H723" s="6" t="str">
        <f ca="1">IFERROR(__xludf.DUMMYFUNCTION("""COMPUTED_VALUE"""),"Cáceres")</f>
        <v>Cáceres</v>
      </c>
      <c r="I723" s="6" t="str">
        <f ca="1">IFERROR(__xludf.DUMMYFUNCTION("""COMPUTED_VALUE"""),"CAC-265")</f>
        <v>CAC-265</v>
      </c>
      <c r="J723" s="6" t="str">
        <f ca="1">IFERROR(__xludf.DUMMYFUNCTION("""COMPUTED_VALUE"""),"JUANA SAAVEDRA TODON")</f>
        <v>JUANA SAAVEDRA TODON</v>
      </c>
      <c r="K723" s="6">
        <f ca="1">IFERROR(__xludf.DUMMYFUNCTION("""COMPUTED_VALUE"""),2)</f>
        <v>2</v>
      </c>
      <c r="L723" s="139">
        <f ca="1">IFERROR(__xludf.DUMMYFUNCTION("""COMPUTED_VALUE"""),3474.55)</f>
        <v>3474.55</v>
      </c>
      <c r="M723" s="6" t="str">
        <f ca="1">IFERROR(__xludf.DUMMYFUNCTION("""COMPUTED_VALUE"""),"03 ORL")</f>
        <v>03 ORL</v>
      </c>
      <c r="N723" s="6" t="str">
        <f ca="1">IFERROR(__xludf.DUMMYFUNCTION("""COMPUTED_VALUE"""),"06 ORL")</f>
        <v>06 ORL</v>
      </c>
      <c r="O723" s="6" t="str">
        <f ca="1">IFERROR(__xludf.DUMMYFUNCTION("""COMPUTED_VALUE"""),"Dr, Javier García Gómez")</f>
        <v>Dr, Javier García Gómez</v>
      </c>
      <c r="P723" s="6" t="str">
        <f ca="1">IFERROR(__xludf.DUMMYFUNCTION("""COMPUTED_VALUE"""),"Lisandro Russian (Madrid, Cáceres, Toledo, Talavera Y Logroño)")</f>
        <v>Lisandro Russian (Madrid, Cáceres, Toledo, Talavera Y Logroño)</v>
      </c>
    </row>
    <row r="724" spans="2:16">
      <c r="B724" s="6">
        <f ca="1">IFERROR(__xludf.DUMMYFUNCTION("""COMPUTED_VALUE"""),2025)</f>
        <v>2025</v>
      </c>
      <c r="C724" s="6">
        <f ca="1">IFERROR(__xludf.DUMMYFUNCTION("""COMPUTED_VALUE"""),5)</f>
        <v>5</v>
      </c>
      <c r="D724" s="6" t="str">
        <f ca="1">IFERROR(__xludf.DUMMYFUNCTION("""COMPUTED_VALUE"""),"NO")</f>
        <v>NO</v>
      </c>
      <c r="E724" s="6" t="str">
        <f ca="1">IFERROR(__xludf.DUMMYFUNCTION("""COMPUTED_VALUE"""),"Cáceres")</f>
        <v>Cáceres</v>
      </c>
      <c r="F724" s="16">
        <f ca="1">IFERROR(__xludf.DUMMYFUNCTION("""COMPUTED_VALUE"""),45780)</f>
        <v>45780</v>
      </c>
      <c r="G724" s="16">
        <f ca="1">IFERROR(__xludf.DUMMYFUNCTION("""COMPUTED_VALUE"""),45750)</f>
        <v>45750</v>
      </c>
      <c r="H724" s="6" t="str">
        <f ca="1">IFERROR(__xludf.DUMMYFUNCTION("""COMPUTED_VALUE"""),"Cáceres")</f>
        <v>Cáceres</v>
      </c>
      <c r="I724" s="6" t="str">
        <f ca="1">IFERROR(__xludf.DUMMYFUNCTION("""COMPUTED_VALUE"""),"CAC-264")</f>
        <v>CAC-264</v>
      </c>
      <c r="J724" s="6" t="str">
        <f ca="1">IFERROR(__xludf.DUMMYFUNCTION("""COMPUTED_VALUE"""),"AGUSTIN RODRIGUEZ FLORES")</f>
        <v>AGUSTIN RODRIGUEZ FLORES</v>
      </c>
      <c r="K724" s="6">
        <f ca="1">IFERROR(__xludf.DUMMYFUNCTION("""COMPUTED_VALUE"""),2)</f>
        <v>2</v>
      </c>
      <c r="L724" s="139">
        <f ca="1">IFERROR(__xludf.DUMMYFUNCTION("""COMPUTED_VALUE"""),3185.45)</f>
        <v>3185.45</v>
      </c>
      <c r="M724" s="6" t="str">
        <f ca="1">IFERROR(__xludf.DUMMYFUNCTION("""COMPUTED_VALUE"""),"03 ORL")</f>
        <v>03 ORL</v>
      </c>
      <c r="N724" s="6" t="str">
        <f ca="1">IFERROR(__xludf.DUMMYFUNCTION("""COMPUTED_VALUE"""),"06 ORL")</f>
        <v>06 ORL</v>
      </c>
      <c r="O724" s="6" t="str">
        <f ca="1">IFERROR(__xludf.DUMMYFUNCTION("""COMPUTED_VALUE"""),"Dr, Rafael Sanz Trenado")</f>
        <v>Dr, Rafael Sanz Trenado</v>
      </c>
      <c r="P724" s="6" t="str">
        <f ca="1">IFERROR(__xludf.DUMMYFUNCTION("""COMPUTED_VALUE"""),"Lisandro Russian (Madrid, Cáceres, Toledo, Talavera Y Logroño)")</f>
        <v>Lisandro Russian (Madrid, Cáceres, Toledo, Talavera Y Logroño)</v>
      </c>
    </row>
    <row r="725" spans="2:16">
      <c r="B725" s="6">
        <f ca="1">IFERROR(__xludf.DUMMYFUNCTION("""COMPUTED_VALUE"""),2025)</f>
        <v>2025</v>
      </c>
      <c r="C725" s="6">
        <f ca="1">IFERROR(__xludf.DUMMYFUNCTION("""COMPUTED_VALUE"""),5)</f>
        <v>5</v>
      </c>
      <c r="D725" s="6" t="str">
        <f ca="1">IFERROR(__xludf.DUMMYFUNCTION("""COMPUTED_VALUE"""),"NO")</f>
        <v>NO</v>
      </c>
      <c r="E725" s="6" t="str">
        <f ca="1">IFERROR(__xludf.DUMMYFUNCTION("""COMPUTED_VALUE"""),"Salamanca")</f>
        <v>Salamanca</v>
      </c>
      <c r="F725" s="16">
        <f ca="1">IFERROR(__xludf.DUMMYFUNCTION("""COMPUTED_VALUE"""),45782)</f>
        <v>45782</v>
      </c>
      <c r="G725" s="16">
        <f ca="1">IFERROR(__xludf.DUMMYFUNCTION("""COMPUTED_VALUE"""),45722)</f>
        <v>45722</v>
      </c>
      <c r="H725" s="6" t="str">
        <f ca="1">IFERROR(__xludf.DUMMYFUNCTION("""COMPUTED_VALUE"""),"Salamanca")</f>
        <v>Salamanca</v>
      </c>
      <c r="I725" s="6" t="str">
        <f ca="1">IFERROR(__xludf.DUMMYFUNCTION("""COMPUTED_VALUE"""),"SLM-498")</f>
        <v>SLM-498</v>
      </c>
      <c r="J725" s="6" t="str">
        <f ca="1">IFERROR(__xludf.DUMMYFUNCTION("""COMPUTED_VALUE"""),"TERESA DOSUNA SANCHEZ")</f>
        <v>TERESA DOSUNA SANCHEZ</v>
      </c>
      <c r="K725" s="6">
        <f ca="1">IFERROR(__xludf.DUMMYFUNCTION("""COMPUTED_VALUE"""),2)</f>
        <v>2</v>
      </c>
      <c r="L725" s="139">
        <f ca="1">IFERROR(__xludf.DUMMYFUNCTION("""COMPUTED_VALUE"""),3604.55)</f>
        <v>3604.55</v>
      </c>
      <c r="M725" s="6" t="str">
        <f ca="1">IFERROR(__xludf.DUMMYFUNCTION("""COMPUTED_VALUE"""),"03 ORL")</f>
        <v>03 ORL</v>
      </c>
      <c r="N725" s="6" t="str">
        <f ca="1">IFERROR(__xludf.DUMMYFUNCTION("""COMPUTED_VALUE"""),"06 ORL")</f>
        <v>06 ORL</v>
      </c>
      <c r="O725" s="6" t="str">
        <f ca="1">IFERROR(__xludf.DUMMYFUNCTION("""COMPUTED_VALUE"""),"No Recuerda Orl")</f>
        <v>No Recuerda Orl</v>
      </c>
      <c r="P725" s="6" t="str">
        <f ca="1">IFERROR(__xludf.DUMMYFUNCTION("""COMPUTED_VALUE"""),"Patricia Solache (Castilla Y León)")</f>
        <v>Patricia Solache (Castilla Y León)</v>
      </c>
    </row>
    <row r="726" spans="2:16">
      <c r="B726" s="6">
        <f ca="1">IFERROR(__xludf.DUMMYFUNCTION("""COMPUTED_VALUE"""),2025)</f>
        <v>2025</v>
      </c>
      <c r="C726" s="6">
        <f ca="1">IFERROR(__xludf.DUMMYFUNCTION("""COMPUTED_VALUE"""),5)</f>
        <v>5</v>
      </c>
      <c r="D726" s="6" t="str">
        <f ca="1">IFERROR(__xludf.DUMMYFUNCTION("""COMPUTED_VALUE"""),"NO")</f>
        <v>NO</v>
      </c>
      <c r="E726" s="6" t="str">
        <f ca="1">IFERROR(__xludf.DUMMYFUNCTION("""COMPUTED_VALUE"""),"Boiro")</f>
        <v>Boiro</v>
      </c>
      <c r="F726" s="16">
        <f ca="1">IFERROR(__xludf.DUMMYFUNCTION("""COMPUTED_VALUE"""),45782)</f>
        <v>45782</v>
      </c>
      <c r="G726" s="16">
        <f ca="1">IFERROR(__xludf.DUMMYFUNCTION("""COMPUTED_VALUE"""),45751)</f>
        <v>45751</v>
      </c>
      <c r="H726" s="6" t="str">
        <f ca="1">IFERROR(__xludf.DUMMYFUNCTION("""COMPUTED_VALUE"""),"Boiro")</f>
        <v>Boiro</v>
      </c>
      <c r="I726" s="6" t="str">
        <f ca="1">IFERROR(__xludf.DUMMYFUNCTION("""COMPUTED_VALUE"""),"BOI-954")</f>
        <v>BOI-954</v>
      </c>
      <c r="J726" s="6" t="str">
        <f ca="1">IFERROR(__xludf.DUMMYFUNCTION("""COMPUTED_VALUE"""),"JOSEFA GONZALEZ  SANTAMARIA")</f>
        <v>JOSEFA GONZALEZ  SANTAMARIA</v>
      </c>
      <c r="K726" s="6">
        <f ca="1">IFERROR(__xludf.DUMMYFUNCTION("""COMPUTED_VALUE"""),2)</f>
        <v>2</v>
      </c>
      <c r="L726" s="139">
        <f ca="1">IFERROR(__xludf.DUMMYFUNCTION("""COMPUTED_VALUE"""),2900)</f>
        <v>2900</v>
      </c>
      <c r="M726" s="6" t="str">
        <f ca="1">IFERROR(__xludf.DUMMYFUNCTION("""COMPUTED_VALUE"""),"03 ORL")</f>
        <v>03 ORL</v>
      </c>
      <c r="N726" s="6" t="str">
        <f ca="1">IFERROR(__xludf.DUMMYFUNCTION("""COMPUTED_VALUE"""),"06 ORL")</f>
        <v>06 ORL</v>
      </c>
      <c r="O726" s="6" t="str">
        <f ca="1">IFERROR(__xludf.DUMMYFUNCTION("""COMPUTED_VALUE"""),"Dr, Ernesto Varela Martínez")</f>
        <v>Dr, Ernesto Varela Martínez</v>
      </c>
      <c r="P726" s="6" t="str">
        <f ca="1">IFERROR(__xludf.DUMMYFUNCTION("""COMPUTED_VALUE"""),"Roberto Pereira (Galicia)")</f>
        <v>Roberto Pereira (Galicia)</v>
      </c>
    </row>
    <row r="727" spans="2:16">
      <c r="B727" s="6">
        <f ca="1">IFERROR(__xludf.DUMMYFUNCTION("""COMPUTED_VALUE"""),2025)</f>
        <v>2025</v>
      </c>
      <c r="C727" s="6">
        <f ca="1">IFERROR(__xludf.DUMMYFUNCTION("""COMPUTED_VALUE"""),5)</f>
        <v>5</v>
      </c>
      <c r="D727" s="6" t="str">
        <f ca="1">IFERROR(__xludf.DUMMYFUNCTION("""COMPUTED_VALUE"""),"NO")</f>
        <v>NO</v>
      </c>
      <c r="E727" s="6" t="str">
        <f ca="1">IFERROR(__xludf.DUMMYFUNCTION("""COMPUTED_VALUE"""),"Boiro")</f>
        <v>Boiro</v>
      </c>
      <c r="F727" s="16">
        <f ca="1">IFERROR(__xludf.DUMMYFUNCTION("""COMPUTED_VALUE"""),45782)</f>
        <v>45782</v>
      </c>
      <c r="G727" s="16">
        <f ca="1">IFERROR(__xludf.DUMMYFUNCTION("""COMPUTED_VALUE"""),45762)</f>
        <v>45762</v>
      </c>
      <c r="H727" s="6" t="str">
        <f ca="1">IFERROR(__xludf.DUMMYFUNCTION("""COMPUTED_VALUE"""),"Boiro")</f>
        <v>Boiro</v>
      </c>
      <c r="I727" s="6" t="str">
        <f ca="1">IFERROR(__xludf.DUMMYFUNCTION("""COMPUTED_VALUE"""),"BOI-956")</f>
        <v>BOI-956</v>
      </c>
      <c r="J727" s="6" t="str">
        <f ca="1">IFERROR(__xludf.DUMMYFUNCTION("""COMPUTED_VALUE"""),"CONSTANTINA ARCOS REY")</f>
        <v>CONSTANTINA ARCOS REY</v>
      </c>
      <c r="K727" s="6">
        <f ca="1">IFERROR(__xludf.DUMMYFUNCTION("""COMPUTED_VALUE"""),2)</f>
        <v>2</v>
      </c>
      <c r="L727" s="139">
        <f ca="1">IFERROR(__xludf.DUMMYFUNCTION("""COMPUTED_VALUE"""),2709.09)</f>
        <v>2709.09</v>
      </c>
      <c r="M727" s="6" t="str">
        <f ca="1">IFERROR(__xludf.DUMMYFUNCTION("""COMPUTED_VALUE"""),"03 ORL")</f>
        <v>03 ORL</v>
      </c>
      <c r="N727" s="6" t="str">
        <f ca="1">IFERROR(__xludf.DUMMYFUNCTION("""COMPUTED_VALUE"""),"06 ORL")</f>
        <v>06 ORL</v>
      </c>
      <c r="O727" s="6" t="str">
        <f ca="1">IFERROR(__xludf.DUMMYFUNCTION("""COMPUTED_VALUE"""),"Dr, Carlos Vidal Redondo")</f>
        <v>Dr, Carlos Vidal Redondo</v>
      </c>
      <c r="P727" s="6" t="str">
        <f ca="1">IFERROR(__xludf.DUMMYFUNCTION("""COMPUTED_VALUE"""),"Roberto Pereira (Galicia)")</f>
        <v>Roberto Pereira (Galicia)</v>
      </c>
    </row>
    <row r="728" spans="2:16">
      <c r="B728" s="6">
        <f ca="1">IFERROR(__xludf.DUMMYFUNCTION("""COMPUTED_VALUE"""),2025)</f>
        <v>2025</v>
      </c>
      <c r="C728" s="6">
        <f ca="1">IFERROR(__xludf.DUMMYFUNCTION("""COMPUTED_VALUE"""),5)</f>
        <v>5</v>
      </c>
      <c r="D728" s="6" t="str">
        <f ca="1">IFERROR(__xludf.DUMMYFUNCTION("""COMPUTED_VALUE"""),"NO")</f>
        <v>NO</v>
      </c>
      <c r="E728" s="6" t="str">
        <f ca="1">IFERROR(__xludf.DUMMYFUNCTION("""COMPUTED_VALUE"""),"Sevilla- Ciencias")</f>
        <v>Sevilla- Ciencias</v>
      </c>
      <c r="F728" s="16">
        <f ca="1">IFERROR(__xludf.DUMMYFUNCTION("""COMPUTED_VALUE"""),45783)</f>
        <v>45783</v>
      </c>
      <c r="G728" s="16">
        <f ca="1">IFERROR(__xludf.DUMMYFUNCTION("""COMPUTED_VALUE"""),45751)</f>
        <v>45751</v>
      </c>
      <c r="H728" s="6" t="str">
        <f ca="1">IFERROR(__xludf.DUMMYFUNCTION("""COMPUTED_VALUE"""),"Sevilla Este")</f>
        <v>Sevilla Este</v>
      </c>
      <c r="I728" s="6" t="str">
        <f ca="1">IFERROR(__xludf.DUMMYFUNCTION("""COMPUTED_VALUE"""),"SEVE-393")</f>
        <v>SEVE-393</v>
      </c>
      <c r="J728" s="6" t="str">
        <f ca="1">IFERROR(__xludf.DUMMYFUNCTION("""COMPUTED_VALUE"""),"FELIX NAVARRO PECELLIN")</f>
        <v>FELIX NAVARRO PECELLIN</v>
      </c>
      <c r="K728" s="6">
        <f ca="1">IFERROR(__xludf.DUMMYFUNCTION("""COMPUTED_VALUE"""),1)</f>
        <v>1</v>
      </c>
      <c r="L728" s="139">
        <f ca="1">IFERROR(__xludf.DUMMYFUNCTION("""COMPUTED_VALUE"""),2400)</f>
        <v>2400</v>
      </c>
      <c r="M728" s="6" t="str">
        <f ca="1">IFERROR(__xludf.DUMMYFUNCTION("""COMPUTED_VALUE"""),"03 ORL")</f>
        <v>03 ORL</v>
      </c>
      <c r="N728" s="6" t="str">
        <f ca="1">IFERROR(__xludf.DUMMYFUNCTION("""COMPUTED_VALUE"""),"06 ORL")</f>
        <v>06 ORL</v>
      </c>
      <c r="O728" s="6" t="str">
        <f ca="1">IFERROR(__xludf.DUMMYFUNCTION("""COMPUTED_VALUE"""),"Dr, Francisco Javier Aguilar Vera")</f>
        <v>Dr, Francisco Javier Aguilar Vera</v>
      </c>
      <c r="P728" s="6" t="str">
        <f ca="1">IFERROR(__xludf.DUMMYFUNCTION("""COMPUTED_VALUE"""),"Luis Alberto Rodríguez (Andalucía Y Badajoz)")</f>
        <v>Luis Alberto Rodríguez (Andalucía Y Badajoz)</v>
      </c>
    </row>
    <row r="729" spans="2:16">
      <c r="B729" s="6">
        <f ca="1">IFERROR(__xludf.DUMMYFUNCTION("""COMPUTED_VALUE"""),2025)</f>
        <v>2025</v>
      </c>
      <c r="C729" s="6">
        <f ca="1">IFERROR(__xludf.DUMMYFUNCTION("""COMPUTED_VALUE"""),5)</f>
        <v>5</v>
      </c>
      <c r="D729" s="6" t="str">
        <f ca="1">IFERROR(__xludf.DUMMYFUNCTION("""COMPUTED_VALUE"""),"NO")</f>
        <v>NO</v>
      </c>
      <c r="E729" s="6" t="str">
        <f ca="1">IFERROR(__xludf.DUMMYFUNCTION("""COMPUTED_VALUE"""),"Badajoz")</f>
        <v>Badajoz</v>
      </c>
      <c r="F729" s="16">
        <f ca="1">IFERROR(__xludf.DUMMYFUNCTION("""COMPUTED_VALUE"""),45784)</f>
        <v>45784</v>
      </c>
      <c r="G729" s="16">
        <f ca="1">IFERROR(__xludf.DUMMYFUNCTION("""COMPUTED_VALUE"""),45240)</f>
        <v>45240</v>
      </c>
      <c r="H729" s="6" t="str">
        <f ca="1">IFERROR(__xludf.DUMMYFUNCTION("""COMPUTED_VALUE"""),"Badajoz")</f>
        <v>Badajoz</v>
      </c>
      <c r="I729" s="6" t="str">
        <f ca="1">IFERROR(__xludf.DUMMYFUNCTION("""COMPUTED_VALUE"""),"BJZE-2245")</f>
        <v>BJZE-2245</v>
      </c>
      <c r="J729" s="6" t="str">
        <f ca="1">IFERROR(__xludf.DUMMYFUNCTION("""COMPUTED_VALUE"""),"MARIUA MAGDALENA FRAGOSO MONGE")</f>
        <v>MARIUA MAGDALENA FRAGOSO MONGE</v>
      </c>
      <c r="K729" s="6">
        <f ca="1">IFERROR(__xludf.DUMMYFUNCTION("""COMPUTED_VALUE"""),1)</f>
        <v>1</v>
      </c>
      <c r="L729" s="139">
        <f ca="1">IFERROR(__xludf.DUMMYFUNCTION("""COMPUTED_VALUE"""),1363.64)</f>
        <v>1363.64</v>
      </c>
      <c r="M729" s="6" t="str">
        <f ca="1">IFERROR(__xludf.DUMMYFUNCTION("""COMPUTED_VALUE"""),"03 ORL")</f>
        <v>03 ORL</v>
      </c>
      <c r="N729" s="6" t="str">
        <f ca="1">IFERROR(__xludf.DUMMYFUNCTION("""COMPUTED_VALUE"""),"06 ORL")</f>
        <v>06 ORL</v>
      </c>
      <c r="O729" s="6" t="str">
        <f ca="1">IFERROR(__xludf.DUMMYFUNCTION("""COMPUTED_VALUE"""),"Dra, Raquel Solis Vazquez")</f>
        <v>Dra, Raquel Solis Vazquez</v>
      </c>
      <c r="P729" s="6" t="str">
        <f ca="1">IFERROR(__xludf.DUMMYFUNCTION("""COMPUTED_VALUE"""),"Luis Alberto Rodríguez (Andalucía Y Badajoz)")</f>
        <v>Luis Alberto Rodríguez (Andalucía Y Badajoz)</v>
      </c>
    </row>
    <row r="730" spans="2:16">
      <c r="B730" s="6">
        <f ca="1">IFERROR(__xludf.DUMMYFUNCTION("""COMPUTED_VALUE"""),2025)</f>
        <v>2025</v>
      </c>
      <c r="C730" s="6">
        <f ca="1">IFERROR(__xludf.DUMMYFUNCTION("""COMPUTED_VALUE"""),5)</f>
        <v>5</v>
      </c>
      <c r="D730" s="6" t="str">
        <f ca="1">IFERROR(__xludf.DUMMYFUNCTION("""COMPUTED_VALUE"""),"NO")</f>
        <v>NO</v>
      </c>
      <c r="E730" s="6" t="str">
        <f ca="1">IFERROR(__xludf.DUMMYFUNCTION("""COMPUTED_VALUE"""),"Valladolid")</f>
        <v>Valladolid</v>
      </c>
      <c r="F730" s="16">
        <f ca="1">IFERROR(__xludf.DUMMYFUNCTION("""COMPUTED_VALUE"""),45784)</f>
        <v>45784</v>
      </c>
      <c r="G730" s="16">
        <f ca="1">IFERROR(__xludf.DUMMYFUNCTION("""COMPUTED_VALUE"""),45741)</f>
        <v>45741</v>
      </c>
      <c r="H730" s="6" t="str">
        <f ca="1">IFERROR(__xludf.DUMMYFUNCTION("""COMPUTED_VALUE"""),"Valladolid")</f>
        <v>Valladolid</v>
      </c>
      <c r="I730" s="6" t="str">
        <f ca="1">IFERROR(__xludf.DUMMYFUNCTION("""COMPUTED_VALUE"""),"VLL-366")</f>
        <v>VLL-366</v>
      </c>
      <c r="J730" s="6" t="str">
        <f ca="1">IFERROR(__xludf.DUMMYFUNCTION("""COMPUTED_VALUE"""),"AGUSTINA QUEVEDO LOPEZ")</f>
        <v>AGUSTINA QUEVEDO LOPEZ</v>
      </c>
      <c r="K730" s="6">
        <f ca="1">IFERROR(__xludf.DUMMYFUNCTION("""COMPUTED_VALUE"""),1)</f>
        <v>1</v>
      </c>
      <c r="L730" s="139">
        <f ca="1">IFERROR(__xludf.DUMMYFUNCTION("""COMPUTED_VALUE"""),2080)</f>
        <v>2080</v>
      </c>
      <c r="M730" s="6" t="str">
        <f ca="1">IFERROR(__xludf.DUMMYFUNCTION("""COMPUTED_VALUE"""),"03 ORL")</f>
        <v>03 ORL</v>
      </c>
      <c r="N730" s="6" t="str">
        <f ca="1">IFERROR(__xludf.DUMMYFUNCTION("""COMPUTED_VALUE"""),"06 ORL")</f>
        <v>06 ORL</v>
      </c>
      <c r="O730" s="6" t="str">
        <f ca="1">IFERROR(__xludf.DUMMYFUNCTION("""COMPUTED_VALUE"""),"Dra, Ana Fernández Rodríguez")</f>
        <v>Dra, Ana Fernández Rodríguez</v>
      </c>
      <c r="P730" s="1" t="str">
        <f ca="1">IFERROR(__xludf.DUMMYFUNCTION("""COMPUTED_VALUE"""),"Roberto Pereira (Galicia)")</f>
        <v>Roberto Pereira (Galicia)</v>
      </c>
    </row>
    <row r="731" spans="2:16">
      <c r="B731" s="6">
        <f ca="1">IFERROR(__xludf.DUMMYFUNCTION("""COMPUTED_VALUE"""),2025)</f>
        <v>2025</v>
      </c>
      <c r="C731" s="6">
        <f ca="1">IFERROR(__xludf.DUMMYFUNCTION("""COMPUTED_VALUE"""),5)</f>
        <v>5</v>
      </c>
      <c r="D731" s="6" t="str">
        <f ca="1">IFERROR(__xludf.DUMMYFUNCTION("""COMPUTED_VALUE"""),"NO")</f>
        <v>NO</v>
      </c>
      <c r="E731" s="6" t="str">
        <f ca="1">IFERROR(__xludf.DUMMYFUNCTION("""COMPUTED_VALUE"""),"Cáceres")</f>
        <v>Cáceres</v>
      </c>
      <c r="F731" s="16">
        <f ca="1">IFERROR(__xludf.DUMMYFUNCTION("""COMPUTED_VALUE"""),45784)</f>
        <v>45784</v>
      </c>
      <c r="G731" s="16">
        <f ca="1">IFERROR(__xludf.DUMMYFUNCTION("""COMPUTED_VALUE"""),45744)</f>
        <v>45744</v>
      </c>
      <c r="H731" s="6" t="str">
        <f ca="1">IFERROR(__xludf.DUMMYFUNCTION("""COMPUTED_VALUE"""),"Cáceres")</f>
        <v>Cáceres</v>
      </c>
      <c r="I731" s="6" t="str">
        <f ca="1">IFERROR(__xludf.DUMMYFUNCTION("""COMPUTED_VALUE"""),"CAC-259")</f>
        <v>CAC-259</v>
      </c>
      <c r="J731" s="6" t="str">
        <f ca="1">IFERROR(__xludf.DUMMYFUNCTION("""COMPUTED_VALUE"""),"MARIA DE LOS ANGELES GALAN SERRANO")</f>
        <v>MARIA DE LOS ANGELES GALAN SERRANO</v>
      </c>
      <c r="K731" s="6">
        <f ca="1">IFERROR(__xludf.DUMMYFUNCTION("""COMPUTED_VALUE"""),1)</f>
        <v>1</v>
      </c>
      <c r="L731" s="139">
        <f ca="1">IFERROR(__xludf.DUMMYFUNCTION("""COMPUTED_VALUE"""),2119.09)</f>
        <v>2119.09</v>
      </c>
      <c r="M731" s="6" t="str">
        <f ca="1">IFERROR(__xludf.DUMMYFUNCTION("""COMPUTED_VALUE"""),"03 ORL")</f>
        <v>03 ORL</v>
      </c>
      <c r="N731" s="6" t="str">
        <f ca="1">IFERROR(__xludf.DUMMYFUNCTION("""COMPUTED_VALUE"""),"06 ORL")</f>
        <v>06 ORL</v>
      </c>
      <c r="O731" s="6" t="str">
        <f ca="1">IFERROR(__xludf.DUMMYFUNCTION("""COMPUTED_VALUE"""),"Dr, Manuel Martí Peña")</f>
        <v>Dr, Manuel Martí Peña</v>
      </c>
      <c r="P731" s="6" t="str">
        <f ca="1">IFERROR(__xludf.DUMMYFUNCTION("""COMPUTED_VALUE"""),"Lisandro Russian (Madrid, Cáceres, Toledo, Talavera Y Logroño)")</f>
        <v>Lisandro Russian (Madrid, Cáceres, Toledo, Talavera Y Logroño)</v>
      </c>
    </row>
    <row r="732" spans="2:16">
      <c r="B732" s="6">
        <f ca="1">IFERROR(__xludf.DUMMYFUNCTION("""COMPUTED_VALUE"""),2025)</f>
        <v>2025</v>
      </c>
      <c r="C732" s="6">
        <f ca="1">IFERROR(__xludf.DUMMYFUNCTION("""COMPUTED_VALUE"""),5)</f>
        <v>5</v>
      </c>
      <c r="D732" s="6" t="str">
        <f ca="1">IFERROR(__xludf.DUMMYFUNCTION("""COMPUTED_VALUE"""),"NO")</f>
        <v>NO</v>
      </c>
      <c r="E732" s="6" t="str">
        <f ca="1">IFERROR(__xludf.DUMMYFUNCTION("""COMPUTED_VALUE"""),"Cáceres")</f>
        <v>Cáceres</v>
      </c>
      <c r="F732" s="16">
        <f ca="1">IFERROR(__xludf.DUMMYFUNCTION("""COMPUTED_VALUE"""),45784)</f>
        <v>45784</v>
      </c>
      <c r="G732" s="16">
        <f ca="1">IFERROR(__xludf.DUMMYFUNCTION("""COMPUTED_VALUE"""),45749)</f>
        <v>45749</v>
      </c>
      <c r="H732" s="6" t="str">
        <f ca="1">IFERROR(__xludf.DUMMYFUNCTION("""COMPUTED_VALUE"""),"Cáceres")</f>
        <v>Cáceres</v>
      </c>
      <c r="I732" s="6" t="str">
        <f ca="1">IFERROR(__xludf.DUMMYFUNCTION("""COMPUTED_VALUE"""),"CAC-262")</f>
        <v>CAC-262</v>
      </c>
      <c r="J732" s="6" t="str">
        <f ca="1">IFERROR(__xludf.DUMMYFUNCTION("""COMPUTED_VALUE"""),"MARIA ISABEL ANTON MARTIN")</f>
        <v>MARIA ISABEL ANTON MARTIN</v>
      </c>
      <c r="K732" s="6">
        <f ca="1">IFERROR(__xludf.DUMMYFUNCTION("""COMPUTED_VALUE"""),2)</f>
        <v>2</v>
      </c>
      <c r="L732" s="139">
        <f ca="1">IFERROR(__xludf.DUMMYFUNCTION("""COMPUTED_VALUE"""),4400)</f>
        <v>4400</v>
      </c>
      <c r="M732" s="6" t="str">
        <f ca="1">IFERROR(__xludf.DUMMYFUNCTION("""COMPUTED_VALUE"""),"03 ORL")</f>
        <v>03 ORL</v>
      </c>
      <c r="N732" s="6" t="str">
        <f ca="1">IFERROR(__xludf.DUMMYFUNCTION("""COMPUTED_VALUE"""),"06 ORL")</f>
        <v>06 ORL</v>
      </c>
      <c r="O732" s="6" t="str">
        <f ca="1">IFERROR(__xludf.DUMMYFUNCTION("""COMPUTED_VALUE"""),"Dr, Manuel Cañete Domínguez")</f>
        <v>Dr, Manuel Cañete Domínguez</v>
      </c>
      <c r="P732" s="6" t="str">
        <f ca="1">IFERROR(__xludf.DUMMYFUNCTION("""COMPUTED_VALUE"""),"Lisandro Russian (Madrid, Cáceres, Toledo, Talavera Y Logroño)")</f>
        <v>Lisandro Russian (Madrid, Cáceres, Toledo, Talavera Y Logroño)</v>
      </c>
    </row>
    <row r="733" spans="2:16">
      <c r="B733" s="6">
        <f ca="1">IFERROR(__xludf.DUMMYFUNCTION("""COMPUTED_VALUE"""),2025)</f>
        <v>2025</v>
      </c>
      <c r="C733" s="6">
        <f ca="1">IFERROR(__xludf.DUMMYFUNCTION("""COMPUTED_VALUE"""),5)</f>
        <v>5</v>
      </c>
      <c r="D733" s="6" t="str">
        <f ca="1">IFERROR(__xludf.DUMMYFUNCTION("""COMPUTED_VALUE"""),"NO")</f>
        <v>NO</v>
      </c>
      <c r="E733" s="6" t="str">
        <f ca="1">IFERROR(__xludf.DUMMYFUNCTION("""COMPUTED_VALUE"""),"Salamanca")</f>
        <v>Salamanca</v>
      </c>
      <c r="F733" s="16">
        <f ca="1">IFERROR(__xludf.DUMMYFUNCTION("""COMPUTED_VALUE"""),45786)</f>
        <v>45786</v>
      </c>
      <c r="G733" s="16">
        <f ca="1">IFERROR(__xludf.DUMMYFUNCTION("""COMPUTED_VALUE"""),45700)</f>
        <v>45700</v>
      </c>
      <c r="H733" s="6" t="str">
        <f ca="1">IFERROR(__xludf.DUMMYFUNCTION("""COMPUTED_VALUE"""),"Salamanca")</f>
        <v>Salamanca</v>
      </c>
      <c r="I733" s="6" t="str">
        <f ca="1">IFERROR(__xludf.DUMMYFUNCTION("""COMPUTED_VALUE"""),"SLM-473")</f>
        <v>SLM-473</v>
      </c>
      <c r="J733" s="6" t="str">
        <f ca="1">IFERROR(__xludf.DUMMYFUNCTION("""COMPUTED_VALUE"""),"JULIA SABRINA BENAVENTE SANCHEZ")</f>
        <v>JULIA SABRINA BENAVENTE SANCHEZ</v>
      </c>
      <c r="K733" s="6">
        <f ca="1">IFERROR(__xludf.DUMMYFUNCTION("""COMPUTED_VALUE"""),2)</f>
        <v>2</v>
      </c>
      <c r="L733" s="139">
        <f ca="1">IFERROR(__xludf.DUMMYFUNCTION("""COMPUTED_VALUE"""),3604.55)</f>
        <v>3604.55</v>
      </c>
      <c r="M733" s="6" t="str">
        <f ca="1">IFERROR(__xludf.DUMMYFUNCTION("""COMPUTED_VALUE"""),"03 ORL")</f>
        <v>03 ORL</v>
      </c>
      <c r="N733" s="6" t="str">
        <f ca="1">IFERROR(__xludf.DUMMYFUNCTION("""COMPUTED_VALUE"""),"06 ORL")</f>
        <v>06 ORL</v>
      </c>
      <c r="O733" s="6" t="str">
        <f ca="1">IFERROR(__xludf.DUMMYFUNCTION("""COMPUTED_VALUE"""),"No Recuerda Orl")</f>
        <v>No Recuerda Orl</v>
      </c>
      <c r="P733" s="6" t="str">
        <f ca="1">IFERROR(__xludf.DUMMYFUNCTION("""COMPUTED_VALUE"""),"Patricia Solache (Castilla Y León)")</f>
        <v>Patricia Solache (Castilla Y León)</v>
      </c>
    </row>
    <row r="734" spans="2:16">
      <c r="B734" s="6">
        <f ca="1">IFERROR(__xludf.DUMMYFUNCTION("""COMPUTED_VALUE"""),2025)</f>
        <v>2025</v>
      </c>
      <c r="C734" s="6">
        <f ca="1">IFERROR(__xludf.DUMMYFUNCTION("""COMPUTED_VALUE"""),5)</f>
        <v>5</v>
      </c>
      <c r="D734" s="6" t="str">
        <f ca="1">IFERROR(__xludf.DUMMYFUNCTION("""COMPUTED_VALUE"""),"NO")</f>
        <v>NO</v>
      </c>
      <c r="E734" s="6" t="str">
        <f ca="1">IFERROR(__xludf.DUMMYFUNCTION("""COMPUTED_VALUE"""),"Terrassa")</f>
        <v>Terrassa</v>
      </c>
      <c r="F734" s="16">
        <f ca="1">IFERROR(__xludf.DUMMYFUNCTION("""COMPUTED_VALUE"""),45786)</f>
        <v>45786</v>
      </c>
      <c r="G734" s="16">
        <f ca="1">IFERROR(__xludf.DUMMYFUNCTION("""COMPUTED_VALUE"""),45728)</f>
        <v>45728</v>
      </c>
      <c r="H734" s="6" t="str">
        <f ca="1">IFERROR(__xludf.DUMMYFUNCTION("""COMPUTED_VALUE"""),"Terrassa")</f>
        <v>Terrassa</v>
      </c>
      <c r="I734" s="6" t="str">
        <f ca="1">IFERROR(__xludf.DUMMYFUNCTION("""COMPUTED_VALUE"""),"TRR-364")</f>
        <v>TRR-364</v>
      </c>
      <c r="J734" s="6" t="str">
        <f ca="1">IFERROR(__xludf.DUMMYFUNCTION("""COMPUTED_VALUE"""),"ANTONIA GARCIA SORIA")</f>
        <v>ANTONIA GARCIA SORIA</v>
      </c>
      <c r="K734" s="6">
        <f ca="1">IFERROR(__xludf.DUMMYFUNCTION("""COMPUTED_VALUE"""),2)</f>
        <v>2</v>
      </c>
      <c r="L734" s="139">
        <f ca="1">IFERROR(__xludf.DUMMYFUNCTION("""COMPUTED_VALUE"""),2626.5)</f>
        <v>2626.5</v>
      </c>
      <c r="M734" s="6" t="str">
        <f ca="1">IFERROR(__xludf.DUMMYFUNCTION("""COMPUTED_VALUE"""),"03 ORL")</f>
        <v>03 ORL</v>
      </c>
      <c r="N734" s="6" t="str">
        <f ca="1">IFERROR(__xludf.DUMMYFUNCTION("""COMPUTED_VALUE"""),"06 ORL")</f>
        <v>06 ORL</v>
      </c>
      <c r="O734" s="6" t="str">
        <f ca="1">IFERROR(__xludf.DUMMYFUNCTION("""COMPUTED_VALUE"""),"Dr, Josep Maria Orrit Arenas")</f>
        <v>Dr, Josep Maria Orrit Arenas</v>
      </c>
      <c r="P734" s="6" t="str">
        <f ca="1">IFERROR(__xludf.DUMMYFUNCTION("""COMPUTED_VALUE"""),"Mercè Cabrera (Cataluña Y Baleares)")</f>
        <v>Mercè Cabrera (Cataluña Y Baleares)</v>
      </c>
    </row>
    <row r="735" spans="2:16">
      <c r="B735" s="6">
        <f ca="1">IFERROR(__xludf.DUMMYFUNCTION("""COMPUTED_VALUE"""),2025)</f>
        <v>2025</v>
      </c>
      <c r="C735" s="6">
        <f ca="1">IFERROR(__xludf.DUMMYFUNCTION("""COMPUTED_VALUE"""),5)</f>
        <v>5</v>
      </c>
      <c r="D735" s="6" t="str">
        <f ca="1">IFERROR(__xludf.DUMMYFUNCTION("""COMPUTED_VALUE"""),"NO")</f>
        <v>NO</v>
      </c>
      <c r="E735" s="6" t="str">
        <f ca="1">IFERROR(__xludf.DUMMYFUNCTION("""COMPUTED_VALUE"""),"Sevilla- Ciencias")</f>
        <v>Sevilla- Ciencias</v>
      </c>
      <c r="F735" s="16">
        <f ca="1">IFERROR(__xludf.DUMMYFUNCTION("""COMPUTED_VALUE"""),45789)</f>
        <v>45789</v>
      </c>
      <c r="G735" s="16">
        <f ca="1">IFERROR(__xludf.DUMMYFUNCTION("""COMPUTED_VALUE"""),45719)</f>
        <v>45719</v>
      </c>
      <c r="H735" s="6" t="str">
        <f ca="1">IFERROR(__xludf.DUMMYFUNCTION("""COMPUTED_VALUE"""),"Sevilla Este")</f>
        <v>Sevilla Este</v>
      </c>
      <c r="I735" s="6" t="str">
        <f ca="1">IFERROR(__xludf.DUMMYFUNCTION("""COMPUTED_VALUE"""),"SEVE-376")</f>
        <v>SEVE-376</v>
      </c>
      <c r="J735" s="6" t="str">
        <f ca="1">IFERROR(__xludf.DUMMYFUNCTION("""COMPUTED_VALUE"""),"ANTONIA GONZALEZ AGUILAR")</f>
        <v>ANTONIA GONZALEZ AGUILAR</v>
      </c>
      <c r="K735" s="6">
        <f ca="1">IFERROR(__xludf.DUMMYFUNCTION("""COMPUTED_VALUE"""),2)</f>
        <v>2</v>
      </c>
      <c r="L735" s="139">
        <f ca="1">IFERROR(__xludf.DUMMYFUNCTION("""COMPUTED_VALUE"""),3636.36)</f>
        <v>3636.36</v>
      </c>
      <c r="M735" s="6" t="str">
        <f ca="1">IFERROR(__xludf.DUMMYFUNCTION("""COMPUTED_VALUE"""),"03 ORL")</f>
        <v>03 ORL</v>
      </c>
      <c r="N735" s="6" t="str">
        <f ca="1">IFERROR(__xludf.DUMMYFUNCTION("""COMPUTED_VALUE"""),"06 ORL")</f>
        <v>06 ORL</v>
      </c>
      <c r="O735" s="6" t="str">
        <f ca="1">IFERROR(__xludf.DUMMYFUNCTION("""COMPUTED_VALUE"""),"Dra, Estefanía Berrocal Postigo")</f>
        <v>Dra, Estefanía Berrocal Postigo</v>
      </c>
      <c r="P735" s="6" t="str">
        <f ca="1">IFERROR(__xludf.DUMMYFUNCTION("""COMPUTED_VALUE"""),"Luis Alberto Rodríguez (Andalucía Y Badajoz)")</f>
        <v>Luis Alberto Rodríguez (Andalucía Y Badajoz)</v>
      </c>
    </row>
    <row r="736" spans="2:16">
      <c r="B736" s="6">
        <f ca="1">IFERROR(__xludf.DUMMYFUNCTION("""COMPUTED_VALUE"""),2025)</f>
        <v>2025</v>
      </c>
      <c r="C736" s="6">
        <f ca="1">IFERROR(__xludf.DUMMYFUNCTION("""COMPUTED_VALUE"""),5)</f>
        <v>5</v>
      </c>
      <c r="D736" s="6" t="str">
        <f ca="1">IFERROR(__xludf.DUMMYFUNCTION("""COMPUTED_VALUE"""),"NO")</f>
        <v>NO</v>
      </c>
      <c r="E736" s="6" t="str">
        <f ca="1">IFERROR(__xludf.DUMMYFUNCTION("""COMPUTED_VALUE"""),"Salamanca")</f>
        <v>Salamanca</v>
      </c>
      <c r="F736" s="16">
        <f ca="1">IFERROR(__xludf.DUMMYFUNCTION("""COMPUTED_VALUE"""),45790)</f>
        <v>45790</v>
      </c>
      <c r="G736" s="16">
        <f ca="1">IFERROR(__xludf.DUMMYFUNCTION("""COMPUTED_VALUE"""),45747)</f>
        <v>45747</v>
      </c>
      <c r="H736" s="6" t="str">
        <f ca="1">IFERROR(__xludf.DUMMYFUNCTION("""COMPUTED_VALUE"""),"Salamanca")</f>
        <v>Salamanca</v>
      </c>
      <c r="I736" s="6" t="str">
        <f ca="1">IFERROR(__xludf.DUMMYFUNCTION("""COMPUTED_VALUE"""),"SLM-519")</f>
        <v>SLM-519</v>
      </c>
      <c r="J736" s="6" t="str">
        <f ca="1">IFERROR(__xludf.DUMMYFUNCTION("""COMPUTED_VALUE"""),"MARIA JOSEFA LOPEZ CASADO")</f>
        <v>MARIA JOSEFA LOPEZ CASADO</v>
      </c>
      <c r="K736" s="6">
        <f ca="1">IFERROR(__xludf.DUMMYFUNCTION("""COMPUTED_VALUE"""),2)</f>
        <v>2</v>
      </c>
      <c r="L736" s="139">
        <f ca="1">IFERROR(__xludf.DUMMYFUNCTION("""COMPUTED_VALUE"""),3604.55)</f>
        <v>3604.55</v>
      </c>
      <c r="M736" s="6" t="str">
        <f ca="1">IFERROR(__xludf.DUMMYFUNCTION("""COMPUTED_VALUE"""),"03 ORL")</f>
        <v>03 ORL</v>
      </c>
      <c r="N736" s="6" t="str">
        <f ca="1">IFERROR(__xludf.DUMMYFUNCTION("""COMPUTED_VALUE"""),"06 ORL")</f>
        <v>06 ORL</v>
      </c>
      <c r="O736" s="6" t="str">
        <f ca="1">IFERROR(__xludf.DUMMYFUNCTION("""COMPUTED_VALUE"""),"Dr, Ángel Muñoz Herrera")</f>
        <v>Dr, Ángel Muñoz Herrera</v>
      </c>
      <c r="P736" s="6" t="str">
        <f ca="1">IFERROR(__xludf.DUMMYFUNCTION("""COMPUTED_VALUE"""),"Patricia Solache (Castilla Y León)")</f>
        <v>Patricia Solache (Castilla Y León)</v>
      </c>
    </row>
    <row r="737" spans="2:16">
      <c r="B737" s="6">
        <f ca="1">IFERROR(__xludf.DUMMYFUNCTION("""COMPUTED_VALUE"""),2025)</f>
        <v>2025</v>
      </c>
      <c r="C737" s="6">
        <f ca="1">IFERROR(__xludf.DUMMYFUNCTION("""COMPUTED_VALUE"""),5)</f>
        <v>5</v>
      </c>
      <c r="D737" s="6" t="str">
        <f ca="1">IFERROR(__xludf.DUMMYFUNCTION("""COMPUTED_VALUE"""),"NO")</f>
        <v>NO</v>
      </c>
      <c r="E737" s="6" t="str">
        <f ca="1">IFERROR(__xludf.DUMMYFUNCTION("""COMPUTED_VALUE"""),"Cáceres")</f>
        <v>Cáceres</v>
      </c>
      <c r="F737" s="16">
        <f ca="1">IFERROR(__xludf.DUMMYFUNCTION("""COMPUTED_VALUE"""),45792)</f>
        <v>45792</v>
      </c>
      <c r="G737" s="16">
        <f ca="1">IFERROR(__xludf.DUMMYFUNCTION("""COMPUTED_VALUE"""),45748)</f>
        <v>45748</v>
      </c>
      <c r="H737" s="6" t="str">
        <f ca="1">IFERROR(__xludf.DUMMYFUNCTION("""COMPUTED_VALUE"""),"Cáceres")</f>
        <v>Cáceres</v>
      </c>
      <c r="I737" s="6" t="str">
        <f ca="1">IFERROR(__xludf.DUMMYFUNCTION("""COMPUTED_VALUE"""),"CAC-261")</f>
        <v>CAC-261</v>
      </c>
      <c r="J737" s="6" t="str">
        <f ca="1">IFERROR(__xludf.DUMMYFUNCTION("""COMPUTED_VALUE"""),"DOLORES AVILA SOLIS")</f>
        <v>DOLORES AVILA SOLIS</v>
      </c>
      <c r="K737" s="6">
        <f ca="1">IFERROR(__xludf.DUMMYFUNCTION("""COMPUTED_VALUE"""),2)</f>
        <v>2</v>
      </c>
      <c r="L737" s="139">
        <f ca="1">IFERROR(__xludf.DUMMYFUNCTION("""COMPUTED_VALUE"""),3383.64)</f>
        <v>3383.64</v>
      </c>
      <c r="M737" s="6" t="str">
        <f ca="1">IFERROR(__xludf.DUMMYFUNCTION("""COMPUTED_VALUE"""),"03 ORL")</f>
        <v>03 ORL</v>
      </c>
      <c r="N737" s="6" t="str">
        <f ca="1">IFERROR(__xludf.DUMMYFUNCTION("""COMPUTED_VALUE"""),"06 ORL")</f>
        <v>06 ORL</v>
      </c>
      <c r="O737" s="6" t="str">
        <f ca="1">IFERROR(__xludf.DUMMYFUNCTION("""COMPUTED_VALUE"""),"Dr, Manuel Cañete Domínguez")</f>
        <v>Dr, Manuel Cañete Domínguez</v>
      </c>
      <c r="P737" s="6" t="str">
        <f ca="1">IFERROR(__xludf.DUMMYFUNCTION("""COMPUTED_VALUE"""),"Lisandro Russian (Madrid, Cáceres, Toledo, Talavera Y Logroño)")</f>
        <v>Lisandro Russian (Madrid, Cáceres, Toledo, Talavera Y Logroño)</v>
      </c>
    </row>
    <row r="738" spans="2:16">
      <c r="B738" s="6">
        <f ca="1">IFERROR(__xludf.DUMMYFUNCTION("""COMPUTED_VALUE"""),2025)</f>
        <v>2025</v>
      </c>
      <c r="C738" s="6">
        <f ca="1">IFERROR(__xludf.DUMMYFUNCTION("""COMPUTED_VALUE"""),5)</f>
        <v>5</v>
      </c>
      <c r="D738" s="6" t="str">
        <f ca="1">IFERROR(__xludf.DUMMYFUNCTION("""COMPUTED_VALUE"""),"NO")</f>
        <v>NO</v>
      </c>
      <c r="E738" s="6" t="str">
        <f ca="1">IFERROR(__xludf.DUMMYFUNCTION("""COMPUTED_VALUE"""),"Salamanca")</f>
        <v>Salamanca</v>
      </c>
      <c r="F738" s="16">
        <f ca="1">IFERROR(__xludf.DUMMYFUNCTION("""COMPUTED_VALUE"""),45792)</f>
        <v>45792</v>
      </c>
      <c r="G738" s="16">
        <f ca="1">IFERROR(__xludf.DUMMYFUNCTION("""COMPUTED_VALUE"""),45742)</f>
        <v>45742</v>
      </c>
      <c r="H738" s="6" t="str">
        <f ca="1">IFERROR(__xludf.DUMMYFUNCTION("""COMPUTED_VALUE"""),"Salamanca")</f>
        <v>Salamanca</v>
      </c>
      <c r="I738" s="6" t="str">
        <f ca="1">IFERROR(__xludf.DUMMYFUNCTION("""COMPUTED_VALUE"""),"SLM-515")</f>
        <v>SLM-515</v>
      </c>
      <c r="J738" s="6" t="str">
        <f ca="1">IFERROR(__xludf.DUMMYFUNCTION("""COMPUTED_VALUE"""),"LUIS DIEZ HERNANDEZ")</f>
        <v>LUIS DIEZ HERNANDEZ</v>
      </c>
      <c r="K738" s="6">
        <f ca="1">IFERROR(__xludf.DUMMYFUNCTION("""COMPUTED_VALUE"""),1)</f>
        <v>1</v>
      </c>
      <c r="L738" s="139">
        <f ca="1">IFERROR(__xludf.DUMMYFUNCTION("""COMPUTED_VALUE"""),1850)</f>
        <v>1850</v>
      </c>
      <c r="M738" s="6" t="str">
        <f ca="1">IFERROR(__xludf.DUMMYFUNCTION("""COMPUTED_VALUE"""),"03 ORL")</f>
        <v>03 ORL</v>
      </c>
      <c r="N738" s="6" t="str">
        <f ca="1">IFERROR(__xludf.DUMMYFUNCTION("""COMPUTED_VALUE"""),"06 ORL")</f>
        <v>06 ORL</v>
      </c>
      <c r="O738" s="6" t="str">
        <f ca="1">IFERROR(__xludf.DUMMYFUNCTION("""COMPUTED_VALUE"""),"Dra, Marta Calvo Pérez")</f>
        <v>Dra, Marta Calvo Pérez</v>
      </c>
      <c r="P738" s="6" t="str">
        <f ca="1">IFERROR(__xludf.DUMMYFUNCTION("""COMPUTED_VALUE"""),"Patricia Solache (Castilla Y León)")</f>
        <v>Patricia Solache (Castilla Y León)</v>
      </c>
    </row>
    <row r="739" spans="2:16">
      <c r="B739" s="6">
        <f ca="1">IFERROR(__xludf.DUMMYFUNCTION("""COMPUTED_VALUE"""),2025)</f>
        <v>2025</v>
      </c>
      <c r="C739" s="6">
        <f ca="1">IFERROR(__xludf.DUMMYFUNCTION("""COMPUTED_VALUE"""),5)</f>
        <v>5</v>
      </c>
      <c r="D739" s="6" t="str">
        <f ca="1">IFERROR(__xludf.DUMMYFUNCTION("""COMPUTED_VALUE"""),"NO")</f>
        <v>NO</v>
      </c>
      <c r="E739" s="6" t="str">
        <f ca="1">IFERROR(__xludf.DUMMYFUNCTION("""COMPUTED_VALUE"""),"Valladolid")</f>
        <v>Valladolid</v>
      </c>
      <c r="F739" s="16">
        <f ca="1">IFERROR(__xludf.DUMMYFUNCTION("""COMPUTED_VALUE"""),45792)</f>
        <v>45792</v>
      </c>
      <c r="G739" s="16">
        <f ca="1">IFERROR(__xludf.DUMMYFUNCTION("""COMPUTED_VALUE"""),45692)</f>
        <v>45692</v>
      </c>
      <c r="H739" s="6" t="str">
        <f ca="1">IFERROR(__xludf.DUMMYFUNCTION("""COMPUTED_VALUE"""),"Valladolid")</f>
        <v>Valladolid</v>
      </c>
      <c r="I739" s="6" t="str">
        <f ca="1">IFERROR(__xludf.DUMMYFUNCTION("""COMPUTED_VALUE"""),"VLL-338")</f>
        <v>VLL-338</v>
      </c>
      <c r="J739" s="6" t="str">
        <f ca="1">IFERROR(__xludf.DUMMYFUNCTION("""COMPUTED_VALUE"""),"MARIA DEL CARMEN GARCIA ESPINILLA")</f>
        <v>MARIA DEL CARMEN GARCIA ESPINILLA</v>
      </c>
      <c r="K739" s="6">
        <f ca="1">IFERROR(__xludf.DUMMYFUNCTION("""COMPUTED_VALUE"""),1)</f>
        <v>1</v>
      </c>
      <c r="L739" s="139">
        <f ca="1">IFERROR(__xludf.DUMMYFUNCTION("""COMPUTED_VALUE"""),2080)</f>
        <v>2080</v>
      </c>
      <c r="M739" s="6" t="str">
        <f ca="1">IFERROR(__xludf.DUMMYFUNCTION("""COMPUTED_VALUE"""),"03 ORL")</f>
        <v>03 ORL</v>
      </c>
      <c r="N739" s="6" t="str">
        <f ca="1">IFERROR(__xludf.DUMMYFUNCTION("""COMPUTED_VALUE"""),"06 ORL")</f>
        <v>06 ORL</v>
      </c>
      <c r="O739" s="6" t="str">
        <f ca="1">IFERROR(__xludf.DUMMYFUNCTION("""COMPUTED_VALUE"""),"Dr, Juan José Tavarez Rodríguez")</f>
        <v>Dr, Juan José Tavarez Rodríguez</v>
      </c>
      <c r="P739" s="6" t="str">
        <f ca="1">IFERROR(__xludf.DUMMYFUNCTION("""COMPUTED_VALUE"""),"Patricia Solache (Castilla Y León)")</f>
        <v>Patricia Solache (Castilla Y León)</v>
      </c>
    </row>
    <row r="740" spans="2:16">
      <c r="B740" s="6">
        <f ca="1">IFERROR(__xludf.DUMMYFUNCTION("""COMPUTED_VALUE"""),2025)</f>
        <v>2025</v>
      </c>
      <c r="C740" s="6">
        <f ca="1">IFERROR(__xludf.DUMMYFUNCTION("""COMPUTED_VALUE"""),5)</f>
        <v>5</v>
      </c>
      <c r="D740" s="6" t="str">
        <f ca="1">IFERROR(__xludf.DUMMYFUNCTION("""COMPUTED_VALUE"""),"NO")</f>
        <v>NO</v>
      </c>
      <c r="E740" s="6" t="str">
        <f ca="1">IFERROR(__xludf.DUMMYFUNCTION("""COMPUTED_VALUE"""),"Ponferrada")</f>
        <v>Ponferrada</v>
      </c>
      <c r="F740" s="16">
        <f ca="1">IFERROR(__xludf.DUMMYFUNCTION("""COMPUTED_VALUE"""),45793)</f>
        <v>45793</v>
      </c>
      <c r="G740" s="16">
        <f ca="1">IFERROR(__xludf.DUMMYFUNCTION("""COMPUTED_VALUE"""),45621)</f>
        <v>45621</v>
      </c>
      <c r="H740" s="6" t="str">
        <f ca="1">IFERROR(__xludf.DUMMYFUNCTION("""COMPUTED_VALUE"""),"Ponferrada")</f>
        <v>Ponferrada</v>
      </c>
      <c r="I740" s="6" t="str">
        <f ca="1">IFERROR(__xludf.DUMMYFUNCTION("""COMPUTED_VALUE"""),"PON-834")</f>
        <v>PON-834</v>
      </c>
      <c r="J740" s="6" t="str">
        <f ca="1">IFERROR(__xludf.DUMMYFUNCTION("""COMPUTED_VALUE"""),"PIEDAD FERNANDEZ ALFONSO")</f>
        <v>PIEDAD FERNANDEZ ALFONSO</v>
      </c>
      <c r="K740" s="6">
        <f ca="1">IFERROR(__xludf.DUMMYFUNCTION("""COMPUTED_VALUE"""),2)</f>
        <v>2</v>
      </c>
      <c r="L740" s="139">
        <f ca="1">IFERROR(__xludf.DUMMYFUNCTION("""COMPUTED_VALUE"""),3181.82)</f>
        <v>3181.82</v>
      </c>
      <c r="M740" s="6" t="str">
        <f ca="1">IFERROR(__xludf.DUMMYFUNCTION("""COMPUTED_VALUE"""),"03 ORL")</f>
        <v>03 ORL</v>
      </c>
      <c r="N740" s="6" t="str">
        <f ca="1">IFERROR(__xludf.DUMMYFUNCTION("""COMPUTED_VALUE"""),"06 ORL")</f>
        <v>06 ORL</v>
      </c>
      <c r="O740" s="6" t="str">
        <f ca="1">IFERROR(__xludf.DUMMYFUNCTION("""COMPUTED_VALUE"""),"Dra, Xenia Mota Rojas")</f>
        <v>Dra, Xenia Mota Rojas</v>
      </c>
      <c r="P740" s="6" t="str">
        <f ca="1">IFERROR(__xludf.DUMMYFUNCTION("""COMPUTED_VALUE"""),"Patricia Solache (Castilla Y León)")</f>
        <v>Patricia Solache (Castilla Y León)</v>
      </c>
    </row>
    <row r="741" spans="2:16">
      <c r="B741" s="6">
        <f ca="1">IFERROR(__xludf.DUMMYFUNCTION("""COMPUTED_VALUE"""),2025)</f>
        <v>2025</v>
      </c>
      <c r="C741" s="6">
        <f ca="1">IFERROR(__xludf.DUMMYFUNCTION("""COMPUTED_VALUE"""),5)</f>
        <v>5</v>
      </c>
      <c r="D741" s="6" t="str">
        <f ca="1">IFERROR(__xludf.DUMMYFUNCTION("""COMPUTED_VALUE"""),"NO")</f>
        <v>NO</v>
      </c>
      <c r="E741" s="6" t="str">
        <f ca="1">IFERROR(__xludf.DUMMYFUNCTION("""COMPUTED_VALUE"""),"Sevilla- Ciencias")</f>
        <v>Sevilla- Ciencias</v>
      </c>
      <c r="F741" s="16">
        <f ca="1">IFERROR(__xludf.DUMMYFUNCTION("""COMPUTED_VALUE"""),45793)</f>
        <v>45793</v>
      </c>
      <c r="G741" s="16">
        <f ca="1">IFERROR(__xludf.DUMMYFUNCTION("""COMPUTED_VALUE"""),45749)</f>
        <v>45749</v>
      </c>
      <c r="H741" s="6" t="str">
        <f ca="1">IFERROR(__xludf.DUMMYFUNCTION("""COMPUTED_VALUE"""),"Sevilla Este")</f>
        <v>Sevilla Este</v>
      </c>
      <c r="I741" s="6" t="str">
        <f ca="1">IFERROR(__xludf.DUMMYFUNCTION("""COMPUTED_VALUE"""),"SEVE-392")</f>
        <v>SEVE-392</v>
      </c>
      <c r="J741" s="6" t="str">
        <f ca="1">IFERROR(__xludf.DUMMYFUNCTION("""COMPUTED_VALUE"""),"JOSEFA CABRA LUQUE")</f>
        <v>JOSEFA CABRA LUQUE</v>
      </c>
      <c r="K741" s="6">
        <f ca="1">IFERROR(__xludf.DUMMYFUNCTION("""COMPUTED_VALUE"""),2)</f>
        <v>2</v>
      </c>
      <c r="L741" s="139">
        <f ca="1">IFERROR(__xludf.DUMMYFUNCTION("""COMPUTED_VALUE"""),4000)</f>
        <v>4000</v>
      </c>
      <c r="M741" s="6" t="str">
        <f ca="1">IFERROR(__xludf.DUMMYFUNCTION("""COMPUTED_VALUE"""),"03 ORL")</f>
        <v>03 ORL</v>
      </c>
      <c r="N741" s="6" t="str">
        <f ca="1">IFERROR(__xludf.DUMMYFUNCTION("""COMPUTED_VALUE"""),"06 ORL")</f>
        <v>06 ORL</v>
      </c>
      <c r="O741" s="6" t="str">
        <f ca="1">IFERROR(__xludf.DUMMYFUNCTION("""COMPUTED_VALUE"""),"Dra, Estefanía Berrocal Postigo")</f>
        <v>Dra, Estefanía Berrocal Postigo</v>
      </c>
      <c r="P741" s="6" t="str">
        <f ca="1">IFERROR(__xludf.DUMMYFUNCTION("""COMPUTED_VALUE"""),"Luis Alberto Rodríguez (Andalucía Y Badajoz)")</f>
        <v>Luis Alberto Rodríguez (Andalucía Y Badajoz)</v>
      </c>
    </row>
    <row r="742" spans="2:16">
      <c r="B742" s="6">
        <f ca="1">IFERROR(__xludf.DUMMYFUNCTION("""COMPUTED_VALUE"""),2025)</f>
        <v>2025</v>
      </c>
      <c r="C742" s="6">
        <f ca="1">IFERROR(__xludf.DUMMYFUNCTION("""COMPUTED_VALUE"""),5)</f>
        <v>5</v>
      </c>
      <c r="D742" s="6" t="str">
        <f ca="1">IFERROR(__xludf.DUMMYFUNCTION("""COMPUTED_VALUE"""),"NO")</f>
        <v>NO</v>
      </c>
      <c r="E742" s="6" t="str">
        <f ca="1">IFERROR(__xludf.DUMMYFUNCTION("""COMPUTED_VALUE"""),"Valladolid")</f>
        <v>Valladolid</v>
      </c>
      <c r="F742" s="16">
        <f ca="1">IFERROR(__xludf.DUMMYFUNCTION("""COMPUTED_VALUE"""),45793)</f>
        <v>45793</v>
      </c>
      <c r="G742" s="16">
        <f ca="1">IFERROR(__xludf.DUMMYFUNCTION("""COMPUTED_VALUE"""),45740)</f>
        <v>45740</v>
      </c>
      <c r="H742" s="6" t="str">
        <f ca="1">IFERROR(__xludf.DUMMYFUNCTION("""COMPUTED_VALUE"""),"Valladolid")</f>
        <v>Valladolid</v>
      </c>
      <c r="I742" s="6" t="str">
        <f ca="1">IFERROR(__xludf.DUMMYFUNCTION("""COMPUTED_VALUE"""),"VLL-364")</f>
        <v>VLL-364</v>
      </c>
      <c r="J742" s="6" t="str">
        <f ca="1">IFERROR(__xludf.DUMMYFUNCTION("""COMPUTED_VALUE"""),"EUTIMIO MARTIN MARTIN")</f>
        <v>EUTIMIO MARTIN MARTIN</v>
      </c>
      <c r="K742" s="6">
        <f ca="1">IFERROR(__xludf.DUMMYFUNCTION("""COMPUTED_VALUE"""),1)</f>
        <v>1</v>
      </c>
      <c r="L742" s="139">
        <f ca="1">IFERROR(__xludf.DUMMYFUNCTION("""COMPUTED_VALUE"""),2080)</f>
        <v>2080</v>
      </c>
      <c r="M742" s="6" t="str">
        <f ca="1">IFERROR(__xludf.DUMMYFUNCTION("""COMPUTED_VALUE"""),"03 ORL")</f>
        <v>03 ORL</v>
      </c>
      <c r="N742" s="6" t="str">
        <f ca="1">IFERROR(__xludf.DUMMYFUNCTION("""COMPUTED_VALUE"""),"06 ORL")</f>
        <v>06 ORL</v>
      </c>
      <c r="O742" s="6" t="str">
        <f ca="1">IFERROR(__xludf.DUMMYFUNCTION("""COMPUTED_VALUE"""),"Dra, Antonia Carranza Calleja")</f>
        <v>Dra, Antonia Carranza Calleja</v>
      </c>
      <c r="P742" s="6" t="str">
        <f ca="1">IFERROR(__xludf.DUMMYFUNCTION("""COMPUTED_VALUE"""),"Patricia Solache (Castilla Y León)")</f>
        <v>Patricia Solache (Castilla Y León)</v>
      </c>
    </row>
    <row r="743" spans="2:16">
      <c r="B743" s="6">
        <f ca="1">IFERROR(__xludf.DUMMYFUNCTION("""COMPUTED_VALUE"""),2025)</f>
        <v>2025</v>
      </c>
      <c r="C743" s="6">
        <f ca="1">IFERROR(__xludf.DUMMYFUNCTION("""COMPUTED_VALUE"""),5)</f>
        <v>5</v>
      </c>
      <c r="D743" s="6" t="str">
        <f ca="1">IFERROR(__xludf.DUMMYFUNCTION("""COMPUTED_VALUE"""),"NO")</f>
        <v>NO</v>
      </c>
      <c r="E743" s="6" t="str">
        <f ca="1">IFERROR(__xludf.DUMMYFUNCTION("""COMPUTED_VALUE"""),"León")</f>
        <v>León</v>
      </c>
      <c r="F743" s="16">
        <f ca="1">IFERROR(__xludf.DUMMYFUNCTION("""COMPUTED_VALUE"""),45789)</f>
        <v>45789</v>
      </c>
      <c r="G743" s="16">
        <f ca="1">IFERROR(__xludf.DUMMYFUNCTION("""COMPUTED_VALUE"""),45786)</f>
        <v>45786</v>
      </c>
      <c r="H743" s="6" t="str">
        <f ca="1">IFERROR(__xludf.DUMMYFUNCTION("""COMPUTED_VALUE"""),"León")</f>
        <v>León</v>
      </c>
      <c r="I743" s="6" t="str">
        <f ca="1">IFERROR(__xludf.DUMMYFUNCTION("""COMPUTED_VALUE"""),"LEO-465")</f>
        <v>LEO-465</v>
      </c>
      <c r="J743" s="6" t="str">
        <f ca="1">IFERROR(__xludf.DUMMYFUNCTION("""COMPUTED_VALUE"""),"SARA GARCIA BRIZUELA")</f>
        <v>SARA GARCIA BRIZUELA</v>
      </c>
      <c r="K743" s="6">
        <f ca="1">IFERROR(__xludf.DUMMYFUNCTION("""COMPUTED_VALUE"""),2)</f>
        <v>2</v>
      </c>
      <c r="L743" s="139">
        <f ca="1">IFERROR(__xludf.DUMMYFUNCTION("""COMPUTED_VALUE"""),4255.33)</f>
        <v>4255.33</v>
      </c>
      <c r="M743" s="6" t="str">
        <f ca="1">IFERROR(__xludf.DUMMYFUNCTION("""COMPUTED_VALUE"""),"03 ORL")</f>
        <v>03 ORL</v>
      </c>
      <c r="N743" s="6" t="str">
        <f ca="1">IFERROR(__xludf.DUMMYFUNCTION("""COMPUTED_VALUE"""),"06 ORL")</f>
        <v>06 ORL</v>
      </c>
      <c r="O743" s="6" t="str">
        <f ca="1">IFERROR(__xludf.DUMMYFUNCTION("""COMPUTED_VALUE"""),"Dr, Rafael Pérez González")</f>
        <v>Dr, Rafael Pérez González</v>
      </c>
      <c r="P743" s="6" t="str">
        <f ca="1">IFERROR(__xludf.DUMMYFUNCTION("""COMPUTED_VALUE"""),"Patricia Solache (Castilla Y León)")</f>
        <v>Patricia Solache (Castilla Y León)</v>
      </c>
    </row>
    <row r="744" spans="2:16">
      <c r="B744" s="6">
        <f ca="1">IFERROR(__xludf.DUMMYFUNCTION("""COMPUTED_VALUE"""),2025)</f>
        <v>2025</v>
      </c>
      <c r="C744" s="6">
        <f ca="1">IFERROR(__xludf.DUMMYFUNCTION("""COMPUTED_VALUE"""),5)</f>
        <v>5</v>
      </c>
      <c r="D744" s="6" t="str">
        <f ca="1">IFERROR(__xludf.DUMMYFUNCTION("""COMPUTED_VALUE"""),"NO")</f>
        <v>NO</v>
      </c>
      <c r="E744" s="6" t="str">
        <f ca="1">IFERROR(__xludf.DUMMYFUNCTION("""COMPUTED_VALUE"""),"Culleredo")</f>
        <v>Culleredo</v>
      </c>
      <c r="F744" s="16">
        <f ca="1">IFERROR(__xludf.DUMMYFUNCTION("""COMPUTED_VALUE"""),45797)</f>
        <v>45797</v>
      </c>
      <c r="G744" s="16">
        <f ca="1">IFERROR(__xludf.DUMMYFUNCTION("""COMPUTED_VALUE"""),45715)</f>
        <v>45715</v>
      </c>
      <c r="H744" s="6" t="str">
        <f ca="1">IFERROR(__xludf.DUMMYFUNCTION("""COMPUTED_VALUE"""),"Culleredo")</f>
        <v>Culleredo</v>
      </c>
      <c r="I744" s="6" t="str">
        <f ca="1">IFERROR(__xludf.DUMMYFUNCTION("""COMPUTED_VALUE"""),"CULL-172")</f>
        <v>CULL-172</v>
      </c>
      <c r="J744" s="6" t="str">
        <f ca="1">IFERROR(__xludf.DUMMYFUNCTION("""COMPUTED_VALUE"""),"CARMEN CORZO SIERRA")</f>
        <v>CARMEN CORZO SIERRA</v>
      </c>
      <c r="K744" s="6">
        <f ca="1">IFERROR(__xludf.DUMMYFUNCTION("""COMPUTED_VALUE"""),1)</f>
        <v>1</v>
      </c>
      <c r="L744" s="139">
        <f ca="1">IFERROR(__xludf.DUMMYFUNCTION("""COMPUTED_VALUE"""),1436.4)</f>
        <v>1436.4</v>
      </c>
      <c r="M744" s="6" t="str">
        <f ca="1">IFERROR(__xludf.DUMMYFUNCTION("""COMPUTED_VALUE"""),"03 ORL")</f>
        <v>03 ORL</v>
      </c>
      <c r="N744" s="6" t="str">
        <f ca="1">IFERROR(__xludf.DUMMYFUNCTION("""COMPUTED_VALUE"""),"06 ORL")</f>
        <v>06 ORL</v>
      </c>
      <c r="O744" s="6" t="str">
        <f ca="1">IFERROR(__xludf.DUMMYFUNCTION("""COMPUTED_VALUE"""),"Dr, Miguel Mayo Yáñez")</f>
        <v>Dr, Miguel Mayo Yáñez</v>
      </c>
      <c r="P744" s="6" t="str">
        <f ca="1">IFERROR(__xludf.DUMMYFUNCTION("""COMPUTED_VALUE"""),"Roberto Pereira (Galicia)")</f>
        <v>Roberto Pereira (Galicia)</v>
      </c>
    </row>
    <row r="745" spans="2:16">
      <c r="B745" s="6">
        <f ca="1">IFERROR(__xludf.DUMMYFUNCTION("""COMPUTED_VALUE"""),2025)</f>
        <v>2025</v>
      </c>
      <c r="C745" s="6">
        <f ca="1">IFERROR(__xludf.DUMMYFUNCTION("""COMPUTED_VALUE"""),5)</f>
        <v>5</v>
      </c>
      <c r="D745" s="6" t="str">
        <f ca="1">IFERROR(__xludf.DUMMYFUNCTION("""COMPUTED_VALUE"""),"NO")</f>
        <v>NO</v>
      </c>
      <c r="E745" s="6" t="str">
        <f ca="1">IFERROR(__xludf.DUMMYFUNCTION("""COMPUTED_VALUE"""),"Cáceres")</f>
        <v>Cáceres</v>
      </c>
      <c r="F745" s="16">
        <f ca="1">IFERROR(__xludf.DUMMYFUNCTION("""COMPUTED_VALUE"""),45798)</f>
        <v>45798</v>
      </c>
      <c r="G745" s="16">
        <f ca="1">IFERROR(__xludf.DUMMYFUNCTION("""COMPUTED_VALUE"""),45779)</f>
        <v>45779</v>
      </c>
      <c r="H745" s="6" t="str">
        <f ca="1">IFERROR(__xludf.DUMMYFUNCTION("""COMPUTED_VALUE"""),"Cáceres")</f>
        <v>Cáceres</v>
      </c>
      <c r="I745" s="6" t="str">
        <f ca="1">IFERROR(__xludf.DUMMYFUNCTION("""COMPUTED_VALUE"""),"CAC-285")</f>
        <v>CAC-285</v>
      </c>
      <c r="J745" s="6" t="str">
        <f ca="1">IFERROR(__xludf.DUMMYFUNCTION("""COMPUTED_VALUE"""),"MARIA LUISA VILLARROEL DURAN")</f>
        <v>MARIA LUISA VILLARROEL DURAN</v>
      </c>
      <c r="K745" s="6">
        <f ca="1">IFERROR(__xludf.DUMMYFUNCTION("""COMPUTED_VALUE"""),2)</f>
        <v>2</v>
      </c>
      <c r="L745" s="139">
        <f ca="1">IFERROR(__xludf.DUMMYFUNCTION("""COMPUTED_VALUE"""),4238.18)</f>
        <v>4238.18</v>
      </c>
      <c r="M745" s="6" t="str">
        <f ca="1">IFERROR(__xludf.DUMMYFUNCTION("""COMPUTED_VALUE"""),"03 ORL")</f>
        <v>03 ORL</v>
      </c>
      <c r="N745" s="6" t="str">
        <f ca="1">IFERROR(__xludf.DUMMYFUNCTION("""COMPUTED_VALUE"""),"06 ORL")</f>
        <v>06 ORL</v>
      </c>
      <c r="O745" s="6" t="str">
        <f ca="1">IFERROR(__xludf.DUMMYFUNCTION("""COMPUTED_VALUE"""),"Dr, Javier García Gómez")</f>
        <v>Dr, Javier García Gómez</v>
      </c>
      <c r="P745" s="6" t="str">
        <f ca="1">IFERROR(__xludf.DUMMYFUNCTION("""COMPUTED_VALUE"""),"Lisandro Russian (Madrid, Cáceres, Toledo, Talavera Y Logroño)")</f>
        <v>Lisandro Russian (Madrid, Cáceres, Toledo, Talavera Y Logroño)</v>
      </c>
    </row>
    <row r="746" spans="2:16">
      <c r="B746" s="6">
        <f ca="1">IFERROR(__xludf.DUMMYFUNCTION("""COMPUTED_VALUE"""),2025)</f>
        <v>2025</v>
      </c>
      <c r="C746" s="6">
        <f ca="1">IFERROR(__xludf.DUMMYFUNCTION("""COMPUTED_VALUE"""),5)</f>
        <v>5</v>
      </c>
      <c r="D746" s="6" t="str">
        <f ca="1">IFERROR(__xludf.DUMMYFUNCTION("""COMPUTED_VALUE"""),"NO")</f>
        <v>NO</v>
      </c>
      <c r="E746" s="6" t="str">
        <f ca="1">IFERROR(__xludf.DUMMYFUNCTION("""COMPUTED_VALUE"""),"Vilagacía De Arousa")</f>
        <v>Vilagacía De Arousa</v>
      </c>
      <c r="F746" s="16">
        <f ca="1">IFERROR(__xludf.DUMMYFUNCTION("""COMPUTED_VALUE"""),45798)</f>
        <v>45798</v>
      </c>
      <c r="G746" s="16">
        <f ca="1">IFERROR(__xludf.DUMMYFUNCTION("""COMPUTED_VALUE"""),45376)</f>
        <v>45376</v>
      </c>
      <c r="H746" s="6" t="str">
        <f ca="1">IFERROR(__xludf.DUMMYFUNCTION("""COMPUTED_VALUE"""),"Vilagarcía")</f>
        <v>Vilagarcía</v>
      </c>
      <c r="I746" s="6" t="str">
        <f ca="1">IFERROR(__xludf.DUMMYFUNCTION("""COMPUTED_VALUE"""),"VLG-6")</f>
        <v>VLG-6</v>
      </c>
      <c r="J746" s="6" t="str">
        <f ca="1">IFERROR(__xludf.DUMMYFUNCTION("""COMPUTED_VALUE"""),"CONCEPCION TARRIO VAZQUEZ")</f>
        <v>CONCEPCION TARRIO VAZQUEZ</v>
      </c>
      <c r="K746" s="6">
        <f ca="1">IFERROR(__xludf.DUMMYFUNCTION("""COMPUTED_VALUE"""),1)</f>
        <v>1</v>
      </c>
      <c r="L746" s="139">
        <f ca="1">IFERROR(__xludf.DUMMYFUNCTION("""COMPUTED_VALUE"""),900)</f>
        <v>900</v>
      </c>
      <c r="M746" s="6" t="str">
        <f ca="1">IFERROR(__xludf.DUMMYFUNCTION("""COMPUTED_VALUE"""),"03 ORL")</f>
        <v>03 ORL</v>
      </c>
      <c r="N746" s="6" t="str">
        <f ca="1">IFERROR(__xludf.DUMMYFUNCTION("""COMPUTED_VALUE"""),"06 ORL")</f>
        <v>06 ORL</v>
      </c>
      <c r="O746" s="6" t="str">
        <f ca="1">IFERROR(__xludf.DUMMYFUNCTION("""COMPUTED_VALUE"""),"Dr, Gabriel Martínez Capoccini")</f>
        <v>Dr, Gabriel Martínez Capoccini</v>
      </c>
      <c r="P746" s="6" t="str">
        <f ca="1">IFERROR(__xludf.DUMMYFUNCTION("""COMPUTED_VALUE"""),"Roberto Pereira (Galicia)")</f>
        <v>Roberto Pereira (Galicia)</v>
      </c>
    </row>
    <row r="747" spans="2:16">
      <c r="B747" s="6">
        <f ca="1">IFERROR(__xludf.DUMMYFUNCTION("""COMPUTED_VALUE"""),2025)</f>
        <v>2025</v>
      </c>
      <c r="C747" s="6">
        <f ca="1">IFERROR(__xludf.DUMMYFUNCTION("""COMPUTED_VALUE"""),5)</f>
        <v>5</v>
      </c>
      <c r="D747" s="6" t="str">
        <f ca="1">IFERROR(__xludf.DUMMYFUNCTION("""COMPUTED_VALUE"""),"NO")</f>
        <v>NO</v>
      </c>
      <c r="E747" s="6" t="str">
        <f ca="1">IFERROR(__xludf.DUMMYFUNCTION("""COMPUTED_VALUE"""),"Lalín")</f>
        <v>Lalín</v>
      </c>
      <c r="F747" s="16">
        <f ca="1">IFERROR(__xludf.DUMMYFUNCTION("""COMPUTED_VALUE"""),45800)</f>
        <v>45800</v>
      </c>
      <c r="G747" s="16">
        <f ca="1">IFERROR(__xludf.DUMMYFUNCTION("""COMPUTED_VALUE"""),45769)</f>
        <v>45769</v>
      </c>
      <c r="H747" s="6" t="str">
        <f ca="1">IFERROR(__xludf.DUMMYFUNCTION("""COMPUTED_VALUE"""),"Lalín")</f>
        <v>Lalín</v>
      </c>
      <c r="I747" s="6" t="str">
        <f ca="1">IFERROR(__xludf.DUMMYFUNCTION("""COMPUTED_VALUE"""),"LAL-144")</f>
        <v>LAL-144</v>
      </c>
      <c r="J747" s="6" t="str">
        <f ca="1">IFERROR(__xludf.DUMMYFUNCTION("""COMPUTED_VALUE"""),"MANUEL GAITEIRO FERNANDEZ")</f>
        <v>MANUEL GAITEIRO FERNANDEZ</v>
      </c>
      <c r="K747" s="6">
        <f ca="1">IFERROR(__xludf.DUMMYFUNCTION("""COMPUTED_VALUE"""),2)</f>
        <v>2</v>
      </c>
      <c r="L747" s="139">
        <f ca="1">IFERROR(__xludf.DUMMYFUNCTION("""COMPUTED_VALUE"""),2900)</f>
        <v>2900</v>
      </c>
      <c r="M747" s="6" t="str">
        <f ca="1">IFERROR(__xludf.DUMMYFUNCTION("""COMPUTED_VALUE"""),"03 ORL")</f>
        <v>03 ORL</v>
      </c>
      <c r="N747" s="6" t="str">
        <f ca="1">IFERROR(__xludf.DUMMYFUNCTION("""COMPUTED_VALUE"""),"06 ORL")</f>
        <v>06 ORL</v>
      </c>
      <c r="O747" s="6" t="str">
        <f ca="1">IFERROR(__xludf.DUMMYFUNCTION("""COMPUTED_VALUE"""),"Dr, Carlos Vidal Redondo")</f>
        <v>Dr, Carlos Vidal Redondo</v>
      </c>
      <c r="P747" s="6" t="str">
        <f ca="1">IFERROR(__xludf.DUMMYFUNCTION("""COMPUTED_VALUE"""),"Roberto Pereira (Galicia)")</f>
        <v>Roberto Pereira (Galicia)</v>
      </c>
    </row>
    <row r="748" spans="2:16">
      <c r="B748" s="6">
        <f ca="1">IFERROR(__xludf.DUMMYFUNCTION("""COMPUTED_VALUE"""),2025)</f>
        <v>2025</v>
      </c>
      <c r="C748" s="6">
        <f ca="1">IFERROR(__xludf.DUMMYFUNCTION("""COMPUTED_VALUE"""),5)</f>
        <v>5</v>
      </c>
      <c r="D748" s="6" t="str">
        <f ca="1">IFERROR(__xludf.DUMMYFUNCTION("""COMPUTED_VALUE"""),"NO")</f>
        <v>NO</v>
      </c>
      <c r="E748" s="6" t="str">
        <f ca="1">IFERROR(__xludf.DUMMYFUNCTION("""COMPUTED_VALUE"""),"Ponferrada")</f>
        <v>Ponferrada</v>
      </c>
      <c r="F748" s="16">
        <f ca="1">IFERROR(__xludf.DUMMYFUNCTION("""COMPUTED_VALUE"""),45799)</f>
        <v>45799</v>
      </c>
      <c r="G748" s="16">
        <f ca="1">IFERROR(__xludf.DUMMYFUNCTION("""COMPUTED_VALUE"""),45671)</f>
        <v>45671</v>
      </c>
      <c r="H748" s="6" t="str">
        <f ca="1">IFERROR(__xludf.DUMMYFUNCTION("""COMPUTED_VALUE"""),"Ponferrada")</f>
        <v>Ponferrada</v>
      </c>
      <c r="I748" s="6" t="str">
        <f ca="1">IFERROR(__xludf.DUMMYFUNCTION("""COMPUTED_VALUE"""),"PON-860")</f>
        <v>PON-860</v>
      </c>
      <c r="J748" s="6" t="str">
        <f ca="1">IFERROR(__xludf.DUMMYFUNCTION("""COMPUTED_VALUE"""),"MARCELO PEREZ PANIZO")</f>
        <v>MARCELO PEREZ PANIZO</v>
      </c>
      <c r="K748" s="6">
        <f ca="1">IFERROR(__xludf.DUMMYFUNCTION("""COMPUTED_VALUE"""),2)</f>
        <v>2</v>
      </c>
      <c r="L748" s="139">
        <f ca="1">IFERROR(__xludf.DUMMYFUNCTION("""COMPUTED_VALUE"""),3545.45)</f>
        <v>3545.45</v>
      </c>
      <c r="M748" s="6" t="str">
        <f ca="1">IFERROR(__xludf.DUMMYFUNCTION("""COMPUTED_VALUE"""),"03 ORL")</f>
        <v>03 ORL</v>
      </c>
      <c r="N748" s="6" t="str">
        <f ca="1">IFERROR(__xludf.DUMMYFUNCTION("""COMPUTED_VALUE"""),"06 ORL")</f>
        <v>06 ORL</v>
      </c>
      <c r="O748" s="6" t="str">
        <f ca="1">IFERROR(__xludf.DUMMYFUNCTION("""COMPUTED_VALUE"""),"Dra, Mónica Granda Rosales")</f>
        <v>Dra, Mónica Granda Rosales</v>
      </c>
      <c r="P748" s="6" t="str">
        <f ca="1">IFERROR(__xludf.DUMMYFUNCTION("""COMPUTED_VALUE"""),"Patricia Solache (Castilla Y León)")</f>
        <v>Patricia Solache (Castilla Y León)</v>
      </c>
    </row>
    <row r="749" spans="2:16">
      <c r="B749" s="6">
        <f ca="1">IFERROR(__xludf.DUMMYFUNCTION("""COMPUTED_VALUE"""),2025)</f>
        <v>2025</v>
      </c>
      <c r="C749" s="6">
        <f ca="1">IFERROR(__xludf.DUMMYFUNCTION("""COMPUTED_VALUE"""),5)</f>
        <v>5</v>
      </c>
      <c r="D749" s="6" t="str">
        <f ca="1">IFERROR(__xludf.DUMMYFUNCTION("""COMPUTED_VALUE"""),"NO")</f>
        <v>NO</v>
      </c>
      <c r="E749" s="6" t="str">
        <f ca="1">IFERROR(__xludf.DUMMYFUNCTION("""COMPUTED_VALUE"""),"Vigo")</f>
        <v>Vigo</v>
      </c>
      <c r="F749" s="16">
        <f ca="1">IFERROR(__xludf.DUMMYFUNCTION("""COMPUTED_VALUE"""),45797)</f>
        <v>45797</v>
      </c>
      <c r="G749" s="16">
        <f ca="1">IFERROR(__xludf.DUMMYFUNCTION("""COMPUTED_VALUE"""),45754)</f>
        <v>45754</v>
      </c>
      <c r="H749" s="6" t="str">
        <f ca="1">IFERROR(__xludf.DUMMYFUNCTION("""COMPUTED_VALUE"""),"Vigo")</f>
        <v>Vigo</v>
      </c>
      <c r="I749" s="6" t="str">
        <f ca="1">IFERROR(__xludf.DUMMYFUNCTION("""COMPUTED_VALUE"""),"VIG-561")</f>
        <v>VIG-561</v>
      </c>
      <c r="J749" s="6" t="str">
        <f ca="1">IFERROR(__xludf.DUMMYFUNCTION("""COMPUTED_VALUE"""),"ALBERTO LOPEZ NIETO")</f>
        <v>ALBERTO LOPEZ NIETO</v>
      </c>
      <c r="K749" s="6">
        <f ca="1">IFERROR(__xludf.DUMMYFUNCTION("""COMPUTED_VALUE"""),2)</f>
        <v>2</v>
      </c>
      <c r="L749" s="139">
        <f ca="1">IFERROR(__xludf.DUMMYFUNCTION("""COMPUTED_VALUE"""),3454.55)</f>
        <v>3454.55</v>
      </c>
      <c r="M749" s="6" t="str">
        <f ca="1">IFERROR(__xludf.DUMMYFUNCTION("""COMPUTED_VALUE"""),"03 ORL")</f>
        <v>03 ORL</v>
      </c>
      <c r="N749" s="6" t="str">
        <f ca="1">IFERROR(__xludf.DUMMYFUNCTION("""COMPUTED_VALUE"""),"06 ORL")</f>
        <v>06 ORL</v>
      </c>
      <c r="O749" s="6" t="str">
        <f ca="1">IFERROR(__xludf.DUMMYFUNCTION("""COMPUTED_VALUE"""),"Dr, Manuel Estevez García")</f>
        <v>Dr, Manuel Estevez García</v>
      </c>
      <c r="P749" s="6" t="str">
        <f ca="1">IFERROR(__xludf.DUMMYFUNCTION("""COMPUTED_VALUE"""),"Roberto Pereira (Galicia)")</f>
        <v>Roberto Pereira (Galicia)</v>
      </c>
    </row>
    <row r="750" spans="2:16">
      <c r="B750" s="6">
        <f ca="1">IFERROR(__xludf.DUMMYFUNCTION("""COMPUTED_VALUE"""),2025)</f>
        <v>2025</v>
      </c>
      <c r="C750" s="6">
        <f ca="1">IFERROR(__xludf.DUMMYFUNCTION("""COMPUTED_VALUE"""),5)</f>
        <v>5</v>
      </c>
      <c r="D750" s="6" t="str">
        <f ca="1">IFERROR(__xludf.DUMMYFUNCTION("""COMPUTED_VALUE"""),"NO")</f>
        <v>NO</v>
      </c>
      <c r="E750" s="6" t="str">
        <f ca="1">IFERROR(__xludf.DUMMYFUNCTION("""COMPUTED_VALUE"""),"Boiro")</f>
        <v>Boiro</v>
      </c>
      <c r="F750" s="16">
        <f ca="1">IFERROR(__xludf.DUMMYFUNCTION("""COMPUTED_VALUE"""),45803)</f>
        <v>45803</v>
      </c>
      <c r="G750" s="16">
        <f ca="1">IFERROR(__xludf.DUMMYFUNCTION("""COMPUTED_VALUE"""),44180)</f>
        <v>44180</v>
      </c>
      <c r="H750" s="6" t="str">
        <f ca="1">IFERROR(__xludf.DUMMYFUNCTION("""COMPUTED_VALUE"""),"Boiro")</f>
        <v>Boiro</v>
      </c>
      <c r="I750" s="6" t="str">
        <f ca="1">IFERROR(__xludf.DUMMYFUNCTION("""COMPUTED_VALUE"""),"BOI-375")</f>
        <v>BOI-375</v>
      </c>
      <c r="J750" s="6" t="str">
        <f ca="1">IFERROR(__xludf.DUMMYFUNCTION("""COMPUTED_VALUE"""),"JOSE ANGEL LAIÑO ROMERO")</f>
        <v>JOSE ANGEL LAIÑO ROMERO</v>
      </c>
      <c r="K750" s="6">
        <f ca="1">IFERROR(__xludf.DUMMYFUNCTION("""COMPUTED_VALUE"""),2)</f>
        <v>2</v>
      </c>
      <c r="L750" s="139">
        <f ca="1">IFERROR(__xludf.DUMMYFUNCTION("""COMPUTED_VALUE"""),3272.73)</f>
        <v>3272.73</v>
      </c>
      <c r="M750" s="6" t="str">
        <f ca="1">IFERROR(__xludf.DUMMYFUNCTION("""COMPUTED_VALUE"""),"03 ORL")</f>
        <v>03 ORL</v>
      </c>
      <c r="N750" s="6" t="str">
        <f ca="1">IFERROR(__xludf.DUMMYFUNCTION("""COMPUTED_VALUE"""),"06 ORL")</f>
        <v>06 ORL</v>
      </c>
      <c r="O750" s="6" t="str">
        <f ca="1">IFERROR(__xludf.DUMMYFUNCTION("""COMPUTED_VALUE"""),"Dr, Eduardo Cabanas Rodríguez")</f>
        <v>Dr, Eduardo Cabanas Rodríguez</v>
      </c>
      <c r="P750" s="6" t="str">
        <f ca="1">IFERROR(__xludf.DUMMYFUNCTION("""COMPUTED_VALUE"""),"Roberto Pereira (Galicia)")</f>
        <v>Roberto Pereira (Galicia)</v>
      </c>
    </row>
    <row r="751" spans="2:16">
      <c r="B751" s="6">
        <f ca="1">IFERROR(__xludf.DUMMYFUNCTION("""COMPUTED_VALUE"""),2025)</f>
        <v>2025</v>
      </c>
      <c r="C751" s="6">
        <f ca="1">IFERROR(__xludf.DUMMYFUNCTION("""COMPUTED_VALUE"""),5)</f>
        <v>5</v>
      </c>
      <c r="D751" s="6" t="str">
        <f ca="1">IFERROR(__xludf.DUMMYFUNCTION("""COMPUTED_VALUE"""),"NO")</f>
        <v>NO</v>
      </c>
      <c r="E751" s="6" t="str">
        <f ca="1">IFERROR(__xludf.DUMMYFUNCTION("""COMPUTED_VALUE"""),"Cáceres")</f>
        <v>Cáceres</v>
      </c>
      <c r="F751" s="16">
        <f ca="1">IFERROR(__xludf.DUMMYFUNCTION("""COMPUTED_VALUE"""),45804)</f>
        <v>45804</v>
      </c>
      <c r="G751" s="16">
        <f ca="1">IFERROR(__xludf.DUMMYFUNCTION("""COMPUTED_VALUE"""),45763)</f>
        <v>45763</v>
      </c>
      <c r="H751" s="6" t="str">
        <f ca="1">IFERROR(__xludf.DUMMYFUNCTION("""COMPUTED_VALUE"""),"Cáceres")</f>
        <v>Cáceres</v>
      </c>
      <c r="I751" s="6" t="str">
        <f ca="1">IFERROR(__xludf.DUMMYFUNCTION("""COMPUTED_VALUE"""),"CAC-270")</f>
        <v>CAC-270</v>
      </c>
      <c r="J751" s="6" t="str">
        <f ca="1">IFERROR(__xludf.DUMMYFUNCTION("""COMPUTED_VALUE"""),"SERAFIN SIERRA CARRIL")</f>
        <v>SERAFIN SIERRA CARRIL</v>
      </c>
      <c r="K751" s="6">
        <f ca="1">IFERROR(__xludf.DUMMYFUNCTION("""COMPUTED_VALUE"""),2)</f>
        <v>2</v>
      </c>
      <c r="L751" s="139">
        <f ca="1">IFERROR(__xludf.DUMMYFUNCTION("""COMPUTED_VALUE"""),3818.18)</f>
        <v>3818.18</v>
      </c>
      <c r="M751" s="6" t="str">
        <f ca="1">IFERROR(__xludf.DUMMYFUNCTION("""COMPUTED_VALUE"""),"03 ORL")</f>
        <v>03 ORL</v>
      </c>
      <c r="N751" s="6" t="str">
        <f ca="1">IFERROR(__xludf.DUMMYFUNCTION("""COMPUTED_VALUE"""),"06 ORL")</f>
        <v>06 ORL</v>
      </c>
      <c r="O751" s="6" t="str">
        <f ca="1">IFERROR(__xludf.DUMMYFUNCTION("""COMPUTED_VALUE"""),"Dr, Andrés Paulino Herrera")</f>
        <v>Dr, Andrés Paulino Herrera</v>
      </c>
      <c r="P751" s="6" t="str">
        <f ca="1">IFERROR(__xludf.DUMMYFUNCTION("""COMPUTED_VALUE"""),"Lisandro Russian (Madrid, Cáceres, Toledo, Talavera Y Logroño)")</f>
        <v>Lisandro Russian (Madrid, Cáceres, Toledo, Talavera Y Logroño)</v>
      </c>
    </row>
    <row r="752" spans="2:16">
      <c r="B752" s="6">
        <f ca="1">IFERROR(__xludf.DUMMYFUNCTION("""COMPUTED_VALUE"""),2025)</f>
        <v>2025</v>
      </c>
      <c r="C752" s="6">
        <f ca="1">IFERROR(__xludf.DUMMYFUNCTION("""COMPUTED_VALUE"""),5)</f>
        <v>5</v>
      </c>
      <c r="D752" s="6" t="str">
        <f ca="1">IFERROR(__xludf.DUMMYFUNCTION("""COMPUTED_VALUE"""),"NO")</f>
        <v>NO</v>
      </c>
      <c r="E752" s="6" t="str">
        <f ca="1">IFERROR(__xludf.DUMMYFUNCTION("""COMPUTED_VALUE"""),"León")</f>
        <v>León</v>
      </c>
      <c r="F752" s="16">
        <f ca="1">IFERROR(__xludf.DUMMYFUNCTION("""COMPUTED_VALUE"""),45804)</f>
        <v>45804</v>
      </c>
      <c r="G752" s="16">
        <f ca="1">IFERROR(__xludf.DUMMYFUNCTION("""COMPUTED_VALUE"""),45800)</f>
        <v>45800</v>
      </c>
      <c r="H752" s="6" t="str">
        <f ca="1">IFERROR(__xludf.DUMMYFUNCTION("""COMPUTED_VALUE"""),"León")</f>
        <v>León</v>
      </c>
      <c r="I752" s="6" t="str">
        <f ca="1">IFERROR(__xludf.DUMMYFUNCTION("""COMPUTED_VALUE"""),"LEO-476")</f>
        <v>LEO-476</v>
      </c>
      <c r="J752" s="6" t="str">
        <f ca="1">IFERROR(__xludf.DUMMYFUNCTION("""COMPUTED_VALUE"""),"ARGENTINA LOPEZ LAZARO")</f>
        <v>ARGENTINA LOPEZ LAZARO</v>
      </c>
      <c r="K752" s="6">
        <f ca="1">IFERROR(__xludf.DUMMYFUNCTION("""COMPUTED_VALUE"""),2)</f>
        <v>2</v>
      </c>
      <c r="L752" s="139">
        <f ca="1">IFERROR(__xludf.DUMMYFUNCTION("""COMPUTED_VALUE"""),2437.27)</f>
        <v>2437.27</v>
      </c>
      <c r="M752" s="6" t="str">
        <f ca="1">IFERROR(__xludf.DUMMYFUNCTION("""COMPUTED_VALUE"""),"03 ORL")</f>
        <v>03 ORL</v>
      </c>
      <c r="N752" s="6" t="str">
        <f ca="1">IFERROR(__xludf.DUMMYFUNCTION("""COMPUTED_VALUE"""),"06 ORL")</f>
        <v>06 ORL</v>
      </c>
      <c r="O752" s="6" t="str">
        <f ca="1">IFERROR(__xludf.DUMMYFUNCTION("""COMPUTED_VALUE"""),"Dr, Rafael Pérez González")</f>
        <v>Dr, Rafael Pérez González</v>
      </c>
      <c r="P752" s="6" t="str">
        <f ca="1">IFERROR(__xludf.DUMMYFUNCTION("""COMPUTED_VALUE"""),"Patricia Solache (Castilla Y León)")</f>
        <v>Patricia Solache (Castilla Y León)</v>
      </c>
    </row>
    <row r="753" spans="2:16">
      <c r="B753" s="6">
        <f ca="1">IFERROR(__xludf.DUMMYFUNCTION("""COMPUTED_VALUE"""),2025)</f>
        <v>2025</v>
      </c>
      <c r="C753" s="6">
        <f ca="1">IFERROR(__xludf.DUMMYFUNCTION("""COMPUTED_VALUE"""),5)</f>
        <v>5</v>
      </c>
      <c r="D753" s="6" t="str">
        <f ca="1">IFERROR(__xludf.DUMMYFUNCTION("""COMPUTED_VALUE"""),"NO")</f>
        <v>NO</v>
      </c>
      <c r="E753" s="6" t="str">
        <f ca="1">IFERROR(__xludf.DUMMYFUNCTION("""COMPUTED_VALUE"""),"Valladolid")</f>
        <v>Valladolid</v>
      </c>
      <c r="F753" s="16">
        <f ca="1">IFERROR(__xludf.DUMMYFUNCTION("""COMPUTED_VALUE"""),45804)</f>
        <v>45804</v>
      </c>
      <c r="G753" s="16">
        <f ca="1">IFERROR(__xludf.DUMMYFUNCTION("""COMPUTED_VALUE"""),45754)</f>
        <v>45754</v>
      </c>
      <c r="H753" s="6" t="str">
        <f ca="1">IFERROR(__xludf.DUMMYFUNCTION("""COMPUTED_VALUE"""),"Valladolid")</f>
        <v>Valladolid</v>
      </c>
      <c r="I753" s="6" t="str">
        <f ca="1">IFERROR(__xludf.DUMMYFUNCTION("""COMPUTED_VALUE"""),"VLL-376")</f>
        <v>VLL-376</v>
      </c>
      <c r="J753" s="6" t="str">
        <f ca="1">IFERROR(__xludf.DUMMYFUNCTION("""COMPUTED_VALUE"""),"FELIX MOLPECERES TOLEDO")</f>
        <v>FELIX MOLPECERES TOLEDO</v>
      </c>
      <c r="K753" s="6">
        <f ca="1">IFERROR(__xludf.DUMMYFUNCTION("""COMPUTED_VALUE"""),1)</f>
        <v>1</v>
      </c>
      <c r="L753" s="139">
        <f ca="1">IFERROR(__xludf.DUMMYFUNCTION("""COMPUTED_VALUE"""),2034.55)</f>
        <v>2034.55</v>
      </c>
      <c r="M753" s="6" t="str">
        <f ca="1">IFERROR(__xludf.DUMMYFUNCTION("""COMPUTED_VALUE"""),"03 ORL")</f>
        <v>03 ORL</v>
      </c>
      <c r="N753" s="6" t="str">
        <f ca="1">IFERROR(__xludf.DUMMYFUNCTION("""COMPUTED_VALUE"""),"06 ORL")</f>
        <v>06 ORL</v>
      </c>
      <c r="O753" s="6" t="str">
        <f ca="1">IFERROR(__xludf.DUMMYFUNCTION("""COMPUTED_VALUE"""),"Dra, Ana Fernández Rodríguez")</f>
        <v>Dra, Ana Fernández Rodríguez</v>
      </c>
      <c r="P753" s="6" t="str">
        <f ca="1">IFERROR(__xludf.DUMMYFUNCTION("""COMPUTED_VALUE"""),"Patricia Solache (Castilla Y León)")</f>
        <v>Patricia Solache (Castilla Y León)</v>
      </c>
    </row>
    <row r="754" spans="2:16">
      <c r="B754" s="6">
        <f ca="1">IFERROR(__xludf.DUMMYFUNCTION("""COMPUTED_VALUE"""),2025)</f>
        <v>2025</v>
      </c>
      <c r="C754" s="6">
        <f ca="1">IFERROR(__xludf.DUMMYFUNCTION("""COMPUTED_VALUE"""),5)</f>
        <v>5</v>
      </c>
      <c r="D754" s="6" t="str">
        <f ca="1">IFERROR(__xludf.DUMMYFUNCTION("""COMPUTED_VALUE"""),"NO")</f>
        <v>NO</v>
      </c>
      <c r="E754" s="6" t="str">
        <f ca="1">IFERROR(__xludf.DUMMYFUNCTION("""COMPUTED_VALUE"""),"Lalín")</f>
        <v>Lalín</v>
      </c>
      <c r="F754" s="16">
        <f ca="1">IFERROR(__xludf.DUMMYFUNCTION("""COMPUTED_VALUE"""),45805)</f>
        <v>45805</v>
      </c>
      <c r="G754" s="16">
        <f ca="1">IFERROR(__xludf.DUMMYFUNCTION("""COMPUTED_VALUE"""),45756)</f>
        <v>45756</v>
      </c>
      <c r="H754" s="6" t="str">
        <f ca="1">IFERROR(__xludf.DUMMYFUNCTION("""COMPUTED_VALUE"""),"Lalín")</f>
        <v>Lalín</v>
      </c>
      <c r="I754" s="6" t="str">
        <f ca="1">IFERROR(__xludf.DUMMYFUNCTION("""COMPUTED_VALUE"""),"LAL-142")</f>
        <v>LAL-142</v>
      </c>
      <c r="J754" s="6" t="str">
        <f ca="1">IFERROR(__xludf.DUMMYFUNCTION("""COMPUTED_VALUE"""),"MARIA TERESA FAILDE GARCIA")</f>
        <v>MARIA TERESA FAILDE GARCIA</v>
      </c>
      <c r="K754" s="6">
        <f ca="1">IFERROR(__xludf.DUMMYFUNCTION("""COMPUTED_VALUE"""),2)</f>
        <v>2</v>
      </c>
      <c r="L754" s="139">
        <f ca="1">IFERROR(__xludf.DUMMYFUNCTION("""COMPUTED_VALUE"""),2709.09)</f>
        <v>2709.09</v>
      </c>
      <c r="M754" s="6" t="str">
        <f ca="1">IFERROR(__xludf.DUMMYFUNCTION("""COMPUTED_VALUE"""),"03 ORL")</f>
        <v>03 ORL</v>
      </c>
      <c r="N754" s="6" t="str">
        <f ca="1">IFERROR(__xludf.DUMMYFUNCTION("""COMPUTED_VALUE"""),"06 ORL")</f>
        <v>06 ORL</v>
      </c>
      <c r="O754" s="6" t="str">
        <f ca="1">IFERROR(__xludf.DUMMYFUNCTION("""COMPUTED_VALUE"""),"Dra, Isabel Vaamonde Sanchez Andrade")</f>
        <v>Dra, Isabel Vaamonde Sanchez Andrade</v>
      </c>
      <c r="P754" s="6" t="str">
        <f ca="1">IFERROR(__xludf.DUMMYFUNCTION("""COMPUTED_VALUE"""),"Roberto Pereira (Galicia)")</f>
        <v>Roberto Pereira (Galicia)</v>
      </c>
    </row>
    <row r="755" spans="2:16">
      <c r="B755" s="6">
        <f ca="1">IFERROR(__xludf.DUMMYFUNCTION("""COMPUTED_VALUE"""),2025)</f>
        <v>2025</v>
      </c>
      <c r="C755" s="6">
        <f ca="1">IFERROR(__xludf.DUMMYFUNCTION("""COMPUTED_VALUE"""),5)</f>
        <v>5</v>
      </c>
      <c r="D755" s="6" t="str">
        <f ca="1">IFERROR(__xludf.DUMMYFUNCTION("""COMPUTED_VALUE"""),"NO")</f>
        <v>NO</v>
      </c>
      <c r="E755" s="6" t="str">
        <f ca="1">IFERROR(__xludf.DUMMYFUNCTION("""COMPUTED_VALUE"""),"Sevilla- Ciencias")</f>
        <v>Sevilla- Ciencias</v>
      </c>
      <c r="F755" s="16">
        <f ca="1">IFERROR(__xludf.DUMMYFUNCTION("""COMPUTED_VALUE"""),45805)</f>
        <v>45805</v>
      </c>
      <c r="G755" s="16">
        <f ca="1">IFERROR(__xludf.DUMMYFUNCTION("""COMPUTED_VALUE"""),45754)</f>
        <v>45754</v>
      </c>
      <c r="H755" s="6" t="str">
        <f ca="1">IFERROR(__xludf.DUMMYFUNCTION("""COMPUTED_VALUE"""),"Sevilla Este")</f>
        <v>Sevilla Este</v>
      </c>
      <c r="I755" s="6" t="str">
        <f ca="1">IFERROR(__xludf.DUMMYFUNCTION("""COMPUTED_VALUE"""),"SEVE-396")</f>
        <v>SEVE-396</v>
      </c>
      <c r="J755" s="6" t="str">
        <f ca="1">IFERROR(__xludf.DUMMYFUNCTION("""COMPUTED_VALUE"""),"ISMAEL SANCHEZ BRIZ")</f>
        <v>ISMAEL SANCHEZ BRIZ</v>
      </c>
      <c r="K755" s="6">
        <f ca="1">IFERROR(__xludf.DUMMYFUNCTION("""COMPUTED_VALUE"""),2)</f>
        <v>2</v>
      </c>
      <c r="L755" s="139">
        <f ca="1">IFERROR(__xludf.DUMMYFUNCTION("""COMPUTED_VALUE"""),4000)</f>
        <v>4000</v>
      </c>
      <c r="M755" s="6" t="str">
        <f ca="1">IFERROR(__xludf.DUMMYFUNCTION("""COMPUTED_VALUE"""),"03 ORL")</f>
        <v>03 ORL</v>
      </c>
      <c r="N755" s="6" t="str">
        <f ca="1">IFERROR(__xludf.DUMMYFUNCTION("""COMPUTED_VALUE"""),"06 ORL")</f>
        <v>06 ORL</v>
      </c>
      <c r="O755" s="6" t="str">
        <f ca="1">IFERROR(__xludf.DUMMYFUNCTION("""COMPUTED_VALUE"""),"Dra, Estefanía Berrocal Postigo")</f>
        <v>Dra, Estefanía Berrocal Postigo</v>
      </c>
      <c r="P755" s="6" t="str">
        <f ca="1">IFERROR(__xludf.DUMMYFUNCTION("""COMPUTED_VALUE"""),"Luis Alberto Rodríguez (Andalucía Y Badajoz)")</f>
        <v>Luis Alberto Rodríguez (Andalucía Y Badajoz)</v>
      </c>
    </row>
    <row r="756" spans="2:16">
      <c r="B756" s="6">
        <f ca="1">IFERROR(__xludf.DUMMYFUNCTION("""COMPUTED_VALUE"""),2025)</f>
        <v>2025</v>
      </c>
      <c r="C756" s="6">
        <f ca="1">IFERROR(__xludf.DUMMYFUNCTION("""COMPUTED_VALUE"""),5)</f>
        <v>5</v>
      </c>
      <c r="D756" s="6" t="str">
        <f ca="1">IFERROR(__xludf.DUMMYFUNCTION("""COMPUTED_VALUE"""),"NO")</f>
        <v>NO</v>
      </c>
      <c r="E756" s="6" t="str">
        <f ca="1">IFERROR(__xludf.DUMMYFUNCTION("""COMPUTED_VALUE"""),"Salamanca")</f>
        <v>Salamanca</v>
      </c>
      <c r="F756" s="16">
        <f ca="1">IFERROR(__xludf.DUMMYFUNCTION("""COMPUTED_VALUE"""),45806)</f>
        <v>45806</v>
      </c>
      <c r="G756" s="16">
        <f ca="1">IFERROR(__xludf.DUMMYFUNCTION("""COMPUTED_VALUE"""),45779)</f>
        <v>45779</v>
      </c>
      <c r="H756" s="6" t="str">
        <f ca="1">IFERROR(__xludf.DUMMYFUNCTION("""COMPUTED_VALUE"""),"Salamanca")</f>
        <v>Salamanca</v>
      </c>
      <c r="I756" s="6" t="str">
        <f ca="1">IFERROR(__xludf.DUMMYFUNCTION("""COMPUTED_VALUE"""),"SLM-542")</f>
        <v>SLM-542</v>
      </c>
      <c r="J756" s="6" t="str">
        <f ca="1">IFERROR(__xludf.DUMMYFUNCTION("""COMPUTED_VALUE"""),"MARIA DE LOS ANGELES LANZAROTE SASTRE")</f>
        <v>MARIA DE LOS ANGELES LANZAROTE SASTRE</v>
      </c>
      <c r="K756" s="6">
        <f ca="1">IFERROR(__xludf.DUMMYFUNCTION("""COMPUTED_VALUE"""),2)</f>
        <v>2</v>
      </c>
      <c r="L756" s="139">
        <f ca="1">IFERROR(__xludf.DUMMYFUNCTION("""COMPUTED_VALUE"""),3604.55)</f>
        <v>3604.55</v>
      </c>
      <c r="M756" s="6" t="str">
        <f ca="1">IFERROR(__xludf.DUMMYFUNCTION("""COMPUTED_VALUE"""),"03 ORL")</f>
        <v>03 ORL</v>
      </c>
      <c r="N756" s="6" t="str">
        <f ca="1">IFERROR(__xludf.DUMMYFUNCTION("""COMPUTED_VALUE"""),"06 ORL")</f>
        <v>06 ORL</v>
      </c>
      <c r="O756" s="6" t="str">
        <f ca="1">IFERROR(__xludf.DUMMYFUNCTION("""COMPUTED_VALUE"""),"No Recuerda Orl")</f>
        <v>No Recuerda Orl</v>
      </c>
      <c r="P756" s="6" t="str">
        <f ca="1">IFERROR(__xludf.DUMMYFUNCTION("""COMPUTED_VALUE"""),"Patricia Solache (Castilla Y León)")</f>
        <v>Patricia Solache (Castilla Y León)</v>
      </c>
    </row>
    <row r="757" spans="2:16">
      <c r="B757" s="6">
        <f ca="1">IFERROR(__xludf.DUMMYFUNCTION("""COMPUTED_VALUE"""),2025)</f>
        <v>2025</v>
      </c>
      <c r="C757" s="6">
        <f ca="1">IFERROR(__xludf.DUMMYFUNCTION("""COMPUTED_VALUE"""),6)</f>
        <v>6</v>
      </c>
      <c r="D757" s="6" t="str">
        <f ca="1">IFERROR(__xludf.DUMMYFUNCTION("""COMPUTED_VALUE"""),"NO")</f>
        <v>NO</v>
      </c>
      <c r="E757" s="6" t="str">
        <f ca="1">IFERROR(__xludf.DUMMYFUNCTION("""COMPUTED_VALUE"""),"Albacete")</f>
        <v>Albacete</v>
      </c>
      <c r="F757" s="16">
        <f ca="1">IFERROR(__xludf.DUMMYFUNCTION("""COMPUTED_VALUE"""),45824)</f>
        <v>45824</v>
      </c>
      <c r="G757" s="16">
        <f ca="1">IFERROR(__xludf.DUMMYFUNCTION("""COMPUTED_VALUE"""),45806)</f>
        <v>45806</v>
      </c>
      <c r="H757" s="6" t="str">
        <f ca="1">IFERROR(__xludf.DUMMYFUNCTION("""COMPUTED_VALUE"""),"Albacete")</f>
        <v>Albacete</v>
      </c>
      <c r="I757" s="6" t="str">
        <f ca="1">IFERROR(__xludf.DUMMYFUNCTION("""COMPUTED_VALUE"""),"C20256292840124")</f>
        <v>C20256292840124</v>
      </c>
      <c r="J757" s="6" t="str">
        <f ca="1">IFERROR(__xludf.DUMMYFUNCTION("""COMPUTED_VALUE"""),"CESAR AUGUSTO CRUZ MANZANERO")</f>
        <v>CESAR AUGUSTO CRUZ MANZANERO</v>
      </c>
      <c r="K757" s="6">
        <f ca="1">IFERROR(__xludf.DUMMYFUNCTION("""COMPUTED_VALUE"""),1)</f>
        <v>1</v>
      </c>
      <c r="L757" s="139">
        <f ca="1">IFERROR(__xludf.DUMMYFUNCTION("""COMPUTED_VALUE"""),2640)</f>
        <v>2640</v>
      </c>
      <c r="M757" s="6" t="str">
        <f ca="1">IFERROR(__xludf.DUMMYFUNCTION("""COMPUTED_VALUE"""),"03 ORL")</f>
        <v>03 ORL</v>
      </c>
      <c r="N757" s="6" t="str">
        <f ca="1">IFERROR(__xludf.DUMMYFUNCTION("""COMPUTED_VALUE"""),"06 ORL")</f>
        <v>06 ORL</v>
      </c>
      <c r="O757" s="6" t="str">
        <f ca="1">IFERROR(__xludf.DUMMYFUNCTION("""COMPUTED_VALUE"""),"Dr, Pedro Seguí Moya")</f>
        <v>Dr, Pedro Seguí Moya</v>
      </c>
      <c r="P757" s="6" t="str">
        <f ca="1">IFERROR(__xludf.DUMMYFUNCTION("""COMPUTED_VALUE"""),"Iván Sánchez (Levante Y Albacete)")</f>
        <v>Iván Sánchez (Levante Y Albacete)</v>
      </c>
    </row>
    <row r="758" spans="2:16">
      <c r="B758" s="6">
        <f ca="1">IFERROR(__xludf.DUMMYFUNCTION("""COMPUTED_VALUE"""),2025)</f>
        <v>2025</v>
      </c>
      <c r="C758" s="6">
        <f ca="1">IFERROR(__xludf.DUMMYFUNCTION("""COMPUTED_VALUE"""),6)</f>
        <v>6</v>
      </c>
      <c r="D758" s="6" t="str">
        <f ca="1">IFERROR(__xludf.DUMMYFUNCTION("""COMPUTED_VALUE"""),"NO")</f>
        <v>NO</v>
      </c>
      <c r="E758" s="6" t="str">
        <f ca="1">IFERROR(__xludf.DUMMYFUNCTION("""COMPUTED_VALUE"""),"Alicante")</f>
        <v>Alicante</v>
      </c>
      <c r="F758" s="16">
        <f ca="1">IFERROR(__xludf.DUMMYFUNCTION("""COMPUTED_VALUE"""),45833)</f>
        <v>45833</v>
      </c>
      <c r="G758" s="16">
        <f ca="1">IFERROR(__xludf.DUMMYFUNCTION("""COMPUTED_VALUE"""),45804)</f>
        <v>45804</v>
      </c>
      <c r="H758" s="6" t="str">
        <f ca="1">IFERROR(__xludf.DUMMYFUNCTION("""COMPUTED_VALUE"""),"Alicante")</f>
        <v>Alicante</v>
      </c>
      <c r="I758" s="6" t="str">
        <f ca="1">IFERROR(__xludf.DUMMYFUNCTION("""COMPUTED_VALUE"""),"C20256411852211")</f>
        <v>C20256411852211</v>
      </c>
      <c r="J758" s="6" t="str">
        <f ca="1">IFERROR(__xludf.DUMMYFUNCTION("""COMPUTED_VALUE"""),"CRUZ MARIN TORAL")</f>
        <v>CRUZ MARIN TORAL</v>
      </c>
      <c r="K758" s="6">
        <f ca="1">IFERROR(__xludf.DUMMYFUNCTION("""COMPUTED_VALUE"""),1)</f>
        <v>1</v>
      </c>
      <c r="L758" s="139">
        <f ca="1">IFERROR(__xludf.DUMMYFUNCTION("""COMPUTED_VALUE"""),1732.73)</f>
        <v>1732.73</v>
      </c>
      <c r="M758" s="6" t="str">
        <f ca="1">IFERROR(__xludf.DUMMYFUNCTION("""COMPUTED_VALUE"""),"03 ORL")</f>
        <v>03 ORL</v>
      </c>
      <c r="N758" s="6" t="str">
        <f ca="1">IFERROR(__xludf.DUMMYFUNCTION("""COMPUTED_VALUE"""),"06 ORL")</f>
        <v>06 ORL</v>
      </c>
      <c r="O758" s="6" t="str">
        <f ca="1">IFERROR(__xludf.DUMMYFUNCTION("""COMPUTED_VALUE"""),"Dr, Francisco Pastor Beviá")</f>
        <v>Dr, Francisco Pastor Beviá</v>
      </c>
      <c r="P758" s="6" t="str">
        <f ca="1">IFERROR(__xludf.DUMMYFUNCTION("""COMPUTED_VALUE"""),"Iván Sánchez (Levante Y Albacete)")</f>
        <v>Iván Sánchez (Levante Y Albacete)</v>
      </c>
    </row>
    <row r="759" spans="2:16">
      <c r="B759" s="6">
        <f ca="1">IFERROR(__xludf.DUMMYFUNCTION("""COMPUTED_VALUE"""),2025)</f>
        <v>2025</v>
      </c>
      <c r="C759" s="6">
        <f ca="1">IFERROR(__xludf.DUMMYFUNCTION("""COMPUTED_VALUE"""),6)</f>
        <v>6</v>
      </c>
      <c r="D759" s="6" t="str">
        <f ca="1">IFERROR(__xludf.DUMMYFUNCTION("""COMPUTED_VALUE"""),"NO")</f>
        <v>NO</v>
      </c>
      <c r="E759" s="6" t="str">
        <f ca="1">IFERROR(__xludf.DUMMYFUNCTION("""COMPUTED_VALUE"""),"Alicante")</f>
        <v>Alicante</v>
      </c>
      <c r="F759" s="16">
        <f ca="1">IFERROR(__xludf.DUMMYFUNCTION("""COMPUTED_VALUE"""),45818)</f>
        <v>45818</v>
      </c>
      <c r="G759" s="16">
        <f ca="1">IFERROR(__xludf.DUMMYFUNCTION("""COMPUTED_VALUE"""),45777)</f>
        <v>45777</v>
      </c>
      <c r="H759" s="6" t="str">
        <f ca="1">IFERROR(__xludf.DUMMYFUNCTION("""COMPUTED_VALUE"""),"Alicante")</f>
        <v>Alicante</v>
      </c>
      <c r="I759" s="6" t="str">
        <f ca="1">IFERROR(__xludf.DUMMYFUNCTION("""COMPUTED_VALUE"""),"C2025571066589")</f>
        <v>C2025571066589</v>
      </c>
      <c r="J759" s="6" t="str">
        <f ca="1">IFERROR(__xludf.DUMMYFUNCTION("""COMPUTED_VALUE"""),"ANA ORTS MAS")</f>
        <v>ANA ORTS MAS</v>
      </c>
      <c r="K759" s="6">
        <f ca="1">IFERROR(__xludf.DUMMYFUNCTION("""COMPUTED_VALUE"""),1)</f>
        <v>1</v>
      </c>
      <c r="L759" s="139">
        <f ca="1">IFERROR(__xludf.DUMMYFUNCTION("""COMPUTED_VALUE"""),2115.05)</f>
        <v>2115.0500000000002</v>
      </c>
      <c r="M759" s="6" t="str">
        <f ca="1">IFERROR(__xludf.DUMMYFUNCTION("""COMPUTED_VALUE"""),"03 ORL")</f>
        <v>03 ORL</v>
      </c>
      <c r="N759" s="6" t="str">
        <f ca="1">IFERROR(__xludf.DUMMYFUNCTION("""COMPUTED_VALUE"""),"06 ORL")</f>
        <v>06 ORL</v>
      </c>
      <c r="O759" s="6" t="str">
        <f ca="1">IFERROR(__xludf.DUMMYFUNCTION("""COMPUTED_VALUE"""),"Dra, Luisa Payá Pérez")</f>
        <v>Dra, Luisa Payá Pérez</v>
      </c>
      <c r="P759" s="6" t="str">
        <f ca="1">IFERROR(__xludf.DUMMYFUNCTION("""COMPUTED_VALUE"""),"Iván Sánchez (Levante Y Albacete)")</f>
        <v>Iván Sánchez (Levante Y Albacete)</v>
      </c>
    </row>
    <row r="760" spans="2:16">
      <c r="B760" s="6">
        <f ca="1">IFERROR(__xludf.DUMMYFUNCTION("""COMPUTED_VALUE"""),2025)</f>
        <v>2025</v>
      </c>
      <c r="C760" s="6">
        <f ca="1">IFERROR(__xludf.DUMMYFUNCTION("""COMPUTED_VALUE"""),6)</f>
        <v>6</v>
      </c>
      <c r="D760" s="6" t="str">
        <f ca="1">IFERROR(__xludf.DUMMYFUNCTION("""COMPUTED_VALUE"""),"NO")</f>
        <v>NO</v>
      </c>
      <c r="E760" s="6" t="str">
        <f ca="1">IFERROR(__xludf.DUMMYFUNCTION("""COMPUTED_VALUE"""),"Alicante")</f>
        <v>Alicante</v>
      </c>
      <c r="F760" s="16">
        <f ca="1">IFERROR(__xludf.DUMMYFUNCTION("""COMPUTED_VALUE"""),45826)</f>
        <v>45826</v>
      </c>
      <c r="G760" s="16">
        <f ca="1">IFERROR(__xludf.DUMMYFUNCTION("""COMPUTED_VALUE"""),45791)</f>
        <v>45791</v>
      </c>
      <c r="H760" s="6" t="str">
        <f ca="1">IFERROR(__xludf.DUMMYFUNCTION("""COMPUTED_VALUE"""),"Alicante")</f>
        <v>Alicante</v>
      </c>
      <c r="I760" s="6" t="str">
        <f ca="1">IFERROR(__xludf.DUMMYFUNCTION("""COMPUTED_VALUE"""),"C2025521172557687")</f>
        <v>C2025521172557687</v>
      </c>
      <c r="J760" s="6" t="str">
        <f ca="1">IFERROR(__xludf.DUMMYFUNCTION("""COMPUTED_VALUE"""),"DIEGO CRUZ GILBERT")</f>
        <v>DIEGO CRUZ GILBERT</v>
      </c>
      <c r="K760" s="6">
        <f ca="1">IFERROR(__xludf.DUMMYFUNCTION("""COMPUTED_VALUE"""),2)</f>
        <v>2</v>
      </c>
      <c r="L760" s="139">
        <f ca="1">IFERROR(__xludf.DUMMYFUNCTION("""COMPUTED_VALUE"""),2888.18)</f>
        <v>2888.18</v>
      </c>
      <c r="M760" s="6" t="str">
        <f ca="1">IFERROR(__xludf.DUMMYFUNCTION("""COMPUTED_VALUE"""),"03 ORL")</f>
        <v>03 ORL</v>
      </c>
      <c r="N760" s="6" t="str">
        <f ca="1">IFERROR(__xludf.DUMMYFUNCTION("""COMPUTED_VALUE"""),"06 ORL")</f>
        <v>06 ORL</v>
      </c>
      <c r="O760" s="6" t="str">
        <f ca="1">IFERROR(__xludf.DUMMYFUNCTION("""COMPUTED_VALUE"""),"Dra, Paula Hernández Ruíz")</f>
        <v>Dra, Paula Hernández Ruíz</v>
      </c>
      <c r="P760" s="6" t="str">
        <f ca="1">IFERROR(__xludf.DUMMYFUNCTION("""COMPUTED_VALUE"""),"Iván Sánchez (Levante Y Albacete)")</f>
        <v>Iván Sánchez (Levante Y Albacete)</v>
      </c>
    </row>
    <row r="761" spans="2:16">
      <c r="B761" s="6">
        <f ca="1">IFERROR(__xludf.DUMMYFUNCTION("""COMPUTED_VALUE"""),2025)</f>
        <v>2025</v>
      </c>
      <c r="C761" s="6">
        <f ca="1">IFERROR(__xludf.DUMMYFUNCTION("""COMPUTED_VALUE"""),6)</f>
        <v>6</v>
      </c>
      <c r="D761" s="6" t="str">
        <f ca="1">IFERROR(__xludf.DUMMYFUNCTION("""COMPUTED_VALUE"""),"NO")</f>
        <v>NO</v>
      </c>
      <c r="E761" s="6" t="str">
        <f ca="1">IFERROR(__xludf.DUMMYFUNCTION("""COMPUTED_VALUE"""),"Alicante")</f>
        <v>Alicante</v>
      </c>
      <c r="F761" s="16">
        <f ca="1">IFERROR(__xludf.DUMMYFUNCTION("""COMPUTED_VALUE"""),45812)</f>
        <v>45812</v>
      </c>
      <c r="G761" s="16">
        <f ca="1">IFERROR(__xludf.DUMMYFUNCTION("""COMPUTED_VALUE"""),45782)</f>
        <v>45782</v>
      </c>
      <c r="H761" s="6" t="str">
        <f ca="1">IFERROR(__xludf.DUMMYFUNCTION("""COMPUTED_VALUE"""),"Alicante")</f>
        <v>Alicante</v>
      </c>
      <c r="I761" s="6" t="str">
        <f ca="1">IFERROR(__xludf.DUMMYFUNCTION("""COMPUTED_VALUE"""),"C202558114050748")</f>
        <v>C202558114050748</v>
      </c>
      <c r="J761" s="6" t="str">
        <f ca="1">IFERROR(__xludf.DUMMYFUNCTION("""COMPUTED_VALUE"""),"ELVIRA GALINDO CARRETERO")</f>
        <v>ELVIRA GALINDO CARRETERO</v>
      </c>
      <c r="K761" s="6">
        <f ca="1">IFERROR(__xludf.DUMMYFUNCTION("""COMPUTED_VALUE"""),2)</f>
        <v>2</v>
      </c>
      <c r="L761" s="139">
        <f ca="1">IFERROR(__xludf.DUMMYFUNCTION("""COMPUTED_VALUE"""),3524.5)</f>
        <v>3524.5</v>
      </c>
      <c r="M761" s="6" t="str">
        <f ca="1">IFERROR(__xludf.DUMMYFUNCTION("""COMPUTED_VALUE"""),"03 ORL")</f>
        <v>03 ORL</v>
      </c>
      <c r="N761" s="6" t="str">
        <f ca="1">IFERROR(__xludf.DUMMYFUNCTION("""COMPUTED_VALUE"""),"06 ORL")</f>
        <v>06 ORL</v>
      </c>
      <c r="O761" s="6" t="str">
        <f ca="1">IFERROR(__xludf.DUMMYFUNCTION("""COMPUTED_VALUE"""),"Dra, Cristina Muñoz Pinto")</f>
        <v>Dra, Cristina Muñoz Pinto</v>
      </c>
      <c r="P761" s="6" t="str">
        <f ca="1">IFERROR(__xludf.DUMMYFUNCTION("""COMPUTED_VALUE"""),"Iván Sánchez (Levante Y Albacete)")</f>
        <v>Iván Sánchez (Levante Y Albacete)</v>
      </c>
    </row>
    <row r="762" spans="2:16">
      <c r="B762" s="6">
        <f ca="1">IFERROR(__xludf.DUMMYFUNCTION("""COMPUTED_VALUE"""),2025)</f>
        <v>2025</v>
      </c>
      <c r="C762" s="6">
        <f ca="1">IFERROR(__xludf.DUMMYFUNCTION("""COMPUTED_VALUE"""),6)</f>
        <v>6</v>
      </c>
      <c r="D762" s="6" t="str">
        <f ca="1">IFERROR(__xludf.DUMMYFUNCTION("""COMPUTED_VALUE"""),"NO")</f>
        <v>NO</v>
      </c>
      <c r="E762" s="6" t="str">
        <f ca="1">IFERROR(__xludf.DUMMYFUNCTION("""COMPUTED_VALUE"""),"Alicante")</f>
        <v>Alicante</v>
      </c>
      <c r="F762" s="16">
        <f ca="1">IFERROR(__xludf.DUMMYFUNCTION("""COMPUTED_VALUE"""),45810)</f>
        <v>45810</v>
      </c>
      <c r="G762" s="16">
        <f ca="1">IFERROR(__xludf.DUMMYFUNCTION("""COMPUTED_VALUE"""),45790)</f>
        <v>45790</v>
      </c>
      <c r="H762" s="6" t="str">
        <f ca="1">IFERROR(__xludf.DUMMYFUNCTION("""COMPUTED_VALUE"""),"Alicante")</f>
        <v>Alicante</v>
      </c>
      <c r="I762" s="6" t="str">
        <f ca="1">IFERROR(__xludf.DUMMYFUNCTION("""COMPUTED_VALUE"""),"C2025516115638434")</f>
        <v>C2025516115638434</v>
      </c>
      <c r="J762" s="6" t="str">
        <f ca="1">IFERROR(__xludf.DUMMYFUNCTION("""COMPUTED_VALUE"""),"MARIA DEL CARMEN LORENZO MANGAS")</f>
        <v>MARIA DEL CARMEN LORENZO MANGAS</v>
      </c>
      <c r="K762" s="6">
        <f ca="1">IFERROR(__xludf.DUMMYFUNCTION("""COMPUTED_VALUE"""),2)</f>
        <v>2</v>
      </c>
      <c r="L762" s="139">
        <f ca="1">IFERROR(__xludf.DUMMYFUNCTION("""COMPUTED_VALUE"""),4000)</f>
        <v>4000</v>
      </c>
      <c r="M762" s="6" t="str">
        <f ca="1">IFERROR(__xludf.DUMMYFUNCTION("""COMPUTED_VALUE"""),"03 ORL")</f>
        <v>03 ORL</v>
      </c>
      <c r="N762" s="6" t="str">
        <f ca="1">IFERROR(__xludf.DUMMYFUNCTION("""COMPUTED_VALUE"""),"06 ORL")</f>
        <v>06 ORL</v>
      </c>
      <c r="O762" s="6" t="str">
        <f ca="1">IFERROR(__xludf.DUMMYFUNCTION("""COMPUTED_VALUE"""),"Dra, Cristina Muñoz Pinto")</f>
        <v>Dra, Cristina Muñoz Pinto</v>
      </c>
      <c r="P762" s="6" t="str">
        <f ca="1">IFERROR(__xludf.DUMMYFUNCTION("""COMPUTED_VALUE"""),"Iván Sánchez (Levante Y Albacete)")</f>
        <v>Iván Sánchez (Levante Y Albacete)</v>
      </c>
    </row>
    <row r="763" spans="2:16">
      <c r="B763" s="6">
        <f ca="1">IFERROR(__xludf.DUMMYFUNCTION("""COMPUTED_VALUE"""),2025)</f>
        <v>2025</v>
      </c>
      <c r="C763" s="6">
        <f ca="1">IFERROR(__xludf.DUMMYFUNCTION("""COMPUTED_VALUE"""),6)</f>
        <v>6</v>
      </c>
      <c r="D763" s="6" t="str">
        <f ca="1">IFERROR(__xludf.DUMMYFUNCTION("""COMPUTED_VALUE"""),"NO")</f>
        <v>NO</v>
      </c>
      <c r="E763" s="6" t="str">
        <f ca="1">IFERROR(__xludf.DUMMYFUNCTION("""COMPUTED_VALUE"""),"Alicante")</f>
        <v>Alicante</v>
      </c>
      <c r="F763" s="16">
        <f ca="1">IFERROR(__xludf.DUMMYFUNCTION("""COMPUTED_VALUE"""),45817)</f>
        <v>45817</v>
      </c>
      <c r="G763" s="16">
        <f ca="1">IFERROR(__xludf.DUMMYFUNCTION("""COMPUTED_VALUE"""),45785)</f>
        <v>45785</v>
      </c>
      <c r="H763" s="6" t="str">
        <f ca="1">IFERROR(__xludf.DUMMYFUNCTION("""COMPUTED_VALUE"""),"Alicante")</f>
        <v>Alicante</v>
      </c>
      <c r="I763" s="6" t="str">
        <f ca="1">IFERROR(__xludf.DUMMYFUNCTION("""COMPUTED_VALUE"""),"C2025591166835")</f>
        <v>C2025591166835</v>
      </c>
      <c r="J763" s="6" t="str">
        <f ca="1">IFERROR(__xludf.DUMMYFUNCTION("""COMPUTED_VALUE"""),"VICENTE VARO BUTRON")</f>
        <v>VICENTE VARO BUTRON</v>
      </c>
      <c r="K763" s="6">
        <f ca="1">IFERROR(__xludf.DUMMYFUNCTION("""COMPUTED_VALUE"""),2)</f>
        <v>2</v>
      </c>
      <c r="L763" s="139">
        <f ca="1">IFERROR(__xludf.DUMMYFUNCTION("""COMPUTED_VALUE"""),2888.18)</f>
        <v>2888.18</v>
      </c>
      <c r="M763" s="6" t="str">
        <f ca="1">IFERROR(__xludf.DUMMYFUNCTION("""COMPUTED_VALUE"""),"03 ORL")</f>
        <v>03 ORL</v>
      </c>
      <c r="N763" s="6" t="str">
        <f ca="1">IFERROR(__xludf.DUMMYFUNCTION("""COMPUTED_VALUE"""),"06 ORL")</f>
        <v>06 ORL</v>
      </c>
      <c r="O763" s="6" t="str">
        <f ca="1">IFERROR(__xludf.DUMMYFUNCTION("""COMPUTED_VALUE"""),"Dr, Francisco Pastor Beviá")</f>
        <v>Dr, Francisco Pastor Beviá</v>
      </c>
      <c r="P763" s="6" t="str">
        <f ca="1">IFERROR(__xludf.DUMMYFUNCTION("""COMPUTED_VALUE"""),"Iván Sánchez (Levante Y Albacete)")</f>
        <v>Iván Sánchez (Levante Y Albacete)</v>
      </c>
    </row>
    <row r="764" spans="2:16">
      <c r="B764" s="6">
        <f ca="1">IFERROR(__xludf.DUMMYFUNCTION("""COMPUTED_VALUE"""),2025)</f>
        <v>2025</v>
      </c>
      <c r="C764" s="6">
        <f ca="1">IFERROR(__xludf.DUMMYFUNCTION("""COMPUTED_VALUE"""),6)</f>
        <v>6</v>
      </c>
      <c r="D764" s="6" t="str">
        <f ca="1">IFERROR(__xludf.DUMMYFUNCTION("""COMPUTED_VALUE"""),"NO")</f>
        <v>NO</v>
      </c>
      <c r="E764" s="6" t="str">
        <f ca="1">IFERROR(__xludf.DUMMYFUNCTION("""COMPUTED_VALUE"""),"Almería")</f>
        <v>Almería</v>
      </c>
      <c r="F764" s="16">
        <f ca="1">IFERROR(__xludf.DUMMYFUNCTION("""COMPUTED_VALUE"""),45838)</f>
        <v>45838</v>
      </c>
      <c r="G764" s="16">
        <f ca="1">IFERROR(__xludf.DUMMYFUNCTION("""COMPUTED_VALUE"""),45820)</f>
        <v>45820</v>
      </c>
      <c r="H764" s="6" t="str">
        <f ca="1">IFERROR(__xludf.DUMMYFUNCTION("""COMPUTED_VALUE"""),"Almería")</f>
        <v>Almería</v>
      </c>
      <c r="I764" s="6" t="str">
        <f ca="1">IFERROR(__xludf.DUMMYFUNCTION("""COMPUTED_VALUE"""),"C2025620155324114")</f>
        <v>C2025620155324114</v>
      </c>
      <c r="J764" s="6" t="str">
        <f ca="1">IFERROR(__xludf.DUMMYFUNCTION("""COMPUTED_VALUE"""),"LAURA CRUZ FERNANDEZ")</f>
        <v>LAURA CRUZ FERNANDEZ</v>
      </c>
      <c r="K764" s="6">
        <f ca="1">IFERROR(__xludf.DUMMYFUNCTION("""COMPUTED_VALUE"""),2)</f>
        <v>2</v>
      </c>
      <c r="L764" s="139">
        <f ca="1">IFERROR(__xludf.DUMMYFUNCTION("""COMPUTED_VALUE"""),3604.55)</f>
        <v>3604.55</v>
      </c>
      <c r="M764" s="6" t="str">
        <f ca="1">IFERROR(__xludf.DUMMYFUNCTION("""COMPUTED_VALUE"""),"03 ORL")</f>
        <v>03 ORL</v>
      </c>
      <c r="N764" s="6" t="str">
        <f ca="1">IFERROR(__xludf.DUMMYFUNCTION("""COMPUTED_VALUE"""),"06 ORL")</f>
        <v>06 ORL</v>
      </c>
      <c r="O764" s="6" t="str">
        <f ca="1">IFERROR(__xludf.DUMMYFUNCTION("""COMPUTED_VALUE"""),"Dra, María José Gámiz Maroto")</f>
        <v>Dra, María José Gámiz Maroto</v>
      </c>
      <c r="P764" s="6" t="str">
        <f ca="1">IFERROR(__xludf.DUMMYFUNCTION("""COMPUTED_VALUE"""),"Ramon Ferrando(Valencia)")</f>
        <v>Ramon Ferrando(Valencia)</v>
      </c>
    </row>
    <row r="765" spans="2:16">
      <c r="B765" s="6">
        <f ca="1">IFERROR(__xludf.DUMMYFUNCTION("""COMPUTED_VALUE"""),2025)</f>
        <v>2025</v>
      </c>
      <c r="C765" s="6">
        <f ca="1">IFERROR(__xludf.DUMMYFUNCTION("""COMPUTED_VALUE"""),6)</f>
        <v>6</v>
      </c>
      <c r="D765" s="6" t="str">
        <f ca="1">IFERROR(__xludf.DUMMYFUNCTION("""COMPUTED_VALUE"""),"NO")</f>
        <v>NO</v>
      </c>
      <c r="E765" s="6" t="str">
        <f ca="1">IFERROR(__xludf.DUMMYFUNCTION("""COMPUTED_VALUE"""),"El Albir (Benidorm)")</f>
        <v>El Albir (Benidorm)</v>
      </c>
      <c r="F765" s="16">
        <f ca="1">IFERROR(__xludf.DUMMYFUNCTION("""COMPUTED_VALUE"""),45827)</f>
        <v>45827</v>
      </c>
      <c r="G765" s="16">
        <f ca="1">IFERROR(__xludf.DUMMYFUNCTION("""COMPUTED_VALUE"""),45721)</f>
        <v>45721</v>
      </c>
      <c r="H765" s="6" t="str">
        <f ca="1">IFERROR(__xludf.DUMMYFUNCTION("""COMPUTED_VALUE"""),"El Albir (Benidorm)")</f>
        <v>El Albir (Benidorm)</v>
      </c>
      <c r="I765" s="6" t="str">
        <f ca="1">IFERROR(__xludf.DUMMYFUNCTION("""COMPUTED_VALUE"""),"C202531311344735")</f>
        <v>C202531311344735</v>
      </c>
      <c r="J765" s="6" t="str">
        <f ca="1">IFERROR(__xludf.DUMMYFUNCTION("""COMPUTED_VALUE"""),"INMACULADA MARCOS MANTECA")</f>
        <v>INMACULADA MARCOS MANTECA</v>
      </c>
      <c r="K765" s="6">
        <f ca="1">IFERROR(__xludf.DUMMYFUNCTION("""COMPUTED_VALUE"""),1)</f>
        <v>1</v>
      </c>
      <c r="L765" s="139">
        <f ca="1">IFERROR(__xludf.DUMMYFUNCTION("""COMPUTED_VALUE"""),2640)</f>
        <v>2640</v>
      </c>
      <c r="M765" s="6" t="str">
        <f ca="1">IFERROR(__xludf.DUMMYFUNCTION("""COMPUTED_VALUE"""),"03 ORL")</f>
        <v>03 ORL</v>
      </c>
      <c r="N765" s="6" t="str">
        <f ca="1">IFERROR(__xludf.DUMMYFUNCTION("""COMPUTED_VALUE"""),"06 ORL")</f>
        <v>06 ORL</v>
      </c>
      <c r="O765" s="6" t="str">
        <f ca="1">IFERROR(__xludf.DUMMYFUNCTION("""COMPUTED_VALUE"""),"Dra, Isabel Polo Tomás")</f>
        <v>Dra, Isabel Polo Tomás</v>
      </c>
      <c r="P765" s="6" t="str">
        <f ca="1">IFERROR(__xludf.DUMMYFUNCTION("""COMPUTED_VALUE"""),"Ramon Ferrando(Valencia)")</f>
        <v>Ramon Ferrando(Valencia)</v>
      </c>
    </row>
    <row r="766" spans="2:16">
      <c r="B766" s="6">
        <f ca="1">IFERROR(__xludf.DUMMYFUNCTION("""COMPUTED_VALUE"""),2025)</f>
        <v>2025</v>
      </c>
      <c r="C766" s="6">
        <f ca="1">IFERROR(__xludf.DUMMYFUNCTION("""COMPUTED_VALUE"""),6)</f>
        <v>6</v>
      </c>
      <c r="D766" s="6" t="str">
        <f ca="1">IFERROR(__xludf.DUMMYFUNCTION("""COMPUTED_VALUE"""),"NO")</f>
        <v>NO</v>
      </c>
      <c r="E766" s="6" t="str">
        <f ca="1">IFERROR(__xludf.DUMMYFUNCTION("""COMPUTED_VALUE"""),"El Albir (Benidorm)")</f>
        <v>El Albir (Benidorm)</v>
      </c>
      <c r="F766" s="16">
        <f ca="1">IFERROR(__xludf.DUMMYFUNCTION("""COMPUTED_VALUE"""),45834)</f>
        <v>45834</v>
      </c>
      <c r="G766" s="16">
        <f ca="1">IFERROR(__xludf.DUMMYFUNCTION("""COMPUTED_VALUE"""),45798)</f>
        <v>45798</v>
      </c>
      <c r="H766" s="6" t="str">
        <f ca="1">IFERROR(__xludf.DUMMYFUNCTION("""COMPUTED_VALUE"""),"El Albir (Benidorm)")</f>
        <v>El Albir (Benidorm)</v>
      </c>
      <c r="I766" s="6" t="str">
        <f ca="1">IFERROR(__xludf.DUMMYFUNCTION("""COMPUTED_VALUE"""),"C202561116143616")</f>
        <v>C202561116143616</v>
      </c>
      <c r="J766" s="6" t="str">
        <f ca="1">IFERROR(__xludf.DUMMYFUNCTION("""COMPUTED_VALUE"""),"JOSE CINCUNEGUI ABASCAL")</f>
        <v>JOSE CINCUNEGUI ABASCAL</v>
      </c>
      <c r="K766" s="6">
        <f ca="1">IFERROR(__xludf.DUMMYFUNCTION("""COMPUTED_VALUE"""),2)</f>
        <v>2</v>
      </c>
      <c r="L766" s="139">
        <f ca="1">IFERROR(__xludf.DUMMYFUNCTION("""COMPUTED_VALUE"""),4000)</f>
        <v>4000</v>
      </c>
      <c r="M766" s="6" t="str">
        <f ca="1">IFERROR(__xludf.DUMMYFUNCTION("""COMPUTED_VALUE"""),"03 ORL")</f>
        <v>03 ORL</v>
      </c>
      <c r="N766" s="6" t="str">
        <f ca="1">IFERROR(__xludf.DUMMYFUNCTION("""COMPUTED_VALUE"""),"06 ORL")</f>
        <v>06 ORL</v>
      </c>
      <c r="O766" s="6" t="str">
        <f ca="1">IFERROR(__xludf.DUMMYFUNCTION("""COMPUTED_VALUE"""),"Dra, Salwa Laraqui Hossini")</f>
        <v>Dra, Salwa Laraqui Hossini</v>
      </c>
      <c r="P766" s="6" t="str">
        <f ca="1">IFERROR(__xludf.DUMMYFUNCTION("""COMPUTED_VALUE"""),"Iván Sánchez (Levante Y Albacete)")</f>
        <v>Iván Sánchez (Levante Y Albacete)</v>
      </c>
    </row>
    <row r="767" spans="2:16">
      <c r="B767" s="6">
        <f ca="1">IFERROR(__xludf.DUMMYFUNCTION("""COMPUTED_VALUE"""),2025)</f>
        <v>2025</v>
      </c>
      <c r="C767" s="6">
        <f ca="1">IFERROR(__xludf.DUMMYFUNCTION("""COMPUTED_VALUE"""),6)</f>
        <v>6</v>
      </c>
      <c r="D767" s="6" t="str">
        <f ca="1">IFERROR(__xludf.DUMMYFUNCTION("""COMPUTED_VALUE"""),"NO")</f>
        <v>NO</v>
      </c>
      <c r="E767" s="6" t="str">
        <f ca="1">IFERROR(__xludf.DUMMYFUNCTION("""COMPUTED_VALUE"""),"Fuenlabrada")</f>
        <v>Fuenlabrada</v>
      </c>
      <c r="F767" s="16">
        <f ca="1">IFERROR(__xludf.DUMMYFUNCTION("""COMPUTED_VALUE"""),45833)</f>
        <v>45833</v>
      </c>
      <c r="G767" s="16">
        <f ca="1">IFERROR(__xludf.DUMMYFUNCTION("""COMPUTED_VALUE"""),45768)</f>
        <v>45768</v>
      </c>
      <c r="H767" s="6" t="str">
        <f ca="1">IFERROR(__xludf.DUMMYFUNCTION("""COMPUTED_VALUE"""),"Fuenlabrada")</f>
        <v>Fuenlabrada</v>
      </c>
      <c r="I767" s="6" t="str">
        <f ca="1">IFERROR(__xludf.DUMMYFUNCTION("""COMPUTED_VALUE"""),"C2025424123654631")</f>
        <v>C2025424123654631</v>
      </c>
      <c r="J767" s="6" t="str">
        <f ca="1">IFERROR(__xludf.DUMMYFUNCTION("""COMPUTED_VALUE"""),"BEATRIZ FERNANDEZ MONTERO")</f>
        <v>BEATRIZ FERNANDEZ MONTERO</v>
      </c>
      <c r="K767" s="6">
        <f ca="1">IFERROR(__xludf.DUMMYFUNCTION("""COMPUTED_VALUE"""),2)</f>
        <v>2</v>
      </c>
      <c r="L767" s="139">
        <f ca="1">IFERROR(__xludf.DUMMYFUNCTION("""COMPUTED_VALUE"""),3681.82)</f>
        <v>3681.82</v>
      </c>
      <c r="M767" s="6" t="str">
        <f ca="1">IFERROR(__xludf.DUMMYFUNCTION("""COMPUTED_VALUE"""),"03 ORL")</f>
        <v>03 ORL</v>
      </c>
      <c r="N767" s="6" t="str">
        <f ca="1">IFERROR(__xludf.DUMMYFUNCTION("""COMPUTED_VALUE"""),"06 ORL")</f>
        <v>06 ORL</v>
      </c>
      <c r="O767" s="6" t="str">
        <f ca="1">IFERROR(__xludf.DUMMYFUNCTION("""COMPUTED_VALUE"""),"Dra, María Teresa Herrera Mera")</f>
        <v>Dra, María Teresa Herrera Mera</v>
      </c>
      <c r="P767" s="6" t="str">
        <f ca="1">IFERROR(__xludf.DUMMYFUNCTION("""COMPUTED_VALUE"""),"Maika Blázquez (Madrid)")</f>
        <v>Maika Blázquez (Madrid)</v>
      </c>
    </row>
    <row r="768" spans="2:16">
      <c r="B768" s="6">
        <f ca="1">IFERROR(__xludf.DUMMYFUNCTION("""COMPUTED_VALUE"""),2025)</f>
        <v>2025</v>
      </c>
      <c r="C768" s="6">
        <f ca="1">IFERROR(__xludf.DUMMYFUNCTION("""COMPUTED_VALUE"""),6)</f>
        <v>6</v>
      </c>
      <c r="D768" s="6" t="str">
        <f ca="1">IFERROR(__xludf.DUMMYFUNCTION("""COMPUTED_VALUE"""),"NO")</f>
        <v>NO</v>
      </c>
      <c r="E768" s="6" t="str">
        <f ca="1">IFERROR(__xludf.DUMMYFUNCTION("""COMPUTED_VALUE"""),"Fuenlabrada")</f>
        <v>Fuenlabrada</v>
      </c>
      <c r="F768" s="16">
        <f ca="1">IFERROR(__xludf.DUMMYFUNCTION("""COMPUTED_VALUE"""),45812)</f>
        <v>45812</v>
      </c>
      <c r="G768" s="16">
        <f ca="1">IFERROR(__xludf.DUMMYFUNCTION("""COMPUTED_VALUE"""),45105)</f>
        <v>45105</v>
      </c>
      <c r="H768" s="6" t="str">
        <f ca="1">IFERROR(__xludf.DUMMYFUNCTION("""COMPUTED_VALUE"""),"Fuenlabrada")</f>
        <v>Fuenlabrada</v>
      </c>
      <c r="I768" s="6" t="str">
        <f ca="1">IFERROR(__xludf.DUMMYFUNCTION("""COMPUTED_VALUE"""),"FNL-3171")</f>
        <v>FNL-3171</v>
      </c>
      <c r="J768" s="6" t="str">
        <f ca="1">IFERROR(__xludf.DUMMYFUNCTION("""COMPUTED_VALUE"""),"GILMA CARDONA ECHEVERRY")</f>
        <v>GILMA CARDONA ECHEVERRY</v>
      </c>
      <c r="K768" s="6">
        <f ca="1">IFERROR(__xludf.DUMMYFUNCTION("""COMPUTED_VALUE"""),2)</f>
        <v>2</v>
      </c>
      <c r="L768" s="139">
        <f ca="1">IFERROR(__xludf.DUMMYFUNCTION("""COMPUTED_VALUE"""),3710)</f>
        <v>3710</v>
      </c>
      <c r="M768" s="6" t="str">
        <f ca="1">IFERROR(__xludf.DUMMYFUNCTION("""COMPUTED_VALUE"""),"01 MARKETING ON LINE")</f>
        <v>01 MARKETING ON LINE</v>
      </c>
      <c r="N768" s="6" t="str">
        <f ca="1">IFERROR(__xludf.DUMMYFUNCTION("""COMPUTED_VALUE"""),"04 AUDIFONO,ES")</f>
        <v>04 AUDIFONO,ES</v>
      </c>
      <c r="O768" s="6" t="str">
        <f ca="1">IFERROR(__xludf.DUMMYFUNCTION("""COMPUTED_VALUE"""),"Dra, Victoria García Peces")</f>
        <v>Dra, Victoria García Peces</v>
      </c>
      <c r="P768" s="6" t="str">
        <f ca="1">IFERROR(__xludf.DUMMYFUNCTION("""COMPUTED_VALUE"""),"Maika Blázquez (Madrid)")</f>
        <v>Maika Blázquez (Madrid)</v>
      </c>
    </row>
    <row r="769" spans="2:16">
      <c r="B769" s="6">
        <f ca="1">IFERROR(__xludf.DUMMYFUNCTION("""COMPUTED_VALUE"""),2025)</f>
        <v>2025</v>
      </c>
      <c r="C769" s="6">
        <f ca="1">IFERROR(__xludf.DUMMYFUNCTION("""COMPUTED_VALUE"""),6)</f>
        <v>6</v>
      </c>
      <c r="D769" s="6" t="str">
        <f ca="1">IFERROR(__xludf.DUMMYFUNCTION("""COMPUTED_VALUE"""),"NO")</f>
        <v>NO</v>
      </c>
      <c r="E769" s="6" t="str">
        <f ca="1">IFERROR(__xludf.DUMMYFUNCTION("""COMPUTED_VALUE"""),"Fuenlabrada")</f>
        <v>Fuenlabrada</v>
      </c>
      <c r="F769" s="16">
        <f ca="1">IFERROR(__xludf.DUMMYFUNCTION("""COMPUTED_VALUE"""),45818)</f>
        <v>45818</v>
      </c>
      <c r="G769" s="16">
        <f ca="1">IFERROR(__xludf.DUMMYFUNCTION("""COMPUTED_VALUE"""),45785)</f>
        <v>45785</v>
      </c>
      <c r="H769" s="6" t="str">
        <f ca="1">IFERROR(__xludf.DUMMYFUNCTION("""COMPUTED_VALUE"""),"Fuenlabrada")</f>
        <v>Fuenlabrada</v>
      </c>
      <c r="I769" s="6" t="str">
        <f ca="1">IFERROR(__xludf.DUMMYFUNCTION("""COMPUTED_VALUE"""),"C2025514175459441")</f>
        <v>C2025514175459441</v>
      </c>
      <c r="J769" s="6" t="str">
        <f ca="1">IFERROR(__xludf.DUMMYFUNCTION("""COMPUTED_VALUE"""),"HERMINIA TEJERO OVEJERO")</f>
        <v>HERMINIA TEJERO OVEJERO</v>
      </c>
      <c r="K769" s="6">
        <f ca="1">IFERROR(__xludf.DUMMYFUNCTION("""COMPUTED_VALUE"""),2)</f>
        <v>2</v>
      </c>
      <c r="L769" s="139">
        <f ca="1">IFERROR(__xludf.DUMMYFUNCTION("""COMPUTED_VALUE"""),4000)</f>
        <v>4000</v>
      </c>
      <c r="M769" s="6" t="str">
        <f ca="1">IFERROR(__xludf.DUMMYFUNCTION("""COMPUTED_VALUE"""),"03 ORL")</f>
        <v>03 ORL</v>
      </c>
      <c r="N769" s="6" t="str">
        <f ca="1">IFERROR(__xludf.DUMMYFUNCTION("""COMPUTED_VALUE"""),"06 ORL")</f>
        <v>06 ORL</v>
      </c>
      <c r="O769" s="6" t="str">
        <f ca="1">IFERROR(__xludf.DUMMYFUNCTION("""COMPUTED_VALUE"""),"Dra, Elisabeth Amarillo Espitia")</f>
        <v>Dra, Elisabeth Amarillo Espitia</v>
      </c>
      <c r="P769" s="6" t="str">
        <f ca="1">IFERROR(__xludf.DUMMYFUNCTION("""COMPUTED_VALUE"""),"Maika Blázquez (Madrid)")</f>
        <v>Maika Blázquez (Madrid)</v>
      </c>
    </row>
    <row r="770" spans="2:16">
      <c r="B770" s="6">
        <f ca="1">IFERROR(__xludf.DUMMYFUNCTION("""COMPUTED_VALUE"""),2025)</f>
        <v>2025</v>
      </c>
      <c r="C770" s="6">
        <f ca="1">IFERROR(__xludf.DUMMYFUNCTION("""COMPUTED_VALUE"""),6)</f>
        <v>6</v>
      </c>
      <c r="D770" s="6" t="str">
        <f ca="1">IFERROR(__xludf.DUMMYFUNCTION("""COMPUTED_VALUE"""),"NO")</f>
        <v>NO</v>
      </c>
      <c r="E770" s="6" t="str">
        <f ca="1">IFERROR(__xludf.DUMMYFUNCTION("""COMPUTED_VALUE"""),"Fuenlabrada")</f>
        <v>Fuenlabrada</v>
      </c>
      <c r="F770" s="16">
        <f ca="1">IFERROR(__xludf.DUMMYFUNCTION("""COMPUTED_VALUE"""),45835)</f>
        <v>45835</v>
      </c>
      <c r="G770" s="16">
        <f ca="1">IFERROR(__xludf.DUMMYFUNCTION("""COMPUTED_VALUE"""),45824)</f>
        <v>45824</v>
      </c>
      <c r="H770" s="6" t="str">
        <f ca="1">IFERROR(__xludf.DUMMYFUNCTION("""COMPUTED_VALUE"""),"Fuenlabrada")</f>
        <v>Fuenlabrada</v>
      </c>
      <c r="I770" s="6" t="str">
        <f ca="1">IFERROR(__xludf.DUMMYFUNCTION("""COMPUTED_VALUE"""),"C202561711218402")</f>
        <v>C202561711218402</v>
      </c>
      <c r="J770" s="6" t="str">
        <f ca="1">IFERROR(__xludf.DUMMYFUNCTION("""COMPUTED_VALUE"""),"LUIS AUNION CARRETEROS")</f>
        <v>LUIS AUNION CARRETEROS</v>
      </c>
      <c r="K770" s="6">
        <f ca="1">IFERROR(__xludf.DUMMYFUNCTION("""COMPUTED_VALUE"""),2)</f>
        <v>2</v>
      </c>
      <c r="L770" s="139">
        <f ca="1">IFERROR(__xludf.DUMMYFUNCTION("""COMPUTED_VALUE"""),3710)</f>
        <v>3710</v>
      </c>
      <c r="M770" s="6" t="str">
        <f ca="1">IFERROR(__xludf.DUMMYFUNCTION("""COMPUTED_VALUE"""),"03 ORL")</f>
        <v>03 ORL</v>
      </c>
      <c r="N770" s="6" t="str">
        <f ca="1">IFERROR(__xludf.DUMMYFUNCTION("""COMPUTED_VALUE"""),"06 ORL")</f>
        <v>06 ORL</v>
      </c>
      <c r="O770" s="6" t="str">
        <f ca="1">IFERROR(__xludf.DUMMYFUNCTION("""COMPUTED_VALUE"""),"Dra, Estefania Miranda Sánchez")</f>
        <v>Dra, Estefania Miranda Sánchez</v>
      </c>
      <c r="P770" s="6" t="str">
        <f ca="1">IFERROR(__xludf.DUMMYFUNCTION("""COMPUTED_VALUE"""),"Maika Blázquez (Madrid)")</f>
        <v>Maika Blázquez (Madrid)</v>
      </c>
    </row>
    <row r="771" spans="2:16">
      <c r="B771" s="6">
        <f ca="1">IFERROR(__xludf.DUMMYFUNCTION("""COMPUTED_VALUE"""),2025)</f>
        <v>2025</v>
      </c>
      <c r="C771" s="6">
        <f ca="1">IFERROR(__xludf.DUMMYFUNCTION("""COMPUTED_VALUE"""),6)</f>
        <v>6</v>
      </c>
      <c r="D771" s="6" t="str">
        <f ca="1">IFERROR(__xludf.DUMMYFUNCTION("""COMPUTED_VALUE"""),"NO")</f>
        <v>NO</v>
      </c>
      <c r="E771" s="6" t="str">
        <f ca="1">IFERROR(__xludf.DUMMYFUNCTION("""COMPUTED_VALUE"""),"Fuenlabrada")</f>
        <v>Fuenlabrada</v>
      </c>
      <c r="F771" s="16">
        <f ca="1">IFERROR(__xludf.DUMMYFUNCTION("""COMPUTED_VALUE"""),45825)</f>
        <v>45825</v>
      </c>
      <c r="G771" s="16">
        <f ca="1">IFERROR(__xludf.DUMMYFUNCTION("""COMPUTED_VALUE"""),45783)</f>
        <v>45783</v>
      </c>
      <c r="H771" s="6" t="str">
        <f ca="1">IFERROR(__xludf.DUMMYFUNCTION("""COMPUTED_VALUE"""),"Fuenlabrada")</f>
        <v>Fuenlabrada</v>
      </c>
      <c r="I771" s="6" t="str">
        <f ca="1">IFERROR(__xludf.DUMMYFUNCTION("""COMPUTED_VALUE"""),"C202552612136360")</f>
        <v>C202552612136360</v>
      </c>
      <c r="J771" s="6" t="str">
        <f ca="1">IFERROR(__xludf.DUMMYFUNCTION("""COMPUTED_VALUE"""),"MERCEDES  JIMENEZ FUENTES")</f>
        <v>MERCEDES  JIMENEZ FUENTES</v>
      </c>
      <c r="K771" s="6">
        <f ca="1">IFERROR(__xludf.DUMMYFUNCTION("""COMPUTED_VALUE"""),1)</f>
        <v>1</v>
      </c>
      <c r="L771" s="139">
        <f ca="1">IFERROR(__xludf.DUMMYFUNCTION("""COMPUTED_VALUE"""),1646.36)</f>
        <v>1646.36</v>
      </c>
      <c r="M771" s="6" t="str">
        <f ca="1">IFERROR(__xludf.DUMMYFUNCTION("""COMPUTED_VALUE"""),"03 ORL")</f>
        <v>03 ORL</v>
      </c>
      <c r="N771" s="6" t="str">
        <f ca="1">IFERROR(__xludf.DUMMYFUNCTION("""COMPUTED_VALUE"""),"06 ORL")</f>
        <v>06 ORL</v>
      </c>
      <c r="O771" s="1" t="str">
        <f ca="1">IFERROR(__xludf.DUMMYFUNCTION("""COMPUTED_VALUE"""),"Dra, María Gabriela Bosco Morales")</f>
        <v>Dra, María Gabriela Bosco Morales</v>
      </c>
      <c r="P771" s="6" t="str">
        <f ca="1">IFERROR(__xludf.DUMMYFUNCTION("""COMPUTED_VALUE"""),"Maika Blázquez (Madrid)")</f>
        <v>Maika Blázquez (Madrid)</v>
      </c>
    </row>
    <row r="772" spans="2:16">
      <c r="B772" s="6">
        <f ca="1">IFERROR(__xludf.DUMMYFUNCTION("""COMPUTED_VALUE"""),2025)</f>
        <v>2025</v>
      </c>
      <c r="C772" s="6">
        <f ca="1">IFERROR(__xludf.DUMMYFUNCTION("""COMPUTED_VALUE"""),6)</f>
        <v>6</v>
      </c>
      <c r="D772" s="6" t="str">
        <f ca="1">IFERROR(__xludf.DUMMYFUNCTION("""COMPUTED_VALUE"""),"NO")</f>
        <v>NO</v>
      </c>
      <c r="E772" s="6" t="str">
        <f ca="1">IFERROR(__xludf.DUMMYFUNCTION("""COMPUTED_VALUE"""),"Fuenlabrada")</f>
        <v>Fuenlabrada</v>
      </c>
      <c r="F772" s="16">
        <f ca="1">IFERROR(__xludf.DUMMYFUNCTION("""COMPUTED_VALUE"""),45810)</f>
        <v>45810</v>
      </c>
      <c r="G772" s="16">
        <f ca="1">IFERROR(__xludf.DUMMYFUNCTION("""COMPUTED_VALUE"""),45729)</f>
        <v>45729</v>
      </c>
      <c r="H772" s="6" t="str">
        <f ca="1">IFERROR(__xludf.DUMMYFUNCTION("""COMPUTED_VALUE"""),"Fuenlabrada")</f>
        <v>Fuenlabrada</v>
      </c>
      <c r="I772" s="6" t="str">
        <f ca="1">IFERROR(__xludf.DUMMYFUNCTION("""COMPUTED_VALUE"""),"C202531310656790")</f>
        <v>C202531310656790</v>
      </c>
      <c r="J772" s="6" t="str">
        <f ca="1">IFERROR(__xludf.DUMMYFUNCTION("""COMPUTED_VALUE"""),"TEODORA GARCIA GARCIA")</f>
        <v>TEODORA GARCIA GARCIA</v>
      </c>
      <c r="K772" s="6">
        <f ca="1">IFERROR(__xludf.DUMMYFUNCTION("""COMPUTED_VALUE"""),2)</f>
        <v>2</v>
      </c>
      <c r="L772" s="139">
        <f ca="1">IFERROR(__xludf.DUMMYFUNCTION("""COMPUTED_VALUE"""),3524.5)</f>
        <v>3524.5</v>
      </c>
      <c r="M772" s="6" t="str">
        <f ca="1">IFERROR(__xludf.DUMMYFUNCTION("""COMPUTED_VALUE"""),"03 ORL")</f>
        <v>03 ORL</v>
      </c>
      <c r="N772" s="6" t="str">
        <f ca="1">IFERROR(__xludf.DUMMYFUNCTION("""COMPUTED_VALUE"""),"06 ORL")</f>
        <v>06 ORL</v>
      </c>
      <c r="O772" s="6" t="str">
        <f ca="1">IFERROR(__xludf.DUMMYFUNCTION("""COMPUTED_VALUE"""),"Dra, Victoria García Peces")</f>
        <v>Dra, Victoria García Peces</v>
      </c>
      <c r="P772" s="6" t="str">
        <f ca="1">IFERROR(__xludf.DUMMYFUNCTION("""COMPUTED_VALUE"""),"Maika Blázquez (Madrid)")</f>
        <v>Maika Blázquez (Madrid)</v>
      </c>
    </row>
    <row r="773" spans="2:16">
      <c r="B773" s="6">
        <f ca="1">IFERROR(__xludf.DUMMYFUNCTION("""COMPUTED_VALUE"""),2025)</f>
        <v>2025</v>
      </c>
      <c r="C773" s="6">
        <f ca="1">IFERROR(__xludf.DUMMYFUNCTION("""COMPUTED_VALUE"""),6)</f>
        <v>6</v>
      </c>
      <c r="D773" s="6" t="str">
        <f ca="1">IFERROR(__xludf.DUMMYFUNCTION("""COMPUTED_VALUE"""),"NO")</f>
        <v>NO</v>
      </c>
      <c r="E773" s="6" t="str">
        <f ca="1">IFERROR(__xludf.DUMMYFUNCTION("""COMPUTED_VALUE"""),"Fuenlabrada")</f>
        <v>Fuenlabrada</v>
      </c>
      <c r="F773" s="16">
        <f ca="1">IFERROR(__xludf.DUMMYFUNCTION("""COMPUTED_VALUE"""),45827)</f>
        <v>45827</v>
      </c>
      <c r="G773" s="16">
        <f ca="1">IFERROR(__xludf.DUMMYFUNCTION("""COMPUTED_VALUE"""),45775)</f>
        <v>45775</v>
      </c>
      <c r="H773" s="6" t="str">
        <f ca="1">IFERROR(__xludf.DUMMYFUNCTION("""COMPUTED_VALUE"""),"Fuenlabrada")</f>
        <v>Fuenlabrada</v>
      </c>
      <c r="I773" s="6" t="str">
        <f ca="1">IFERROR(__xludf.DUMMYFUNCTION("""COMPUTED_VALUE"""),"C20255612220296")</f>
        <v>C20255612220296</v>
      </c>
      <c r="J773" s="6" t="str">
        <f ca="1">IFERROR(__xludf.DUMMYFUNCTION("""COMPUTED_VALUE"""),"TERESA RUIZ SANTOS")</f>
        <v>TERESA RUIZ SANTOS</v>
      </c>
      <c r="K773" s="6">
        <f ca="1">IFERROR(__xludf.DUMMYFUNCTION("""COMPUTED_VALUE"""),1)</f>
        <v>1</v>
      </c>
      <c r="L773" s="139">
        <f ca="1">IFERROR(__xludf.DUMMYFUNCTION("""COMPUTED_VALUE"""),2216.36)</f>
        <v>2216.36</v>
      </c>
      <c r="M773" s="6" t="str">
        <f ca="1">IFERROR(__xludf.DUMMYFUNCTION("""COMPUTED_VALUE"""),"03 ORL")</f>
        <v>03 ORL</v>
      </c>
      <c r="N773" s="6" t="str">
        <f ca="1">IFERROR(__xludf.DUMMYFUNCTION("""COMPUTED_VALUE"""),"06 ORL")</f>
        <v>06 ORL</v>
      </c>
      <c r="O773" s="6" t="str">
        <f ca="1">IFERROR(__xludf.DUMMYFUNCTION("""COMPUTED_VALUE"""),"Dra, Ithzel Maria Villarreal Patiño")</f>
        <v>Dra, Ithzel Maria Villarreal Patiño</v>
      </c>
      <c r="P773" s="6" t="str">
        <f ca="1">IFERROR(__xludf.DUMMYFUNCTION("""COMPUTED_VALUE"""),"Maika Blázquez (Madrid)")</f>
        <v>Maika Blázquez (Madrid)</v>
      </c>
    </row>
    <row r="774" spans="2:16">
      <c r="B774" s="6">
        <f ca="1">IFERROR(__xludf.DUMMYFUNCTION("""COMPUTED_VALUE"""),2025)</f>
        <v>2025</v>
      </c>
      <c r="C774" s="6">
        <f ca="1">IFERROR(__xludf.DUMMYFUNCTION("""COMPUTED_VALUE"""),6)</f>
        <v>6</v>
      </c>
      <c r="D774" s="6" t="str">
        <f ca="1">IFERROR(__xludf.DUMMYFUNCTION("""COMPUTED_VALUE"""),"NO")</f>
        <v>NO</v>
      </c>
      <c r="E774" s="6" t="str">
        <f ca="1">IFERROR(__xludf.DUMMYFUNCTION("""COMPUTED_VALUE"""),"Getafe")</f>
        <v>Getafe</v>
      </c>
      <c r="F774" s="16">
        <f ca="1">IFERROR(__xludf.DUMMYFUNCTION("""COMPUTED_VALUE"""),45831)</f>
        <v>45831</v>
      </c>
      <c r="G774" s="16">
        <f ca="1">IFERROR(__xludf.DUMMYFUNCTION("""COMPUTED_VALUE"""),45799)</f>
        <v>45799</v>
      </c>
      <c r="H774" s="6" t="str">
        <f ca="1">IFERROR(__xludf.DUMMYFUNCTION("""COMPUTED_VALUE"""),"Getafe")</f>
        <v>Getafe</v>
      </c>
      <c r="I774" s="6" t="str">
        <f ca="1">IFERROR(__xludf.DUMMYFUNCTION("""COMPUTED_VALUE"""),"C202552218131945")</f>
        <v>C202552218131945</v>
      </c>
      <c r="J774" s="6" t="str">
        <f ca="1">IFERROR(__xludf.DUMMYFUNCTION("""COMPUTED_VALUE"""),"ALICIA RODRIGUEZ MARTIN")</f>
        <v>ALICIA RODRIGUEZ MARTIN</v>
      </c>
      <c r="K774" s="6">
        <f ca="1">IFERROR(__xludf.DUMMYFUNCTION("""COMPUTED_VALUE"""),2)</f>
        <v>2</v>
      </c>
      <c r="L774" s="139">
        <f ca="1">IFERROR(__xludf.DUMMYFUNCTION("""COMPUTED_VALUE"""),3710)</f>
        <v>3710</v>
      </c>
      <c r="M774" s="6" t="str">
        <f ca="1">IFERROR(__xludf.DUMMYFUNCTION("""COMPUTED_VALUE"""),"03 ORL")</f>
        <v>03 ORL</v>
      </c>
      <c r="N774" s="6" t="str">
        <f ca="1">IFERROR(__xludf.DUMMYFUNCTION("""COMPUTED_VALUE"""),"06 ORL")</f>
        <v>06 ORL</v>
      </c>
      <c r="O774" s="6" t="str">
        <f ca="1">IFERROR(__xludf.DUMMYFUNCTION("""COMPUTED_VALUE"""),"Dr, Antonio Rodríguez Rivero")</f>
        <v>Dr, Antonio Rodríguez Rivero</v>
      </c>
      <c r="P774" s="6" t="str">
        <f ca="1">IFERROR(__xludf.DUMMYFUNCTION("""COMPUTED_VALUE"""),"Maika Blázquez (Madrid)")</f>
        <v>Maika Blázquez (Madrid)</v>
      </c>
    </row>
    <row r="775" spans="2:16">
      <c r="B775" s="6">
        <f ca="1">IFERROR(__xludf.DUMMYFUNCTION("""COMPUTED_VALUE"""),2025)</f>
        <v>2025</v>
      </c>
      <c r="C775" s="6">
        <f ca="1">IFERROR(__xludf.DUMMYFUNCTION("""COMPUTED_VALUE"""),6)</f>
        <v>6</v>
      </c>
      <c r="D775" s="6" t="str">
        <f ca="1">IFERROR(__xludf.DUMMYFUNCTION("""COMPUTED_VALUE"""),"NO")</f>
        <v>NO</v>
      </c>
      <c r="E775" s="6" t="str">
        <f ca="1">IFERROR(__xludf.DUMMYFUNCTION("""COMPUTED_VALUE"""),"Getafe")</f>
        <v>Getafe</v>
      </c>
      <c r="F775" s="16">
        <f ca="1">IFERROR(__xludf.DUMMYFUNCTION("""COMPUTED_VALUE"""),45820)</f>
        <v>45820</v>
      </c>
      <c r="G775" s="16">
        <f ca="1">IFERROR(__xludf.DUMMYFUNCTION("""COMPUTED_VALUE"""),45793)</f>
        <v>45793</v>
      </c>
      <c r="H775" s="6" t="str">
        <f ca="1">IFERROR(__xludf.DUMMYFUNCTION("""COMPUTED_VALUE"""),"Getafe")</f>
        <v>Getafe</v>
      </c>
      <c r="I775" s="6" t="str">
        <f ca="1">IFERROR(__xludf.DUMMYFUNCTION("""COMPUTED_VALUE"""),"C2025520161112726")</f>
        <v>C2025520161112726</v>
      </c>
      <c r="J775" s="6" t="str">
        <f ca="1">IFERROR(__xludf.DUMMYFUNCTION("""COMPUTED_VALUE"""),"ANTONIO GUTIERREZ FERNANDEZ")</f>
        <v>ANTONIO GUTIERREZ FERNANDEZ</v>
      </c>
      <c r="K775" s="6">
        <f ca="1">IFERROR(__xludf.DUMMYFUNCTION("""COMPUTED_VALUE"""),2)</f>
        <v>2</v>
      </c>
      <c r="L775" s="139">
        <f ca="1">IFERROR(__xludf.DUMMYFUNCTION("""COMPUTED_VALUE"""),3800)</f>
        <v>3800</v>
      </c>
      <c r="M775" s="6" t="str">
        <f ca="1">IFERROR(__xludf.DUMMYFUNCTION("""COMPUTED_VALUE"""),"03 ORL")</f>
        <v>03 ORL</v>
      </c>
      <c r="N775" s="6" t="str">
        <f ca="1">IFERROR(__xludf.DUMMYFUNCTION("""COMPUTED_VALUE"""),"06 ORL")</f>
        <v>06 ORL</v>
      </c>
      <c r="O775" s="6" t="str">
        <f ca="1">IFERROR(__xludf.DUMMYFUNCTION("""COMPUTED_VALUE"""),"Dr, Jonathan Esteban Sánchez")</f>
        <v>Dr, Jonathan Esteban Sánchez</v>
      </c>
      <c r="P775" s="6" t="str">
        <f ca="1">IFERROR(__xludf.DUMMYFUNCTION("""COMPUTED_VALUE"""),"Maika Blázquez (Madrid)")</f>
        <v>Maika Blázquez (Madrid)</v>
      </c>
    </row>
    <row r="776" spans="2:16">
      <c r="B776" s="6">
        <f ca="1">IFERROR(__xludf.DUMMYFUNCTION("""COMPUTED_VALUE"""),2025)</f>
        <v>2025</v>
      </c>
      <c r="C776" s="6">
        <f ca="1">IFERROR(__xludf.DUMMYFUNCTION("""COMPUTED_VALUE"""),6)</f>
        <v>6</v>
      </c>
      <c r="D776" s="6" t="str">
        <f ca="1">IFERROR(__xludf.DUMMYFUNCTION("""COMPUTED_VALUE"""),"NO")</f>
        <v>NO</v>
      </c>
      <c r="E776" s="6" t="str">
        <f ca="1">IFERROR(__xludf.DUMMYFUNCTION("""COMPUTED_VALUE"""),"Getafe")</f>
        <v>Getafe</v>
      </c>
      <c r="F776" s="16">
        <f ca="1">IFERROR(__xludf.DUMMYFUNCTION("""COMPUTED_VALUE"""),45826)</f>
        <v>45826</v>
      </c>
      <c r="G776" s="16">
        <f ca="1">IFERROR(__xludf.DUMMYFUNCTION("""COMPUTED_VALUE"""),45769)</f>
        <v>45769</v>
      </c>
      <c r="H776" s="6" t="str">
        <f ca="1">IFERROR(__xludf.DUMMYFUNCTION("""COMPUTED_VALUE"""),"Getafe")</f>
        <v>Getafe</v>
      </c>
      <c r="I776" s="6" t="str">
        <f ca="1">IFERROR(__xludf.DUMMYFUNCTION("""COMPUTED_VALUE"""),"C202558165756957")</f>
        <v>C202558165756957</v>
      </c>
      <c r="J776" s="6" t="str">
        <f ca="1">IFERROR(__xludf.DUMMYFUNCTION("""COMPUTED_VALUE"""),"JOSE MARIA REDONDO GARCIA")</f>
        <v>JOSE MARIA REDONDO GARCIA</v>
      </c>
      <c r="K776" s="6">
        <f ca="1">IFERROR(__xludf.DUMMYFUNCTION("""COMPUTED_VALUE"""),1)</f>
        <v>1</v>
      </c>
      <c r="L776" s="139">
        <f ca="1">IFERROR(__xludf.DUMMYFUNCTION("""COMPUTED_VALUE"""),2226.36)</f>
        <v>2226.36</v>
      </c>
      <c r="M776" s="6" t="str">
        <f ca="1">IFERROR(__xludf.DUMMYFUNCTION("""COMPUTED_VALUE"""),"03 ORL")</f>
        <v>03 ORL</v>
      </c>
      <c r="N776" s="6" t="str">
        <f ca="1">IFERROR(__xludf.DUMMYFUNCTION("""COMPUTED_VALUE"""),"06 ORL")</f>
        <v>06 ORL</v>
      </c>
      <c r="O776" s="6" t="str">
        <f ca="1">IFERROR(__xludf.DUMMYFUNCTION("""COMPUTED_VALUE"""),"Dra, Cristina Vaduva")</f>
        <v>Dra, Cristina Vaduva</v>
      </c>
      <c r="P776" s="6" t="str">
        <f ca="1">IFERROR(__xludf.DUMMYFUNCTION("""COMPUTED_VALUE"""),"Maika Blázquez (Madrid)")</f>
        <v>Maika Blázquez (Madrid)</v>
      </c>
    </row>
    <row r="777" spans="2:16">
      <c r="B777" s="6">
        <f ca="1">IFERROR(__xludf.DUMMYFUNCTION("""COMPUTED_VALUE"""),2025)</f>
        <v>2025</v>
      </c>
      <c r="C777" s="6">
        <f ca="1">IFERROR(__xludf.DUMMYFUNCTION("""COMPUTED_VALUE"""),6)</f>
        <v>6</v>
      </c>
      <c r="D777" s="6" t="str">
        <f ca="1">IFERROR(__xludf.DUMMYFUNCTION("""COMPUTED_VALUE"""),"NO")</f>
        <v>NO</v>
      </c>
      <c r="E777" s="6" t="str">
        <f ca="1">IFERROR(__xludf.DUMMYFUNCTION("""COMPUTED_VALUE"""),"Getafe")</f>
        <v>Getafe</v>
      </c>
      <c r="F777" s="16">
        <f ca="1">IFERROR(__xludf.DUMMYFUNCTION("""COMPUTED_VALUE"""),45821)</f>
        <v>45821</v>
      </c>
      <c r="G777" s="16">
        <f ca="1">IFERROR(__xludf.DUMMYFUNCTION("""COMPUTED_VALUE"""),45796)</f>
        <v>45796</v>
      </c>
      <c r="H777" s="6" t="str">
        <f ca="1">IFERROR(__xludf.DUMMYFUNCTION("""COMPUTED_VALUE"""),"Getafe")</f>
        <v>Getafe</v>
      </c>
      <c r="I777" s="6" t="str">
        <f ca="1">IFERROR(__xludf.DUMMYFUNCTION("""COMPUTED_VALUE"""),"C2025520124410221")</f>
        <v>C2025520124410221</v>
      </c>
      <c r="J777" s="6" t="str">
        <f ca="1">IFERROR(__xludf.DUMMYFUNCTION("""COMPUTED_VALUE"""),"MARIA JOSE LOPEZ MONZON")</f>
        <v>MARIA JOSE LOPEZ MONZON</v>
      </c>
      <c r="K777" s="6">
        <f ca="1">IFERROR(__xludf.DUMMYFUNCTION("""COMPUTED_VALUE"""),1)</f>
        <v>1</v>
      </c>
      <c r="L777" s="139">
        <f ca="1">IFERROR(__xludf.DUMMYFUNCTION("""COMPUTED_VALUE"""),2400)</f>
        <v>2400</v>
      </c>
      <c r="M777" s="6" t="str">
        <f ca="1">IFERROR(__xludf.DUMMYFUNCTION("""COMPUTED_VALUE"""),"03 ORL")</f>
        <v>03 ORL</v>
      </c>
      <c r="N777" s="6" t="str">
        <f ca="1">IFERROR(__xludf.DUMMYFUNCTION("""COMPUTED_VALUE"""),"06 ORL")</f>
        <v>06 ORL</v>
      </c>
      <c r="O777" s="6" t="str">
        <f ca="1">IFERROR(__xludf.DUMMYFUNCTION("""COMPUTED_VALUE"""),"Dr, Jonathan Esteban Sánchez")</f>
        <v>Dr, Jonathan Esteban Sánchez</v>
      </c>
      <c r="P777" s="6" t="str">
        <f ca="1">IFERROR(__xludf.DUMMYFUNCTION("""COMPUTED_VALUE"""),"Maika Blázquez (Madrid)")</f>
        <v>Maika Blázquez (Madrid)</v>
      </c>
    </row>
    <row r="778" spans="2:16">
      <c r="B778" s="6">
        <f ca="1">IFERROR(__xludf.DUMMYFUNCTION("""COMPUTED_VALUE"""),2025)</f>
        <v>2025</v>
      </c>
      <c r="C778" s="6">
        <f ca="1">IFERROR(__xludf.DUMMYFUNCTION("""COMPUTED_VALUE"""),6)</f>
        <v>6</v>
      </c>
      <c r="D778" s="6" t="str">
        <f ca="1">IFERROR(__xludf.DUMMYFUNCTION("""COMPUTED_VALUE"""),"NO")</f>
        <v>NO</v>
      </c>
      <c r="E778" s="6" t="str">
        <f ca="1">IFERROR(__xludf.DUMMYFUNCTION("""COMPUTED_VALUE"""),"Hospitalet de Llobregat")</f>
        <v>Hospitalet de Llobregat</v>
      </c>
      <c r="F778" s="16">
        <f ca="1">IFERROR(__xludf.DUMMYFUNCTION("""COMPUTED_VALUE"""),45838)</f>
        <v>45838</v>
      </c>
      <c r="G778" s="16">
        <f ca="1">IFERROR(__xludf.DUMMYFUNCTION("""COMPUTED_VALUE"""),45776)</f>
        <v>45776</v>
      </c>
      <c r="H778" s="6" t="str">
        <f ca="1">IFERROR(__xludf.DUMMYFUNCTION("""COMPUTED_VALUE"""),"Hospitalet")</f>
        <v>Hospitalet</v>
      </c>
      <c r="I778" s="6" t="str">
        <f ca="1">IFERROR(__xludf.DUMMYFUNCTION("""COMPUTED_VALUE"""),"C2025513171231847")</f>
        <v>C2025513171231847</v>
      </c>
      <c r="J778" s="6" t="str">
        <f ca="1">IFERROR(__xludf.DUMMYFUNCTION("""COMPUTED_VALUE"""),"Joan Masana Argeric")</f>
        <v>Joan Masana Argeric</v>
      </c>
      <c r="K778" s="6">
        <f ca="1">IFERROR(__xludf.DUMMYFUNCTION("""COMPUTED_VALUE"""),2)</f>
        <v>2</v>
      </c>
      <c r="L778" s="139">
        <f ca="1">IFERROR(__xludf.DUMMYFUNCTION("""COMPUTED_VALUE"""),2888.18)</f>
        <v>2888.18</v>
      </c>
      <c r="M778" s="6" t="str">
        <f ca="1">IFERROR(__xludf.DUMMYFUNCTION("""COMPUTED_VALUE"""),"03 ORL")</f>
        <v>03 ORL</v>
      </c>
      <c r="N778" s="6" t="str">
        <f ca="1">IFERROR(__xludf.DUMMYFUNCTION("""COMPUTED_VALUE"""),"06 ORL")</f>
        <v>06 ORL</v>
      </c>
      <c r="O778" s="6" t="str">
        <f ca="1">IFERROR(__xludf.DUMMYFUNCTION("""COMPUTED_VALUE"""),"Dra, Miriam Hamdham")</f>
        <v>Dra, Miriam Hamdham</v>
      </c>
      <c r="P778" s="6" t="str">
        <f ca="1">IFERROR(__xludf.DUMMYFUNCTION("""COMPUTED_VALUE"""),"Mercè Cabrera (Cataluña Y Baleares)")</f>
        <v>Mercè Cabrera (Cataluña Y Baleares)</v>
      </c>
    </row>
    <row r="779" spans="2:16">
      <c r="B779" s="6">
        <f ca="1">IFERROR(__xludf.DUMMYFUNCTION("""COMPUTED_VALUE"""),2025)</f>
        <v>2025</v>
      </c>
      <c r="C779" s="6">
        <f ca="1">IFERROR(__xludf.DUMMYFUNCTION("""COMPUTED_VALUE"""),6)</f>
        <v>6</v>
      </c>
      <c r="D779" s="6" t="str">
        <f ca="1">IFERROR(__xludf.DUMMYFUNCTION("""COMPUTED_VALUE"""),"NO")</f>
        <v>NO</v>
      </c>
      <c r="E779" s="6" t="str">
        <f ca="1">IFERROR(__xludf.DUMMYFUNCTION("""COMPUTED_VALUE"""),"Hospitalet de Llobregat")</f>
        <v>Hospitalet de Llobregat</v>
      </c>
      <c r="F779" s="16">
        <f ca="1">IFERROR(__xludf.DUMMYFUNCTION("""COMPUTED_VALUE"""),45814)</f>
        <v>45814</v>
      </c>
      <c r="G779" s="16">
        <f ca="1">IFERROR(__xludf.DUMMYFUNCTION("""COMPUTED_VALUE"""),45771)</f>
        <v>45771</v>
      </c>
      <c r="H779" s="6" t="str">
        <f ca="1">IFERROR(__xludf.DUMMYFUNCTION("""COMPUTED_VALUE"""),"Hospitalet")</f>
        <v>Hospitalet</v>
      </c>
      <c r="I779" s="6" t="str">
        <f ca="1">IFERROR(__xludf.DUMMYFUNCTION("""COMPUTED_VALUE"""),"C20255215394549")</f>
        <v>C20255215394549</v>
      </c>
      <c r="J779" s="6" t="str">
        <f ca="1">IFERROR(__xludf.DUMMYFUNCTION("""COMPUTED_VALUE"""),"Maria Dolores Edo Torner")</f>
        <v>Maria Dolores Edo Torner</v>
      </c>
      <c r="K779" s="6">
        <f ca="1">IFERROR(__xludf.DUMMYFUNCTION("""COMPUTED_VALUE"""),2)</f>
        <v>2</v>
      </c>
      <c r="L779" s="139">
        <f ca="1">IFERROR(__xludf.DUMMYFUNCTION("""COMPUTED_VALUE"""),3710)</f>
        <v>3710</v>
      </c>
      <c r="M779" s="6" t="str">
        <f ca="1">IFERROR(__xludf.DUMMYFUNCTION("""COMPUTED_VALUE"""),"03 ORL")</f>
        <v>03 ORL</v>
      </c>
      <c r="N779" s="6" t="str">
        <f ca="1">IFERROR(__xludf.DUMMYFUNCTION("""COMPUTED_VALUE"""),"06 ORL")</f>
        <v>06 ORL</v>
      </c>
      <c r="O779" s="6" t="str">
        <f ca="1">IFERROR(__xludf.DUMMYFUNCTION("""COMPUTED_VALUE"""),"Dra, Cristina Marín Garrido")</f>
        <v>Dra, Cristina Marín Garrido</v>
      </c>
      <c r="P779" s="6" t="str">
        <f ca="1">IFERROR(__xludf.DUMMYFUNCTION("""COMPUTED_VALUE"""),"Mercè Cabrera (Cataluña Y Baleares)")</f>
        <v>Mercè Cabrera (Cataluña Y Baleares)</v>
      </c>
    </row>
    <row r="780" spans="2:16">
      <c r="B780" s="6">
        <f ca="1">IFERROR(__xludf.DUMMYFUNCTION("""COMPUTED_VALUE"""),2025)</f>
        <v>2025</v>
      </c>
      <c r="C780" s="6">
        <f ca="1">IFERROR(__xludf.DUMMYFUNCTION("""COMPUTED_VALUE"""),6)</f>
        <v>6</v>
      </c>
      <c r="D780" s="6" t="str">
        <f ca="1">IFERROR(__xludf.DUMMYFUNCTION("""COMPUTED_VALUE"""),"NO")</f>
        <v>NO</v>
      </c>
      <c r="E780" s="6" t="str">
        <f ca="1">IFERROR(__xludf.DUMMYFUNCTION("""COMPUTED_VALUE"""),"Hospitalet de Llobregat")</f>
        <v>Hospitalet de Llobregat</v>
      </c>
      <c r="F780" s="16">
        <f ca="1">IFERROR(__xludf.DUMMYFUNCTION("""COMPUTED_VALUE"""),45820)</f>
        <v>45820</v>
      </c>
      <c r="G780" s="16">
        <f ca="1">IFERROR(__xludf.DUMMYFUNCTION("""COMPUTED_VALUE"""),45757)</f>
        <v>45757</v>
      </c>
      <c r="H780" s="6" t="str">
        <f ca="1">IFERROR(__xludf.DUMMYFUNCTION("""COMPUTED_VALUE"""),"Hospitalet")</f>
        <v>Hospitalet</v>
      </c>
      <c r="I780" s="6" t="str">
        <f ca="1">IFERROR(__xludf.DUMMYFUNCTION("""COMPUTED_VALUE"""),"C202556113040362")</f>
        <v>C202556113040362</v>
      </c>
      <c r="J780" s="6" t="str">
        <f ca="1">IFERROR(__xludf.DUMMYFUNCTION("""COMPUTED_VALUE"""),"Maria José Durán Marín")</f>
        <v>Maria José Durán Marín</v>
      </c>
      <c r="K780" s="6">
        <f ca="1">IFERROR(__xludf.DUMMYFUNCTION("""COMPUTED_VALUE"""),2)</f>
        <v>2</v>
      </c>
      <c r="L780" s="139">
        <f ca="1">IFERROR(__xludf.DUMMYFUNCTION("""COMPUTED_VALUE"""),4400)</f>
        <v>4400</v>
      </c>
      <c r="M780" s="6" t="str">
        <f ca="1">IFERROR(__xludf.DUMMYFUNCTION("""COMPUTED_VALUE"""),"03 ORL")</f>
        <v>03 ORL</v>
      </c>
      <c r="N780" s="6" t="str">
        <f ca="1">IFERROR(__xludf.DUMMYFUNCTION("""COMPUTED_VALUE"""),"06 ORL")</f>
        <v>06 ORL</v>
      </c>
      <c r="O780" s="6" t="str">
        <f ca="1">IFERROR(__xludf.DUMMYFUNCTION("""COMPUTED_VALUE"""),"Dr, Jesus-Maria Grasa Pérez")</f>
        <v>Dr, Jesus-Maria Grasa Pérez</v>
      </c>
      <c r="P780" s="6" t="str">
        <f ca="1">IFERROR(__xludf.DUMMYFUNCTION("""COMPUTED_VALUE"""),"Mercè Cabrera (Cataluña Y Baleares)")</f>
        <v>Mercè Cabrera (Cataluña Y Baleares)</v>
      </c>
    </row>
    <row r="781" spans="2:16">
      <c r="B781" s="6">
        <f ca="1">IFERROR(__xludf.DUMMYFUNCTION("""COMPUTED_VALUE"""),2025)</f>
        <v>2025</v>
      </c>
      <c r="C781" s="6">
        <f ca="1">IFERROR(__xludf.DUMMYFUNCTION("""COMPUTED_VALUE"""),6)</f>
        <v>6</v>
      </c>
      <c r="D781" s="6" t="str">
        <f ca="1">IFERROR(__xludf.DUMMYFUNCTION("""COMPUTED_VALUE"""),"NO")</f>
        <v>NO</v>
      </c>
      <c r="E781" s="6" t="str">
        <f ca="1">IFERROR(__xludf.DUMMYFUNCTION("""COMPUTED_VALUE"""),"Jerez de la Frontera")</f>
        <v>Jerez de la Frontera</v>
      </c>
      <c r="F781" s="16">
        <f ca="1">IFERROR(__xludf.DUMMYFUNCTION("""COMPUTED_VALUE"""),45838)</f>
        <v>45838</v>
      </c>
      <c r="G781" s="16">
        <f ca="1">IFERROR(__xludf.DUMMYFUNCTION("""COMPUTED_VALUE"""),45812)</f>
        <v>45812</v>
      </c>
      <c r="H781" s="6" t="str">
        <f ca="1">IFERROR(__xludf.DUMMYFUNCTION("""COMPUTED_VALUE"""),"Jerez")</f>
        <v>Jerez</v>
      </c>
      <c r="I781" s="6" t="str">
        <f ca="1">IFERROR(__xludf.DUMMYFUNCTION("""COMPUTED_VALUE"""),"C202565111232860")</f>
        <v>C202565111232860</v>
      </c>
      <c r="J781" s="6" t="str">
        <f ca="1">IFERROR(__xludf.DUMMYFUNCTION("""COMPUTED_VALUE"""),"ANGELES ROBLE RIQUELME")</f>
        <v>ANGELES ROBLE RIQUELME</v>
      </c>
      <c r="K781" s="6">
        <f ca="1">IFERROR(__xludf.DUMMYFUNCTION("""COMPUTED_VALUE"""),1)</f>
        <v>1</v>
      </c>
      <c r="L781" s="139">
        <f ca="1">IFERROR(__xludf.DUMMYFUNCTION("""COMPUTED_VALUE"""),2312.32)</f>
        <v>2312.3200000000002</v>
      </c>
      <c r="M781" s="6" t="str">
        <f ca="1">IFERROR(__xludf.DUMMYFUNCTION("""COMPUTED_VALUE"""),"03 ORL")</f>
        <v>03 ORL</v>
      </c>
      <c r="N781" s="6" t="str">
        <f ca="1">IFERROR(__xludf.DUMMYFUNCTION("""COMPUTED_VALUE"""),"06 ORL")</f>
        <v>06 ORL</v>
      </c>
      <c r="O781" s="6" t="str">
        <f ca="1">IFERROR(__xludf.DUMMYFUNCTION("""COMPUTED_VALUE"""),"Dr, Gumersindo Jesús Pérez Ortega")</f>
        <v>Dr, Gumersindo Jesús Pérez Ortega</v>
      </c>
      <c r="P781" s="6" t="str">
        <f ca="1">IFERROR(__xludf.DUMMYFUNCTION("""COMPUTED_VALUE"""),"Luis Alberto Rodríguez (Andalucía y Badajoz)")</f>
        <v>Luis Alberto Rodríguez (Andalucía y Badajoz)</v>
      </c>
    </row>
    <row r="782" spans="2:16">
      <c r="B782" s="6">
        <f ca="1">IFERROR(__xludf.DUMMYFUNCTION("""COMPUTED_VALUE"""),2025)</f>
        <v>2025</v>
      </c>
      <c r="C782" s="6">
        <f ca="1">IFERROR(__xludf.DUMMYFUNCTION("""COMPUTED_VALUE"""),6)</f>
        <v>6</v>
      </c>
      <c r="D782" s="6" t="str">
        <f ca="1">IFERROR(__xludf.DUMMYFUNCTION("""COMPUTED_VALUE"""),"NO")</f>
        <v>NO</v>
      </c>
      <c r="E782" s="6" t="str">
        <f ca="1">IFERROR(__xludf.DUMMYFUNCTION("""COMPUTED_VALUE"""),"Leganés")</f>
        <v>Leganés</v>
      </c>
      <c r="F782" s="16">
        <f ca="1">IFERROR(__xludf.DUMMYFUNCTION("""COMPUTED_VALUE"""),45818)</f>
        <v>45818</v>
      </c>
      <c r="G782" s="16">
        <f ca="1">IFERROR(__xludf.DUMMYFUNCTION("""COMPUTED_VALUE"""),45812)</f>
        <v>45812</v>
      </c>
      <c r="H782" s="6" t="str">
        <f ca="1">IFERROR(__xludf.DUMMYFUNCTION("""COMPUTED_VALUE"""),"Leganés")</f>
        <v>Leganés</v>
      </c>
      <c r="I782" s="6" t="str">
        <f ca="1">IFERROR(__xludf.DUMMYFUNCTION("""COMPUTED_VALUE"""),"C20256416042237")</f>
        <v>C20256416042237</v>
      </c>
      <c r="J782" s="6" t="str">
        <f ca="1">IFERROR(__xludf.DUMMYFUNCTION("""COMPUTED_VALUE"""),"ANGEL RODRIGUEZ FINEZ")</f>
        <v>ANGEL RODRIGUEZ FINEZ</v>
      </c>
      <c r="K782" s="6">
        <f ca="1">IFERROR(__xludf.DUMMYFUNCTION("""COMPUTED_VALUE"""),1)</f>
        <v>1</v>
      </c>
      <c r="L782" s="139">
        <f ca="1">IFERROR(__xludf.DUMMYFUNCTION("""COMPUTED_VALUE"""),2400)</f>
        <v>2400</v>
      </c>
      <c r="M782" s="6" t="str">
        <f ca="1">IFERROR(__xludf.DUMMYFUNCTION("""COMPUTED_VALUE"""),"03 ORL")</f>
        <v>03 ORL</v>
      </c>
      <c r="N782" s="6" t="str">
        <f ca="1">IFERROR(__xludf.DUMMYFUNCTION("""COMPUTED_VALUE"""),"06 ORL")</f>
        <v>06 ORL</v>
      </c>
      <c r="O782" s="6" t="str">
        <f ca="1">IFERROR(__xludf.DUMMYFUNCTION("""COMPUTED_VALUE"""),"Dra, Mar Lasso de la Vega Zamora")</f>
        <v>Dra, Mar Lasso de la Vega Zamora</v>
      </c>
      <c r="P782" s="6" t="str">
        <f ca="1">IFERROR(__xludf.DUMMYFUNCTION("""COMPUTED_VALUE"""),"Maika Blázquez (Madrid)")</f>
        <v>Maika Blázquez (Madrid)</v>
      </c>
    </row>
    <row r="783" spans="2:16">
      <c r="B783" s="6">
        <f ca="1">IFERROR(__xludf.DUMMYFUNCTION("""COMPUTED_VALUE"""),2025)</f>
        <v>2025</v>
      </c>
      <c r="C783" s="6">
        <f ca="1">IFERROR(__xludf.DUMMYFUNCTION("""COMPUTED_VALUE"""),6)</f>
        <v>6</v>
      </c>
      <c r="D783" s="6" t="str">
        <f ca="1">IFERROR(__xludf.DUMMYFUNCTION("""COMPUTED_VALUE"""),"NO")</f>
        <v>NO</v>
      </c>
      <c r="E783" s="6" t="str">
        <f ca="1">IFERROR(__xludf.DUMMYFUNCTION("""COMPUTED_VALUE"""),"Leganés")</f>
        <v>Leganés</v>
      </c>
      <c r="F783" s="16">
        <f ca="1">IFERROR(__xludf.DUMMYFUNCTION("""COMPUTED_VALUE"""),45827)</f>
        <v>45827</v>
      </c>
      <c r="G783" s="16">
        <f ca="1">IFERROR(__xludf.DUMMYFUNCTION("""COMPUTED_VALUE"""),45803)</f>
        <v>45803</v>
      </c>
      <c r="H783" s="6" t="str">
        <f ca="1">IFERROR(__xludf.DUMMYFUNCTION("""COMPUTED_VALUE"""),"Leganés")</f>
        <v>Leganés</v>
      </c>
      <c r="I783" s="6" t="str">
        <f ca="1">IFERROR(__xludf.DUMMYFUNCTION("""COMPUTED_VALUE"""),"C2025530115028691")</f>
        <v>C2025530115028691</v>
      </c>
      <c r="J783" s="6" t="str">
        <f ca="1">IFERROR(__xludf.DUMMYFUNCTION("""COMPUTED_VALUE"""),"MARIA BELINCHON FERNANDEZ")</f>
        <v>MARIA BELINCHON FERNANDEZ</v>
      </c>
      <c r="K783" s="6">
        <f ca="1">IFERROR(__xludf.DUMMYFUNCTION("""COMPUTED_VALUE"""),1)</f>
        <v>1</v>
      </c>
      <c r="L783" s="139">
        <f ca="1">IFERROR(__xludf.DUMMYFUNCTION("""COMPUTED_VALUE"""),2162.73)</f>
        <v>2162.73</v>
      </c>
      <c r="M783" s="6" t="str">
        <f ca="1">IFERROR(__xludf.DUMMYFUNCTION("""COMPUTED_VALUE"""),"03 ORL")</f>
        <v>03 ORL</v>
      </c>
      <c r="N783" s="6" t="str">
        <f ca="1">IFERROR(__xludf.DUMMYFUNCTION("""COMPUTED_VALUE"""),"06 ORL")</f>
        <v>06 ORL</v>
      </c>
      <c r="O783" s="6" t="str">
        <f ca="1">IFERROR(__xludf.DUMMYFUNCTION("""COMPUTED_VALUE"""),"Dra, Ana Ruiz Fornells Noreña")</f>
        <v>Dra, Ana Ruiz Fornells Noreña</v>
      </c>
      <c r="P783" s="6" t="str">
        <f ca="1">IFERROR(__xludf.DUMMYFUNCTION("""COMPUTED_VALUE"""),"Maika Blázquez (Madrid)")</f>
        <v>Maika Blázquez (Madrid)</v>
      </c>
    </row>
    <row r="784" spans="2:16">
      <c r="B784" s="6">
        <f ca="1">IFERROR(__xludf.DUMMYFUNCTION("""COMPUTED_VALUE"""),2025)</f>
        <v>2025</v>
      </c>
      <c r="C784" s="6">
        <f ca="1">IFERROR(__xludf.DUMMYFUNCTION("""COMPUTED_VALUE"""),6)</f>
        <v>6</v>
      </c>
      <c r="D784" s="6" t="str">
        <f ca="1">IFERROR(__xludf.DUMMYFUNCTION("""COMPUTED_VALUE"""),"NO")</f>
        <v>NO</v>
      </c>
      <c r="E784" s="6" t="str">
        <f ca="1">IFERROR(__xludf.DUMMYFUNCTION("""COMPUTED_VALUE"""),"Logroño")</f>
        <v>Logroño</v>
      </c>
      <c r="F784" s="16">
        <f ca="1">IFERROR(__xludf.DUMMYFUNCTION("""COMPUTED_VALUE"""),45833)</f>
        <v>45833</v>
      </c>
      <c r="G784" s="16">
        <f ca="1">IFERROR(__xludf.DUMMYFUNCTION("""COMPUTED_VALUE"""),45797)</f>
        <v>45797</v>
      </c>
      <c r="H784" s="6" t="str">
        <f ca="1">IFERROR(__xludf.DUMMYFUNCTION("""COMPUTED_VALUE"""),"Logroño")</f>
        <v>Logroño</v>
      </c>
      <c r="I784" s="6" t="str">
        <f ca="1">IFERROR(__xludf.DUMMYFUNCTION("""COMPUTED_VALUE"""),"C2025527182119769")</f>
        <v>C2025527182119769</v>
      </c>
      <c r="J784" s="6" t="str">
        <f ca="1">IFERROR(__xludf.DUMMYFUNCTION("""COMPUTED_VALUE"""),"ALEJANDRA LOPEZ-LASO")</f>
        <v>ALEJANDRA LOPEZ-LASO</v>
      </c>
      <c r="K784" s="6">
        <f ca="1">IFERROR(__xludf.DUMMYFUNCTION("""COMPUTED_VALUE"""),2)</f>
        <v>2</v>
      </c>
      <c r="L784" s="139">
        <f ca="1">IFERROR(__xludf.DUMMYFUNCTION("""COMPUTED_VALUE"""),2090.91)</f>
        <v>2090.91</v>
      </c>
      <c r="M784" s="6" t="str">
        <f ca="1">IFERROR(__xludf.DUMMYFUNCTION("""COMPUTED_VALUE"""),"03 ORL")</f>
        <v>03 ORL</v>
      </c>
      <c r="N784" s="6" t="str">
        <f ca="1">IFERROR(__xludf.DUMMYFUNCTION("""COMPUTED_VALUE"""),"06 ORL")</f>
        <v>06 ORL</v>
      </c>
      <c r="O784" s="6" t="str">
        <f ca="1">IFERROR(__xludf.DUMMYFUNCTION("""COMPUTED_VALUE"""),"Dra, Cristina Ibañez Muñoz")</f>
        <v>Dra, Cristina Ibañez Muñoz</v>
      </c>
      <c r="P784" s="6" t="str">
        <f ca="1">IFERROR(__xludf.DUMMYFUNCTION("""COMPUTED_VALUE"""),"Lisandro Russian (Madrid, Cáceres, Toledo, Talavera Y Logroño)")</f>
        <v>Lisandro Russian (Madrid, Cáceres, Toledo, Talavera Y Logroño)</v>
      </c>
    </row>
    <row r="785" spans="2:16">
      <c r="B785" s="6">
        <f ca="1">IFERROR(__xludf.DUMMYFUNCTION("""COMPUTED_VALUE"""),2025)</f>
        <v>2025</v>
      </c>
      <c r="C785" s="6">
        <f ca="1">IFERROR(__xludf.DUMMYFUNCTION("""COMPUTED_VALUE"""),6)</f>
        <v>6</v>
      </c>
      <c r="D785" s="6" t="str">
        <f ca="1">IFERROR(__xludf.DUMMYFUNCTION("""COMPUTED_VALUE"""),"NO")</f>
        <v>NO</v>
      </c>
      <c r="E785" s="6" t="str">
        <f ca="1">IFERROR(__xludf.DUMMYFUNCTION("""COMPUTED_VALUE"""),"Logroño")</f>
        <v>Logroño</v>
      </c>
      <c r="F785" s="16">
        <f ca="1">IFERROR(__xludf.DUMMYFUNCTION("""COMPUTED_VALUE"""),45838)</f>
        <v>45838</v>
      </c>
      <c r="G785" s="16">
        <f ca="1">IFERROR(__xludf.DUMMYFUNCTION("""COMPUTED_VALUE"""),45776)</f>
        <v>45776</v>
      </c>
      <c r="H785" s="6" t="str">
        <f ca="1">IFERROR(__xludf.DUMMYFUNCTION("""COMPUTED_VALUE"""),"Logroño")</f>
        <v>Logroño</v>
      </c>
      <c r="I785" s="6" t="str">
        <f ca="1">IFERROR(__xludf.DUMMYFUNCTION("""COMPUTED_VALUE"""),"C2025514183611308")</f>
        <v>C2025514183611308</v>
      </c>
      <c r="J785" s="6" t="str">
        <f ca="1">IFERROR(__xludf.DUMMYFUNCTION("""COMPUTED_VALUE"""),"CRISTINA GONZALEZ LOPEZ")</f>
        <v>CRISTINA GONZALEZ LOPEZ</v>
      </c>
      <c r="K785" s="6">
        <f ca="1">IFERROR(__xludf.DUMMYFUNCTION("""COMPUTED_VALUE"""),1)</f>
        <v>1</v>
      </c>
      <c r="L785" s="139">
        <f ca="1">IFERROR(__xludf.DUMMYFUNCTION("""COMPUTED_VALUE"""),2000)</f>
        <v>2000</v>
      </c>
      <c r="M785" s="6" t="str">
        <f ca="1">IFERROR(__xludf.DUMMYFUNCTION("""COMPUTED_VALUE"""),"03 ORL")</f>
        <v>03 ORL</v>
      </c>
      <c r="N785" s="6" t="str">
        <f ca="1">IFERROR(__xludf.DUMMYFUNCTION("""COMPUTED_VALUE"""),"06 ORL")</f>
        <v>06 ORL</v>
      </c>
      <c r="O785" s="6" t="str">
        <f ca="1">IFERROR(__xludf.DUMMYFUNCTION("""COMPUTED_VALUE"""),"Dr, Garikoitz Calzada Uriondo")</f>
        <v>Dr, Garikoitz Calzada Uriondo</v>
      </c>
      <c r="P785" s="6" t="str">
        <f ca="1">IFERROR(__xludf.DUMMYFUNCTION("""COMPUTED_VALUE"""),"Lisandro Russian (Madrid, Cáceres, Toledo, Talavera Y Logroño)")</f>
        <v>Lisandro Russian (Madrid, Cáceres, Toledo, Talavera Y Logroño)</v>
      </c>
    </row>
    <row r="786" spans="2:16">
      <c r="B786" s="6">
        <f ca="1">IFERROR(__xludf.DUMMYFUNCTION("""COMPUTED_VALUE"""),2025)</f>
        <v>2025</v>
      </c>
      <c r="C786" s="6">
        <f ca="1">IFERROR(__xludf.DUMMYFUNCTION("""COMPUTED_VALUE"""),6)</f>
        <v>6</v>
      </c>
      <c r="D786" s="6" t="str">
        <f ca="1">IFERROR(__xludf.DUMMYFUNCTION("""COMPUTED_VALUE"""),"NO")</f>
        <v>NO</v>
      </c>
      <c r="E786" s="6" t="str">
        <f ca="1">IFERROR(__xludf.DUMMYFUNCTION("""COMPUTED_VALUE"""),"Logroño")</f>
        <v>Logroño</v>
      </c>
      <c r="F786" s="16">
        <f ca="1">IFERROR(__xludf.DUMMYFUNCTION("""COMPUTED_VALUE"""),45825)</f>
        <v>45825</v>
      </c>
      <c r="G786" s="16">
        <f ca="1">IFERROR(__xludf.DUMMYFUNCTION("""COMPUTED_VALUE"""),45806)</f>
        <v>45806</v>
      </c>
      <c r="H786" s="6" t="str">
        <f ca="1">IFERROR(__xludf.DUMMYFUNCTION("""COMPUTED_VALUE"""),"Logroño")</f>
        <v>Logroño</v>
      </c>
      <c r="I786" s="6" t="str">
        <f ca="1">IFERROR(__xludf.DUMMYFUNCTION("""COMPUTED_VALUE"""),"C20255309543921")</f>
        <v>C20255309543921</v>
      </c>
      <c r="J786" s="6" t="str">
        <f ca="1">IFERROR(__xludf.DUMMYFUNCTION("""COMPUTED_VALUE"""),"MANUEL CORNES CASAL")</f>
        <v>MANUEL CORNES CASAL</v>
      </c>
      <c r="K786" s="6">
        <f ca="1">IFERROR(__xludf.DUMMYFUNCTION("""COMPUTED_VALUE"""),2)</f>
        <v>2</v>
      </c>
      <c r="L786" s="139">
        <f ca="1">IFERROR(__xludf.DUMMYFUNCTION("""COMPUTED_VALUE"""),3710)</f>
        <v>3710</v>
      </c>
      <c r="M786" s="6" t="str">
        <f ca="1">IFERROR(__xludf.DUMMYFUNCTION("""COMPUTED_VALUE"""),"03 ORL")</f>
        <v>03 ORL</v>
      </c>
      <c r="N786" s="6" t="str">
        <f ca="1">IFERROR(__xludf.DUMMYFUNCTION("""COMPUTED_VALUE"""),"06 ORL")</f>
        <v>06 ORL</v>
      </c>
      <c r="O786" s="6" t="str">
        <f ca="1">IFERROR(__xludf.DUMMYFUNCTION("""COMPUTED_VALUE"""),"Dr, Fernando Salazar Barcelona")</f>
        <v>Dr, Fernando Salazar Barcelona</v>
      </c>
      <c r="P786" s="6" t="str">
        <f ca="1">IFERROR(__xludf.DUMMYFUNCTION("""COMPUTED_VALUE"""),"Lisandro Russian (Madrid, Cáceres, Toledo, Talavera Y Logroño)")</f>
        <v>Lisandro Russian (Madrid, Cáceres, Toledo, Talavera Y Logroño)</v>
      </c>
    </row>
    <row r="787" spans="2:16">
      <c r="B787" s="6">
        <f ca="1">IFERROR(__xludf.DUMMYFUNCTION("""COMPUTED_VALUE"""),2025)</f>
        <v>2025</v>
      </c>
      <c r="C787" s="6">
        <f ca="1">IFERROR(__xludf.DUMMYFUNCTION("""COMPUTED_VALUE"""),6)</f>
        <v>6</v>
      </c>
      <c r="D787" s="6" t="str">
        <f ca="1">IFERROR(__xludf.DUMMYFUNCTION("""COMPUTED_VALUE"""),"NO")</f>
        <v>NO</v>
      </c>
      <c r="E787" s="6" t="str">
        <f ca="1">IFERROR(__xludf.DUMMYFUNCTION("""COMPUTED_VALUE"""),"Logroño")</f>
        <v>Logroño</v>
      </c>
      <c r="F787" s="16">
        <f ca="1">IFERROR(__xludf.DUMMYFUNCTION("""COMPUTED_VALUE"""),45826)</f>
        <v>45826</v>
      </c>
      <c r="G787" s="16">
        <f ca="1">IFERROR(__xludf.DUMMYFUNCTION("""COMPUTED_VALUE"""),45785)</f>
        <v>45785</v>
      </c>
      <c r="H787" s="6" t="str">
        <f ca="1">IFERROR(__xludf.DUMMYFUNCTION("""COMPUTED_VALUE"""),"Logroño")</f>
        <v>Logroño</v>
      </c>
      <c r="I787" s="6" t="str">
        <f ca="1">IFERROR(__xludf.DUMMYFUNCTION("""COMPUTED_VALUE"""),"C2025512102714178")</f>
        <v>C2025512102714178</v>
      </c>
      <c r="J787" s="6" t="str">
        <f ca="1">IFERROR(__xludf.DUMMYFUNCTION("""COMPUTED_VALUE"""),"TERESA FERNANDEZ VITERI")</f>
        <v>TERESA FERNANDEZ VITERI</v>
      </c>
      <c r="K787" s="6">
        <f ca="1">IFERROR(__xludf.DUMMYFUNCTION("""COMPUTED_VALUE"""),2)</f>
        <v>2</v>
      </c>
      <c r="L787" s="139">
        <f ca="1">IFERROR(__xludf.DUMMYFUNCTION("""COMPUTED_VALUE"""),4000)</f>
        <v>4000</v>
      </c>
      <c r="M787" s="6" t="str">
        <f ca="1">IFERROR(__xludf.DUMMYFUNCTION("""COMPUTED_VALUE"""),"03 ORL")</f>
        <v>03 ORL</v>
      </c>
      <c r="N787" s="6" t="str">
        <f ca="1">IFERROR(__xludf.DUMMYFUNCTION("""COMPUTED_VALUE"""),"06 ORL")</f>
        <v>06 ORL</v>
      </c>
      <c r="O787" s="6" t="str">
        <f ca="1">IFERROR(__xludf.DUMMYFUNCTION("""COMPUTED_VALUE"""),"Dr, Ignacio Erdozáin Rodríguez")</f>
        <v>Dr, Ignacio Erdozáin Rodríguez</v>
      </c>
      <c r="P787" s="6" t="str">
        <f ca="1">IFERROR(__xludf.DUMMYFUNCTION("""COMPUTED_VALUE"""),"Lisandro Russian (Madrid, Cáceres, Toledo, Talavera Y Logroño)")</f>
        <v>Lisandro Russian (Madrid, Cáceres, Toledo, Talavera Y Logroño)</v>
      </c>
    </row>
    <row r="788" spans="2:16">
      <c r="B788" s="6">
        <f ca="1">IFERROR(__xludf.DUMMYFUNCTION("""COMPUTED_VALUE"""),2025)</f>
        <v>2025</v>
      </c>
      <c r="C788" s="6">
        <f ca="1">IFERROR(__xludf.DUMMYFUNCTION("""COMPUTED_VALUE"""),6)</f>
        <v>6</v>
      </c>
      <c r="D788" s="6" t="str">
        <f ca="1">IFERROR(__xludf.DUMMYFUNCTION("""COMPUTED_VALUE"""),"NO")</f>
        <v>NO</v>
      </c>
      <c r="E788" s="6" t="str">
        <f ca="1">IFERROR(__xludf.DUMMYFUNCTION("""COMPUTED_VALUE"""),"Lugo")</f>
        <v>Lugo</v>
      </c>
      <c r="F788" s="16">
        <f ca="1">IFERROR(__xludf.DUMMYFUNCTION("""COMPUTED_VALUE"""),45813)</f>
        <v>45813</v>
      </c>
      <c r="G788" s="16">
        <f ca="1">IFERROR(__xludf.DUMMYFUNCTION("""COMPUTED_VALUE"""),45790)</f>
        <v>45790</v>
      </c>
      <c r="H788" s="6" t="str">
        <f ca="1">IFERROR(__xludf.DUMMYFUNCTION("""COMPUTED_VALUE"""),"Lugo")</f>
        <v>Lugo</v>
      </c>
      <c r="I788" s="6" t="str">
        <f ca="1">IFERROR(__xludf.DUMMYFUNCTION("""COMPUTED_VALUE"""),"C202552116482763")</f>
        <v>C202552116482763</v>
      </c>
      <c r="J788" s="6" t="str">
        <f ca="1">IFERROR(__xludf.DUMMYFUNCTION("""COMPUTED_VALUE"""),"CARLOS  ARIAS DE LA TORRE")</f>
        <v>CARLOS  ARIAS DE LA TORRE</v>
      </c>
      <c r="K788" s="6">
        <f ca="1">IFERROR(__xludf.DUMMYFUNCTION("""COMPUTED_VALUE"""),2)</f>
        <v>2</v>
      </c>
      <c r="L788" s="139">
        <f ca="1">IFERROR(__xludf.DUMMYFUNCTION("""COMPUTED_VALUE"""),4000)</f>
        <v>4000</v>
      </c>
      <c r="M788" s="6" t="str">
        <f ca="1">IFERROR(__xludf.DUMMYFUNCTION("""COMPUTED_VALUE"""),"03 ORL")</f>
        <v>03 ORL</v>
      </c>
      <c r="N788" s="6" t="str">
        <f ca="1">IFERROR(__xludf.DUMMYFUNCTION("""COMPUTED_VALUE"""),"06 ORL")</f>
        <v>06 ORL</v>
      </c>
      <c r="O788" s="6" t="str">
        <f ca="1">IFERROR(__xludf.DUMMYFUNCTION("""COMPUTED_VALUE"""),"Dr, Pedro Juiz López")</f>
        <v>Dr, Pedro Juiz López</v>
      </c>
      <c r="P788" s="6" t="str">
        <f ca="1">IFERROR(__xludf.DUMMYFUNCTION("""COMPUTED_VALUE"""),"Roberto Pereira (Galicia)")</f>
        <v>Roberto Pereira (Galicia)</v>
      </c>
    </row>
    <row r="789" spans="2:16">
      <c r="B789" s="6">
        <f ca="1">IFERROR(__xludf.DUMMYFUNCTION("""COMPUTED_VALUE"""),2025)</f>
        <v>2025</v>
      </c>
      <c r="C789" s="6">
        <f ca="1">IFERROR(__xludf.DUMMYFUNCTION("""COMPUTED_VALUE"""),6)</f>
        <v>6</v>
      </c>
      <c r="D789" s="6" t="str">
        <f ca="1">IFERROR(__xludf.DUMMYFUNCTION("""COMPUTED_VALUE"""),"NO")</f>
        <v>NO</v>
      </c>
      <c r="E789" s="6" t="str">
        <f ca="1">IFERROR(__xludf.DUMMYFUNCTION("""COMPUTED_VALUE"""),"Lugo")</f>
        <v>Lugo</v>
      </c>
      <c r="F789" s="16">
        <f ca="1">IFERROR(__xludf.DUMMYFUNCTION("""COMPUTED_VALUE"""),45838)</f>
        <v>45838</v>
      </c>
      <c r="G789" s="16">
        <f ca="1">IFERROR(__xludf.DUMMYFUNCTION("""COMPUTED_VALUE"""),45811)</f>
        <v>45811</v>
      </c>
      <c r="H789" s="6" t="str">
        <f ca="1">IFERROR(__xludf.DUMMYFUNCTION("""COMPUTED_VALUE"""),"Lugo")</f>
        <v>Lugo</v>
      </c>
      <c r="I789" s="6" t="str">
        <f ca="1">IFERROR(__xludf.DUMMYFUNCTION("""COMPUTED_VALUE"""),"C202563171625513")</f>
        <v>C202563171625513</v>
      </c>
      <c r="J789" s="6" t="str">
        <f ca="1">IFERROR(__xludf.DUMMYFUNCTION("""COMPUTED_VALUE"""),"JOSEFA  GINZO FERNANDEZ")</f>
        <v>JOSEFA  GINZO FERNANDEZ</v>
      </c>
      <c r="K789" s="6">
        <f ca="1">IFERROR(__xludf.DUMMYFUNCTION("""COMPUTED_VALUE"""),2)</f>
        <v>2</v>
      </c>
      <c r="L789" s="139">
        <f ca="1">IFERROR(__xludf.DUMMYFUNCTION("""COMPUTED_VALUE"""),2888.18)</f>
        <v>2888.18</v>
      </c>
      <c r="M789" s="6" t="str">
        <f ca="1">IFERROR(__xludf.DUMMYFUNCTION("""COMPUTED_VALUE"""),"03 ORL")</f>
        <v>03 ORL</v>
      </c>
      <c r="N789" s="6" t="str">
        <f ca="1">IFERROR(__xludf.DUMMYFUNCTION("""COMPUTED_VALUE"""),"06 ORL")</f>
        <v>06 ORL</v>
      </c>
      <c r="O789" s="6" t="str">
        <f ca="1">IFERROR(__xludf.DUMMYFUNCTION("""COMPUTED_VALUE"""),"Dr, Pedro Juiz López")</f>
        <v>Dr, Pedro Juiz López</v>
      </c>
      <c r="P789" s="6" t="str">
        <f ca="1">IFERROR(__xludf.DUMMYFUNCTION("""COMPUTED_VALUE"""),"Roberto Pereira (Galicia)")</f>
        <v>Roberto Pereira (Galicia)</v>
      </c>
    </row>
    <row r="790" spans="2:16">
      <c r="B790" s="6">
        <f ca="1">IFERROR(__xludf.DUMMYFUNCTION("""COMPUTED_VALUE"""),2025)</f>
        <v>2025</v>
      </c>
      <c r="C790" s="6">
        <f ca="1">IFERROR(__xludf.DUMMYFUNCTION("""COMPUTED_VALUE"""),6)</f>
        <v>6</v>
      </c>
      <c r="D790" s="6" t="str">
        <f ca="1">IFERROR(__xludf.DUMMYFUNCTION("""COMPUTED_VALUE"""),"NO")</f>
        <v>NO</v>
      </c>
      <c r="E790" s="6" t="str">
        <f ca="1">IFERROR(__xludf.DUMMYFUNCTION("""COMPUTED_VALUE"""),"Madrid- Canillas")</f>
        <v>Madrid- Canillas</v>
      </c>
      <c r="F790" s="16">
        <f ca="1">IFERROR(__xludf.DUMMYFUNCTION("""COMPUTED_VALUE"""),45813)</f>
        <v>45813</v>
      </c>
      <c r="G790" s="16">
        <f ca="1">IFERROR(__xludf.DUMMYFUNCTION("""COMPUTED_VALUE"""),45757)</f>
        <v>45757</v>
      </c>
      <c r="H790" s="6" t="str">
        <f ca="1">IFERROR(__xludf.DUMMYFUNCTION("""COMPUTED_VALUE"""),"Canillas")</f>
        <v>Canillas</v>
      </c>
      <c r="I790" s="6" t="str">
        <f ca="1">IFERROR(__xludf.DUMMYFUNCTION("""COMPUTED_VALUE"""),"C2025425103918524")</f>
        <v>C2025425103918524</v>
      </c>
      <c r="J790" s="6" t="str">
        <f ca="1">IFERROR(__xludf.DUMMYFUNCTION("""COMPUTED_VALUE"""),"ALICIA HALPERIN CHERVIN")</f>
        <v>ALICIA HALPERIN CHERVIN</v>
      </c>
      <c r="K790" s="6">
        <f ca="1">IFERROR(__xludf.DUMMYFUNCTION("""COMPUTED_VALUE"""),2)</f>
        <v>2</v>
      </c>
      <c r="L790" s="139">
        <f ca="1">IFERROR(__xludf.DUMMYFUNCTION("""COMPUTED_VALUE"""),4531.82)</f>
        <v>4531.82</v>
      </c>
      <c r="M790" s="6" t="str">
        <f ca="1">IFERROR(__xludf.DUMMYFUNCTION("""COMPUTED_VALUE"""),"03 ORL")</f>
        <v>03 ORL</v>
      </c>
      <c r="N790" s="6" t="str">
        <f ca="1">IFERROR(__xludf.DUMMYFUNCTION("""COMPUTED_VALUE"""),"06 ORL")</f>
        <v>06 ORL</v>
      </c>
      <c r="O790" s="6" t="str">
        <f ca="1">IFERROR(__xludf.DUMMYFUNCTION("""COMPUTED_VALUE"""),"Dr, Julio López Moya")</f>
        <v>Dr, Julio López Moya</v>
      </c>
      <c r="P790" s="6" t="str">
        <f ca="1">IFERROR(__xludf.DUMMYFUNCTION("""COMPUTED_VALUE"""),"Maika Blázquez (Madrid)")</f>
        <v>Maika Blázquez (Madrid)</v>
      </c>
    </row>
    <row r="791" spans="2:16">
      <c r="B791" s="6">
        <f ca="1">IFERROR(__xludf.DUMMYFUNCTION("""COMPUTED_VALUE"""),2025)</f>
        <v>2025</v>
      </c>
      <c r="C791" s="6">
        <f ca="1">IFERROR(__xludf.DUMMYFUNCTION("""COMPUTED_VALUE"""),6)</f>
        <v>6</v>
      </c>
      <c r="D791" s="6" t="str">
        <f ca="1">IFERROR(__xludf.DUMMYFUNCTION("""COMPUTED_VALUE"""),"NO")</f>
        <v>NO</v>
      </c>
      <c r="E791" s="6" t="str">
        <f ca="1">IFERROR(__xludf.DUMMYFUNCTION("""COMPUTED_VALUE"""),"Madrid- Canillas")</f>
        <v>Madrid- Canillas</v>
      </c>
      <c r="F791" s="16">
        <f ca="1">IFERROR(__xludf.DUMMYFUNCTION("""COMPUTED_VALUE"""),45833)</f>
        <v>45833</v>
      </c>
      <c r="G791" s="16">
        <f ca="1">IFERROR(__xludf.DUMMYFUNCTION("""COMPUTED_VALUE"""),45810)</f>
        <v>45810</v>
      </c>
      <c r="H791" s="6" t="str">
        <f ca="1">IFERROR(__xludf.DUMMYFUNCTION("""COMPUTED_VALUE"""),"Canillas")</f>
        <v>Canillas</v>
      </c>
      <c r="I791" s="6" t="str">
        <f ca="1">IFERROR(__xludf.DUMMYFUNCTION("""COMPUTED_VALUE"""),"C202565105045199")</f>
        <v>C202565105045199</v>
      </c>
      <c r="J791" s="6" t="str">
        <f ca="1">IFERROR(__xludf.DUMMYFUNCTION("""COMPUTED_VALUE"""),"ANTONIA GONZALEZ GONZALEZ")</f>
        <v>ANTONIA GONZALEZ GONZALEZ</v>
      </c>
      <c r="K791" s="6">
        <f ca="1">IFERROR(__xludf.DUMMYFUNCTION("""COMPUTED_VALUE"""),2)</f>
        <v>2</v>
      </c>
      <c r="L791" s="139">
        <f ca="1">IFERROR(__xludf.DUMMYFUNCTION("""COMPUTED_VALUE"""),2888.18)</f>
        <v>2888.18</v>
      </c>
      <c r="M791" s="6" t="str">
        <f ca="1">IFERROR(__xludf.DUMMYFUNCTION("""COMPUTED_VALUE"""),"03 ORL")</f>
        <v>03 ORL</v>
      </c>
      <c r="N791" s="6" t="str">
        <f ca="1">IFERROR(__xludf.DUMMYFUNCTION("""COMPUTED_VALUE"""),"06 ORL")</f>
        <v>06 ORL</v>
      </c>
      <c r="O791" s="6" t="str">
        <f ca="1">IFERROR(__xludf.DUMMYFUNCTION("""COMPUTED_VALUE"""),"Dr, Franklin S, Mariño Sánchez")</f>
        <v>Dr, Franklin S, Mariño Sánchez</v>
      </c>
      <c r="P791" s="6" t="str">
        <f ca="1">IFERROR(__xludf.DUMMYFUNCTION("""COMPUTED_VALUE"""),"Maika Blázquez (Madrid)")</f>
        <v>Maika Blázquez (Madrid)</v>
      </c>
    </row>
    <row r="792" spans="2:16">
      <c r="B792" s="6">
        <f ca="1">IFERROR(__xludf.DUMMYFUNCTION("""COMPUTED_VALUE"""),2025)</f>
        <v>2025</v>
      </c>
      <c r="C792" s="6">
        <f ca="1">IFERROR(__xludf.DUMMYFUNCTION("""COMPUTED_VALUE"""),6)</f>
        <v>6</v>
      </c>
      <c r="D792" s="6" t="str">
        <f ca="1">IFERROR(__xludf.DUMMYFUNCTION("""COMPUTED_VALUE"""),"NO")</f>
        <v>NO</v>
      </c>
      <c r="E792" s="6" t="str">
        <f ca="1">IFERROR(__xludf.DUMMYFUNCTION("""COMPUTED_VALUE"""),"Madrid- Canillas")</f>
        <v>Madrid- Canillas</v>
      </c>
      <c r="F792" s="16">
        <f ca="1">IFERROR(__xludf.DUMMYFUNCTION("""COMPUTED_VALUE"""),45819)</f>
        <v>45819</v>
      </c>
      <c r="G792" s="16">
        <f ca="1">IFERROR(__xludf.DUMMYFUNCTION("""COMPUTED_VALUE"""),45761)</f>
        <v>45761</v>
      </c>
      <c r="H792" s="6" t="str">
        <f ca="1">IFERROR(__xludf.DUMMYFUNCTION("""COMPUTED_VALUE"""),"Canillas")</f>
        <v>Canillas</v>
      </c>
      <c r="I792" s="6" t="str">
        <f ca="1">IFERROR(__xludf.DUMMYFUNCTION("""COMPUTED_VALUE"""),"C2025513123816281")</f>
        <v>C2025513123816281</v>
      </c>
      <c r="J792" s="6" t="str">
        <f ca="1">IFERROR(__xludf.DUMMYFUNCTION("""COMPUTED_VALUE"""),"GLORIA ROLDAN MACHON")</f>
        <v>GLORIA ROLDAN MACHON</v>
      </c>
      <c r="K792" s="6">
        <f ca="1">IFERROR(__xludf.DUMMYFUNCTION("""COMPUTED_VALUE"""),1)</f>
        <v>1</v>
      </c>
      <c r="L792" s="139">
        <f ca="1">IFERROR(__xludf.DUMMYFUNCTION("""COMPUTED_VALUE"""),2400)</f>
        <v>2400</v>
      </c>
      <c r="M792" s="6" t="str">
        <f ca="1">IFERROR(__xludf.DUMMYFUNCTION("""COMPUTED_VALUE"""),"03 ORL")</f>
        <v>03 ORL</v>
      </c>
      <c r="N792" s="6" t="str">
        <f ca="1">IFERROR(__xludf.DUMMYFUNCTION("""COMPUTED_VALUE"""),"22 AUDIOMETRIA CLINICA")</f>
        <v>22 AUDIOMETRIA CLINICA</v>
      </c>
      <c r="O792" s="6" t="str">
        <f ca="1">IFERROR(__xludf.DUMMYFUNCTION("""COMPUTED_VALUE"""),"Dr, Luis Jiménez Ferreres")</f>
        <v>Dr, Luis Jiménez Ferreres</v>
      </c>
      <c r="P792" s="6" t="str">
        <f ca="1">IFERROR(__xludf.DUMMYFUNCTION("""COMPUTED_VALUE"""),"Lisandro Russian (Madrid, Cáceres, Toledo, Talavera Y Logroño)")</f>
        <v>Lisandro Russian (Madrid, Cáceres, Toledo, Talavera Y Logroño)</v>
      </c>
    </row>
    <row r="793" spans="2:16">
      <c r="B793" s="6">
        <f ca="1">IFERROR(__xludf.DUMMYFUNCTION("""COMPUTED_VALUE"""),2025)</f>
        <v>2025</v>
      </c>
      <c r="C793" s="6">
        <f ca="1">IFERROR(__xludf.DUMMYFUNCTION("""COMPUTED_VALUE"""),6)</f>
        <v>6</v>
      </c>
      <c r="D793" s="6" t="str">
        <f ca="1">IFERROR(__xludf.DUMMYFUNCTION("""COMPUTED_VALUE"""),"NO")</f>
        <v>NO</v>
      </c>
      <c r="E793" s="6" t="str">
        <f ca="1">IFERROR(__xludf.DUMMYFUNCTION("""COMPUTED_VALUE"""),"Madrid- Canillas")</f>
        <v>Madrid- Canillas</v>
      </c>
      <c r="F793" s="16">
        <f ca="1">IFERROR(__xludf.DUMMYFUNCTION("""COMPUTED_VALUE"""),45835)</f>
        <v>45835</v>
      </c>
      <c r="G793" s="16">
        <f ca="1">IFERROR(__xludf.DUMMYFUNCTION("""COMPUTED_VALUE"""),45777)</f>
        <v>45777</v>
      </c>
      <c r="H793" s="6" t="str">
        <f ca="1">IFERROR(__xludf.DUMMYFUNCTION("""COMPUTED_VALUE"""),"Canillas")</f>
        <v>Canillas</v>
      </c>
      <c r="I793" s="6" t="str">
        <f ca="1">IFERROR(__xludf.DUMMYFUNCTION("""COMPUTED_VALUE"""),"C2025514171337654")</f>
        <v>C2025514171337654</v>
      </c>
      <c r="J793" s="6" t="str">
        <f ca="1">IFERROR(__xludf.DUMMYFUNCTION("""COMPUTED_VALUE"""),"ROSARIO JUANINO BARRIO")</f>
        <v>ROSARIO JUANINO BARRIO</v>
      </c>
      <c r="K793" s="6">
        <f ca="1">IFERROR(__xludf.DUMMYFUNCTION("""COMPUTED_VALUE"""),2)</f>
        <v>2</v>
      </c>
      <c r="L793" s="139">
        <f ca="1">IFERROR(__xludf.DUMMYFUNCTION("""COMPUTED_VALUE"""),3710)</f>
        <v>3710</v>
      </c>
      <c r="M793" s="6" t="str">
        <f ca="1">IFERROR(__xludf.DUMMYFUNCTION("""COMPUTED_VALUE"""),"03 ORL")</f>
        <v>03 ORL</v>
      </c>
      <c r="N793" s="6" t="str">
        <f ca="1">IFERROR(__xludf.DUMMYFUNCTION("""COMPUTED_VALUE"""),"06 ORL")</f>
        <v>06 ORL</v>
      </c>
      <c r="O793" s="6" t="str">
        <f ca="1">IFERROR(__xludf.DUMMYFUNCTION("""COMPUTED_VALUE"""),"Dr, José Gustavo Barroso Braojos")</f>
        <v>Dr, José Gustavo Barroso Braojos</v>
      </c>
      <c r="P793" s="6" t="str">
        <f ca="1">IFERROR(__xludf.DUMMYFUNCTION("""COMPUTED_VALUE"""),"Maika Blázquez (Madrid)")</f>
        <v>Maika Blázquez (Madrid)</v>
      </c>
    </row>
    <row r="794" spans="2:16">
      <c r="B794" s="6">
        <f ca="1">IFERROR(__xludf.DUMMYFUNCTION("""COMPUTED_VALUE"""),2025)</f>
        <v>2025</v>
      </c>
      <c r="C794" s="6">
        <f ca="1">IFERROR(__xludf.DUMMYFUNCTION("""COMPUTED_VALUE"""),6)</f>
        <v>6</v>
      </c>
      <c r="D794" s="6" t="str">
        <f ca="1">IFERROR(__xludf.DUMMYFUNCTION("""COMPUTED_VALUE"""),"NO")</f>
        <v>NO</v>
      </c>
      <c r="E794" s="6" t="str">
        <f ca="1">IFERROR(__xludf.DUMMYFUNCTION("""COMPUTED_VALUE"""),"Madrid- Costa Rica")</f>
        <v>Madrid- Costa Rica</v>
      </c>
      <c r="F794" s="16">
        <f ca="1">IFERROR(__xludf.DUMMYFUNCTION("""COMPUTED_VALUE"""),45819)</f>
        <v>45819</v>
      </c>
      <c r="G794" s="16">
        <f ca="1">IFERROR(__xludf.DUMMYFUNCTION("""COMPUTED_VALUE"""),45796)</f>
        <v>45796</v>
      </c>
      <c r="H794" s="6" t="str">
        <f ca="1">IFERROR(__xludf.DUMMYFUNCTION("""COMPUTED_VALUE"""),"Costa Rica")</f>
        <v>Costa Rica</v>
      </c>
      <c r="I794" s="6" t="str">
        <f ca="1">IFERROR(__xludf.DUMMYFUNCTION("""COMPUTED_VALUE"""),"C2025522111034369")</f>
        <v>C2025522111034369</v>
      </c>
      <c r="J794" s="6" t="str">
        <f ca="1">IFERROR(__xludf.DUMMYFUNCTION("""COMPUTED_VALUE"""),"FERNANDO PRECIADO SANTAMARIA")</f>
        <v>FERNANDO PRECIADO SANTAMARIA</v>
      </c>
      <c r="K794" s="6">
        <f ca="1">IFERROR(__xludf.DUMMYFUNCTION("""COMPUTED_VALUE"""),2)</f>
        <v>2</v>
      </c>
      <c r="L794" s="139">
        <f ca="1">IFERROR(__xludf.DUMMYFUNCTION("""COMPUTED_VALUE"""),4000)</f>
        <v>4000</v>
      </c>
      <c r="M794" s="6" t="str">
        <f ca="1">IFERROR(__xludf.DUMMYFUNCTION("""COMPUTED_VALUE"""),"03 ORL")</f>
        <v>03 ORL</v>
      </c>
      <c r="N794" s="6" t="str">
        <f ca="1">IFERROR(__xludf.DUMMYFUNCTION("""COMPUTED_VALUE"""),"06 ORL")</f>
        <v>06 ORL</v>
      </c>
      <c r="O794" s="6" t="str">
        <f ca="1">IFERROR(__xludf.DUMMYFUNCTION("""COMPUTED_VALUE"""),"Dr, Iván Muerte Moreno")</f>
        <v>Dr, Iván Muerte Moreno</v>
      </c>
      <c r="P794" s="6" t="str">
        <f ca="1">IFERROR(__xludf.DUMMYFUNCTION("""COMPUTED_VALUE"""),"Lisandro Russian (Madrid, Cáceres, Toledo, Talavera Y Logroño)")</f>
        <v>Lisandro Russian (Madrid, Cáceres, Toledo, Talavera Y Logroño)</v>
      </c>
    </row>
    <row r="795" spans="2:16">
      <c r="B795" s="6">
        <f ca="1">IFERROR(__xludf.DUMMYFUNCTION("""COMPUTED_VALUE"""),2025)</f>
        <v>2025</v>
      </c>
      <c r="C795" s="6">
        <f ca="1">IFERROR(__xludf.DUMMYFUNCTION("""COMPUTED_VALUE"""),6)</f>
        <v>6</v>
      </c>
      <c r="D795" s="6" t="str">
        <f ca="1">IFERROR(__xludf.DUMMYFUNCTION("""COMPUTED_VALUE"""),"NO")</f>
        <v>NO</v>
      </c>
      <c r="E795" s="6" t="str">
        <f ca="1">IFERROR(__xludf.DUMMYFUNCTION("""COMPUTED_VALUE"""),"Madrid- Costa Rica")</f>
        <v>Madrid- Costa Rica</v>
      </c>
      <c r="F795" s="16">
        <f ca="1">IFERROR(__xludf.DUMMYFUNCTION("""COMPUTED_VALUE"""),45812)</f>
        <v>45812</v>
      </c>
      <c r="G795" s="16">
        <f ca="1">IFERROR(__xludf.DUMMYFUNCTION("""COMPUTED_VALUE"""),45776)</f>
        <v>45776</v>
      </c>
      <c r="H795" s="6" t="str">
        <f ca="1">IFERROR(__xludf.DUMMYFUNCTION("""COMPUTED_VALUE"""),"Costa Rica")</f>
        <v>Costa Rica</v>
      </c>
      <c r="I795" s="6" t="str">
        <f ca="1">IFERROR(__xludf.DUMMYFUNCTION("""COMPUTED_VALUE"""),"C2025581883068")</f>
        <v>C2025581883068</v>
      </c>
      <c r="J795" s="6" t="str">
        <f ca="1">IFERROR(__xludf.DUMMYFUNCTION("""COMPUTED_VALUE"""),"ISABEL RODRIGUEZ MORA")</f>
        <v>ISABEL RODRIGUEZ MORA</v>
      </c>
      <c r="K795" s="6">
        <f ca="1">IFERROR(__xludf.DUMMYFUNCTION("""COMPUTED_VALUE"""),2)</f>
        <v>2</v>
      </c>
      <c r="L795" s="139">
        <f ca="1">IFERROR(__xludf.DUMMYFUNCTION("""COMPUTED_VALUE"""),3710)</f>
        <v>3710</v>
      </c>
      <c r="M795" s="6" t="str">
        <f ca="1">IFERROR(__xludf.DUMMYFUNCTION("""COMPUTED_VALUE"""),"03 ORL")</f>
        <v>03 ORL</v>
      </c>
      <c r="N795" s="6" t="str">
        <f ca="1">IFERROR(__xludf.DUMMYFUNCTION("""COMPUTED_VALUE"""),"06 ORL")</f>
        <v>06 ORL</v>
      </c>
      <c r="O795" s="6" t="str">
        <f ca="1">IFERROR(__xludf.DUMMYFUNCTION("""COMPUTED_VALUE"""),"Dr, Guillermo San Juan de la Moreta")</f>
        <v>Dr, Guillermo San Juan de la Moreta</v>
      </c>
      <c r="P795" s="6" t="str">
        <f ca="1">IFERROR(__xludf.DUMMYFUNCTION("""COMPUTED_VALUE"""),"Maika Blázquez (Madrid)")</f>
        <v>Maika Blázquez (Madrid)</v>
      </c>
    </row>
    <row r="796" spans="2:16">
      <c r="B796" s="6">
        <f ca="1">IFERROR(__xludf.DUMMYFUNCTION("""COMPUTED_VALUE"""),2025)</f>
        <v>2025</v>
      </c>
      <c r="C796" s="6">
        <f ca="1">IFERROR(__xludf.DUMMYFUNCTION("""COMPUTED_VALUE"""),6)</f>
        <v>6</v>
      </c>
      <c r="D796" s="6" t="str">
        <f ca="1">IFERROR(__xludf.DUMMYFUNCTION("""COMPUTED_VALUE"""),"NO")</f>
        <v>NO</v>
      </c>
      <c r="E796" s="6" t="str">
        <f ca="1">IFERROR(__xludf.DUMMYFUNCTION("""COMPUTED_VALUE"""),"Madrid- Costa Rica")</f>
        <v>Madrid- Costa Rica</v>
      </c>
      <c r="F796" s="16">
        <f ca="1">IFERROR(__xludf.DUMMYFUNCTION("""COMPUTED_VALUE"""),45820)</f>
        <v>45820</v>
      </c>
      <c r="G796" s="16">
        <f ca="1">IFERROR(__xludf.DUMMYFUNCTION("""COMPUTED_VALUE"""),45797)</f>
        <v>45797</v>
      </c>
      <c r="H796" s="6" t="str">
        <f ca="1">IFERROR(__xludf.DUMMYFUNCTION("""COMPUTED_VALUE"""),"Costa Rica")</f>
        <v>Costa Rica</v>
      </c>
      <c r="I796" s="6" t="str">
        <f ca="1">IFERROR(__xludf.DUMMYFUNCTION("""COMPUTED_VALUE"""),"C2025523122424343")</f>
        <v>C2025523122424343</v>
      </c>
      <c r="J796" s="6" t="str">
        <f ca="1">IFERROR(__xludf.DUMMYFUNCTION("""COMPUTED_VALUE"""),"MÓNICA DE LA MORA")</f>
        <v>MÓNICA DE LA MORA</v>
      </c>
      <c r="K796" s="6">
        <f ca="1">IFERROR(__xludf.DUMMYFUNCTION("""COMPUTED_VALUE"""),2)</f>
        <v>2</v>
      </c>
      <c r="L796" s="139">
        <f ca="1">IFERROR(__xludf.DUMMYFUNCTION("""COMPUTED_VALUE"""),4000)</f>
        <v>4000</v>
      </c>
      <c r="M796" s="6" t="str">
        <f ca="1">IFERROR(__xludf.DUMMYFUNCTION("""COMPUTED_VALUE"""),"03 ORL")</f>
        <v>03 ORL</v>
      </c>
      <c r="N796" s="6" t="str">
        <f ca="1">IFERROR(__xludf.DUMMYFUNCTION("""COMPUTED_VALUE"""),"06 ORL")</f>
        <v>06 ORL</v>
      </c>
      <c r="O796" s="6" t="str">
        <f ca="1">IFERROR(__xludf.DUMMYFUNCTION("""COMPUTED_VALUE"""),"Dr, Carlos Armiño Megido")</f>
        <v>Dr, Carlos Armiño Megido</v>
      </c>
      <c r="P796" s="6" t="str">
        <f ca="1">IFERROR(__xludf.DUMMYFUNCTION("""COMPUTED_VALUE"""),"Lisandro Russian (Madrid, Cáceres, Toledo, Talavera Y Logroño)")</f>
        <v>Lisandro Russian (Madrid, Cáceres, Toledo, Talavera Y Logroño)</v>
      </c>
    </row>
    <row r="797" spans="2:16">
      <c r="B797" s="6">
        <f ca="1">IFERROR(__xludf.DUMMYFUNCTION("""COMPUTED_VALUE"""),2025)</f>
        <v>2025</v>
      </c>
      <c r="C797" s="6">
        <f ca="1">IFERROR(__xludf.DUMMYFUNCTION("""COMPUTED_VALUE"""),6)</f>
        <v>6</v>
      </c>
      <c r="D797" s="6" t="str">
        <f ca="1">IFERROR(__xludf.DUMMYFUNCTION("""COMPUTED_VALUE"""),"NO")</f>
        <v>NO</v>
      </c>
      <c r="E797" s="6" t="str">
        <f ca="1">IFERROR(__xludf.DUMMYFUNCTION("""COMPUTED_VALUE"""),"Madrid- Costa Rica")</f>
        <v>Madrid- Costa Rica</v>
      </c>
      <c r="F797" s="16">
        <f ca="1">IFERROR(__xludf.DUMMYFUNCTION("""COMPUTED_VALUE"""),45832)</f>
        <v>45832</v>
      </c>
      <c r="G797" s="16">
        <f ca="1">IFERROR(__xludf.DUMMYFUNCTION("""COMPUTED_VALUE"""),45797)</f>
        <v>45797</v>
      </c>
      <c r="H797" s="6" t="str">
        <f ca="1">IFERROR(__xludf.DUMMYFUNCTION("""COMPUTED_VALUE"""),"Costa Rica")</f>
        <v>Costa Rica</v>
      </c>
      <c r="I797" s="6" t="str">
        <f ca="1">IFERROR(__xludf.DUMMYFUNCTION("""COMPUTED_VALUE"""),"C202552116452833")</f>
        <v>C202552116452833</v>
      </c>
      <c r="J797" s="6" t="str">
        <f ca="1">IFERROR(__xludf.DUMMYFUNCTION("""COMPUTED_VALUE"""),"SANTIAGO  GOMEZ RAMOS")</f>
        <v>SANTIAGO  GOMEZ RAMOS</v>
      </c>
      <c r="K797" s="6">
        <f ca="1">IFERROR(__xludf.DUMMYFUNCTION("""COMPUTED_VALUE"""),2)</f>
        <v>2</v>
      </c>
      <c r="L797" s="139">
        <f ca="1">IFERROR(__xludf.DUMMYFUNCTION("""COMPUTED_VALUE"""),4000)</f>
        <v>4000</v>
      </c>
      <c r="M797" s="6" t="str">
        <f ca="1">IFERROR(__xludf.DUMMYFUNCTION("""COMPUTED_VALUE"""),"03 ORL")</f>
        <v>03 ORL</v>
      </c>
      <c r="N797" s="6" t="str">
        <f ca="1">IFERROR(__xludf.DUMMYFUNCTION("""COMPUTED_VALUE"""),"06 ORL")</f>
        <v>06 ORL</v>
      </c>
      <c r="O797" s="6" t="str">
        <f ca="1">IFERROR(__xludf.DUMMYFUNCTION("""COMPUTED_VALUE"""),"Dra, Alicia Gómez cabezas")</f>
        <v>Dra, Alicia Gómez cabezas</v>
      </c>
      <c r="P797" s="6" t="str">
        <f ca="1">IFERROR(__xludf.DUMMYFUNCTION("""COMPUTED_VALUE"""),"Lisandro Russian (Madrid, Cáceres, Toledo, Talavera Y Logroño)")</f>
        <v>Lisandro Russian (Madrid, Cáceres, Toledo, Talavera Y Logroño)</v>
      </c>
    </row>
    <row r="798" spans="2:16">
      <c r="B798" s="6">
        <f ca="1">IFERROR(__xludf.DUMMYFUNCTION("""COMPUTED_VALUE"""),2025)</f>
        <v>2025</v>
      </c>
      <c r="C798" s="6">
        <f ca="1">IFERROR(__xludf.DUMMYFUNCTION("""COMPUTED_VALUE"""),6)</f>
        <v>6</v>
      </c>
      <c r="D798" s="6" t="str">
        <f ca="1">IFERROR(__xludf.DUMMYFUNCTION("""COMPUTED_VALUE"""),"NO")</f>
        <v>NO</v>
      </c>
      <c r="E798" s="6" t="str">
        <f ca="1">IFERROR(__xludf.DUMMYFUNCTION("""COMPUTED_VALUE"""),"Madrid- Galileo")</f>
        <v>Madrid- Galileo</v>
      </c>
      <c r="F798" s="16">
        <f ca="1">IFERROR(__xludf.DUMMYFUNCTION("""COMPUTED_VALUE"""),45838)</f>
        <v>45838</v>
      </c>
      <c r="G798" s="16">
        <f ca="1">IFERROR(__xludf.DUMMYFUNCTION("""COMPUTED_VALUE"""),45806)</f>
        <v>45806</v>
      </c>
      <c r="H798" s="6" t="str">
        <f ca="1">IFERROR(__xludf.DUMMYFUNCTION("""COMPUTED_VALUE"""),"Moncloa")</f>
        <v>Moncloa</v>
      </c>
      <c r="I798" s="6" t="str">
        <f ca="1">IFERROR(__xludf.DUMMYFUNCTION("""COMPUTED_VALUE"""),"C202564181440169")</f>
        <v>C202564181440169</v>
      </c>
      <c r="J798" s="6" t="str">
        <f ca="1">IFERROR(__xludf.DUMMYFUNCTION("""COMPUTED_VALUE"""),"ANTONIO VILLODAS SANCHEZ")</f>
        <v>ANTONIO VILLODAS SANCHEZ</v>
      </c>
      <c r="K798" s="6">
        <f ca="1">IFERROR(__xludf.DUMMYFUNCTION("""COMPUTED_VALUE"""),2)</f>
        <v>2</v>
      </c>
      <c r="L798" s="139">
        <f ca="1">IFERROR(__xludf.DUMMYFUNCTION("""COMPUTED_VALUE"""),4000)</f>
        <v>4000</v>
      </c>
      <c r="M798" s="6" t="str">
        <f ca="1">IFERROR(__xludf.DUMMYFUNCTION("""COMPUTED_VALUE"""),"03 ORL")</f>
        <v>03 ORL</v>
      </c>
      <c r="N798" s="6" t="str">
        <f ca="1">IFERROR(__xludf.DUMMYFUNCTION("""COMPUTED_VALUE"""),"06 ORL")</f>
        <v>06 ORL</v>
      </c>
      <c r="O798" s="6" t="str">
        <f ca="1">IFERROR(__xludf.DUMMYFUNCTION("""COMPUTED_VALUE"""),"Dr, Javier Gavilanes Plasencia")</f>
        <v>Dr, Javier Gavilanes Plasencia</v>
      </c>
      <c r="P798" s="6" t="str">
        <f ca="1">IFERROR(__xludf.DUMMYFUNCTION("""COMPUTED_VALUE"""),"Maika Blázquez (Madrid)")</f>
        <v>Maika Blázquez (Madrid)</v>
      </c>
    </row>
    <row r="799" spans="2:16">
      <c r="B799" s="6">
        <f ca="1">IFERROR(__xludf.DUMMYFUNCTION("""COMPUTED_VALUE"""),2025)</f>
        <v>2025</v>
      </c>
      <c r="C799" s="6">
        <f ca="1">IFERROR(__xludf.DUMMYFUNCTION("""COMPUTED_VALUE"""),6)</f>
        <v>6</v>
      </c>
      <c r="D799" s="6" t="str">
        <f ca="1">IFERROR(__xludf.DUMMYFUNCTION("""COMPUTED_VALUE"""),"NO")</f>
        <v>NO</v>
      </c>
      <c r="E799" s="6" t="str">
        <f ca="1">IFERROR(__xludf.DUMMYFUNCTION("""COMPUTED_VALUE"""),"Madrid- Galileo")</f>
        <v>Madrid- Galileo</v>
      </c>
      <c r="F799" s="16">
        <f ca="1">IFERROR(__xludf.DUMMYFUNCTION("""COMPUTED_VALUE"""),45818)</f>
        <v>45818</v>
      </c>
      <c r="G799" s="16">
        <f ca="1">IFERROR(__xludf.DUMMYFUNCTION("""COMPUTED_VALUE"""),45785)</f>
        <v>45785</v>
      </c>
      <c r="H799" s="6" t="str">
        <f ca="1">IFERROR(__xludf.DUMMYFUNCTION("""COMPUTED_VALUE"""),"Moncloa")</f>
        <v>Moncloa</v>
      </c>
      <c r="I799" s="6" t="str">
        <f ca="1">IFERROR(__xludf.DUMMYFUNCTION("""COMPUTED_VALUE"""),"C202558134413505")</f>
        <v>C202558134413505</v>
      </c>
      <c r="J799" s="6" t="str">
        <f ca="1">IFERROR(__xludf.DUMMYFUNCTION("""COMPUTED_VALUE"""),"GIUSEPPE LA ROSA NATIVO")</f>
        <v>GIUSEPPE LA ROSA NATIVO</v>
      </c>
      <c r="K799" s="6">
        <f ca="1">IFERROR(__xludf.DUMMYFUNCTION("""COMPUTED_VALUE"""),2)</f>
        <v>2</v>
      </c>
      <c r="L799" s="139">
        <f ca="1">IFERROR(__xludf.DUMMYFUNCTION("""COMPUTED_VALUE"""),3524.5)</f>
        <v>3524.5</v>
      </c>
      <c r="M799" s="6" t="str">
        <f ca="1">IFERROR(__xludf.DUMMYFUNCTION("""COMPUTED_VALUE"""),"03 ORL")</f>
        <v>03 ORL</v>
      </c>
      <c r="N799" s="6" t="str">
        <f ca="1">IFERROR(__xludf.DUMMYFUNCTION("""COMPUTED_VALUE"""),"06 ORL")</f>
        <v>06 ORL</v>
      </c>
      <c r="O799" s="6" t="str">
        <f ca="1">IFERROR(__xludf.DUMMYFUNCTION("""COMPUTED_VALUE"""),"Dr, Ivan Mendez- Benegassi Silva")</f>
        <v>Dr, Ivan Mendez- Benegassi Silva</v>
      </c>
      <c r="P799" s="6" t="str">
        <f ca="1">IFERROR(__xludf.DUMMYFUNCTION("""COMPUTED_VALUE"""),"Maika Blázquez (Madrid)")</f>
        <v>Maika Blázquez (Madrid)</v>
      </c>
    </row>
    <row r="800" spans="2:16">
      <c r="B800" s="6">
        <f ca="1">IFERROR(__xludf.DUMMYFUNCTION("""COMPUTED_VALUE"""),2025)</f>
        <v>2025</v>
      </c>
      <c r="C800" s="6">
        <f ca="1">IFERROR(__xludf.DUMMYFUNCTION("""COMPUTED_VALUE"""),6)</f>
        <v>6</v>
      </c>
      <c r="D800" s="6" t="str">
        <f ca="1">IFERROR(__xludf.DUMMYFUNCTION("""COMPUTED_VALUE"""),"NO")</f>
        <v>NO</v>
      </c>
      <c r="E800" s="6" t="str">
        <f ca="1">IFERROR(__xludf.DUMMYFUNCTION("""COMPUTED_VALUE"""),"Madrid- Galileo")</f>
        <v>Madrid- Galileo</v>
      </c>
      <c r="F800" s="16">
        <f ca="1">IFERROR(__xludf.DUMMYFUNCTION("""COMPUTED_VALUE"""),45834)</f>
        <v>45834</v>
      </c>
      <c r="G800" s="16">
        <f ca="1">IFERROR(__xludf.DUMMYFUNCTION("""COMPUTED_VALUE"""),45786)</f>
        <v>45786</v>
      </c>
      <c r="H800" s="6" t="str">
        <f ca="1">IFERROR(__xludf.DUMMYFUNCTION("""COMPUTED_VALUE"""),"Moncloa")</f>
        <v>Moncloa</v>
      </c>
      <c r="I800" s="6" t="str">
        <f ca="1">IFERROR(__xludf.DUMMYFUNCTION("""COMPUTED_VALUE"""),"C202551310566282")</f>
        <v>C202551310566282</v>
      </c>
      <c r="J800" s="6" t="str">
        <f ca="1">IFERROR(__xludf.DUMMYFUNCTION("""COMPUTED_VALUE"""),"MARIA DEL CARMEN RUEDA OLIVA")</f>
        <v>MARIA DEL CARMEN RUEDA OLIVA</v>
      </c>
      <c r="K800" s="6">
        <f ca="1">IFERROR(__xludf.DUMMYFUNCTION("""COMPUTED_VALUE"""),3)</f>
        <v>3</v>
      </c>
      <c r="L800" s="139">
        <f ca="1">IFERROR(__xludf.DUMMYFUNCTION("""COMPUTED_VALUE"""),4569.32)</f>
        <v>4569.32</v>
      </c>
      <c r="M800" s="6" t="str">
        <f ca="1">IFERROR(__xludf.DUMMYFUNCTION("""COMPUTED_VALUE"""),"03 ORL")</f>
        <v>03 ORL</v>
      </c>
      <c r="N800" s="6" t="str">
        <f ca="1">IFERROR(__xludf.DUMMYFUNCTION("""COMPUTED_VALUE"""),"06 ORL")</f>
        <v>06 ORL</v>
      </c>
      <c r="O800" s="6" t="str">
        <f ca="1">IFERROR(__xludf.DUMMYFUNCTION("""COMPUTED_VALUE"""),"Dr, Antonio Rodríguez Rivero")</f>
        <v>Dr, Antonio Rodríguez Rivero</v>
      </c>
      <c r="P800" s="6" t="str">
        <f ca="1">IFERROR(__xludf.DUMMYFUNCTION("""COMPUTED_VALUE"""),"Maika Blázquez (Madrid)")</f>
        <v>Maika Blázquez (Madrid)</v>
      </c>
    </row>
    <row r="801" spans="2:16">
      <c r="B801" s="6">
        <f ca="1">IFERROR(__xludf.DUMMYFUNCTION("""COMPUTED_VALUE"""),2025)</f>
        <v>2025</v>
      </c>
      <c r="C801" s="6">
        <f ca="1">IFERROR(__xludf.DUMMYFUNCTION("""COMPUTED_VALUE"""),6)</f>
        <v>6</v>
      </c>
      <c r="D801" s="6" t="str">
        <f ca="1">IFERROR(__xludf.DUMMYFUNCTION("""COMPUTED_VALUE"""),"NO")</f>
        <v>NO</v>
      </c>
      <c r="E801" s="6" t="str">
        <f ca="1">IFERROR(__xludf.DUMMYFUNCTION("""COMPUTED_VALUE"""),"Madrid- Galileo")</f>
        <v>Madrid- Galileo</v>
      </c>
      <c r="F801" s="16">
        <f ca="1">IFERROR(__xludf.DUMMYFUNCTION("""COMPUTED_VALUE"""),45835)</f>
        <v>45835</v>
      </c>
      <c r="G801" s="16">
        <f ca="1">IFERROR(__xludf.DUMMYFUNCTION("""COMPUTED_VALUE"""),45784)</f>
        <v>45784</v>
      </c>
      <c r="H801" s="6" t="str">
        <f ca="1">IFERROR(__xludf.DUMMYFUNCTION("""COMPUTED_VALUE"""),"Moncloa")</f>
        <v>Moncloa</v>
      </c>
      <c r="I801" s="6" t="str">
        <f ca="1">IFERROR(__xludf.DUMMYFUNCTION("""COMPUTED_VALUE"""),"C202551316619674")</f>
        <v>C202551316619674</v>
      </c>
      <c r="J801" s="6" t="str">
        <f ca="1">IFERROR(__xludf.DUMMYFUNCTION("""COMPUTED_VALUE"""),"MARIAN ELISABET MACCOLL SPROULE")</f>
        <v>MARIAN ELISABET MACCOLL SPROULE</v>
      </c>
      <c r="K801" s="6">
        <f ca="1">IFERROR(__xludf.DUMMYFUNCTION("""COMPUTED_VALUE"""),2)</f>
        <v>2</v>
      </c>
      <c r="L801" s="139">
        <f ca="1">IFERROR(__xludf.DUMMYFUNCTION("""COMPUTED_VALUE"""),3800)</f>
        <v>3800</v>
      </c>
      <c r="M801" s="6" t="str">
        <f ca="1">IFERROR(__xludf.DUMMYFUNCTION("""COMPUTED_VALUE"""),"03 ORL")</f>
        <v>03 ORL</v>
      </c>
      <c r="N801" s="6" t="str">
        <f ca="1">IFERROR(__xludf.DUMMYFUNCTION("""COMPUTED_VALUE"""),"06 ORL")</f>
        <v>06 ORL</v>
      </c>
      <c r="O801" s="6" t="str">
        <f ca="1">IFERROR(__xludf.DUMMYFUNCTION("""COMPUTED_VALUE"""),"Dra, Marta Chaurre Cordero")</f>
        <v>Dra, Marta Chaurre Cordero</v>
      </c>
      <c r="P801" s="6" t="str">
        <f ca="1">IFERROR(__xludf.DUMMYFUNCTION("""COMPUTED_VALUE"""),"Maika Blázquez (Madrid)")</f>
        <v>Maika Blázquez (Madrid)</v>
      </c>
    </row>
    <row r="802" spans="2:16">
      <c r="B802" s="6">
        <f ca="1">IFERROR(__xludf.DUMMYFUNCTION("""COMPUTED_VALUE"""),2025)</f>
        <v>2025</v>
      </c>
      <c r="C802" s="6">
        <f ca="1">IFERROR(__xludf.DUMMYFUNCTION("""COMPUTED_VALUE"""),6)</f>
        <v>6</v>
      </c>
      <c r="D802" s="6" t="str">
        <f ca="1">IFERROR(__xludf.DUMMYFUNCTION("""COMPUTED_VALUE"""),"NO")</f>
        <v>NO</v>
      </c>
      <c r="E802" s="6" t="str">
        <f ca="1">IFERROR(__xludf.DUMMYFUNCTION("""COMPUTED_VALUE"""),"Madrid- Juan Bravo")</f>
        <v>Madrid- Juan Bravo</v>
      </c>
      <c r="F802" s="16">
        <f ca="1">IFERROR(__xludf.DUMMYFUNCTION("""COMPUTED_VALUE"""),45838)</f>
        <v>45838</v>
      </c>
      <c r="G802" s="16">
        <f ca="1">IFERROR(__xludf.DUMMYFUNCTION("""COMPUTED_VALUE"""),45810)</f>
        <v>45810</v>
      </c>
      <c r="H802" s="6" t="str">
        <f ca="1">IFERROR(__xludf.DUMMYFUNCTION("""COMPUTED_VALUE"""),"Juan Bravo")</f>
        <v>Juan Bravo</v>
      </c>
      <c r="I802" s="6" t="str">
        <f ca="1">IFERROR(__xludf.DUMMYFUNCTION("""COMPUTED_VALUE"""),"C202563103728804")</f>
        <v>C202563103728804</v>
      </c>
      <c r="J802" s="6" t="str">
        <f ca="1">IFERROR(__xludf.DUMMYFUNCTION("""COMPUTED_VALUE"""),"ANGEL LUIS MARTINEZ SANCHEZ")</f>
        <v>ANGEL LUIS MARTINEZ SANCHEZ</v>
      </c>
      <c r="K802" s="6">
        <f ca="1">IFERROR(__xludf.DUMMYFUNCTION("""COMPUTED_VALUE"""),2)</f>
        <v>2</v>
      </c>
      <c r="L802" s="139">
        <f ca="1">IFERROR(__xludf.DUMMYFUNCTION("""COMPUTED_VALUE"""),3800)</f>
        <v>3800</v>
      </c>
      <c r="M802" s="6" t="str">
        <f ca="1">IFERROR(__xludf.DUMMYFUNCTION("""COMPUTED_VALUE"""),"03 ORL")</f>
        <v>03 ORL</v>
      </c>
      <c r="N802" s="6" t="str">
        <f ca="1">IFERROR(__xludf.DUMMYFUNCTION("""COMPUTED_VALUE"""),"06 ORL")</f>
        <v>06 ORL</v>
      </c>
      <c r="O802" s="6" t="str">
        <f ca="1">IFERROR(__xludf.DUMMYFUNCTION("""COMPUTED_VALUE"""),"Dr, Carlos Barajas del Rosal")</f>
        <v>Dr, Carlos Barajas del Rosal</v>
      </c>
      <c r="P802" s="6" t="str">
        <f ca="1">IFERROR(__xludf.DUMMYFUNCTION("""COMPUTED_VALUE"""),"Lisandro Russian (Madrid, Cáceres, Toledo, Talavera Y Logroño)")</f>
        <v>Lisandro Russian (Madrid, Cáceres, Toledo, Talavera Y Logroño)</v>
      </c>
    </row>
    <row r="803" spans="2:16">
      <c r="B803" s="6">
        <f ca="1">IFERROR(__xludf.DUMMYFUNCTION("""COMPUTED_VALUE"""),2025)</f>
        <v>2025</v>
      </c>
      <c r="C803" s="6">
        <f ca="1">IFERROR(__xludf.DUMMYFUNCTION("""COMPUTED_VALUE"""),6)</f>
        <v>6</v>
      </c>
      <c r="D803" s="6" t="str">
        <f ca="1">IFERROR(__xludf.DUMMYFUNCTION("""COMPUTED_VALUE"""),"NO")</f>
        <v>NO</v>
      </c>
      <c r="E803" s="6" t="str">
        <f ca="1">IFERROR(__xludf.DUMMYFUNCTION("""COMPUTED_VALUE"""),"Madrid- Juan Bravo")</f>
        <v>Madrid- Juan Bravo</v>
      </c>
      <c r="F803" s="16">
        <f ca="1">IFERROR(__xludf.DUMMYFUNCTION("""COMPUTED_VALUE"""),45834)</f>
        <v>45834</v>
      </c>
      <c r="G803" s="16">
        <f ca="1">IFERROR(__xludf.DUMMYFUNCTION("""COMPUTED_VALUE"""),45791)</f>
        <v>45791</v>
      </c>
      <c r="H803" s="6" t="str">
        <f ca="1">IFERROR(__xludf.DUMMYFUNCTION("""COMPUTED_VALUE"""),"Juan Bravo")</f>
        <v>Juan Bravo</v>
      </c>
      <c r="I803" s="6" t="str">
        <f ca="1">IFERROR(__xludf.DUMMYFUNCTION("""COMPUTED_VALUE"""),"C2025520122652900")</f>
        <v>C2025520122652900</v>
      </c>
      <c r="J803" s="6" t="str">
        <f ca="1">IFERROR(__xludf.DUMMYFUNCTION("""COMPUTED_VALUE"""),"ANTONIO JESUS VALENZUELA VERA")</f>
        <v>ANTONIO JESUS VALENZUELA VERA</v>
      </c>
      <c r="K803" s="6">
        <f ca="1">IFERROR(__xludf.DUMMYFUNCTION("""COMPUTED_VALUE"""),2)</f>
        <v>2</v>
      </c>
      <c r="L803" s="139">
        <f ca="1">IFERROR(__xludf.DUMMYFUNCTION("""COMPUTED_VALUE"""),4000)</f>
        <v>4000</v>
      </c>
      <c r="M803" s="6" t="str">
        <f ca="1">IFERROR(__xludf.DUMMYFUNCTION("""COMPUTED_VALUE"""),"03 ORL")</f>
        <v>03 ORL</v>
      </c>
      <c r="N803" s="6" t="str">
        <f ca="1">IFERROR(__xludf.DUMMYFUNCTION("""COMPUTED_VALUE"""),"06 ORL")</f>
        <v>06 ORL</v>
      </c>
      <c r="O803" s="6" t="str">
        <f ca="1">IFERROR(__xludf.DUMMYFUNCTION("""COMPUTED_VALUE"""),"Dr, Julio López Moya")</f>
        <v>Dr, Julio López Moya</v>
      </c>
      <c r="P803" s="6" t="str">
        <f ca="1">IFERROR(__xludf.DUMMYFUNCTION("""COMPUTED_VALUE"""),"Maika Blázquez (Madrid)")</f>
        <v>Maika Blázquez (Madrid)</v>
      </c>
    </row>
    <row r="804" spans="2:16">
      <c r="B804" s="6">
        <f ca="1">IFERROR(__xludf.DUMMYFUNCTION("""COMPUTED_VALUE"""),2025)</f>
        <v>2025</v>
      </c>
      <c r="C804" s="6">
        <f ca="1">IFERROR(__xludf.DUMMYFUNCTION("""COMPUTED_VALUE"""),6)</f>
        <v>6</v>
      </c>
      <c r="D804" s="6" t="str">
        <f ca="1">IFERROR(__xludf.DUMMYFUNCTION("""COMPUTED_VALUE"""),"NO")</f>
        <v>NO</v>
      </c>
      <c r="E804" s="6" t="str">
        <f ca="1">IFERROR(__xludf.DUMMYFUNCTION("""COMPUTED_VALUE"""),"Madrid- Juan Bravo")</f>
        <v>Madrid- Juan Bravo</v>
      </c>
      <c r="F804" s="16">
        <f ca="1">IFERROR(__xludf.DUMMYFUNCTION("""COMPUTED_VALUE"""),45826)</f>
        <v>45826</v>
      </c>
      <c r="G804" s="16">
        <f ca="1">IFERROR(__xludf.DUMMYFUNCTION("""COMPUTED_VALUE"""),45793)</f>
        <v>45793</v>
      </c>
      <c r="H804" s="6" t="str">
        <f ca="1">IFERROR(__xludf.DUMMYFUNCTION("""COMPUTED_VALUE"""),"Juan Bravo")</f>
        <v>Juan Bravo</v>
      </c>
      <c r="I804" s="6" t="str">
        <f ca="1">IFERROR(__xludf.DUMMYFUNCTION("""COMPUTED_VALUE"""),"C20255221010110")</f>
        <v>C20255221010110</v>
      </c>
      <c r="J804" s="6" t="str">
        <f ca="1">IFERROR(__xludf.DUMMYFUNCTION("""COMPUTED_VALUE"""),"BEGOÑA  SERRANO MAÑUECO")</f>
        <v>BEGOÑA  SERRANO MAÑUECO</v>
      </c>
      <c r="K804" s="6">
        <f ca="1">IFERROR(__xludf.DUMMYFUNCTION("""COMPUTED_VALUE"""),2)</f>
        <v>2</v>
      </c>
      <c r="L804" s="139">
        <f ca="1">IFERROR(__xludf.DUMMYFUNCTION("""COMPUTED_VALUE"""),2888.18)</f>
        <v>2888.18</v>
      </c>
      <c r="M804" s="6" t="str">
        <f ca="1">IFERROR(__xludf.DUMMYFUNCTION("""COMPUTED_VALUE"""),"03 ORL")</f>
        <v>03 ORL</v>
      </c>
      <c r="N804" s="6" t="str">
        <f ca="1">IFERROR(__xludf.DUMMYFUNCTION("""COMPUTED_VALUE"""),"06 ORL")</f>
        <v>06 ORL</v>
      </c>
      <c r="O804" s="6" t="str">
        <f ca="1">IFERROR(__xludf.DUMMYFUNCTION("""COMPUTED_VALUE"""),"Dr, Esteban Scola Pliego")</f>
        <v>Dr, Esteban Scola Pliego</v>
      </c>
      <c r="P804" s="6" t="str">
        <f ca="1">IFERROR(__xludf.DUMMYFUNCTION("""COMPUTED_VALUE"""),"Maika Blázquez (Madrid)")</f>
        <v>Maika Blázquez (Madrid)</v>
      </c>
    </row>
    <row r="805" spans="2:16">
      <c r="B805" s="6">
        <f ca="1">IFERROR(__xludf.DUMMYFUNCTION("""COMPUTED_VALUE"""),2025)</f>
        <v>2025</v>
      </c>
      <c r="C805" s="6">
        <f ca="1">IFERROR(__xludf.DUMMYFUNCTION("""COMPUTED_VALUE"""),6)</f>
        <v>6</v>
      </c>
      <c r="D805" s="6" t="str">
        <f ca="1">IFERROR(__xludf.DUMMYFUNCTION("""COMPUTED_VALUE"""),"NO")</f>
        <v>NO</v>
      </c>
      <c r="E805" s="6" t="str">
        <f ca="1">IFERROR(__xludf.DUMMYFUNCTION("""COMPUTED_VALUE"""),"Madrid- Juan Bravo")</f>
        <v>Madrid- Juan Bravo</v>
      </c>
      <c r="F805" s="16">
        <f ca="1">IFERROR(__xludf.DUMMYFUNCTION("""COMPUTED_VALUE"""),45834)</f>
        <v>45834</v>
      </c>
      <c r="G805" s="16">
        <f ca="1">IFERROR(__xludf.DUMMYFUNCTION("""COMPUTED_VALUE"""),45806)</f>
        <v>45806</v>
      </c>
      <c r="H805" s="6" t="str">
        <f ca="1">IFERROR(__xludf.DUMMYFUNCTION("""COMPUTED_VALUE"""),"Juan Bravo")</f>
        <v>Juan Bravo</v>
      </c>
      <c r="I805" s="6" t="str">
        <f ca="1">IFERROR(__xludf.DUMMYFUNCTION("""COMPUTED_VALUE"""),"C202562123823770")</f>
        <v>C202562123823770</v>
      </c>
      <c r="J805" s="6" t="str">
        <f ca="1">IFERROR(__xludf.DUMMYFUNCTION("""COMPUTED_VALUE"""),"CAYETANO DIAZ PEREZ")</f>
        <v>CAYETANO DIAZ PEREZ</v>
      </c>
      <c r="K805" s="6">
        <f ca="1">IFERROR(__xludf.DUMMYFUNCTION("""COMPUTED_VALUE"""),2)</f>
        <v>2</v>
      </c>
      <c r="L805" s="139">
        <f ca="1">IFERROR(__xludf.DUMMYFUNCTION("""COMPUTED_VALUE"""),3800)</f>
        <v>3800</v>
      </c>
      <c r="M805" s="6" t="str">
        <f ca="1">IFERROR(__xludf.DUMMYFUNCTION("""COMPUTED_VALUE"""),"03 ORL")</f>
        <v>03 ORL</v>
      </c>
      <c r="N805" s="6" t="str">
        <f ca="1">IFERROR(__xludf.DUMMYFUNCTION("""COMPUTED_VALUE"""),"06 ORL")</f>
        <v>06 ORL</v>
      </c>
      <c r="O805" s="6" t="str">
        <f ca="1">IFERROR(__xludf.DUMMYFUNCTION("""COMPUTED_VALUE"""),"Dr, Carlos Barajas del Rosal")</f>
        <v>Dr, Carlos Barajas del Rosal</v>
      </c>
      <c r="P805" s="6" t="str">
        <f ca="1">IFERROR(__xludf.DUMMYFUNCTION("""COMPUTED_VALUE"""),"Lisandro Russian (Madrid, Cáceres, Toledo, Talavera Y Logroño)")</f>
        <v>Lisandro Russian (Madrid, Cáceres, Toledo, Talavera Y Logroño)</v>
      </c>
    </row>
    <row r="806" spans="2:16">
      <c r="B806" s="6">
        <f ca="1">IFERROR(__xludf.DUMMYFUNCTION("""COMPUTED_VALUE"""),2025)</f>
        <v>2025</v>
      </c>
      <c r="C806" s="6">
        <f ca="1">IFERROR(__xludf.DUMMYFUNCTION("""COMPUTED_VALUE"""),6)</f>
        <v>6</v>
      </c>
      <c r="D806" s="6" t="str">
        <f ca="1">IFERROR(__xludf.DUMMYFUNCTION("""COMPUTED_VALUE"""),"NO")</f>
        <v>NO</v>
      </c>
      <c r="E806" s="6" t="str">
        <f ca="1">IFERROR(__xludf.DUMMYFUNCTION("""COMPUTED_VALUE"""),"Madrid- Juan Bravo")</f>
        <v>Madrid- Juan Bravo</v>
      </c>
      <c r="F806" s="16">
        <f ca="1">IFERROR(__xludf.DUMMYFUNCTION("""COMPUTED_VALUE"""),45812)</f>
        <v>45812</v>
      </c>
      <c r="G806" s="16">
        <f ca="1">IFERROR(__xludf.DUMMYFUNCTION("""COMPUTED_VALUE"""),45784)</f>
        <v>45784</v>
      </c>
      <c r="H806" s="6" t="str">
        <f ca="1">IFERROR(__xludf.DUMMYFUNCTION("""COMPUTED_VALUE"""),"Juan Bravo")</f>
        <v>Juan Bravo</v>
      </c>
      <c r="I806" s="6" t="str">
        <f ca="1">IFERROR(__xludf.DUMMYFUNCTION("""COMPUTED_VALUE"""),"C202559121458851")</f>
        <v>C202559121458851</v>
      </c>
      <c r="J806" s="6" t="str">
        <f ca="1">IFERROR(__xludf.DUMMYFUNCTION("""COMPUTED_VALUE"""),"JOSE LUIS  GUERRERO ESTEBANEZ")</f>
        <v>JOSE LUIS  GUERRERO ESTEBANEZ</v>
      </c>
      <c r="K806" s="6">
        <f ca="1">IFERROR(__xludf.DUMMYFUNCTION("""COMPUTED_VALUE"""),2)</f>
        <v>2</v>
      </c>
      <c r="L806" s="139">
        <f ca="1">IFERROR(__xludf.DUMMYFUNCTION("""COMPUTED_VALUE"""),4000)</f>
        <v>4000</v>
      </c>
      <c r="M806" s="6" t="str">
        <f ca="1">IFERROR(__xludf.DUMMYFUNCTION("""COMPUTED_VALUE"""),"03 ORL")</f>
        <v>03 ORL</v>
      </c>
      <c r="N806" s="6" t="str">
        <f ca="1">IFERROR(__xludf.DUMMYFUNCTION("""COMPUTED_VALUE"""),"06 ORL")</f>
        <v>06 ORL</v>
      </c>
      <c r="O806" s="6" t="str">
        <f ca="1">IFERROR(__xludf.DUMMYFUNCTION("""COMPUTED_VALUE"""),"Dr, Carlos Barajas del Rosal")</f>
        <v>Dr, Carlos Barajas del Rosal</v>
      </c>
      <c r="P806" s="6" t="str">
        <f ca="1">IFERROR(__xludf.DUMMYFUNCTION("""COMPUTED_VALUE"""),"Lisandro Russian (Madrid, Cáceres, Toledo, Talavera Y Logroño)")</f>
        <v>Lisandro Russian (Madrid, Cáceres, Toledo, Talavera Y Logroño)</v>
      </c>
    </row>
    <row r="807" spans="2:16">
      <c r="B807" s="6">
        <f ca="1">IFERROR(__xludf.DUMMYFUNCTION("""COMPUTED_VALUE"""),2025)</f>
        <v>2025</v>
      </c>
      <c r="C807" s="6">
        <f ca="1">IFERROR(__xludf.DUMMYFUNCTION("""COMPUTED_VALUE"""),6)</f>
        <v>6</v>
      </c>
      <c r="D807" s="6" t="str">
        <f ca="1">IFERROR(__xludf.DUMMYFUNCTION("""COMPUTED_VALUE"""),"NO")</f>
        <v>NO</v>
      </c>
      <c r="E807" s="6" t="str">
        <f ca="1">IFERROR(__xludf.DUMMYFUNCTION("""COMPUTED_VALUE"""),"Madrid- Juan Bravo")</f>
        <v>Madrid- Juan Bravo</v>
      </c>
      <c r="F807" s="16">
        <f ca="1">IFERROR(__xludf.DUMMYFUNCTION("""COMPUTED_VALUE"""),45820)</f>
        <v>45820</v>
      </c>
      <c r="G807" s="16">
        <f ca="1">IFERROR(__xludf.DUMMYFUNCTION("""COMPUTED_VALUE"""),45789)</f>
        <v>45789</v>
      </c>
      <c r="H807" s="6" t="str">
        <f ca="1">IFERROR(__xludf.DUMMYFUNCTION("""COMPUTED_VALUE"""),"Juan Bravo")</f>
        <v>Juan Bravo</v>
      </c>
      <c r="I807" s="6" t="str">
        <f ca="1">IFERROR(__xludf.DUMMYFUNCTION("""COMPUTED_VALUE"""),"C2025521172440486")</f>
        <v>C2025521172440486</v>
      </c>
      <c r="J807" s="6" t="str">
        <f ca="1">IFERROR(__xludf.DUMMYFUNCTION("""COMPUTED_VALUE"""),"JUAN MANUEL LOPEZ MOMPEÁN")</f>
        <v>JUAN MANUEL LOPEZ MOMPEÁN</v>
      </c>
      <c r="K807" s="6">
        <f ca="1">IFERROR(__xludf.DUMMYFUNCTION("""COMPUTED_VALUE"""),2)</f>
        <v>2</v>
      </c>
      <c r="L807" s="139">
        <f ca="1">IFERROR(__xludf.DUMMYFUNCTION("""COMPUTED_VALUE"""),3800)</f>
        <v>3800</v>
      </c>
      <c r="M807" s="6" t="str">
        <f ca="1">IFERROR(__xludf.DUMMYFUNCTION("""COMPUTED_VALUE"""),"03 ORL")</f>
        <v>03 ORL</v>
      </c>
      <c r="N807" s="6" t="str">
        <f ca="1">IFERROR(__xludf.DUMMYFUNCTION("""COMPUTED_VALUE"""),"06 ORL")</f>
        <v>06 ORL</v>
      </c>
      <c r="O807" s="6" t="str">
        <f ca="1">IFERROR(__xludf.DUMMYFUNCTION("""COMPUTED_VALUE"""),"Dr, Carlos Barajas del Rosal")</f>
        <v>Dr, Carlos Barajas del Rosal</v>
      </c>
      <c r="P807" s="6" t="str">
        <f ca="1">IFERROR(__xludf.DUMMYFUNCTION("""COMPUTED_VALUE"""),"Lisandro Russian (Madrid, Cáceres, Toledo, Talavera Y Logroño)")</f>
        <v>Lisandro Russian (Madrid, Cáceres, Toledo, Talavera Y Logroño)</v>
      </c>
    </row>
    <row r="808" spans="2:16">
      <c r="B808" s="6">
        <f ca="1">IFERROR(__xludf.DUMMYFUNCTION("""COMPUTED_VALUE"""),2025)</f>
        <v>2025</v>
      </c>
      <c r="C808" s="6">
        <f ca="1">IFERROR(__xludf.DUMMYFUNCTION("""COMPUTED_VALUE"""),6)</f>
        <v>6</v>
      </c>
      <c r="D808" s="6" t="str">
        <f ca="1">IFERROR(__xludf.DUMMYFUNCTION("""COMPUTED_VALUE"""),"NO")</f>
        <v>NO</v>
      </c>
      <c r="E808" s="6" t="str">
        <f ca="1">IFERROR(__xludf.DUMMYFUNCTION("""COMPUTED_VALUE"""),"Madrid- La Oca")</f>
        <v>Madrid- La Oca</v>
      </c>
      <c r="F808" s="16">
        <f ca="1">IFERROR(__xludf.DUMMYFUNCTION("""COMPUTED_VALUE"""),45821)</f>
        <v>45821</v>
      </c>
      <c r="G808" s="16">
        <f ca="1">IFERROR(__xludf.DUMMYFUNCTION("""COMPUTED_VALUE"""),45800)</f>
        <v>45800</v>
      </c>
      <c r="H808" s="6" t="str">
        <f ca="1">IFERROR(__xludf.DUMMYFUNCTION("""COMPUTED_VALUE"""),"La Oca")</f>
        <v>La Oca</v>
      </c>
      <c r="I808" s="6" t="str">
        <f ca="1">IFERROR(__xludf.DUMMYFUNCTION("""COMPUTED_VALUE"""),"C2025523111220757")</f>
        <v>C2025523111220757</v>
      </c>
      <c r="J808" s="6" t="str">
        <f ca="1">IFERROR(__xludf.DUMMYFUNCTION("""COMPUTED_VALUE"""),"AMPARO MARTIN GONZALEZ")</f>
        <v>AMPARO MARTIN GONZALEZ</v>
      </c>
      <c r="K808" s="6">
        <f ca="1">IFERROR(__xludf.DUMMYFUNCTION("""COMPUTED_VALUE"""),2)</f>
        <v>2</v>
      </c>
      <c r="L808" s="139">
        <f ca="1">IFERROR(__xludf.DUMMYFUNCTION("""COMPUTED_VALUE"""),3710)</f>
        <v>3710</v>
      </c>
      <c r="M808" s="6" t="str">
        <f ca="1">IFERROR(__xludf.DUMMYFUNCTION("""COMPUTED_VALUE"""),"03 ORL")</f>
        <v>03 ORL</v>
      </c>
      <c r="N808" s="6" t="str">
        <f ca="1">IFERROR(__xludf.DUMMYFUNCTION("""COMPUTED_VALUE"""),"06 ORL")</f>
        <v>06 ORL</v>
      </c>
      <c r="O808" s="6" t="str">
        <f ca="1">IFERROR(__xludf.DUMMYFUNCTION("""COMPUTED_VALUE"""),"Dr, Eviatar Friedlander")</f>
        <v>Dr, Eviatar Friedlander</v>
      </c>
      <c r="P808" s="6" t="str">
        <f ca="1">IFERROR(__xludf.DUMMYFUNCTION("""COMPUTED_VALUE"""),"Maika Blázquez (Madrid)")</f>
        <v>Maika Blázquez (Madrid)</v>
      </c>
    </row>
    <row r="809" spans="2:16">
      <c r="B809" s="6">
        <f ca="1">IFERROR(__xludf.DUMMYFUNCTION("""COMPUTED_VALUE"""),2025)</f>
        <v>2025</v>
      </c>
      <c r="C809" s="6">
        <f ca="1">IFERROR(__xludf.DUMMYFUNCTION("""COMPUTED_VALUE"""),6)</f>
        <v>6</v>
      </c>
      <c r="D809" s="6" t="str">
        <f ca="1">IFERROR(__xludf.DUMMYFUNCTION("""COMPUTED_VALUE"""),"NO")</f>
        <v>NO</v>
      </c>
      <c r="E809" s="6" t="str">
        <f ca="1">IFERROR(__xludf.DUMMYFUNCTION("""COMPUTED_VALUE"""),"Madrid- La Oca")</f>
        <v>Madrid- La Oca</v>
      </c>
      <c r="F809" s="16">
        <f ca="1">IFERROR(__xludf.DUMMYFUNCTION("""COMPUTED_VALUE"""),45827)</f>
        <v>45827</v>
      </c>
      <c r="G809" s="16">
        <f ca="1">IFERROR(__xludf.DUMMYFUNCTION("""COMPUTED_VALUE"""),45790)</f>
        <v>45790</v>
      </c>
      <c r="H809" s="6" t="str">
        <f ca="1">IFERROR(__xludf.DUMMYFUNCTION("""COMPUTED_VALUE"""),"La Oca")</f>
        <v>La Oca</v>
      </c>
      <c r="I809" s="6" t="str">
        <f ca="1">IFERROR(__xludf.DUMMYFUNCTION("""COMPUTED_VALUE"""),"C2025516113440280")</f>
        <v>C2025516113440280</v>
      </c>
      <c r="J809" s="6" t="str">
        <f ca="1">IFERROR(__xludf.DUMMYFUNCTION("""COMPUTED_VALUE"""),"CATALINA BALLESTEROS DE ANA")</f>
        <v>CATALINA BALLESTEROS DE ANA</v>
      </c>
      <c r="K809" s="6">
        <f ca="1">IFERROR(__xludf.DUMMYFUNCTION("""COMPUTED_VALUE"""),1)</f>
        <v>1</v>
      </c>
      <c r="L809" s="139">
        <f ca="1">IFERROR(__xludf.DUMMYFUNCTION("""COMPUTED_VALUE"""),1732.73)</f>
        <v>1732.73</v>
      </c>
      <c r="M809" s="6" t="str">
        <f ca="1">IFERROR(__xludf.DUMMYFUNCTION("""COMPUTED_VALUE"""),"03 ORL")</f>
        <v>03 ORL</v>
      </c>
      <c r="N809" s="6" t="str">
        <f ca="1">IFERROR(__xludf.DUMMYFUNCTION("""COMPUTED_VALUE"""),"06 ORL")</f>
        <v>06 ORL</v>
      </c>
      <c r="O809" s="6" t="str">
        <f ca="1">IFERROR(__xludf.DUMMYFUNCTION("""COMPUTED_VALUE"""),"Dra, Inmaculada Sancho Martín")</f>
        <v>Dra, Inmaculada Sancho Martín</v>
      </c>
      <c r="P809" s="6" t="str">
        <f ca="1">IFERROR(__xludf.DUMMYFUNCTION("""COMPUTED_VALUE"""),"Maika Blázquez (Madrid)")</f>
        <v>Maika Blázquez (Madrid)</v>
      </c>
    </row>
    <row r="810" spans="2:16">
      <c r="B810" s="6">
        <f ca="1">IFERROR(__xludf.DUMMYFUNCTION("""COMPUTED_VALUE"""),2025)</f>
        <v>2025</v>
      </c>
      <c r="C810" s="6">
        <f ca="1">IFERROR(__xludf.DUMMYFUNCTION("""COMPUTED_VALUE"""),6)</f>
        <v>6</v>
      </c>
      <c r="D810" s="6" t="str">
        <f ca="1">IFERROR(__xludf.DUMMYFUNCTION("""COMPUTED_VALUE"""),"NO")</f>
        <v>NO</v>
      </c>
      <c r="E810" s="6" t="str">
        <f ca="1">IFERROR(__xludf.DUMMYFUNCTION("""COMPUTED_VALUE"""),"Madrid- La Oca")</f>
        <v>Madrid- La Oca</v>
      </c>
      <c r="F810" s="16">
        <f ca="1">IFERROR(__xludf.DUMMYFUNCTION("""COMPUTED_VALUE"""),45819)</f>
        <v>45819</v>
      </c>
      <c r="G810" s="16">
        <f ca="1">IFERROR(__xludf.DUMMYFUNCTION("""COMPUTED_VALUE"""),45790)</f>
        <v>45790</v>
      </c>
      <c r="H810" s="6" t="str">
        <f ca="1">IFERROR(__xludf.DUMMYFUNCTION("""COMPUTED_VALUE"""),"La Oca")</f>
        <v>La Oca</v>
      </c>
      <c r="I810" s="6" t="str">
        <f ca="1">IFERROR(__xludf.DUMMYFUNCTION("""COMPUTED_VALUE"""),"C2025516152429719")</f>
        <v>C2025516152429719</v>
      </c>
      <c r="J810" s="6" t="str">
        <f ca="1">IFERROR(__xludf.DUMMYFUNCTION("""COMPUTED_VALUE"""),"JUAN ANTONIO GUTIERREZ LOPEZ")</f>
        <v>JUAN ANTONIO GUTIERREZ LOPEZ</v>
      </c>
      <c r="K810" s="6">
        <f ca="1">IFERROR(__xludf.DUMMYFUNCTION("""COMPUTED_VALUE"""),2)</f>
        <v>2</v>
      </c>
      <c r="L810" s="139">
        <f ca="1">IFERROR(__xludf.DUMMYFUNCTION("""COMPUTED_VALUE"""),3710)</f>
        <v>3710</v>
      </c>
      <c r="M810" s="6" t="str">
        <f ca="1">IFERROR(__xludf.DUMMYFUNCTION("""COMPUTED_VALUE"""),"03 ORL")</f>
        <v>03 ORL</v>
      </c>
      <c r="N810" s="6" t="str">
        <f ca="1">IFERROR(__xludf.DUMMYFUNCTION("""COMPUTED_VALUE"""),"06 ORL")</f>
        <v>06 ORL</v>
      </c>
      <c r="O810" s="6" t="str">
        <f ca="1">IFERROR(__xludf.DUMMYFUNCTION("""COMPUTED_VALUE"""),"Dr, José Joaquín Gutiérrez Barquín")</f>
        <v>Dr, José Joaquín Gutiérrez Barquín</v>
      </c>
      <c r="P810" s="6" t="str">
        <f ca="1">IFERROR(__xludf.DUMMYFUNCTION("""COMPUTED_VALUE"""),"Maika Blázquez (Madrid)")</f>
        <v>Maika Blázquez (Madrid)</v>
      </c>
    </row>
    <row r="811" spans="2:16">
      <c r="B811" s="6">
        <f ca="1">IFERROR(__xludf.DUMMYFUNCTION("""COMPUTED_VALUE"""),2025)</f>
        <v>2025</v>
      </c>
      <c r="C811" s="6">
        <f ca="1">IFERROR(__xludf.DUMMYFUNCTION("""COMPUTED_VALUE"""),6)</f>
        <v>6</v>
      </c>
      <c r="D811" s="6" t="str">
        <f ca="1">IFERROR(__xludf.DUMMYFUNCTION("""COMPUTED_VALUE"""),"NO")</f>
        <v>NO</v>
      </c>
      <c r="E811" s="6" t="str">
        <f ca="1">IFERROR(__xludf.DUMMYFUNCTION("""COMPUTED_VALUE"""),"Madrid- La Oca")</f>
        <v>Madrid- La Oca</v>
      </c>
      <c r="F811" s="16">
        <f ca="1">IFERROR(__xludf.DUMMYFUNCTION("""COMPUTED_VALUE"""),45834)</f>
        <v>45834</v>
      </c>
      <c r="G811" s="16">
        <f ca="1">IFERROR(__xludf.DUMMYFUNCTION("""COMPUTED_VALUE"""),45821)</f>
        <v>45821</v>
      </c>
      <c r="H811" s="6" t="str">
        <f ca="1">IFERROR(__xludf.DUMMYFUNCTION("""COMPUTED_VALUE"""),"La Oca")</f>
        <v>La Oca</v>
      </c>
      <c r="I811" s="6" t="str">
        <f ca="1">IFERROR(__xludf.DUMMYFUNCTION("""COMPUTED_VALUE"""),"C2025618122949350")</f>
        <v>C2025618122949350</v>
      </c>
      <c r="J811" s="6" t="str">
        <f ca="1">IFERROR(__xludf.DUMMYFUNCTION("""COMPUTED_VALUE"""),"MONSERRAT LOPEZ CARRASCOSA")</f>
        <v>MONSERRAT LOPEZ CARRASCOSA</v>
      </c>
      <c r="K811" s="6">
        <f ca="1">IFERROR(__xludf.DUMMYFUNCTION("""COMPUTED_VALUE"""),2)</f>
        <v>2</v>
      </c>
      <c r="L811" s="139">
        <f ca="1">IFERROR(__xludf.DUMMYFUNCTION("""COMPUTED_VALUE"""),3710)</f>
        <v>3710</v>
      </c>
      <c r="M811" s="6" t="str">
        <f ca="1">IFERROR(__xludf.DUMMYFUNCTION("""COMPUTED_VALUE"""),"03 ORL")</f>
        <v>03 ORL</v>
      </c>
      <c r="N811" s="6" t="str">
        <f ca="1">IFERROR(__xludf.DUMMYFUNCTION("""COMPUTED_VALUE"""),"06 ORL")</f>
        <v>06 ORL</v>
      </c>
      <c r="O811" s="6" t="str">
        <f ca="1">IFERROR(__xludf.DUMMYFUNCTION("""COMPUTED_VALUE"""),"Dra, Cristina Povedano Fernández")</f>
        <v>Dra, Cristina Povedano Fernández</v>
      </c>
      <c r="P811" s="6" t="str">
        <f ca="1">IFERROR(__xludf.DUMMYFUNCTION("""COMPUTED_VALUE"""),"Maika Blázquez (Madrid)")</f>
        <v>Maika Blázquez (Madrid)</v>
      </c>
    </row>
    <row r="812" spans="2:16">
      <c r="B812" s="6">
        <f ca="1">IFERROR(__xludf.DUMMYFUNCTION("""COMPUTED_VALUE"""),2025)</f>
        <v>2025</v>
      </c>
      <c r="C812" s="6">
        <f ca="1">IFERROR(__xludf.DUMMYFUNCTION("""COMPUTED_VALUE"""),6)</f>
        <v>6</v>
      </c>
      <c r="D812" s="6" t="str">
        <f ca="1">IFERROR(__xludf.DUMMYFUNCTION("""COMPUTED_VALUE"""),"NO")</f>
        <v>NO</v>
      </c>
      <c r="E812" s="6" t="str">
        <f ca="1">IFERROR(__xludf.DUMMYFUNCTION("""COMPUTED_VALUE"""),"Madrid- La Oca")</f>
        <v>Madrid- La Oca</v>
      </c>
      <c r="F812" s="16">
        <f ca="1">IFERROR(__xludf.DUMMYFUNCTION("""COMPUTED_VALUE"""),45834)</f>
        <v>45834</v>
      </c>
      <c r="G812" s="16">
        <f ca="1">IFERROR(__xludf.DUMMYFUNCTION("""COMPUTED_VALUE"""),45805)</f>
        <v>45805</v>
      </c>
      <c r="H812" s="6" t="str">
        <f ca="1">IFERROR(__xludf.DUMMYFUNCTION("""COMPUTED_VALUE"""),"La Oca")</f>
        <v>La Oca</v>
      </c>
      <c r="I812" s="6" t="str">
        <f ca="1">IFERROR(__xludf.DUMMYFUNCTION("""COMPUTED_VALUE"""),"C20255281831426")</f>
        <v>C20255281831426</v>
      </c>
      <c r="J812" s="6" t="str">
        <f ca="1">IFERROR(__xludf.DUMMYFUNCTION("""COMPUTED_VALUE"""),"NATIVIDAD SANCHO MALMIERCA")</f>
        <v>NATIVIDAD SANCHO MALMIERCA</v>
      </c>
      <c r="K812" s="6">
        <f ca="1">IFERROR(__xludf.DUMMYFUNCTION("""COMPUTED_VALUE"""),2)</f>
        <v>2</v>
      </c>
      <c r="L812" s="139">
        <f ca="1">IFERROR(__xludf.DUMMYFUNCTION("""COMPUTED_VALUE"""),3710)</f>
        <v>3710</v>
      </c>
      <c r="M812" s="6" t="str">
        <f ca="1">IFERROR(__xludf.DUMMYFUNCTION("""COMPUTED_VALUE"""),"03 ORL")</f>
        <v>03 ORL</v>
      </c>
      <c r="N812" s="6" t="str">
        <f ca="1">IFERROR(__xludf.DUMMYFUNCTION("""COMPUTED_VALUE"""),"06 ORL")</f>
        <v>06 ORL</v>
      </c>
      <c r="O812" s="6" t="str">
        <f ca="1">IFERROR(__xludf.DUMMYFUNCTION("""COMPUTED_VALUE"""),"Dr, Félix Rodríguez Paz")</f>
        <v>Dr, Félix Rodríguez Paz</v>
      </c>
      <c r="P812" s="6" t="str">
        <f ca="1">IFERROR(__xludf.DUMMYFUNCTION("""COMPUTED_VALUE"""),"Maika Blázquez (Madrid)")</f>
        <v>Maika Blázquez (Madrid)</v>
      </c>
    </row>
    <row r="813" spans="2:16">
      <c r="B813" s="6">
        <f ca="1">IFERROR(__xludf.DUMMYFUNCTION("""COMPUTED_VALUE"""),2025)</f>
        <v>2025</v>
      </c>
      <c r="C813" s="6">
        <f ca="1">IFERROR(__xludf.DUMMYFUNCTION("""COMPUTED_VALUE"""),6)</f>
        <v>6</v>
      </c>
      <c r="D813" s="6" t="str">
        <f ca="1">IFERROR(__xludf.DUMMYFUNCTION("""COMPUTED_VALUE"""),"NO")</f>
        <v>NO</v>
      </c>
      <c r="E813" s="6" t="str">
        <f ca="1">IFERROR(__xludf.DUMMYFUNCTION("""COMPUTED_VALUE"""),"Madrid- La Oca")</f>
        <v>Madrid- La Oca</v>
      </c>
      <c r="F813" s="16">
        <f ca="1">IFERROR(__xludf.DUMMYFUNCTION("""COMPUTED_VALUE"""),45819)</f>
        <v>45819</v>
      </c>
      <c r="G813" s="16">
        <f ca="1">IFERROR(__xludf.DUMMYFUNCTION("""COMPUTED_VALUE"""),45786)</f>
        <v>45786</v>
      </c>
      <c r="H813" s="6" t="str">
        <f ca="1">IFERROR(__xludf.DUMMYFUNCTION("""COMPUTED_VALUE"""),"La Oca")</f>
        <v>La Oca</v>
      </c>
      <c r="I813" s="6" t="str">
        <f ca="1">IFERROR(__xludf.DUMMYFUNCTION("""COMPUTED_VALUE"""),"C202559162443906")</f>
        <v>C202559162443906</v>
      </c>
      <c r="J813" s="6" t="str">
        <f ca="1">IFERROR(__xludf.DUMMYFUNCTION("""COMPUTED_VALUE"""),"SANTOS MORENO BLAZQUEZ")</f>
        <v>SANTOS MORENO BLAZQUEZ</v>
      </c>
      <c r="K813" s="6">
        <f ca="1">IFERROR(__xludf.DUMMYFUNCTION("""COMPUTED_VALUE"""),2)</f>
        <v>2</v>
      </c>
      <c r="L813" s="139">
        <f ca="1">IFERROR(__xludf.DUMMYFUNCTION("""COMPUTED_VALUE"""),3710)</f>
        <v>3710</v>
      </c>
      <c r="M813" s="6" t="str">
        <f ca="1">IFERROR(__xludf.DUMMYFUNCTION("""COMPUTED_VALUE"""),"03 ORL")</f>
        <v>03 ORL</v>
      </c>
      <c r="N813" s="6" t="str">
        <f ca="1">IFERROR(__xludf.DUMMYFUNCTION("""COMPUTED_VALUE"""),"06 ORL")</f>
        <v>06 ORL</v>
      </c>
      <c r="O813" s="6" t="str">
        <f ca="1">IFERROR(__xludf.DUMMYFUNCTION("""COMPUTED_VALUE"""),"Dr, Oscar A, Sánchez Valenzuela")</f>
        <v>Dr, Oscar A, Sánchez Valenzuela</v>
      </c>
      <c r="P813" s="6" t="str">
        <f ca="1">IFERROR(__xludf.DUMMYFUNCTION("""COMPUTED_VALUE"""),"Maika Blázquez (Madrid)")</f>
        <v>Maika Blázquez (Madrid)</v>
      </c>
    </row>
    <row r="814" spans="2:16">
      <c r="B814" s="6">
        <f ca="1">IFERROR(__xludf.DUMMYFUNCTION("""COMPUTED_VALUE"""),2025)</f>
        <v>2025</v>
      </c>
      <c r="C814" s="6">
        <f ca="1">IFERROR(__xludf.DUMMYFUNCTION("""COMPUTED_VALUE"""),6)</f>
        <v>6</v>
      </c>
      <c r="D814" s="6" t="str">
        <f ca="1">IFERROR(__xludf.DUMMYFUNCTION("""COMPUTED_VALUE"""),"NO")</f>
        <v>NO</v>
      </c>
      <c r="E814" s="6" t="str">
        <f ca="1">IFERROR(__xludf.DUMMYFUNCTION("""COMPUTED_VALUE"""),"Madrid- La Oca")</f>
        <v>Madrid- La Oca</v>
      </c>
      <c r="F814" s="16">
        <f ca="1">IFERROR(__xludf.DUMMYFUNCTION("""COMPUTED_VALUE"""),45834)</f>
        <v>45834</v>
      </c>
      <c r="G814" s="16">
        <f ca="1">IFERROR(__xludf.DUMMYFUNCTION("""COMPUTED_VALUE"""),45789)</f>
        <v>45789</v>
      </c>
      <c r="H814" s="6" t="str">
        <f ca="1">IFERROR(__xludf.DUMMYFUNCTION("""COMPUTED_VALUE"""),"La Oca")</f>
        <v>La Oca</v>
      </c>
      <c r="I814" s="6" t="str">
        <f ca="1">IFERROR(__xludf.DUMMYFUNCTION("""COMPUTED_VALUE"""),"C2025527124017492")</f>
        <v>C2025527124017492</v>
      </c>
      <c r="J814" s="6" t="str">
        <f ca="1">IFERROR(__xludf.DUMMYFUNCTION("""COMPUTED_VALUE"""),"TERESA PAJE CORREDOR")</f>
        <v>TERESA PAJE CORREDOR</v>
      </c>
      <c r="K814" s="6">
        <f ca="1">IFERROR(__xludf.DUMMYFUNCTION("""COMPUTED_VALUE"""),2)</f>
        <v>2</v>
      </c>
      <c r="L814" s="139">
        <f ca="1">IFERROR(__xludf.DUMMYFUNCTION("""COMPUTED_VALUE"""),3710)</f>
        <v>3710</v>
      </c>
      <c r="M814" s="6" t="str">
        <f ca="1">IFERROR(__xludf.DUMMYFUNCTION("""COMPUTED_VALUE"""),"03 ORL")</f>
        <v>03 ORL</v>
      </c>
      <c r="N814" s="6" t="str">
        <f ca="1">IFERROR(__xludf.DUMMYFUNCTION("""COMPUTED_VALUE"""),"06 ORL")</f>
        <v>06 ORL</v>
      </c>
      <c r="O814" s="6" t="str">
        <f ca="1">IFERROR(__xludf.DUMMYFUNCTION("""COMPUTED_VALUE"""),"Dr, César Charles Martínez")</f>
        <v>Dr, César Charles Martínez</v>
      </c>
      <c r="P814" s="6" t="str">
        <f ca="1">IFERROR(__xludf.DUMMYFUNCTION("""COMPUTED_VALUE"""),"Maika Blázquez (Madrid)")</f>
        <v>Maika Blázquez (Madrid)</v>
      </c>
    </row>
    <row r="815" spans="2:16">
      <c r="B815" s="6">
        <f ca="1">IFERROR(__xludf.DUMMYFUNCTION("""COMPUTED_VALUE"""),2025)</f>
        <v>2025</v>
      </c>
      <c r="C815" s="6">
        <f ca="1">IFERROR(__xludf.DUMMYFUNCTION("""COMPUTED_VALUE"""),6)</f>
        <v>6</v>
      </c>
      <c r="D815" s="6" t="str">
        <f ca="1">IFERROR(__xludf.DUMMYFUNCTION("""COMPUTED_VALUE"""),"NO")</f>
        <v>NO</v>
      </c>
      <c r="E815" s="6" t="str">
        <f ca="1">IFERROR(__xludf.DUMMYFUNCTION("""COMPUTED_VALUE"""),"Madrid- Monforte de Lemos")</f>
        <v>Madrid- Monforte de Lemos</v>
      </c>
      <c r="F815" s="16">
        <f ca="1">IFERROR(__xludf.DUMMYFUNCTION("""COMPUTED_VALUE"""),45831)</f>
        <v>45831</v>
      </c>
      <c r="G815" s="16">
        <f ca="1">IFERROR(__xludf.DUMMYFUNCTION("""COMPUTED_VALUE"""),45811)</f>
        <v>45811</v>
      </c>
      <c r="H815" s="6" t="str">
        <f ca="1">IFERROR(__xludf.DUMMYFUNCTION("""COMPUTED_VALUE"""),"La Vaguada")</f>
        <v>La Vaguada</v>
      </c>
      <c r="I815" s="6" t="str">
        <f ca="1">IFERROR(__xludf.DUMMYFUNCTION("""COMPUTED_VALUE"""),"C202566102438543")</f>
        <v>C202566102438543</v>
      </c>
      <c r="J815" s="6" t="str">
        <f ca="1">IFERROR(__xludf.DUMMYFUNCTION("""COMPUTED_VALUE"""),"MARIA ANGELA ESPERALTA GUTIERREZ")</f>
        <v>MARIA ANGELA ESPERALTA GUTIERREZ</v>
      </c>
      <c r="K815" s="6">
        <f ca="1">IFERROR(__xludf.DUMMYFUNCTION("""COMPUTED_VALUE"""),2)</f>
        <v>2</v>
      </c>
      <c r="L815" s="139">
        <f ca="1">IFERROR(__xludf.DUMMYFUNCTION("""COMPUTED_VALUE"""),2888.18)</f>
        <v>2888.18</v>
      </c>
      <c r="M815" s="6" t="str">
        <f ca="1">IFERROR(__xludf.DUMMYFUNCTION("""COMPUTED_VALUE"""),"03 ORL")</f>
        <v>03 ORL</v>
      </c>
      <c r="N815" s="6" t="str">
        <f ca="1">IFERROR(__xludf.DUMMYFUNCTION("""COMPUTED_VALUE"""),"06 ORL")</f>
        <v>06 ORL</v>
      </c>
      <c r="O815" s="6" t="str">
        <f ca="1">IFERROR(__xludf.DUMMYFUNCTION("""COMPUTED_VALUE"""),"Dr, José Gustavo Barroso Braojos")</f>
        <v>Dr, José Gustavo Barroso Braojos</v>
      </c>
      <c r="P815" s="6" t="str">
        <f ca="1">IFERROR(__xludf.DUMMYFUNCTION("""COMPUTED_VALUE"""),"Maika Blázquez (Madrid)")</f>
        <v>Maika Blázquez (Madrid)</v>
      </c>
    </row>
    <row r="816" spans="2:16">
      <c r="B816" s="6">
        <f ca="1">IFERROR(__xludf.DUMMYFUNCTION("""COMPUTED_VALUE"""),2025)</f>
        <v>2025</v>
      </c>
      <c r="C816" s="6">
        <f ca="1">IFERROR(__xludf.DUMMYFUNCTION("""COMPUTED_VALUE"""),6)</f>
        <v>6</v>
      </c>
      <c r="D816" s="6" t="str">
        <f ca="1">IFERROR(__xludf.DUMMYFUNCTION("""COMPUTED_VALUE"""),"NO")</f>
        <v>NO</v>
      </c>
      <c r="E816" s="6" t="str">
        <f ca="1">IFERROR(__xludf.DUMMYFUNCTION("""COMPUTED_VALUE"""),"Madrid- Monforte de Lemos")</f>
        <v>Madrid- Monforte de Lemos</v>
      </c>
      <c r="F816" s="16">
        <f ca="1">IFERROR(__xludf.DUMMYFUNCTION("""COMPUTED_VALUE"""),45825)</f>
        <v>45825</v>
      </c>
      <c r="G816" s="16">
        <f ca="1">IFERROR(__xludf.DUMMYFUNCTION("""COMPUTED_VALUE"""),45785)</f>
        <v>45785</v>
      </c>
      <c r="H816" s="6" t="str">
        <f ca="1">IFERROR(__xludf.DUMMYFUNCTION("""COMPUTED_VALUE"""),"La Vaguada")</f>
        <v>La Vaguada</v>
      </c>
      <c r="I816" s="6" t="str">
        <f ca="1">IFERROR(__xludf.DUMMYFUNCTION("""COMPUTED_VALUE"""),"C2025512163534533")</f>
        <v>C2025512163534533</v>
      </c>
      <c r="J816" s="6" t="str">
        <f ca="1">IFERROR(__xludf.DUMMYFUNCTION("""COMPUTED_VALUE"""),"MARIA JESUS RODRIGUEZ-BOBADA ROJAS")</f>
        <v>MARIA JESUS RODRIGUEZ-BOBADA ROJAS</v>
      </c>
      <c r="K816" s="6">
        <f ca="1">IFERROR(__xludf.DUMMYFUNCTION("""COMPUTED_VALUE"""),2)</f>
        <v>2</v>
      </c>
      <c r="L816" s="139">
        <f ca="1">IFERROR(__xludf.DUMMYFUNCTION("""COMPUTED_VALUE"""),4000)</f>
        <v>4000</v>
      </c>
      <c r="M816" s="6" t="str">
        <f ca="1">IFERROR(__xludf.DUMMYFUNCTION("""COMPUTED_VALUE"""),"03 ORL")</f>
        <v>03 ORL</v>
      </c>
      <c r="N816" s="6" t="str">
        <f ca="1">IFERROR(__xludf.DUMMYFUNCTION("""COMPUTED_VALUE"""),"06 ORL")</f>
        <v>06 ORL</v>
      </c>
      <c r="O816" s="6" t="str">
        <f ca="1">IFERROR(__xludf.DUMMYFUNCTION("""COMPUTED_VALUE"""),"Dr, Álvaro Sánchez de Arriba")</f>
        <v>Dr, Álvaro Sánchez de Arriba</v>
      </c>
      <c r="P816" s="6" t="str">
        <f ca="1">IFERROR(__xludf.DUMMYFUNCTION("""COMPUTED_VALUE"""),"Lisandro Russian (Madrid, Cáceres, Toledo, Talavera Y Logroño)")</f>
        <v>Lisandro Russian (Madrid, Cáceres, Toledo, Talavera Y Logroño)</v>
      </c>
    </row>
    <row r="817" spans="2:16">
      <c r="B817" s="6">
        <f ca="1">IFERROR(__xludf.DUMMYFUNCTION("""COMPUTED_VALUE"""),2025)</f>
        <v>2025</v>
      </c>
      <c r="C817" s="6">
        <f ca="1">IFERROR(__xludf.DUMMYFUNCTION("""COMPUTED_VALUE"""),6)</f>
        <v>6</v>
      </c>
      <c r="D817" s="6" t="str">
        <f ca="1">IFERROR(__xludf.DUMMYFUNCTION("""COMPUTED_VALUE"""),"NO")</f>
        <v>NO</v>
      </c>
      <c r="E817" s="6" t="str">
        <f ca="1">IFERROR(__xludf.DUMMYFUNCTION("""COMPUTED_VALUE"""),"Madrid- Monforte de Lemos")</f>
        <v>Madrid- Monforte de Lemos</v>
      </c>
      <c r="F817" s="16">
        <f ca="1">IFERROR(__xludf.DUMMYFUNCTION("""COMPUTED_VALUE"""),45834)</f>
        <v>45834</v>
      </c>
      <c r="G817" s="16">
        <f ca="1">IFERROR(__xludf.DUMMYFUNCTION("""COMPUTED_VALUE"""),45730)</f>
        <v>45730</v>
      </c>
      <c r="H817" s="6" t="str">
        <f ca="1">IFERROR(__xludf.DUMMYFUNCTION("""COMPUTED_VALUE"""),"La Vaguada")</f>
        <v>La Vaguada</v>
      </c>
      <c r="I817" s="6" t="str">
        <f ca="1">IFERROR(__xludf.DUMMYFUNCTION("""COMPUTED_VALUE"""),"C20253191222199")</f>
        <v>C20253191222199</v>
      </c>
      <c r="J817" s="6" t="str">
        <f ca="1">IFERROR(__xludf.DUMMYFUNCTION("""COMPUTED_VALUE"""),"MARIA PIEDAD GOMEZ NUÑEZ")</f>
        <v>MARIA PIEDAD GOMEZ NUÑEZ</v>
      </c>
      <c r="K817" s="6">
        <f ca="1">IFERROR(__xludf.DUMMYFUNCTION("""COMPUTED_VALUE"""),2)</f>
        <v>2</v>
      </c>
      <c r="L817" s="139">
        <f ca="1">IFERROR(__xludf.DUMMYFUNCTION("""COMPUTED_VALUE"""),4000)</f>
        <v>4000</v>
      </c>
      <c r="M817" s="6" t="str">
        <f ca="1">IFERROR(__xludf.DUMMYFUNCTION("""COMPUTED_VALUE"""),"03 ORL")</f>
        <v>03 ORL</v>
      </c>
      <c r="N817" s="6" t="str">
        <f ca="1">IFERROR(__xludf.DUMMYFUNCTION("""COMPUTED_VALUE"""),"06 ORL")</f>
        <v>06 ORL</v>
      </c>
      <c r="O817" s="6" t="str">
        <f ca="1">IFERROR(__xludf.DUMMYFUNCTION("""COMPUTED_VALUE"""),"Dr, Antonio Rodríguez Rivero")</f>
        <v>Dr, Antonio Rodríguez Rivero</v>
      </c>
      <c r="P817" s="6" t="str">
        <f ca="1">IFERROR(__xludf.DUMMYFUNCTION("""COMPUTED_VALUE"""),"Maika Blázquez (Madrid)")</f>
        <v>Maika Blázquez (Madrid)</v>
      </c>
    </row>
    <row r="818" spans="2:16">
      <c r="B818" s="6">
        <f ca="1">IFERROR(__xludf.DUMMYFUNCTION("""COMPUTED_VALUE"""),2025)</f>
        <v>2025</v>
      </c>
      <c r="C818" s="6">
        <f ca="1">IFERROR(__xludf.DUMMYFUNCTION("""COMPUTED_VALUE"""),6)</f>
        <v>6</v>
      </c>
      <c r="D818" s="6" t="str">
        <f ca="1">IFERROR(__xludf.DUMMYFUNCTION("""COMPUTED_VALUE"""),"NO")</f>
        <v>NO</v>
      </c>
      <c r="E818" s="6" t="str">
        <f ca="1">IFERROR(__xludf.DUMMYFUNCTION("""COMPUTED_VALUE"""),"Madrid- Monforte de Lemos")</f>
        <v>Madrid- Monforte de Lemos</v>
      </c>
      <c r="F818" s="16">
        <f ca="1">IFERROR(__xludf.DUMMYFUNCTION("""COMPUTED_VALUE"""),45826)</f>
        <v>45826</v>
      </c>
      <c r="G818" s="16">
        <f ca="1">IFERROR(__xludf.DUMMYFUNCTION("""COMPUTED_VALUE"""),45789)</f>
        <v>45789</v>
      </c>
      <c r="H818" s="6" t="str">
        <f ca="1">IFERROR(__xludf.DUMMYFUNCTION("""COMPUTED_VALUE"""),"La Vaguada")</f>
        <v>La Vaguada</v>
      </c>
      <c r="I818" s="6" t="str">
        <f ca="1">IFERROR(__xludf.DUMMYFUNCTION("""COMPUTED_VALUE"""),"C202551916913205")</f>
        <v>C202551916913205</v>
      </c>
      <c r="J818" s="6" t="str">
        <f ca="1">IFERROR(__xludf.DUMMYFUNCTION("""COMPUTED_VALUE"""),"NELA ROSA FERNANDEZ BLOISE")</f>
        <v>NELA ROSA FERNANDEZ BLOISE</v>
      </c>
      <c r="K818" s="6">
        <f ca="1">IFERROR(__xludf.DUMMYFUNCTION("""COMPUTED_VALUE"""),2)</f>
        <v>2</v>
      </c>
      <c r="L818" s="139">
        <f ca="1">IFERROR(__xludf.DUMMYFUNCTION("""COMPUTED_VALUE"""),2888.18)</f>
        <v>2888.18</v>
      </c>
      <c r="M818" s="6" t="str">
        <f ca="1">IFERROR(__xludf.DUMMYFUNCTION("""COMPUTED_VALUE"""),"03 ORL")</f>
        <v>03 ORL</v>
      </c>
      <c r="N818" s="6" t="str">
        <f ca="1">IFERROR(__xludf.DUMMYFUNCTION("""COMPUTED_VALUE"""),"06 ORL")</f>
        <v>06 ORL</v>
      </c>
      <c r="O818" s="6" t="str">
        <f ca="1">IFERROR(__xludf.DUMMYFUNCTION("""COMPUTED_VALUE"""),"Dr, Carlos Barajas del Rosal")</f>
        <v>Dr, Carlos Barajas del Rosal</v>
      </c>
      <c r="P818" s="6" t="str">
        <f ca="1">IFERROR(__xludf.DUMMYFUNCTION("""COMPUTED_VALUE"""),"Lisandro Russian (Madrid, Cáceres, Toledo, Talavera Y Logroño)")</f>
        <v>Lisandro Russian (Madrid, Cáceres, Toledo, Talavera Y Logroño)</v>
      </c>
    </row>
    <row r="819" spans="2:16">
      <c r="B819" s="6">
        <f ca="1">IFERROR(__xludf.DUMMYFUNCTION("""COMPUTED_VALUE"""),2025)</f>
        <v>2025</v>
      </c>
      <c r="C819" s="6">
        <f ca="1">IFERROR(__xludf.DUMMYFUNCTION("""COMPUTED_VALUE"""),6)</f>
        <v>6</v>
      </c>
      <c r="D819" s="6" t="str">
        <f ca="1">IFERROR(__xludf.DUMMYFUNCTION("""COMPUTED_VALUE"""),"NO")</f>
        <v>NO</v>
      </c>
      <c r="E819" s="6" t="str">
        <f ca="1">IFERROR(__xludf.DUMMYFUNCTION("""COMPUTED_VALUE"""),"Madrid- Moratalaz")</f>
        <v>Madrid- Moratalaz</v>
      </c>
      <c r="F819" s="16">
        <f ca="1">IFERROR(__xludf.DUMMYFUNCTION("""COMPUTED_VALUE"""),45824)</f>
        <v>45824</v>
      </c>
      <c r="G819" s="16">
        <f ca="1">IFERROR(__xludf.DUMMYFUNCTION("""COMPUTED_VALUE"""),45800)</f>
        <v>45800</v>
      </c>
      <c r="H819" s="6" t="str">
        <f ca="1">IFERROR(__xludf.DUMMYFUNCTION("""COMPUTED_VALUE"""),"Moratalaz")</f>
        <v>Moratalaz</v>
      </c>
      <c r="I819" s="6" t="str">
        <f ca="1">IFERROR(__xludf.DUMMYFUNCTION("""COMPUTED_VALUE"""),"C202562154812329")</f>
        <v>C202562154812329</v>
      </c>
      <c r="J819" s="6" t="str">
        <f ca="1">IFERROR(__xludf.DUMMYFUNCTION("""COMPUTED_VALUE"""),"PILAR JIMENEZ MARTIN")</f>
        <v>PILAR JIMENEZ MARTIN</v>
      </c>
      <c r="K819" s="6">
        <f ca="1">IFERROR(__xludf.DUMMYFUNCTION("""COMPUTED_VALUE"""),2)</f>
        <v>2</v>
      </c>
      <c r="L819" s="139">
        <f ca="1">IFERROR(__xludf.DUMMYFUNCTION("""COMPUTED_VALUE"""),4000)</f>
        <v>4000</v>
      </c>
      <c r="M819" s="6" t="str">
        <f ca="1">IFERROR(__xludf.DUMMYFUNCTION("""COMPUTED_VALUE"""),"03 ORL")</f>
        <v>03 ORL</v>
      </c>
      <c r="N819" s="6" t="str">
        <f ca="1">IFERROR(__xludf.DUMMYFUNCTION("""COMPUTED_VALUE"""),"06 ORL")</f>
        <v>06 ORL</v>
      </c>
      <c r="O819" s="6" t="str">
        <f ca="1">IFERROR(__xludf.DUMMYFUNCTION("""COMPUTED_VALUE"""),"Dra, María Antonia Rodríguez Castejón")</f>
        <v>Dra, María Antonia Rodríguez Castejón</v>
      </c>
      <c r="P819" s="6" t="str">
        <f ca="1">IFERROR(__xludf.DUMMYFUNCTION("""COMPUTED_VALUE"""),"Maika Blázquez (Madrid)")</f>
        <v>Maika Blázquez (Madrid)</v>
      </c>
    </row>
    <row r="820" spans="2:16">
      <c r="B820" s="6">
        <f ca="1">IFERROR(__xludf.DUMMYFUNCTION("""COMPUTED_VALUE"""),2025)</f>
        <v>2025</v>
      </c>
      <c r="C820" s="6">
        <f ca="1">IFERROR(__xludf.DUMMYFUNCTION("""COMPUTED_VALUE"""),6)</f>
        <v>6</v>
      </c>
      <c r="D820" s="6" t="str">
        <f ca="1">IFERROR(__xludf.DUMMYFUNCTION("""COMPUTED_VALUE"""),"NO")</f>
        <v>NO</v>
      </c>
      <c r="E820" s="6" t="str">
        <f ca="1">IFERROR(__xludf.DUMMYFUNCTION("""COMPUTED_VALUE"""),"Madrid- Moratalaz")</f>
        <v>Madrid- Moratalaz</v>
      </c>
      <c r="F820" s="16">
        <f ca="1">IFERROR(__xludf.DUMMYFUNCTION("""COMPUTED_VALUE"""),45824)</f>
        <v>45824</v>
      </c>
      <c r="G820" s="16">
        <f ca="1">IFERROR(__xludf.DUMMYFUNCTION("""COMPUTED_VALUE"""),45776)</f>
        <v>45776</v>
      </c>
      <c r="H820" s="6" t="str">
        <f ca="1">IFERROR(__xludf.DUMMYFUNCTION("""COMPUTED_VALUE"""),"Moratalaz")</f>
        <v>Moratalaz</v>
      </c>
      <c r="I820" s="6" t="str">
        <f ca="1">IFERROR(__xludf.DUMMYFUNCTION("""COMPUTED_VALUE"""),"C2025512124135561")</f>
        <v>C2025512124135561</v>
      </c>
      <c r="J820" s="6" t="str">
        <f ca="1">IFERROR(__xludf.DUMMYFUNCTION("""COMPUTED_VALUE"""),"JOSE MARIA MOLINA GARCIA")</f>
        <v>JOSE MARIA MOLINA GARCIA</v>
      </c>
      <c r="K820" s="6">
        <f ca="1">IFERROR(__xludf.DUMMYFUNCTION("""COMPUTED_VALUE"""),2)</f>
        <v>2</v>
      </c>
      <c r="L820" s="139">
        <f ca="1">IFERROR(__xludf.DUMMYFUNCTION("""COMPUTED_VALUE"""),4000)</f>
        <v>4000</v>
      </c>
      <c r="M820" s="6" t="str">
        <f ca="1">IFERROR(__xludf.DUMMYFUNCTION("""COMPUTED_VALUE"""),"03 ORL")</f>
        <v>03 ORL</v>
      </c>
      <c r="N820" s="6" t="str">
        <f ca="1">IFERROR(__xludf.DUMMYFUNCTION("""COMPUTED_VALUE"""),"06 ORL")</f>
        <v>06 ORL</v>
      </c>
      <c r="O820" s="6" t="str">
        <f ca="1">IFERROR(__xludf.DUMMYFUNCTION("""COMPUTED_VALUE"""),"Dr, Joaquín Alacio Casero")</f>
        <v>Dr, Joaquín Alacio Casero</v>
      </c>
      <c r="P820" s="6" t="str">
        <f ca="1">IFERROR(__xludf.DUMMYFUNCTION("""COMPUTED_VALUE"""),"Maika Blázquez (Madrid)")</f>
        <v>Maika Blázquez (Madrid)</v>
      </c>
    </row>
    <row r="821" spans="2:16">
      <c r="B821" s="6">
        <f ca="1">IFERROR(__xludf.DUMMYFUNCTION("""COMPUTED_VALUE"""),2025)</f>
        <v>2025</v>
      </c>
      <c r="C821" s="6">
        <f ca="1">IFERROR(__xludf.DUMMYFUNCTION("""COMPUTED_VALUE"""),6)</f>
        <v>6</v>
      </c>
      <c r="D821" s="6" t="str">
        <f ca="1">IFERROR(__xludf.DUMMYFUNCTION("""COMPUTED_VALUE"""),"NO")</f>
        <v>NO</v>
      </c>
      <c r="E821" s="6" t="str">
        <f ca="1">IFERROR(__xludf.DUMMYFUNCTION("""COMPUTED_VALUE"""),"Madrid- Moratalaz")</f>
        <v>Madrid- Moratalaz</v>
      </c>
      <c r="F821" s="16">
        <f ca="1">IFERROR(__xludf.DUMMYFUNCTION("""COMPUTED_VALUE"""),45812)</f>
        <v>45812</v>
      </c>
      <c r="G821" s="16">
        <f ca="1">IFERROR(__xludf.DUMMYFUNCTION("""COMPUTED_VALUE"""),44650)</f>
        <v>44650</v>
      </c>
      <c r="H821" s="6" t="str">
        <f ca="1">IFERROR(__xludf.DUMMYFUNCTION("""COMPUTED_VALUE"""),"Moratalaz")</f>
        <v>Moratalaz</v>
      </c>
      <c r="I821" s="6" t="str">
        <f ca="1">IFERROR(__xludf.DUMMYFUNCTION("""COMPUTED_VALUE"""),"MOR-1921")</f>
        <v>MOR-1921</v>
      </c>
      <c r="J821" s="6" t="str">
        <f ca="1">IFERROR(__xludf.DUMMYFUNCTION("""COMPUTED_VALUE"""),"KENIA MERCEDES MERCEDES")</f>
        <v>KENIA MERCEDES MERCEDES</v>
      </c>
      <c r="K821" s="6">
        <f ca="1">IFERROR(__xludf.DUMMYFUNCTION("""COMPUTED_VALUE"""),-1)</f>
        <v>-1</v>
      </c>
      <c r="L821" s="139">
        <f ca="1">IFERROR(__xludf.DUMMYFUNCTION("""COMPUTED_VALUE"""),-1962.02)</f>
        <v>-1962.02</v>
      </c>
      <c r="M821" s="6" t="str">
        <f ca="1">IFERROR(__xludf.DUMMYFUNCTION("""COMPUTED_VALUE"""),"03 ORL")</f>
        <v>03 ORL</v>
      </c>
      <c r="N821" s="6" t="str">
        <f ca="1">IFERROR(__xludf.DUMMYFUNCTION("""COMPUTED_VALUE"""),"06 ORL")</f>
        <v>06 ORL</v>
      </c>
      <c r="O821" s="6" t="str">
        <f ca="1">IFERROR(__xludf.DUMMYFUNCTION("""COMPUTED_VALUE"""),"No recuerda ORL")</f>
        <v>No recuerda ORL</v>
      </c>
      <c r="P821" s="6" t="str">
        <f ca="1">IFERROR(__xludf.DUMMYFUNCTION("""COMPUTED_VALUE"""),"Maika Blázquez (Madrid)")</f>
        <v>Maika Blázquez (Madrid)</v>
      </c>
    </row>
    <row r="822" spans="2:16">
      <c r="B822" s="6">
        <f ca="1">IFERROR(__xludf.DUMMYFUNCTION("""COMPUTED_VALUE"""),2025)</f>
        <v>2025</v>
      </c>
      <c r="C822" s="6">
        <f ca="1">IFERROR(__xludf.DUMMYFUNCTION("""COMPUTED_VALUE"""),6)</f>
        <v>6</v>
      </c>
      <c r="D822" s="6" t="str">
        <f ca="1">IFERROR(__xludf.DUMMYFUNCTION("""COMPUTED_VALUE"""),"NO")</f>
        <v>NO</v>
      </c>
      <c r="E822" s="6" t="str">
        <f ca="1">IFERROR(__xludf.DUMMYFUNCTION("""COMPUTED_VALUE"""),"Madrid- Moratalaz")</f>
        <v>Madrid- Moratalaz</v>
      </c>
      <c r="F822" s="16">
        <f ca="1">IFERROR(__xludf.DUMMYFUNCTION("""COMPUTED_VALUE"""),45812)</f>
        <v>45812</v>
      </c>
      <c r="G822" s="16">
        <f ca="1">IFERROR(__xludf.DUMMYFUNCTION("""COMPUTED_VALUE"""),45707)</f>
        <v>45707</v>
      </c>
      <c r="H822" s="6" t="str">
        <f ca="1">IFERROR(__xludf.DUMMYFUNCTION("""COMPUTED_VALUE"""),"Moratalaz")</f>
        <v>Moratalaz</v>
      </c>
      <c r="I822" s="6" t="str">
        <f ca="1">IFERROR(__xludf.DUMMYFUNCTION("""COMPUTED_VALUE"""),"C202541171241496")</f>
        <v>C202541171241496</v>
      </c>
      <c r="J822" s="6" t="str">
        <f ca="1">IFERROR(__xludf.DUMMYFUNCTION("""COMPUTED_VALUE"""),"MARIA CARMEN RODRIGUEZ FRIAS")</f>
        <v>MARIA CARMEN RODRIGUEZ FRIAS</v>
      </c>
      <c r="K822" s="6">
        <f ca="1">IFERROR(__xludf.DUMMYFUNCTION("""COMPUTED_VALUE"""),2)</f>
        <v>2</v>
      </c>
      <c r="L822" s="139">
        <f ca="1">IFERROR(__xludf.DUMMYFUNCTION("""COMPUTED_VALUE"""),2888.18)</f>
        <v>2888.18</v>
      </c>
      <c r="M822" s="6" t="str">
        <f ca="1">IFERROR(__xludf.DUMMYFUNCTION("""COMPUTED_VALUE"""),"03 ORL")</f>
        <v>03 ORL</v>
      </c>
      <c r="N822" s="6" t="str">
        <f ca="1">IFERROR(__xludf.DUMMYFUNCTION("""COMPUTED_VALUE"""),"06 ORL")</f>
        <v>06 ORL</v>
      </c>
      <c r="O822" s="6" t="str">
        <f ca="1">IFERROR(__xludf.DUMMYFUNCTION("""COMPUTED_VALUE"""),"Dr, Antonio Rodríguez Rivero")</f>
        <v>Dr, Antonio Rodríguez Rivero</v>
      </c>
      <c r="P822" s="6" t="str">
        <f ca="1">IFERROR(__xludf.DUMMYFUNCTION("""COMPUTED_VALUE"""),"Maika Blázquez (Madrid)")</f>
        <v>Maika Blázquez (Madrid)</v>
      </c>
    </row>
    <row r="823" spans="2:16">
      <c r="B823" s="6">
        <f ca="1">IFERROR(__xludf.DUMMYFUNCTION("""COMPUTED_VALUE"""),2025)</f>
        <v>2025</v>
      </c>
      <c r="C823" s="6">
        <f ca="1">IFERROR(__xludf.DUMMYFUNCTION("""COMPUTED_VALUE"""),6)</f>
        <v>6</v>
      </c>
      <c r="D823" s="6" t="str">
        <f ca="1">IFERROR(__xludf.DUMMYFUNCTION("""COMPUTED_VALUE"""),"NO")</f>
        <v>NO</v>
      </c>
      <c r="E823" s="6" t="str">
        <f ca="1">IFERROR(__xludf.DUMMYFUNCTION("""COMPUTED_VALUE"""),"Móstoles")</f>
        <v>Móstoles</v>
      </c>
      <c r="F823" s="16">
        <f ca="1">IFERROR(__xludf.DUMMYFUNCTION("""COMPUTED_VALUE"""),45819)</f>
        <v>45819</v>
      </c>
      <c r="G823" s="16">
        <f ca="1">IFERROR(__xludf.DUMMYFUNCTION("""COMPUTED_VALUE"""),45744)</f>
        <v>45744</v>
      </c>
      <c r="H823" s="6" t="str">
        <f ca="1">IFERROR(__xludf.DUMMYFUNCTION("""COMPUTED_VALUE"""),"Móstoles")</f>
        <v>Móstoles</v>
      </c>
      <c r="I823" s="6" t="str">
        <f ca="1">IFERROR(__xludf.DUMMYFUNCTION("""COMPUTED_VALUE"""),"C202549182140578")</f>
        <v>C202549182140578</v>
      </c>
      <c r="J823" s="6" t="str">
        <f ca="1">IFERROR(__xludf.DUMMYFUNCTION("""COMPUTED_VALUE"""),"AURORA VELASCO OJALVO")</f>
        <v>AURORA VELASCO OJALVO</v>
      </c>
      <c r="K823" s="6">
        <f ca="1">IFERROR(__xludf.DUMMYFUNCTION("""COMPUTED_VALUE"""),2)</f>
        <v>2</v>
      </c>
      <c r="L823" s="139">
        <f ca="1">IFERROR(__xludf.DUMMYFUNCTION("""COMPUTED_VALUE"""),4000)</f>
        <v>4000</v>
      </c>
      <c r="M823" s="6" t="str">
        <f ca="1">IFERROR(__xludf.DUMMYFUNCTION("""COMPUTED_VALUE"""),"03 ORL")</f>
        <v>03 ORL</v>
      </c>
      <c r="N823" s="6" t="str">
        <f ca="1">IFERROR(__xludf.DUMMYFUNCTION("""COMPUTED_VALUE"""),"06 ORL")</f>
        <v>06 ORL</v>
      </c>
      <c r="O823" s="6" t="str">
        <f ca="1">IFERROR(__xludf.DUMMYFUNCTION("""COMPUTED_VALUE"""),"Dra, Laura del Toro Gil")</f>
        <v>Dra, Laura del Toro Gil</v>
      </c>
      <c r="P823" s="6" t="str">
        <f ca="1">IFERROR(__xludf.DUMMYFUNCTION("""COMPUTED_VALUE"""),"Maika Blázquez (Madrid)")</f>
        <v>Maika Blázquez (Madrid)</v>
      </c>
    </row>
    <row r="824" spans="2:16">
      <c r="B824" s="6">
        <f ca="1">IFERROR(__xludf.DUMMYFUNCTION("""COMPUTED_VALUE"""),2025)</f>
        <v>2025</v>
      </c>
      <c r="C824" s="6">
        <f ca="1">IFERROR(__xludf.DUMMYFUNCTION("""COMPUTED_VALUE"""),6)</f>
        <v>6</v>
      </c>
      <c r="D824" s="6" t="str">
        <f ca="1">IFERROR(__xludf.DUMMYFUNCTION("""COMPUTED_VALUE"""),"NO")</f>
        <v>NO</v>
      </c>
      <c r="E824" s="6" t="str">
        <f ca="1">IFERROR(__xludf.DUMMYFUNCTION("""COMPUTED_VALUE"""),"Móstoles")</f>
        <v>Móstoles</v>
      </c>
      <c r="F824" s="16">
        <f ca="1">IFERROR(__xludf.DUMMYFUNCTION("""COMPUTED_VALUE"""),45828)</f>
        <v>45828</v>
      </c>
      <c r="G824" s="16">
        <f ca="1">IFERROR(__xludf.DUMMYFUNCTION("""COMPUTED_VALUE"""),45811)</f>
        <v>45811</v>
      </c>
      <c r="H824" s="6" t="str">
        <f ca="1">IFERROR(__xludf.DUMMYFUNCTION("""COMPUTED_VALUE"""),"Móstoles")</f>
        <v>Móstoles</v>
      </c>
      <c r="I824" s="6" t="str">
        <f ca="1">IFERROR(__xludf.DUMMYFUNCTION("""COMPUTED_VALUE"""),"C202565123634694")</f>
        <v>C202565123634694</v>
      </c>
      <c r="J824" s="6" t="str">
        <f ca="1">IFERROR(__xludf.DUMMYFUNCTION("""COMPUTED_VALUE"""),"JOSE JAVIER  CAMPOS SIERRA")</f>
        <v>JOSE JAVIER  CAMPOS SIERRA</v>
      </c>
      <c r="K824" s="6">
        <f ca="1">IFERROR(__xludf.DUMMYFUNCTION("""COMPUTED_VALUE"""),2)</f>
        <v>2</v>
      </c>
      <c r="L824" s="139">
        <f ca="1">IFERROR(__xludf.DUMMYFUNCTION("""COMPUTED_VALUE"""),4000)</f>
        <v>4000</v>
      </c>
      <c r="M824" s="6" t="str">
        <f ca="1">IFERROR(__xludf.DUMMYFUNCTION("""COMPUTED_VALUE"""),"03 ORL")</f>
        <v>03 ORL</v>
      </c>
      <c r="N824" s="6" t="str">
        <f ca="1">IFERROR(__xludf.DUMMYFUNCTION("""COMPUTED_VALUE"""),"06 ORL")</f>
        <v>06 ORL</v>
      </c>
      <c r="O824" s="6" t="str">
        <f ca="1">IFERROR(__xludf.DUMMYFUNCTION("""COMPUTED_VALUE"""),"Dra, Laura del Toro Gil")</f>
        <v>Dra, Laura del Toro Gil</v>
      </c>
      <c r="P824" s="6" t="str">
        <f ca="1">IFERROR(__xludf.DUMMYFUNCTION("""COMPUTED_VALUE"""),"Maika Blázquez (Madrid)")</f>
        <v>Maika Blázquez (Madrid)</v>
      </c>
    </row>
    <row r="825" spans="2:16">
      <c r="B825" s="6">
        <f ca="1">IFERROR(__xludf.DUMMYFUNCTION("""COMPUTED_VALUE"""),2025)</f>
        <v>2025</v>
      </c>
      <c r="C825" s="6">
        <f ca="1">IFERROR(__xludf.DUMMYFUNCTION("""COMPUTED_VALUE"""),6)</f>
        <v>6</v>
      </c>
      <c r="D825" s="6" t="str">
        <f ca="1">IFERROR(__xludf.DUMMYFUNCTION("""COMPUTED_VALUE"""),"NO")</f>
        <v>NO</v>
      </c>
      <c r="E825" s="6" t="str">
        <f ca="1">IFERROR(__xludf.DUMMYFUNCTION("""COMPUTED_VALUE"""),"Murcia")</f>
        <v>Murcia</v>
      </c>
      <c r="F825" s="16">
        <f ca="1">IFERROR(__xludf.DUMMYFUNCTION("""COMPUTED_VALUE"""),45835)</f>
        <v>45835</v>
      </c>
      <c r="G825" s="16">
        <f ca="1">IFERROR(__xludf.DUMMYFUNCTION("""COMPUTED_VALUE"""),45811)</f>
        <v>45811</v>
      </c>
      <c r="H825" s="6" t="str">
        <f ca="1">IFERROR(__xludf.DUMMYFUNCTION("""COMPUTED_VALUE"""),"Murcia")</f>
        <v>Murcia</v>
      </c>
      <c r="I825" s="6" t="str">
        <f ca="1">IFERROR(__xludf.DUMMYFUNCTION("""COMPUTED_VALUE"""),"C20256516463877")</f>
        <v>C20256516463877</v>
      </c>
      <c r="J825" s="6" t="str">
        <f ca="1">IFERROR(__xludf.DUMMYFUNCTION("""COMPUTED_VALUE"""),"ANGELICA MARINA MERCHAN CARMONA")</f>
        <v>ANGELICA MARINA MERCHAN CARMONA</v>
      </c>
      <c r="K825" s="6">
        <f ca="1">IFERROR(__xludf.DUMMYFUNCTION("""COMPUTED_VALUE"""),2)</f>
        <v>2</v>
      </c>
      <c r="L825" s="139">
        <f ca="1">IFERROR(__xludf.DUMMYFUNCTION("""COMPUTED_VALUE"""),2888.18)</f>
        <v>2888.18</v>
      </c>
      <c r="M825" s="6" t="str">
        <f ca="1">IFERROR(__xludf.DUMMYFUNCTION("""COMPUTED_VALUE"""),"03 ORL")</f>
        <v>03 ORL</v>
      </c>
      <c r="N825" s="6" t="str">
        <f ca="1">IFERROR(__xludf.DUMMYFUNCTION("""COMPUTED_VALUE"""),"06 ORL")</f>
        <v>06 ORL</v>
      </c>
      <c r="O825" s="6" t="str">
        <f ca="1">IFERROR(__xludf.DUMMYFUNCTION("""COMPUTED_VALUE"""),"Dr, Juan Pablo Pelegrín Hernández")</f>
        <v>Dr, Juan Pablo Pelegrín Hernández</v>
      </c>
      <c r="P825" s="6" t="str">
        <f ca="1">IFERROR(__xludf.DUMMYFUNCTION("""COMPUTED_VALUE"""),"Iván Sánchez (Levante Y Albacete)")</f>
        <v>Iván Sánchez (Levante Y Albacete)</v>
      </c>
    </row>
    <row r="826" spans="2:16">
      <c r="B826" s="6">
        <f ca="1">IFERROR(__xludf.DUMMYFUNCTION("""COMPUTED_VALUE"""),2025)</f>
        <v>2025</v>
      </c>
      <c r="C826" s="6">
        <f ca="1">IFERROR(__xludf.DUMMYFUNCTION("""COMPUTED_VALUE"""),6)</f>
        <v>6</v>
      </c>
      <c r="D826" s="6" t="str">
        <f ca="1">IFERROR(__xludf.DUMMYFUNCTION("""COMPUTED_VALUE"""),"NO")</f>
        <v>NO</v>
      </c>
      <c r="E826" s="6" t="str">
        <f ca="1">IFERROR(__xludf.DUMMYFUNCTION("""COMPUTED_VALUE"""),"Murcia")</f>
        <v>Murcia</v>
      </c>
      <c r="F826" s="16">
        <f ca="1">IFERROR(__xludf.DUMMYFUNCTION("""COMPUTED_VALUE"""),45834)</f>
        <v>45834</v>
      </c>
      <c r="G826" s="16">
        <f ca="1">IFERROR(__xludf.DUMMYFUNCTION("""COMPUTED_VALUE"""),44965)</f>
        <v>44965</v>
      </c>
      <c r="H826" s="6" t="str">
        <f ca="1">IFERROR(__xludf.DUMMYFUNCTION("""COMPUTED_VALUE"""),"Murcia")</f>
        <v>Murcia</v>
      </c>
      <c r="I826" s="6" t="str">
        <f ca="1">IFERROR(__xludf.DUMMYFUNCTION("""COMPUTED_VALUE"""),"MUR-1266")</f>
        <v>MUR-1266</v>
      </c>
      <c r="J826" s="6" t="str">
        <f ca="1">IFERROR(__xludf.DUMMYFUNCTION("""COMPUTED_VALUE"""),"ANTONIA ESTEBAN SANCHEZ")</f>
        <v>ANTONIA ESTEBAN SANCHEZ</v>
      </c>
      <c r="K826" s="6">
        <f ca="1">IFERROR(__xludf.DUMMYFUNCTION("""COMPUTED_VALUE"""),2)</f>
        <v>2</v>
      </c>
      <c r="L826" s="139">
        <f ca="1">IFERROR(__xludf.DUMMYFUNCTION("""COMPUTED_VALUE"""),3710)</f>
        <v>3710</v>
      </c>
      <c r="M826" s="6" t="str">
        <f ca="1">IFERROR(__xludf.DUMMYFUNCTION("""COMPUTED_VALUE"""),"03 ORL")</f>
        <v>03 ORL</v>
      </c>
      <c r="N826" s="6" t="str">
        <f ca="1">IFERROR(__xludf.DUMMYFUNCTION("""COMPUTED_VALUE"""),"06 ORL")</f>
        <v>06 ORL</v>
      </c>
      <c r="O826" s="6" t="str">
        <f ca="1">IFERROR(__xludf.DUMMYFUNCTION("""COMPUTED_VALUE"""),"Dra, María Agustina Sevilla García")</f>
        <v>Dra, María Agustina Sevilla García</v>
      </c>
      <c r="P826" s="6" t="str">
        <f ca="1">IFERROR(__xludf.DUMMYFUNCTION("""COMPUTED_VALUE"""),"Iván Sánchez (Levante Y Albacete)")</f>
        <v>Iván Sánchez (Levante Y Albacete)</v>
      </c>
    </row>
    <row r="827" spans="2:16">
      <c r="B827" s="6">
        <f ca="1">IFERROR(__xludf.DUMMYFUNCTION("""COMPUTED_VALUE"""),2025)</f>
        <v>2025</v>
      </c>
      <c r="C827" s="6">
        <f ca="1">IFERROR(__xludf.DUMMYFUNCTION("""COMPUTED_VALUE"""),6)</f>
        <v>6</v>
      </c>
      <c r="D827" s="6" t="str">
        <f ca="1">IFERROR(__xludf.DUMMYFUNCTION("""COMPUTED_VALUE"""),"NO")</f>
        <v>NO</v>
      </c>
      <c r="E827" s="6" t="str">
        <f ca="1">IFERROR(__xludf.DUMMYFUNCTION("""COMPUTED_VALUE"""),"Murcia")</f>
        <v>Murcia</v>
      </c>
      <c r="F827" s="16">
        <f ca="1">IFERROR(__xludf.DUMMYFUNCTION("""COMPUTED_VALUE"""),45827)</f>
        <v>45827</v>
      </c>
      <c r="G827" s="16">
        <f ca="1">IFERROR(__xludf.DUMMYFUNCTION("""COMPUTED_VALUE"""),45810)</f>
        <v>45810</v>
      </c>
      <c r="H827" s="6" t="str">
        <f ca="1">IFERROR(__xludf.DUMMYFUNCTION("""COMPUTED_VALUE"""),"Murcia")</f>
        <v>Murcia</v>
      </c>
      <c r="I827" s="6" t="str">
        <f ca="1">IFERROR(__xludf.DUMMYFUNCTION("""COMPUTED_VALUE"""),"C2025641034615")</f>
        <v>C2025641034615</v>
      </c>
      <c r="J827" s="6" t="str">
        <f ca="1">IFERROR(__xludf.DUMMYFUNCTION("""COMPUTED_VALUE"""),"CARMEN CAYUELA MAIQUEZ")</f>
        <v>CARMEN CAYUELA MAIQUEZ</v>
      </c>
      <c r="K827" s="6">
        <f ca="1">IFERROR(__xludf.DUMMYFUNCTION("""COMPUTED_VALUE"""),2)</f>
        <v>2</v>
      </c>
      <c r="L827" s="139">
        <f ca="1">IFERROR(__xludf.DUMMYFUNCTION("""COMPUTED_VALUE"""),3523.64)</f>
        <v>3523.64</v>
      </c>
      <c r="M827" s="6" t="str">
        <f ca="1">IFERROR(__xludf.DUMMYFUNCTION("""COMPUTED_VALUE"""),"03 ORL")</f>
        <v>03 ORL</v>
      </c>
      <c r="N827" s="6" t="str">
        <f ca="1">IFERROR(__xludf.DUMMYFUNCTION("""COMPUTED_VALUE"""),"06 ORL")</f>
        <v>06 ORL</v>
      </c>
      <c r="O827" s="6" t="str">
        <f ca="1">IFERROR(__xludf.DUMMYFUNCTION("""COMPUTED_VALUE"""),"Dra, María Agustina Sevilla García")</f>
        <v>Dra, María Agustina Sevilla García</v>
      </c>
      <c r="P827" s="6" t="str">
        <f ca="1">IFERROR(__xludf.DUMMYFUNCTION("""COMPUTED_VALUE"""),"Iván Sánchez (Levante Y Albacete)")</f>
        <v>Iván Sánchez (Levante Y Albacete)</v>
      </c>
    </row>
    <row r="828" spans="2:16">
      <c r="B828" s="6">
        <f ca="1">IFERROR(__xludf.DUMMYFUNCTION("""COMPUTED_VALUE"""),2025)</f>
        <v>2025</v>
      </c>
      <c r="C828" s="6">
        <f ca="1">IFERROR(__xludf.DUMMYFUNCTION("""COMPUTED_VALUE"""),6)</f>
        <v>6</v>
      </c>
      <c r="D828" s="6" t="str">
        <f ca="1">IFERROR(__xludf.DUMMYFUNCTION("""COMPUTED_VALUE"""),"NO")</f>
        <v>NO</v>
      </c>
      <c r="E828" s="6" t="str">
        <f ca="1">IFERROR(__xludf.DUMMYFUNCTION("""COMPUTED_VALUE"""),"Murcia")</f>
        <v>Murcia</v>
      </c>
      <c r="F828" s="16">
        <f ca="1">IFERROR(__xludf.DUMMYFUNCTION("""COMPUTED_VALUE"""),45818)</f>
        <v>45818</v>
      </c>
      <c r="G828" s="16">
        <f ca="1">IFERROR(__xludf.DUMMYFUNCTION("""COMPUTED_VALUE"""),45777)</f>
        <v>45777</v>
      </c>
      <c r="H828" s="6" t="str">
        <f ca="1">IFERROR(__xludf.DUMMYFUNCTION("""COMPUTED_VALUE"""),"Murcia")</f>
        <v>Murcia</v>
      </c>
      <c r="I828" s="6" t="str">
        <f ca="1">IFERROR(__xludf.DUMMYFUNCTION("""COMPUTED_VALUE"""),"C2025430171330478")</f>
        <v>C2025430171330478</v>
      </c>
      <c r="J828" s="6" t="str">
        <f ca="1">IFERROR(__xludf.DUMMYFUNCTION("""COMPUTED_VALUE"""),"CARMEN LOPEZ MEDINA")</f>
        <v>CARMEN LOPEZ MEDINA</v>
      </c>
      <c r="K828" s="6">
        <f ca="1">IFERROR(__xludf.DUMMYFUNCTION("""COMPUTED_VALUE"""),2)</f>
        <v>2</v>
      </c>
      <c r="L828" s="139">
        <f ca="1">IFERROR(__xludf.DUMMYFUNCTION("""COMPUTED_VALUE"""),4000)</f>
        <v>4000</v>
      </c>
      <c r="M828" s="6" t="str">
        <f ca="1">IFERROR(__xludf.DUMMYFUNCTION("""COMPUTED_VALUE"""),"03 ORL")</f>
        <v>03 ORL</v>
      </c>
      <c r="N828" s="6" t="str">
        <f ca="1">IFERROR(__xludf.DUMMYFUNCTION("""COMPUTED_VALUE"""),"06 ORL")</f>
        <v>06 ORL</v>
      </c>
      <c r="O828" s="6" t="str">
        <f ca="1">IFERROR(__xludf.DUMMYFUNCTION("""COMPUTED_VALUE"""),"Dra, Cristina Esther Torregrosa Carrasquer")</f>
        <v>Dra, Cristina Esther Torregrosa Carrasquer</v>
      </c>
      <c r="P828" s="6" t="str">
        <f ca="1">IFERROR(__xludf.DUMMYFUNCTION("""COMPUTED_VALUE"""),"Iván Sánchez (Levante Y Albacete)")</f>
        <v>Iván Sánchez (Levante Y Albacete)</v>
      </c>
    </row>
    <row r="829" spans="2:16">
      <c r="B829" s="6">
        <f ca="1">IFERROR(__xludf.DUMMYFUNCTION("""COMPUTED_VALUE"""),2025)</f>
        <v>2025</v>
      </c>
      <c r="C829" s="6">
        <f ca="1">IFERROR(__xludf.DUMMYFUNCTION("""COMPUTED_VALUE"""),6)</f>
        <v>6</v>
      </c>
      <c r="D829" s="6" t="str">
        <f ca="1">IFERROR(__xludf.DUMMYFUNCTION("""COMPUTED_VALUE"""),"NO")</f>
        <v>NO</v>
      </c>
      <c r="E829" s="6" t="str">
        <f ca="1">IFERROR(__xludf.DUMMYFUNCTION("""COMPUTED_VALUE"""),"Murcia")</f>
        <v>Murcia</v>
      </c>
      <c r="F829" s="16">
        <f ca="1">IFERROR(__xludf.DUMMYFUNCTION("""COMPUTED_VALUE"""),45811)</f>
        <v>45811</v>
      </c>
      <c r="G829" s="16">
        <f ca="1">IFERROR(__xludf.DUMMYFUNCTION("""COMPUTED_VALUE"""),45797)</f>
        <v>45797</v>
      </c>
      <c r="H829" s="6" t="str">
        <f ca="1">IFERROR(__xludf.DUMMYFUNCTION("""COMPUTED_VALUE"""),"Murcia")</f>
        <v>Murcia</v>
      </c>
      <c r="I829" s="6" t="str">
        <f ca="1">IFERROR(__xludf.DUMMYFUNCTION("""COMPUTED_VALUE"""),"C2025521105035320")</f>
        <v>C2025521105035320</v>
      </c>
      <c r="J829" s="6" t="str">
        <f ca="1">IFERROR(__xludf.DUMMYFUNCTION("""COMPUTED_VALUE"""),"FRANCISCO MENDEZ APARICIO")</f>
        <v>FRANCISCO MENDEZ APARICIO</v>
      </c>
      <c r="K829" s="6">
        <f ca="1">IFERROR(__xludf.DUMMYFUNCTION("""COMPUTED_VALUE"""),1)</f>
        <v>1</v>
      </c>
      <c r="L829" s="139">
        <f ca="1">IFERROR(__xludf.DUMMYFUNCTION("""COMPUTED_VALUE"""),2272.73)</f>
        <v>2272.73</v>
      </c>
      <c r="M829" s="6" t="str">
        <f ca="1">IFERROR(__xludf.DUMMYFUNCTION("""COMPUTED_VALUE"""),"03 ORL")</f>
        <v>03 ORL</v>
      </c>
      <c r="N829" s="6" t="str">
        <f ca="1">IFERROR(__xludf.DUMMYFUNCTION("""COMPUTED_VALUE"""),"06 ORL")</f>
        <v>06 ORL</v>
      </c>
      <c r="O829" s="6" t="str">
        <f ca="1">IFERROR(__xludf.DUMMYFUNCTION("""COMPUTED_VALUE"""),"Dra, María Agustina Sevilla García")</f>
        <v>Dra, María Agustina Sevilla García</v>
      </c>
      <c r="P829" s="6" t="str">
        <f ca="1">IFERROR(__xludf.DUMMYFUNCTION("""COMPUTED_VALUE"""),"Iván Sánchez (Levante Y Albacete)")</f>
        <v>Iván Sánchez (Levante Y Albacete)</v>
      </c>
    </row>
    <row r="830" spans="2:16">
      <c r="B830" s="6">
        <f ca="1">IFERROR(__xludf.DUMMYFUNCTION("""COMPUTED_VALUE"""),2025)</f>
        <v>2025</v>
      </c>
      <c r="C830" s="6">
        <f ca="1">IFERROR(__xludf.DUMMYFUNCTION("""COMPUTED_VALUE"""),6)</f>
        <v>6</v>
      </c>
      <c r="D830" s="6" t="str">
        <f ca="1">IFERROR(__xludf.DUMMYFUNCTION("""COMPUTED_VALUE"""),"NO")</f>
        <v>NO</v>
      </c>
      <c r="E830" s="6" t="str">
        <f ca="1">IFERROR(__xludf.DUMMYFUNCTION("""COMPUTED_VALUE"""),"Murcia")</f>
        <v>Murcia</v>
      </c>
      <c r="F830" s="16">
        <f ca="1">IFERROR(__xludf.DUMMYFUNCTION("""COMPUTED_VALUE"""),45832)</f>
        <v>45832</v>
      </c>
      <c r="G830" s="16">
        <f ca="1">IFERROR(__xludf.DUMMYFUNCTION("""COMPUTED_VALUE"""),45799)</f>
        <v>45799</v>
      </c>
      <c r="H830" s="6" t="str">
        <f ca="1">IFERROR(__xludf.DUMMYFUNCTION("""COMPUTED_VALUE"""),"Murcia")</f>
        <v>Murcia</v>
      </c>
      <c r="I830" s="6" t="str">
        <f ca="1">IFERROR(__xludf.DUMMYFUNCTION("""COMPUTED_VALUE"""),"C2025527104597")</f>
        <v>C2025527104597</v>
      </c>
      <c r="J830" s="6" t="str">
        <f ca="1">IFERROR(__xludf.DUMMYFUNCTION("""COMPUTED_VALUE"""),"ISABEL FERNANDEZ DE MAYA")</f>
        <v>ISABEL FERNANDEZ DE MAYA</v>
      </c>
      <c r="K830" s="6">
        <f ca="1">IFERROR(__xludf.DUMMYFUNCTION("""COMPUTED_VALUE"""),1)</f>
        <v>1</v>
      </c>
      <c r="L830" s="139">
        <f ca="1">IFERROR(__xludf.DUMMYFUNCTION("""COMPUTED_VALUE"""),1732.69)</f>
        <v>1732.69</v>
      </c>
      <c r="M830" s="6" t="str">
        <f ca="1">IFERROR(__xludf.DUMMYFUNCTION("""COMPUTED_VALUE"""),"03 ORL")</f>
        <v>03 ORL</v>
      </c>
      <c r="N830" s="6" t="str">
        <f ca="1">IFERROR(__xludf.DUMMYFUNCTION("""COMPUTED_VALUE"""),"06 ORL")</f>
        <v>06 ORL</v>
      </c>
      <c r="O830" s="6" t="str">
        <f ca="1">IFERROR(__xludf.DUMMYFUNCTION("""COMPUTED_VALUE"""),"Dr, Enrique López Meseguer")</f>
        <v>Dr, Enrique López Meseguer</v>
      </c>
      <c r="P830" s="6" t="str">
        <f ca="1">IFERROR(__xludf.DUMMYFUNCTION("""COMPUTED_VALUE"""),"Iván Sánchez (Levante Y Albacete)")</f>
        <v>Iván Sánchez (Levante Y Albacete)</v>
      </c>
    </row>
    <row r="831" spans="2:16">
      <c r="B831" s="6">
        <f ca="1">IFERROR(__xludf.DUMMYFUNCTION("""COMPUTED_VALUE"""),2025)</f>
        <v>2025</v>
      </c>
      <c r="C831" s="6">
        <f ca="1">IFERROR(__xludf.DUMMYFUNCTION("""COMPUTED_VALUE"""),6)</f>
        <v>6</v>
      </c>
      <c r="D831" s="6" t="str">
        <f ca="1">IFERROR(__xludf.DUMMYFUNCTION("""COMPUTED_VALUE"""),"NO")</f>
        <v>NO</v>
      </c>
      <c r="E831" s="6" t="str">
        <f ca="1">IFERROR(__xludf.DUMMYFUNCTION("""COMPUTED_VALUE"""),"Murcia")</f>
        <v>Murcia</v>
      </c>
      <c r="F831" s="16">
        <f ca="1">IFERROR(__xludf.DUMMYFUNCTION("""COMPUTED_VALUE"""),45834)</f>
        <v>45834</v>
      </c>
      <c r="G831" s="16">
        <f ca="1">IFERROR(__xludf.DUMMYFUNCTION("""COMPUTED_VALUE"""),45313)</f>
        <v>45313</v>
      </c>
      <c r="H831" s="6" t="str">
        <f ca="1">IFERROR(__xludf.DUMMYFUNCTION("""COMPUTED_VALUE"""),"Murcia")</f>
        <v>Murcia</v>
      </c>
      <c r="I831" s="6" t="str">
        <f ca="1">IFERROR(__xludf.DUMMYFUNCTION("""COMPUTED_VALUE"""),"MUR-1817")</f>
        <v>MUR-1817</v>
      </c>
      <c r="J831" s="6" t="str">
        <f ca="1">IFERROR(__xludf.DUMMYFUNCTION("""COMPUTED_VALUE"""),"LUISA MARIA GRECH MONTORO")</f>
        <v>LUISA MARIA GRECH MONTORO</v>
      </c>
      <c r="K831" s="6">
        <f ca="1">IFERROR(__xludf.DUMMYFUNCTION("""COMPUTED_VALUE"""),2)</f>
        <v>2</v>
      </c>
      <c r="L831" s="139">
        <f ca="1">IFERROR(__xludf.DUMMYFUNCTION("""COMPUTED_VALUE"""),4400)</f>
        <v>4400</v>
      </c>
      <c r="M831" s="6" t="str">
        <f ca="1">IFERROR(__xludf.DUMMYFUNCTION("""COMPUTED_VALUE"""),"03 ORL")</f>
        <v>03 ORL</v>
      </c>
      <c r="N831" s="6" t="str">
        <f ca="1">IFERROR(__xludf.DUMMYFUNCTION("""COMPUTED_VALUE"""),"06 ORL")</f>
        <v>06 ORL</v>
      </c>
      <c r="O831" s="6" t="str">
        <f ca="1">IFERROR(__xludf.DUMMYFUNCTION("""COMPUTED_VALUE"""),"Dra, María Agustina Sevilla García")</f>
        <v>Dra, María Agustina Sevilla García</v>
      </c>
      <c r="P831" s="6" t="str">
        <f ca="1">IFERROR(__xludf.DUMMYFUNCTION("""COMPUTED_VALUE"""),"Iván Sánchez (Levante Y Albacete)")</f>
        <v>Iván Sánchez (Levante Y Albacete)</v>
      </c>
    </row>
    <row r="832" spans="2:16">
      <c r="B832" s="6">
        <f ca="1">IFERROR(__xludf.DUMMYFUNCTION("""COMPUTED_VALUE"""),2025)</f>
        <v>2025</v>
      </c>
      <c r="C832" s="6">
        <f ca="1">IFERROR(__xludf.DUMMYFUNCTION("""COMPUTED_VALUE"""),6)</f>
        <v>6</v>
      </c>
      <c r="D832" s="6" t="str">
        <f ca="1">IFERROR(__xludf.DUMMYFUNCTION("""COMPUTED_VALUE"""),"NO")</f>
        <v>NO</v>
      </c>
      <c r="E832" s="6" t="str">
        <f ca="1">IFERROR(__xludf.DUMMYFUNCTION("""COMPUTED_VALUE"""),"Murcia")</f>
        <v>Murcia</v>
      </c>
      <c r="F832" s="16">
        <f ca="1">IFERROR(__xludf.DUMMYFUNCTION("""COMPUTED_VALUE"""),45832)</f>
        <v>45832</v>
      </c>
      <c r="G832" s="16">
        <f ca="1">IFERROR(__xludf.DUMMYFUNCTION("""COMPUTED_VALUE"""),45810)</f>
        <v>45810</v>
      </c>
      <c r="H832" s="6" t="str">
        <f ca="1">IFERROR(__xludf.DUMMYFUNCTION("""COMPUTED_VALUE"""),"Murcia")</f>
        <v>Murcia</v>
      </c>
      <c r="I832" s="6" t="str">
        <f ca="1">IFERROR(__xludf.DUMMYFUNCTION("""COMPUTED_VALUE"""),"C2025610125137693")</f>
        <v>C2025610125137693</v>
      </c>
      <c r="J832" s="6" t="str">
        <f ca="1">IFERROR(__xludf.DUMMYFUNCTION("""COMPUTED_VALUE"""),"TERESA NOGUERA SANCHEZ")</f>
        <v>TERESA NOGUERA SANCHEZ</v>
      </c>
      <c r="K832" s="6">
        <f ca="1">IFERROR(__xludf.DUMMYFUNCTION("""COMPUTED_VALUE"""),1)</f>
        <v>1</v>
      </c>
      <c r="L832" s="139">
        <f ca="1">IFERROR(__xludf.DUMMYFUNCTION("""COMPUTED_VALUE"""),2067.27)</f>
        <v>2067.27</v>
      </c>
      <c r="M832" s="6" t="str">
        <f ca="1">IFERROR(__xludf.DUMMYFUNCTION("""COMPUTED_VALUE"""),"03 ORL")</f>
        <v>03 ORL</v>
      </c>
      <c r="N832" s="6" t="str">
        <f ca="1">IFERROR(__xludf.DUMMYFUNCTION("""COMPUTED_VALUE"""),"06 ORL")</f>
        <v>06 ORL</v>
      </c>
      <c r="O832" s="6" t="str">
        <f ca="1">IFERROR(__xludf.DUMMYFUNCTION("""COMPUTED_VALUE"""),"Dra, María Agustina Sevilla García")</f>
        <v>Dra, María Agustina Sevilla García</v>
      </c>
      <c r="P832" s="6" t="str">
        <f ca="1">IFERROR(__xludf.DUMMYFUNCTION("""COMPUTED_VALUE"""),"Iván Sánchez (Levante Y Albacete)")</f>
        <v>Iván Sánchez (Levante Y Albacete)</v>
      </c>
    </row>
    <row r="833" spans="2:16">
      <c r="B833" s="6">
        <f ca="1">IFERROR(__xludf.DUMMYFUNCTION("""COMPUTED_VALUE"""),2025)</f>
        <v>2025</v>
      </c>
      <c r="C833" s="6">
        <f ca="1">IFERROR(__xludf.DUMMYFUNCTION("""COMPUTED_VALUE"""),6)</f>
        <v>6</v>
      </c>
      <c r="D833" s="6" t="str">
        <f ca="1">IFERROR(__xludf.DUMMYFUNCTION("""COMPUTED_VALUE"""),"NO")</f>
        <v>NO</v>
      </c>
      <c r="E833" s="6" t="str">
        <f ca="1">IFERROR(__xludf.DUMMYFUNCTION("""COMPUTED_VALUE"""),"Orihuela")</f>
        <v>Orihuela</v>
      </c>
      <c r="F833" s="16">
        <f ca="1">IFERROR(__xludf.DUMMYFUNCTION("""COMPUTED_VALUE"""),45810)</f>
        <v>45810</v>
      </c>
      <c r="G833" s="16">
        <f ca="1">IFERROR(__xludf.DUMMYFUNCTION("""COMPUTED_VALUE"""),45793)</f>
        <v>45793</v>
      </c>
      <c r="H833" s="6" t="str">
        <f ca="1">IFERROR(__xludf.DUMMYFUNCTION("""COMPUTED_VALUE"""),"La Zenia")</f>
        <v>La Zenia</v>
      </c>
      <c r="I833" s="6" t="str">
        <f ca="1">IFERROR(__xludf.DUMMYFUNCTION("""COMPUTED_VALUE"""),"C202552117331316")</f>
        <v>C202552117331316</v>
      </c>
      <c r="J833" s="6" t="str">
        <f ca="1">IFERROR(__xludf.DUMMYFUNCTION("""COMPUTED_VALUE"""),"ALEXANDRA PHILLIPS")</f>
        <v>ALEXANDRA PHILLIPS</v>
      </c>
      <c r="K833" s="6">
        <f ca="1">IFERROR(__xludf.DUMMYFUNCTION("""COMPUTED_VALUE"""),2)</f>
        <v>2</v>
      </c>
      <c r="L833" s="139">
        <f ca="1">IFERROR(__xludf.DUMMYFUNCTION("""COMPUTED_VALUE"""),2888.18)</f>
        <v>2888.18</v>
      </c>
      <c r="M833" s="6" t="str">
        <f ca="1">IFERROR(__xludf.DUMMYFUNCTION("""COMPUTED_VALUE"""),"03 ORL")</f>
        <v>03 ORL</v>
      </c>
      <c r="N833" s="6" t="str">
        <f ca="1">IFERROR(__xludf.DUMMYFUNCTION("""COMPUTED_VALUE"""),"06 ORL")</f>
        <v>06 ORL</v>
      </c>
      <c r="O833" s="6" t="str">
        <f ca="1">IFERROR(__xludf.DUMMYFUNCTION("""COMPUTED_VALUE"""),"Dra, Aurora López Llames")</f>
        <v>Dra, Aurora López Llames</v>
      </c>
      <c r="P833" s="6" t="str">
        <f ca="1">IFERROR(__xludf.DUMMYFUNCTION("""COMPUTED_VALUE"""),"Iván Sánchez (Levante Y Albacete)")</f>
        <v>Iván Sánchez (Levante Y Albacete)</v>
      </c>
    </row>
    <row r="834" spans="2:16">
      <c r="B834" s="6">
        <f ca="1">IFERROR(__xludf.DUMMYFUNCTION("""COMPUTED_VALUE"""),2025)</f>
        <v>2025</v>
      </c>
      <c r="C834" s="6">
        <f ca="1">IFERROR(__xludf.DUMMYFUNCTION("""COMPUTED_VALUE"""),6)</f>
        <v>6</v>
      </c>
      <c r="D834" s="6" t="str">
        <f ca="1">IFERROR(__xludf.DUMMYFUNCTION("""COMPUTED_VALUE"""),"NO")</f>
        <v>NO</v>
      </c>
      <c r="E834" s="6" t="str">
        <f ca="1">IFERROR(__xludf.DUMMYFUNCTION("""COMPUTED_VALUE"""),"Orihuela")</f>
        <v>Orihuela</v>
      </c>
      <c r="F834" s="16">
        <f ca="1">IFERROR(__xludf.DUMMYFUNCTION("""COMPUTED_VALUE"""),45838)</f>
        <v>45838</v>
      </c>
      <c r="G834" s="16">
        <f ca="1">IFERROR(__xludf.DUMMYFUNCTION("""COMPUTED_VALUE"""),45812)</f>
        <v>45812</v>
      </c>
      <c r="H834" s="6" t="str">
        <f ca="1">IFERROR(__xludf.DUMMYFUNCTION("""COMPUTED_VALUE"""),"La Zenia")</f>
        <v>La Zenia</v>
      </c>
      <c r="I834" s="6" t="str">
        <f ca="1">IFERROR(__xludf.DUMMYFUNCTION("""COMPUTED_VALUE"""),"C20256511404517")</f>
        <v>C20256511404517</v>
      </c>
      <c r="J834" s="6" t="str">
        <f ca="1">IFERROR(__xludf.DUMMYFUNCTION("""COMPUTED_VALUE"""),"ANTONIO FERNANDEZ GONZALEZ")</f>
        <v>ANTONIO FERNANDEZ GONZALEZ</v>
      </c>
      <c r="K834" s="6">
        <f ca="1">IFERROR(__xludf.DUMMYFUNCTION("""COMPUTED_VALUE"""),2)</f>
        <v>2</v>
      </c>
      <c r="L834" s="139">
        <f ca="1">IFERROR(__xludf.DUMMYFUNCTION("""COMPUTED_VALUE"""),3710)</f>
        <v>3710</v>
      </c>
      <c r="M834" s="6" t="str">
        <f ca="1">IFERROR(__xludf.DUMMYFUNCTION("""COMPUTED_VALUE"""),"03 ORL")</f>
        <v>03 ORL</v>
      </c>
      <c r="N834" s="6" t="str">
        <f ca="1">IFERROR(__xludf.DUMMYFUNCTION("""COMPUTED_VALUE"""),"06 ORL")</f>
        <v>06 ORL</v>
      </c>
      <c r="O834" s="6" t="str">
        <f ca="1">IFERROR(__xludf.DUMMYFUNCTION("""COMPUTED_VALUE"""),"Dr, Santiago Moreno Paredes")</f>
        <v>Dr, Santiago Moreno Paredes</v>
      </c>
      <c r="P834" s="6" t="str">
        <f ca="1">IFERROR(__xludf.DUMMYFUNCTION("""COMPUTED_VALUE"""),"Iván Sánchez (Levante Y Albacete)")</f>
        <v>Iván Sánchez (Levante Y Albacete)</v>
      </c>
    </row>
    <row r="835" spans="2:16">
      <c r="B835" s="6">
        <f ca="1">IFERROR(__xludf.DUMMYFUNCTION("""COMPUTED_VALUE"""),2025)</f>
        <v>2025</v>
      </c>
      <c r="C835" s="6">
        <f ca="1">IFERROR(__xludf.DUMMYFUNCTION("""COMPUTED_VALUE"""),6)</f>
        <v>6</v>
      </c>
      <c r="D835" s="6" t="str">
        <f ca="1">IFERROR(__xludf.DUMMYFUNCTION("""COMPUTED_VALUE"""),"NO")</f>
        <v>NO</v>
      </c>
      <c r="E835" s="6" t="str">
        <f ca="1">IFERROR(__xludf.DUMMYFUNCTION("""COMPUTED_VALUE"""),"Orihuela")</f>
        <v>Orihuela</v>
      </c>
      <c r="F835" s="16">
        <f ca="1">IFERROR(__xludf.DUMMYFUNCTION("""COMPUTED_VALUE"""),45825)</f>
        <v>45825</v>
      </c>
      <c r="G835" s="16">
        <f ca="1">IFERROR(__xludf.DUMMYFUNCTION("""COMPUTED_VALUE"""),45798)</f>
        <v>45798</v>
      </c>
      <c r="H835" s="6" t="str">
        <f ca="1">IFERROR(__xludf.DUMMYFUNCTION("""COMPUTED_VALUE"""),"La Zenia")</f>
        <v>La Zenia</v>
      </c>
      <c r="I835" s="6" t="str">
        <f ca="1">IFERROR(__xludf.DUMMYFUNCTION("""COMPUTED_VALUE"""),"C2025523114011999")</f>
        <v>C2025523114011999</v>
      </c>
      <c r="J835" s="6" t="str">
        <f ca="1">IFERROR(__xludf.DUMMYFUNCTION("""COMPUTED_VALUE"""),"MARIA GUTIERREZ BIOSCA")</f>
        <v>MARIA GUTIERREZ BIOSCA</v>
      </c>
      <c r="K835" s="6">
        <f ca="1">IFERROR(__xludf.DUMMYFUNCTION("""COMPUTED_VALUE"""),2)</f>
        <v>2</v>
      </c>
      <c r="L835" s="139">
        <f ca="1">IFERROR(__xludf.DUMMYFUNCTION("""COMPUTED_VALUE"""),2888.18)</f>
        <v>2888.18</v>
      </c>
      <c r="M835" s="6" t="str">
        <f ca="1">IFERROR(__xludf.DUMMYFUNCTION("""COMPUTED_VALUE"""),"03 ORL")</f>
        <v>03 ORL</v>
      </c>
      <c r="N835" s="6" t="str">
        <f ca="1">IFERROR(__xludf.DUMMYFUNCTION("""COMPUTED_VALUE"""),"06 ORL")</f>
        <v>06 ORL</v>
      </c>
      <c r="O835" s="6" t="str">
        <f ca="1">IFERROR(__xludf.DUMMYFUNCTION("""COMPUTED_VALUE"""),"Dra, Paula Hernández Ruíz")</f>
        <v>Dra, Paula Hernández Ruíz</v>
      </c>
      <c r="P835" s="6" t="str">
        <f ca="1">IFERROR(__xludf.DUMMYFUNCTION("""COMPUTED_VALUE"""),"Iván Sánchez (Levante Y Albacete)")</f>
        <v>Iván Sánchez (Levante Y Albacete)</v>
      </c>
    </row>
    <row r="836" spans="2:16">
      <c r="B836" s="6">
        <f ca="1">IFERROR(__xludf.DUMMYFUNCTION("""COMPUTED_VALUE"""),2025)</f>
        <v>2025</v>
      </c>
      <c r="C836" s="6">
        <f ca="1">IFERROR(__xludf.DUMMYFUNCTION("""COMPUTED_VALUE"""),6)</f>
        <v>6</v>
      </c>
      <c r="D836" s="6" t="str">
        <f ca="1">IFERROR(__xludf.DUMMYFUNCTION("""COMPUTED_VALUE"""),"NO")</f>
        <v>NO</v>
      </c>
      <c r="E836" s="6" t="str">
        <f ca="1">IFERROR(__xludf.DUMMYFUNCTION("""COMPUTED_VALUE"""),"Orihuela")</f>
        <v>Orihuela</v>
      </c>
      <c r="F836" s="16">
        <f ca="1">IFERROR(__xludf.DUMMYFUNCTION("""COMPUTED_VALUE"""),45834)</f>
        <v>45834</v>
      </c>
      <c r="G836" s="16">
        <f ca="1">IFERROR(__xludf.DUMMYFUNCTION("""COMPUTED_VALUE"""),45803)</f>
        <v>45803</v>
      </c>
      <c r="H836" s="6" t="str">
        <f ca="1">IFERROR(__xludf.DUMMYFUNCTION("""COMPUTED_VALUE"""),"La Zenia")</f>
        <v>La Zenia</v>
      </c>
      <c r="I836" s="6" t="str">
        <f ca="1">IFERROR(__xludf.DUMMYFUNCTION("""COMPUTED_VALUE"""),"C20255281835178")</f>
        <v>C20255281835178</v>
      </c>
      <c r="J836" s="6" t="str">
        <f ca="1">IFERROR(__xludf.DUMMYFUNCTION("""COMPUTED_VALUE"""),"MARTHA GLORIA HOLT")</f>
        <v>MARTHA GLORIA HOLT</v>
      </c>
      <c r="K836" s="6">
        <f ca="1">IFERROR(__xludf.DUMMYFUNCTION("""COMPUTED_VALUE"""),2)</f>
        <v>2</v>
      </c>
      <c r="L836" s="139">
        <f ca="1">IFERROR(__xludf.DUMMYFUNCTION("""COMPUTED_VALUE"""),3710)</f>
        <v>3710</v>
      </c>
      <c r="M836" s="6" t="str">
        <f ca="1">IFERROR(__xludf.DUMMYFUNCTION("""COMPUTED_VALUE"""),"01 MARKETING ON LINE")</f>
        <v>01 MARKETING ON LINE</v>
      </c>
      <c r="N836" s="6" t="str">
        <f ca="1">IFERROR(__xludf.DUMMYFUNCTION("""COMPUTED_VALUE"""),"04 AUDIFONO,ES")</f>
        <v>04 AUDIFONO,ES</v>
      </c>
      <c r="O836" s="6" t="str">
        <f ca="1">IFERROR(__xludf.DUMMYFUNCTION("""COMPUTED_VALUE"""),"Dra, Oreana Carolina Camacaro González")</f>
        <v>Dra, Oreana Carolina Camacaro González</v>
      </c>
      <c r="P836" s="6" t="str">
        <f ca="1">IFERROR(__xludf.DUMMYFUNCTION("""COMPUTED_VALUE"""),"Iván Sánchez (Levante Y Albacete)")</f>
        <v>Iván Sánchez (Levante Y Albacete)</v>
      </c>
    </row>
    <row r="837" spans="2:16">
      <c r="B837" s="6">
        <f ca="1">IFERROR(__xludf.DUMMYFUNCTION("""COMPUTED_VALUE"""),2025)</f>
        <v>2025</v>
      </c>
      <c r="C837" s="6">
        <f ca="1">IFERROR(__xludf.DUMMYFUNCTION("""COMPUTED_VALUE"""),6)</f>
        <v>6</v>
      </c>
      <c r="D837" s="6" t="str">
        <f ca="1">IFERROR(__xludf.DUMMYFUNCTION("""COMPUTED_VALUE"""),"NO")</f>
        <v>NO</v>
      </c>
      <c r="E837" s="6" t="str">
        <f ca="1">IFERROR(__xludf.DUMMYFUNCTION("""COMPUTED_VALUE"""),"Orihuela")</f>
        <v>Orihuela</v>
      </c>
      <c r="F837" s="16">
        <f ca="1">IFERROR(__xludf.DUMMYFUNCTION("""COMPUTED_VALUE"""),45812)</f>
        <v>45812</v>
      </c>
      <c r="G837" s="16">
        <f ca="1">IFERROR(__xludf.DUMMYFUNCTION("""COMPUTED_VALUE"""),45792)</f>
        <v>45792</v>
      </c>
      <c r="H837" s="6" t="str">
        <f ca="1">IFERROR(__xludf.DUMMYFUNCTION("""COMPUTED_VALUE"""),"La Zenia")</f>
        <v>La Zenia</v>
      </c>
      <c r="I837" s="6" t="str">
        <f ca="1">IFERROR(__xludf.DUMMYFUNCTION("""COMPUTED_VALUE"""),"C20255191662772")</f>
        <v>C20255191662772</v>
      </c>
      <c r="J837" s="6" t="str">
        <f ca="1">IFERROR(__xludf.DUMMYFUNCTION("""COMPUTED_VALUE"""),"PETER STANLEY BURROUGH")</f>
        <v>PETER STANLEY BURROUGH</v>
      </c>
      <c r="K837" s="6">
        <f ca="1">IFERROR(__xludf.DUMMYFUNCTION("""COMPUTED_VALUE"""),2)</f>
        <v>2</v>
      </c>
      <c r="L837" s="139">
        <f ca="1">IFERROR(__xludf.DUMMYFUNCTION("""COMPUTED_VALUE"""),4000)</f>
        <v>4000</v>
      </c>
      <c r="M837" s="6" t="str">
        <f ca="1">IFERROR(__xludf.DUMMYFUNCTION("""COMPUTED_VALUE"""),"03 ORL")</f>
        <v>03 ORL</v>
      </c>
      <c r="N837" s="6" t="str">
        <f ca="1">IFERROR(__xludf.DUMMYFUNCTION("""COMPUTED_VALUE"""),"06 ORL")</f>
        <v>06 ORL</v>
      </c>
      <c r="O837" s="6" t="str">
        <f ca="1">IFERROR(__xludf.DUMMYFUNCTION("""COMPUTED_VALUE"""),"Dra, Marina Pérez Grau")</f>
        <v>Dra, Marina Pérez Grau</v>
      </c>
      <c r="P837" s="6" t="str">
        <f ca="1">IFERROR(__xludf.DUMMYFUNCTION("""COMPUTED_VALUE"""),"Iván Sánchez (Levante Y Albacete)")</f>
        <v>Iván Sánchez (Levante Y Albacete)</v>
      </c>
    </row>
    <row r="838" spans="2:16">
      <c r="B838" s="6">
        <f ca="1">IFERROR(__xludf.DUMMYFUNCTION("""COMPUTED_VALUE"""),2025)</f>
        <v>2025</v>
      </c>
      <c r="C838" s="6">
        <f ca="1">IFERROR(__xludf.DUMMYFUNCTION("""COMPUTED_VALUE"""),6)</f>
        <v>6</v>
      </c>
      <c r="D838" s="6" t="str">
        <f ca="1">IFERROR(__xludf.DUMMYFUNCTION("""COMPUTED_VALUE"""),"NO")</f>
        <v>NO</v>
      </c>
      <c r="E838" s="6" t="str">
        <f ca="1">IFERROR(__xludf.DUMMYFUNCTION("""COMPUTED_VALUE"""),"Orihuela")</f>
        <v>Orihuela</v>
      </c>
      <c r="F838" s="16">
        <f ca="1">IFERROR(__xludf.DUMMYFUNCTION("""COMPUTED_VALUE"""),45824)</f>
        <v>45824</v>
      </c>
      <c r="G838" s="16">
        <f ca="1">IFERROR(__xludf.DUMMYFUNCTION("""COMPUTED_VALUE"""),45785)</f>
        <v>45785</v>
      </c>
      <c r="H838" s="6" t="str">
        <f ca="1">IFERROR(__xludf.DUMMYFUNCTION("""COMPUTED_VALUE"""),"La Zenia")</f>
        <v>La Zenia</v>
      </c>
      <c r="I838" s="6" t="str">
        <f ca="1">IFERROR(__xludf.DUMMYFUNCTION("""COMPUTED_VALUE"""),"C2025514162150957")</f>
        <v>C2025514162150957</v>
      </c>
      <c r="J838" s="6" t="str">
        <f ca="1">IFERROR(__xludf.DUMMYFUNCTION("""COMPUTED_VALUE"""),"STEPHEN FRASER")</f>
        <v>STEPHEN FRASER</v>
      </c>
      <c r="K838" s="6">
        <f ca="1">IFERROR(__xludf.DUMMYFUNCTION("""COMPUTED_VALUE"""),2)</f>
        <v>2</v>
      </c>
      <c r="L838" s="139">
        <f ca="1">IFERROR(__xludf.DUMMYFUNCTION("""COMPUTED_VALUE"""),4000)</f>
        <v>4000</v>
      </c>
      <c r="M838" s="6" t="str">
        <f ca="1">IFERROR(__xludf.DUMMYFUNCTION("""COMPUTED_VALUE"""),"03 ORL")</f>
        <v>03 ORL</v>
      </c>
      <c r="N838" s="6" t="str">
        <f ca="1">IFERROR(__xludf.DUMMYFUNCTION("""COMPUTED_VALUE"""),"06 ORL")</f>
        <v>06 ORL</v>
      </c>
      <c r="O838" s="6" t="str">
        <f ca="1">IFERROR(__xludf.DUMMYFUNCTION("""COMPUTED_VALUE"""),"Dr, Santiago Moreno Paredes")</f>
        <v>Dr, Santiago Moreno Paredes</v>
      </c>
      <c r="P838" s="6" t="str">
        <f ca="1">IFERROR(__xludf.DUMMYFUNCTION("""COMPUTED_VALUE"""),"Iván Sánchez (Levante Y Albacete)")</f>
        <v>Iván Sánchez (Levante Y Albacete)</v>
      </c>
    </row>
    <row r="839" spans="2:16">
      <c r="B839" s="6">
        <f ca="1">IFERROR(__xludf.DUMMYFUNCTION("""COMPUTED_VALUE"""),2025)</f>
        <v>2025</v>
      </c>
      <c r="C839" s="6">
        <f ca="1">IFERROR(__xludf.DUMMYFUNCTION("""COMPUTED_VALUE"""),6)</f>
        <v>6</v>
      </c>
      <c r="D839" s="6" t="str">
        <f ca="1">IFERROR(__xludf.DUMMYFUNCTION("""COMPUTED_VALUE"""),"NO")</f>
        <v>NO</v>
      </c>
      <c r="E839" s="6" t="str">
        <f ca="1">IFERROR(__xludf.DUMMYFUNCTION("""COMPUTED_VALUE"""),"Ourense")</f>
        <v>Ourense</v>
      </c>
      <c r="F839" s="16">
        <f ca="1">IFERROR(__xludf.DUMMYFUNCTION("""COMPUTED_VALUE"""),45814)</f>
        <v>45814</v>
      </c>
      <c r="G839" s="16">
        <f ca="1">IFERROR(__xludf.DUMMYFUNCTION("""COMPUTED_VALUE"""),45783)</f>
        <v>45783</v>
      </c>
      <c r="H839" s="6" t="str">
        <f ca="1">IFERROR(__xludf.DUMMYFUNCTION("""COMPUTED_VALUE"""),"Orense")</f>
        <v>Orense</v>
      </c>
      <c r="I839" s="6" t="str">
        <f ca="1">IFERROR(__xludf.DUMMYFUNCTION("""COMPUTED_VALUE"""),"C202558163459180")</f>
        <v>C202558163459180</v>
      </c>
      <c r="J839" s="6" t="str">
        <f ca="1">IFERROR(__xludf.DUMMYFUNCTION("""COMPUTED_VALUE"""),"CLAUDINA CARBALLO IGLESIAS")</f>
        <v>CLAUDINA CARBALLO IGLESIAS</v>
      </c>
      <c r="K839" s="6">
        <f ca="1">IFERROR(__xludf.DUMMYFUNCTION("""COMPUTED_VALUE"""),2)</f>
        <v>2</v>
      </c>
      <c r="L839" s="139">
        <f ca="1">IFERROR(__xludf.DUMMYFUNCTION("""COMPUTED_VALUE"""),3710)</f>
        <v>3710</v>
      </c>
      <c r="M839" s="6" t="str">
        <f ca="1">IFERROR(__xludf.DUMMYFUNCTION("""COMPUTED_VALUE"""),"03 ORL")</f>
        <v>03 ORL</v>
      </c>
      <c r="N839" s="6" t="str">
        <f ca="1">IFERROR(__xludf.DUMMYFUNCTION("""COMPUTED_VALUE"""),"06 ORL")</f>
        <v>06 ORL</v>
      </c>
      <c r="O839" s="6" t="str">
        <f ca="1">IFERROR(__xludf.DUMMYFUNCTION("""COMPUTED_VALUE"""),"Dra, María Rey Marcos")</f>
        <v>Dra, María Rey Marcos</v>
      </c>
      <c r="P839" s="6" t="str">
        <f ca="1">IFERROR(__xludf.DUMMYFUNCTION("""COMPUTED_VALUE"""),"Roberto Pereira (Galicia)")</f>
        <v>Roberto Pereira (Galicia)</v>
      </c>
    </row>
    <row r="840" spans="2:16">
      <c r="B840" s="6">
        <f ca="1">IFERROR(__xludf.DUMMYFUNCTION("""COMPUTED_VALUE"""),2025)</f>
        <v>2025</v>
      </c>
      <c r="C840" s="6">
        <f ca="1">IFERROR(__xludf.DUMMYFUNCTION("""COMPUTED_VALUE"""),6)</f>
        <v>6</v>
      </c>
      <c r="D840" s="6" t="str">
        <f ca="1">IFERROR(__xludf.DUMMYFUNCTION("""COMPUTED_VALUE"""),"NO")</f>
        <v>NO</v>
      </c>
      <c r="E840" s="6" t="str">
        <f ca="1">IFERROR(__xludf.DUMMYFUNCTION("""COMPUTED_VALUE"""),"Ourense")</f>
        <v>Ourense</v>
      </c>
      <c r="F840" s="16">
        <f ca="1">IFERROR(__xludf.DUMMYFUNCTION("""COMPUTED_VALUE"""),45814)</f>
        <v>45814</v>
      </c>
      <c r="G840" s="16">
        <f ca="1">IFERROR(__xludf.DUMMYFUNCTION("""COMPUTED_VALUE"""),45726)</f>
        <v>45726</v>
      </c>
      <c r="H840" s="6" t="str">
        <f ca="1">IFERROR(__xludf.DUMMYFUNCTION("""COMPUTED_VALUE"""),"Orense")</f>
        <v>Orense</v>
      </c>
      <c r="I840" s="6" t="str">
        <f ca="1">IFERROR(__xludf.DUMMYFUNCTION("""COMPUTED_VALUE"""),"C2025317153220721")</f>
        <v>C2025317153220721</v>
      </c>
      <c r="J840" s="6" t="str">
        <f ca="1">IFERROR(__xludf.DUMMYFUNCTION("""COMPUTED_VALUE"""),"JUAN GONZALEZ GONZALEZ")</f>
        <v>JUAN GONZALEZ GONZALEZ</v>
      </c>
      <c r="K840" s="6">
        <f ca="1">IFERROR(__xludf.DUMMYFUNCTION("""COMPUTED_VALUE"""),2)</f>
        <v>2</v>
      </c>
      <c r="L840" s="139">
        <f ca="1">IFERROR(__xludf.DUMMYFUNCTION("""COMPUTED_VALUE"""),4400)</f>
        <v>4400</v>
      </c>
      <c r="M840" s="6" t="str">
        <f ca="1">IFERROR(__xludf.DUMMYFUNCTION("""COMPUTED_VALUE"""),"03 ORL")</f>
        <v>03 ORL</v>
      </c>
      <c r="N840" s="6" t="str">
        <f ca="1">IFERROR(__xludf.DUMMYFUNCTION("""COMPUTED_VALUE"""),"06 ORL")</f>
        <v>06 ORL</v>
      </c>
      <c r="O840" s="6" t="str">
        <f ca="1">IFERROR(__xludf.DUMMYFUNCTION("""COMPUTED_VALUE"""),"Dr, Rafael Alfonso Hurtado Ruzza")</f>
        <v>Dr, Rafael Alfonso Hurtado Ruzza</v>
      </c>
      <c r="P840" s="6" t="str">
        <f ca="1">IFERROR(__xludf.DUMMYFUNCTION("""COMPUTED_VALUE"""),"Roberto Pereira (Galicia)")</f>
        <v>Roberto Pereira (Galicia)</v>
      </c>
    </row>
    <row r="841" spans="2:16">
      <c r="B841" s="6">
        <f ca="1">IFERROR(__xludf.DUMMYFUNCTION("""COMPUTED_VALUE"""),2025)</f>
        <v>2025</v>
      </c>
      <c r="C841" s="6">
        <f ca="1">IFERROR(__xludf.DUMMYFUNCTION("""COMPUTED_VALUE"""),6)</f>
        <v>6</v>
      </c>
      <c r="D841" s="6" t="str">
        <f ca="1">IFERROR(__xludf.DUMMYFUNCTION("""COMPUTED_VALUE"""),"NO")</f>
        <v>NO</v>
      </c>
      <c r="E841" s="6" t="str">
        <f ca="1">IFERROR(__xludf.DUMMYFUNCTION("""COMPUTED_VALUE"""),"Ourense")</f>
        <v>Ourense</v>
      </c>
      <c r="F841" s="16">
        <f ca="1">IFERROR(__xludf.DUMMYFUNCTION("""COMPUTED_VALUE"""),45834)</f>
        <v>45834</v>
      </c>
      <c r="G841" s="16">
        <f ca="1">IFERROR(__xludf.DUMMYFUNCTION("""COMPUTED_VALUE"""),45810)</f>
        <v>45810</v>
      </c>
      <c r="H841" s="6" t="str">
        <f ca="1">IFERROR(__xludf.DUMMYFUNCTION("""COMPUTED_VALUE"""),"Orense")</f>
        <v>Orense</v>
      </c>
      <c r="I841" s="6" t="str">
        <f ca="1">IFERROR(__xludf.DUMMYFUNCTION("""COMPUTED_VALUE"""),"C202564101055591")</f>
        <v>C202564101055591</v>
      </c>
      <c r="J841" s="6" t="str">
        <f ca="1">IFERROR(__xludf.DUMMYFUNCTION("""COMPUTED_VALUE"""),"MANUEL NIETO FORMOSO")</f>
        <v>MANUEL NIETO FORMOSO</v>
      </c>
      <c r="K841" s="6">
        <f ca="1">IFERROR(__xludf.DUMMYFUNCTION("""COMPUTED_VALUE"""),2)</f>
        <v>2</v>
      </c>
      <c r="L841" s="139">
        <f ca="1">IFERROR(__xludf.DUMMYFUNCTION("""COMPUTED_VALUE"""),3800)</f>
        <v>3800</v>
      </c>
      <c r="M841" s="6" t="str">
        <f ca="1">IFERROR(__xludf.DUMMYFUNCTION("""COMPUTED_VALUE"""),"03 ORL")</f>
        <v>03 ORL</v>
      </c>
      <c r="N841" s="6" t="str">
        <f ca="1">IFERROR(__xludf.DUMMYFUNCTION("""COMPUTED_VALUE"""),"06 ORL")</f>
        <v>06 ORL</v>
      </c>
      <c r="O841" s="6" t="str">
        <f ca="1">IFERROR(__xludf.DUMMYFUNCTION("""COMPUTED_VALUE"""),"Dra, María Rey Marcos")</f>
        <v>Dra, María Rey Marcos</v>
      </c>
      <c r="P841" s="6" t="str">
        <f ca="1">IFERROR(__xludf.DUMMYFUNCTION("""COMPUTED_VALUE"""),"Roberto Pereira (Galicia)")</f>
        <v>Roberto Pereira (Galicia)</v>
      </c>
    </row>
    <row r="842" spans="2:16">
      <c r="B842" s="6">
        <f ca="1">IFERROR(__xludf.DUMMYFUNCTION("""COMPUTED_VALUE"""),2025)</f>
        <v>2025</v>
      </c>
      <c r="C842" s="6">
        <f ca="1">IFERROR(__xludf.DUMMYFUNCTION("""COMPUTED_VALUE"""),6)</f>
        <v>6</v>
      </c>
      <c r="D842" s="6" t="str">
        <f ca="1">IFERROR(__xludf.DUMMYFUNCTION("""COMPUTED_VALUE"""),"NO")</f>
        <v>NO</v>
      </c>
      <c r="E842" s="6" t="str">
        <f ca="1">IFERROR(__xludf.DUMMYFUNCTION("""COMPUTED_VALUE"""),"Ourense")</f>
        <v>Ourense</v>
      </c>
      <c r="F842" s="16">
        <f ca="1">IFERROR(__xludf.DUMMYFUNCTION("""COMPUTED_VALUE"""),45825)</f>
        <v>45825</v>
      </c>
      <c r="G842" s="16">
        <f ca="1">IFERROR(__xludf.DUMMYFUNCTION("""COMPUTED_VALUE"""),45796)</f>
        <v>45796</v>
      </c>
      <c r="H842" s="6" t="str">
        <f ca="1">IFERROR(__xludf.DUMMYFUNCTION("""COMPUTED_VALUE"""),"Orense")</f>
        <v>Orense</v>
      </c>
      <c r="I842" s="6" t="str">
        <f ca="1">IFERROR(__xludf.DUMMYFUNCTION("""COMPUTED_VALUE"""),"C2025522111648984")</f>
        <v>C2025522111648984</v>
      </c>
      <c r="J842" s="6" t="str">
        <f ca="1">IFERROR(__xludf.DUMMYFUNCTION("""COMPUTED_VALUE"""),"MARIA DEL CARMEN NOBOA BLANCO")</f>
        <v>MARIA DEL CARMEN NOBOA BLANCO</v>
      </c>
      <c r="K842" s="6">
        <f ca="1">IFERROR(__xludf.DUMMYFUNCTION("""COMPUTED_VALUE"""),2)</f>
        <v>2</v>
      </c>
      <c r="L842" s="139">
        <f ca="1">IFERROR(__xludf.DUMMYFUNCTION("""COMPUTED_VALUE"""),3523.64)</f>
        <v>3523.64</v>
      </c>
      <c r="M842" s="6" t="str">
        <f ca="1">IFERROR(__xludf.DUMMYFUNCTION("""COMPUTED_VALUE"""),"03 ORL")</f>
        <v>03 ORL</v>
      </c>
      <c r="N842" s="6" t="str">
        <f ca="1">IFERROR(__xludf.DUMMYFUNCTION("""COMPUTED_VALUE"""),"06 ORL")</f>
        <v>06 ORL</v>
      </c>
      <c r="O842" s="6" t="str">
        <f ca="1">IFERROR(__xludf.DUMMYFUNCTION("""COMPUTED_VALUE"""),"Dr, Rafael Alfonso Hurtado Ruzza")</f>
        <v>Dr, Rafael Alfonso Hurtado Ruzza</v>
      </c>
      <c r="P842" s="6" t="str">
        <f ca="1">IFERROR(__xludf.DUMMYFUNCTION("""COMPUTED_VALUE"""),"Roberto Pereira (Galicia)")</f>
        <v>Roberto Pereira (Galicia)</v>
      </c>
    </row>
    <row r="843" spans="2:16">
      <c r="B843" s="6">
        <f ca="1">IFERROR(__xludf.DUMMYFUNCTION("""COMPUTED_VALUE"""),2025)</f>
        <v>2025</v>
      </c>
      <c r="C843" s="6">
        <f ca="1">IFERROR(__xludf.DUMMYFUNCTION("""COMPUTED_VALUE"""),6)</f>
        <v>6</v>
      </c>
      <c r="D843" s="6" t="str">
        <f ca="1">IFERROR(__xludf.DUMMYFUNCTION("""COMPUTED_VALUE"""),"NO")</f>
        <v>NO</v>
      </c>
      <c r="E843" s="6" t="str">
        <f ca="1">IFERROR(__xludf.DUMMYFUNCTION("""COMPUTED_VALUE"""),"Ourense")</f>
        <v>Ourense</v>
      </c>
      <c r="F843" s="16">
        <f ca="1">IFERROR(__xludf.DUMMYFUNCTION("""COMPUTED_VALUE"""),45828)</f>
        <v>45828</v>
      </c>
      <c r="G843" s="16">
        <f ca="1">IFERROR(__xludf.DUMMYFUNCTION("""COMPUTED_VALUE"""),45807)</f>
        <v>45807</v>
      </c>
      <c r="H843" s="6" t="str">
        <f ca="1">IFERROR(__xludf.DUMMYFUNCTION("""COMPUTED_VALUE"""),"Orense")</f>
        <v>Orense</v>
      </c>
      <c r="I843" s="6" t="str">
        <f ca="1">IFERROR(__xludf.DUMMYFUNCTION("""COMPUTED_VALUE"""),"C20256416321511")</f>
        <v>C20256416321511</v>
      </c>
      <c r="J843" s="6" t="str">
        <f ca="1">IFERROR(__xludf.DUMMYFUNCTION("""COMPUTED_VALUE"""),"MARIA INES RODRIGUEZ GARCIA")</f>
        <v>MARIA INES RODRIGUEZ GARCIA</v>
      </c>
      <c r="K843" s="6">
        <f ca="1">IFERROR(__xludf.DUMMYFUNCTION("""COMPUTED_VALUE"""),2)</f>
        <v>2</v>
      </c>
      <c r="L843" s="139">
        <f ca="1">IFERROR(__xludf.DUMMYFUNCTION("""COMPUTED_VALUE"""),4400)</f>
        <v>4400</v>
      </c>
      <c r="M843" s="6" t="str">
        <f ca="1">IFERROR(__xludf.DUMMYFUNCTION("""COMPUTED_VALUE"""),"03 ORL")</f>
        <v>03 ORL</v>
      </c>
      <c r="N843" s="6" t="str">
        <f ca="1">IFERROR(__xludf.DUMMYFUNCTION("""COMPUTED_VALUE"""),"06 ORL")</f>
        <v>06 ORL</v>
      </c>
      <c r="O843" s="6" t="str">
        <f ca="1">IFERROR(__xludf.DUMMYFUNCTION("""COMPUTED_VALUE"""),"Dra, María Rey Marcos")</f>
        <v>Dra, María Rey Marcos</v>
      </c>
      <c r="P843" s="6" t="str">
        <f ca="1">IFERROR(__xludf.DUMMYFUNCTION("""COMPUTED_VALUE"""),"Roberto Pereira (Galicia)")</f>
        <v>Roberto Pereira (Galicia)</v>
      </c>
    </row>
    <row r="844" spans="2:16">
      <c r="B844" s="6">
        <f ca="1">IFERROR(__xludf.DUMMYFUNCTION("""COMPUTED_VALUE"""),2025)</f>
        <v>2025</v>
      </c>
      <c r="C844" s="6">
        <f ca="1">IFERROR(__xludf.DUMMYFUNCTION("""COMPUTED_VALUE"""),6)</f>
        <v>6</v>
      </c>
      <c r="D844" s="6" t="str">
        <f ca="1">IFERROR(__xludf.DUMMYFUNCTION("""COMPUTED_VALUE"""),"NO")</f>
        <v>NO</v>
      </c>
      <c r="E844" s="6" t="str">
        <f ca="1">IFERROR(__xludf.DUMMYFUNCTION("""COMPUTED_VALUE"""),"Ourense")</f>
        <v>Ourense</v>
      </c>
      <c r="F844" s="16">
        <f ca="1">IFERROR(__xludf.DUMMYFUNCTION("""COMPUTED_VALUE"""),45813)</f>
        <v>45813</v>
      </c>
      <c r="G844" s="16">
        <f ca="1">IFERROR(__xludf.DUMMYFUNCTION("""COMPUTED_VALUE"""),45790)</f>
        <v>45790</v>
      </c>
      <c r="H844" s="6" t="str">
        <f ca="1">IFERROR(__xludf.DUMMYFUNCTION("""COMPUTED_VALUE"""),"Orense")</f>
        <v>Orense</v>
      </c>
      <c r="I844" s="6" t="str">
        <f ca="1">IFERROR(__xludf.DUMMYFUNCTION("""COMPUTED_VALUE"""),"C2025513111831996")</f>
        <v>C2025513111831996</v>
      </c>
      <c r="J844" s="6" t="str">
        <f ca="1">IFERROR(__xludf.DUMMYFUNCTION("""COMPUTED_VALUE"""),"PABLO MANZANO IGLESIAS")</f>
        <v>PABLO MANZANO IGLESIAS</v>
      </c>
      <c r="K844" s="6">
        <f ca="1">IFERROR(__xludf.DUMMYFUNCTION("""COMPUTED_VALUE"""),2)</f>
        <v>2</v>
      </c>
      <c r="L844" s="139">
        <f ca="1">IFERROR(__xludf.DUMMYFUNCTION("""COMPUTED_VALUE"""),4400)</f>
        <v>4400</v>
      </c>
      <c r="M844" s="6" t="str">
        <f ca="1">IFERROR(__xludf.DUMMYFUNCTION("""COMPUTED_VALUE"""),"03 ORL")</f>
        <v>03 ORL</v>
      </c>
      <c r="N844" s="6" t="str">
        <f ca="1">IFERROR(__xludf.DUMMYFUNCTION("""COMPUTED_VALUE"""),"06 ORL")</f>
        <v>06 ORL</v>
      </c>
      <c r="O844" s="6" t="str">
        <f ca="1">IFERROR(__xludf.DUMMYFUNCTION("""COMPUTED_VALUE"""),"Dra, María Rey Marcos")</f>
        <v>Dra, María Rey Marcos</v>
      </c>
      <c r="P844" s="6" t="str">
        <f ca="1">IFERROR(__xludf.DUMMYFUNCTION("""COMPUTED_VALUE"""),"Roberto Pereira (Galicia)")</f>
        <v>Roberto Pereira (Galicia)</v>
      </c>
    </row>
    <row r="845" spans="2:16">
      <c r="B845" s="6">
        <f ca="1">IFERROR(__xludf.DUMMYFUNCTION("""COMPUTED_VALUE"""),2025)</f>
        <v>2025</v>
      </c>
      <c r="C845" s="6">
        <f ca="1">IFERROR(__xludf.DUMMYFUNCTION("""COMPUTED_VALUE"""),6)</f>
        <v>6</v>
      </c>
      <c r="D845" s="6" t="str">
        <f ca="1">IFERROR(__xludf.DUMMYFUNCTION("""COMPUTED_VALUE"""),"NO")</f>
        <v>NO</v>
      </c>
      <c r="E845" s="6" t="str">
        <f ca="1">IFERROR(__xludf.DUMMYFUNCTION("""COMPUTED_VALUE"""),"Ourense")</f>
        <v>Ourense</v>
      </c>
      <c r="F845" s="16">
        <f ca="1">IFERROR(__xludf.DUMMYFUNCTION("""COMPUTED_VALUE"""),45834)</f>
        <v>45834</v>
      </c>
      <c r="G845" s="16">
        <f ca="1">IFERROR(__xludf.DUMMYFUNCTION("""COMPUTED_VALUE"""),45723)</f>
        <v>45723</v>
      </c>
      <c r="H845" s="6" t="str">
        <f ca="1">IFERROR(__xludf.DUMMYFUNCTION("""COMPUTED_VALUE"""),"Orense")</f>
        <v>Orense</v>
      </c>
      <c r="I845" s="6" t="str">
        <f ca="1">IFERROR(__xludf.DUMMYFUNCTION("""COMPUTED_VALUE"""),"C2025313112814960")</f>
        <v>C2025313112814960</v>
      </c>
      <c r="J845" s="6" t="str">
        <f ca="1">IFERROR(__xludf.DUMMYFUNCTION("""COMPUTED_VALUE"""),"PILAR FEIJOO GONZALEZ")</f>
        <v>PILAR FEIJOO GONZALEZ</v>
      </c>
      <c r="K845" s="6">
        <f ca="1">IFERROR(__xludf.DUMMYFUNCTION("""COMPUTED_VALUE"""),2)</f>
        <v>2</v>
      </c>
      <c r="L845" s="139">
        <f ca="1">IFERROR(__xludf.DUMMYFUNCTION("""COMPUTED_VALUE"""),4000)</f>
        <v>4000</v>
      </c>
      <c r="M845" s="6" t="str">
        <f ca="1">IFERROR(__xludf.DUMMYFUNCTION("""COMPUTED_VALUE"""),"03 ORL")</f>
        <v>03 ORL</v>
      </c>
      <c r="N845" s="6" t="str">
        <f ca="1">IFERROR(__xludf.DUMMYFUNCTION("""COMPUTED_VALUE"""),"06 ORL")</f>
        <v>06 ORL</v>
      </c>
      <c r="O845" s="6" t="str">
        <f ca="1">IFERROR(__xludf.DUMMYFUNCTION("""COMPUTED_VALUE"""),"Dra, Ana Quintana Sanjuan")</f>
        <v>Dra, Ana Quintana Sanjuan</v>
      </c>
      <c r="P845" s="6" t="str">
        <f ca="1">IFERROR(__xludf.DUMMYFUNCTION("""COMPUTED_VALUE"""),"Roberto Pereira (Galicia)")</f>
        <v>Roberto Pereira (Galicia)</v>
      </c>
    </row>
    <row r="846" spans="2:16">
      <c r="B846" s="6">
        <f ca="1">IFERROR(__xludf.DUMMYFUNCTION("""COMPUTED_VALUE"""),2025)</f>
        <v>2025</v>
      </c>
      <c r="C846" s="6">
        <f ca="1">IFERROR(__xludf.DUMMYFUNCTION("""COMPUTED_VALUE"""),6)</f>
        <v>6</v>
      </c>
      <c r="D846" s="6" t="str">
        <f ca="1">IFERROR(__xludf.DUMMYFUNCTION("""COMPUTED_VALUE"""),"NO")</f>
        <v>NO</v>
      </c>
      <c r="E846" s="6" t="str">
        <f ca="1">IFERROR(__xludf.DUMMYFUNCTION("""COMPUTED_VALUE"""),"San Javier")</f>
        <v>San Javier</v>
      </c>
      <c r="F846" s="16">
        <f ca="1">IFERROR(__xludf.DUMMYFUNCTION("""COMPUTED_VALUE"""),45818)</f>
        <v>45818</v>
      </c>
      <c r="G846" s="16">
        <f ca="1">IFERROR(__xludf.DUMMYFUNCTION("""COMPUTED_VALUE"""),45790)</f>
        <v>45790</v>
      </c>
      <c r="H846" s="6" t="str">
        <f ca="1">IFERROR(__xludf.DUMMYFUNCTION("""COMPUTED_VALUE"""),"San Javier")</f>
        <v>San Javier</v>
      </c>
      <c r="I846" s="6" t="str">
        <f ca="1">IFERROR(__xludf.DUMMYFUNCTION("""COMPUTED_VALUE"""),"C202551912153276")</f>
        <v>C202551912153276</v>
      </c>
      <c r="J846" s="6" t="str">
        <f ca="1">IFERROR(__xludf.DUMMYFUNCTION("""COMPUTED_VALUE"""),"FRANCISCA MARTINEZ PEREZ")</f>
        <v>FRANCISCA MARTINEZ PEREZ</v>
      </c>
      <c r="K846" s="6">
        <f ca="1">IFERROR(__xludf.DUMMYFUNCTION("""COMPUTED_VALUE"""),1)</f>
        <v>1</v>
      </c>
      <c r="L846" s="139">
        <f ca="1">IFERROR(__xludf.DUMMYFUNCTION("""COMPUTED_VALUE"""),2226.36)</f>
        <v>2226.36</v>
      </c>
      <c r="M846" s="6" t="str">
        <f ca="1">IFERROR(__xludf.DUMMYFUNCTION("""COMPUTED_VALUE"""),"04 TIENDA")</f>
        <v>04 TIENDA</v>
      </c>
      <c r="N846" s="6" t="str">
        <f ca="1">IFERROR(__xludf.DUMMYFUNCTION("""COMPUTED_VALUE"""),"07 BOCA/BOCA")</f>
        <v>07 BOCA/BOCA</v>
      </c>
      <c r="O846" s="6" t="str">
        <f ca="1">IFERROR(__xludf.DUMMYFUNCTION("""COMPUTED_VALUE"""),"Dr, Rubén Moreno Arrones")</f>
        <v>Dr, Rubén Moreno Arrones</v>
      </c>
      <c r="P846" s="6" t="str">
        <f ca="1">IFERROR(__xludf.DUMMYFUNCTION("""COMPUTED_VALUE"""),"Iván Sánchez (Levante Y Albacete)")</f>
        <v>Iván Sánchez (Levante Y Albacete)</v>
      </c>
    </row>
    <row r="847" spans="2:16">
      <c r="B847" s="6">
        <f ca="1">IFERROR(__xludf.DUMMYFUNCTION("""COMPUTED_VALUE"""),2025)</f>
        <v>2025</v>
      </c>
      <c r="C847" s="6">
        <f ca="1">IFERROR(__xludf.DUMMYFUNCTION("""COMPUTED_VALUE"""),6)</f>
        <v>6</v>
      </c>
      <c r="D847" s="6" t="str">
        <f ca="1">IFERROR(__xludf.DUMMYFUNCTION("""COMPUTED_VALUE"""),"NO")</f>
        <v>NO</v>
      </c>
      <c r="E847" s="6" t="str">
        <f ca="1">IFERROR(__xludf.DUMMYFUNCTION("""COMPUTED_VALUE"""),"San Javier")</f>
        <v>San Javier</v>
      </c>
      <c r="F847" s="16">
        <f ca="1">IFERROR(__xludf.DUMMYFUNCTION("""COMPUTED_VALUE"""),45838)</f>
        <v>45838</v>
      </c>
      <c r="G847" s="16">
        <f ca="1">IFERROR(__xludf.DUMMYFUNCTION("""COMPUTED_VALUE"""),45790)</f>
        <v>45790</v>
      </c>
      <c r="H847" s="6" t="str">
        <f ca="1">IFERROR(__xludf.DUMMYFUNCTION("""COMPUTED_VALUE"""),"San Javier")</f>
        <v>San Javier</v>
      </c>
      <c r="I847" s="6" t="str">
        <f ca="1">IFERROR(__xludf.DUMMYFUNCTION("""COMPUTED_VALUE"""),"C202552017127770")</f>
        <v>C202552017127770</v>
      </c>
      <c r="J847" s="6" t="str">
        <f ca="1">IFERROR(__xludf.DUMMYFUNCTION("""COMPUTED_VALUE"""),"ISABEL GARCIA BALSALOBRE")</f>
        <v>ISABEL GARCIA BALSALOBRE</v>
      </c>
      <c r="K847" s="6">
        <f ca="1">IFERROR(__xludf.DUMMYFUNCTION("""COMPUTED_VALUE"""),2)</f>
        <v>2</v>
      </c>
      <c r="L847" s="139">
        <f ca="1">IFERROR(__xludf.DUMMYFUNCTION("""COMPUTED_VALUE"""),2888.18)</f>
        <v>2888.18</v>
      </c>
      <c r="M847" s="6" t="str">
        <f ca="1">IFERROR(__xludf.DUMMYFUNCTION("""COMPUTED_VALUE"""),"03 ORL")</f>
        <v>03 ORL</v>
      </c>
      <c r="N847" s="6" t="str">
        <f ca="1">IFERROR(__xludf.DUMMYFUNCTION("""COMPUTED_VALUE"""),"06 ORL")</f>
        <v>06 ORL</v>
      </c>
      <c r="O847" s="6" t="str">
        <f ca="1">IFERROR(__xludf.DUMMYFUNCTION("""COMPUTED_VALUE"""),"No recuerda ORL")</f>
        <v>No recuerda ORL</v>
      </c>
      <c r="P847" s="6" t="str">
        <f ca="1">IFERROR(__xludf.DUMMYFUNCTION("""COMPUTED_VALUE"""),"Iván Sánchez (Levante Y Albacete)")</f>
        <v>Iván Sánchez (Levante Y Albacete)</v>
      </c>
    </row>
    <row r="848" spans="2:16">
      <c r="B848" s="6">
        <f ca="1">IFERROR(__xludf.DUMMYFUNCTION("""COMPUTED_VALUE"""),2025)</f>
        <v>2025</v>
      </c>
      <c r="C848" s="6">
        <f ca="1">IFERROR(__xludf.DUMMYFUNCTION("""COMPUTED_VALUE"""),6)</f>
        <v>6</v>
      </c>
      <c r="D848" s="6" t="str">
        <f ca="1">IFERROR(__xludf.DUMMYFUNCTION("""COMPUTED_VALUE"""),"SI")</f>
        <v>SI</v>
      </c>
      <c r="E848" s="6" t="str">
        <f ca="1">IFERROR(__xludf.DUMMYFUNCTION("""COMPUTED_VALUE"""),"San Javier")</f>
        <v>San Javier</v>
      </c>
      <c r="F848" s="16">
        <f ca="1">IFERROR(__xludf.DUMMYFUNCTION("""COMPUTED_VALUE"""),45827)</f>
        <v>45827</v>
      </c>
      <c r="G848" s="16">
        <f ca="1">IFERROR(__xludf.DUMMYFUNCTION("""COMPUTED_VALUE"""),45797)</f>
        <v>45797</v>
      </c>
      <c r="H848" s="6" t="str">
        <f ca="1">IFERROR(__xludf.DUMMYFUNCTION("""COMPUTED_VALUE"""),"San Javier")</f>
        <v>San Javier</v>
      </c>
      <c r="I848" s="6" t="str">
        <f ca="1">IFERROR(__xludf.DUMMYFUNCTION("""COMPUTED_VALUE"""),"C202552117127402")</f>
        <v>C202552117127402</v>
      </c>
      <c r="J848" s="6" t="str">
        <f ca="1">IFERROR(__xludf.DUMMYFUNCTION("""COMPUTED_VALUE"""),"JOSE ANTONIO ABAD MARTINEZ")</f>
        <v>JOSE ANTONIO ABAD MARTINEZ</v>
      </c>
      <c r="K848" s="6">
        <f ca="1">IFERROR(__xludf.DUMMYFUNCTION("""COMPUTED_VALUE"""),2)</f>
        <v>2</v>
      </c>
      <c r="L848" s="139">
        <f ca="1">IFERROR(__xludf.DUMMYFUNCTION("""COMPUTED_VALUE"""),4531.82)</f>
        <v>4531.82</v>
      </c>
      <c r="M848" s="6" t="str">
        <f ca="1">IFERROR(__xludf.DUMMYFUNCTION("""COMPUTED_VALUE"""),"03 ORL")</f>
        <v>03 ORL</v>
      </c>
      <c r="N848" s="6" t="str">
        <f ca="1">IFERROR(__xludf.DUMMYFUNCTION("""COMPUTED_VALUE"""),"06 ORL")</f>
        <v>06 ORL</v>
      </c>
      <c r="O848" s="6" t="str">
        <f ca="1">IFERROR(__xludf.DUMMYFUNCTION("""COMPUTED_VALUE"""),"Dr, Andrés Barrios Recio")</f>
        <v>Dr, Andrés Barrios Recio</v>
      </c>
      <c r="P848" s="6" t="str">
        <f ca="1">IFERROR(__xludf.DUMMYFUNCTION("""COMPUTED_VALUE"""),"Iván Sánchez (Levante Y Albacete)")</f>
        <v>Iván Sánchez (Levante Y Albacete)</v>
      </c>
    </row>
    <row r="849" spans="2:16">
      <c r="B849" s="6">
        <f ca="1">IFERROR(__xludf.DUMMYFUNCTION("""COMPUTED_VALUE"""),2025)</f>
        <v>2025</v>
      </c>
      <c r="C849" s="6">
        <f ca="1">IFERROR(__xludf.DUMMYFUNCTION("""COMPUTED_VALUE"""),6)</f>
        <v>6</v>
      </c>
      <c r="D849" s="6" t="str">
        <f ca="1">IFERROR(__xludf.DUMMYFUNCTION("""COMPUTED_VALUE"""),"NO")</f>
        <v>NO</v>
      </c>
      <c r="E849" s="6" t="str">
        <f ca="1">IFERROR(__xludf.DUMMYFUNCTION("""COMPUTED_VALUE"""),"San Javier")</f>
        <v>San Javier</v>
      </c>
      <c r="F849" s="16">
        <f ca="1">IFERROR(__xludf.DUMMYFUNCTION("""COMPUTED_VALUE"""),45835)</f>
        <v>45835</v>
      </c>
      <c r="G849" s="16">
        <f ca="1">IFERROR(__xludf.DUMMYFUNCTION("""COMPUTED_VALUE"""),45797)</f>
        <v>45797</v>
      </c>
      <c r="H849" s="6" t="str">
        <f ca="1">IFERROR(__xludf.DUMMYFUNCTION("""COMPUTED_VALUE"""),"San Javier")</f>
        <v>San Javier</v>
      </c>
      <c r="I849" s="6" t="str">
        <f ca="1">IFERROR(__xludf.DUMMYFUNCTION("""COMPUTED_VALUE"""),"C202562122621942")</f>
        <v>C202562122621942</v>
      </c>
      <c r="J849" s="6" t="str">
        <f ca="1">IFERROR(__xludf.DUMMYFUNCTION("""COMPUTED_VALUE"""),"JUANA PEREZ ROMERO")</f>
        <v>JUANA PEREZ ROMERO</v>
      </c>
      <c r="K849" s="6">
        <f ca="1">IFERROR(__xludf.DUMMYFUNCTION("""COMPUTED_VALUE"""),2)</f>
        <v>2</v>
      </c>
      <c r="L849" s="139">
        <f ca="1">IFERROR(__xludf.DUMMYFUNCTION("""COMPUTED_VALUE"""),4000)</f>
        <v>4000</v>
      </c>
      <c r="M849" s="6" t="str">
        <f ca="1">IFERROR(__xludf.DUMMYFUNCTION("""COMPUTED_VALUE"""),"03 ORL")</f>
        <v>03 ORL</v>
      </c>
      <c r="N849" s="6" t="str">
        <f ca="1">IFERROR(__xludf.DUMMYFUNCTION("""COMPUTED_VALUE"""),"06 ORL")</f>
        <v>06 ORL</v>
      </c>
      <c r="O849" s="6" t="str">
        <f ca="1">IFERROR(__xludf.DUMMYFUNCTION("""COMPUTED_VALUE"""),"Dra, María Teresa Almela Rojo")</f>
        <v>Dra, María Teresa Almela Rojo</v>
      </c>
      <c r="P849" s="6" t="str">
        <f ca="1">IFERROR(__xludf.DUMMYFUNCTION("""COMPUTED_VALUE"""),"Iván Sánchez (Levante Y Albacete)")</f>
        <v>Iván Sánchez (Levante Y Albacete)</v>
      </c>
    </row>
    <row r="850" spans="2:16">
      <c r="B850" s="6">
        <f ca="1">IFERROR(__xludf.DUMMYFUNCTION("""COMPUTED_VALUE"""),2025)</f>
        <v>2025</v>
      </c>
      <c r="C850" s="6">
        <f ca="1">IFERROR(__xludf.DUMMYFUNCTION("""COMPUTED_VALUE"""),6)</f>
        <v>6</v>
      </c>
      <c r="D850" s="6" t="str">
        <f ca="1">IFERROR(__xludf.DUMMYFUNCTION("""COMPUTED_VALUE"""),"NO")</f>
        <v>NO</v>
      </c>
      <c r="E850" s="6" t="str">
        <f ca="1">IFERROR(__xludf.DUMMYFUNCTION("""COMPUTED_VALUE"""),"San Javier")</f>
        <v>San Javier</v>
      </c>
      <c r="F850" s="16">
        <f ca="1">IFERROR(__xludf.DUMMYFUNCTION("""COMPUTED_VALUE"""),45838)</f>
        <v>45838</v>
      </c>
      <c r="G850" s="16">
        <f ca="1">IFERROR(__xludf.DUMMYFUNCTION("""COMPUTED_VALUE"""),45756)</f>
        <v>45756</v>
      </c>
      <c r="H850" s="6" t="str">
        <f ca="1">IFERROR(__xludf.DUMMYFUNCTION("""COMPUTED_VALUE"""),"San Javier")</f>
        <v>San Javier</v>
      </c>
      <c r="I850" s="6" t="str">
        <f ca="1">IFERROR(__xludf.DUMMYFUNCTION("""COMPUTED_VALUE"""),"C202565114616402")</f>
        <v>C202565114616402</v>
      </c>
      <c r="J850" s="6" t="str">
        <f ca="1">IFERROR(__xludf.DUMMYFUNCTION("""COMPUTED_VALUE"""),"PILAR SANCHEZ ZAPLANA")</f>
        <v>PILAR SANCHEZ ZAPLANA</v>
      </c>
      <c r="K850" s="6">
        <f ca="1">IFERROR(__xludf.DUMMYFUNCTION("""COMPUTED_VALUE"""),2)</f>
        <v>2</v>
      </c>
      <c r="L850" s="139">
        <f ca="1">IFERROR(__xludf.DUMMYFUNCTION("""COMPUTED_VALUE"""),2974.55)</f>
        <v>2974.55</v>
      </c>
      <c r="M850" s="6" t="str">
        <f ca="1">IFERROR(__xludf.DUMMYFUNCTION("""COMPUTED_VALUE"""),"02 MARKETING OFF LINE")</f>
        <v>02 MARKETING OFF LINE</v>
      </c>
      <c r="N850" s="6" t="str">
        <f ca="1">IFERROR(__xludf.DUMMYFUNCTION("""COMPUTED_VALUE"""),"18 ESCAPARATE")</f>
        <v>18 ESCAPARATE</v>
      </c>
      <c r="O850" s="6" t="str">
        <f ca="1">IFERROR(__xludf.DUMMYFUNCTION("""COMPUTED_VALUE"""),"Dra, María Teresa Almela Rojo")</f>
        <v>Dra, María Teresa Almela Rojo</v>
      </c>
      <c r="P850" s="6" t="str">
        <f ca="1">IFERROR(__xludf.DUMMYFUNCTION("""COMPUTED_VALUE"""),"Iván Sánchez (Levante Y Albacete)")</f>
        <v>Iván Sánchez (Levante Y Albacete)</v>
      </c>
    </row>
    <row r="851" spans="2:16">
      <c r="B851" s="6">
        <f ca="1">IFERROR(__xludf.DUMMYFUNCTION("""COMPUTED_VALUE"""),2025)</f>
        <v>2025</v>
      </c>
      <c r="C851" s="6">
        <f ca="1">IFERROR(__xludf.DUMMYFUNCTION("""COMPUTED_VALUE"""),6)</f>
        <v>6</v>
      </c>
      <c r="D851" s="6" t="str">
        <f ca="1">IFERROR(__xludf.DUMMYFUNCTION("""COMPUTED_VALUE"""),"NO")</f>
        <v>NO</v>
      </c>
      <c r="E851" s="6" t="str">
        <f ca="1">IFERROR(__xludf.DUMMYFUNCTION("""COMPUTED_VALUE"""),"San Javier")</f>
        <v>San Javier</v>
      </c>
      <c r="F851" s="16">
        <f ca="1">IFERROR(__xludf.DUMMYFUNCTION("""COMPUTED_VALUE"""),45819)</f>
        <v>45819</v>
      </c>
      <c r="G851" s="16">
        <f ca="1">IFERROR(__xludf.DUMMYFUNCTION("""COMPUTED_VALUE"""),45797)</f>
        <v>45797</v>
      </c>
      <c r="H851" s="6" t="str">
        <f ca="1">IFERROR(__xludf.DUMMYFUNCTION("""COMPUTED_VALUE"""),"San Javier")</f>
        <v>San Javier</v>
      </c>
      <c r="I851" s="6" t="str">
        <f ca="1">IFERROR(__xludf.DUMMYFUNCTION("""COMPUTED_VALUE"""),"C2025523122829551")</f>
        <v>C2025523122829551</v>
      </c>
      <c r="J851" s="6" t="str">
        <f ca="1">IFERROR(__xludf.DUMMYFUNCTION("""COMPUTED_VALUE"""),"ROSARIO RAMOS PARDO")</f>
        <v>ROSARIO RAMOS PARDO</v>
      </c>
      <c r="K851" s="6">
        <f ca="1">IFERROR(__xludf.DUMMYFUNCTION("""COMPUTED_VALUE"""),2)</f>
        <v>2</v>
      </c>
      <c r="L851" s="139">
        <f ca="1">IFERROR(__xludf.DUMMYFUNCTION("""COMPUTED_VALUE"""),3710)</f>
        <v>3710</v>
      </c>
      <c r="M851" s="6" t="str">
        <f ca="1">IFERROR(__xludf.DUMMYFUNCTION("""COMPUTED_VALUE"""),"03 ORL")</f>
        <v>03 ORL</v>
      </c>
      <c r="N851" s="6" t="str">
        <f ca="1">IFERROR(__xludf.DUMMYFUNCTION("""COMPUTED_VALUE"""),"06 ORL")</f>
        <v>06 ORL</v>
      </c>
      <c r="O851" s="6" t="str">
        <f ca="1">IFERROR(__xludf.DUMMYFUNCTION("""COMPUTED_VALUE"""),"Dra, Ana Giribet Fernández-Pacheco")</f>
        <v>Dra, Ana Giribet Fernández-Pacheco</v>
      </c>
      <c r="P851" s="6" t="str">
        <f ca="1">IFERROR(__xludf.DUMMYFUNCTION("""COMPUTED_VALUE"""),"Iván Sánchez (Levante Y Albacete)")</f>
        <v>Iván Sánchez (Levante Y Albacete)</v>
      </c>
    </row>
    <row r="852" spans="2:16">
      <c r="B852" s="6">
        <f ca="1">IFERROR(__xludf.DUMMYFUNCTION("""COMPUTED_VALUE"""),2025)</f>
        <v>2025</v>
      </c>
      <c r="C852" s="6">
        <f ca="1">IFERROR(__xludf.DUMMYFUNCTION("""COMPUTED_VALUE"""),6)</f>
        <v>6</v>
      </c>
      <c r="D852" s="6" t="str">
        <f ca="1">IFERROR(__xludf.DUMMYFUNCTION("""COMPUTED_VALUE"""),"NO")</f>
        <v>NO</v>
      </c>
      <c r="E852" s="6" t="str">
        <f ca="1">IFERROR(__xludf.DUMMYFUNCTION("""COMPUTED_VALUE"""),"San Javier")</f>
        <v>San Javier</v>
      </c>
      <c r="F852" s="16">
        <f ca="1">IFERROR(__xludf.DUMMYFUNCTION("""COMPUTED_VALUE"""),45825)</f>
        <v>45825</v>
      </c>
      <c r="G852" s="16">
        <f ca="1">IFERROR(__xludf.DUMMYFUNCTION("""COMPUTED_VALUE"""),45791)</f>
        <v>45791</v>
      </c>
      <c r="H852" s="6" t="str">
        <f ca="1">IFERROR(__xludf.DUMMYFUNCTION("""COMPUTED_VALUE"""),"San Javier")</f>
        <v>San Javier</v>
      </c>
      <c r="I852" s="6" t="str">
        <f ca="1">IFERROR(__xludf.DUMMYFUNCTION("""COMPUTED_VALUE"""),"C2025516162113314")</f>
        <v>C2025516162113314</v>
      </c>
      <c r="J852" s="6" t="str">
        <f ca="1">IFERROR(__xludf.DUMMYFUNCTION("""COMPUTED_VALUE"""),"TERESA BAILO RECH")</f>
        <v>TERESA BAILO RECH</v>
      </c>
      <c r="K852" s="6">
        <f ca="1">IFERROR(__xludf.DUMMYFUNCTION("""COMPUTED_VALUE"""),1)</f>
        <v>1</v>
      </c>
      <c r="L852" s="139">
        <f ca="1">IFERROR(__xludf.DUMMYFUNCTION("""COMPUTED_VALUE"""),2400)</f>
        <v>2400</v>
      </c>
      <c r="M852" s="6" t="str">
        <f ca="1">IFERROR(__xludf.DUMMYFUNCTION("""COMPUTED_VALUE"""),"03 ORL")</f>
        <v>03 ORL</v>
      </c>
      <c r="N852" s="6" t="str">
        <f ca="1">IFERROR(__xludf.DUMMYFUNCTION("""COMPUTED_VALUE"""),"06 ORL")</f>
        <v>06 ORL</v>
      </c>
      <c r="O852" s="6" t="str">
        <f ca="1">IFERROR(__xludf.DUMMYFUNCTION("""COMPUTED_VALUE"""),"Dra, María Teresa Almela Rojo")</f>
        <v>Dra, María Teresa Almela Rojo</v>
      </c>
      <c r="P852" s="6" t="str">
        <f ca="1">IFERROR(__xludf.DUMMYFUNCTION("""COMPUTED_VALUE"""),"Iván Sánchez (Levante Y Albacete)")</f>
        <v>Iván Sánchez (Levante Y Albacete)</v>
      </c>
    </row>
    <row r="853" spans="2:16">
      <c r="B853" s="6">
        <f ca="1">IFERROR(__xludf.DUMMYFUNCTION("""COMPUTED_VALUE"""),2025)</f>
        <v>2025</v>
      </c>
      <c r="C853" s="6">
        <f ca="1">IFERROR(__xludf.DUMMYFUNCTION("""COMPUTED_VALUE"""),6)</f>
        <v>6</v>
      </c>
      <c r="D853" s="6" t="str">
        <f ca="1">IFERROR(__xludf.DUMMYFUNCTION("""COMPUTED_VALUE"""),"NO")</f>
        <v>NO</v>
      </c>
      <c r="E853" s="6" t="str">
        <f ca="1">IFERROR(__xludf.DUMMYFUNCTION("""COMPUTED_VALUE"""),"Santiago de Compostela")</f>
        <v>Santiago de Compostela</v>
      </c>
      <c r="F853" s="16">
        <f ca="1">IFERROR(__xludf.DUMMYFUNCTION("""COMPUTED_VALUE"""),45813)</f>
        <v>45813</v>
      </c>
      <c r="G853" s="16">
        <f ca="1">IFERROR(__xludf.DUMMYFUNCTION("""COMPUTED_VALUE"""),45138)</f>
        <v>45138</v>
      </c>
      <c r="H853" s="6" t="str">
        <f ca="1">IFERROR(__xludf.DUMMYFUNCTION("""COMPUTED_VALUE"""),"Santiago")</f>
        <v>Santiago</v>
      </c>
      <c r="I853" s="6" t="str">
        <f ca="1">IFERROR(__xludf.DUMMYFUNCTION("""COMPUTED_VALUE"""),"CST-19")</f>
        <v>CST-19</v>
      </c>
      <c r="J853" s="6" t="str">
        <f ca="1">IFERROR(__xludf.DUMMYFUNCTION("""COMPUTED_VALUE"""),"ELISEO POMBO OTERO")</f>
        <v>ELISEO POMBO OTERO</v>
      </c>
      <c r="K853" s="6">
        <f ca="1">IFERROR(__xludf.DUMMYFUNCTION("""COMPUTED_VALUE"""),2)</f>
        <v>2</v>
      </c>
      <c r="L853" s="139">
        <f ca="1">IFERROR(__xludf.DUMMYFUNCTION("""COMPUTED_VALUE"""),3800)</f>
        <v>3800</v>
      </c>
      <c r="M853" s="6" t="str">
        <f ca="1">IFERROR(__xludf.DUMMYFUNCTION("""COMPUTED_VALUE"""),"03 ORL")</f>
        <v>03 ORL</v>
      </c>
      <c r="N853" s="6" t="str">
        <f ca="1">IFERROR(__xludf.DUMMYFUNCTION("""COMPUTED_VALUE"""),"06 ORL")</f>
        <v>06 ORL</v>
      </c>
      <c r="O853" s="6" t="str">
        <f ca="1">IFERROR(__xludf.DUMMYFUNCTION("""COMPUTED_VALUE"""),"No Recuerda ORL")</f>
        <v>No Recuerda ORL</v>
      </c>
      <c r="P853" s="6" t="str">
        <f ca="1">IFERROR(__xludf.DUMMYFUNCTION("""COMPUTED_VALUE"""),"Roberto Pereira (Galicia)")</f>
        <v>Roberto Pereira (Galicia)</v>
      </c>
    </row>
    <row r="854" spans="2:16">
      <c r="B854" s="6">
        <f ca="1">IFERROR(__xludf.DUMMYFUNCTION("""COMPUTED_VALUE"""),2025)</f>
        <v>2025</v>
      </c>
      <c r="C854" s="6">
        <f ca="1">IFERROR(__xludf.DUMMYFUNCTION("""COMPUTED_VALUE"""),6)</f>
        <v>6</v>
      </c>
      <c r="D854" s="6" t="str">
        <f ca="1">IFERROR(__xludf.DUMMYFUNCTION("""COMPUTED_VALUE"""),"NO")</f>
        <v>NO</v>
      </c>
      <c r="E854" s="6" t="str">
        <f ca="1">IFERROR(__xludf.DUMMYFUNCTION("""COMPUTED_VALUE"""),"Santiago de Compostela")</f>
        <v>Santiago de Compostela</v>
      </c>
      <c r="F854" s="16">
        <f ca="1">IFERROR(__xludf.DUMMYFUNCTION("""COMPUTED_VALUE"""),45826)</f>
        <v>45826</v>
      </c>
      <c r="G854" s="16">
        <f ca="1">IFERROR(__xludf.DUMMYFUNCTION("""COMPUTED_VALUE"""),45790)</f>
        <v>45790</v>
      </c>
      <c r="H854" s="6" t="str">
        <f ca="1">IFERROR(__xludf.DUMMYFUNCTION("""COMPUTED_VALUE"""),"Santiago")</f>
        <v>Santiago</v>
      </c>
      <c r="I854" s="6" t="str">
        <f ca="1">IFERROR(__xludf.DUMMYFUNCTION("""COMPUTED_VALUE"""),"C20255199505320")</f>
        <v>C20255199505320</v>
      </c>
      <c r="J854" s="6" t="str">
        <f ca="1">IFERROR(__xludf.DUMMYFUNCTION("""COMPUTED_VALUE"""),"JESUS TURNES MANSILLA")</f>
        <v>JESUS TURNES MANSILLA</v>
      </c>
      <c r="K854" s="6">
        <f ca="1">IFERROR(__xludf.DUMMYFUNCTION("""COMPUTED_VALUE"""),1)</f>
        <v>1</v>
      </c>
      <c r="L854" s="139">
        <f ca="1">IFERROR(__xludf.DUMMYFUNCTION("""COMPUTED_VALUE"""),2226.36)</f>
        <v>2226.36</v>
      </c>
      <c r="M854" s="6" t="str">
        <f ca="1">IFERROR(__xludf.DUMMYFUNCTION("""COMPUTED_VALUE"""),"03 ORL")</f>
        <v>03 ORL</v>
      </c>
      <c r="N854" s="6" t="str">
        <f ca="1">IFERROR(__xludf.DUMMYFUNCTION("""COMPUTED_VALUE"""),"06 ORL")</f>
        <v>06 ORL</v>
      </c>
      <c r="O854" s="6" t="str">
        <f ca="1">IFERROR(__xludf.DUMMYFUNCTION("""COMPUTED_VALUE"""),"Dr, Gabriel Martínez Capoccini")</f>
        <v>Dr, Gabriel Martínez Capoccini</v>
      </c>
      <c r="P854" s="6" t="str">
        <f ca="1">IFERROR(__xludf.DUMMYFUNCTION("""COMPUTED_VALUE"""),"Roberto Pereira (Galicia)")</f>
        <v>Roberto Pereira (Galicia)</v>
      </c>
    </row>
    <row r="855" spans="2:16">
      <c r="B855" s="6">
        <f ca="1">IFERROR(__xludf.DUMMYFUNCTION("""COMPUTED_VALUE"""),2025)</f>
        <v>2025</v>
      </c>
      <c r="C855" s="6">
        <f ca="1">IFERROR(__xludf.DUMMYFUNCTION("""COMPUTED_VALUE"""),6)</f>
        <v>6</v>
      </c>
      <c r="D855" s="6" t="str">
        <f ca="1">IFERROR(__xludf.DUMMYFUNCTION("""COMPUTED_VALUE"""),"NO")</f>
        <v>NO</v>
      </c>
      <c r="E855" s="6" t="str">
        <f ca="1">IFERROR(__xludf.DUMMYFUNCTION("""COMPUTED_VALUE"""),"Santiago de Compostela")</f>
        <v>Santiago de Compostela</v>
      </c>
      <c r="F855" s="16">
        <f ca="1">IFERROR(__xludf.DUMMYFUNCTION("""COMPUTED_VALUE"""),45825)</f>
        <v>45825</v>
      </c>
      <c r="G855" s="16">
        <f ca="1">IFERROR(__xludf.DUMMYFUNCTION("""COMPUTED_VALUE"""),45783)</f>
        <v>45783</v>
      </c>
      <c r="H855" s="6" t="str">
        <f ca="1">IFERROR(__xludf.DUMMYFUNCTION("""COMPUTED_VALUE"""),"Santiago")</f>
        <v>Santiago</v>
      </c>
      <c r="I855" s="6" t="str">
        <f ca="1">IFERROR(__xludf.DUMMYFUNCTION("""COMPUTED_VALUE"""),"C202559155953814")</f>
        <v>C202559155953814</v>
      </c>
      <c r="J855" s="6" t="str">
        <f ca="1">IFERROR(__xludf.DUMMYFUNCTION("""COMPUTED_VALUE"""),"LUZ DIVINA NUÑEZ FERNANDEZ")</f>
        <v>LUZ DIVINA NUÑEZ FERNANDEZ</v>
      </c>
      <c r="K855" s="6">
        <f ca="1">IFERROR(__xludf.DUMMYFUNCTION("""COMPUTED_VALUE"""),1)</f>
        <v>1</v>
      </c>
      <c r="L855" s="139">
        <f ca="1">IFERROR(__xludf.DUMMYFUNCTION("""COMPUTED_VALUE"""),2640)</f>
        <v>2640</v>
      </c>
      <c r="M855" s="6" t="str">
        <f ca="1">IFERROR(__xludf.DUMMYFUNCTION("""COMPUTED_VALUE"""),"03 ORL")</f>
        <v>03 ORL</v>
      </c>
      <c r="N855" s="6" t="str">
        <f ca="1">IFERROR(__xludf.DUMMYFUNCTION("""COMPUTED_VALUE"""),"06 ORL")</f>
        <v>06 ORL</v>
      </c>
      <c r="O855" s="6" t="str">
        <f ca="1">IFERROR(__xludf.DUMMYFUNCTION("""COMPUTED_VALUE"""),"Dra, Isabel Vaamonde Sanchez Andrade")</f>
        <v>Dra, Isabel Vaamonde Sanchez Andrade</v>
      </c>
      <c r="P855" s="6" t="str">
        <f ca="1">IFERROR(__xludf.DUMMYFUNCTION("""COMPUTED_VALUE"""),"Roberto Pereira (Galicia)")</f>
        <v>Roberto Pereira (Galicia)</v>
      </c>
    </row>
    <row r="856" spans="2:16">
      <c r="B856" s="6">
        <f ca="1">IFERROR(__xludf.DUMMYFUNCTION("""COMPUTED_VALUE"""),2025)</f>
        <v>2025</v>
      </c>
      <c r="C856" s="6">
        <f ca="1">IFERROR(__xludf.DUMMYFUNCTION("""COMPUTED_VALUE"""),6)</f>
        <v>6</v>
      </c>
      <c r="D856" s="6" t="str">
        <f ca="1">IFERROR(__xludf.DUMMYFUNCTION("""COMPUTED_VALUE"""),"NO")</f>
        <v>NO</v>
      </c>
      <c r="E856" s="6" t="str">
        <f ca="1">IFERROR(__xludf.DUMMYFUNCTION("""COMPUTED_VALUE"""),"Santiago de Compostela")</f>
        <v>Santiago de Compostela</v>
      </c>
      <c r="F856" s="16">
        <f ca="1">IFERROR(__xludf.DUMMYFUNCTION("""COMPUTED_VALUE"""),45814)</f>
        <v>45814</v>
      </c>
      <c r="G856" s="16">
        <f ca="1">IFERROR(__xludf.DUMMYFUNCTION("""COMPUTED_VALUE"""),45784)</f>
        <v>45784</v>
      </c>
      <c r="H856" s="6" t="str">
        <f ca="1">IFERROR(__xludf.DUMMYFUNCTION("""COMPUTED_VALUE"""),"Santiago")</f>
        <v>Santiago</v>
      </c>
      <c r="I856" s="6" t="str">
        <f ca="1">IFERROR(__xludf.DUMMYFUNCTION("""COMPUTED_VALUE"""),"C202552011110207")</f>
        <v>C202552011110207</v>
      </c>
      <c r="J856" s="6" t="str">
        <f ca="1">IFERROR(__xludf.DUMMYFUNCTION("""COMPUTED_VALUE"""),"PALOMA CASTRO REY")</f>
        <v>PALOMA CASTRO REY</v>
      </c>
      <c r="K856" s="6">
        <f ca="1">IFERROR(__xludf.DUMMYFUNCTION("""COMPUTED_VALUE"""),2)</f>
        <v>2</v>
      </c>
      <c r="L856" s="139">
        <f ca="1">IFERROR(__xludf.DUMMYFUNCTION("""COMPUTED_VALUE"""),4000)</f>
        <v>4000</v>
      </c>
      <c r="M856" s="6" t="str">
        <f ca="1">IFERROR(__xludf.DUMMYFUNCTION("""COMPUTED_VALUE"""),"03 ORL")</f>
        <v>03 ORL</v>
      </c>
      <c r="N856" s="6" t="str">
        <f ca="1">IFERROR(__xludf.DUMMYFUNCTION("""COMPUTED_VALUE"""),"06 ORL")</f>
        <v>06 ORL</v>
      </c>
      <c r="O856" s="6" t="str">
        <f ca="1">IFERROR(__xludf.DUMMYFUNCTION("""COMPUTED_VALUE"""),"Dra, Isabel Vaamonde Sanchez Andrade")</f>
        <v>Dra, Isabel Vaamonde Sanchez Andrade</v>
      </c>
      <c r="P856" s="6" t="str">
        <f ca="1">IFERROR(__xludf.DUMMYFUNCTION("""COMPUTED_VALUE"""),"Roberto Pereira (Galicia)")</f>
        <v>Roberto Pereira (Galicia)</v>
      </c>
    </row>
    <row r="857" spans="2:16">
      <c r="B857" s="6">
        <f ca="1">IFERROR(__xludf.DUMMYFUNCTION("""COMPUTED_VALUE"""),2025)</f>
        <v>2025</v>
      </c>
      <c r="C857" s="6">
        <f ca="1">IFERROR(__xludf.DUMMYFUNCTION("""COMPUTED_VALUE"""),6)</f>
        <v>6</v>
      </c>
      <c r="D857" s="6" t="str">
        <f ca="1">IFERROR(__xludf.DUMMYFUNCTION("""COMPUTED_VALUE"""),"NO")</f>
        <v>NO</v>
      </c>
      <c r="E857" s="6" t="str">
        <f ca="1">IFERROR(__xludf.DUMMYFUNCTION("""COMPUTED_VALUE"""),"Sevilla- Montoto")</f>
        <v>Sevilla- Montoto</v>
      </c>
      <c r="F857" s="16">
        <f ca="1">IFERROR(__xludf.DUMMYFUNCTION("""COMPUTED_VALUE"""),45812)</f>
        <v>45812</v>
      </c>
      <c r="G857" s="16">
        <f ca="1">IFERROR(__xludf.DUMMYFUNCTION("""COMPUTED_VALUE"""),45740)</f>
        <v>45740</v>
      </c>
      <c r="H857" s="6" t="str">
        <f ca="1">IFERROR(__xludf.DUMMYFUNCTION("""COMPUTED_VALUE"""),"Montoto")</f>
        <v>Montoto</v>
      </c>
      <c r="I857" s="6" t="str">
        <f ca="1">IFERROR(__xludf.DUMMYFUNCTION("""COMPUTED_VALUE"""),"C2025326123140893")</f>
        <v>C2025326123140893</v>
      </c>
      <c r="J857" s="6" t="str">
        <f ca="1">IFERROR(__xludf.DUMMYFUNCTION("""COMPUTED_VALUE"""),"ADRIAN MARTINEZ MORENO")</f>
        <v>ADRIAN MARTINEZ MORENO</v>
      </c>
      <c r="K857" s="6">
        <f ca="1">IFERROR(__xludf.DUMMYFUNCTION("""COMPUTED_VALUE"""),2)</f>
        <v>2</v>
      </c>
      <c r="L857" s="139">
        <f ca="1">IFERROR(__xludf.DUMMYFUNCTION("""COMPUTED_VALUE"""),2261.82)</f>
        <v>2261.8200000000002</v>
      </c>
      <c r="M857" s="6" t="str">
        <f ca="1">IFERROR(__xludf.DUMMYFUNCTION("""COMPUTED_VALUE"""),"03 ORL")</f>
        <v>03 ORL</v>
      </c>
      <c r="N857" s="6" t="str">
        <f ca="1">IFERROR(__xludf.DUMMYFUNCTION("""COMPUTED_VALUE"""),"06 ORL")</f>
        <v>06 ORL</v>
      </c>
      <c r="O857" s="6" t="str">
        <f ca="1">IFERROR(__xludf.DUMMYFUNCTION("""COMPUTED_VALUE"""),"Dr, Antonio Gandúl Merchán")</f>
        <v>Dr, Antonio Gandúl Merchán</v>
      </c>
      <c r="P857" s="6" t="str">
        <f ca="1">IFERROR(__xludf.DUMMYFUNCTION("""COMPUTED_VALUE"""),"Luis Alberto Rodríguez (Andalucía y Badajoz)")</f>
        <v>Luis Alberto Rodríguez (Andalucía y Badajoz)</v>
      </c>
    </row>
    <row r="858" spans="2:16">
      <c r="B858" s="6">
        <f ca="1">IFERROR(__xludf.DUMMYFUNCTION("""COMPUTED_VALUE"""),2025)</f>
        <v>2025</v>
      </c>
      <c r="C858" s="6">
        <f ca="1">IFERROR(__xludf.DUMMYFUNCTION("""COMPUTED_VALUE"""),6)</f>
        <v>6</v>
      </c>
      <c r="D858" s="6" t="str">
        <f ca="1">IFERROR(__xludf.DUMMYFUNCTION("""COMPUTED_VALUE"""),"NO")</f>
        <v>NO</v>
      </c>
      <c r="E858" s="6" t="str">
        <f ca="1">IFERROR(__xludf.DUMMYFUNCTION("""COMPUTED_VALUE"""),"Sevilla- Montoto")</f>
        <v>Sevilla- Montoto</v>
      </c>
      <c r="F858" s="16">
        <f ca="1">IFERROR(__xludf.DUMMYFUNCTION("""COMPUTED_VALUE"""),45828)</f>
        <v>45828</v>
      </c>
      <c r="G858" s="16">
        <f ca="1">IFERROR(__xludf.DUMMYFUNCTION("""COMPUTED_VALUE"""),45812)</f>
        <v>45812</v>
      </c>
      <c r="H858" s="6" t="str">
        <f ca="1">IFERROR(__xludf.DUMMYFUNCTION("""COMPUTED_VALUE"""),"Montoto")</f>
        <v>Montoto</v>
      </c>
      <c r="I858" s="6" t="str">
        <f ca="1">IFERROR(__xludf.DUMMYFUNCTION("""COMPUTED_VALUE"""),"C202566123740183")</f>
        <v>C202566123740183</v>
      </c>
      <c r="J858" s="6" t="str">
        <f ca="1">IFERROR(__xludf.DUMMYFUNCTION("""COMPUTED_VALUE"""),"CARMEN RAMIREZ MASERA")</f>
        <v>CARMEN RAMIREZ MASERA</v>
      </c>
      <c r="K858" s="6">
        <f ca="1">IFERROR(__xludf.DUMMYFUNCTION("""COMPUTED_VALUE"""),2)</f>
        <v>2</v>
      </c>
      <c r="L858" s="139">
        <f ca="1">IFERROR(__xludf.DUMMYFUNCTION("""COMPUTED_VALUE"""),2888.18)</f>
        <v>2888.18</v>
      </c>
      <c r="M858" s="6" t="str">
        <f ca="1">IFERROR(__xludf.DUMMYFUNCTION("""COMPUTED_VALUE"""),"03 ORL")</f>
        <v>03 ORL</v>
      </c>
      <c r="N858" s="6" t="str">
        <f ca="1">IFERROR(__xludf.DUMMYFUNCTION("""COMPUTED_VALUE"""),"06 ORL")</f>
        <v>06 ORL</v>
      </c>
      <c r="O858" s="6" t="str">
        <f ca="1">IFERROR(__xludf.DUMMYFUNCTION("""COMPUTED_VALUE"""),"Dr, Jesús Crovato Rojas")</f>
        <v>Dr, Jesús Crovato Rojas</v>
      </c>
      <c r="P858" s="6" t="str">
        <f ca="1">IFERROR(__xludf.DUMMYFUNCTION("""COMPUTED_VALUE"""),"Luis Alberto Rodríguez (Andalucía y Badajoz)")</f>
        <v>Luis Alberto Rodríguez (Andalucía y Badajoz)</v>
      </c>
    </row>
    <row r="859" spans="2:16">
      <c r="B859" s="6">
        <f ca="1">IFERROR(__xludf.DUMMYFUNCTION("""COMPUTED_VALUE"""),2025)</f>
        <v>2025</v>
      </c>
      <c r="C859" s="6">
        <f ca="1">IFERROR(__xludf.DUMMYFUNCTION("""COMPUTED_VALUE"""),6)</f>
        <v>6</v>
      </c>
      <c r="D859" s="6" t="str">
        <f ca="1">IFERROR(__xludf.DUMMYFUNCTION("""COMPUTED_VALUE"""),"NO")</f>
        <v>NO</v>
      </c>
      <c r="E859" s="6" t="str">
        <f ca="1">IFERROR(__xludf.DUMMYFUNCTION("""COMPUTED_VALUE"""),"Sevilla- Montoto")</f>
        <v>Sevilla- Montoto</v>
      </c>
      <c r="F859" s="16">
        <f ca="1">IFERROR(__xludf.DUMMYFUNCTION("""COMPUTED_VALUE"""),45810)</f>
        <v>45810</v>
      </c>
      <c r="G859" s="16">
        <f ca="1">IFERROR(__xludf.DUMMYFUNCTION("""COMPUTED_VALUE"""),45798)</f>
        <v>45798</v>
      </c>
      <c r="H859" s="6" t="str">
        <f ca="1">IFERROR(__xludf.DUMMYFUNCTION("""COMPUTED_VALUE"""),"Montoto")</f>
        <v>Montoto</v>
      </c>
      <c r="I859" s="6" t="str">
        <f ca="1">IFERROR(__xludf.DUMMYFUNCTION("""COMPUTED_VALUE"""),"C202552317527514")</f>
        <v>C202552317527514</v>
      </c>
      <c r="J859" s="6" t="str">
        <f ca="1">IFERROR(__xludf.DUMMYFUNCTION("""COMPUTED_VALUE"""),"FIDEL GAYOSO GOMEZ")</f>
        <v>FIDEL GAYOSO GOMEZ</v>
      </c>
      <c r="K859" s="6">
        <f ca="1">IFERROR(__xludf.DUMMYFUNCTION("""COMPUTED_VALUE"""),2)</f>
        <v>2</v>
      </c>
      <c r="L859" s="139">
        <f ca="1">IFERROR(__xludf.DUMMYFUNCTION("""COMPUTED_VALUE"""),3391.82)</f>
        <v>3391.82</v>
      </c>
      <c r="M859" s="6" t="str">
        <f ca="1">IFERROR(__xludf.DUMMYFUNCTION("""COMPUTED_VALUE"""),"03 ORL")</f>
        <v>03 ORL</v>
      </c>
      <c r="N859" s="6" t="str">
        <f ca="1">IFERROR(__xludf.DUMMYFUNCTION("""COMPUTED_VALUE"""),"06 ORL")</f>
        <v>06 ORL</v>
      </c>
      <c r="O859" s="6" t="str">
        <f ca="1">IFERROR(__xludf.DUMMYFUNCTION("""COMPUTED_VALUE"""),"Dr, Ulises Bidón Gómez")</f>
        <v>Dr, Ulises Bidón Gómez</v>
      </c>
      <c r="P859" s="6" t="str">
        <f ca="1">IFERROR(__xludf.DUMMYFUNCTION("""COMPUTED_VALUE"""),"Luis Alberto Rodríguez (Andalucía y Badajoz)")</f>
        <v>Luis Alberto Rodríguez (Andalucía y Badajoz)</v>
      </c>
    </row>
    <row r="860" spans="2:16">
      <c r="B860" s="6">
        <f ca="1">IFERROR(__xludf.DUMMYFUNCTION("""COMPUTED_VALUE"""),2025)</f>
        <v>2025</v>
      </c>
      <c r="C860" s="6">
        <f ca="1">IFERROR(__xludf.DUMMYFUNCTION("""COMPUTED_VALUE"""),6)</f>
        <v>6</v>
      </c>
      <c r="D860" s="6" t="str">
        <f ca="1">IFERROR(__xludf.DUMMYFUNCTION("""COMPUTED_VALUE"""),"NO")</f>
        <v>NO</v>
      </c>
      <c r="E860" s="6" t="str">
        <f ca="1">IFERROR(__xludf.DUMMYFUNCTION("""COMPUTED_VALUE"""),"Sevilla- Montoto")</f>
        <v>Sevilla- Montoto</v>
      </c>
      <c r="F860" s="16">
        <f ca="1">IFERROR(__xludf.DUMMYFUNCTION("""COMPUTED_VALUE"""),45826)</f>
        <v>45826</v>
      </c>
      <c r="G860" s="16">
        <f ca="1">IFERROR(__xludf.DUMMYFUNCTION("""COMPUTED_VALUE"""),45775)</f>
        <v>45775</v>
      </c>
      <c r="H860" s="6" t="str">
        <f ca="1">IFERROR(__xludf.DUMMYFUNCTION("""COMPUTED_VALUE"""),"Montoto")</f>
        <v>Montoto</v>
      </c>
      <c r="I860" s="6" t="str">
        <f ca="1">IFERROR(__xludf.DUMMYFUNCTION("""COMPUTED_VALUE"""),"C202551218245574")</f>
        <v>C202551218245574</v>
      </c>
      <c r="J860" s="6" t="str">
        <f ca="1">IFERROR(__xludf.DUMMYFUNCTION("""COMPUTED_VALUE"""),"JUAN JOSE PEREZ LAGARES")</f>
        <v>JUAN JOSE PEREZ LAGARES</v>
      </c>
      <c r="K860" s="6">
        <f ca="1">IFERROR(__xludf.DUMMYFUNCTION("""COMPUTED_VALUE"""),2)</f>
        <v>2</v>
      </c>
      <c r="L860" s="139">
        <f ca="1">IFERROR(__xludf.DUMMYFUNCTION("""COMPUTED_VALUE"""),4000)</f>
        <v>4000</v>
      </c>
      <c r="M860" s="6" t="str">
        <f ca="1">IFERROR(__xludf.DUMMYFUNCTION("""COMPUTED_VALUE"""),"03 ORL")</f>
        <v>03 ORL</v>
      </c>
      <c r="N860" s="6" t="str">
        <f ca="1">IFERROR(__xludf.DUMMYFUNCTION("""COMPUTED_VALUE"""),"06 ORL")</f>
        <v>06 ORL</v>
      </c>
      <c r="O860" s="6" t="str">
        <f ca="1">IFERROR(__xludf.DUMMYFUNCTION("""COMPUTED_VALUE"""),"Dra, Estefanía Berrocal Postigo")</f>
        <v>Dra, Estefanía Berrocal Postigo</v>
      </c>
      <c r="P860" s="6" t="str">
        <f ca="1">IFERROR(__xludf.DUMMYFUNCTION("""COMPUTED_VALUE"""),"Luis Alberto Rodríguez (Andalucía y Badajoz)")</f>
        <v>Luis Alberto Rodríguez (Andalucía y Badajoz)</v>
      </c>
    </row>
    <row r="861" spans="2:16">
      <c r="B861" s="6">
        <f ca="1">IFERROR(__xludf.DUMMYFUNCTION("""COMPUTED_VALUE"""),2025)</f>
        <v>2025</v>
      </c>
      <c r="C861" s="6">
        <f ca="1">IFERROR(__xludf.DUMMYFUNCTION("""COMPUTED_VALUE"""),6)</f>
        <v>6</v>
      </c>
      <c r="D861" s="6" t="str">
        <f ca="1">IFERROR(__xludf.DUMMYFUNCTION("""COMPUTED_VALUE"""),"NO")</f>
        <v>NO</v>
      </c>
      <c r="E861" s="6" t="str">
        <f ca="1">IFERROR(__xludf.DUMMYFUNCTION("""COMPUTED_VALUE"""),"Sevilla- Montoto")</f>
        <v>Sevilla- Montoto</v>
      </c>
      <c r="F861" s="16">
        <f ca="1">IFERROR(__xludf.DUMMYFUNCTION("""COMPUTED_VALUE"""),45826)</f>
        <v>45826</v>
      </c>
      <c r="G861" s="16">
        <f ca="1">IFERROR(__xludf.DUMMYFUNCTION("""COMPUTED_VALUE"""),45734)</f>
        <v>45734</v>
      </c>
      <c r="H861" s="6" t="str">
        <f ca="1">IFERROR(__xludf.DUMMYFUNCTION("""COMPUTED_VALUE"""),"Montoto")</f>
        <v>Montoto</v>
      </c>
      <c r="I861" s="6" t="str">
        <f ca="1">IFERROR(__xludf.DUMMYFUNCTION("""COMPUTED_VALUE"""),"C2025481833388")</f>
        <v>C2025481833388</v>
      </c>
      <c r="J861" s="6" t="str">
        <f ca="1">IFERROR(__xludf.DUMMYFUNCTION("""COMPUTED_VALUE"""),"JUTTA HUMKE RODER")</f>
        <v>JUTTA HUMKE RODER</v>
      </c>
      <c r="K861" s="6">
        <f ca="1">IFERROR(__xludf.DUMMYFUNCTION("""COMPUTED_VALUE"""),2)</f>
        <v>2</v>
      </c>
      <c r="L861" s="139">
        <f ca="1">IFERROR(__xludf.DUMMYFUNCTION("""COMPUTED_VALUE"""),4000)</f>
        <v>4000</v>
      </c>
      <c r="M861" s="6" t="str">
        <f ca="1">IFERROR(__xludf.DUMMYFUNCTION("""COMPUTED_VALUE"""),"03 ORL")</f>
        <v>03 ORL</v>
      </c>
      <c r="N861" s="6" t="str">
        <f ca="1">IFERROR(__xludf.DUMMYFUNCTION("""COMPUTED_VALUE"""),"06 ORL")</f>
        <v>06 ORL</v>
      </c>
      <c r="O861" s="6" t="str">
        <f ca="1">IFERROR(__xludf.DUMMYFUNCTION("""COMPUTED_VALUE"""),"Dra, Estefanía Berrocal Postigo")</f>
        <v>Dra, Estefanía Berrocal Postigo</v>
      </c>
      <c r="P861" s="6" t="str">
        <f ca="1">IFERROR(__xludf.DUMMYFUNCTION("""COMPUTED_VALUE"""),"Luis Alberto Rodríguez (Andalucía y Badajoz)")</f>
        <v>Luis Alberto Rodríguez (Andalucía y Badajoz)</v>
      </c>
    </row>
    <row r="862" spans="2:16">
      <c r="B862" s="6">
        <f ca="1">IFERROR(__xludf.DUMMYFUNCTION("""COMPUTED_VALUE"""),2025)</f>
        <v>2025</v>
      </c>
      <c r="C862" s="6">
        <f ca="1">IFERROR(__xludf.DUMMYFUNCTION("""COMPUTED_VALUE"""),6)</f>
        <v>6</v>
      </c>
      <c r="D862" s="6" t="str">
        <f ca="1">IFERROR(__xludf.DUMMYFUNCTION("""COMPUTED_VALUE"""),"NO")</f>
        <v>NO</v>
      </c>
      <c r="E862" s="6" t="str">
        <f ca="1">IFERROR(__xludf.DUMMYFUNCTION("""COMPUTED_VALUE"""),"Sevilla- Montoto")</f>
        <v>Sevilla- Montoto</v>
      </c>
      <c r="F862" s="16">
        <f ca="1">IFERROR(__xludf.DUMMYFUNCTION("""COMPUTED_VALUE"""),45835)</f>
        <v>45835</v>
      </c>
      <c r="G862" s="16">
        <f ca="1">IFERROR(__xludf.DUMMYFUNCTION("""COMPUTED_VALUE"""),45812)</f>
        <v>45812</v>
      </c>
      <c r="H862" s="6" t="str">
        <f ca="1">IFERROR(__xludf.DUMMYFUNCTION("""COMPUTED_VALUE"""),"Montoto")</f>
        <v>Montoto</v>
      </c>
      <c r="I862" s="6" t="str">
        <f ca="1">IFERROR(__xludf.DUMMYFUNCTION("""COMPUTED_VALUE"""),"C202566154340153")</f>
        <v>C202566154340153</v>
      </c>
      <c r="J862" s="6" t="str">
        <f ca="1">IFERROR(__xludf.DUMMYFUNCTION("""COMPUTED_VALUE"""),"LUISA RUBIO TORO")</f>
        <v>LUISA RUBIO TORO</v>
      </c>
      <c r="K862" s="6">
        <f ca="1">IFERROR(__xludf.DUMMYFUNCTION("""COMPUTED_VALUE"""),1)</f>
        <v>1</v>
      </c>
      <c r="L862" s="139">
        <f ca="1">IFERROR(__xludf.DUMMYFUNCTION("""COMPUTED_VALUE"""),2226.36)</f>
        <v>2226.36</v>
      </c>
      <c r="M862" s="6" t="str">
        <f ca="1">IFERROR(__xludf.DUMMYFUNCTION("""COMPUTED_VALUE"""),"03 ORL")</f>
        <v>03 ORL</v>
      </c>
      <c r="N862" s="6" t="str">
        <f ca="1">IFERROR(__xludf.DUMMYFUNCTION("""COMPUTED_VALUE"""),"06 ORL")</f>
        <v>06 ORL</v>
      </c>
      <c r="O862" s="6" t="str">
        <f ca="1">IFERROR(__xludf.DUMMYFUNCTION("""COMPUTED_VALUE"""),"Dra, Estefanía Berrocal Postigo")</f>
        <v>Dra, Estefanía Berrocal Postigo</v>
      </c>
      <c r="P862" s="6" t="str">
        <f ca="1">IFERROR(__xludf.DUMMYFUNCTION("""COMPUTED_VALUE"""),"Luis Alberto Rodríguez (Andalucía y Badajoz)")</f>
        <v>Luis Alberto Rodríguez (Andalucía y Badajoz)</v>
      </c>
    </row>
    <row r="863" spans="2:16">
      <c r="B863" s="6">
        <f ca="1">IFERROR(__xludf.DUMMYFUNCTION("""COMPUTED_VALUE"""),2025)</f>
        <v>2025</v>
      </c>
      <c r="C863" s="6">
        <f ca="1">IFERROR(__xludf.DUMMYFUNCTION("""COMPUTED_VALUE"""),6)</f>
        <v>6</v>
      </c>
      <c r="D863" s="6" t="str">
        <f ca="1">IFERROR(__xludf.DUMMYFUNCTION("""COMPUTED_VALUE"""),"NO")</f>
        <v>NO</v>
      </c>
      <c r="E863" s="6" t="str">
        <f ca="1">IFERROR(__xludf.DUMMYFUNCTION("""COMPUTED_VALUE"""),"Sevilla- Montoto")</f>
        <v>Sevilla- Montoto</v>
      </c>
      <c r="F863" s="16">
        <f ca="1">IFERROR(__xludf.DUMMYFUNCTION("""COMPUTED_VALUE"""),45828)</f>
        <v>45828</v>
      </c>
      <c r="G863" s="16">
        <f ca="1">IFERROR(__xludf.DUMMYFUNCTION("""COMPUTED_VALUE"""),45826)</f>
        <v>45826</v>
      </c>
      <c r="H863" s="6" t="str">
        <f ca="1">IFERROR(__xludf.DUMMYFUNCTION("""COMPUTED_VALUE"""),"Montoto")</f>
        <v>Montoto</v>
      </c>
      <c r="I863" s="6" t="str">
        <f ca="1">IFERROR(__xludf.DUMMYFUNCTION("""COMPUTED_VALUE"""),"C202561812556820")</f>
        <v>C202561812556820</v>
      </c>
      <c r="J863" s="6" t="str">
        <f ca="1">IFERROR(__xludf.DUMMYFUNCTION("""COMPUTED_VALUE"""),"MARIA DEL CARMEN MUÑOZ BRUÑ")</f>
        <v>MARIA DEL CARMEN MUÑOZ BRUÑ</v>
      </c>
      <c r="K863" s="6">
        <f ca="1">IFERROR(__xludf.DUMMYFUNCTION("""COMPUTED_VALUE"""),1)</f>
        <v>1</v>
      </c>
      <c r="L863" s="139">
        <f ca="1">IFERROR(__xludf.DUMMYFUNCTION("""COMPUTED_VALUE"""),1550)</f>
        <v>1550</v>
      </c>
      <c r="M863" s="6" t="str">
        <f ca="1">IFERROR(__xludf.DUMMYFUNCTION("""COMPUTED_VALUE"""),"03 ORL")</f>
        <v>03 ORL</v>
      </c>
      <c r="N863" s="6" t="str">
        <f ca="1">IFERROR(__xludf.DUMMYFUNCTION("""COMPUTED_VALUE"""),"06 ORL")</f>
        <v>06 ORL</v>
      </c>
      <c r="O863" s="6" t="str">
        <f ca="1">IFERROR(__xludf.DUMMYFUNCTION("""COMPUTED_VALUE"""),"Dr, Miguel Alberto Rodríguez Pérez")</f>
        <v>Dr, Miguel Alberto Rodríguez Pérez</v>
      </c>
      <c r="P863" s="6" t="str">
        <f ca="1">IFERROR(__xludf.DUMMYFUNCTION("""COMPUTED_VALUE"""),"Luis Alberto Rodríguez (Andalucía y Badajoz)")</f>
        <v>Luis Alberto Rodríguez (Andalucía y Badajoz)</v>
      </c>
    </row>
    <row r="864" spans="2:16">
      <c r="B864" s="6">
        <f ca="1">IFERROR(__xludf.DUMMYFUNCTION("""COMPUTED_VALUE"""),2025)</f>
        <v>2025</v>
      </c>
      <c r="C864" s="6">
        <f ca="1">IFERROR(__xludf.DUMMYFUNCTION("""COMPUTED_VALUE"""),6)</f>
        <v>6</v>
      </c>
      <c r="D864" s="6" t="str">
        <f ca="1">IFERROR(__xludf.DUMMYFUNCTION("""COMPUTED_VALUE"""),"NO")</f>
        <v>NO</v>
      </c>
      <c r="E864" s="6" t="str">
        <f ca="1">IFERROR(__xludf.DUMMYFUNCTION("""COMPUTED_VALUE"""),"Talavera")</f>
        <v>Talavera</v>
      </c>
      <c r="F864" s="16">
        <f ca="1">IFERROR(__xludf.DUMMYFUNCTION("""COMPUTED_VALUE"""),45834)</f>
        <v>45834</v>
      </c>
      <c r="G864" s="16">
        <f ca="1">IFERROR(__xludf.DUMMYFUNCTION("""COMPUTED_VALUE"""),45805)</f>
        <v>45805</v>
      </c>
      <c r="H864" s="6" t="str">
        <f ca="1">IFERROR(__xludf.DUMMYFUNCTION("""COMPUTED_VALUE"""),"Talavera")</f>
        <v>Talavera</v>
      </c>
      <c r="I864" s="6" t="str">
        <f ca="1">IFERROR(__xludf.DUMMYFUNCTION("""COMPUTED_VALUE"""),"C202566952474")</f>
        <v>C202566952474</v>
      </c>
      <c r="J864" s="6" t="str">
        <f ca="1">IFERROR(__xludf.DUMMYFUNCTION("""COMPUTED_VALUE"""),"FRANCISCA BLANCO SIERRA")</f>
        <v>FRANCISCA BLANCO SIERRA</v>
      </c>
      <c r="K864" s="6">
        <f ca="1">IFERROR(__xludf.DUMMYFUNCTION("""COMPUTED_VALUE"""),2)</f>
        <v>2</v>
      </c>
      <c r="L864" s="139">
        <f ca="1">IFERROR(__xludf.DUMMYFUNCTION("""COMPUTED_VALUE"""),2599.36)</f>
        <v>2599.36</v>
      </c>
      <c r="M864" s="6" t="str">
        <f ca="1">IFERROR(__xludf.DUMMYFUNCTION("""COMPUTED_VALUE"""),"03 ORL")</f>
        <v>03 ORL</v>
      </c>
      <c r="N864" s="6" t="str">
        <f ca="1">IFERROR(__xludf.DUMMYFUNCTION("""COMPUTED_VALUE"""),"06 ORL")</f>
        <v>06 ORL</v>
      </c>
      <c r="O864" s="6" t="str">
        <f ca="1">IFERROR(__xludf.DUMMYFUNCTION("""COMPUTED_VALUE"""),"Dr, Carlos Félix Asensio Nieto")</f>
        <v>Dr, Carlos Félix Asensio Nieto</v>
      </c>
      <c r="P864" s="6" t="str">
        <f ca="1">IFERROR(__xludf.DUMMYFUNCTION("""COMPUTED_VALUE"""),"Lisandro Russian (Madrid, Cáceres, Toledo, Talavera Y Logroño)")</f>
        <v>Lisandro Russian (Madrid, Cáceres, Toledo, Talavera Y Logroño)</v>
      </c>
    </row>
    <row r="865" spans="2:16">
      <c r="B865" s="6">
        <f ca="1">IFERROR(__xludf.DUMMYFUNCTION("""COMPUTED_VALUE"""),2025)</f>
        <v>2025</v>
      </c>
      <c r="C865" s="6">
        <f ca="1">IFERROR(__xludf.DUMMYFUNCTION("""COMPUTED_VALUE"""),6)</f>
        <v>6</v>
      </c>
      <c r="D865" s="6" t="str">
        <f ca="1">IFERROR(__xludf.DUMMYFUNCTION("""COMPUTED_VALUE"""),"NO")</f>
        <v>NO</v>
      </c>
      <c r="E865" s="6" t="str">
        <f ca="1">IFERROR(__xludf.DUMMYFUNCTION("""COMPUTED_VALUE"""),"Talavera")</f>
        <v>Talavera</v>
      </c>
      <c r="F865" s="16">
        <f ca="1">IFERROR(__xludf.DUMMYFUNCTION("""COMPUTED_VALUE"""),45826)</f>
        <v>45826</v>
      </c>
      <c r="G865" s="16">
        <f ca="1">IFERROR(__xludf.DUMMYFUNCTION("""COMPUTED_VALUE"""),45803)</f>
        <v>45803</v>
      </c>
      <c r="H865" s="6" t="str">
        <f ca="1">IFERROR(__xludf.DUMMYFUNCTION("""COMPUTED_VALUE"""),"Talavera")</f>
        <v>Talavera</v>
      </c>
      <c r="I865" s="6" t="str">
        <f ca="1">IFERROR(__xludf.DUMMYFUNCTION("""COMPUTED_VALUE"""),"C202553010033693")</f>
        <v>C202553010033693</v>
      </c>
      <c r="J865" s="6" t="str">
        <f ca="1">IFERROR(__xludf.DUMMYFUNCTION("""COMPUTED_VALUE"""),"MARIA LUISA GARCIA VAZQUEZ")</f>
        <v>MARIA LUISA GARCIA VAZQUEZ</v>
      </c>
      <c r="K865" s="6">
        <f ca="1">IFERROR(__xludf.DUMMYFUNCTION("""COMPUTED_VALUE"""),2)</f>
        <v>2</v>
      </c>
      <c r="L865" s="139">
        <f ca="1">IFERROR(__xludf.DUMMYFUNCTION("""COMPUTED_VALUE"""),2888.18)</f>
        <v>2888.18</v>
      </c>
      <c r="M865" s="6" t="str">
        <f ca="1">IFERROR(__xludf.DUMMYFUNCTION("""COMPUTED_VALUE"""),"03 ORL")</f>
        <v>03 ORL</v>
      </c>
      <c r="N865" s="6" t="str">
        <f ca="1">IFERROR(__xludf.DUMMYFUNCTION("""COMPUTED_VALUE"""),"06 ORL")</f>
        <v>06 ORL</v>
      </c>
      <c r="O865" s="6" t="str">
        <f ca="1">IFERROR(__xludf.DUMMYFUNCTION("""COMPUTED_VALUE"""),"Dr, Carlos Félix Asensio Nieto")</f>
        <v>Dr, Carlos Félix Asensio Nieto</v>
      </c>
      <c r="P865" s="6" t="str">
        <f ca="1">IFERROR(__xludf.DUMMYFUNCTION("""COMPUTED_VALUE"""),"Lisandro Russian (Madrid, Cáceres, Toledo, Talavera Y Logroño)")</f>
        <v>Lisandro Russian (Madrid, Cáceres, Toledo, Talavera Y Logroño)</v>
      </c>
    </row>
    <row r="866" spans="2:16">
      <c r="B866" s="6">
        <f ca="1">IFERROR(__xludf.DUMMYFUNCTION("""COMPUTED_VALUE"""),2025)</f>
        <v>2025</v>
      </c>
      <c r="C866" s="6">
        <f ca="1">IFERROR(__xludf.DUMMYFUNCTION("""COMPUTED_VALUE"""),6)</f>
        <v>6</v>
      </c>
      <c r="D866" s="6" t="str">
        <f ca="1">IFERROR(__xludf.DUMMYFUNCTION("""COMPUTED_VALUE"""),"NO")</f>
        <v>NO</v>
      </c>
      <c r="E866" s="6" t="str">
        <f ca="1">IFERROR(__xludf.DUMMYFUNCTION("""COMPUTED_VALUE"""),"Talavera")</f>
        <v>Talavera</v>
      </c>
      <c r="F866" s="16">
        <f ca="1">IFERROR(__xludf.DUMMYFUNCTION("""COMPUTED_VALUE"""),45819)</f>
        <v>45819</v>
      </c>
      <c r="G866" s="16">
        <f ca="1">IFERROR(__xludf.DUMMYFUNCTION("""COMPUTED_VALUE"""),45790)</f>
        <v>45790</v>
      </c>
      <c r="H866" s="6" t="str">
        <f ca="1">IFERROR(__xludf.DUMMYFUNCTION("""COMPUTED_VALUE"""),"Talavera")</f>
        <v>Talavera</v>
      </c>
      <c r="I866" s="6" t="str">
        <f ca="1">IFERROR(__xludf.DUMMYFUNCTION("""COMPUTED_VALUE"""),"C2025513111916844")</f>
        <v>C2025513111916844</v>
      </c>
      <c r="J866" s="6" t="str">
        <f ca="1">IFERROR(__xludf.DUMMYFUNCTION("""COMPUTED_VALUE"""),"PEDRO SANCHEZ MARTIN")</f>
        <v>PEDRO SANCHEZ MARTIN</v>
      </c>
      <c r="K866" s="6">
        <f ca="1">IFERROR(__xludf.DUMMYFUNCTION("""COMPUTED_VALUE"""),-2)</f>
        <v>-2</v>
      </c>
      <c r="L866" s="139">
        <f ca="1">IFERROR(__xludf.DUMMYFUNCTION("""COMPUTED_VALUE"""),-2888.18)</f>
        <v>-2888.18</v>
      </c>
      <c r="M866" s="6" t="str">
        <f ca="1">IFERROR(__xludf.DUMMYFUNCTION("""COMPUTED_VALUE"""),"03 ORL")</f>
        <v>03 ORL</v>
      </c>
      <c r="N866" s="6" t="str">
        <f ca="1">IFERROR(__xludf.DUMMYFUNCTION("""COMPUTED_VALUE"""),"06 ORL")</f>
        <v>06 ORL</v>
      </c>
      <c r="O866" s="6" t="str">
        <f ca="1">IFERROR(__xludf.DUMMYFUNCTION("""COMPUTED_VALUE"""),"No recuerda ORL")</f>
        <v>No recuerda ORL</v>
      </c>
      <c r="P866" s="6" t="str">
        <f ca="1">IFERROR(__xludf.DUMMYFUNCTION("""COMPUTED_VALUE"""),"Lisandro Russian (Madrid, Cáceres, Toledo, Talavera Y Logroño)")</f>
        <v>Lisandro Russian (Madrid, Cáceres, Toledo, Talavera Y Logroño)</v>
      </c>
    </row>
    <row r="867" spans="2:16">
      <c r="B867" s="6">
        <f ca="1">IFERROR(__xludf.DUMMYFUNCTION("""COMPUTED_VALUE"""),2025)</f>
        <v>2025</v>
      </c>
      <c r="C867" s="6">
        <f ca="1">IFERROR(__xludf.DUMMYFUNCTION("""COMPUTED_VALUE"""),6)</f>
        <v>6</v>
      </c>
      <c r="D867" s="6" t="str">
        <f ca="1">IFERROR(__xludf.DUMMYFUNCTION("""COMPUTED_VALUE"""),"NO")</f>
        <v>NO</v>
      </c>
      <c r="E867" s="6" t="str">
        <f ca="1">IFERROR(__xludf.DUMMYFUNCTION("""COMPUTED_VALUE"""),"Toledo")</f>
        <v>Toledo</v>
      </c>
      <c r="F867" s="16">
        <f ca="1">IFERROR(__xludf.DUMMYFUNCTION("""COMPUTED_VALUE"""),45820)</f>
        <v>45820</v>
      </c>
      <c r="G867" s="16">
        <f ca="1">IFERROR(__xludf.DUMMYFUNCTION("""COMPUTED_VALUE"""),45603)</f>
        <v>45603</v>
      </c>
      <c r="H867" s="6" t="str">
        <f ca="1">IFERROR(__xludf.DUMMYFUNCTION("""COMPUTED_VALUE"""),"Toledo")</f>
        <v>Toledo</v>
      </c>
      <c r="I867" s="6" t="str">
        <f ca="1">IFERROR(__xludf.DUMMYFUNCTION("""COMPUTED_VALUE"""),"C202551313645522")</f>
        <v>C202551313645522</v>
      </c>
      <c r="J867" s="6" t="str">
        <f ca="1">IFERROR(__xludf.DUMMYFUNCTION("""COMPUTED_VALUE"""),"ANGELES DEL CASAR SERRANO")</f>
        <v>ANGELES DEL CASAR SERRANO</v>
      </c>
      <c r="K867" s="6">
        <f ca="1">IFERROR(__xludf.DUMMYFUNCTION("""COMPUTED_VALUE"""),1)</f>
        <v>1</v>
      </c>
      <c r="L867" s="139">
        <f ca="1">IFERROR(__xludf.DUMMYFUNCTION("""COMPUTED_VALUE"""),2000)</f>
        <v>2000</v>
      </c>
      <c r="M867" s="6" t="str">
        <f ca="1">IFERROR(__xludf.DUMMYFUNCTION("""COMPUTED_VALUE"""),"03 ORL")</f>
        <v>03 ORL</v>
      </c>
      <c r="N867" s="6" t="str">
        <f ca="1">IFERROR(__xludf.DUMMYFUNCTION("""COMPUTED_VALUE"""),"06 ORL")</f>
        <v>06 ORL</v>
      </c>
      <c r="O867" s="6" t="str">
        <f ca="1">IFERROR(__xludf.DUMMYFUNCTION("""COMPUTED_VALUE"""),"Dr, Jorge Alberto Jiménez Antolín")</f>
        <v>Dr, Jorge Alberto Jiménez Antolín</v>
      </c>
      <c r="P867" s="6" t="str">
        <f ca="1">IFERROR(__xludf.DUMMYFUNCTION("""COMPUTED_VALUE"""),"Lisandro Russian (Madrid, Cáceres, Toledo, Talavera Y Logroño)")</f>
        <v>Lisandro Russian (Madrid, Cáceres, Toledo, Talavera Y Logroño)</v>
      </c>
    </row>
    <row r="868" spans="2:16">
      <c r="B868" s="6">
        <f ca="1">IFERROR(__xludf.DUMMYFUNCTION("""COMPUTED_VALUE"""),2025)</f>
        <v>2025</v>
      </c>
      <c r="C868" s="6">
        <f ca="1">IFERROR(__xludf.DUMMYFUNCTION("""COMPUTED_VALUE"""),6)</f>
        <v>6</v>
      </c>
      <c r="D868" s="6" t="str">
        <f ca="1">IFERROR(__xludf.DUMMYFUNCTION("""COMPUTED_VALUE"""),"NO")</f>
        <v>NO</v>
      </c>
      <c r="E868" s="6" t="str">
        <f ca="1">IFERROR(__xludf.DUMMYFUNCTION("""COMPUTED_VALUE"""),"Toledo")</f>
        <v>Toledo</v>
      </c>
      <c r="F868" s="16">
        <f ca="1">IFERROR(__xludf.DUMMYFUNCTION("""COMPUTED_VALUE"""),45835)</f>
        <v>45835</v>
      </c>
      <c r="G868" s="16">
        <f ca="1">IFERROR(__xludf.DUMMYFUNCTION("""COMPUTED_VALUE"""),45761)</f>
        <v>45761</v>
      </c>
      <c r="H868" s="6" t="str">
        <f ca="1">IFERROR(__xludf.DUMMYFUNCTION("""COMPUTED_VALUE"""),"Toledo")</f>
        <v>Toledo</v>
      </c>
      <c r="I868" s="6" t="str">
        <f ca="1">IFERROR(__xludf.DUMMYFUNCTION("""COMPUTED_VALUE"""),"C202555153621469")</f>
        <v>C202555153621469</v>
      </c>
      <c r="J868" s="6" t="str">
        <f ca="1">IFERROR(__xludf.DUMMYFUNCTION("""COMPUTED_VALUE"""),"MARIA CRUZ LOPEZ LOPEZ")</f>
        <v>MARIA CRUZ LOPEZ LOPEZ</v>
      </c>
      <c r="K868" s="6">
        <f ca="1">IFERROR(__xludf.DUMMYFUNCTION("""COMPUTED_VALUE"""),2)</f>
        <v>2</v>
      </c>
      <c r="L868" s="139">
        <f ca="1">IFERROR(__xludf.DUMMYFUNCTION("""COMPUTED_VALUE"""),4000)</f>
        <v>4000</v>
      </c>
      <c r="M868" s="6" t="str">
        <f ca="1">IFERROR(__xludf.DUMMYFUNCTION("""COMPUTED_VALUE"""),"03 ORL")</f>
        <v>03 ORL</v>
      </c>
      <c r="N868" s="6" t="str">
        <f ca="1">IFERROR(__xludf.DUMMYFUNCTION("""COMPUTED_VALUE"""),"06 ORL")</f>
        <v>06 ORL</v>
      </c>
      <c r="O868" s="6" t="str">
        <f ca="1">IFERROR(__xludf.DUMMYFUNCTION("""COMPUTED_VALUE"""),"Dra, María Garrote Garrote")</f>
        <v>Dra, María Garrote Garrote</v>
      </c>
      <c r="P868" s="6" t="str">
        <f ca="1">IFERROR(__xludf.DUMMYFUNCTION("""COMPUTED_VALUE"""),"Maika Blázquez (Madrid)")</f>
        <v>Maika Blázquez (Madrid)</v>
      </c>
    </row>
    <row r="869" spans="2:16">
      <c r="B869" s="6">
        <f ca="1">IFERROR(__xludf.DUMMYFUNCTION("""COMPUTED_VALUE"""),2025)</f>
        <v>2025</v>
      </c>
      <c r="C869" s="6">
        <f ca="1">IFERROR(__xludf.DUMMYFUNCTION("""COMPUTED_VALUE"""),6)</f>
        <v>6</v>
      </c>
      <c r="D869" s="6" t="str">
        <f ca="1">IFERROR(__xludf.DUMMYFUNCTION("""COMPUTED_VALUE"""),"NO")</f>
        <v>NO</v>
      </c>
      <c r="E869" s="6" t="str">
        <f ca="1">IFERROR(__xludf.DUMMYFUNCTION("""COMPUTED_VALUE"""),"Torrejón de Ardoz")</f>
        <v>Torrejón de Ardoz</v>
      </c>
      <c r="F869" s="16">
        <f ca="1">IFERROR(__xludf.DUMMYFUNCTION("""COMPUTED_VALUE"""),45834)</f>
        <v>45834</v>
      </c>
      <c r="G869" s="16">
        <f ca="1">IFERROR(__xludf.DUMMYFUNCTION("""COMPUTED_VALUE"""),45817)</f>
        <v>45817</v>
      </c>
      <c r="H869" s="6" t="str">
        <f ca="1">IFERROR(__xludf.DUMMYFUNCTION("""COMPUTED_VALUE"""),"Torrejón")</f>
        <v>Torrejón</v>
      </c>
      <c r="I869" s="6" t="str">
        <f ca="1">IFERROR(__xludf.DUMMYFUNCTION("""COMPUTED_VALUE"""),"C20256915635107")</f>
        <v>C20256915635107</v>
      </c>
      <c r="J869" s="6" t="str">
        <f ca="1">IFERROR(__xludf.DUMMYFUNCTION("""COMPUTED_VALUE"""),"DAVID GALLEGO DE LA SACRISTANA")</f>
        <v>DAVID GALLEGO DE LA SACRISTANA</v>
      </c>
      <c r="K869" s="6">
        <f ca="1">IFERROR(__xludf.DUMMYFUNCTION("""COMPUTED_VALUE"""),1)</f>
        <v>1</v>
      </c>
      <c r="L869" s="139">
        <f ca="1">IFERROR(__xludf.DUMMYFUNCTION("""COMPUTED_VALUE"""),2400)</f>
        <v>2400</v>
      </c>
      <c r="M869" s="6" t="str">
        <f ca="1">IFERROR(__xludf.DUMMYFUNCTION("""COMPUTED_VALUE"""),"03 ORL")</f>
        <v>03 ORL</v>
      </c>
      <c r="N869" s="6" t="str">
        <f ca="1">IFERROR(__xludf.DUMMYFUNCTION("""COMPUTED_VALUE"""),"06 ORL")</f>
        <v>06 ORL</v>
      </c>
      <c r="O869" s="6" t="str">
        <f ca="1">IFERROR(__xludf.DUMMYFUNCTION("""COMPUTED_VALUE"""),"DR, Javier Olarieta Soto")</f>
        <v>DR, Javier Olarieta Soto</v>
      </c>
      <c r="P869" s="6" t="str">
        <f ca="1">IFERROR(__xludf.DUMMYFUNCTION("""COMPUTED_VALUE"""),"Maika Blázquez (Madrid)")</f>
        <v>Maika Blázquez (Madrid)</v>
      </c>
    </row>
    <row r="870" spans="2:16">
      <c r="B870" s="6">
        <f ca="1">IFERROR(__xludf.DUMMYFUNCTION("""COMPUTED_VALUE"""),2025)</f>
        <v>2025</v>
      </c>
      <c r="C870" s="6">
        <f ca="1">IFERROR(__xludf.DUMMYFUNCTION("""COMPUTED_VALUE"""),6)</f>
        <v>6</v>
      </c>
      <c r="D870" s="6" t="str">
        <f ca="1">IFERROR(__xludf.DUMMYFUNCTION("""COMPUTED_VALUE"""),"NO")</f>
        <v>NO</v>
      </c>
      <c r="E870" s="6" t="str">
        <f ca="1">IFERROR(__xludf.DUMMYFUNCTION("""COMPUTED_VALUE"""),"Torrejón de Ardoz")</f>
        <v>Torrejón de Ardoz</v>
      </c>
      <c r="F870" s="16">
        <f ca="1">IFERROR(__xludf.DUMMYFUNCTION("""COMPUTED_VALUE"""),45827)</f>
        <v>45827</v>
      </c>
      <c r="G870" s="16">
        <f ca="1">IFERROR(__xludf.DUMMYFUNCTION("""COMPUTED_VALUE"""),45776)</f>
        <v>45776</v>
      </c>
      <c r="H870" s="6" t="str">
        <f ca="1">IFERROR(__xludf.DUMMYFUNCTION("""COMPUTED_VALUE"""),"Torrejón")</f>
        <v>Torrejón</v>
      </c>
      <c r="I870" s="6" t="str">
        <f ca="1">IFERROR(__xludf.DUMMYFUNCTION("""COMPUTED_VALUE"""),"C202564102333572")</f>
        <v>C202564102333572</v>
      </c>
      <c r="J870" s="6" t="str">
        <f ca="1">IFERROR(__xludf.DUMMYFUNCTION("""COMPUTED_VALUE"""),"ELIECER DIMAS DE MIGUEL")</f>
        <v>ELIECER DIMAS DE MIGUEL</v>
      </c>
      <c r="K870" s="6">
        <f ca="1">IFERROR(__xludf.DUMMYFUNCTION("""COMPUTED_VALUE"""),2)</f>
        <v>2</v>
      </c>
      <c r="L870" s="139">
        <f ca="1">IFERROR(__xludf.DUMMYFUNCTION("""COMPUTED_VALUE"""),4000)</f>
        <v>4000</v>
      </c>
      <c r="M870" s="6" t="str">
        <f ca="1">IFERROR(__xludf.DUMMYFUNCTION("""COMPUTED_VALUE"""),"03 ORL")</f>
        <v>03 ORL</v>
      </c>
      <c r="N870" s="6" t="str">
        <f ca="1">IFERROR(__xludf.DUMMYFUNCTION("""COMPUTED_VALUE"""),"06 ORL")</f>
        <v>06 ORL</v>
      </c>
      <c r="O870" s="6" t="str">
        <f ca="1">IFERROR(__xludf.DUMMYFUNCTION("""COMPUTED_VALUE"""),"Dra, María Garrote Garrote")</f>
        <v>Dra, María Garrote Garrote</v>
      </c>
      <c r="P870" s="6" t="str">
        <f ca="1">IFERROR(__xludf.DUMMYFUNCTION("""COMPUTED_VALUE"""),"Maika Blázquez (Madrid)")</f>
        <v>Maika Blázquez (Madrid)</v>
      </c>
    </row>
    <row r="871" spans="2:16">
      <c r="B871" s="6">
        <f ca="1">IFERROR(__xludf.DUMMYFUNCTION("""COMPUTED_VALUE"""),2025)</f>
        <v>2025</v>
      </c>
      <c r="C871" s="6">
        <f ca="1">IFERROR(__xludf.DUMMYFUNCTION("""COMPUTED_VALUE"""),6)</f>
        <v>6</v>
      </c>
      <c r="D871" s="6" t="str">
        <f ca="1">IFERROR(__xludf.DUMMYFUNCTION("""COMPUTED_VALUE"""),"NO")</f>
        <v>NO</v>
      </c>
      <c r="E871" s="6" t="str">
        <f ca="1">IFERROR(__xludf.DUMMYFUNCTION("""COMPUTED_VALUE"""),"Valencia- Cádiz")</f>
        <v>Valencia- Cádiz</v>
      </c>
      <c r="F871" s="16">
        <f ca="1">IFERROR(__xludf.DUMMYFUNCTION("""COMPUTED_VALUE"""),45825)</f>
        <v>45825</v>
      </c>
      <c r="G871" s="16">
        <f ca="1">IFERROR(__xludf.DUMMYFUNCTION("""COMPUTED_VALUE"""),45786)</f>
        <v>45786</v>
      </c>
      <c r="H871" s="6" t="str">
        <f ca="1">IFERROR(__xludf.DUMMYFUNCTION("""COMPUTED_VALUE"""),"Valencia- Cádiz")</f>
        <v>Valencia- Cádiz</v>
      </c>
      <c r="I871" s="6" t="str">
        <f ca="1">IFERROR(__xludf.DUMMYFUNCTION("""COMPUTED_VALUE"""),"C20255169420550")</f>
        <v>C20255169420550</v>
      </c>
      <c r="J871" s="6" t="str">
        <f ca="1">IFERROR(__xludf.DUMMYFUNCTION("""COMPUTED_VALUE"""),"Francisco Gual Nadal")</f>
        <v>Francisco Gual Nadal</v>
      </c>
      <c r="K871" s="6">
        <f ca="1">IFERROR(__xludf.DUMMYFUNCTION("""COMPUTED_VALUE"""),1)</f>
        <v>1</v>
      </c>
      <c r="L871" s="139">
        <f ca="1">IFERROR(__xludf.DUMMYFUNCTION("""COMPUTED_VALUE"""),2226.36)</f>
        <v>2226.36</v>
      </c>
      <c r="M871" s="6" t="str">
        <f ca="1">IFERROR(__xludf.DUMMYFUNCTION("""COMPUTED_VALUE"""),"03 ORL")</f>
        <v>03 ORL</v>
      </c>
      <c r="N871" s="6" t="str">
        <f ca="1">IFERROR(__xludf.DUMMYFUNCTION("""COMPUTED_VALUE"""),"06 ORL")</f>
        <v>06 ORL</v>
      </c>
      <c r="O871" s="6" t="str">
        <f ca="1">IFERROR(__xludf.DUMMYFUNCTION("""COMPUTED_VALUE"""),"Dr, Manuel Mateos Fernández")</f>
        <v>Dr, Manuel Mateos Fernández</v>
      </c>
      <c r="P871" s="6" t="str">
        <f ca="1">IFERROR(__xludf.DUMMYFUNCTION("""COMPUTED_VALUE"""),"Ramon Ferrando(Valencia)")</f>
        <v>Ramon Ferrando(Valencia)</v>
      </c>
    </row>
    <row r="872" spans="2:16">
      <c r="B872" s="6">
        <f ca="1">IFERROR(__xludf.DUMMYFUNCTION("""COMPUTED_VALUE"""),2025)</f>
        <v>2025</v>
      </c>
      <c r="C872" s="6">
        <f ca="1">IFERROR(__xludf.DUMMYFUNCTION("""COMPUTED_VALUE"""),6)</f>
        <v>6</v>
      </c>
      <c r="D872" s="6" t="str">
        <f ca="1">IFERROR(__xludf.DUMMYFUNCTION("""COMPUTED_VALUE"""),"NO")</f>
        <v>NO</v>
      </c>
      <c r="E872" s="6" t="str">
        <f ca="1">IFERROR(__xludf.DUMMYFUNCTION("""COMPUTED_VALUE"""),"Valencia- Cádiz")</f>
        <v>Valencia- Cádiz</v>
      </c>
      <c r="F872" s="16">
        <f ca="1">IFERROR(__xludf.DUMMYFUNCTION("""COMPUTED_VALUE"""),45834)</f>
        <v>45834</v>
      </c>
      <c r="G872" s="16">
        <f ca="1">IFERROR(__xludf.DUMMYFUNCTION("""COMPUTED_VALUE"""),45741)</f>
        <v>45741</v>
      </c>
      <c r="H872" s="6" t="str">
        <f ca="1">IFERROR(__xludf.DUMMYFUNCTION("""COMPUTED_VALUE"""),"Valencia- Cádiz")</f>
        <v>Valencia- Cádiz</v>
      </c>
      <c r="I872" s="6" t="str">
        <f ca="1">IFERROR(__xludf.DUMMYFUNCTION("""COMPUTED_VALUE"""),"C2025416122247658")</f>
        <v>C2025416122247658</v>
      </c>
      <c r="J872" s="6" t="str">
        <f ca="1">IFERROR(__xludf.DUMMYFUNCTION("""COMPUTED_VALUE"""),"Leunus   Straub")</f>
        <v>Leunus   Straub</v>
      </c>
      <c r="K872" s="6">
        <f ca="1">IFERROR(__xludf.DUMMYFUNCTION("""COMPUTED_VALUE"""),2)</f>
        <v>2</v>
      </c>
      <c r="L872" s="139">
        <f ca="1">IFERROR(__xludf.DUMMYFUNCTION("""COMPUTED_VALUE"""),2888.18)</f>
        <v>2888.18</v>
      </c>
      <c r="M872" s="6" t="str">
        <f ca="1">IFERROR(__xludf.DUMMYFUNCTION("""COMPUTED_VALUE"""),"03 ORL")</f>
        <v>03 ORL</v>
      </c>
      <c r="N872" s="6" t="str">
        <f ca="1">IFERROR(__xludf.DUMMYFUNCTION("""COMPUTED_VALUE"""),"06 ORL")</f>
        <v>06 ORL</v>
      </c>
      <c r="O872" s="6" t="str">
        <f ca="1">IFERROR(__xludf.DUMMYFUNCTION("""COMPUTED_VALUE"""),"Dra, María Soledad Frías Moya-Angeler")</f>
        <v>Dra, María Soledad Frías Moya-Angeler</v>
      </c>
      <c r="P872" s="6" t="str">
        <f ca="1">IFERROR(__xludf.DUMMYFUNCTION("""COMPUTED_VALUE"""),"Ramon Ferrando(Valencia)")</f>
        <v>Ramon Ferrando(Valencia)</v>
      </c>
    </row>
    <row r="873" spans="2:16">
      <c r="B873" s="6">
        <f ca="1">IFERROR(__xludf.DUMMYFUNCTION("""COMPUTED_VALUE"""),2025)</f>
        <v>2025</v>
      </c>
      <c r="C873" s="6">
        <f ca="1">IFERROR(__xludf.DUMMYFUNCTION("""COMPUTED_VALUE"""),6)</f>
        <v>6</v>
      </c>
      <c r="D873" s="6" t="str">
        <f ca="1">IFERROR(__xludf.DUMMYFUNCTION("""COMPUTED_VALUE"""),"NO")</f>
        <v>NO</v>
      </c>
      <c r="E873" s="6" t="str">
        <f ca="1">IFERROR(__xludf.DUMMYFUNCTION("""COMPUTED_VALUE"""),"Valencia- Cádiz")</f>
        <v>Valencia- Cádiz</v>
      </c>
      <c r="F873" s="16">
        <f ca="1">IFERROR(__xludf.DUMMYFUNCTION("""COMPUTED_VALUE"""),45824)</f>
        <v>45824</v>
      </c>
      <c r="G873" s="16">
        <f ca="1">IFERROR(__xludf.DUMMYFUNCTION("""COMPUTED_VALUE"""),45776)</f>
        <v>45776</v>
      </c>
      <c r="H873" s="6" t="str">
        <f ca="1">IFERROR(__xludf.DUMMYFUNCTION("""COMPUTED_VALUE"""),"Valencia- Cádiz")</f>
        <v>Valencia- Cádiz</v>
      </c>
      <c r="I873" s="6" t="str">
        <f ca="1">IFERROR(__xludf.DUMMYFUNCTION("""COMPUTED_VALUE"""),"C202557174134493")</f>
        <v>C202557174134493</v>
      </c>
      <c r="J873" s="6" t="str">
        <f ca="1">IFERROR(__xludf.DUMMYFUNCTION("""COMPUTED_VALUE"""),"RICARDO SALVADOR CERVERA MARTINEZ")</f>
        <v>RICARDO SALVADOR CERVERA MARTINEZ</v>
      </c>
      <c r="K873" s="6">
        <f ca="1">IFERROR(__xludf.DUMMYFUNCTION("""COMPUTED_VALUE"""),2)</f>
        <v>2</v>
      </c>
      <c r="L873" s="139">
        <f ca="1">IFERROR(__xludf.DUMMYFUNCTION("""COMPUTED_VALUE"""),4000)</f>
        <v>4000</v>
      </c>
      <c r="M873" s="6" t="str">
        <f ca="1">IFERROR(__xludf.DUMMYFUNCTION("""COMPUTED_VALUE"""),"03 ORL")</f>
        <v>03 ORL</v>
      </c>
      <c r="N873" s="6" t="str">
        <f ca="1">IFERROR(__xludf.DUMMYFUNCTION("""COMPUTED_VALUE"""),"06 ORL")</f>
        <v>06 ORL</v>
      </c>
      <c r="O873" s="6" t="str">
        <f ca="1">IFERROR(__xludf.DUMMYFUNCTION("""COMPUTED_VALUE"""),"Dr, Abel Guzmán Calvete")</f>
        <v>Dr, Abel Guzmán Calvete</v>
      </c>
      <c r="P873" s="6" t="str">
        <f ca="1">IFERROR(__xludf.DUMMYFUNCTION("""COMPUTED_VALUE"""),"Ramon Ferrando(Valencia)")</f>
        <v>Ramon Ferrando(Valencia)</v>
      </c>
    </row>
    <row r="874" spans="2:16">
      <c r="B874" s="6">
        <f ca="1">IFERROR(__xludf.DUMMYFUNCTION("""COMPUTED_VALUE"""),2025)</f>
        <v>2025</v>
      </c>
      <c r="C874" s="6">
        <f ca="1">IFERROR(__xludf.DUMMYFUNCTION("""COMPUTED_VALUE"""),6)</f>
        <v>6</v>
      </c>
      <c r="D874" s="6" t="str">
        <f ca="1">IFERROR(__xludf.DUMMYFUNCTION("""COMPUTED_VALUE"""),"NO")</f>
        <v>NO</v>
      </c>
      <c r="E874" s="6" t="str">
        <f ca="1">IFERROR(__xludf.DUMMYFUNCTION("""COMPUTED_VALUE"""),"Valencia- Parra")</f>
        <v>Valencia- Parra</v>
      </c>
      <c r="F874" s="16">
        <f ca="1">IFERROR(__xludf.DUMMYFUNCTION("""COMPUTED_VALUE"""),45835)</f>
        <v>45835</v>
      </c>
      <c r="G874" s="16">
        <f ca="1">IFERROR(__xludf.DUMMYFUNCTION("""COMPUTED_VALUE"""),45790)</f>
        <v>45790</v>
      </c>
      <c r="H874" s="6" t="str">
        <f ca="1">IFERROR(__xludf.DUMMYFUNCTION("""COMPUTED_VALUE"""),"Valencia- Parra")</f>
        <v>Valencia- Parra</v>
      </c>
      <c r="I874" s="6" t="str">
        <f ca="1">IFERROR(__xludf.DUMMYFUNCTION("""COMPUTED_VALUE"""),"C202552012258174")</f>
        <v>C202552012258174</v>
      </c>
      <c r="J874" s="6" t="str">
        <f ca="1">IFERROR(__xludf.DUMMYFUNCTION("""COMPUTED_VALUE"""),"ANTONIO RIOS MAIRENA")</f>
        <v>ANTONIO RIOS MAIRENA</v>
      </c>
      <c r="K874" s="6">
        <f ca="1">IFERROR(__xludf.DUMMYFUNCTION("""COMPUTED_VALUE"""),1)</f>
        <v>1</v>
      </c>
      <c r="L874" s="139">
        <f ca="1">IFERROR(__xludf.DUMMYFUNCTION("""COMPUTED_VALUE"""),2226.36)</f>
        <v>2226.36</v>
      </c>
      <c r="M874" s="6" t="str">
        <f ca="1">IFERROR(__xludf.DUMMYFUNCTION("""COMPUTED_VALUE"""),"03 ORL")</f>
        <v>03 ORL</v>
      </c>
      <c r="N874" s="6" t="str">
        <f ca="1">IFERROR(__xludf.DUMMYFUNCTION("""COMPUTED_VALUE"""),"06 ORL")</f>
        <v>06 ORL</v>
      </c>
      <c r="O874" s="6" t="str">
        <f ca="1">IFERROR(__xludf.DUMMYFUNCTION("""COMPUTED_VALUE"""),"Dr, Manuel Mateos Fernández")</f>
        <v>Dr, Manuel Mateos Fernández</v>
      </c>
      <c r="P874" s="6" t="str">
        <f ca="1">IFERROR(__xludf.DUMMYFUNCTION("""COMPUTED_VALUE"""),"Ramon Ferrando(Valencia)")</f>
        <v>Ramon Ferrando(Valencia)</v>
      </c>
    </row>
    <row r="875" spans="2:16">
      <c r="B875" s="6">
        <f ca="1">IFERROR(__xludf.DUMMYFUNCTION("""COMPUTED_VALUE"""),2025)</f>
        <v>2025</v>
      </c>
      <c r="C875" s="6">
        <f ca="1">IFERROR(__xludf.DUMMYFUNCTION("""COMPUTED_VALUE"""),6)</f>
        <v>6</v>
      </c>
      <c r="D875" s="6" t="str">
        <f ca="1">IFERROR(__xludf.DUMMYFUNCTION("""COMPUTED_VALUE"""),"NO")</f>
        <v>NO</v>
      </c>
      <c r="E875" s="6" t="str">
        <f ca="1">IFERROR(__xludf.DUMMYFUNCTION("""COMPUTED_VALUE"""),"Valencia- Parra")</f>
        <v>Valencia- Parra</v>
      </c>
      <c r="F875" s="16">
        <f ca="1">IFERROR(__xludf.DUMMYFUNCTION("""COMPUTED_VALUE"""),45834)</f>
        <v>45834</v>
      </c>
      <c r="G875" s="16">
        <f ca="1">IFERROR(__xludf.DUMMYFUNCTION("""COMPUTED_VALUE"""),45797)</f>
        <v>45797</v>
      </c>
      <c r="H875" s="6" t="str">
        <f ca="1">IFERROR(__xludf.DUMMYFUNCTION("""COMPUTED_VALUE"""),"Valencia- Parra")</f>
        <v>Valencia- Parra</v>
      </c>
      <c r="I875" s="6" t="str">
        <f ca="1">IFERROR(__xludf.DUMMYFUNCTION("""COMPUTED_VALUE"""),"C202552817370358")</f>
        <v>C202552817370358</v>
      </c>
      <c r="J875" s="6" t="str">
        <f ca="1">IFERROR(__xludf.DUMMYFUNCTION("""COMPUTED_VALUE"""),"CARMEN CABEDO GISBERT")</f>
        <v>CARMEN CABEDO GISBERT</v>
      </c>
      <c r="K875" s="6">
        <f ca="1">IFERROR(__xludf.DUMMYFUNCTION("""COMPUTED_VALUE"""),2)</f>
        <v>2</v>
      </c>
      <c r="L875" s="139">
        <f ca="1">IFERROR(__xludf.DUMMYFUNCTION("""COMPUTED_VALUE"""),4000)</f>
        <v>4000</v>
      </c>
      <c r="M875" s="6" t="str">
        <f ca="1">IFERROR(__xludf.DUMMYFUNCTION("""COMPUTED_VALUE"""),"03 ORL")</f>
        <v>03 ORL</v>
      </c>
      <c r="N875" s="6" t="str">
        <f ca="1">IFERROR(__xludf.DUMMYFUNCTION("""COMPUTED_VALUE"""),"06 ORL")</f>
        <v>06 ORL</v>
      </c>
      <c r="O875" s="6" t="str">
        <f ca="1">IFERROR(__xludf.DUMMYFUNCTION("""COMPUTED_VALUE"""),"Dra, Ainhoa García-Lliberos de Miguel")</f>
        <v>Dra, Ainhoa García-Lliberos de Miguel</v>
      </c>
      <c r="P875" s="6" t="str">
        <f ca="1">IFERROR(__xludf.DUMMYFUNCTION("""COMPUTED_VALUE"""),"Ramon Ferrando(Valencia)")</f>
        <v>Ramon Ferrando(Valencia)</v>
      </c>
    </row>
    <row r="876" spans="2:16">
      <c r="B876" s="6">
        <f ca="1">IFERROR(__xludf.DUMMYFUNCTION("""COMPUTED_VALUE"""),2025)</f>
        <v>2025</v>
      </c>
      <c r="C876" s="6">
        <f ca="1">IFERROR(__xludf.DUMMYFUNCTION("""COMPUTED_VALUE"""),6)</f>
        <v>6</v>
      </c>
      <c r="D876" s="6" t="str">
        <f ca="1">IFERROR(__xludf.DUMMYFUNCTION("""COMPUTED_VALUE"""),"NO")</f>
        <v>NO</v>
      </c>
      <c r="E876" s="6" t="str">
        <f ca="1">IFERROR(__xludf.DUMMYFUNCTION("""COMPUTED_VALUE"""),"Valencia- Parra")</f>
        <v>Valencia- Parra</v>
      </c>
      <c r="F876" s="16">
        <f ca="1">IFERROR(__xludf.DUMMYFUNCTION("""COMPUTED_VALUE"""),45838)</f>
        <v>45838</v>
      </c>
      <c r="G876" s="16">
        <f ca="1">IFERROR(__xludf.DUMMYFUNCTION("""COMPUTED_VALUE"""),45776)</f>
        <v>45776</v>
      </c>
      <c r="H876" s="6" t="str">
        <f ca="1">IFERROR(__xludf.DUMMYFUNCTION("""COMPUTED_VALUE"""),"Valencia- Parra")</f>
        <v>Valencia- Parra</v>
      </c>
      <c r="I876" s="6" t="str">
        <f ca="1">IFERROR(__xludf.DUMMYFUNCTION("""COMPUTED_VALUE"""),"C20255618428496")</f>
        <v>C20255618428496</v>
      </c>
      <c r="J876" s="6" t="str">
        <f ca="1">IFERROR(__xludf.DUMMYFUNCTION("""COMPUTED_VALUE"""),"DOLORES ARANDA TORRES")</f>
        <v>DOLORES ARANDA TORRES</v>
      </c>
      <c r="K876" s="6">
        <f ca="1">IFERROR(__xludf.DUMMYFUNCTION("""COMPUTED_VALUE"""),2)</f>
        <v>2</v>
      </c>
      <c r="L876" s="139">
        <f ca="1">IFERROR(__xludf.DUMMYFUNCTION("""COMPUTED_VALUE"""),3710)</f>
        <v>3710</v>
      </c>
      <c r="M876" s="6" t="str">
        <f ca="1">IFERROR(__xludf.DUMMYFUNCTION("""COMPUTED_VALUE"""),"03 ORL")</f>
        <v>03 ORL</v>
      </c>
      <c r="N876" s="6" t="str">
        <f ca="1">IFERROR(__xludf.DUMMYFUNCTION("""COMPUTED_VALUE"""),"06 ORL")</f>
        <v>06 ORL</v>
      </c>
      <c r="O876" s="6" t="str">
        <f ca="1">IFERROR(__xludf.DUMMYFUNCTION("""COMPUTED_VALUE"""),"Dr, Carlos de Paula Vernetta")</f>
        <v>Dr, Carlos de Paula Vernetta</v>
      </c>
      <c r="P876" s="6" t="str">
        <f ca="1">IFERROR(__xludf.DUMMYFUNCTION("""COMPUTED_VALUE"""),"Ramon Ferrando(Valencia)")</f>
        <v>Ramon Ferrando(Valencia)</v>
      </c>
    </row>
    <row r="877" spans="2:16">
      <c r="B877" s="6">
        <f ca="1">IFERROR(__xludf.DUMMYFUNCTION("""COMPUTED_VALUE"""),2025)</f>
        <v>2025</v>
      </c>
      <c r="C877" s="6">
        <f ca="1">IFERROR(__xludf.DUMMYFUNCTION("""COMPUTED_VALUE"""),6)</f>
        <v>6</v>
      </c>
      <c r="D877" s="6" t="str">
        <f ca="1">IFERROR(__xludf.DUMMYFUNCTION("""COMPUTED_VALUE"""),"NO")</f>
        <v>NO</v>
      </c>
      <c r="E877" s="6" t="str">
        <f ca="1">IFERROR(__xludf.DUMMYFUNCTION("""COMPUTED_VALUE"""),"Valencia- Parra")</f>
        <v>Valencia- Parra</v>
      </c>
      <c r="F877" s="16">
        <f ca="1">IFERROR(__xludf.DUMMYFUNCTION("""COMPUTED_VALUE"""),45834)</f>
        <v>45834</v>
      </c>
      <c r="G877" s="16">
        <f ca="1">IFERROR(__xludf.DUMMYFUNCTION("""COMPUTED_VALUE"""),45749)</f>
        <v>45749</v>
      </c>
      <c r="H877" s="6" t="str">
        <f ca="1">IFERROR(__xludf.DUMMYFUNCTION("""COMPUTED_VALUE"""),"Valencia- Parra")</f>
        <v>Valencia- Parra</v>
      </c>
      <c r="I877" s="6" t="str">
        <f ca="1">IFERROR(__xludf.DUMMYFUNCTION("""COMPUTED_VALUE"""),"C202541116390272")</f>
        <v>C202541116390272</v>
      </c>
      <c r="J877" s="6" t="str">
        <f ca="1">IFERROR(__xludf.DUMMYFUNCTION("""COMPUTED_VALUE"""),"MARTA ARAGON FERNANDEZ")</f>
        <v>MARTA ARAGON FERNANDEZ</v>
      </c>
      <c r="K877" s="6">
        <f ca="1">IFERROR(__xludf.DUMMYFUNCTION("""COMPUTED_VALUE"""),1)</f>
        <v>1</v>
      </c>
      <c r="L877" s="139">
        <f ca="1">IFERROR(__xludf.DUMMYFUNCTION("""COMPUTED_VALUE"""),2640)</f>
        <v>2640</v>
      </c>
      <c r="M877" s="6" t="str">
        <f ca="1">IFERROR(__xludf.DUMMYFUNCTION("""COMPUTED_VALUE"""),"03 ORL")</f>
        <v>03 ORL</v>
      </c>
      <c r="N877" s="6" t="str">
        <f ca="1">IFERROR(__xludf.DUMMYFUNCTION("""COMPUTED_VALUE"""),"06 ORL")</f>
        <v>06 ORL</v>
      </c>
      <c r="O877" s="6" t="str">
        <f ca="1">IFERROR(__xludf.DUMMYFUNCTION("""COMPUTED_VALUE"""),"Dr, Alejandro Harguindey Antoli-Candela")</f>
        <v>Dr, Alejandro Harguindey Antoli-Candela</v>
      </c>
      <c r="P877" s="6" t="str">
        <f ca="1">IFERROR(__xludf.DUMMYFUNCTION("""COMPUTED_VALUE"""),"Maika Blázquez (Madrid)")</f>
        <v>Maika Blázquez (Madrid)</v>
      </c>
    </row>
    <row r="878" spans="2:16">
      <c r="B878" s="6">
        <f ca="1">IFERROR(__xludf.DUMMYFUNCTION("""COMPUTED_VALUE"""),2025)</f>
        <v>2025</v>
      </c>
      <c r="C878" s="6">
        <f ca="1">IFERROR(__xludf.DUMMYFUNCTION("""COMPUTED_VALUE"""),6)</f>
        <v>6</v>
      </c>
      <c r="D878" s="6" t="str">
        <f ca="1">IFERROR(__xludf.DUMMYFUNCTION("""COMPUTED_VALUE"""),"SI")</f>
        <v>SI</v>
      </c>
      <c r="E878" s="6" t="str">
        <f ca="1">IFERROR(__xludf.DUMMYFUNCTION("""COMPUTED_VALUE"""),"León")</f>
        <v>León</v>
      </c>
      <c r="F878" s="16">
        <f ca="1">IFERROR(__xludf.DUMMYFUNCTION("""COMPUTED_VALUE"""),45811)</f>
        <v>45811</v>
      </c>
      <c r="G878" s="16">
        <f ca="1">IFERROR(__xludf.DUMMYFUNCTION("""COMPUTED_VALUE"""),45776)</f>
        <v>45776</v>
      </c>
      <c r="H878" s="6" t="str">
        <f ca="1">IFERROR(__xludf.DUMMYFUNCTION("""COMPUTED_VALUE"""),"León")</f>
        <v>León</v>
      </c>
      <c r="I878" s="6" t="str">
        <f ca="1">IFERROR(__xludf.DUMMYFUNCTION("""COMPUTED_VALUE"""),"LEO-460")</f>
        <v>LEO-460</v>
      </c>
      <c r="J878" s="6" t="str">
        <f ca="1">IFERROR(__xludf.DUMMYFUNCTION("""COMPUTED_VALUE"""),"MARIA CONCEPCION (CONCHI) MENDEZ FERNANDEZ")</f>
        <v>MARIA CONCEPCION (CONCHI) MENDEZ FERNANDEZ</v>
      </c>
      <c r="K878" s="6">
        <f ca="1">IFERROR(__xludf.DUMMYFUNCTION("""COMPUTED_VALUE"""),2)</f>
        <v>2</v>
      </c>
      <c r="L878" s="139">
        <f ca="1">IFERROR(__xludf.DUMMYFUNCTION("""COMPUTED_VALUE"""),5431.82)</f>
        <v>5431.82</v>
      </c>
      <c r="M878" s="6" t="str">
        <f ca="1">IFERROR(__xludf.DUMMYFUNCTION("""COMPUTED_VALUE"""),"03 ORL")</f>
        <v>03 ORL</v>
      </c>
      <c r="N878" s="6" t="str">
        <f ca="1">IFERROR(__xludf.DUMMYFUNCTION("""COMPUTED_VALUE"""),"06 ORL")</f>
        <v>06 ORL</v>
      </c>
      <c r="O878" s="6" t="str">
        <f ca="1">IFERROR(__xludf.DUMMYFUNCTION("""COMPUTED_VALUE"""),"Dr, Rafael Pérez González")</f>
        <v>Dr, Rafael Pérez González</v>
      </c>
      <c r="P878" s="6" t="str">
        <f ca="1">IFERROR(__xludf.DUMMYFUNCTION("""COMPUTED_VALUE"""),"Patricia Solache (Castilla Y León)")</f>
        <v>Patricia Solache (Castilla Y León)</v>
      </c>
    </row>
    <row r="879" spans="2:16">
      <c r="B879" s="6">
        <f ca="1">IFERROR(__xludf.DUMMYFUNCTION("""COMPUTED_VALUE"""),2025)</f>
        <v>2025</v>
      </c>
      <c r="C879" s="6">
        <f ca="1">IFERROR(__xludf.DUMMYFUNCTION("""COMPUTED_VALUE"""),6)</f>
        <v>6</v>
      </c>
      <c r="D879" s="6" t="str">
        <f ca="1">IFERROR(__xludf.DUMMYFUNCTION("""COMPUTED_VALUE"""),"NO")</f>
        <v>NO</v>
      </c>
      <c r="E879" s="6" t="str">
        <f ca="1">IFERROR(__xludf.DUMMYFUNCTION("""COMPUTED_VALUE"""),"Cáceres")</f>
        <v>Cáceres</v>
      </c>
      <c r="F879" s="16">
        <f ca="1">IFERROR(__xludf.DUMMYFUNCTION("""COMPUTED_VALUE"""),45812)</f>
        <v>45812</v>
      </c>
      <c r="G879" s="16">
        <f ca="1">IFERROR(__xludf.DUMMYFUNCTION("""COMPUTED_VALUE"""),45750)</f>
        <v>45750</v>
      </c>
      <c r="H879" s="6" t="str">
        <f ca="1">IFERROR(__xludf.DUMMYFUNCTION("""COMPUTED_VALUE"""),"Cáceres")</f>
        <v>Cáceres</v>
      </c>
      <c r="I879" s="6" t="str">
        <f ca="1">IFERROR(__xludf.DUMMYFUNCTION("""COMPUTED_VALUE"""),"CAC-263")</f>
        <v>CAC-263</v>
      </c>
      <c r="J879" s="6" t="str">
        <f ca="1">IFERROR(__xludf.DUMMYFUNCTION("""COMPUTED_VALUE"""),"SERGIO BLAZQUEZ CALDERON")</f>
        <v>SERGIO BLAZQUEZ CALDERON</v>
      </c>
      <c r="K879" s="6">
        <f ca="1">IFERROR(__xludf.DUMMYFUNCTION("""COMPUTED_VALUE"""),2)</f>
        <v>2</v>
      </c>
      <c r="L879" s="139">
        <f ca="1">IFERROR(__xludf.DUMMYFUNCTION("""COMPUTED_VALUE"""),3888.18)</f>
        <v>3888.18</v>
      </c>
      <c r="M879" s="6" t="str">
        <f ca="1">IFERROR(__xludf.DUMMYFUNCTION("""COMPUTED_VALUE"""),"03 ORL")</f>
        <v>03 ORL</v>
      </c>
      <c r="N879" s="6" t="str">
        <f ca="1">IFERROR(__xludf.DUMMYFUNCTION("""COMPUTED_VALUE"""),"06 ORL")</f>
        <v>06 ORL</v>
      </c>
      <c r="O879" s="6" t="str">
        <f ca="1">IFERROR(__xludf.DUMMYFUNCTION("""COMPUTED_VALUE"""),"Dr, Javier García Gómez")</f>
        <v>Dr, Javier García Gómez</v>
      </c>
      <c r="P879" s="6" t="str">
        <f ca="1">IFERROR(__xludf.DUMMYFUNCTION("""COMPUTED_VALUE"""),"Lisandro Russian (Madrid, Cáceres, Toledo, Talavera Y Logroño)")</f>
        <v>Lisandro Russian (Madrid, Cáceres, Toledo, Talavera Y Logroño)</v>
      </c>
    </row>
    <row r="880" spans="2:16">
      <c r="B880" s="6">
        <f ca="1">IFERROR(__xludf.DUMMYFUNCTION("""COMPUTED_VALUE"""),2025)</f>
        <v>2025</v>
      </c>
      <c r="C880" s="6">
        <f ca="1">IFERROR(__xludf.DUMMYFUNCTION("""COMPUTED_VALUE"""),6)</f>
        <v>6</v>
      </c>
      <c r="D880" s="6" t="str">
        <f ca="1">IFERROR(__xludf.DUMMYFUNCTION("""COMPUTED_VALUE"""),"NO")</f>
        <v>NO</v>
      </c>
      <c r="E880" s="6" t="str">
        <f ca="1">IFERROR(__xludf.DUMMYFUNCTION("""COMPUTED_VALUE"""),"Valladolid")</f>
        <v>Valladolid</v>
      </c>
      <c r="F880" s="16">
        <f ca="1">IFERROR(__xludf.DUMMYFUNCTION("""COMPUTED_VALUE"""),45812)</f>
        <v>45812</v>
      </c>
      <c r="G880" s="16">
        <f ca="1">IFERROR(__xludf.DUMMYFUNCTION("""COMPUTED_VALUE"""),45754)</f>
        <v>45754</v>
      </c>
      <c r="H880" s="6" t="str">
        <f ca="1">IFERROR(__xludf.DUMMYFUNCTION("""COMPUTED_VALUE"""),"Valladolid")</f>
        <v>Valladolid</v>
      </c>
      <c r="I880" s="6" t="str">
        <f ca="1">IFERROR(__xludf.DUMMYFUNCTION("""COMPUTED_VALUE"""),"VLL-375")</f>
        <v>VLL-375</v>
      </c>
      <c r="J880" s="6" t="str">
        <f ca="1">IFERROR(__xludf.DUMMYFUNCTION("""COMPUTED_VALUE"""),"VICENTE AVILA REPISO")</f>
        <v>VICENTE AVILA REPISO</v>
      </c>
      <c r="K880" s="6">
        <f ca="1">IFERROR(__xludf.DUMMYFUNCTION("""COMPUTED_VALUE"""),2)</f>
        <v>2</v>
      </c>
      <c r="L880" s="139">
        <f ca="1">IFERROR(__xludf.DUMMYFUNCTION("""COMPUTED_VALUE"""),3977.27)</f>
        <v>3977.27</v>
      </c>
      <c r="M880" s="6" t="str">
        <f ca="1">IFERROR(__xludf.DUMMYFUNCTION("""COMPUTED_VALUE"""),"03 ORL")</f>
        <v>03 ORL</v>
      </c>
      <c r="N880" s="6" t="str">
        <f ca="1">IFERROR(__xludf.DUMMYFUNCTION("""COMPUTED_VALUE"""),"06 ORL")</f>
        <v>06 ORL</v>
      </c>
      <c r="O880" s="6" t="str">
        <f ca="1">IFERROR(__xludf.DUMMYFUNCTION("""COMPUTED_VALUE"""),"Dra, Ana Fernández Rodríguez")</f>
        <v>Dra, Ana Fernández Rodríguez</v>
      </c>
      <c r="P880" s="6" t="str">
        <f ca="1">IFERROR(__xludf.DUMMYFUNCTION("""COMPUTED_VALUE"""),"Patricia Solache (Castilla Y León)")</f>
        <v>Patricia Solache (Castilla Y León)</v>
      </c>
    </row>
    <row r="881" spans="2:16">
      <c r="B881" s="6">
        <f ca="1">IFERROR(__xludf.DUMMYFUNCTION("""COMPUTED_VALUE"""),2025)</f>
        <v>2025</v>
      </c>
      <c r="C881" s="6">
        <f ca="1">IFERROR(__xludf.DUMMYFUNCTION("""COMPUTED_VALUE"""),6)</f>
        <v>6</v>
      </c>
      <c r="D881" s="6" t="str">
        <f ca="1">IFERROR(__xludf.DUMMYFUNCTION("""COMPUTED_VALUE"""),"NO")</f>
        <v>NO</v>
      </c>
      <c r="E881" s="6" t="str">
        <f ca="1">IFERROR(__xludf.DUMMYFUNCTION("""COMPUTED_VALUE"""),"León")</f>
        <v>León</v>
      </c>
      <c r="F881" s="16">
        <f ca="1">IFERROR(__xludf.DUMMYFUNCTION("""COMPUTED_VALUE"""),45812)</f>
        <v>45812</v>
      </c>
      <c r="G881" s="16">
        <f ca="1">IFERROR(__xludf.DUMMYFUNCTION("""COMPUTED_VALUE"""),45782)</f>
        <v>45782</v>
      </c>
      <c r="H881" s="6" t="str">
        <f ca="1">IFERROR(__xludf.DUMMYFUNCTION("""COMPUTED_VALUE"""),"León")</f>
        <v>León</v>
      </c>
      <c r="I881" s="6" t="str">
        <f ca="1">IFERROR(__xludf.DUMMYFUNCTION("""COMPUTED_VALUE"""),"BOI-954")</f>
        <v>BOI-954</v>
      </c>
      <c r="J881" s="6" t="str">
        <f ca="1">IFERROR(__xludf.DUMMYFUNCTION("""COMPUTED_VALUE"""),"JUAN JOSE CAMPELO SUAREZ")</f>
        <v>JUAN JOSE CAMPELO SUAREZ</v>
      </c>
      <c r="K881" s="6">
        <f ca="1">IFERROR(__xludf.DUMMYFUNCTION("""COMPUTED_VALUE"""),2)</f>
        <v>2</v>
      </c>
      <c r="L881" s="139">
        <f ca="1">IFERROR(__xludf.DUMMYFUNCTION("""COMPUTED_VALUE"""),4255.45)</f>
        <v>4255.45</v>
      </c>
      <c r="M881" s="6" t="str">
        <f ca="1">IFERROR(__xludf.DUMMYFUNCTION("""COMPUTED_VALUE"""),"03 ORL")</f>
        <v>03 ORL</v>
      </c>
      <c r="N881" s="6" t="str">
        <f ca="1">IFERROR(__xludf.DUMMYFUNCTION("""COMPUTED_VALUE"""),"06 ORL")</f>
        <v>06 ORL</v>
      </c>
      <c r="O881" s="6" t="str">
        <f ca="1">IFERROR(__xludf.DUMMYFUNCTION("""COMPUTED_VALUE"""),"Dr, Rafael Pérez González")</f>
        <v>Dr, Rafael Pérez González</v>
      </c>
      <c r="P881" s="6" t="str">
        <f ca="1">IFERROR(__xludf.DUMMYFUNCTION("""COMPUTED_VALUE"""),"Patricia Solache (Castilla Y León)")</f>
        <v>Patricia Solache (Castilla Y León)</v>
      </c>
    </row>
    <row r="882" spans="2:16">
      <c r="B882" s="6">
        <f ca="1">IFERROR(__xludf.DUMMYFUNCTION("""COMPUTED_VALUE"""),2025)</f>
        <v>2025</v>
      </c>
      <c r="C882" s="6">
        <f ca="1">IFERROR(__xludf.DUMMYFUNCTION("""COMPUTED_VALUE"""),6)</f>
        <v>6</v>
      </c>
      <c r="D882" s="6" t="str">
        <f ca="1">IFERROR(__xludf.DUMMYFUNCTION("""COMPUTED_VALUE"""),"NO")</f>
        <v>NO</v>
      </c>
      <c r="E882" s="6" t="str">
        <f ca="1">IFERROR(__xludf.DUMMYFUNCTION("""COMPUTED_VALUE"""),"Ponferrada")</f>
        <v>Ponferrada</v>
      </c>
      <c r="F882" s="16">
        <f ca="1">IFERROR(__xludf.DUMMYFUNCTION("""COMPUTED_VALUE"""),45813)</f>
        <v>45813</v>
      </c>
      <c r="G882" s="16">
        <f ca="1">IFERROR(__xludf.DUMMYFUNCTION("""COMPUTED_VALUE"""),45586)</f>
        <v>45586</v>
      </c>
      <c r="H882" s="6" t="str">
        <f ca="1">IFERROR(__xludf.DUMMYFUNCTION("""COMPUTED_VALUE"""),"Ponferrada")</f>
        <v>Ponferrada</v>
      </c>
      <c r="I882" s="6" t="str">
        <f ca="1">IFERROR(__xludf.DUMMYFUNCTION("""COMPUTED_VALUE"""),"PON-811")</f>
        <v>PON-811</v>
      </c>
      <c r="J882" s="6" t="str">
        <f ca="1">IFERROR(__xludf.DUMMYFUNCTION("""COMPUTED_VALUE"""),"LORENZO TOMAS GARCIA FABA")</f>
        <v>LORENZO TOMAS GARCIA FABA</v>
      </c>
      <c r="K882" s="6">
        <f ca="1">IFERROR(__xludf.DUMMYFUNCTION("""COMPUTED_VALUE"""),2)</f>
        <v>2</v>
      </c>
      <c r="L882" s="139">
        <f ca="1">IFERROR(__xludf.DUMMYFUNCTION("""COMPUTED_VALUE"""),1418.18)</f>
        <v>1418.18</v>
      </c>
      <c r="M882" s="6" t="str">
        <f ca="1">IFERROR(__xludf.DUMMYFUNCTION("""COMPUTED_VALUE"""),"03 ORL")</f>
        <v>03 ORL</v>
      </c>
      <c r="N882" s="6" t="str">
        <f ca="1">IFERROR(__xludf.DUMMYFUNCTION("""COMPUTED_VALUE"""),"06 ORL")</f>
        <v>06 ORL</v>
      </c>
      <c r="O882" s="6" t="str">
        <f ca="1">IFERROR(__xludf.DUMMYFUNCTION("""COMPUTED_VALUE"""),"Dra, Mónica Granda Rosales")</f>
        <v>Dra, Mónica Granda Rosales</v>
      </c>
      <c r="P882" s="6" t="str">
        <f ca="1">IFERROR(__xludf.DUMMYFUNCTION("""COMPUTED_VALUE"""),"Patricia Solache (Castilla Y León)")</f>
        <v>Patricia Solache (Castilla Y León)</v>
      </c>
    </row>
    <row r="883" spans="2:16">
      <c r="B883" s="6">
        <f ca="1">IFERROR(__xludf.DUMMYFUNCTION("""COMPUTED_VALUE"""),2025)</f>
        <v>2025</v>
      </c>
      <c r="C883" s="6">
        <f ca="1">IFERROR(__xludf.DUMMYFUNCTION("""COMPUTED_VALUE"""),6)</f>
        <v>6</v>
      </c>
      <c r="D883" s="6" t="str">
        <f ca="1">IFERROR(__xludf.DUMMYFUNCTION("""COMPUTED_VALUE"""),"NO")</f>
        <v>NO</v>
      </c>
      <c r="E883" s="6" t="str">
        <f ca="1">IFERROR(__xludf.DUMMYFUNCTION("""COMPUTED_VALUE"""),"Valladolid")</f>
        <v>Valladolid</v>
      </c>
      <c r="F883" s="16">
        <f ca="1">IFERROR(__xludf.DUMMYFUNCTION("""COMPUTED_VALUE"""),45813)</f>
        <v>45813</v>
      </c>
      <c r="G883" s="16">
        <f ca="1">IFERROR(__xludf.DUMMYFUNCTION("""COMPUTED_VALUE"""),45712)</f>
        <v>45712</v>
      </c>
      <c r="H883" s="6" t="str">
        <f ca="1">IFERROR(__xludf.DUMMYFUNCTION("""COMPUTED_VALUE"""),"Valladolid")</f>
        <v>Valladolid</v>
      </c>
      <c r="I883" s="6" t="str">
        <f ca="1">IFERROR(__xludf.DUMMYFUNCTION("""COMPUTED_VALUE"""),"VLL-350")</f>
        <v>VLL-350</v>
      </c>
      <c r="J883" s="6" t="str">
        <f ca="1">IFERROR(__xludf.DUMMYFUNCTION("""COMPUTED_VALUE"""),"MARIA DOLORES GOMEZ PALLETE RIVAS")</f>
        <v>MARIA DOLORES GOMEZ PALLETE RIVAS</v>
      </c>
      <c r="K883" s="6">
        <f ca="1">IFERROR(__xludf.DUMMYFUNCTION("""COMPUTED_VALUE"""),2)</f>
        <v>2</v>
      </c>
      <c r="L883" s="139">
        <f ca="1">IFERROR(__xludf.DUMMYFUNCTION("""COMPUTED_VALUE"""),3977.27)</f>
        <v>3977.27</v>
      </c>
      <c r="M883" s="6" t="str">
        <f ca="1">IFERROR(__xludf.DUMMYFUNCTION("""COMPUTED_VALUE"""),"03 ORL")</f>
        <v>03 ORL</v>
      </c>
      <c r="N883" s="6" t="str">
        <f ca="1">IFERROR(__xludf.DUMMYFUNCTION("""COMPUTED_VALUE"""),"06 ORL")</f>
        <v>06 ORL</v>
      </c>
      <c r="O883" s="6" t="str">
        <f ca="1">IFERROR(__xludf.DUMMYFUNCTION("""COMPUTED_VALUE"""),"Dr, Carlos Miguel Salvador Martínez")</f>
        <v>Dr, Carlos Miguel Salvador Martínez</v>
      </c>
      <c r="P883" s="6" t="str">
        <f ca="1">IFERROR(__xludf.DUMMYFUNCTION("""COMPUTED_VALUE"""),"Patricia Solache (Castilla Y León)")</f>
        <v>Patricia Solache (Castilla Y León)</v>
      </c>
    </row>
    <row r="884" spans="2:16">
      <c r="B884" s="6">
        <f ca="1">IFERROR(__xludf.DUMMYFUNCTION("""COMPUTED_VALUE"""),2025)</f>
        <v>2025</v>
      </c>
      <c r="C884" s="6">
        <f ca="1">IFERROR(__xludf.DUMMYFUNCTION("""COMPUTED_VALUE"""),6)</f>
        <v>6</v>
      </c>
      <c r="D884" s="6" t="str">
        <f ca="1">IFERROR(__xludf.DUMMYFUNCTION("""COMPUTED_VALUE"""),"NO")</f>
        <v>NO</v>
      </c>
      <c r="E884" s="6" t="str">
        <f ca="1">IFERROR(__xludf.DUMMYFUNCTION("""COMPUTED_VALUE"""),"Valladolid")</f>
        <v>Valladolid</v>
      </c>
      <c r="F884" s="16">
        <f ca="1">IFERROR(__xludf.DUMMYFUNCTION("""COMPUTED_VALUE"""),45813)</f>
        <v>45813</v>
      </c>
      <c r="G884" s="16">
        <f ca="1">IFERROR(__xludf.DUMMYFUNCTION("""COMPUTED_VALUE"""),45769)</f>
        <v>45769</v>
      </c>
      <c r="H884" s="6" t="str">
        <f ca="1">IFERROR(__xludf.DUMMYFUNCTION("""COMPUTED_VALUE"""),"Valladolid")</f>
        <v>Valladolid</v>
      </c>
      <c r="I884" s="6" t="str">
        <f ca="1">IFERROR(__xludf.DUMMYFUNCTION("""COMPUTED_VALUE"""),"VLL-385")</f>
        <v>VLL-385</v>
      </c>
      <c r="J884" s="6" t="str">
        <f ca="1">IFERROR(__xludf.DUMMYFUNCTION("""COMPUTED_VALUE"""),"CARMELO MENA ARRANZ")</f>
        <v>CARMELO MENA ARRANZ</v>
      </c>
      <c r="K884" s="6">
        <f ca="1">IFERROR(__xludf.DUMMYFUNCTION("""COMPUTED_VALUE"""),2)</f>
        <v>2</v>
      </c>
      <c r="L884" s="139">
        <f ca="1">IFERROR(__xludf.DUMMYFUNCTION("""COMPUTED_VALUE"""),3522.73)</f>
        <v>3522.73</v>
      </c>
      <c r="M884" s="6" t="str">
        <f ca="1">IFERROR(__xludf.DUMMYFUNCTION("""COMPUTED_VALUE"""),"03 ORL")</f>
        <v>03 ORL</v>
      </c>
      <c r="N884" s="6" t="str">
        <f ca="1">IFERROR(__xludf.DUMMYFUNCTION("""COMPUTED_VALUE"""),"06 ORL")</f>
        <v>06 ORL</v>
      </c>
      <c r="O884" s="6" t="str">
        <f ca="1">IFERROR(__xludf.DUMMYFUNCTION("""COMPUTED_VALUE"""),"Dr, Carlos Miguel Salvador Martínez")</f>
        <v>Dr, Carlos Miguel Salvador Martínez</v>
      </c>
      <c r="P884" s="6" t="str">
        <f ca="1">IFERROR(__xludf.DUMMYFUNCTION("""COMPUTED_VALUE"""),"Patricia Solache (Castilla Y León)")</f>
        <v>Patricia Solache (Castilla Y León)</v>
      </c>
    </row>
    <row r="885" spans="2:16">
      <c r="B885" s="6">
        <f ca="1">IFERROR(__xludf.DUMMYFUNCTION("""COMPUTED_VALUE"""),2025)</f>
        <v>2025</v>
      </c>
      <c r="C885" s="6">
        <f ca="1">IFERROR(__xludf.DUMMYFUNCTION("""COMPUTED_VALUE"""),6)</f>
        <v>6</v>
      </c>
      <c r="D885" s="6" t="str">
        <f ca="1">IFERROR(__xludf.DUMMYFUNCTION("""COMPUTED_VALUE"""),"NO")</f>
        <v>NO</v>
      </c>
      <c r="E885" s="6" t="str">
        <f ca="1">IFERROR(__xludf.DUMMYFUNCTION("""COMPUTED_VALUE"""),"Badajoz")</f>
        <v>Badajoz</v>
      </c>
      <c r="F885" s="16">
        <f ca="1">IFERROR(__xludf.DUMMYFUNCTION("""COMPUTED_VALUE"""),45813)</f>
        <v>45813</v>
      </c>
      <c r="G885" s="16">
        <f ca="1">IFERROR(__xludf.DUMMYFUNCTION("""COMPUTED_VALUE"""),45777)</f>
        <v>45777</v>
      </c>
      <c r="H885" s="6" t="str">
        <f ca="1">IFERROR(__xludf.DUMMYFUNCTION("""COMPUTED_VALUE"""),"Badajoz")</f>
        <v>Badajoz</v>
      </c>
      <c r="I885" s="6" t="str">
        <f ca="1">IFERROR(__xludf.DUMMYFUNCTION("""COMPUTED_VALUE"""),"BJZE-2485")</f>
        <v>BJZE-2485</v>
      </c>
      <c r="J885" s="6" t="str">
        <f ca="1">IFERROR(__xludf.DUMMYFUNCTION("""COMPUTED_VALUE"""),"LUCAS GARCIA MICHARET")</f>
        <v>LUCAS GARCIA MICHARET</v>
      </c>
      <c r="K885" s="6">
        <f ca="1">IFERROR(__xludf.DUMMYFUNCTION("""COMPUTED_VALUE"""),1)</f>
        <v>1</v>
      </c>
      <c r="L885" s="139">
        <f ca="1">IFERROR(__xludf.DUMMYFUNCTION("""COMPUTED_VALUE"""),1727.27)</f>
        <v>1727.27</v>
      </c>
      <c r="M885" s="6" t="str">
        <f ca="1">IFERROR(__xludf.DUMMYFUNCTION("""COMPUTED_VALUE"""),"03 ORL")</f>
        <v>03 ORL</v>
      </c>
      <c r="N885" s="6" t="str">
        <f ca="1">IFERROR(__xludf.DUMMYFUNCTION("""COMPUTED_VALUE"""),"06 ORL")</f>
        <v>06 ORL</v>
      </c>
      <c r="O885" s="6" t="str">
        <f ca="1">IFERROR(__xludf.DUMMYFUNCTION("""COMPUTED_VALUE"""),"Dr, Isidoro Rubio Correa")</f>
        <v>Dr, Isidoro Rubio Correa</v>
      </c>
      <c r="P885" s="6" t="str">
        <f ca="1">IFERROR(__xludf.DUMMYFUNCTION("""COMPUTED_VALUE"""),"Luis Alberto Rodríguez (Andalucía Y Badajoz)")</f>
        <v>Luis Alberto Rodríguez (Andalucía Y Badajoz)</v>
      </c>
    </row>
    <row r="886" spans="2:16">
      <c r="B886" s="6">
        <f ca="1">IFERROR(__xludf.DUMMYFUNCTION("""COMPUTED_VALUE"""),2025)</f>
        <v>2025</v>
      </c>
      <c r="C886" s="6">
        <f ca="1">IFERROR(__xludf.DUMMYFUNCTION("""COMPUTED_VALUE"""),6)</f>
        <v>6</v>
      </c>
      <c r="D886" s="6" t="str">
        <f ca="1">IFERROR(__xludf.DUMMYFUNCTION("""COMPUTED_VALUE"""),"NO")</f>
        <v>NO</v>
      </c>
      <c r="E886" s="6" t="str">
        <f ca="1">IFERROR(__xludf.DUMMYFUNCTION("""COMPUTED_VALUE"""),"Cáceres")</f>
        <v>Cáceres</v>
      </c>
      <c r="F886" s="16">
        <f ca="1">IFERROR(__xludf.DUMMYFUNCTION("""COMPUTED_VALUE"""),45814)</f>
        <v>45814</v>
      </c>
      <c r="G886" s="16">
        <f ca="1">IFERROR(__xludf.DUMMYFUNCTION("""COMPUTED_VALUE"""),45777)</f>
        <v>45777</v>
      </c>
      <c r="H886" s="6" t="str">
        <f ca="1">IFERROR(__xludf.DUMMYFUNCTION("""COMPUTED_VALUE"""),"Cáceres")</f>
        <v>Cáceres</v>
      </c>
      <c r="I886" s="6" t="str">
        <f ca="1">IFERROR(__xludf.DUMMYFUNCTION("""COMPUTED_VALUE"""),"CAC-284")</f>
        <v>CAC-284</v>
      </c>
      <c r="J886" s="6" t="str">
        <f ca="1">IFERROR(__xludf.DUMMYFUNCTION("""COMPUTED_VALUE"""),"MARIA SOLEDAD SAENZ CHACON")</f>
        <v>MARIA SOLEDAD SAENZ CHACON</v>
      </c>
      <c r="K886" s="6">
        <f ca="1">IFERROR(__xludf.DUMMYFUNCTION("""COMPUTED_VALUE"""),1)</f>
        <v>1</v>
      </c>
      <c r="L886" s="139">
        <f ca="1">IFERROR(__xludf.DUMMYFUNCTION("""COMPUTED_VALUE"""),2420)</f>
        <v>2420</v>
      </c>
      <c r="M886" s="6" t="str">
        <f ca="1">IFERROR(__xludf.DUMMYFUNCTION("""COMPUTED_VALUE"""),"03 ORL")</f>
        <v>03 ORL</v>
      </c>
      <c r="N886" s="6" t="str">
        <f ca="1">IFERROR(__xludf.DUMMYFUNCTION("""COMPUTED_VALUE"""),"06 ORL")</f>
        <v>06 ORL</v>
      </c>
      <c r="O886" s="6" t="str">
        <f ca="1">IFERROR(__xludf.DUMMYFUNCTION("""COMPUTED_VALUE"""),"Dr, Javier García Gómez")</f>
        <v>Dr, Javier García Gómez</v>
      </c>
      <c r="P886" s="6" t="str">
        <f ca="1">IFERROR(__xludf.DUMMYFUNCTION("""COMPUTED_VALUE"""),"Lisandro Russian (Madrid, Cáceres, Toledo, Talavera Y Logroño)")</f>
        <v>Lisandro Russian (Madrid, Cáceres, Toledo, Talavera Y Logroño)</v>
      </c>
    </row>
    <row r="887" spans="2:16">
      <c r="B887" s="6">
        <f ca="1">IFERROR(__xludf.DUMMYFUNCTION("""COMPUTED_VALUE"""),2025)</f>
        <v>2025</v>
      </c>
      <c r="C887" s="6">
        <f ca="1">IFERROR(__xludf.DUMMYFUNCTION("""COMPUTED_VALUE"""),6)</f>
        <v>6</v>
      </c>
      <c r="D887" s="6" t="str">
        <f ca="1">IFERROR(__xludf.DUMMYFUNCTION("""COMPUTED_VALUE"""),"NO")</f>
        <v>NO</v>
      </c>
      <c r="E887" s="6" t="str">
        <f ca="1">IFERROR(__xludf.DUMMYFUNCTION("""COMPUTED_VALUE"""),"Lalín")</f>
        <v>Lalín</v>
      </c>
      <c r="F887" s="16">
        <f ca="1">IFERROR(__xludf.DUMMYFUNCTION("""COMPUTED_VALUE"""),45814)</f>
        <v>45814</v>
      </c>
      <c r="G887" s="16">
        <f ca="1">IFERROR(__xludf.DUMMYFUNCTION("""COMPUTED_VALUE"""),45798)</f>
        <v>45798</v>
      </c>
      <c r="H887" s="6" t="str">
        <f ca="1">IFERROR(__xludf.DUMMYFUNCTION("""COMPUTED_VALUE"""),"Lalín")</f>
        <v>Lalín</v>
      </c>
      <c r="I887" s="6" t="str">
        <f ca="1">IFERROR(__xludf.DUMMYFUNCTION("""COMPUTED_VALUE"""),"LAL-151")</f>
        <v>LAL-151</v>
      </c>
      <c r="J887" s="6" t="str">
        <f ca="1">IFERROR(__xludf.DUMMYFUNCTION("""COMPUTED_VALUE"""),"ELENA ELISEI")</f>
        <v>ELENA ELISEI</v>
      </c>
      <c r="K887" s="6">
        <f ca="1">IFERROR(__xludf.DUMMYFUNCTION("""COMPUTED_VALUE"""),2)</f>
        <v>2</v>
      </c>
      <c r="L887" s="139">
        <f ca="1">IFERROR(__xludf.DUMMYFUNCTION("""COMPUTED_VALUE"""),2909.09)</f>
        <v>2909.09</v>
      </c>
      <c r="M887" s="6" t="str">
        <f ca="1">IFERROR(__xludf.DUMMYFUNCTION("""COMPUTED_VALUE"""),"03 ORL")</f>
        <v>03 ORL</v>
      </c>
      <c r="N887" s="6" t="str">
        <f ca="1">IFERROR(__xludf.DUMMYFUNCTION("""COMPUTED_VALUE"""),"06 ORL")</f>
        <v>06 ORL</v>
      </c>
      <c r="O887" s="6" t="str">
        <f ca="1">IFERROR(__xludf.DUMMYFUNCTION("""COMPUTED_VALUE"""),"Dr, Carlos Frade González")</f>
        <v>Dr, Carlos Frade González</v>
      </c>
      <c r="P887" s="6" t="str">
        <f ca="1">IFERROR(__xludf.DUMMYFUNCTION("""COMPUTED_VALUE"""),"Roberto Pereira (Galicia)")</f>
        <v>Roberto Pereira (Galicia)</v>
      </c>
    </row>
    <row r="888" spans="2:16">
      <c r="B888" s="6">
        <f ca="1">IFERROR(__xludf.DUMMYFUNCTION("""COMPUTED_VALUE"""),2025)</f>
        <v>2025</v>
      </c>
      <c r="C888" s="6">
        <f ca="1">IFERROR(__xludf.DUMMYFUNCTION("""COMPUTED_VALUE"""),6)</f>
        <v>6</v>
      </c>
      <c r="D888" s="6" t="str">
        <f ca="1">IFERROR(__xludf.DUMMYFUNCTION("""COMPUTED_VALUE"""),"NO")</f>
        <v>NO</v>
      </c>
      <c r="E888" s="6" t="str">
        <f ca="1">IFERROR(__xludf.DUMMYFUNCTION("""COMPUTED_VALUE"""),"Salamanca")</f>
        <v>Salamanca</v>
      </c>
      <c r="F888" s="16">
        <f ca="1">IFERROR(__xludf.DUMMYFUNCTION("""COMPUTED_VALUE"""),45817)</f>
        <v>45817</v>
      </c>
      <c r="G888" s="16">
        <f ca="1">IFERROR(__xludf.DUMMYFUNCTION("""COMPUTED_VALUE"""),45611)</f>
        <v>45611</v>
      </c>
      <c r="H888" s="6" t="str">
        <f ca="1">IFERROR(__xludf.DUMMYFUNCTION("""COMPUTED_VALUE"""),"Salamanca")</f>
        <v>Salamanca</v>
      </c>
      <c r="I888" s="6" t="str">
        <f ca="1">IFERROR(__xludf.DUMMYFUNCTION("""COMPUTED_VALUE"""),"SLM-404")</f>
        <v>SLM-404</v>
      </c>
      <c r="J888" s="6" t="str">
        <f ca="1">IFERROR(__xludf.DUMMYFUNCTION("""COMPUTED_VALUE"""),"GABRIEL MARQUEZ MENDEZ")</f>
        <v>GABRIEL MARQUEZ MENDEZ</v>
      </c>
      <c r="K888" s="6">
        <f ca="1">IFERROR(__xludf.DUMMYFUNCTION("""COMPUTED_VALUE"""),2)</f>
        <v>2</v>
      </c>
      <c r="L888" s="139">
        <f ca="1">IFERROR(__xludf.DUMMYFUNCTION("""COMPUTED_VALUE"""),2780.91)</f>
        <v>2780.91</v>
      </c>
      <c r="M888" s="6" t="str">
        <f ca="1">IFERROR(__xludf.DUMMYFUNCTION("""COMPUTED_VALUE"""),"03 ORL")</f>
        <v>03 ORL</v>
      </c>
      <c r="N888" s="6" t="str">
        <f ca="1">IFERROR(__xludf.DUMMYFUNCTION("""COMPUTED_VALUE"""),"06 ORL")</f>
        <v>06 ORL</v>
      </c>
      <c r="O888" s="6" t="str">
        <f ca="1">IFERROR(__xludf.DUMMYFUNCTION("""COMPUTED_VALUE"""),"No Recuerda Orl")</f>
        <v>No Recuerda Orl</v>
      </c>
      <c r="P888" s="6" t="str">
        <f ca="1">IFERROR(__xludf.DUMMYFUNCTION("""COMPUTED_VALUE"""),"Patricia Solache (Castilla Y León)")</f>
        <v>Patricia Solache (Castilla Y León)</v>
      </c>
    </row>
    <row r="889" spans="2:16">
      <c r="B889" s="6">
        <f ca="1">IFERROR(__xludf.DUMMYFUNCTION("""COMPUTED_VALUE"""),2025)</f>
        <v>2025</v>
      </c>
      <c r="C889" s="6">
        <f ca="1">IFERROR(__xludf.DUMMYFUNCTION("""COMPUTED_VALUE"""),6)</f>
        <v>6</v>
      </c>
      <c r="D889" s="6" t="str">
        <f ca="1">IFERROR(__xludf.DUMMYFUNCTION("""COMPUTED_VALUE"""),"NO")</f>
        <v>NO</v>
      </c>
      <c r="E889" s="6" t="str">
        <f ca="1">IFERROR(__xludf.DUMMYFUNCTION("""COMPUTED_VALUE"""),"Salamanca")</f>
        <v>Salamanca</v>
      </c>
      <c r="F889" s="16">
        <f ca="1">IFERROR(__xludf.DUMMYFUNCTION("""COMPUTED_VALUE"""),45818)</f>
        <v>45818</v>
      </c>
      <c r="G889" s="16">
        <f ca="1">IFERROR(__xludf.DUMMYFUNCTION("""COMPUTED_VALUE"""),45758)</f>
        <v>45758</v>
      </c>
      <c r="H889" s="6" t="str">
        <f ca="1">IFERROR(__xludf.DUMMYFUNCTION("""COMPUTED_VALUE"""),"Salamanca")</f>
        <v>Salamanca</v>
      </c>
      <c r="I889" s="6" t="str">
        <f ca="1">IFERROR(__xludf.DUMMYFUNCTION("""COMPUTED_VALUE"""),"SLM-528")</f>
        <v>SLM-528</v>
      </c>
      <c r="J889" s="6" t="str">
        <f ca="1">IFERROR(__xludf.DUMMYFUNCTION("""COMPUTED_VALUE"""),"FRANCISCO LUCAS PEÑA")</f>
        <v>FRANCISCO LUCAS PEÑA</v>
      </c>
      <c r="K889" s="6">
        <f ca="1">IFERROR(__xludf.DUMMYFUNCTION("""COMPUTED_VALUE"""),2)</f>
        <v>2</v>
      </c>
      <c r="L889" s="139">
        <f ca="1">IFERROR(__xludf.DUMMYFUNCTION("""COMPUTED_VALUE"""),3604.55)</f>
        <v>3604.55</v>
      </c>
      <c r="M889" s="6" t="str">
        <f ca="1">IFERROR(__xludf.DUMMYFUNCTION("""COMPUTED_VALUE"""),"03 ORL")</f>
        <v>03 ORL</v>
      </c>
      <c r="N889" s="6" t="str">
        <f ca="1">IFERROR(__xludf.DUMMYFUNCTION("""COMPUTED_VALUE"""),"06 ORL")</f>
        <v>06 ORL</v>
      </c>
      <c r="O889" s="6" t="str">
        <f ca="1">IFERROR(__xludf.DUMMYFUNCTION("""COMPUTED_VALUE"""),"No Recuerda Orl")</f>
        <v>No Recuerda Orl</v>
      </c>
      <c r="P889" s="6" t="str">
        <f ca="1">IFERROR(__xludf.DUMMYFUNCTION("""COMPUTED_VALUE"""),"Patricia Solache (Castilla Y León)")</f>
        <v>Patricia Solache (Castilla Y León)</v>
      </c>
    </row>
    <row r="890" spans="2:16">
      <c r="B890" s="6">
        <f ca="1">IFERROR(__xludf.DUMMYFUNCTION("""COMPUTED_VALUE"""),2025)</f>
        <v>2025</v>
      </c>
      <c r="C890" s="6">
        <f ca="1">IFERROR(__xludf.DUMMYFUNCTION("""COMPUTED_VALUE"""),6)</f>
        <v>6</v>
      </c>
      <c r="D890" s="6" t="str">
        <f ca="1">IFERROR(__xludf.DUMMYFUNCTION("""COMPUTED_VALUE"""),"NO")</f>
        <v>NO</v>
      </c>
      <c r="E890" s="6" t="str">
        <f ca="1">IFERROR(__xludf.DUMMYFUNCTION("""COMPUTED_VALUE"""),"Vigo")</f>
        <v>Vigo</v>
      </c>
      <c r="F890" s="16">
        <f ca="1">IFERROR(__xludf.DUMMYFUNCTION("""COMPUTED_VALUE"""),45819)</f>
        <v>45819</v>
      </c>
      <c r="G890" s="16">
        <f ca="1">IFERROR(__xludf.DUMMYFUNCTION("""COMPUTED_VALUE"""),45757)</f>
        <v>45757</v>
      </c>
      <c r="H890" s="6" t="str">
        <f ca="1">IFERROR(__xludf.DUMMYFUNCTION("""COMPUTED_VALUE"""),"Vigo")</f>
        <v>Vigo</v>
      </c>
      <c r="I890" s="6" t="str">
        <f ca="1">IFERROR(__xludf.DUMMYFUNCTION("""COMPUTED_VALUE"""),"VIG-563")</f>
        <v>VIG-563</v>
      </c>
      <c r="J890" s="6" t="str">
        <f ca="1">IFERROR(__xludf.DUMMYFUNCTION("""COMPUTED_VALUE"""),"MARINA GLORIA BARREIRO RODRIGUEZ")</f>
        <v>MARINA GLORIA BARREIRO RODRIGUEZ</v>
      </c>
      <c r="K890" s="6">
        <f ca="1">IFERROR(__xludf.DUMMYFUNCTION("""COMPUTED_VALUE"""),2)</f>
        <v>2</v>
      </c>
      <c r="L890" s="139">
        <f ca="1">IFERROR(__xludf.DUMMYFUNCTION("""COMPUTED_VALUE"""),3363.64)</f>
        <v>3363.64</v>
      </c>
      <c r="M890" s="6" t="str">
        <f ca="1">IFERROR(__xludf.DUMMYFUNCTION("""COMPUTED_VALUE"""),"03 ORL")</f>
        <v>03 ORL</v>
      </c>
      <c r="N890" s="6" t="str">
        <f ca="1">IFERROR(__xludf.DUMMYFUNCTION("""COMPUTED_VALUE"""),"06 ORL")</f>
        <v>06 ORL</v>
      </c>
      <c r="O890" s="6" t="str">
        <f ca="1">IFERROR(__xludf.DUMMYFUNCTION("""COMPUTED_VALUE"""),"Dr, Manuel Estevez García")</f>
        <v>Dr, Manuel Estevez García</v>
      </c>
      <c r="P890" s="6" t="str">
        <f ca="1">IFERROR(__xludf.DUMMYFUNCTION("""COMPUTED_VALUE"""),"Roberto Pereira (Galicia)")</f>
        <v>Roberto Pereira (Galicia)</v>
      </c>
    </row>
    <row r="891" spans="2:16">
      <c r="B891" s="6">
        <f ca="1">IFERROR(__xludf.DUMMYFUNCTION("""COMPUTED_VALUE"""),2025)</f>
        <v>2025</v>
      </c>
      <c r="C891" s="6">
        <f ca="1">IFERROR(__xludf.DUMMYFUNCTION("""COMPUTED_VALUE"""),6)</f>
        <v>6</v>
      </c>
      <c r="D891" s="6" t="str">
        <f ca="1">IFERROR(__xludf.DUMMYFUNCTION("""COMPUTED_VALUE"""),"NO")</f>
        <v>NO</v>
      </c>
      <c r="E891" s="6" t="str">
        <f ca="1">IFERROR(__xludf.DUMMYFUNCTION("""COMPUTED_VALUE"""),"Cáceres")</f>
        <v>Cáceres</v>
      </c>
      <c r="F891" s="16">
        <f ca="1">IFERROR(__xludf.DUMMYFUNCTION("""COMPUTED_VALUE"""),45819)</f>
        <v>45819</v>
      </c>
      <c r="G891" s="16">
        <f ca="1">IFERROR(__xludf.DUMMYFUNCTION("""COMPUTED_VALUE"""),45785)</f>
        <v>45785</v>
      </c>
      <c r="H891" s="6" t="str">
        <f ca="1">IFERROR(__xludf.DUMMYFUNCTION("""COMPUTED_VALUE"""),"Cáceres")</f>
        <v>Cáceres</v>
      </c>
      <c r="I891" s="6" t="str">
        <f ca="1">IFERROR(__xludf.DUMMYFUNCTION("""COMPUTED_VALUE"""),"ZRG-610")</f>
        <v>ZRG-610</v>
      </c>
      <c r="J891" s="6" t="str">
        <f ca="1">IFERROR(__xludf.DUMMYFUNCTION("""COMPUTED_VALUE"""),"PAULINO SANGUINO RAMOS")</f>
        <v>PAULINO SANGUINO RAMOS</v>
      </c>
      <c r="K891" s="6">
        <f ca="1">IFERROR(__xludf.DUMMYFUNCTION("""COMPUTED_VALUE"""),2)</f>
        <v>2</v>
      </c>
      <c r="L891" s="139">
        <f ca="1">IFERROR(__xludf.DUMMYFUNCTION("""COMPUTED_VALUE"""),3474.55)</f>
        <v>3474.55</v>
      </c>
      <c r="M891" s="6" t="str">
        <f ca="1">IFERROR(__xludf.DUMMYFUNCTION("""COMPUTED_VALUE"""),"03 ORL")</f>
        <v>03 ORL</v>
      </c>
      <c r="N891" s="6" t="str">
        <f ca="1">IFERROR(__xludf.DUMMYFUNCTION("""COMPUTED_VALUE"""),"06 ORL")</f>
        <v>06 ORL</v>
      </c>
      <c r="O891" s="6" t="str">
        <f ca="1">IFERROR(__xludf.DUMMYFUNCTION("""COMPUTED_VALUE"""),"Dr, Rafael Sanz Trenado")</f>
        <v>Dr, Rafael Sanz Trenado</v>
      </c>
      <c r="P891" s="6" t="str">
        <f ca="1">IFERROR(__xludf.DUMMYFUNCTION("""COMPUTED_VALUE"""),"Lisandro Russian (Madrid, Cáceres, Toledo, Talavera Y Logroño)")</f>
        <v>Lisandro Russian (Madrid, Cáceres, Toledo, Talavera Y Logroño)</v>
      </c>
    </row>
    <row r="892" spans="2:16">
      <c r="B892" s="6">
        <f ca="1">IFERROR(__xludf.DUMMYFUNCTION("""COMPUTED_VALUE"""),2025)</f>
        <v>2025</v>
      </c>
      <c r="C892" s="6">
        <f ca="1">IFERROR(__xludf.DUMMYFUNCTION("""COMPUTED_VALUE"""),6)</f>
        <v>6</v>
      </c>
      <c r="D892" s="6" t="str">
        <f ca="1">IFERROR(__xludf.DUMMYFUNCTION("""COMPUTED_VALUE"""),"NO")</f>
        <v>NO</v>
      </c>
      <c r="E892" s="6" t="str">
        <f ca="1">IFERROR(__xludf.DUMMYFUNCTION("""COMPUTED_VALUE"""),"Vigo")</f>
        <v>Vigo</v>
      </c>
      <c r="F892" s="16">
        <f ca="1">IFERROR(__xludf.DUMMYFUNCTION("""COMPUTED_VALUE"""),45819)</f>
        <v>45819</v>
      </c>
      <c r="G892" s="16">
        <f ca="1">IFERROR(__xludf.DUMMYFUNCTION("""COMPUTED_VALUE"""),45785)</f>
        <v>45785</v>
      </c>
      <c r="H892" s="6" t="str">
        <f ca="1">IFERROR(__xludf.DUMMYFUNCTION("""COMPUTED_VALUE"""),"Vigo")</f>
        <v>Vigo</v>
      </c>
      <c r="I892" s="6" t="str">
        <f ca="1">IFERROR(__xludf.DUMMYFUNCTION("""COMPUTED_VALUE"""),"VIG-572")</f>
        <v>VIG-572</v>
      </c>
      <c r="J892" s="6" t="str">
        <f ca="1">IFERROR(__xludf.DUMMYFUNCTION("""COMPUTED_VALUE"""),"CARLOS AYMERICH GONZALEZ")</f>
        <v>CARLOS AYMERICH GONZALEZ</v>
      </c>
      <c r="K892" s="6">
        <f ca="1">IFERROR(__xludf.DUMMYFUNCTION("""COMPUTED_VALUE"""),2)</f>
        <v>2</v>
      </c>
      <c r="L892" s="139">
        <f ca="1">IFERROR(__xludf.DUMMYFUNCTION("""COMPUTED_VALUE"""),3363.64)</f>
        <v>3363.64</v>
      </c>
      <c r="M892" s="6" t="str">
        <f ca="1">IFERROR(__xludf.DUMMYFUNCTION("""COMPUTED_VALUE"""),"03 ORL")</f>
        <v>03 ORL</v>
      </c>
      <c r="N892" s="6" t="str">
        <f ca="1">IFERROR(__xludf.DUMMYFUNCTION("""COMPUTED_VALUE"""),"06 ORL")</f>
        <v>06 ORL</v>
      </c>
      <c r="O892" s="6" t="str">
        <f ca="1">IFERROR(__xludf.DUMMYFUNCTION("""COMPUTED_VALUE"""),"Dra, Estrella Pallas Pallas")</f>
        <v>Dra, Estrella Pallas Pallas</v>
      </c>
      <c r="P892" s="6" t="str">
        <f ca="1">IFERROR(__xludf.DUMMYFUNCTION("""COMPUTED_VALUE"""),"Roberto Pereira (Galicia)")</f>
        <v>Roberto Pereira (Galicia)</v>
      </c>
    </row>
    <row r="893" spans="2:16">
      <c r="B893" s="6">
        <f ca="1">IFERROR(__xludf.DUMMYFUNCTION("""COMPUTED_VALUE"""),2025)</f>
        <v>2025</v>
      </c>
      <c r="C893" s="6">
        <f ca="1">IFERROR(__xludf.DUMMYFUNCTION("""COMPUTED_VALUE"""),6)</f>
        <v>6</v>
      </c>
      <c r="D893" s="6" t="str">
        <f ca="1">IFERROR(__xludf.DUMMYFUNCTION("""COMPUTED_VALUE"""),"NO")</f>
        <v>NO</v>
      </c>
      <c r="E893" s="6" t="str">
        <f ca="1">IFERROR(__xludf.DUMMYFUNCTION("""COMPUTED_VALUE"""),"Cáceres")</f>
        <v>Cáceres</v>
      </c>
      <c r="F893" s="16">
        <f ca="1">IFERROR(__xludf.DUMMYFUNCTION("""COMPUTED_VALUE"""),45820)</f>
        <v>45820</v>
      </c>
      <c r="G893" s="16">
        <f ca="1">IFERROR(__xludf.DUMMYFUNCTION("""COMPUTED_VALUE"""),45782)</f>
        <v>45782</v>
      </c>
      <c r="H893" s="6" t="str">
        <f ca="1">IFERROR(__xludf.DUMMYFUNCTION("""COMPUTED_VALUE"""),"Cáceres")</f>
        <v>Cáceres</v>
      </c>
      <c r="I893" s="6" t="str">
        <f ca="1">IFERROR(__xludf.DUMMYFUNCTION("""COMPUTED_VALUE"""),"CAC-288")</f>
        <v>CAC-288</v>
      </c>
      <c r="J893" s="6" t="str">
        <f ca="1">IFERROR(__xludf.DUMMYFUNCTION("""COMPUTED_VALUE"""),"MARIA PILAR SANCHEZ JIMENEZ")</f>
        <v>MARIA PILAR SANCHEZ JIMENEZ</v>
      </c>
      <c r="K893" s="6">
        <f ca="1">IFERROR(__xludf.DUMMYFUNCTION("""COMPUTED_VALUE"""),2)</f>
        <v>2</v>
      </c>
      <c r="L893" s="139">
        <f ca="1">IFERROR(__xludf.DUMMYFUNCTION("""COMPUTED_VALUE"""),3185.45)</f>
        <v>3185.45</v>
      </c>
      <c r="M893" s="6" t="str">
        <f ca="1">IFERROR(__xludf.DUMMYFUNCTION("""COMPUTED_VALUE"""),"03 ORL")</f>
        <v>03 ORL</v>
      </c>
      <c r="N893" s="6" t="str">
        <f ca="1">IFERROR(__xludf.DUMMYFUNCTION("""COMPUTED_VALUE"""),"06 ORL")</f>
        <v>06 ORL</v>
      </c>
      <c r="O893" s="6" t="str">
        <f ca="1">IFERROR(__xludf.DUMMYFUNCTION("""COMPUTED_VALUE"""),"Dr, Raed Maqued El Maqued")</f>
        <v>Dr, Raed Maqued El Maqued</v>
      </c>
      <c r="P893" s="6" t="str">
        <f ca="1">IFERROR(__xludf.DUMMYFUNCTION("""COMPUTED_VALUE"""),"Lisandro Russian (Madrid, Cáceres, Toledo, Talavera Y Logroño)")</f>
        <v>Lisandro Russian (Madrid, Cáceres, Toledo, Talavera Y Logroño)</v>
      </c>
    </row>
    <row r="894" spans="2:16">
      <c r="B894" s="6">
        <f ca="1">IFERROR(__xludf.DUMMYFUNCTION("""COMPUTED_VALUE"""),2025)</f>
        <v>2025</v>
      </c>
      <c r="C894" s="6">
        <f ca="1">IFERROR(__xludf.DUMMYFUNCTION("""COMPUTED_VALUE"""),6)</f>
        <v>6</v>
      </c>
      <c r="D894" s="6" t="str">
        <f ca="1">IFERROR(__xludf.DUMMYFUNCTION("""COMPUTED_VALUE"""),"NO")</f>
        <v>NO</v>
      </c>
      <c r="E894" s="6" t="str">
        <f ca="1">IFERROR(__xludf.DUMMYFUNCTION("""COMPUTED_VALUE"""),"O Barco")</f>
        <v>O Barco</v>
      </c>
      <c r="F894" s="16">
        <f ca="1">IFERROR(__xludf.DUMMYFUNCTION("""COMPUTED_VALUE"""),45821)</f>
        <v>45821</v>
      </c>
      <c r="G894" s="16">
        <f ca="1">IFERROR(__xludf.DUMMYFUNCTION("""COMPUTED_VALUE"""),45755)</f>
        <v>45755</v>
      </c>
      <c r="H894" s="6" t="str">
        <f ca="1">IFERROR(__xludf.DUMMYFUNCTION("""COMPUTED_VALUE"""),"O Barco")</f>
        <v>O Barco</v>
      </c>
      <c r="I894" s="6" t="str">
        <f ca="1">IFERROR(__xludf.DUMMYFUNCTION("""COMPUTED_VALUE"""),"OBR-59")</f>
        <v>OBR-59</v>
      </c>
      <c r="J894" s="6" t="str">
        <f ca="1">IFERROR(__xludf.DUMMYFUNCTION("""COMPUTED_VALUE"""),"OFELIA RODRIGUEZ FERNANDEZ")</f>
        <v>OFELIA RODRIGUEZ FERNANDEZ</v>
      </c>
      <c r="K894" s="6">
        <f ca="1">IFERROR(__xludf.DUMMYFUNCTION("""COMPUTED_VALUE"""),2)</f>
        <v>2</v>
      </c>
      <c r="L894" s="139">
        <f ca="1">IFERROR(__xludf.DUMMYFUNCTION("""COMPUTED_VALUE"""),3090.91)</f>
        <v>3090.91</v>
      </c>
      <c r="M894" s="6" t="str">
        <f ca="1">IFERROR(__xludf.DUMMYFUNCTION("""COMPUTED_VALUE"""),"03 ORL")</f>
        <v>03 ORL</v>
      </c>
      <c r="N894" s="6" t="str">
        <f ca="1">IFERROR(__xludf.DUMMYFUNCTION("""COMPUTED_VALUE"""),"06 ORL")</f>
        <v>06 ORL</v>
      </c>
      <c r="O894" s="6" t="str">
        <f ca="1">IFERROR(__xludf.DUMMYFUNCTION("""COMPUTED_VALUE"""),"Dra, Marta Fernández Míguez")</f>
        <v>Dra, Marta Fernández Míguez</v>
      </c>
      <c r="P894" s="6" t="str">
        <f ca="1">IFERROR(__xludf.DUMMYFUNCTION("""COMPUTED_VALUE"""),"Patricia Solache (Castilla Y León)")</f>
        <v>Patricia Solache (Castilla Y León)</v>
      </c>
    </row>
    <row r="895" spans="2:16">
      <c r="B895" s="6">
        <f ca="1">IFERROR(__xludf.DUMMYFUNCTION("""COMPUTED_VALUE"""),2025)</f>
        <v>2025</v>
      </c>
      <c r="C895" s="6">
        <f ca="1">IFERROR(__xludf.DUMMYFUNCTION("""COMPUTED_VALUE"""),6)</f>
        <v>6</v>
      </c>
      <c r="D895" s="6" t="str">
        <f ca="1">IFERROR(__xludf.DUMMYFUNCTION("""COMPUTED_VALUE"""),"NO")</f>
        <v>NO</v>
      </c>
      <c r="E895" s="6" t="str">
        <f ca="1">IFERROR(__xludf.DUMMYFUNCTION("""COMPUTED_VALUE"""),"Vigo")</f>
        <v>Vigo</v>
      </c>
      <c r="F895" s="16">
        <f ca="1">IFERROR(__xludf.DUMMYFUNCTION("""COMPUTED_VALUE"""),45824)</f>
        <v>45824</v>
      </c>
      <c r="G895" s="16">
        <f ca="1">IFERROR(__xludf.DUMMYFUNCTION("""COMPUTED_VALUE"""),45784)</f>
        <v>45784</v>
      </c>
      <c r="H895" s="6" t="str">
        <f ca="1">IFERROR(__xludf.DUMMYFUNCTION("""COMPUTED_VALUE"""),"Vigo")</f>
        <v>Vigo</v>
      </c>
      <c r="I895" s="6" t="str">
        <f ca="1">IFERROR(__xludf.DUMMYFUNCTION("""COMPUTED_VALUE"""),"VIG-571")</f>
        <v>VIG-571</v>
      </c>
      <c r="J895" s="6" t="str">
        <f ca="1">IFERROR(__xludf.DUMMYFUNCTION("""COMPUTED_VALUE"""),"JOSEFA FREAZA LAGO")</f>
        <v>JOSEFA FREAZA LAGO</v>
      </c>
      <c r="K895" s="6">
        <f ca="1">IFERROR(__xludf.DUMMYFUNCTION("""COMPUTED_VALUE"""),2)</f>
        <v>2</v>
      </c>
      <c r="L895" s="139">
        <f ca="1">IFERROR(__xludf.DUMMYFUNCTION("""COMPUTED_VALUE"""),3454.55)</f>
        <v>3454.55</v>
      </c>
      <c r="M895" s="6" t="str">
        <f ca="1">IFERROR(__xludf.DUMMYFUNCTION("""COMPUTED_VALUE"""),"03 ORL")</f>
        <v>03 ORL</v>
      </c>
      <c r="N895" s="6" t="str">
        <f ca="1">IFERROR(__xludf.DUMMYFUNCTION("""COMPUTED_VALUE"""),"06 ORL")</f>
        <v>06 ORL</v>
      </c>
      <c r="O895" s="6" t="str">
        <f ca="1">IFERROR(__xludf.DUMMYFUNCTION("""COMPUTED_VALUE"""),"Dr, Amer Souki Chmeitt")</f>
        <v>Dr, Amer Souki Chmeitt</v>
      </c>
      <c r="P895" s="6" t="str">
        <f ca="1">IFERROR(__xludf.DUMMYFUNCTION("""COMPUTED_VALUE"""),"Roberto Pereira (Galicia)")</f>
        <v>Roberto Pereira (Galicia)</v>
      </c>
    </row>
    <row r="896" spans="2:16">
      <c r="B896" s="6">
        <f ca="1">IFERROR(__xludf.DUMMYFUNCTION("""COMPUTED_VALUE"""),2025)</f>
        <v>2025</v>
      </c>
      <c r="C896" s="6">
        <f ca="1">IFERROR(__xludf.DUMMYFUNCTION("""COMPUTED_VALUE"""),6)</f>
        <v>6</v>
      </c>
      <c r="D896" s="6" t="str">
        <f ca="1">IFERROR(__xludf.DUMMYFUNCTION("""COMPUTED_VALUE"""),"NO")</f>
        <v>NO</v>
      </c>
      <c r="E896" s="6" t="str">
        <f ca="1">IFERROR(__xludf.DUMMYFUNCTION("""COMPUTED_VALUE"""),"Zaragoza- León XIII")</f>
        <v>Zaragoza- León XIII</v>
      </c>
      <c r="F896" s="16">
        <f ca="1">IFERROR(__xludf.DUMMYFUNCTION("""COMPUTED_VALUE"""),45824)</f>
        <v>45824</v>
      </c>
      <c r="G896" s="16">
        <f ca="1">IFERROR(__xludf.DUMMYFUNCTION("""COMPUTED_VALUE"""),45790)</f>
        <v>45790</v>
      </c>
      <c r="H896" s="6" t="str">
        <f ca="1">IFERROR(__xludf.DUMMYFUNCTION("""COMPUTED_VALUE"""),"Zaragoza")</f>
        <v>Zaragoza</v>
      </c>
      <c r="I896" s="6" t="str">
        <f ca="1">IFERROR(__xludf.DUMMYFUNCTION("""COMPUTED_VALUE"""),"ZRG-635")</f>
        <v>ZRG-635</v>
      </c>
      <c r="J896" s="6" t="str">
        <f ca="1">IFERROR(__xludf.DUMMYFUNCTION("""COMPUTED_VALUE"""),"HERADIO MEDINA ROJAS")</f>
        <v>HERADIO MEDINA ROJAS</v>
      </c>
      <c r="K896" s="6">
        <f ca="1">IFERROR(__xludf.DUMMYFUNCTION("""COMPUTED_VALUE"""),2)</f>
        <v>2</v>
      </c>
      <c r="L896" s="139">
        <f ca="1">IFERROR(__xludf.DUMMYFUNCTION("""COMPUTED_VALUE"""),3800)</f>
        <v>3800</v>
      </c>
      <c r="M896" s="6" t="str">
        <f ca="1">IFERROR(__xludf.DUMMYFUNCTION("""COMPUTED_VALUE"""),"03 ORL")</f>
        <v>03 ORL</v>
      </c>
      <c r="N896" s="6" t="str">
        <f ca="1">IFERROR(__xludf.DUMMYFUNCTION("""COMPUTED_VALUE"""),"06 ORL")</f>
        <v>06 ORL</v>
      </c>
      <c r="O896" s="6" t="str">
        <f ca="1">IFERROR(__xludf.DUMMYFUNCTION("""COMPUTED_VALUE"""),"Dr, José Manuel García Solans-Esteras")</f>
        <v>Dr, José Manuel García Solans-Esteras</v>
      </c>
      <c r="P896" s="6" t="str">
        <f ca="1">IFERROR(__xludf.DUMMYFUNCTION("""COMPUTED_VALUE"""),"Lisandro Russian (Madrid, Cáceres, Toledo, Talavera Y Logroño)")</f>
        <v>Lisandro Russian (Madrid, Cáceres, Toledo, Talavera Y Logroño)</v>
      </c>
    </row>
    <row r="897" spans="2:16">
      <c r="B897" s="6">
        <f ca="1">IFERROR(__xludf.DUMMYFUNCTION("""COMPUTED_VALUE"""),2025)</f>
        <v>2025</v>
      </c>
      <c r="C897" s="6">
        <f ca="1">IFERROR(__xludf.DUMMYFUNCTION("""COMPUTED_VALUE"""),6)</f>
        <v>6</v>
      </c>
      <c r="D897" s="6" t="str">
        <f ca="1">IFERROR(__xludf.DUMMYFUNCTION("""COMPUTED_VALUE"""),"NO")</f>
        <v>NO</v>
      </c>
      <c r="E897" s="6" t="str">
        <f ca="1">IFERROR(__xludf.DUMMYFUNCTION("""COMPUTED_VALUE"""),"León")</f>
        <v>León</v>
      </c>
      <c r="F897" s="16">
        <f ca="1">IFERROR(__xludf.DUMMYFUNCTION("""COMPUTED_VALUE"""),45824)</f>
        <v>45824</v>
      </c>
      <c r="G897" s="16">
        <f ca="1">IFERROR(__xludf.DUMMYFUNCTION("""COMPUTED_VALUE"""),45821)</f>
        <v>45821</v>
      </c>
      <c r="H897" s="6" t="str">
        <f ca="1">IFERROR(__xludf.DUMMYFUNCTION("""COMPUTED_VALUE"""),"León")</f>
        <v>León</v>
      </c>
      <c r="I897" s="6" t="str">
        <f ca="1">IFERROR(__xludf.DUMMYFUNCTION("""COMPUTED_VALUE"""),"LEO-489")</f>
        <v>LEO-489</v>
      </c>
      <c r="J897" s="6" t="str">
        <f ca="1">IFERROR(__xludf.DUMMYFUNCTION("""COMPUTED_VALUE"""),"AMANDIO ANJOS PEREIRA MESQUITA")</f>
        <v>AMANDIO ANJOS PEREIRA MESQUITA</v>
      </c>
      <c r="K897" s="6">
        <f ca="1">IFERROR(__xludf.DUMMYFUNCTION("""COMPUTED_VALUE"""),2)</f>
        <v>2</v>
      </c>
      <c r="L897" s="139">
        <f ca="1">IFERROR(__xludf.DUMMYFUNCTION("""COMPUTED_VALUE"""),1923.08)</f>
        <v>1923.08</v>
      </c>
      <c r="M897" s="6" t="str">
        <f ca="1">IFERROR(__xludf.DUMMYFUNCTION("""COMPUTED_VALUE"""),"03 ORL")</f>
        <v>03 ORL</v>
      </c>
      <c r="N897" s="6" t="str">
        <f ca="1">IFERROR(__xludf.DUMMYFUNCTION("""COMPUTED_VALUE"""),"06 ORL")</f>
        <v>06 ORL</v>
      </c>
      <c r="O897" s="6" t="str">
        <f ca="1">IFERROR(__xludf.DUMMYFUNCTION("""COMPUTED_VALUE"""),"Dr, Rafael Pérez González")</f>
        <v>Dr, Rafael Pérez González</v>
      </c>
      <c r="P897" s="6" t="str">
        <f ca="1">IFERROR(__xludf.DUMMYFUNCTION("""COMPUTED_VALUE"""),"Patricia Solache (Castilla Y León)")</f>
        <v>Patricia Solache (Castilla Y León)</v>
      </c>
    </row>
    <row r="898" spans="2:16">
      <c r="B898" s="6">
        <f ca="1">IFERROR(__xludf.DUMMYFUNCTION("""COMPUTED_VALUE"""),2025)</f>
        <v>2025</v>
      </c>
      <c r="C898" s="6">
        <f ca="1">IFERROR(__xludf.DUMMYFUNCTION("""COMPUTED_VALUE"""),6)</f>
        <v>6</v>
      </c>
      <c r="D898" s="6" t="str">
        <f ca="1">IFERROR(__xludf.DUMMYFUNCTION("""COMPUTED_VALUE"""),"NO")</f>
        <v>NO</v>
      </c>
      <c r="E898" s="6" t="str">
        <f ca="1">IFERROR(__xludf.DUMMYFUNCTION("""COMPUTED_VALUE"""),"Cáceres")</f>
        <v>Cáceres</v>
      </c>
      <c r="F898" s="16">
        <f ca="1">IFERROR(__xludf.DUMMYFUNCTION("""COMPUTED_VALUE"""),45827)</f>
        <v>45827</v>
      </c>
      <c r="G898" s="16">
        <f ca="1">IFERROR(__xludf.DUMMYFUNCTION("""COMPUTED_VALUE"""),45796)</f>
        <v>45796</v>
      </c>
      <c r="H898" s="6" t="str">
        <f ca="1">IFERROR(__xludf.DUMMYFUNCTION("""COMPUTED_VALUE"""),"Cáceres")</f>
        <v>Cáceres</v>
      </c>
      <c r="I898" s="6" t="str">
        <f ca="1">IFERROR(__xludf.DUMMYFUNCTION("""COMPUTED_VALUE"""),"CAC-306")</f>
        <v>CAC-306</v>
      </c>
      <c r="J898" s="6" t="str">
        <f ca="1">IFERROR(__xludf.DUMMYFUNCTION("""COMPUTED_VALUE"""),"JOSE MARIA BRAVO PEÑA")</f>
        <v>JOSE MARIA BRAVO PEÑA</v>
      </c>
      <c r="K898" s="6">
        <f ca="1">IFERROR(__xludf.DUMMYFUNCTION("""COMPUTED_VALUE"""),2)</f>
        <v>2</v>
      </c>
      <c r="L898" s="139">
        <f ca="1">IFERROR(__xludf.DUMMYFUNCTION("""COMPUTED_VALUE"""),3863.64)</f>
        <v>3863.64</v>
      </c>
      <c r="M898" s="6" t="str">
        <f ca="1">IFERROR(__xludf.DUMMYFUNCTION("""COMPUTED_VALUE"""),"03 ORL")</f>
        <v>03 ORL</v>
      </c>
      <c r="N898" s="6" t="str">
        <f ca="1">IFERROR(__xludf.DUMMYFUNCTION("""COMPUTED_VALUE"""),"06 ORL")</f>
        <v>06 ORL</v>
      </c>
      <c r="O898" s="6" t="str">
        <f ca="1">IFERROR(__xludf.DUMMYFUNCTION("""COMPUTED_VALUE"""),"Dra, Marta García Jiménez")</f>
        <v>Dra, Marta García Jiménez</v>
      </c>
      <c r="P898" s="6" t="str">
        <f ca="1">IFERROR(__xludf.DUMMYFUNCTION("""COMPUTED_VALUE"""),"Lisandro Russian (Madrid, Cáceres, Toledo, Talavera Y Logroño)")</f>
        <v>Lisandro Russian (Madrid, Cáceres, Toledo, Talavera Y Logroño)</v>
      </c>
    </row>
    <row r="899" spans="2:16">
      <c r="B899" s="6">
        <f ca="1">IFERROR(__xludf.DUMMYFUNCTION("""COMPUTED_VALUE"""),2025)</f>
        <v>2025</v>
      </c>
      <c r="C899" s="6">
        <f ca="1">IFERROR(__xludf.DUMMYFUNCTION("""COMPUTED_VALUE"""),6)</f>
        <v>6</v>
      </c>
      <c r="D899" s="6" t="str">
        <f ca="1">IFERROR(__xludf.DUMMYFUNCTION("""COMPUTED_VALUE"""),"NO")</f>
        <v>NO</v>
      </c>
      <c r="E899" s="6" t="str">
        <f ca="1">IFERROR(__xludf.DUMMYFUNCTION("""COMPUTED_VALUE"""),"Boiro")</f>
        <v>Boiro</v>
      </c>
      <c r="F899" s="16">
        <f ca="1">IFERROR(__xludf.DUMMYFUNCTION("""COMPUTED_VALUE"""),45828)</f>
        <v>45828</v>
      </c>
      <c r="G899" s="16">
        <f ca="1">IFERROR(__xludf.DUMMYFUNCTION("""COMPUTED_VALUE"""),45747)</f>
        <v>45747</v>
      </c>
      <c r="H899" s="6" t="str">
        <f ca="1">IFERROR(__xludf.DUMMYFUNCTION("""COMPUTED_VALUE"""),"Boiro")</f>
        <v>Boiro</v>
      </c>
      <c r="I899" s="6" t="str">
        <f ca="1">IFERROR(__xludf.DUMMYFUNCTION("""COMPUTED_VALUE"""),"BOI-952")</f>
        <v>BOI-952</v>
      </c>
      <c r="J899" s="6" t="str">
        <f ca="1">IFERROR(__xludf.DUMMYFUNCTION("""COMPUTED_VALUE"""),"ANDRES SUAREZ PEREZ")</f>
        <v>ANDRES SUAREZ PEREZ</v>
      </c>
      <c r="K899" s="6">
        <f ca="1">IFERROR(__xludf.DUMMYFUNCTION("""COMPUTED_VALUE"""),2)</f>
        <v>2</v>
      </c>
      <c r="L899" s="139">
        <f ca="1">IFERROR(__xludf.DUMMYFUNCTION("""COMPUTED_VALUE"""),1818.18)</f>
        <v>1818.18</v>
      </c>
      <c r="M899" s="6" t="str">
        <f ca="1">IFERROR(__xludf.DUMMYFUNCTION("""COMPUTED_VALUE"""),"03 ORL")</f>
        <v>03 ORL</v>
      </c>
      <c r="N899" s="6" t="str">
        <f ca="1">IFERROR(__xludf.DUMMYFUNCTION("""COMPUTED_VALUE"""),"06 ORL")</f>
        <v>06 ORL</v>
      </c>
      <c r="O899" s="6" t="str">
        <f ca="1">IFERROR(__xludf.DUMMYFUNCTION("""COMPUTED_VALUE"""),"Dr, Gabriel Martínez Capoccini")</f>
        <v>Dr, Gabriel Martínez Capoccini</v>
      </c>
      <c r="P899" s="6" t="str">
        <f ca="1">IFERROR(__xludf.DUMMYFUNCTION("""COMPUTED_VALUE"""),"Roberto Pereira (Galicia)")</f>
        <v>Roberto Pereira (Galicia)</v>
      </c>
    </row>
    <row r="900" spans="2:16">
      <c r="B900" s="6">
        <f ca="1">IFERROR(__xludf.DUMMYFUNCTION("""COMPUTED_VALUE"""),2025)</f>
        <v>2025</v>
      </c>
      <c r="C900" s="6">
        <f ca="1">IFERROR(__xludf.DUMMYFUNCTION("""COMPUTED_VALUE"""),6)</f>
        <v>6</v>
      </c>
      <c r="D900" s="6" t="str">
        <f ca="1">IFERROR(__xludf.DUMMYFUNCTION("""COMPUTED_VALUE"""),"NO")</f>
        <v>NO</v>
      </c>
      <c r="E900" s="6" t="str">
        <f ca="1">IFERROR(__xludf.DUMMYFUNCTION("""COMPUTED_VALUE"""),"Zaragoza- León XIII")</f>
        <v>Zaragoza- León XIII</v>
      </c>
      <c r="F900" s="16">
        <f ca="1">IFERROR(__xludf.DUMMYFUNCTION("""COMPUTED_VALUE"""),45828)</f>
        <v>45828</v>
      </c>
      <c r="G900" s="16">
        <f ca="1">IFERROR(__xludf.DUMMYFUNCTION("""COMPUTED_VALUE"""),45783)</f>
        <v>45783</v>
      </c>
      <c r="H900" s="6" t="str">
        <f ca="1">IFERROR(__xludf.DUMMYFUNCTION("""COMPUTED_VALUE"""),"Zaragoza")</f>
        <v>Zaragoza</v>
      </c>
      <c r="I900" s="6" t="str">
        <f ca="1">IFERROR(__xludf.DUMMYFUNCTION("""COMPUTED_VALUE"""),"ZRG-629")</f>
        <v>ZRG-629</v>
      </c>
      <c r="J900" s="6" t="str">
        <f ca="1">IFERROR(__xludf.DUMMYFUNCTION("""COMPUTED_VALUE"""),"CARMEN MARIN PEREZ")</f>
        <v>CARMEN MARIN PEREZ</v>
      </c>
      <c r="K900" s="6">
        <f ca="1">IFERROR(__xludf.DUMMYFUNCTION("""COMPUTED_VALUE"""),2)</f>
        <v>2</v>
      </c>
      <c r="L900" s="139">
        <f ca="1">IFERROR(__xludf.DUMMYFUNCTION("""COMPUTED_VALUE"""),3818.18)</f>
        <v>3818.18</v>
      </c>
      <c r="M900" s="6" t="str">
        <f ca="1">IFERROR(__xludf.DUMMYFUNCTION("""COMPUTED_VALUE"""),"03 ORL")</f>
        <v>03 ORL</v>
      </c>
      <c r="N900" s="6" t="str">
        <f ca="1">IFERROR(__xludf.DUMMYFUNCTION("""COMPUTED_VALUE"""),"06 ORL")</f>
        <v>06 ORL</v>
      </c>
      <c r="O900" s="6" t="str">
        <f ca="1">IFERROR(__xludf.DUMMYFUNCTION("""COMPUTED_VALUE"""),"Dr, Jaime Leache Pueyo")</f>
        <v>Dr, Jaime Leache Pueyo</v>
      </c>
      <c r="P900" s="6" t="str">
        <f ca="1">IFERROR(__xludf.DUMMYFUNCTION("""COMPUTED_VALUE"""),"Lisandro Russian (Madrid, Cáceres, Toledo, Talavera Y Logroño)")</f>
        <v>Lisandro Russian (Madrid, Cáceres, Toledo, Talavera Y Logroño)</v>
      </c>
    </row>
    <row r="901" spans="2:16">
      <c r="B901" s="6">
        <f ca="1">IFERROR(__xludf.DUMMYFUNCTION("""COMPUTED_VALUE"""),2025)</f>
        <v>2025</v>
      </c>
      <c r="C901" s="6">
        <f ca="1">IFERROR(__xludf.DUMMYFUNCTION("""COMPUTED_VALUE"""),6)</f>
        <v>6</v>
      </c>
      <c r="D901" s="6" t="str">
        <f ca="1">IFERROR(__xludf.DUMMYFUNCTION("""COMPUTED_VALUE"""),"NO")</f>
        <v>NO</v>
      </c>
      <c r="E901" s="6" t="str">
        <f ca="1">IFERROR(__xludf.DUMMYFUNCTION("""COMPUTED_VALUE"""),"Zaragoza- León XIII")</f>
        <v>Zaragoza- León XIII</v>
      </c>
      <c r="F901" s="16">
        <f ca="1">IFERROR(__xludf.DUMMYFUNCTION("""COMPUTED_VALUE"""),45828)</f>
        <v>45828</v>
      </c>
      <c r="G901" s="16">
        <f ca="1">IFERROR(__xludf.DUMMYFUNCTION("""COMPUTED_VALUE"""),45796)</f>
        <v>45796</v>
      </c>
      <c r="H901" s="6" t="str">
        <f ca="1">IFERROR(__xludf.DUMMYFUNCTION("""COMPUTED_VALUE"""),"Zaragoza")</f>
        <v>Zaragoza</v>
      </c>
      <c r="I901" s="6" t="str">
        <f ca="1">IFERROR(__xludf.DUMMYFUNCTION("""COMPUTED_VALUE"""),"ZRG-639")</f>
        <v>ZRG-639</v>
      </c>
      <c r="J901" s="6" t="str">
        <f ca="1">IFERROR(__xludf.DUMMYFUNCTION("""COMPUTED_VALUE"""),"FLORENTINO SALO CUCALON")</f>
        <v>FLORENTINO SALO CUCALON</v>
      </c>
      <c r="K901" s="6">
        <f ca="1">IFERROR(__xludf.DUMMYFUNCTION("""COMPUTED_VALUE"""),2)</f>
        <v>2</v>
      </c>
      <c r="L901" s="139">
        <f ca="1">IFERROR(__xludf.DUMMYFUNCTION("""COMPUTED_VALUE"""),2713.5)</f>
        <v>2713.5</v>
      </c>
      <c r="M901" s="6" t="str">
        <f ca="1">IFERROR(__xludf.DUMMYFUNCTION("""COMPUTED_VALUE"""),"03 ORL")</f>
        <v>03 ORL</v>
      </c>
      <c r="N901" s="6" t="str">
        <f ca="1">IFERROR(__xludf.DUMMYFUNCTION("""COMPUTED_VALUE"""),"06 ORL")</f>
        <v>06 ORL</v>
      </c>
      <c r="O901" s="6" t="str">
        <f ca="1">IFERROR(__xludf.DUMMYFUNCTION("""COMPUTED_VALUE"""),"Dr, Jaime Leache Pueyo")</f>
        <v>Dr, Jaime Leache Pueyo</v>
      </c>
      <c r="P901" s="6" t="str">
        <f ca="1">IFERROR(__xludf.DUMMYFUNCTION("""COMPUTED_VALUE"""),"Lisandro Russian (Madrid, Cáceres, Toledo, Talavera Y Logroño)")</f>
        <v>Lisandro Russian (Madrid, Cáceres, Toledo, Talavera Y Logroño)</v>
      </c>
    </row>
    <row r="902" spans="2:16">
      <c r="B902" s="6">
        <f ca="1">IFERROR(__xludf.DUMMYFUNCTION("""COMPUTED_VALUE"""),2025)</f>
        <v>2025</v>
      </c>
      <c r="C902" s="6">
        <f ca="1">IFERROR(__xludf.DUMMYFUNCTION("""COMPUTED_VALUE"""),6)</f>
        <v>6</v>
      </c>
      <c r="D902" s="6" t="str">
        <f ca="1">IFERROR(__xludf.DUMMYFUNCTION("""COMPUTED_VALUE"""),"SI")</f>
        <v>SI</v>
      </c>
      <c r="E902" s="6" t="str">
        <f ca="1">IFERROR(__xludf.DUMMYFUNCTION("""COMPUTED_VALUE"""),"Terrassa")</f>
        <v>Terrassa</v>
      </c>
      <c r="F902" s="16">
        <f ca="1">IFERROR(__xludf.DUMMYFUNCTION("""COMPUTED_VALUE"""),45831)</f>
        <v>45831</v>
      </c>
      <c r="G902" s="16">
        <f ca="1">IFERROR(__xludf.DUMMYFUNCTION("""COMPUTED_VALUE"""),45432)</f>
        <v>45432</v>
      </c>
      <c r="H902" s="6" t="str">
        <f ca="1">IFERROR(__xludf.DUMMYFUNCTION("""COMPUTED_VALUE"""),"Terrassa")</f>
        <v>Terrassa</v>
      </c>
      <c r="I902" s="6" t="str">
        <f ca="1">IFERROR(__xludf.DUMMYFUNCTION("""COMPUTED_VALUE"""),"TRR-273")</f>
        <v>TRR-273</v>
      </c>
      <c r="J902" s="6" t="str">
        <f ca="1">IFERROR(__xludf.DUMMYFUNCTION("""COMPUTED_VALUE"""),"JOAN ESTEBAN BONCOMPTE SAZ")</f>
        <v>JOAN ESTEBAN BONCOMPTE SAZ</v>
      </c>
      <c r="K902" s="6">
        <f ca="1">IFERROR(__xludf.DUMMYFUNCTION("""COMPUTED_VALUE"""),2)</f>
        <v>2</v>
      </c>
      <c r="L902" s="139">
        <f ca="1">IFERROR(__xludf.DUMMYFUNCTION("""COMPUTED_VALUE"""),1877.27)</f>
        <v>1877.27</v>
      </c>
      <c r="M902" s="6" t="str">
        <f ca="1">IFERROR(__xludf.DUMMYFUNCTION("""COMPUTED_VALUE"""),"03 ORL")</f>
        <v>03 ORL</v>
      </c>
      <c r="N902" s="6" t="str">
        <f ca="1">IFERROR(__xludf.DUMMYFUNCTION("""COMPUTED_VALUE"""),"06 ORL")</f>
        <v>06 ORL</v>
      </c>
      <c r="O902" s="6" t="str">
        <f ca="1">IFERROR(__xludf.DUMMYFUNCTION("""COMPUTED_VALUE"""),"Dr, Joaquim Broto Sumalla")</f>
        <v>Dr, Joaquim Broto Sumalla</v>
      </c>
      <c r="P902" s="6" t="str">
        <f ca="1">IFERROR(__xludf.DUMMYFUNCTION("""COMPUTED_VALUE"""),"Mercè Cabrera (Cataluña Y Baleares)")</f>
        <v>Mercè Cabrera (Cataluña Y Baleares)</v>
      </c>
    </row>
    <row r="903" spans="2:16">
      <c r="B903" s="6">
        <f ca="1">IFERROR(__xludf.DUMMYFUNCTION("""COMPUTED_VALUE"""),2025)</f>
        <v>2025</v>
      </c>
      <c r="C903" s="6">
        <f ca="1">IFERROR(__xludf.DUMMYFUNCTION("""COMPUTED_VALUE"""),6)</f>
        <v>6</v>
      </c>
      <c r="D903" s="6" t="str">
        <f ca="1">IFERROR(__xludf.DUMMYFUNCTION("""COMPUTED_VALUE"""),"NO")</f>
        <v>NO</v>
      </c>
      <c r="E903" s="6" t="str">
        <f ca="1">IFERROR(__xludf.DUMMYFUNCTION("""COMPUTED_VALUE"""),"Sevilla- Ciencias")</f>
        <v>Sevilla- Ciencias</v>
      </c>
      <c r="F903" s="16">
        <f ca="1">IFERROR(__xludf.DUMMYFUNCTION("""COMPUTED_VALUE"""),45833)</f>
        <v>45833</v>
      </c>
      <c r="G903" s="16">
        <f ca="1">IFERROR(__xludf.DUMMYFUNCTION("""COMPUTED_VALUE"""),45777)</f>
        <v>45777</v>
      </c>
      <c r="H903" s="6" t="str">
        <f ca="1">IFERROR(__xludf.DUMMYFUNCTION("""COMPUTED_VALUE"""),"Sevilla Este")</f>
        <v>Sevilla Este</v>
      </c>
      <c r="I903" s="6" t="str">
        <f ca="1">IFERROR(__xludf.DUMMYFUNCTION("""COMPUTED_VALUE"""),"SEVE-405")</f>
        <v>SEVE-405</v>
      </c>
      <c r="J903" s="6" t="str">
        <f ca="1">IFERROR(__xludf.DUMMYFUNCTION("""COMPUTED_VALUE"""),"ANGELES CORPA GUZMAN")</f>
        <v>ANGELES CORPA GUZMAN</v>
      </c>
      <c r="K903" s="6">
        <f ca="1">IFERROR(__xludf.DUMMYFUNCTION("""COMPUTED_VALUE"""),2)</f>
        <v>2</v>
      </c>
      <c r="L903" s="139">
        <f ca="1">IFERROR(__xludf.DUMMYFUNCTION("""COMPUTED_VALUE"""),2974.55)</f>
        <v>2974.55</v>
      </c>
      <c r="M903" s="6" t="str">
        <f ca="1">IFERROR(__xludf.DUMMYFUNCTION("""COMPUTED_VALUE"""),"03 ORL")</f>
        <v>03 ORL</v>
      </c>
      <c r="N903" s="6" t="str">
        <f ca="1">IFERROR(__xludf.DUMMYFUNCTION("""COMPUTED_VALUE"""),"06 ORL")</f>
        <v>06 ORL</v>
      </c>
      <c r="O903" s="6" t="str">
        <f ca="1">IFERROR(__xludf.DUMMYFUNCTION("""COMPUTED_VALUE"""),"Dra, Estefanía Berrocal Postigo")</f>
        <v>Dra, Estefanía Berrocal Postigo</v>
      </c>
      <c r="P903" s="6" t="str">
        <f ca="1">IFERROR(__xludf.DUMMYFUNCTION("""COMPUTED_VALUE"""),"Luis Alberto Rodríguez (Andalucía Y Badajoz)")</f>
        <v>Luis Alberto Rodríguez (Andalucía Y Badajoz)</v>
      </c>
    </row>
    <row r="904" spans="2:16">
      <c r="B904" s="6">
        <f ca="1">IFERROR(__xludf.DUMMYFUNCTION("""COMPUTED_VALUE"""),2025)</f>
        <v>2025</v>
      </c>
      <c r="C904" s="6">
        <f ca="1">IFERROR(__xludf.DUMMYFUNCTION("""COMPUTED_VALUE"""),6)</f>
        <v>6</v>
      </c>
      <c r="D904" s="6" t="str">
        <f ca="1">IFERROR(__xludf.DUMMYFUNCTION("""COMPUTED_VALUE"""),"NO")</f>
        <v>NO</v>
      </c>
      <c r="E904" s="6" t="str">
        <f ca="1">IFERROR(__xludf.DUMMYFUNCTION("""COMPUTED_VALUE"""),"Zaragoza- León XIII")</f>
        <v>Zaragoza- León XIII</v>
      </c>
      <c r="F904" s="16">
        <f ca="1">IFERROR(__xludf.DUMMYFUNCTION("""COMPUTED_VALUE"""),45833)</f>
        <v>45833</v>
      </c>
      <c r="G904" s="16">
        <f ca="1">IFERROR(__xludf.DUMMYFUNCTION("""COMPUTED_VALUE"""),45783)</f>
        <v>45783</v>
      </c>
      <c r="H904" s="6" t="str">
        <f ca="1">IFERROR(__xludf.DUMMYFUNCTION("""COMPUTED_VALUE"""),"Zaragoza")</f>
        <v>Zaragoza</v>
      </c>
      <c r="I904" s="6" t="str">
        <f ca="1">IFERROR(__xludf.DUMMYFUNCTION("""COMPUTED_VALUE"""),"ZRG-630")</f>
        <v>ZRG-630</v>
      </c>
      <c r="J904" s="6" t="str">
        <f ca="1">IFERROR(__xludf.DUMMYFUNCTION("""COMPUTED_VALUE"""),"ANTONIO RAMOS SANCHEZ")</f>
        <v>ANTONIO RAMOS SANCHEZ</v>
      </c>
      <c r="K904" s="6">
        <f ca="1">IFERROR(__xludf.DUMMYFUNCTION("""COMPUTED_VALUE"""),2)</f>
        <v>2</v>
      </c>
      <c r="L904" s="139">
        <f ca="1">IFERROR(__xludf.DUMMYFUNCTION("""COMPUTED_VALUE"""),3424.55)</f>
        <v>3424.55</v>
      </c>
      <c r="M904" s="6" t="str">
        <f ca="1">IFERROR(__xludf.DUMMYFUNCTION("""COMPUTED_VALUE"""),"03 ORL")</f>
        <v>03 ORL</v>
      </c>
      <c r="N904" s="6" t="str">
        <f ca="1">IFERROR(__xludf.DUMMYFUNCTION("""COMPUTED_VALUE"""),"06 ORL")</f>
        <v>06 ORL</v>
      </c>
      <c r="O904" s="6" t="str">
        <f ca="1">IFERROR(__xludf.DUMMYFUNCTION("""COMPUTED_VALUE"""),"Dr, José Manuel García Solans-Esteras")</f>
        <v>Dr, José Manuel García Solans-Esteras</v>
      </c>
      <c r="P904" s="6" t="str">
        <f ca="1">IFERROR(__xludf.DUMMYFUNCTION("""COMPUTED_VALUE"""),"Lisandro Russian (Madrid, Cáceres, Toledo, Talavera Y Logroño)")</f>
        <v>Lisandro Russian (Madrid, Cáceres, Toledo, Talavera Y Logroño)</v>
      </c>
    </row>
    <row r="905" spans="2:16">
      <c r="B905" s="6">
        <f ca="1">IFERROR(__xludf.DUMMYFUNCTION("""COMPUTED_VALUE"""),2025)</f>
        <v>2025</v>
      </c>
      <c r="C905" s="6">
        <f ca="1">IFERROR(__xludf.DUMMYFUNCTION("""COMPUTED_VALUE"""),6)</f>
        <v>6</v>
      </c>
      <c r="D905" s="6" t="str">
        <f ca="1">IFERROR(__xludf.DUMMYFUNCTION("""COMPUTED_VALUE"""),"NO")</f>
        <v>NO</v>
      </c>
      <c r="E905" s="6" t="str">
        <f ca="1">IFERROR(__xludf.DUMMYFUNCTION("""COMPUTED_VALUE"""),"Vigo")</f>
        <v>Vigo</v>
      </c>
      <c r="F905" s="16">
        <f ca="1">IFERROR(__xludf.DUMMYFUNCTION("""COMPUTED_VALUE"""),45834)</f>
        <v>45834</v>
      </c>
      <c r="G905" s="16">
        <f ca="1">IFERROR(__xludf.DUMMYFUNCTION("""COMPUTED_VALUE"""),45790)</f>
        <v>45790</v>
      </c>
      <c r="H905" s="6" t="str">
        <f ca="1">IFERROR(__xludf.DUMMYFUNCTION("""COMPUTED_VALUE"""),"Vigo")</f>
        <v>Vigo</v>
      </c>
      <c r="I905" s="6" t="str">
        <f ca="1">IFERROR(__xludf.DUMMYFUNCTION("""COMPUTED_VALUE"""),"VIG-575")</f>
        <v>VIG-575</v>
      </c>
      <c r="J905" s="6" t="str">
        <f ca="1">IFERROR(__xludf.DUMMYFUNCTION("""COMPUTED_VALUE"""),"MARIA EUGENIA FRANCISCO GUEDELLA")</f>
        <v>MARIA EUGENIA FRANCISCO GUEDELLA</v>
      </c>
      <c r="K905" s="6">
        <f ca="1">IFERROR(__xludf.DUMMYFUNCTION("""COMPUTED_VALUE"""),2)</f>
        <v>2</v>
      </c>
      <c r="L905" s="139">
        <f ca="1">IFERROR(__xludf.DUMMYFUNCTION("""COMPUTED_VALUE"""),3454.5)</f>
        <v>3454.5</v>
      </c>
      <c r="M905" s="6" t="str">
        <f ca="1">IFERROR(__xludf.DUMMYFUNCTION("""COMPUTED_VALUE"""),"03 ORL")</f>
        <v>03 ORL</v>
      </c>
      <c r="N905" s="6" t="str">
        <f ca="1">IFERROR(__xludf.DUMMYFUNCTION("""COMPUTED_VALUE"""),"06 ORL")</f>
        <v>06 ORL</v>
      </c>
      <c r="O905" s="6" t="str">
        <f ca="1">IFERROR(__xludf.DUMMYFUNCTION("""COMPUTED_VALUE"""),"Dra, Pilar Castro Ruiz")</f>
        <v>Dra, Pilar Castro Ruiz</v>
      </c>
      <c r="P905" s="6" t="str">
        <f ca="1">IFERROR(__xludf.DUMMYFUNCTION("""COMPUTED_VALUE"""),"Roberto Pereira (Galicia)")</f>
        <v>Roberto Pereira (Galicia)</v>
      </c>
    </row>
    <row r="906" spans="2:16">
      <c r="B906" s="6">
        <f ca="1">IFERROR(__xludf.DUMMYFUNCTION("""COMPUTED_VALUE"""),2025)</f>
        <v>2025</v>
      </c>
      <c r="C906" s="6">
        <f ca="1">IFERROR(__xludf.DUMMYFUNCTION("""COMPUTED_VALUE"""),6)</f>
        <v>6</v>
      </c>
      <c r="D906" s="6" t="str">
        <f ca="1">IFERROR(__xludf.DUMMYFUNCTION("""COMPUTED_VALUE"""),"NO")</f>
        <v>NO</v>
      </c>
      <c r="E906" s="6" t="str">
        <f ca="1">IFERROR(__xludf.DUMMYFUNCTION("""COMPUTED_VALUE"""),"Boiro")</f>
        <v>Boiro</v>
      </c>
      <c r="F906" s="16">
        <f ca="1">IFERROR(__xludf.DUMMYFUNCTION("""COMPUTED_VALUE"""),45834)</f>
        <v>45834</v>
      </c>
      <c r="G906" s="16">
        <f ca="1">IFERROR(__xludf.DUMMYFUNCTION("""COMPUTED_VALUE"""),45803)</f>
        <v>45803</v>
      </c>
      <c r="H906" s="6" t="str">
        <f ca="1">IFERROR(__xludf.DUMMYFUNCTION("""COMPUTED_VALUE"""),"Boiro")</f>
        <v>Boiro</v>
      </c>
      <c r="I906" s="6" t="str">
        <f ca="1">IFERROR(__xludf.DUMMYFUNCTION("""COMPUTED_VALUE"""),"BOI-964")</f>
        <v>BOI-964</v>
      </c>
      <c r="J906" s="6" t="str">
        <f ca="1">IFERROR(__xludf.DUMMYFUNCTION("""COMPUTED_VALUE"""),"MARIA DEL CARMEN SIEIRA QUINTANS")</f>
        <v>MARIA DEL CARMEN SIEIRA QUINTANS</v>
      </c>
      <c r="K906" s="6">
        <f ca="1">IFERROR(__xludf.DUMMYFUNCTION("""COMPUTED_VALUE"""),1)</f>
        <v>1</v>
      </c>
      <c r="L906" s="139">
        <f ca="1">IFERROR(__xludf.DUMMYFUNCTION("""COMPUTED_VALUE"""),1627.27)</f>
        <v>1627.27</v>
      </c>
      <c r="M906" s="6" t="str">
        <f ca="1">IFERROR(__xludf.DUMMYFUNCTION("""COMPUTED_VALUE"""),"03 ORL")</f>
        <v>03 ORL</v>
      </c>
      <c r="N906" s="6" t="str">
        <f ca="1">IFERROR(__xludf.DUMMYFUNCTION("""COMPUTED_VALUE"""),"06 ORL")</f>
        <v>06 ORL</v>
      </c>
      <c r="O906" s="6" t="str">
        <f ca="1">IFERROR(__xludf.DUMMYFUNCTION("""COMPUTED_VALUE"""),"Dra, Isabel Vaamonde Sanchez Andrade")</f>
        <v>Dra, Isabel Vaamonde Sanchez Andrade</v>
      </c>
      <c r="P906" s="6" t="str">
        <f ca="1">IFERROR(__xludf.DUMMYFUNCTION("""COMPUTED_VALUE"""),"Roberto Pereira (Galicia)")</f>
        <v>Roberto Pereira (Galicia)</v>
      </c>
    </row>
    <row r="907" spans="2:16">
      <c r="B907" s="6">
        <f ca="1">IFERROR(__xludf.DUMMYFUNCTION("""COMPUTED_VALUE"""),2025)</f>
        <v>2025</v>
      </c>
      <c r="C907" s="6">
        <f ca="1">IFERROR(__xludf.DUMMYFUNCTION("""COMPUTED_VALUE"""),6)</f>
        <v>6</v>
      </c>
      <c r="D907" s="6" t="str">
        <f ca="1">IFERROR(__xludf.DUMMYFUNCTION("""COMPUTED_VALUE"""),"NO")</f>
        <v>NO</v>
      </c>
      <c r="E907" s="6" t="str">
        <f ca="1">IFERROR(__xludf.DUMMYFUNCTION("""COMPUTED_VALUE"""),"Valladolid")</f>
        <v>Valladolid</v>
      </c>
      <c r="F907" s="16">
        <f ca="1">IFERROR(__xludf.DUMMYFUNCTION("""COMPUTED_VALUE"""),45835)</f>
        <v>45835</v>
      </c>
      <c r="G907" s="16">
        <f ca="1">IFERROR(__xludf.DUMMYFUNCTION("""COMPUTED_VALUE"""),45777)</f>
        <v>45777</v>
      </c>
      <c r="H907" s="6" t="str">
        <f ca="1">IFERROR(__xludf.DUMMYFUNCTION("""COMPUTED_VALUE"""),"Valladolid")</f>
        <v>Valladolid</v>
      </c>
      <c r="I907" s="6" t="str">
        <f ca="1">IFERROR(__xludf.DUMMYFUNCTION("""COMPUTED_VALUE"""),"VLL-390")</f>
        <v>VLL-390</v>
      </c>
      <c r="J907" s="6" t="str">
        <f ca="1">IFERROR(__xludf.DUMMYFUNCTION("""COMPUTED_VALUE"""),"MARIA TERESA RODRIGUEZ MARTINEZ")</f>
        <v>MARIA TERESA RODRIGUEZ MARTINEZ</v>
      </c>
      <c r="K907" s="6">
        <f ca="1">IFERROR(__xludf.DUMMYFUNCTION("""COMPUTED_VALUE"""),2)</f>
        <v>2</v>
      </c>
      <c r="L907" s="139">
        <f ca="1">IFERROR(__xludf.DUMMYFUNCTION("""COMPUTED_VALUE"""),3977.27)</f>
        <v>3977.27</v>
      </c>
      <c r="M907" s="6" t="str">
        <f ca="1">IFERROR(__xludf.DUMMYFUNCTION("""COMPUTED_VALUE"""),"03 ORL")</f>
        <v>03 ORL</v>
      </c>
      <c r="N907" s="6" t="str">
        <f ca="1">IFERROR(__xludf.DUMMYFUNCTION("""COMPUTED_VALUE"""),"06 ORL")</f>
        <v>06 ORL</v>
      </c>
      <c r="O907" s="6" t="str">
        <f ca="1">IFERROR(__xludf.DUMMYFUNCTION("""COMPUTED_VALUE"""),"Dra, Antonia Carranza Calleja")</f>
        <v>Dra, Antonia Carranza Calleja</v>
      </c>
      <c r="P907" s="6" t="str">
        <f ca="1">IFERROR(__xludf.DUMMYFUNCTION("""COMPUTED_VALUE"""),"Patricia Solache (Castilla Y León)")</f>
        <v>Patricia Solache (Castilla Y León)</v>
      </c>
    </row>
    <row r="908" spans="2:16">
      <c r="B908" s="6">
        <f ca="1">IFERROR(__xludf.DUMMYFUNCTION("""COMPUTED_VALUE"""),2025)</f>
        <v>2025</v>
      </c>
      <c r="C908" s="6">
        <f ca="1">IFERROR(__xludf.DUMMYFUNCTION("""COMPUTED_VALUE"""),6)</f>
        <v>6</v>
      </c>
      <c r="D908" s="6" t="str">
        <f ca="1">IFERROR(__xludf.DUMMYFUNCTION("""COMPUTED_VALUE"""),"NO")</f>
        <v>NO</v>
      </c>
      <c r="E908" s="6" t="str">
        <f ca="1">IFERROR(__xludf.DUMMYFUNCTION("""COMPUTED_VALUE"""),"Cáceres")</f>
        <v>Cáceres</v>
      </c>
      <c r="F908" s="16">
        <f ca="1">IFERROR(__xludf.DUMMYFUNCTION("""COMPUTED_VALUE"""),45835)</f>
        <v>45835</v>
      </c>
      <c r="G908" s="16">
        <f ca="1">IFERROR(__xludf.DUMMYFUNCTION("""COMPUTED_VALUE"""),45812)</f>
        <v>45812</v>
      </c>
      <c r="H908" s="6" t="str">
        <f ca="1">IFERROR(__xludf.DUMMYFUNCTION("""COMPUTED_VALUE"""),"Cáceres")</f>
        <v>Cáceres</v>
      </c>
      <c r="I908" s="6" t="str">
        <f ca="1">IFERROR(__xludf.DUMMYFUNCTION("""COMPUTED_VALUE"""),"CAC-313")</f>
        <v>CAC-313</v>
      </c>
      <c r="J908" s="6" t="str">
        <f ca="1">IFERROR(__xludf.DUMMYFUNCTION("""COMPUTED_VALUE"""),"MARIA MONTAÑA REMEDIOS ALBURQUERQUE")</f>
        <v>MARIA MONTAÑA REMEDIOS ALBURQUERQUE</v>
      </c>
      <c r="K908" s="6">
        <f ca="1">IFERROR(__xludf.DUMMYFUNCTION("""COMPUTED_VALUE"""),1)</f>
        <v>1</v>
      </c>
      <c r="L908" s="139">
        <f ca="1">IFERROR(__xludf.DUMMYFUNCTION("""COMPUTED_VALUE"""),1985.45)</f>
        <v>1985.45</v>
      </c>
      <c r="M908" s="6" t="str">
        <f ca="1">IFERROR(__xludf.DUMMYFUNCTION("""COMPUTED_VALUE"""),"03 ORL")</f>
        <v>03 ORL</v>
      </c>
      <c r="N908" s="6" t="str">
        <f ca="1">IFERROR(__xludf.DUMMYFUNCTION("""COMPUTED_VALUE"""),"06 ORL")</f>
        <v>06 ORL</v>
      </c>
      <c r="O908" s="6" t="str">
        <f ca="1">IFERROR(__xludf.DUMMYFUNCTION("""COMPUTED_VALUE"""),"Dr, Manuel Cañete Domínguez")</f>
        <v>Dr, Manuel Cañete Domínguez</v>
      </c>
      <c r="P908" s="6" t="str">
        <f ca="1">IFERROR(__xludf.DUMMYFUNCTION("""COMPUTED_VALUE"""),"Lisandro Russian (Madrid, Cáceres, Toledo, Talavera Y Logroño)")</f>
        <v>Lisandro Russian (Madrid, Cáceres, Toledo, Talavera Y Logroño)</v>
      </c>
    </row>
    <row r="909" spans="2:16">
      <c r="B909" s="6">
        <f ca="1">IFERROR(__xludf.DUMMYFUNCTION("""COMPUTED_VALUE"""),2025)</f>
        <v>2025</v>
      </c>
      <c r="C909" s="6">
        <f ca="1">IFERROR(__xludf.DUMMYFUNCTION("""COMPUTED_VALUE"""),6)</f>
        <v>6</v>
      </c>
      <c r="D909" s="6" t="str">
        <f ca="1">IFERROR(__xludf.DUMMYFUNCTION("""COMPUTED_VALUE"""),"NO")</f>
        <v>NO</v>
      </c>
      <c r="E909" s="6" t="str">
        <f ca="1">IFERROR(__xludf.DUMMYFUNCTION("""COMPUTED_VALUE"""),"Badajoz")</f>
        <v>Badajoz</v>
      </c>
      <c r="F909" s="16">
        <f ca="1">IFERROR(__xludf.DUMMYFUNCTION("""COMPUTED_VALUE"""),45838)</f>
        <v>45838</v>
      </c>
      <c r="G909" s="16">
        <f ca="1">IFERROR(__xludf.DUMMYFUNCTION("""COMPUTED_VALUE"""),45768)</f>
        <v>45768</v>
      </c>
      <c r="H909" s="6" t="str">
        <f ca="1">IFERROR(__xludf.DUMMYFUNCTION("""COMPUTED_VALUE"""),"Badajoz")</f>
        <v>Badajoz</v>
      </c>
      <c r="I909" s="6" t="str">
        <f ca="1">IFERROR(__xludf.DUMMYFUNCTION("""COMPUTED_VALUE"""),"BJZE-2483")</f>
        <v>BJZE-2483</v>
      </c>
      <c r="J909" s="6" t="str">
        <f ca="1">IFERROR(__xludf.DUMMYFUNCTION("""COMPUTED_VALUE"""),"PALMIRA PRIETO PRIETO")</f>
        <v>PALMIRA PRIETO PRIETO</v>
      </c>
      <c r="K909" s="6">
        <f ca="1">IFERROR(__xludf.DUMMYFUNCTION("""COMPUTED_VALUE"""),2)</f>
        <v>2</v>
      </c>
      <c r="L909" s="139">
        <f ca="1">IFERROR(__xludf.DUMMYFUNCTION("""COMPUTED_VALUE"""),4000)</f>
        <v>4000</v>
      </c>
      <c r="M909" s="6" t="str">
        <f ca="1">IFERROR(__xludf.DUMMYFUNCTION("""COMPUTED_VALUE"""),"03 ORL")</f>
        <v>03 ORL</v>
      </c>
      <c r="N909" s="6" t="str">
        <f ca="1">IFERROR(__xludf.DUMMYFUNCTION("""COMPUTED_VALUE"""),"06 ORL")</f>
        <v>06 ORL</v>
      </c>
      <c r="O909" s="6" t="str">
        <f ca="1">IFERROR(__xludf.DUMMYFUNCTION("""COMPUTED_VALUE"""),"Dr, Isidoro Rubio Correa")</f>
        <v>Dr, Isidoro Rubio Correa</v>
      </c>
      <c r="P909" s="6" t="str">
        <f ca="1">IFERROR(__xludf.DUMMYFUNCTION("""COMPUTED_VALUE"""),"Luis Alberto Rodríguez (Andalucía Y Badajoz)")</f>
        <v>Luis Alberto Rodríguez (Andalucía Y Badajoz)</v>
      </c>
    </row>
    <row r="910" spans="2:16">
      <c r="B910" s="6">
        <f ca="1">IFERROR(__xludf.DUMMYFUNCTION("""COMPUTED_VALUE"""),2025)</f>
        <v>2025</v>
      </c>
      <c r="C910" s="6">
        <f ca="1">IFERROR(__xludf.DUMMYFUNCTION("""COMPUTED_VALUE"""),7)</f>
        <v>7</v>
      </c>
      <c r="D910" s="6" t="str">
        <f ca="1">IFERROR(__xludf.DUMMYFUNCTION("""COMPUTED_VALUE"""),"NO")</f>
        <v>NO</v>
      </c>
      <c r="E910" s="6" t="str">
        <f ca="1">IFERROR(__xludf.DUMMYFUNCTION("""COMPUTED_VALUE"""),"Valencia- Parra")</f>
        <v>Valencia- Parra</v>
      </c>
      <c r="F910" s="16">
        <f ca="1">IFERROR(__xludf.DUMMYFUNCTION("""COMPUTED_VALUE"""),45839)</f>
        <v>45839</v>
      </c>
      <c r="G910" s="16">
        <f ca="1">IFERROR(__xludf.DUMMYFUNCTION("""COMPUTED_VALUE"""),45797)</f>
        <v>45797</v>
      </c>
      <c r="H910" s="6" t="str">
        <f ca="1">IFERROR(__xludf.DUMMYFUNCTION("""COMPUTED_VALUE"""),"Valencia- Parra")</f>
        <v>Valencia- Parra</v>
      </c>
      <c r="I910" s="6" t="str">
        <f ca="1">IFERROR(__xludf.DUMMYFUNCTION("""COMPUTED_VALUE"""),"C20255291151016")</f>
        <v>C20255291151016</v>
      </c>
      <c r="J910" s="6" t="str">
        <f ca="1">IFERROR(__xludf.DUMMYFUNCTION("""COMPUTED_VALUE"""),"ELEASAR OSES NIÑO")</f>
        <v>ELEASAR OSES NIÑO</v>
      </c>
      <c r="K910" s="6">
        <f ca="1">IFERROR(__xludf.DUMMYFUNCTION("""COMPUTED_VALUE"""),1)</f>
        <v>1</v>
      </c>
      <c r="L910" s="139">
        <f ca="1">IFERROR(__xludf.DUMMYFUNCTION("""COMPUTED_VALUE"""),2400)</f>
        <v>2400</v>
      </c>
      <c r="M910" s="6" t="str">
        <f ca="1">IFERROR(__xludf.DUMMYFUNCTION("""COMPUTED_VALUE"""),"03 ORL")</f>
        <v>03 ORL</v>
      </c>
      <c r="N910" s="6" t="str">
        <f ca="1">IFERROR(__xludf.DUMMYFUNCTION("""COMPUTED_VALUE"""),"06 ORL")</f>
        <v>06 ORL</v>
      </c>
      <c r="O910" s="6" t="str">
        <f ca="1">IFERROR(__xludf.DUMMYFUNCTION("""COMPUTED_VALUE"""),"Dr, Raimon García Chillerón")</f>
        <v>Dr, Raimon García Chillerón</v>
      </c>
      <c r="P910" s="6" t="str">
        <f ca="1">IFERROR(__xludf.DUMMYFUNCTION("""COMPUTED_VALUE"""),"Ramon Ferrando(Valencia)")</f>
        <v>Ramon Ferrando(Valencia)</v>
      </c>
    </row>
    <row r="911" spans="2:16">
      <c r="B911" s="6">
        <f ca="1">IFERROR(__xludf.DUMMYFUNCTION("""COMPUTED_VALUE"""),2025)</f>
        <v>2025</v>
      </c>
      <c r="C911" s="6">
        <f ca="1">IFERROR(__xludf.DUMMYFUNCTION("""COMPUTED_VALUE"""),7)</f>
        <v>7</v>
      </c>
      <c r="D911" s="6" t="str">
        <f ca="1">IFERROR(__xludf.DUMMYFUNCTION("""COMPUTED_VALUE"""),"NO")</f>
        <v>NO</v>
      </c>
      <c r="E911" s="6" t="str">
        <f ca="1">IFERROR(__xludf.DUMMYFUNCTION("""COMPUTED_VALUE"""),"San Javier")</f>
        <v>San Javier</v>
      </c>
      <c r="F911" s="16">
        <f ca="1">IFERROR(__xludf.DUMMYFUNCTION("""COMPUTED_VALUE"""),45852)</f>
        <v>45852</v>
      </c>
      <c r="G911" s="16">
        <f ca="1">IFERROR(__xludf.DUMMYFUNCTION("""COMPUTED_VALUE"""),45821)</f>
        <v>45821</v>
      </c>
      <c r="H911" s="6" t="str">
        <f ca="1">IFERROR(__xludf.DUMMYFUNCTION("""COMPUTED_VALUE"""),"San Javier")</f>
        <v>San Javier</v>
      </c>
      <c r="I911" s="6" t="str">
        <f ca="1">IFERROR(__xludf.DUMMYFUNCTION("""COMPUTED_VALUE"""),"C202561911450348")</f>
        <v>C202561911450348</v>
      </c>
      <c r="J911" s="6" t="str">
        <f ca="1">IFERROR(__xludf.DUMMYFUNCTION("""COMPUTED_VALUE"""),"ALEXANDRA STOTTOR")</f>
        <v>ALEXANDRA STOTTOR</v>
      </c>
      <c r="K911" s="6">
        <f ca="1">IFERROR(__xludf.DUMMYFUNCTION("""COMPUTED_VALUE"""),2)</f>
        <v>2</v>
      </c>
      <c r="L911" s="139">
        <f ca="1">IFERROR(__xludf.DUMMYFUNCTION("""COMPUTED_VALUE"""),4120)</f>
        <v>4120</v>
      </c>
      <c r="M911" s="6" t="str">
        <f ca="1">IFERROR(__xludf.DUMMYFUNCTION("""COMPUTED_VALUE"""),"01 MARKETING ON LINE")</f>
        <v>01 MARKETING ON LINE</v>
      </c>
      <c r="N911" s="6" t="str">
        <f ca="1">IFERROR(__xludf.DUMMYFUNCTION("""COMPUTED_VALUE"""),"04 AUDIFONO,ES")</f>
        <v>04 AUDIFONO,ES</v>
      </c>
      <c r="O911" s="6" t="str">
        <f ca="1">IFERROR(__xludf.DUMMYFUNCTION("""COMPUTED_VALUE"""),"Dr, Carlos Velásquez Fermín")</f>
        <v>Dr, Carlos Velásquez Fermín</v>
      </c>
      <c r="P911" s="6" t="str">
        <f ca="1">IFERROR(__xludf.DUMMYFUNCTION("""COMPUTED_VALUE"""),"Iván Sánchez (Levante Y Albacete)")</f>
        <v>Iván Sánchez (Levante Y Albacete)</v>
      </c>
    </row>
    <row r="912" spans="2:16">
      <c r="B912" s="6">
        <f ca="1">IFERROR(__xludf.DUMMYFUNCTION("""COMPUTED_VALUE"""),2025)</f>
        <v>2025</v>
      </c>
      <c r="C912" s="6">
        <f ca="1">IFERROR(__xludf.DUMMYFUNCTION("""COMPUTED_VALUE"""),7)</f>
        <v>7</v>
      </c>
      <c r="D912" s="6" t="str">
        <f ca="1">IFERROR(__xludf.DUMMYFUNCTION("""COMPUTED_VALUE"""),"NO")</f>
        <v>NO</v>
      </c>
      <c r="E912" s="6" t="str">
        <f ca="1">IFERROR(__xludf.DUMMYFUNCTION("""COMPUTED_VALUE"""),"Madrid- Monforte de Lemos")</f>
        <v>Madrid- Monforte de Lemos</v>
      </c>
      <c r="F912" s="16">
        <f ca="1">IFERROR(__xludf.DUMMYFUNCTION("""COMPUTED_VALUE"""),45860)</f>
        <v>45860</v>
      </c>
      <c r="G912" s="16">
        <f ca="1">IFERROR(__xludf.DUMMYFUNCTION("""COMPUTED_VALUE"""),45797)</f>
        <v>45797</v>
      </c>
      <c r="H912" s="6" t="str">
        <f ca="1">IFERROR(__xludf.DUMMYFUNCTION("""COMPUTED_VALUE"""),"La Vaguada")</f>
        <v>La Vaguada</v>
      </c>
      <c r="I912" s="6" t="str">
        <f ca="1">IFERROR(__xludf.DUMMYFUNCTION("""COMPUTED_VALUE"""),"C20256915520135")</f>
        <v>C20256915520135</v>
      </c>
      <c r="J912" s="6" t="str">
        <f ca="1">IFERROR(__xludf.DUMMYFUNCTION("""COMPUTED_VALUE"""),"ALVARO MARTIN ANDRES")</f>
        <v>ALVARO MARTIN ANDRES</v>
      </c>
      <c r="K912" s="6">
        <f ca="1">IFERROR(__xludf.DUMMYFUNCTION("""COMPUTED_VALUE"""),1)</f>
        <v>1</v>
      </c>
      <c r="L912" s="139">
        <f ca="1">IFERROR(__xludf.DUMMYFUNCTION("""COMPUTED_VALUE"""),2292.73)</f>
        <v>2292.73</v>
      </c>
      <c r="M912" s="6" t="str">
        <f ca="1">IFERROR(__xludf.DUMMYFUNCTION("""COMPUTED_VALUE"""),"03 ORL")</f>
        <v>03 ORL</v>
      </c>
      <c r="N912" s="6" t="str">
        <f ca="1">IFERROR(__xludf.DUMMYFUNCTION("""COMPUTED_VALUE"""),"06 ORL")</f>
        <v>06 ORL</v>
      </c>
      <c r="O912" s="6" t="str">
        <f ca="1">IFERROR(__xludf.DUMMYFUNCTION("""COMPUTED_VALUE"""),"Dra, Mar Lasso de la Vega Zamora")</f>
        <v>Dra, Mar Lasso de la Vega Zamora</v>
      </c>
      <c r="P912" s="6" t="str">
        <f ca="1">IFERROR(__xludf.DUMMYFUNCTION("""COMPUTED_VALUE"""),"Maika Blázquez (Madrid)")</f>
        <v>Maika Blázquez (Madrid)</v>
      </c>
    </row>
    <row r="913" spans="2:16">
      <c r="B913" s="6">
        <f ca="1">IFERROR(__xludf.DUMMYFUNCTION("""COMPUTED_VALUE"""),2025)</f>
        <v>2025</v>
      </c>
      <c r="C913" s="6">
        <f ca="1">IFERROR(__xludf.DUMMYFUNCTION("""COMPUTED_VALUE"""),7)</f>
        <v>7</v>
      </c>
      <c r="D913" s="6" t="str">
        <f ca="1">IFERROR(__xludf.DUMMYFUNCTION("""COMPUTED_VALUE"""),"NO")</f>
        <v>NO</v>
      </c>
      <c r="E913" s="6" t="str">
        <f ca="1">IFERROR(__xludf.DUMMYFUNCTION("""COMPUTED_VALUE"""),"Getafe")</f>
        <v>Getafe</v>
      </c>
      <c r="F913" s="16">
        <f ca="1">IFERROR(__xludf.DUMMYFUNCTION("""COMPUTED_VALUE"""),45839)</f>
        <v>45839</v>
      </c>
      <c r="G913" s="16">
        <f ca="1">IFERROR(__xludf.DUMMYFUNCTION("""COMPUTED_VALUE"""),45796)</f>
        <v>45796</v>
      </c>
      <c r="H913" s="6" t="str">
        <f ca="1">IFERROR(__xludf.DUMMYFUNCTION("""COMPUTED_VALUE"""),"Getafe")</f>
        <v>Getafe</v>
      </c>
      <c r="I913" s="6" t="str">
        <f ca="1">IFERROR(__xludf.DUMMYFUNCTION("""COMPUTED_VALUE"""),"C2025519115544492")</f>
        <v>C2025519115544492</v>
      </c>
      <c r="J913" s="6" t="str">
        <f ca="1">IFERROR(__xludf.DUMMYFUNCTION("""COMPUTED_VALUE"""),"ANTONIA TORRES GUINDEL")</f>
        <v>ANTONIA TORRES GUINDEL</v>
      </c>
      <c r="K913" s="6">
        <f ca="1">IFERROR(__xludf.DUMMYFUNCTION("""COMPUTED_VALUE"""),2)</f>
        <v>2</v>
      </c>
      <c r="L913" s="139">
        <f ca="1">IFERROR(__xludf.DUMMYFUNCTION("""COMPUTED_VALUE"""),3730)</f>
        <v>3730</v>
      </c>
      <c r="M913" s="6" t="str">
        <f ca="1">IFERROR(__xludf.DUMMYFUNCTION("""COMPUTED_VALUE"""),"03 ORL")</f>
        <v>03 ORL</v>
      </c>
      <c r="N913" s="6" t="str">
        <f ca="1">IFERROR(__xludf.DUMMYFUNCTION("""COMPUTED_VALUE"""),"06 ORL")</f>
        <v>06 ORL</v>
      </c>
      <c r="O913" s="6" t="str">
        <f ca="1">IFERROR(__xludf.DUMMYFUNCTION("""COMPUTED_VALUE"""),"Dr, Antonio Rodríguez Rivero")</f>
        <v>Dr, Antonio Rodríguez Rivero</v>
      </c>
      <c r="P913" s="6" t="str">
        <f ca="1">IFERROR(__xludf.DUMMYFUNCTION("""COMPUTED_VALUE"""),"Maika Blázquez (Madrid)")</f>
        <v>Maika Blázquez (Madrid)</v>
      </c>
    </row>
    <row r="914" spans="2:16">
      <c r="B914" s="6">
        <f ca="1">IFERROR(__xludf.DUMMYFUNCTION("""COMPUTED_VALUE"""),2025)</f>
        <v>2025</v>
      </c>
      <c r="C914" s="6">
        <f ca="1">IFERROR(__xludf.DUMMYFUNCTION("""COMPUTED_VALUE"""),7)</f>
        <v>7</v>
      </c>
      <c r="D914" s="6" t="str">
        <f ca="1">IFERROR(__xludf.DUMMYFUNCTION("""COMPUTED_VALUE"""),"NO")</f>
        <v>NO</v>
      </c>
      <c r="E914" s="6" t="str">
        <f ca="1">IFERROR(__xludf.DUMMYFUNCTION("""COMPUTED_VALUE"""),"Leganés")</f>
        <v>Leganés</v>
      </c>
      <c r="F914" s="16">
        <f ca="1">IFERROR(__xludf.DUMMYFUNCTION("""COMPUTED_VALUE"""),45859)</f>
        <v>45859</v>
      </c>
      <c r="G914" s="16">
        <f ca="1">IFERROR(__xludf.DUMMYFUNCTION("""COMPUTED_VALUE"""),45840)</f>
        <v>45840</v>
      </c>
      <c r="H914" s="6" t="str">
        <f ca="1">IFERROR(__xludf.DUMMYFUNCTION("""COMPUTED_VALUE"""),"Leganés")</f>
        <v>Leganés</v>
      </c>
      <c r="I914" s="1" t="str">
        <f ca="1">IFERROR(__xludf.DUMMYFUNCTION("""COMPUTED_VALUE"""),"C2025749526307")</f>
        <v>C2025749526307</v>
      </c>
      <c r="J914" s="6" t="str">
        <f ca="1">IFERROR(__xludf.DUMMYFUNCTION("""COMPUTED_VALUE"""),"CARMEN GALLARDO FERNÁNDEZ")</f>
        <v>CARMEN GALLARDO FERNÁNDEZ</v>
      </c>
      <c r="K914" s="6">
        <f ca="1">IFERROR(__xludf.DUMMYFUNCTION("""COMPUTED_VALUE"""),2)</f>
        <v>2</v>
      </c>
      <c r="L914" s="139">
        <f ca="1">IFERROR(__xludf.DUMMYFUNCTION("""COMPUTED_VALUE"""),4000)</f>
        <v>4000</v>
      </c>
      <c r="M914" s="6" t="str">
        <f ca="1">IFERROR(__xludf.DUMMYFUNCTION("""COMPUTED_VALUE"""),"03 ORL")</f>
        <v>03 ORL</v>
      </c>
      <c r="N914" s="6" t="str">
        <f ca="1">IFERROR(__xludf.DUMMYFUNCTION("""COMPUTED_VALUE"""),"06 ORL")</f>
        <v>06 ORL</v>
      </c>
      <c r="O914" s="6" t="str">
        <f ca="1">IFERROR(__xludf.DUMMYFUNCTION("""COMPUTED_VALUE"""),"Dra, Mar Lasso de la Vega Zamora")</f>
        <v>Dra, Mar Lasso de la Vega Zamora</v>
      </c>
      <c r="P914" s="6" t="str">
        <f ca="1">IFERROR(__xludf.DUMMYFUNCTION("""COMPUTED_VALUE"""),"Maika Blázquez (Madrid)")</f>
        <v>Maika Blázquez (Madrid)</v>
      </c>
    </row>
    <row r="915" spans="2:16">
      <c r="B915" s="6">
        <f ca="1">IFERROR(__xludf.DUMMYFUNCTION("""COMPUTED_VALUE"""),2025)</f>
        <v>2025</v>
      </c>
      <c r="C915" s="6">
        <f ca="1">IFERROR(__xludf.DUMMYFUNCTION("""COMPUTED_VALUE"""),7)</f>
        <v>7</v>
      </c>
      <c r="D915" s="6" t="str">
        <f ca="1">IFERROR(__xludf.DUMMYFUNCTION("""COMPUTED_VALUE"""),"NO")</f>
        <v>NO</v>
      </c>
      <c r="E915" s="6" t="str">
        <f ca="1">IFERROR(__xludf.DUMMYFUNCTION("""COMPUTED_VALUE"""),"Ourense")</f>
        <v>Ourense</v>
      </c>
      <c r="F915" s="16">
        <f ca="1">IFERROR(__xludf.DUMMYFUNCTION("""COMPUTED_VALUE"""),45839)</f>
        <v>45839</v>
      </c>
      <c r="G915" s="16">
        <f ca="1">IFERROR(__xludf.DUMMYFUNCTION("""COMPUTED_VALUE"""),45799)</f>
        <v>45799</v>
      </c>
      <c r="H915" s="6" t="str">
        <f ca="1">IFERROR(__xludf.DUMMYFUNCTION("""COMPUTED_VALUE"""),"Orense")</f>
        <v>Orense</v>
      </c>
      <c r="I915" s="6" t="str">
        <f ca="1">IFERROR(__xludf.DUMMYFUNCTION("""COMPUTED_VALUE"""),"C2025527163413871")</f>
        <v>C2025527163413871</v>
      </c>
      <c r="J915" s="6" t="str">
        <f ca="1">IFERROR(__xludf.DUMMYFUNCTION("""COMPUTED_VALUE"""),"CARMEN GRANDE RODRIGUEZ")</f>
        <v>CARMEN GRANDE RODRIGUEZ</v>
      </c>
      <c r="K915" s="6">
        <f ca="1">IFERROR(__xludf.DUMMYFUNCTION("""COMPUTED_VALUE"""),2)</f>
        <v>2</v>
      </c>
      <c r="L915" s="139">
        <f ca="1">IFERROR(__xludf.DUMMYFUNCTION("""COMPUTED_VALUE"""),2887.5)</f>
        <v>2887.5</v>
      </c>
      <c r="M915" s="6" t="str">
        <f ca="1">IFERROR(__xludf.DUMMYFUNCTION("""COMPUTED_VALUE"""),"03 ORL")</f>
        <v>03 ORL</v>
      </c>
      <c r="N915" s="6" t="str">
        <f ca="1">IFERROR(__xludf.DUMMYFUNCTION("""COMPUTED_VALUE"""),"06 ORL")</f>
        <v>06 ORL</v>
      </c>
      <c r="O915" s="6" t="str">
        <f ca="1">IFERROR(__xludf.DUMMYFUNCTION("""COMPUTED_VALUE"""),"Dra, María Rey Marcos")</f>
        <v>Dra, María Rey Marcos</v>
      </c>
      <c r="P915" s="6" t="str">
        <f ca="1">IFERROR(__xludf.DUMMYFUNCTION("""COMPUTED_VALUE"""),"Roberto Pereira (Galicia)")</f>
        <v>Roberto Pereira (Galicia)</v>
      </c>
    </row>
    <row r="916" spans="2:16">
      <c r="B916" s="6">
        <f ca="1">IFERROR(__xludf.DUMMYFUNCTION("""COMPUTED_VALUE"""),2025)</f>
        <v>2025</v>
      </c>
      <c r="C916" s="6">
        <f ca="1">IFERROR(__xludf.DUMMYFUNCTION("""COMPUTED_VALUE"""),7)</f>
        <v>7</v>
      </c>
      <c r="D916" s="6" t="str">
        <f ca="1">IFERROR(__xludf.DUMMYFUNCTION("""COMPUTED_VALUE"""),"NO")</f>
        <v>NO</v>
      </c>
      <c r="E916" s="6" t="str">
        <f ca="1">IFERROR(__xludf.DUMMYFUNCTION("""COMPUTED_VALUE"""),"El Albir (Benidorm)")</f>
        <v>El Albir (Benidorm)</v>
      </c>
      <c r="F916" s="16">
        <f ca="1">IFERROR(__xludf.DUMMYFUNCTION("""COMPUTED_VALUE"""),45849)</f>
        <v>45849</v>
      </c>
      <c r="G916" s="16">
        <f ca="1">IFERROR(__xludf.DUMMYFUNCTION("""COMPUTED_VALUE"""),45817)</f>
        <v>45817</v>
      </c>
      <c r="H916" s="6" t="str">
        <f ca="1">IFERROR(__xludf.DUMMYFUNCTION("""COMPUTED_VALUE"""),"El Albir (Benidorm)")</f>
        <v>El Albir (Benidorm)</v>
      </c>
      <c r="I916" s="6" t="str">
        <f ca="1">IFERROR(__xludf.DUMMYFUNCTION("""COMPUTED_VALUE"""),"C202561312435457")</f>
        <v>C202561312435457</v>
      </c>
      <c r="J916" s="6" t="str">
        <f ca="1">IFERROR(__xludf.DUMMYFUNCTION("""COMPUTED_VALUE"""),"CECILIA  PEDRON PASCUAL")</f>
        <v>CECILIA  PEDRON PASCUAL</v>
      </c>
      <c r="K916" s="6">
        <f ca="1">IFERROR(__xludf.DUMMYFUNCTION("""COMPUTED_VALUE"""),1)</f>
        <v>1</v>
      </c>
      <c r="L916" s="139">
        <f ca="1">IFERROR(__xludf.DUMMYFUNCTION("""COMPUTED_VALUE"""),2162.73)</f>
        <v>2162.73</v>
      </c>
      <c r="M916" s="6" t="str">
        <f ca="1">IFERROR(__xludf.DUMMYFUNCTION("""COMPUTED_VALUE"""),"03 ORL")</f>
        <v>03 ORL</v>
      </c>
      <c r="N916" s="6" t="str">
        <f ca="1">IFERROR(__xludf.DUMMYFUNCTION("""COMPUTED_VALUE"""),"06 ORL")</f>
        <v>06 ORL</v>
      </c>
      <c r="O916" s="6" t="str">
        <f ca="1">IFERROR(__xludf.DUMMYFUNCTION("""COMPUTED_VALUE"""),"Dr, Daniel Unigarro Londoño")</f>
        <v>Dr, Daniel Unigarro Londoño</v>
      </c>
      <c r="P916" s="6" t="str">
        <f ca="1">IFERROR(__xludf.DUMMYFUNCTION("""COMPUTED_VALUE"""),"Ramon Ferrando(Valencia)")</f>
        <v>Ramon Ferrando(Valencia)</v>
      </c>
    </row>
    <row r="917" spans="2:16">
      <c r="B917" s="6">
        <f ca="1">IFERROR(__xludf.DUMMYFUNCTION("""COMPUTED_VALUE"""),2025)</f>
        <v>2025</v>
      </c>
      <c r="C917" s="6">
        <f ca="1">IFERROR(__xludf.DUMMYFUNCTION("""COMPUTED_VALUE"""),7)</f>
        <v>7</v>
      </c>
      <c r="D917" s="6" t="str">
        <f ca="1">IFERROR(__xludf.DUMMYFUNCTION("""COMPUTED_VALUE"""),"NO")</f>
        <v>NO</v>
      </c>
      <c r="E917" s="6" t="str">
        <f ca="1">IFERROR(__xludf.DUMMYFUNCTION("""COMPUTED_VALUE"""),"El Albir (Benidorm)")</f>
        <v>El Albir (Benidorm)</v>
      </c>
      <c r="F917" s="16">
        <f ca="1">IFERROR(__xludf.DUMMYFUNCTION("""COMPUTED_VALUE"""),45854)</f>
        <v>45854</v>
      </c>
      <c r="G917" s="16">
        <f ca="1">IFERROR(__xludf.DUMMYFUNCTION("""COMPUTED_VALUE"""),45832)</f>
        <v>45832</v>
      </c>
      <c r="H917" s="6" t="str">
        <f ca="1">IFERROR(__xludf.DUMMYFUNCTION("""COMPUTED_VALUE"""),"El Albir (Benidorm)")</f>
        <v>El Albir (Benidorm)</v>
      </c>
      <c r="I917" s="6" t="str">
        <f ca="1">IFERROR(__xludf.DUMMYFUNCTION("""COMPUTED_VALUE"""),"C2025630111437719")</f>
        <v>C2025630111437719</v>
      </c>
      <c r="J917" s="6" t="str">
        <f ca="1">IFERROR(__xludf.DUMMYFUNCTION("""COMPUTED_VALUE"""),"DIEGO DE INGUNZA DE SANTALUCIA")</f>
        <v>DIEGO DE INGUNZA DE SANTALUCIA</v>
      </c>
      <c r="K917" s="6">
        <f ca="1">IFERROR(__xludf.DUMMYFUNCTION("""COMPUTED_VALUE"""),2)</f>
        <v>2</v>
      </c>
      <c r="L917" s="139">
        <f ca="1">IFERROR(__xludf.DUMMYFUNCTION("""COMPUTED_VALUE"""),3710)</f>
        <v>3710</v>
      </c>
      <c r="M917" s="6" t="str">
        <f ca="1">IFERROR(__xludf.DUMMYFUNCTION("""COMPUTED_VALUE"""),"03 ORL")</f>
        <v>03 ORL</v>
      </c>
      <c r="N917" s="6" t="str">
        <f ca="1">IFERROR(__xludf.DUMMYFUNCTION("""COMPUTED_VALUE"""),"06 ORL")</f>
        <v>06 ORL</v>
      </c>
      <c r="O917" s="6" t="str">
        <f ca="1">IFERROR(__xludf.DUMMYFUNCTION("""COMPUTED_VALUE"""),"Dra, María Emilia García Ruiz")</f>
        <v>Dra, María Emilia García Ruiz</v>
      </c>
      <c r="P917" s="6" t="str">
        <f ca="1">IFERROR(__xludf.DUMMYFUNCTION("""COMPUTED_VALUE"""),"Ramon Ferrando(Valencia)")</f>
        <v>Ramon Ferrando(Valencia)</v>
      </c>
    </row>
    <row r="918" spans="2:16">
      <c r="B918" s="6">
        <f ca="1">IFERROR(__xludf.DUMMYFUNCTION("""COMPUTED_VALUE"""),2025)</f>
        <v>2025</v>
      </c>
      <c r="C918" s="6">
        <f ca="1">IFERROR(__xludf.DUMMYFUNCTION("""COMPUTED_VALUE"""),7)</f>
        <v>7</v>
      </c>
      <c r="D918" s="6" t="str">
        <f ca="1">IFERROR(__xludf.DUMMYFUNCTION("""COMPUTED_VALUE"""),"NO")</f>
        <v>NO</v>
      </c>
      <c r="E918" s="6" t="str">
        <f ca="1">IFERROR(__xludf.DUMMYFUNCTION("""COMPUTED_VALUE"""),"Madrid- Juan Bravo")</f>
        <v>Madrid- Juan Bravo</v>
      </c>
      <c r="F918" s="16">
        <f ca="1">IFERROR(__xludf.DUMMYFUNCTION("""COMPUTED_VALUE"""),45854)</f>
        <v>45854</v>
      </c>
      <c r="G918" s="16">
        <f ca="1">IFERROR(__xludf.DUMMYFUNCTION("""COMPUTED_VALUE"""),45819)</f>
        <v>45819</v>
      </c>
      <c r="H918" s="6" t="str">
        <f ca="1">IFERROR(__xludf.DUMMYFUNCTION("""COMPUTED_VALUE"""),"Juan Bravo")</f>
        <v>Juan Bravo</v>
      </c>
      <c r="I918" s="6" t="str">
        <f ca="1">IFERROR(__xludf.DUMMYFUNCTION("""COMPUTED_VALUE"""),"C2025616155039349")</f>
        <v>C2025616155039349</v>
      </c>
      <c r="J918" s="6" t="str">
        <f ca="1">IFERROR(__xludf.DUMMYFUNCTION("""COMPUTED_VALUE"""),"EMILIO JOSE DIAZ-VILA GONZALEZ")</f>
        <v>EMILIO JOSE DIAZ-VILA GONZALEZ</v>
      </c>
      <c r="K918" s="6">
        <f ca="1">IFERROR(__xludf.DUMMYFUNCTION("""COMPUTED_VALUE"""),1)</f>
        <v>1</v>
      </c>
      <c r="L918" s="139">
        <f ca="1">IFERROR(__xludf.DUMMYFUNCTION("""COMPUTED_VALUE"""),2400)</f>
        <v>2400</v>
      </c>
      <c r="M918" s="6" t="str">
        <f ca="1">IFERROR(__xludf.DUMMYFUNCTION("""COMPUTED_VALUE"""),"03 ORL")</f>
        <v>03 ORL</v>
      </c>
      <c r="N918" s="6" t="str">
        <f ca="1">IFERROR(__xludf.DUMMYFUNCTION("""COMPUTED_VALUE"""),"06 ORL")</f>
        <v>06 ORL</v>
      </c>
      <c r="O918" s="6" t="str">
        <f ca="1">IFERROR(__xludf.DUMMYFUNCTION("""COMPUTED_VALUE"""),"Dr, Carlos Barajas del Rosal")</f>
        <v>Dr, Carlos Barajas del Rosal</v>
      </c>
      <c r="P918" s="6" t="str">
        <f ca="1">IFERROR(__xludf.DUMMYFUNCTION("""COMPUTED_VALUE"""),"Lisandro Russian (Madrid, Cáceres, Toledo, Talavera Y Logroño)")</f>
        <v>Lisandro Russian (Madrid, Cáceres, Toledo, Talavera Y Logroño)</v>
      </c>
    </row>
    <row r="919" spans="2:16">
      <c r="B919" s="6">
        <f ca="1">IFERROR(__xludf.DUMMYFUNCTION("""COMPUTED_VALUE"""),2025)</f>
        <v>2025</v>
      </c>
      <c r="C919" s="6">
        <f ca="1">IFERROR(__xludf.DUMMYFUNCTION("""COMPUTED_VALUE"""),7)</f>
        <v>7</v>
      </c>
      <c r="D919" s="6" t="str">
        <f ca="1">IFERROR(__xludf.DUMMYFUNCTION("""COMPUTED_VALUE"""),"NO")</f>
        <v>NO</v>
      </c>
      <c r="E919" s="6" t="str">
        <f ca="1">IFERROR(__xludf.DUMMYFUNCTION("""COMPUTED_VALUE"""),"Madrid- Costa Rica")</f>
        <v>Madrid- Costa Rica</v>
      </c>
      <c r="F919" s="16">
        <f ca="1">IFERROR(__xludf.DUMMYFUNCTION("""COMPUTED_VALUE"""),45856)</f>
        <v>45856</v>
      </c>
      <c r="G919" s="16">
        <f ca="1">IFERROR(__xludf.DUMMYFUNCTION("""COMPUTED_VALUE"""),45845)</f>
        <v>45845</v>
      </c>
      <c r="H919" s="6" t="str">
        <f ca="1">IFERROR(__xludf.DUMMYFUNCTION("""COMPUTED_VALUE"""),"Costa Rica")</f>
        <v>Costa Rica</v>
      </c>
      <c r="I919" s="6" t="str">
        <f ca="1">IFERROR(__xludf.DUMMYFUNCTION("""COMPUTED_VALUE"""),"C202579115653676")</f>
        <v>C202579115653676</v>
      </c>
      <c r="J919" s="6" t="str">
        <f ca="1">IFERROR(__xludf.DUMMYFUNCTION("""COMPUTED_VALUE"""),"ENCARNACIÓN  FLORES ALFONSO")</f>
        <v>ENCARNACIÓN  FLORES ALFONSO</v>
      </c>
      <c r="K919" s="6">
        <f ca="1">IFERROR(__xludf.DUMMYFUNCTION("""COMPUTED_VALUE"""),2)</f>
        <v>2</v>
      </c>
      <c r="L919" s="139">
        <f ca="1">IFERROR(__xludf.DUMMYFUNCTION("""COMPUTED_VALUE"""),4136.36)</f>
        <v>4136.3599999999997</v>
      </c>
      <c r="M919" s="6" t="str">
        <f ca="1">IFERROR(__xludf.DUMMYFUNCTION("""COMPUTED_VALUE"""),"03 ORL")</f>
        <v>03 ORL</v>
      </c>
      <c r="N919" s="6" t="str">
        <f ca="1">IFERROR(__xludf.DUMMYFUNCTION("""COMPUTED_VALUE"""),"06 ORL")</f>
        <v>06 ORL</v>
      </c>
      <c r="O919" s="6" t="str">
        <f ca="1">IFERROR(__xludf.DUMMYFUNCTION("""COMPUTED_VALUE"""),"Dr, Luis Jiménez Ferreres")</f>
        <v>Dr, Luis Jiménez Ferreres</v>
      </c>
      <c r="P919" s="6" t="str">
        <f ca="1">IFERROR(__xludf.DUMMYFUNCTION("""COMPUTED_VALUE"""),"Lisandro Russian (Madrid, Cáceres, Toledo, Talavera Y Logroño)")</f>
        <v>Lisandro Russian (Madrid, Cáceres, Toledo, Talavera Y Logroño)</v>
      </c>
    </row>
    <row r="920" spans="2:16">
      <c r="B920" s="6">
        <f ca="1">IFERROR(__xludf.DUMMYFUNCTION("""COMPUTED_VALUE"""),2025)</f>
        <v>2025</v>
      </c>
      <c r="C920" s="6">
        <f ca="1">IFERROR(__xludf.DUMMYFUNCTION("""COMPUTED_VALUE"""),7)</f>
        <v>7</v>
      </c>
      <c r="D920" s="6" t="str">
        <f ca="1">IFERROR(__xludf.DUMMYFUNCTION("""COMPUTED_VALUE"""),"NO")</f>
        <v>NO</v>
      </c>
      <c r="E920" s="6" t="str">
        <f ca="1">IFERROR(__xludf.DUMMYFUNCTION("""COMPUTED_VALUE"""),"Getafe")</f>
        <v>Getafe</v>
      </c>
      <c r="F920" s="16">
        <f ca="1">IFERROR(__xludf.DUMMYFUNCTION("""COMPUTED_VALUE"""),45862)</f>
        <v>45862</v>
      </c>
      <c r="G920" s="16">
        <f ca="1">IFERROR(__xludf.DUMMYFUNCTION("""COMPUTED_VALUE"""),45847)</f>
        <v>45847</v>
      </c>
      <c r="H920" s="6" t="str">
        <f ca="1">IFERROR(__xludf.DUMMYFUNCTION("""COMPUTED_VALUE"""),"Getafe")</f>
        <v>Getafe</v>
      </c>
      <c r="I920" s="6" t="str">
        <f ca="1">IFERROR(__xludf.DUMMYFUNCTION("""COMPUTED_VALUE"""),"C202571017474465")</f>
        <v>C202571017474465</v>
      </c>
      <c r="J920" s="6" t="str">
        <f ca="1">IFERROR(__xludf.DUMMYFUNCTION("""COMPUTED_VALUE"""),"EUGENIO MERINO MARTIN")</f>
        <v>EUGENIO MERINO MARTIN</v>
      </c>
      <c r="K920" s="6">
        <f ca="1">IFERROR(__xludf.DUMMYFUNCTION("""COMPUTED_VALUE"""),2)</f>
        <v>2</v>
      </c>
      <c r="L920" s="139">
        <f ca="1">IFERROR(__xludf.DUMMYFUNCTION("""COMPUTED_VALUE"""),2718.18)</f>
        <v>2718.18</v>
      </c>
      <c r="M920" s="6" t="str">
        <f ca="1">IFERROR(__xludf.DUMMYFUNCTION("""COMPUTED_VALUE"""),"03 ORL")</f>
        <v>03 ORL</v>
      </c>
      <c r="N920" s="6" t="str">
        <f ca="1">IFERROR(__xludf.DUMMYFUNCTION("""COMPUTED_VALUE"""),"06 ORL")</f>
        <v>06 ORL</v>
      </c>
      <c r="O920" s="6" t="str">
        <f ca="1">IFERROR(__xludf.DUMMYFUNCTION("""COMPUTED_VALUE"""),"Dr, Antonio Rodríguez Rivero")</f>
        <v>Dr, Antonio Rodríguez Rivero</v>
      </c>
      <c r="P920" s="6" t="str">
        <f ca="1">IFERROR(__xludf.DUMMYFUNCTION("""COMPUTED_VALUE"""),"Maika Blázquez (Madrid)")</f>
        <v>Maika Blázquez (Madrid)</v>
      </c>
    </row>
    <row r="921" spans="2:16">
      <c r="B921" s="6">
        <f ca="1">IFERROR(__xludf.DUMMYFUNCTION("""COMPUTED_VALUE"""),2025)</f>
        <v>2025</v>
      </c>
      <c r="C921" s="6">
        <f ca="1">IFERROR(__xludf.DUMMYFUNCTION("""COMPUTED_VALUE"""),7)</f>
        <v>7</v>
      </c>
      <c r="D921" s="6" t="str">
        <f ca="1">IFERROR(__xludf.DUMMYFUNCTION("""COMPUTED_VALUE"""),"NO")</f>
        <v>NO</v>
      </c>
      <c r="E921" s="6" t="str">
        <f ca="1">IFERROR(__xludf.DUMMYFUNCTION("""COMPUTED_VALUE"""),"Madrid- Juan Bravo")</f>
        <v>Madrid- Juan Bravo</v>
      </c>
      <c r="F921" s="16">
        <f ca="1">IFERROR(__xludf.DUMMYFUNCTION("""COMPUTED_VALUE"""),45852)</f>
        <v>45852</v>
      </c>
      <c r="G921" s="16">
        <f ca="1">IFERROR(__xludf.DUMMYFUNCTION("""COMPUTED_VALUE"""),45782)</f>
        <v>45782</v>
      </c>
      <c r="H921" s="6" t="str">
        <f ca="1">IFERROR(__xludf.DUMMYFUNCTION("""COMPUTED_VALUE"""),"Juan Bravo")</f>
        <v>Juan Bravo</v>
      </c>
      <c r="I921" s="6" t="str">
        <f ca="1">IFERROR(__xludf.DUMMYFUNCTION("""COMPUTED_VALUE"""),"C202558114952858")</f>
        <v>C202558114952858</v>
      </c>
      <c r="J921" s="6" t="str">
        <f ca="1">IFERROR(__xludf.DUMMYFUNCTION("""COMPUTED_VALUE"""),"FELISA PILAR GARCIA BRAVO")</f>
        <v>FELISA PILAR GARCIA BRAVO</v>
      </c>
      <c r="K921" s="6">
        <f ca="1">IFERROR(__xludf.DUMMYFUNCTION("""COMPUTED_VALUE"""),2)</f>
        <v>2</v>
      </c>
      <c r="L921" s="139">
        <f ca="1">IFERROR(__xludf.DUMMYFUNCTION("""COMPUTED_VALUE"""),4000)</f>
        <v>4000</v>
      </c>
      <c r="M921" s="6" t="str">
        <f ca="1">IFERROR(__xludf.DUMMYFUNCTION("""COMPUTED_VALUE"""),"03 ORL")</f>
        <v>03 ORL</v>
      </c>
      <c r="N921" s="6" t="str">
        <f ca="1">IFERROR(__xludf.DUMMYFUNCTION("""COMPUTED_VALUE"""),"06 ORL")</f>
        <v>06 ORL</v>
      </c>
      <c r="O921" s="6" t="str">
        <f ca="1">IFERROR(__xludf.DUMMYFUNCTION("""COMPUTED_VALUE"""),"Dr, Javier García Domínguez")</f>
        <v>Dr, Javier García Domínguez</v>
      </c>
      <c r="P921" s="6" t="str">
        <f ca="1">IFERROR(__xludf.DUMMYFUNCTION("""COMPUTED_VALUE"""),"Maika Blázquez (Madrid)")</f>
        <v>Maika Blázquez (Madrid)</v>
      </c>
    </row>
    <row r="922" spans="2:16">
      <c r="B922" s="6">
        <f ca="1">IFERROR(__xludf.DUMMYFUNCTION("""COMPUTED_VALUE"""),2025)</f>
        <v>2025</v>
      </c>
      <c r="C922" s="6">
        <f ca="1">IFERROR(__xludf.DUMMYFUNCTION("""COMPUTED_VALUE"""),7)</f>
        <v>7</v>
      </c>
      <c r="D922" s="6" t="str">
        <f ca="1">IFERROR(__xludf.DUMMYFUNCTION("""COMPUTED_VALUE"""),"NO")</f>
        <v>NO</v>
      </c>
      <c r="E922" s="6" t="str">
        <f ca="1">IFERROR(__xludf.DUMMYFUNCTION("""COMPUTED_VALUE"""),"Almería")</f>
        <v>Almería</v>
      </c>
      <c r="F922" s="16">
        <f ca="1">IFERROR(__xludf.DUMMYFUNCTION("""COMPUTED_VALUE"""),45856)</f>
        <v>45856</v>
      </c>
      <c r="G922" s="16">
        <f ca="1">IFERROR(__xludf.DUMMYFUNCTION("""COMPUTED_VALUE"""),45846)</f>
        <v>45846</v>
      </c>
      <c r="H922" s="6" t="str">
        <f ca="1">IFERROR(__xludf.DUMMYFUNCTION("""COMPUTED_VALUE"""),"Almería")</f>
        <v>Almería</v>
      </c>
      <c r="I922" s="6" t="str">
        <f ca="1">IFERROR(__xludf.DUMMYFUNCTION("""COMPUTED_VALUE"""),"C202578161110845")</f>
        <v>C202578161110845</v>
      </c>
      <c r="J922" s="6" t="str">
        <f ca="1">IFERROR(__xludf.DUMMYFUNCTION("""COMPUTED_VALUE"""),"FRANCISCA MACARENA SEGURA QUESADA")</f>
        <v>FRANCISCA MACARENA SEGURA QUESADA</v>
      </c>
      <c r="K922" s="6">
        <f ca="1">IFERROR(__xludf.DUMMYFUNCTION("""COMPUTED_VALUE"""),2)</f>
        <v>2</v>
      </c>
      <c r="L922" s="139">
        <f ca="1">IFERROR(__xludf.DUMMYFUNCTION("""COMPUTED_VALUE"""),2974.55)</f>
        <v>2974.55</v>
      </c>
      <c r="M922" s="6" t="str">
        <f ca="1">IFERROR(__xludf.DUMMYFUNCTION("""COMPUTED_VALUE"""),"03 ORL")</f>
        <v>03 ORL</v>
      </c>
      <c r="N922" s="6" t="str">
        <f ca="1">IFERROR(__xludf.DUMMYFUNCTION("""COMPUTED_VALUE"""),"06 ORL")</f>
        <v>06 ORL</v>
      </c>
      <c r="O922" s="6" t="str">
        <f ca="1">IFERROR(__xludf.DUMMYFUNCTION("""COMPUTED_VALUE"""),"Dr, Javier Padilla Cabello")</f>
        <v>Dr, Javier Padilla Cabello</v>
      </c>
      <c r="P922" s="6" t="str">
        <f ca="1">IFERROR(__xludf.DUMMYFUNCTION("""COMPUTED_VALUE"""),"Ramon Ferrando(Valencia)")</f>
        <v>Ramon Ferrando(Valencia)</v>
      </c>
    </row>
    <row r="923" spans="2:16">
      <c r="B923" s="6">
        <f ca="1">IFERROR(__xludf.DUMMYFUNCTION("""COMPUTED_VALUE"""),2025)</f>
        <v>2025</v>
      </c>
      <c r="C923" s="6">
        <f ca="1">IFERROR(__xludf.DUMMYFUNCTION("""COMPUTED_VALUE"""),7)</f>
        <v>7</v>
      </c>
      <c r="D923" s="6" t="str">
        <f ca="1">IFERROR(__xludf.DUMMYFUNCTION("""COMPUTED_VALUE"""),"NO")</f>
        <v>NO</v>
      </c>
      <c r="E923" s="6" t="str">
        <f ca="1">IFERROR(__xludf.DUMMYFUNCTION("""COMPUTED_VALUE"""),"Madrid- Monforte de Lemos")</f>
        <v>Madrid- Monforte de Lemos</v>
      </c>
      <c r="F923" s="16">
        <f ca="1">IFERROR(__xludf.DUMMYFUNCTION("""COMPUTED_VALUE"""),45853)</f>
        <v>45853</v>
      </c>
      <c r="G923" s="16">
        <f ca="1">IFERROR(__xludf.DUMMYFUNCTION("""COMPUTED_VALUE"""),45845)</f>
        <v>45845</v>
      </c>
      <c r="H923" s="6" t="str">
        <f ca="1">IFERROR(__xludf.DUMMYFUNCTION("""COMPUTED_VALUE"""),"La Vaguada")</f>
        <v>La Vaguada</v>
      </c>
      <c r="I923" s="6" t="str">
        <f ca="1">IFERROR(__xludf.DUMMYFUNCTION("""COMPUTED_VALUE"""),"C2025710164457112")</f>
        <v>C2025710164457112</v>
      </c>
      <c r="J923" s="6" t="str">
        <f ca="1">IFERROR(__xludf.DUMMYFUNCTION("""COMPUTED_VALUE"""),"FRANCISCA MARTIN MARTIN")</f>
        <v>FRANCISCA MARTIN MARTIN</v>
      </c>
      <c r="K923" s="6">
        <f ca="1">IFERROR(__xludf.DUMMYFUNCTION("""COMPUTED_VALUE"""),2)</f>
        <v>2</v>
      </c>
      <c r="L923" s="139">
        <f ca="1">IFERROR(__xludf.DUMMYFUNCTION("""COMPUTED_VALUE"""),3604.55)</f>
        <v>3604.55</v>
      </c>
      <c r="M923" s="6" t="str">
        <f ca="1">IFERROR(__xludf.DUMMYFUNCTION("""COMPUTED_VALUE"""),"03 ORL")</f>
        <v>03 ORL</v>
      </c>
      <c r="N923" s="6" t="str">
        <f ca="1">IFERROR(__xludf.DUMMYFUNCTION("""COMPUTED_VALUE"""),"06 ORL")</f>
        <v>06 ORL</v>
      </c>
      <c r="O923" s="6" t="str">
        <f ca="1">IFERROR(__xludf.DUMMYFUNCTION("""COMPUTED_VALUE"""),"Dr, Coloma Grau Van Laak")</f>
        <v>Dr, Coloma Grau Van Laak</v>
      </c>
      <c r="P923" s="6" t="str">
        <f ca="1">IFERROR(__xludf.DUMMYFUNCTION("""COMPUTED_VALUE"""),"Lisandro Russian (Madrid, Cáceres, Toledo, Talavera Y Logroño)")</f>
        <v>Lisandro Russian (Madrid, Cáceres, Toledo, Talavera Y Logroño)</v>
      </c>
    </row>
    <row r="924" spans="2:16">
      <c r="B924" s="6">
        <f ca="1">IFERROR(__xludf.DUMMYFUNCTION("""COMPUTED_VALUE"""),2025)</f>
        <v>2025</v>
      </c>
      <c r="C924" s="6">
        <f ca="1">IFERROR(__xludf.DUMMYFUNCTION("""COMPUTED_VALUE"""),7)</f>
        <v>7</v>
      </c>
      <c r="D924" s="6" t="str">
        <f ca="1">IFERROR(__xludf.DUMMYFUNCTION("""COMPUTED_VALUE"""),"NO")</f>
        <v>NO</v>
      </c>
      <c r="E924" s="6" t="str">
        <f ca="1">IFERROR(__xludf.DUMMYFUNCTION("""COMPUTED_VALUE"""),"Fuenlabrada")</f>
        <v>Fuenlabrada</v>
      </c>
      <c r="F924" s="16">
        <f ca="1">IFERROR(__xludf.DUMMYFUNCTION("""COMPUTED_VALUE"""),45854)</f>
        <v>45854</v>
      </c>
      <c r="G924" s="16">
        <f ca="1">IFERROR(__xludf.DUMMYFUNCTION("""COMPUTED_VALUE"""),45811)</f>
        <v>45811</v>
      </c>
      <c r="H924" s="6" t="str">
        <f ca="1">IFERROR(__xludf.DUMMYFUNCTION("""COMPUTED_VALUE"""),"Fuenlabrada")</f>
        <v>Fuenlabrada</v>
      </c>
      <c r="I924" s="6" t="str">
        <f ca="1">IFERROR(__xludf.DUMMYFUNCTION("""COMPUTED_VALUE"""),"C2025610173752293")</f>
        <v>C2025610173752293</v>
      </c>
      <c r="J924" s="6" t="str">
        <f ca="1">IFERROR(__xludf.DUMMYFUNCTION("""COMPUTED_VALUE"""),"FRANCISCA VAQUERIZA VAQUERIZA")</f>
        <v>FRANCISCA VAQUERIZA VAQUERIZA</v>
      </c>
      <c r="K924" s="6">
        <f ca="1">IFERROR(__xludf.DUMMYFUNCTION("""COMPUTED_VALUE"""),2)</f>
        <v>2</v>
      </c>
      <c r="L924" s="139">
        <f ca="1">IFERROR(__xludf.DUMMYFUNCTION("""COMPUTED_VALUE"""),4000)</f>
        <v>4000</v>
      </c>
      <c r="M924" s="6" t="str">
        <f ca="1">IFERROR(__xludf.DUMMYFUNCTION("""COMPUTED_VALUE"""),"03 ORL")</f>
        <v>03 ORL</v>
      </c>
      <c r="N924" s="6" t="str">
        <f ca="1">IFERROR(__xludf.DUMMYFUNCTION("""COMPUTED_VALUE"""),"06 ORL")</f>
        <v>06 ORL</v>
      </c>
      <c r="O924" s="6" t="str">
        <f ca="1">IFERROR(__xludf.DUMMYFUNCTION("""COMPUTED_VALUE"""),"Dr, Alfonso Plaza López")</f>
        <v>Dr, Alfonso Plaza López</v>
      </c>
      <c r="P924" s="6" t="str">
        <f ca="1">IFERROR(__xludf.DUMMYFUNCTION("""COMPUTED_VALUE"""),"Lisandro Russian (Madrid, Cáceres, Toledo, Talavera Y Logroño)")</f>
        <v>Lisandro Russian (Madrid, Cáceres, Toledo, Talavera Y Logroño)</v>
      </c>
    </row>
    <row r="925" spans="2:16">
      <c r="B925" s="6">
        <f ca="1">IFERROR(__xludf.DUMMYFUNCTION("""COMPUTED_VALUE"""),2025)</f>
        <v>2025</v>
      </c>
      <c r="C925" s="6">
        <f ca="1">IFERROR(__xludf.DUMMYFUNCTION("""COMPUTED_VALUE"""),7)</f>
        <v>7</v>
      </c>
      <c r="D925" s="6" t="str">
        <f ca="1">IFERROR(__xludf.DUMMYFUNCTION("""COMPUTED_VALUE"""),"NO")</f>
        <v>NO</v>
      </c>
      <c r="E925" s="6" t="str">
        <f ca="1">IFERROR(__xludf.DUMMYFUNCTION("""COMPUTED_VALUE"""),"Sevilla- Montoto")</f>
        <v>Sevilla- Montoto</v>
      </c>
      <c r="F925" s="16">
        <f ca="1">IFERROR(__xludf.DUMMYFUNCTION("""COMPUTED_VALUE"""),45848)</f>
        <v>45848</v>
      </c>
      <c r="G925" s="16">
        <f ca="1">IFERROR(__xludf.DUMMYFUNCTION("""COMPUTED_VALUE"""),45817)</f>
        <v>45817</v>
      </c>
      <c r="H925" s="6" t="str">
        <f ca="1">IFERROR(__xludf.DUMMYFUNCTION("""COMPUTED_VALUE"""),"Montoto")</f>
        <v>Montoto</v>
      </c>
      <c r="I925" s="6" t="str">
        <f ca="1">IFERROR(__xludf.DUMMYFUNCTION("""COMPUTED_VALUE"""),"C2025616163118924")</f>
        <v>C2025616163118924</v>
      </c>
      <c r="J925" s="6" t="str">
        <f ca="1">IFERROR(__xludf.DUMMYFUNCTION("""COMPUTED_VALUE"""),"FRANCISCO JAVIER BARRIOS RODRIGUEZ")</f>
        <v>FRANCISCO JAVIER BARRIOS RODRIGUEZ</v>
      </c>
      <c r="K925" s="6">
        <f ca="1">IFERROR(__xludf.DUMMYFUNCTION("""COMPUTED_VALUE"""),1)</f>
        <v>1</v>
      </c>
      <c r="L925" s="139">
        <f ca="1">IFERROR(__xludf.DUMMYFUNCTION("""COMPUTED_VALUE"""),2400)</f>
        <v>2400</v>
      </c>
      <c r="M925" s="6" t="str">
        <f ca="1">IFERROR(__xludf.DUMMYFUNCTION("""COMPUTED_VALUE"""),"03 ORL")</f>
        <v>03 ORL</v>
      </c>
      <c r="N925" s="6" t="str">
        <f ca="1">IFERROR(__xludf.DUMMYFUNCTION("""COMPUTED_VALUE"""),"06 ORL")</f>
        <v>06 ORL</v>
      </c>
      <c r="O925" s="6" t="str">
        <f ca="1">IFERROR(__xludf.DUMMYFUNCTION("""COMPUTED_VALUE"""),"Dr, Francisco Ropero Romero")</f>
        <v>Dr, Francisco Ropero Romero</v>
      </c>
      <c r="P925" s="6" t="str">
        <f ca="1">IFERROR(__xludf.DUMMYFUNCTION("""COMPUTED_VALUE"""),"Luis Alberto Rodríguez (Andalucía y Badajoz)")</f>
        <v>Luis Alberto Rodríguez (Andalucía y Badajoz)</v>
      </c>
    </row>
    <row r="926" spans="2:16">
      <c r="B926" s="6">
        <f ca="1">IFERROR(__xludf.DUMMYFUNCTION("""COMPUTED_VALUE"""),2025)</f>
        <v>2025</v>
      </c>
      <c r="C926" s="6">
        <f ca="1">IFERROR(__xludf.DUMMYFUNCTION("""COMPUTED_VALUE"""),7)</f>
        <v>7</v>
      </c>
      <c r="D926" s="6" t="str">
        <f ca="1">IFERROR(__xludf.DUMMYFUNCTION("""COMPUTED_VALUE"""),"NO")</f>
        <v>NO</v>
      </c>
      <c r="E926" s="6" t="str">
        <f ca="1">IFERROR(__xludf.DUMMYFUNCTION("""COMPUTED_VALUE"""),"Madrid- Canillas")</f>
        <v>Madrid- Canillas</v>
      </c>
      <c r="F926" s="16">
        <f ca="1">IFERROR(__xludf.DUMMYFUNCTION("""COMPUTED_VALUE"""),45855)</f>
        <v>45855</v>
      </c>
      <c r="G926" s="16">
        <f ca="1">IFERROR(__xludf.DUMMYFUNCTION("""COMPUTED_VALUE"""),45846)</f>
        <v>45846</v>
      </c>
      <c r="H926" s="6" t="str">
        <f ca="1">IFERROR(__xludf.DUMMYFUNCTION("""COMPUTED_VALUE"""),"Canillas")</f>
        <v>Canillas</v>
      </c>
      <c r="I926" s="6" t="str">
        <f ca="1">IFERROR(__xludf.DUMMYFUNCTION("""COMPUTED_VALUE"""),"C2025716162629152")</f>
        <v>C2025716162629152</v>
      </c>
      <c r="J926" s="6" t="str">
        <f ca="1">IFERROR(__xludf.DUMMYFUNCTION("""COMPUTED_VALUE"""),"FRANCISCO LORITE CABALLERO")</f>
        <v>FRANCISCO LORITE CABALLERO</v>
      </c>
      <c r="K926" s="6">
        <f ca="1">IFERROR(__xludf.DUMMYFUNCTION("""COMPUTED_VALUE"""),2)</f>
        <v>2</v>
      </c>
      <c r="L926" s="139">
        <f ca="1">IFERROR(__xludf.DUMMYFUNCTION("""COMPUTED_VALUE"""),4000)</f>
        <v>4000</v>
      </c>
      <c r="M926" s="6" t="str">
        <f ca="1">IFERROR(__xludf.DUMMYFUNCTION("""COMPUTED_VALUE"""),"03 ORL")</f>
        <v>03 ORL</v>
      </c>
      <c r="N926" s="6" t="str">
        <f ca="1">IFERROR(__xludf.DUMMYFUNCTION("""COMPUTED_VALUE"""),"06 ORL")</f>
        <v>06 ORL</v>
      </c>
      <c r="O926" s="6" t="str">
        <f ca="1">IFERROR(__xludf.DUMMYFUNCTION("""COMPUTED_VALUE"""),"Dr, José Gustavo Barroso Braojos")</f>
        <v>Dr, José Gustavo Barroso Braojos</v>
      </c>
      <c r="P926" s="6" t="str">
        <f ca="1">IFERROR(__xludf.DUMMYFUNCTION("""COMPUTED_VALUE"""),"Maika Blázquez (Madrid)")</f>
        <v>Maika Blázquez (Madrid)</v>
      </c>
    </row>
    <row r="927" spans="2:16">
      <c r="B927" s="6">
        <f ca="1">IFERROR(__xludf.DUMMYFUNCTION("""COMPUTED_VALUE"""),2025)</f>
        <v>2025</v>
      </c>
      <c r="C927" s="6">
        <f ca="1">IFERROR(__xludf.DUMMYFUNCTION("""COMPUTED_VALUE"""),7)</f>
        <v>7</v>
      </c>
      <c r="D927" s="6" t="str">
        <f ca="1">IFERROR(__xludf.DUMMYFUNCTION("""COMPUTED_VALUE"""),"NO")</f>
        <v>NO</v>
      </c>
      <c r="E927" s="6" t="str">
        <f ca="1">IFERROR(__xludf.DUMMYFUNCTION("""COMPUTED_VALUE"""),"Valencia- Cádiz")</f>
        <v>Valencia- Cádiz</v>
      </c>
      <c r="F927" s="16">
        <f ca="1">IFERROR(__xludf.DUMMYFUNCTION("""COMPUTED_VALUE"""),45863)</f>
        <v>45863</v>
      </c>
      <c r="G927" s="16">
        <f ca="1">IFERROR(__xludf.DUMMYFUNCTION("""COMPUTED_VALUE"""),45810)</f>
        <v>45810</v>
      </c>
      <c r="H927" s="6" t="str">
        <f ca="1">IFERROR(__xludf.DUMMYFUNCTION("""COMPUTED_VALUE"""),"Valencia- Cádiz")</f>
        <v>Valencia- Cádiz</v>
      </c>
      <c r="I927" s="6" t="str">
        <f ca="1">IFERROR(__xludf.DUMMYFUNCTION("""COMPUTED_VALUE"""),"C202569172952184")</f>
        <v>C202569172952184</v>
      </c>
      <c r="J927" s="6" t="str">
        <f ca="1">IFERROR(__xludf.DUMMYFUNCTION("""COMPUTED_VALUE"""),"FRANCISCO PEREZ BARBERAN")</f>
        <v>FRANCISCO PEREZ BARBERAN</v>
      </c>
      <c r="K927" s="6">
        <f ca="1">IFERROR(__xludf.DUMMYFUNCTION("""COMPUTED_VALUE"""),2)</f>
        <v>2</v>
      </c>
      <c r="L927" s="139">
        <f ca="1">IFERROR(__xludf.DUMMYFUNCTION("""COMPUTED_VALUE"""),2888.18)</f>
        <v>2888.18</v>
      </c>
      <c r="M927" s="6" t="str">
        <f ca="1">IFERROR(__xludf.DUMMYFUNCTION("""COMPUTED_VALUE"""),"03 ORL")</f>
        <v>03 ORL</v>
      </c>
      <c r="N927" s="6" t="str">
        <f ca="1">IFERROR(__xludf.DUMMYFUNCTION("""COMPUTED_VALUE"""),"06 ORL")</f>
        <v>06 ORL</v>
      </c>
      <c r="O927" s="6" t="str">
        <f ca="1">IFERROR(__xludf.DUMMYFUNCTION("""COMPUTED_VALUE"""),"Dr, Raimon García Chillerón")</f>
        <v>Dr, Raimon García Chillerón</v>
      </c>
      <c r="P927" s="6" t="str">
        <f ca="1">IFERROR(__xludf.DUMMYFUNCTION("""COMPUTED_VALUE"""),"Ramon Ferrando(Valencia)")</f>
        <v>Ramon Ferrando(Valencia)</v>
      </c>
    </row>
    <row r="928" spans="2:16">
      <c r="B928" s="6">
        <f ca="1">IFERROR(__xludf.DUMMYFUNCTION("""COMPUTED_VALUE"""),2025)</f>
        <v>2025</v>
      </c>
      <c r="C928" s="6">
        <f ca="1">IFERROR(__xludf.DUMMYFUNCTION("""COMPUTED_VALUE"""),7)</f>
        <v>7</v>
      </c>
      <c r="D928" s="6" t="str">
        <f ca="1">IFERROR(__xludf.DUMMYFUNCTION("""COMPUTED_VALUE"""),"NO")</f>
        <v>NO</v>
      </c>
      <c r="E928" s="6" t="str">
        <f ca="1">IFERROR(__xludf.DUMMYFUNCTION("""COMPUTED_VALUE"""),"Fuenlabrada")</f>
        <v>Fuenlabrada</v>
      </c>
      <c r="F928" s="16">
        <f ca="1">IFERROR(__xludf.DUMMYFUNCTION("""COMPUTED_VALUE"""),45848)</f>
        <v>45848</v>
      </c>
      <c r="G928" s="16">
        <f ca="1">IFERROR(__xludf.DUMMYFUNCTION("""COMPUTED_VALUE"""),45821)</f>
        <v>45821</v>
      </c>
      <c r="H928" s="6" t="str">
        <f ca="1">IFERROR(__xludf.DUMMYFUNCTION("""COMPUTED_VALUE"""),"Fuenlabrada")</f>
        <v>Fuenlabrada</v>
      </c>
      <c r="I928" s="6" t="str">
        <f ca="1">IFERROR(__xludf.DUMMYFUNCTION("""COMPUTED_VALUE"""),"C2025613153815131")</f>
        <v>C2025613153815131</v>
      </c>
      <c r="J928" s="6" t="str">
        <f ca="1">IFERROR(__xludf.DUMMYFUNCTION("""COMPUTED_VALUE"""),"FULGENCIO GRANIZO REBOLLO")</f>
        <v>FULGENCIO GRANIZO REBOLLO</v>
      </c>
      <c r="K928" s="6">
        <f ca="1">IFERROR(__xludf.DUMMYFUNCTION("""COMPUTED_VALUE"""),1)</f>
        <v>1</v>
      </c>
      <c r="L928" s="139">
        <f ca="1">IFERROR(__xludf.DUMMYFUNCTION("""COMPUTED_VALUE"""),2400)</f>
        <v>2400</v>
      </c>
      <c r="M928" s="6" t="str">
        <f ca="1">IFERROR(__xludf.DUMMYFUNCTION("""COMPUTED_VALUE"""),"03 ORL")</f>
        <v>03 ORL</v>
      </c>
      <c r="N928" s="6" t="str">
        <f ca="1">IFERROR(__xludf.DUMMYFUNCTION("""COMPUTED_VALUE"""),"06 ORL")</f>
        <v>06 ORL</v>
      </c>
      <c r="O928" s="6" t="str">
        <f ca="1">IFERROR(__xludf.DUMMYFUNCTION("""COMPUTED_VALUE"""),"Dra, Estefania Miranda Sánchez")</f>
        <v>Dra, Estefania Miranda Sánchez</v>
      </c>
      <c r="P928" s="6" t="str">
        <f ca="1">IFERROR(__xludf.DUMMYFUNCTION("""COMPUTED_VALUE"""),"Maika Blázquez (Madrid)")</f>
        <v>Maika Blázquez (Madrid)</v>
      </c>
    </row>
    <row r="929" spans="2:16">
      <c r="B929" s="6">
        <f ca="1">IFERROR(__xludf.DUMMYFUNCTION("""COMPUTED_VALUE"""),2025)</f>
        <v>2025</v>
      </c>
      <c r="C929" s="6">
        <f ca="1">IFERROR(__xludf.DUMMYFUNCTION("""COMPUTED_VALUE"""),7)</f>
        <v>7</v>
      </c>
      <c r="D929" s="6" t="str">
        <f ca="1">IFERROR(__xludf.DUMMYFUNCTION("""COMPUTED_VALUE"""),"NO")</f>
        <v>NO</v>
      </c>
      <c r="E929" s="6" t="str">
        <f ca="1">IFERROR(__xludf.DUMMYFUNCTION("""COMPUTED_VALUE"""),"Talavera")</f>
        <v>Talavera</v>
      </c>
      <c r="F929" s="16">
        <f ca="1">IFERROR(__xludf.DUMMYFUNCTION("""COMPUTED_VALUE"""),45842)</f>
        <v>45842</v>
      </c>
      <c r="G929" s="16">
        <f ca="1">IFERROR(__xludf.DUMMYFUNCTION("""COMPUTED_VALUE"""),45804)</f>
        <v>45804</v>
      </c>
      <c r="H929" s="6" t="str">
        <f ca="1">IFERROR(__xludf.DUMMYFUNCTION("""COMPUTED_VALUE"""),"Talavera")</f>
        <v>Talavera</v>
      </c>
      <c r="I929" s="6" t="str">
        <f ca="1">IFERROR(__xludf.DUMMYFUNCTION("""COMPUTED_VALUE"""),"C202552711150180")</f>
        <v>C202552711150180</v>
      </c>
      <c r="J929" s="6" t="str">
        <f ca="1">IFERROR(__xludf.DUMMYFUNCTION("""COMPUTED_VALUE"""),"GERMAN VEGA FERNANDEZ")</f>
        <v>GERMAN VEGA FERNANDEZ</v>
      </c>
      <c r="K929" s="6">
        <f ca="1">IFERROR(__xludf.DUMMYFUNCTION("""COMPUTED_VALUE"""),2)</f>
        <v>2</v>
      </c>
      <c r="L929" s="139">
        <f ca="1">IFERROR(__xludf.DUMMYFUNCTION("""COMPUTED_VALUE"""),4000)</f>
        <v>4000</v>
      </c>
      <c r="M929" s="6" t="str">
        <f ca="1">IFERROR(__xludf.DUMMYFUNCTION("""COMPUTED_VALUE"""),"03 ORL")</f>
        <v>03 ORL</v>
      </c>
      <c r="N929" s="6" t="str">
        <f ca="1">IFERROR(__xludf.DUMMYFUNCTION("""COMPUTED_VALUE"""),"06 ORL")</f>
        <v>06 ORL</v>
      </c>
      <c r="O929" s="6" t="str">
        <f ca="1">IFERROR(__xludf.DUMMYFUNCTION("""COMPUTED_VALUE"""),"Dra, Ainhoa Moreno Bravo")</f>
        <v>Dra, Ainhoa Moreno Bravo</v>
      </c>
      <c r="P929" s="6" t="str">
        <f ca="1">IFERROR(__xludf.DUMMYFUNCTION("""COMPUTED_VALUE"""),"Lisandro Russian (Madrid, Cáceres, Toledo, Talavera Y Logroño)")</f>
        <v>Lisandro Russian (Madrid, Cáceres, Toledo, Talavera Y Logroño)</v>
      </c>
    </row>
    <row r="930" spans="2:16">
      <c r="B930" s="6">
        <f ca="1">IFERROR(__xludf.DUMMYFUNCTION("""COMPUTED_VALUE"""),2025)</f>
        <v>2025</v>
      </c>
      <c r="C930" s="6">
        <f ca="1">IFERROR(__xludf.DUMMYFUNCTION("""COMPUTED_VALUE"""),7)</f>
        <v>7</v>
      </c>
      <c r="D930" s="6" t="str">
        <f ca="1">IFERROR(__xludf.DUMMYFUNCTION("""COMPUTED_VALUE"""),"NO")</f>
        <v>NO</v>
      </c>
      <c r="E930" s="6" t="str">
        <f ca="1">IFERROR(__xludf.DUMMYFUNCTION("""COMPUTED_VALUE"""),"Alcorcón")</f>
        <v>Alcorcón</v>
      </c>
      <c r="F930" s="16">
        <f ca="1">IFERROR(__xludf.DUMMYFUNCTION("""COMPUTED_VALUE"""),45840)</f>
        <v>45840</v>
      </c>
      <c r="G930" s="16">
        <f ca="1">IFERROR(__xludf.DUMMYFUNCTION("""COMPUTED_VALUE"""),45810)</f>
        <v>45810</v>
      </c>
      <c r="H930" s="6" t="str">
        <f ca="1">IFERROR(__xludf.DUMMYFUNCTION("""COMPUTED_VALUE"""),"Alcorcón")</f>
        <v>Alcorcón</v>
      </c>
      <c r="I930" s="6" t="str">
        <f ca="1">IFERROR(__xludf.DUMMYFUNCTION("""COMPUTED_VALUE"""),"C20256616449783")</f>
        <v>C20256616449783</v>
      </c>
      <c r="J930" s="6" t="str">
        <f ca="1">IFERROR(__xludf.DUMMYFUNCTION("""COMPUTED_VALUE"""),"INES BESCOS CALVO")</f>
        <v>INES BESCOS CALVO</v>
      </c>
      <c r="K930" s="6">
        <f ca="1">IFERROR(__xludf.DUMMYFUNCTION("""COMPUTED_VALUE"""),2)</f>
        <v>2</v>
      </c>
      <c r="L930" s="139">
        <f ca="1">IFERROR(__xludf.DUMMYFUNCTION("""COMPUTED_VALUE"""),2888.18)</f>
        <v>2888.18</v>
      </c>
      <c r="M930" s="6" t="str">
        <f ca="1">IFERROR(__xludf.DUMMYFUNCTION("""COMPUTED_VALUE"""),"03 ORL")</f>
        <v>03 ORL</v>
      </c>
      <c r="N930" s="6" t="str">
        <f ca="1">IFERROR(__xludf.DUMMYFUNCTION("""COMPUTED_VALUE"""),"06 ORL")</f>
        <v>06 ORL</v>
      </c>
      <c r="O930" s="6" t="str">
        <f ca="1">IFERROR(__xludf.DUMMYFUNCTION("""COMPUTED_VALUE"""),"Dr, Adolfo Toledano Muñoz")</f>
        <v>Dr, Adolfo Toledano Muñoz</v>
      </c>
      <c r="P930" s="6" t="str">
        <f ca="1">IFERROR(__xludf.DUMMYFUNCTION("""COMPUTED_VALUE"""),"Maika Blázquez (Madrid)")</f>
        <v>Maika Blázquez (Madrid)</v>
      </c>
    </row>
    <row r="931" spans="2:16">
      <c r="B931" s="6">
        <f ca="1">IFERROR(__xludf.DUMMYFUNCTION("""COMPUTED_VALUE"""),2025)</f>
        <v>2025</v>
      </c>
      <c r="C931" s="6">
        <f ca="1">IFERROR(__xludf.DUMMYFUNCTION("""COMPUTED_VALUE"""),7)</f>
        <v>7</v>
      </c>
      <c r="D931" s="6" t="str">
        <f ca="1">IFERROR(__xludf.DUMMYFUNCTION("""COMPUTED_VALUE"""),"NO")</f>
        <v>NO</v>
      </c>
      <c r="E931" s="6" t="str">
        <f ca="1">IFERROR(__xludf.DUMMYFUNCTION("""COMPUTED_VALUE"""),"Santiago de Compostela")</f>
        <v>Santiago de Compostela</v>
      </c>
      <c r="F931" s="16">
        <f ca="1">IFERROR(__xludf.DUMMYFUNCTION("""COMPUTED_VALUE"""),45861)</f>
        <v>45861</v>
      </c>
      <c r="G931" s="16">
        <f ca="1">IFERROR(__xludf.DUMMYFUNCTION("""COMPUTED_VALUE"""),45841)</f>
        <v>45841</v>
      </c>
      <c r="H931" s="6" t="str">
        <f ca="1">IFERROR(__xludf.DUMMYFUNCTION("""COMPUTED_VALUE"""),"Santiago")</f>
        <v>Santiago</v>
      </c>
      <c r="I931" s="6" t="str">
        <f ca="1">IFERROR(__xludf.DUMMYFUNCTION("""COMPUTED_VALUE"""),"C202573103659476")</f>
        <v>C202573103659476</v>
      </c>
      <c r="J931" s="6" t="str">
        <f ca="1">IFERROR(__xludf.DUMMYFUNCTION("""COMPUTED_VALUE"""),"INES OUBEL SOUTO")</f>
        <v>INES OUBEL SOUTO</v>
      </c>
      <c r="K931" s="6">
        <f ca="1">IFERROR(__xludf.DUMMYFUNCTION("""COMPUTED_VALUE"""),1)</f>
        <v>1</v>
      </c>
      <c r="L931" s="139">
        <f ca="1">IFERROR(__xludf.DUMMYFUNCTION("""COMPUTED_VALUE"""),2400)</f>
        <v>2400</v>
      </c>
      <c r="M931" s="6" t="str">
        <f ca="1">IFERROR(__xludf.DUMMYFUNCTION("""COMPUTED_VALUE"""),"03 ORL")</f>
        <v>03 ORL</v>
      </c>
      <c r="N931" s="6" t="str">
        <f ca="1">IFERROR(__xludf.DUMMYFUNCTION("""COMPUTED_VALUE"""),"06 ORL")</f>
        <v>06 ORL</v>
      </c>
      <c r="O931" s="6" t="str">
        <f ca="1">IFERROR(__xludf.DUMMYFUNCTION("""COMPUTED_VALUE"""),"Dr, Carlos Vidal Redondo")</f>
        <v>Dr, Carlos Vidal Redondo</v>
      </c>
      <c r="P931" s="6" t="str">
        <f ca="1">IFERROR(__xludf.DUMMYFUNCTION("""COMPUTED_VALUE"""),"Roberto Pereira (Galicia)")</f>
        <v>Roberto Pereira (Galicia)</v>
      </c>
    </row>
    <row r="932" spans="2:16">
      <c r="B932" s="6">
        <f ca="1">IFERROR(__xludf.DUMMYFUNCTION("""COMPUTED_VALUE"""),2025)</f>
        <v>2025</v>
      </c>
      <c r="C932" s="6">
        <f ca="1">IFERROR(__xludf.DUMMYFUNCTION("""COMPUTED_VALUE"""),7)</f>
        <v>7</v>
      </c>
      <c r="D932" s="6" t="str">
        <f ca="1">IFERROR(__xludf.DUMMYFUNCTION("""COMPUTED_VALUE"""),"NO")</f>
        <v>NO</v>
      </c>
      <c r="E932" s="6" t="str">
        <f ca="1">IFERROR(__xludf.DUMMYFUNCTION("""COMPUTED_VALUE"""),"Sevilla- Montoto")</f>
        <v>Sevilla- Montoto</v>
      </c>
      <c r="F932" s="16">
        <f ca="1">IFERROR(__xludf.DUMMYFUNCTION("""COMPUTED_VALUE"""),45854)</f>
        <v>45854</v>
      </c>
      <c r="G932" s="16">
        <f ca="1">IFERROR(__xludf.DUMMYFUNCTION("""COMPUTED_VALUE"""),45828)</f>
        <v>45828</v>
      </c>
      <c r="H932" s="6" t="str">
        <f ca="1">IFERROR(__xludf.DUMMYFUNCTION("""COMPUTED_VALUE"""),"Montoto")</f>
        <v>Montoto</v>
      </c>
      <c r="I932" s="6" t="str">
        <f ca="1">IFERROR(__xludf.DUMMYFUNCTION("""COMPUTED_VALUE"""),"C202562693658351")</f>
        <v>C202562693658351</v>
      </c>
      <c r="J932" s="6" t="str">
        <f ca="1">IFERROR(__xludf.DUMMYFUNCTION("""COMPUTED_VALUE"""),"ISABEL NIETO GARCIA")</f>
        <v>ISABEL NIETO GARCIA</v>
      </c>
      <c r="K932" s="6">
        <f ca="1">IFERROR(__xludf.DUMMYFUNCTION("""COMPUTED_VALUE"""),2)</f>
        <v>2</v>
      </c>
      <c r="L932" s="139">
        <f ca="1">IFERROR(__xludf.DUMMYFUNCTION("""COMPUTED_VALUE"""),4531.82)</f>
        <v>4531.82</v>
      </c>
      <c r="M932" s="6" t="str">
        <f ca="1">IFERROR(__xludf.DUMMYFUNCTION("""COMPUTED_VALUE"""),"03 ORL")</f>
        <v>03 ORL</v>
      </c>
      <c r="N932" s="6" t="str">
        <f ca="1">IFERROR(__xludf.DUMMYFUNCTION("""COMPUTED_VALUE"""),"06 ORL")</f>
        <v>06 ORL</v>
      </c>
      <c r="O932" s="6" t="str">
        <f ca="1">IFERROR(__xludf.DUMMYFUNCTION("""COMPUTED_VALUE"""),"Dra, Mercedes Ceballos Cauto")</f>
        <v>Dra, Mercedes Ceballos Cauto</v>
      </c>
      <c r="P932" s="6" t="str">
        <f ca="1">IFERROR(__xludf.DUMMYFUNCTION("""COMPUTED_VALUE"""),"Luis Alberto Rodríguez (Andalucía y Badajoz)")</f>
        <v>Luis Alberto Rodríguez (Andalucía y Badajoz)</v>
      </c>
    </row>
    <row r="933" spans="2:16">
      <c r="B933" s="6">
        <f ca="1">IFERROR(__xludf.DUMMYFUNCTION("""COMPUTED_VALUE"""),2025)</f>
        <v>2025</v>
      </c>
      <c r="C933" s="6">
        <f ca="1">IFERROR(__xludf.DUMMYFUNCTION("""COMPUTED_VALUE"""),7)</f>
        <v>7</v>
      </c>
      <c r="D933" s="6" t="str">
        <f ca="1">IFERROR(__xludf.DUMMYFUNCTION("""COMPUTED_VALUE"""),"NO")</f>
        <v>NO</v>
      </c>
      <c r="E933" s="6" t="str">
        <f ca="1">IFERROR(__xludf.DUMMYFUNCTION("""COMPUTED_VALUE"""),"Leganés")</f>
        <v>Leganés</v>
      </c>
      <c r="F933" s="16">
        <f ca="1">IFERROR(__xludf.DUMMYFUNCTION("""COMPUTED_VALUE"""),45848)</f>
        <v>45848</v>
      </c>
      <c r="G933" s="16">
        <f ca="1">IFERROR(__xludf.DUMMYFUNCTION("""COMPUTED_VALUE"""),45814)</f>
        <v>45814</v>
      </c>
      <c r="H933" s="6" t="str">
        <f ca="1">IFERROR(__xludf.DUMMYFUNCTION("""COMPUTED_VALUE"""),"Leganés")</f>
        <v>Leganés</v>
      </c>
      <c r="I933" s="6" t="str">
        <f ca="1">IFERROR(__xludf.DUMMYFUNCTION("""COMPUTED_VALUE"""),"C202561118242430")</f>
        <v>C202561118242430</v>
      </c>
      <c r="J933" s="6" t="str">
        <f ca="1">IFERROR(__xludf.DUMMYFUNCTION("""COMPUTED_VALUE"""),"ISIDRO BARBA GALLEGO")</f>
        <v>ISIDRO BARBA GALLEGO</v>
      </c>
      <c r="K933" s="6">
        <f ca="1">IFERROR(__xludf.DUMMYFUNCTION("""COMPUTED_VALUE"""),2)</f>
        <v>2</v>
      </c>
      <c r="L933" s="139">
        <f ca="1">IFERROR(__xludf.DUMMYFUNCTION("""COMPUTED_VALUE"""),2722.73)</f>
        <v>2722.73</v>
      </c>
      <c r="M933" s="6" t="str">
        <f ca="1">IFERROR(__xludf.DUMMYFUNCTION("""COMPUTED_VALUE"""),"03 ORL")</f>
        <v>03 ORL</v>
      </c>
      <c r="N933" s="6" t="str">
        <f ca="1">IFERROR(__xludf.DUMMYFUNCTION("""COMPUTED_VALUE"""),"06 ORL")</f>
        <v>06 ORL</v>
      </c>
      <c r="O933" s="6" t="str">
        <f ca="1">IFERROR(__xludf.DUMMYFUNCTION("""COMPUTED_VALUE"""),"Dra, Patricia García Vicente")</f>
        <v>Dra, Patricia García Vicente</v>
      </c>
      <c r="P933" s="6" t="str">
        <f ca="1">IFERROR(__xludf.DUMMYFUNCTION("""COMPUTED_VALUE"""),"Maika Blázquez (Madrid)")</f>
        <v>Maika Blázquez (Madrid)</v>
      </c>
    </row>
    <row r="934" spans="2:16">
      <c r="B934" s="6">
        <f ca="1">IFERROR(__xludf.DUMMYFUNCTION("""COMPUTED_VALUE"""),2025)</f>
        <v>2025</v>
      </c>
      <c r="C934" s="6">
        <f ca="1">IFERROR(__xludf.DUMMYFUNCTION("""COMPUTED_VALUE"""),7)</f>
        <v>7</v>
      </c>
      <c r="D934" s="6" t="str">
        <f ca="1">IFERROR(__xludf.DUMMYFUNCTION("""COMPUTED_VALUE"""),"NO")</f>
        <v>NO</v>
      </c>
      <c r="E934" s="6" t="str">
        <f ca="1">IFERROR(__xludf.DUMMYFUNCTION("""COMPUTED_VALUE"""),"Orihuela")</f>
        <v>Orihuela</v>
      </c>
      <c r="F934" s="16">
        <f ca="1">IFERROR(__xludf.DUMMYFUNCTION("""COMPUTED_VALUE"""),45846)</f>
        <v>45846</v>
      </c>
      <c r="G934" s="16">
        <f ca="1">IFERROR(__xludf.DUMMYFUNCTION("""COMPUTED_VALUE"""),45827)</f>
        <v>45827</v>
      </c>
      <c r="H934" s="6" t="str">
        <f ca="1">IFERROR(__xludf.DUMMYFUNCTION("""COMPUTED_VALUE"""),"La Zenia")</f>
        <v>La Zenia</v>
      </c>
      <c r="I934" s="6" t="str">
        <f ca="1">IFERROR(__xludf.DUMMYFUNCTION("""COMPUTED_VALUE"""),"C202562015519620")</f>
        <v>C202562015519620</v>
      </c>
      <c r="J934" s="6" t="str">
        <f ca="1">IFERROR(__xludf.DUMMYFUNCTION("""COMPUTED_VALUE"""),"JACQUELINE DENISE PRIOR")</f>
        <v>JACQUELINE DENISE PRIOR</v>
      </c>
      <c r="K934" s="6">
        <f ca="1">IFERROR(__xludf.DUMMYFUNCTION("""COMPUTED_VALUE"""),1)</f>
        <v>1</v>
      </c>
      <c r="L934" s="139">
        <f ca="1">IFERROR(__xludf.DUMMYFUNCTION("""COMPUTED_VALUE"""),2400)</f>
        <v>2400</v>
      </c>
      <c r="M934" s="6" t="str">
        <f ca="1">IFERROR(__xludf.DUMMYFUNCTION("""COMPUTED_VALUE"""),"03 ORL")</f>
        <v>03 ORL</v>
      </c>
      <c r="N934" s="6" t="str">
        <f ca="1">IFERROR(__xludf.DUMMYFUNCTION("""COMPUTED_VALUE"""),"06 ORL")</f>
        <v>06 ORL</v>
      </c>
      <c r="O934" s="6" t="str">
        <f ca="1">IFERROR(__xludf.DUMMYFUNCTION("""COMPUTED_VALUE"""),"Dr, José García Morillas")</f>
        <v>Dr, José García Morillas</v>
      </c>
      <c r="P934" s="6" t="str">
        <f ca="1">IFERROR(__xludf.DUMMYFUNCTION("""COMPUTED_VALUE"""),"Iván Sánchez (Levante Y Albacete)")</f>
        <v>Iván Sánchez (Levante Y Albacete)</v>
      </c>
    </row>
    <row r="935" spans="2:16">
      <c r="B935" s="6">
        <f ca="1">IFERROR(__xludf.DUMMYFUNCTION("""COMPUTED_VALUE"""),2025)</f>
        <v>2025</v>
      </c>
      <c r="C935" s="6">
        <f ca="1">IFERROR(__xludf.DUMMYFUNCTION("""COMPUTED_VALUE"""),7)</f>
        <v>7</v>
      </c>
      <c r="D935" s="6" t="str">
        <f ca="1">IFERROR(__xludf.DUMMYFUNCTION("""COMPUTED_VALUE"""),"NO")</f>
        <v>NO</v>
      </c>
      <c r="E935" s="6" t="str">
        <f ca="1">IFERROR(__xludf.DUMMYFUNCTION("""COMPUTED_VALUE"""),"San Javier")</f>
        <v>San Javier</v>
      </c>
      <c r="F935" s="16">
        <f ca="1">IFERROR(__xludf.DUMMYFUNCTION("""COMPUTED_VALUE"""),45862)</f>
        <v>45862</v>
      </c>
      <c r="G935" s="16">
        <f ca="1">IFERROR(__xludf.DUMMYFUNCTION("""COMPUTED_VALUE"""),45838)</f>
        <v>45838</v>
      </c>
      <c r="H935" s="6" t="str">
        <f ca="1">IFERROR(__xludf.DUMMYFUNCTION("""COMPUTED_VALUE"""),"San Javier")</f>
        <v>San Javier</v>
      </c>
      <c r="I935" s="6" t="str">
        <f ca="1">IFERROR(__xludf.DUMMYFUNCTION("""COMPUTED_VALUE"""),"C202571184852573")</f>
        <v>C202571184852573</v>
      </c>
      <c r="J935" s="6" t="str">
        <f ca="1">IFERROR(__xludf.DUMMYFUNCTION("""COMPUTED_VALUE"""),"JESUS HILARIO GARCIA SANCHEZ")</f>
        <v>JESUS HILARIO GARCIA SANCHEZ</v>
      </c>
      <c r="K935" s="6">
        <f ca="1">IFERROR(__xludf.DUMMYFUNCTION("""COMPUTED_VALUE"""),1)</f>
        <v>1</v>
      </c>
      <c r="L935" s="139">
        <f ca="1">IFERROR(__xludf.DUMMYFUNCTION("""COMPUTED_VALUE"""),2292.73)</f>
        <v>2292.73</v>
      </c>
      <c r="M935" s="6" t="str">
        <f ca="1">IFERROR(__xludf.DUMMYFUNCTION("""COMPUTED_VALUE"""),"03 ORL")</f>
        <v>03 ORL</v>
      </c>
      <c r="N935" s="6" t="str">
        <f ca="1">IFERROR(__xludf.DUMMYFUNCTION("""COMPUTED_VALUE"""),"06 ORL")</f>
        <v>06 ORL</v>
      </c>
      <c r="O935" s="6" t="str">
        <f ca="1">IFERROR(__xludf.DUMMYFUNCTION("""COMPUTED_VALUE"""),"Dra, Elena Sevilla Heras")</f>
        <v>Dra, Elena Sevilla Heras</v>
      </c>
      <c r="P935" s="6" t="str">
        <f ca="1">IFERROR(__xludf.DUMMYFUNCTION("""COMPUTED_VALUE"""),"Iván Sánchez (Levante Y Albacete)")</f>
        <v>Iván Sánchez (Levante Y Albacete)</v>
      </c>
    </row>
    <row r="936" spans="2:16">
      <c r="B936" s="6">
        <f ca="1">IFERROR(__xludf.DUMMYFUNCTION("""COMPUTED_VALUE"""),2025)</f>
        <v>2025</v>
      </c>
      <c r="C936" s="6">
        <f ca="1">IFERROR(__xludf.DUMMYFUNCTION("""COMPUTED_VALUE"""),7)</f>
        <v>7</v>
      </c>
      <c r="D936" s="6" t="str">
        <f ca="1">IFERROR(__xludf.DUMMYFUNCTION("""COMPUTED_VALUE"""),"NO")</f>
        <v>NO</v>
      </c>
      <c r="E936" s="6" t="str">
        <f ca="1">IFERROR(__xludf.DUMMYFUNCTION("""COMPUTED_VALUE"""),"Valencia- Parra")</f>
        <v>Valencia- Parra</v>
      </c>
      <c r="F936" s="16">
        <f ca="1">IFERROR(__xludf.DUMMYFUNCTION("""COMPUTED_VALUE"""),45839)</f>
        <v>45839</v>
      </c>
      <c r="G936" s="16">
        <f ca="1">IFERROR(__xludf.DUMMYFUNCTION("""COMPUTED_VALUE"""),45742)</f>
        <v>45742</v>
      </c>
      <c r="H936" s="6" t="str">
        <f ca="1">IFERROR(__xludf.DUMMYFUNCTION("""COMPUTED_VALUE"""),"Valencia- Parra")</f>
        <v>Valencia- Parra</v>
      </c>
      <c r="I936" s="6" t="str">
        <f ca="1">IFERROR(__xludf.DUMMYFUNCTION("""COMPUTED_VALUE"""),"C202543173952676")</f>
        <v>C202543173952676</v>
      </c>
      <c r="J936" s="6" t="str">
        <f ca="1">IFERROR(__xludf.DUMMYFUNCTION("""COMPUTED_VALUE"""),"JORGE ARTURO ALONSO BERZOSA")</f>
        <v>JORGE ARTURO ALONSO BERZOSA</v>
      </c>
      <c r="K936" s="6">
        <f ca="1">IFERROR(__xludf.DUMMYFUNCTION("""COMPUTED_VALUE"""),1)</f>
        <v>1</v>
      </c>
      <c r="L936" s="139">
        <f ca="1">IFERROR(__xludf.DUMMYFUNCTION("""COMPUTED_VALUE"""),2640)</f>
        <v>2640</v>
      </c>
      <c r="M936" s="6" t="str">
        <f ca="1">IFERROR(__xludf.DUMMYFUNCTION("""COMPUTED_VALUE"""),"03 ORL")</f>
        <v>03 ORL</v>
      </c>
      <c r="N936" s="6" t="str">
        <f ca="1">IFERROR(__xludf.DUMMYFUNCTION("""COMPUTED_VALUE"""),"06 ORL")</f>
        <v>06 ORL</v>
      </c>
      <c r="O936" s="6" t="str">
        <f ca="1">IFERROR(__xludf.DUMMYFUNCTION("""COMPUTED_VALUE"""),"Dr, Álvaro Pérez Llinares")</f>
        <v>Dr, Álvaro Pérez Llinares</v>
      </c>
      <c r="P936" s="6" t="str">
        <f ca="1">IFERROR(__xludf.DUMMYFUNCTION("""COMPUTED_VALUE"""),"Ramon Ferrando(Valencia)")</f>
        <v>Ramon Ferrando(Valencia)</v>
      </c>
    </row>
    <row r="937" spans="2:16">
      <c r="B937" s="6">
        <f ca="1">IFERROR(__xludf.DUMMYFUNCTION("""COMPUTED_VALUE"""),2025)</f>
        <v>2025</v>
      </c>
      <c r="C937" s="6">
        <f ca="1">IFERROR(__xludf.DUMMYFUNCTION("""COMPUTED_VALUE"""),7)</f>
        <v>7</v>
      </c>
      <c r="D937" s="6" t="str">
        <f ca="1">IFERROR(__xludf.DUMMYFUNCTION("""COMPUTED_VALUE"""),"NO")</f>
        <v>NO</v>
      </c>
      <c r="E937" s="6" t="str">
        <f ca="1">IFERROR(__xludf.DUMMYFUNCTION("""COMPUTED_VALUE"""),"Murcia")</f>
        <v>Murcia</v>
      </c>
      <c r="F937" s="16">
        <f ca="1">IFERROR(__xludf.DUMMYFUNCTION("""COMPUTED_VALUE"""),45863)</f>
        <v>45863</v>
      </c>
      <c r="G937" s="16">
        <f ca="1">IFERROR(__xludf.DUMMYFUNCTION("""COMPUTED_VALUE"""),45847)</f>
        <v>45847</v>
      </c>
      <c r="H937" s="6" t="str">
        <f ca="1">IFERROR(__xludf.DUMMYFUNCTION("""COMPUTED_VALUE"""),"Murcia")</f>
        <v>Murcia</v>
      </c>
      <c r="I937" s="6" t="str">
        <f ca="1">IFERROR(__xludf.DUMMYFUNCTION("""COMPUTED_VALUE"""),"C202579164940333")</f>
        <v>C202579164940333</v>
      </c>
      <c r="J937" s="6" t="str">
        <f ca="1">IFERROR(__xludf.DUMMYFUNCTION("""COMPUTED_VALUE"""),"JOSE ANTONIO MERENCIANO LOPEZ")</f>
        <v>JOSE ANTONIO MERENCIANO LOPEZ</v>
      </c>
      <c r="K937" s="6">
        <f ca="1">IFERROR(__xludf.DUMMYFUNCTION("""COMPUTED_VALUE"""),2)</f>
        <v>2</v>
      </c>
      <c r="L937" s="139">
        <f ca="1">IFERROR(__xludf.DUMMYFUNCTION("""COMPUTED_VALUE"""),2582.73)</f>
        <v>2582.73</v>
      </c>
      <c r="M937" s="6" t="str">
        <f ca="1">IFERROR(__xludf.DUMMYFUNCTION("""COMPUTED_VALUE"""),"03 ORL")</f>
        <v>03 ORL</v>
      </c>
      <c r="N937" s="6" t="str">
        <f ca="1">IFERROR(__xludf.DUMMYFUNCTION("""COMPUTED_VALUE"""),"06 ORL")</f>
        <v>06 ORL</v>
      </c>
      <c r="O937" s="6" t="str">
        <f ca="1">IFERROR(__xludf.DUMMYFUNCTION("""COMPUTED_VALUE"""),"No recuerda ORL")</f>
        <v>No recuerda ORL</v>
      </c>
      <c r="P937" s="6" t="str">
        <f ca="1">IFERROR(__xludf.DUMMYFUNCTION("""COMPUTED_VALUE"""),"Iván Sánchez (Levante Y Albacete)")</f>
        <v>Iván Sánchez (Levante Y Albacete)</v>
      </c>
    </row>
    <row r="938" spans="2:16">
      <c r="B938" s="6">
        <f ca="1">IFERROR(__xludf.DUMMYFUNCTION("""COMPUTED_VALUE"""),2025)</f>
        <v>2025</v>
      </c>
      <c r="C938" s="6">
        <f ca="1">IFERROR(__xludf.DUMMYFUNCTION("""COMPUTED_VALUE"""),7)</f>
        <v>7</v>
      </c>
      <c r="D938" s="6" t="str">
        <f ca="1">IFERROR(__xludf.DUMMYFUNCTION("""COMPUTED_VALUE"""),"NO")</f>
        <v>NO</v>
      </c>
      <c r="E938" s="6" t="str">
        <f ca="1">IFERROR(__xludf.DUMMYFUNCTION("""COMPUTED_VALUE"""),"Hospitalet de Llobregat")</f>
        <v>Hospitalet de Llobregat</v>
      </c>
      <c r="F938" s="16">
        <f ca="1">IFERROR(__xludf.DUMMYFUNCTION("""COMPUTED_VALUE"""),45842)</f>
        <v>45842</v>
      </c>
      <c r="G938" s="16">
        <f ca="1">IFERROR(__xludf.DUMMYFUNCTION("""COMPUTED_VALUE"""),45806)</f>
        <v>45806</v>
      </c>
      <c r="H938" s="6" t="str">
        <f ca="1">IFERROR(__xludf.DUMMYFUNCTION("""COMPUTED_VALUE"""),"Hospitalet")</f>
        <v>Hospitalet</v>
      </c>
      <c r="I938" s="6" t="str">
        <f ca="1">IFERROR(__xludf.DUMMYFUNCTION("""COMPUTED_VALUE"""),"C202565103355633")</f>
        <v>C202565103355633</v>
      </c>
      <c r="J938" s="6" t="str">
        <f ca="1">IFERROR(__xludf.DUMMYFUNCTION("""COMPUTED_VALUE"""),"Jose Antonio Polanco Mora")</f>
        <v>Jose Antonio Polanco Mora</v>
      </c>
      <c r="K938" s="6">
        <f ca="1">IFERROR(__xludf.DUMMYFUNCTION("""COMPUTED_VALUE"""),2)</f>
        <v>2</v>
      </c>
      <c r="L938" s="139">
        <f ca="1">IFERROR(__xludf.DUMMYFUNCTION("""COMPUTED_VALUE"""),2586.59)</f>
        <v>2586.59</v>
      </c>
      <c r="M938" s="6" t="str">
        <f ca="1">IFERROR(__xludf.DUMMYFUNCTION("""COMPUTED_VALUE"""),"03 ORL")</f>
        <v>03 ORL</v>
      </c>
      <c r="N938" s="6" t="str">
        <f ca="1">IFERROR(__xludf.DUMMYFUNCTION("""COMPUTED_VALUE"""),"06 ORL")</f>
        <v>06 ORL</v>
      </c>
      <c r="O938" s="6" t="str">
        <f ca="1">IFERROR(__xludf.DUMMYFUNCTION("""COMPUTED_VALUE"""),"Dr, Jesus-Maria Grasa Pérez")</f>
        <v>Dr, Jesus-Maria Grasa Pérez</v>
      </c>
      <c r="P938" s="6" t="str">
        <f ca="1">IFERROR(__xludf.DUMMYFUNCTION("""COMPUTED_VALUE"""),"Mercè Cabrera (Cataluña Y Baleares)")</f>
        <v>Mercè Cabrera (Cataluña Y Baleares)</v>
      </c>
    </row>
    <row r="939" spans="2:16">
      <c r="B939" s="6">
        <f ca="1">IFERROR(__xludf.DUMMYFUNCTION("""COMPUTED_VALUE"""),2025)</f>
        <v>2025</v>
      </c>
      <c r="C939" s="6">
        <f ca="1">IFERROR(__xludf.DUMMYFUNCTION("""COMPUTED_VALUE"""),7)</f>
        <v>7</v>
      </c>
      <c r="D939" s="6" t="str">
        <f ca="1">IFERROR(__xludf.DUMMYFUNCTION("""COMPUTED_VALUE"""),"NO")</f>
        <v>NO</v>
      </c>
      <c r="E939" s="6" t="str">
        <f ca="1">IFERROR(__xludf.DUMMYFUNCTION("""COMPUTED_VALUE"""),"Madrid- Monforte de Lemos")</f>
        <v>Madrid- Monforte de Lemos</v>
      </c>
      <c r="F939" s="16">
        <f ca="1">IFERROR(__xludf.DUMMYFUNCTION("""COMPUTED_VALUE"""),45839)</f>
        <v>45839</v>
      </c>
      <c r="G939" s="16">
        <f ca="1">IFERROR(__xludf.DUMMYFUNCTION("""COMPUTED_VALUE"""),45819)</f>
        <v>45819</v>
      </c>
      <c r="H939" s="6" t="str">
        <f ca="1">IFERROR(__xludf.DUMMYFUNCTION("""COMPUTED_VALUE"""),"La Vaguada")</f>
        <v>La Vaguada</v>
      </c>
      <c r="I939" s="6" t="str">
        <f ca="1">IFERROR(__xludf.DUMMYFUNCTION("""COMPUTED_VALUE"""),"C2025616163711349")</f>
        <v>C2025616163711349</v>
      </c>
      <c r="J939" s="6" t="str">
        <f ca="1">IFERROR(__xludf.DUMMYFUNCTION("""COMPUTED_VALUE"""),"JOSE MARIA DE MORETA GARCIA")</f>
        <v>JOSE MARIA DE MORETA GARCIA</v>
      </c>
      <c r="K939" s="6">
        <f ca="1">IFERROR(__xludf.DUMMYFUNCTION("""COMPUTED_VALUE"""),2)</f>
        <v>2</v>
      </c>
      <c r="L939" s="139">
        <f ca="1">IFERROR(__xludf.DUMMYFUNCTION("""COMPUTED_VALUE"""),3574.55)</f>
        <v>3574.55</v>
      </c>
      <c r="M939" s="6" t="str">
        <f ca="1">IFERROR(__xludf.DUMMYFUNCTION("""COMPUTED_VALUE"""),"03 ORL")</f>
        <v>03 ORL</v>
      </c>
      <c r="N939" s="6" t="str">
        <f ca="1">IFERROR(__xludf.DUMMYFUNCTION("""COMPUTED_VALUE"""),"06 ORL")</f>
        <v>06 ORL</v>
      </c>
      <c r="O939" s="6" t="str">
        <f ca="1">IFERROR(__xludf.DUMMYFUNCTION("""COMPUTED_VALUE"""),"Dr, Guillermo San Juan de la Moreta")</f>
        <v>Dr, Guillermo San Juan de la Moreta</v>
      </c>
      <c r="P939" s="6" t="str">
        <f ca="1">IFERROR(__xludf.DUMMYFUNCTION("""COMPUTED_VALUE"""),"Maika Blázquez (Madrid)")</f>
        <v>Maika Blázquez (Madrid)</v>
      </c>
    </row>
    <row r="940" spans="2:16">
      <c r="B940" s="6">
        <f ca="1">IFERROR(__xludf.DUMMYFUNCTION("""COMPUTED_VALUE"""),2025)</f>
        <v>2025</v>
      </c>
      <c r="C940" s="6">
        <f ca="1">IFERROR(__xludf.DUMMYFUNCTION("""COMPUTED_VALUE"""),7)</f>
        <v>7</v>
      </c>
      <c r="D940" s="6" t="str">
        <f ca="1">IFERROR(__xludf.DUMMYFUNCTION("""COMPUTED_VALUE"""),"NO")</f>
        <v>NO</v>
      </c>
      <c r="E940" s="6" t="str">
        <f ca="1">IFERROR(__xludf.DUMMYFUNCTION("""COMPUTED_VALUE"""),"San Javier")</f>
        <v>San Javier</v>
      </c>
      <c r="F940" s="16">
        <f ca="1">IFERROR(__xludf.DUMMYFUNCTION("""COMPUTED_VALUE"""),45853)</f>
        <v>45853</v>
      </c>
      <c r="G940" s="16">
        <f ca="1">IFERROR(__xludf.DUMMYFUNCTION("""COMPUTED_VALUE"""),45831)</f>
        <v>45831</v>
      </c>
      <c r="H940" s="6" t="str">
        <f ca="1">IFERROR(__xludf.DUMMYFUNCTION("""COMPUTED_VALUE"""),"San Javier")</f>
        <v>San Javier</v>
      </c>
      <c r="I940" s="6" t="str">
        <f ca="1">IFERROR(__xludf.DUMMYFUNCTION("""COMPUTED_VALUE"""),"C2025626105110809")</f>
        <v>C2025626105110809</v>
      </c>
      <c r="J940" s="6" t="str">
        <f ca="1">IFERROR(__xludf.DUMMYFUNCTION("""COMPUTED_VALUE"""),"JOSE MARIA MARCELINO SOTILLO TORIJA")</f>
        <v>JOSE MARIA MARCELINO SOTILLO TORIJA</v>
      </c>
      <c r="K940" s="6">
        <f ca="1">IFERROR(__xludf.DUMMYFUNCTION("""COMPUTED_VALUE"""),2)</f>
        <v>2</v>
      </c>
      <c r="L940" s="139">
        <f ca="1">IFERROR(__xludf.DUMMYFUNCTION("""COMPUTED_VALUE"""),3730)</f>
        <v>3730</v>
      </c>
      <c r="M940" s="6" t="str">
        <f ca="1">IFERROR(__xludf.DUMMYFUNCTION("""COMPUTED_VALUE"""),"03 ORL")</f>
        <v>03 ORL</v>
      </c>
      <c r="N940" s="6" t="str">
        <f ca="1">IFERROR(__xludf.DUMMYFUNCTION("""COMPUTED_VALUE"""),"06 ORL")</f>
        <v>06 ORL</v>
      </c>
      <c r="O940" s="6" t="str">
        <f ca="1">IFERROR(__xludf.DUMMYFUNCTION("""COMPUTED_VALUE"""),"Dr, Alberto Raposo Jiménez")</f>
        <v>Dr, Alberto Raposo Jiménez</v>
      </c>
      <c r="P940" s="6" t="str">
        <f ca="1">IFERROR(__xludf.DUMMYFUNCTION("""COMPUTED_VALUE"""),"Iván Sánchez (Levante Y Albacete)")</f>
        <v>Iván Sánchez (Levante Y Albacete)</v>
      </c>
    </row>
    <row r="941" spans="2:16">
      <c r="B941" s="6">
        <f ca="1">IFERROR(__xludf.DUMMYFUNCTION("""COMPUTED_VALUE"""),2025)</f>
        <v>2025</v>
      </c>
      <c r="C941" s="6">
        <f ca="1">IFERROR(__xludf.DUMMYFUNCTION("""COMPUTED_VALUE"""),7)</f>
        <v>7</v>
      </c>
      <c r="D941" s="6" t="str">
        <f ca="1">IFERROR(__xludf.DUMMYFUNCTION("""COMPUTED_VALUE"""),"NO")</f>
        <v>NO</v>
      </c>
      <c r="E941" s="6" t="str">
        <f ca="1">IFERROR(__xludf.DUMMYFUNCTION("""COMPUTED_VALUE"""),"Madrid- Costa Rica")</f>
        <v>Madrid- Costa Rica</v>
      </c>
      <c r="F941" s="16">
        <f ca="1">IFERROR(__xludf.DUMMYFUNCTION("""COMPUTED_VALUE"""),45855)</f>
        <v>45855</v>
      </c>
      <c r="G941" s="16">
        <f ca="1">IFERROR(__xludf.DUMMYFUNCTION("""COMPUTED_VALUE"""),45824)</f>
        <v>45824</v>
      </c>
      <c r="H941" s="6" t="str">
        <f ca="1">IFERROR(__xludf.DUMMYFUNCTION("""COMPUTED_VALUE"""),"Costa Rica")</f>
        <v>Costa Rica</v>
      </c>
      <c r="I941" s="6" t="str">
        <f ca="1">IFERROR(__xludf.DUMMYFUNCTION("""COMPUTED_VALUE"""),"C2025618111733236")</f>
        <v>C2025618111733236</v>
      </c>
      <c r="J941" s="6" t="str">
        <f ca="1">IFERROR(__xludf.DUMMYFUNCTION("""COMPUTED_VALUE"""),"JOSE RAMON GIL NOVOA")</f>
        <v>JOSE RAMON GIL NOVOA</v>
      </c>
      <c r="K941" s="6">
        <f ca="1">IFERROR(__xludf.DUMMYFUNCTION("""COMPUTED_VALUE"""),2)</f>
        <v>2</v>
      </c>
      <c r="L941" s="139">
        <f ca="1">IFERROR(__xludf.DUMMYFUNCTION("""COMPUTED_VALUE"""),2888.18)</f>
        <v>2888.18</v>
      </c>
      <c r="M941" s="6" t="str">
        <f ca="1">IFERROR(__xludf.DUMMYFUNCTION("""COMPUTED_VALUE"""),"03 ORL")</f>
        <v>03 ORL</v>
      </c>
      <c r="N941" s="6" t="str">
        <f ca="1">IFERROR(__xludf.DUMMYFUNCTION("""COMPUTED_VALUE"""),"06 ORL")</f>
        <v>06 ORL</v>
      </c>
      <c r="O941" s="6" t="str">
        <f ca="1">IFERROR(__xludf.DUMMYFUNCTION("""COMPUTED_VALUE"""),"Dr, José Gustavo Barroso Braojos")</f>
        <v>Dr, José Gustavo Barroso Braojos</v>
      </c>
      <c r="P941" s="6" t="str">
        <f ca="1">IFERROR(__xludf.DUMMYFUNCTION("""COMPUTED_VALUE"""),"Maika Blázquez (Madrid)")</f>
        <v>Maika Blázquez (Madrid)</v>
      </c>
    </row>
    <row r="942" spans="2:16">
      <c r="B942" s="6">
        <f ca="1">IFERROR(__xludf.DUMMYFUNCTION("""COMPUTED_VALUE"""),2025)</f>
        <v>2025</v>
      </c>
      <c r="C942" s="6">
        <f ca="1">IFERROR(__xludf.DUMMYFUNCTION("""COMPUTED_VALUE"""),7)</f>
        <v>7</v>
      </c>
      <c r="D942" s="6" t="str">
        <f ca="1">IFERROR(__xludf.DUMMYFUNCTION("""COMPUTED_VALUE"""),"NO")</f>
        <v>NO</v>
      </c>
      <c r="E942" s="6" t="str">
        <f ca="1">IFERROR(__xludf.DUMMYFUNCTION("""COMPUTED_VALUE"""),"Lugo")</f>
        <v>Lugo</v>
      </c>
      <c r="F942" s="16">
        <f ca="1">IFERROR(__xludf.DUMMYFUNCTION("""COMPUTED_VALUE"""),45860)</f>
        <v>45860</v>
      </c>
      <c r="G942" s="16">
        <f ca="1">IFERROR(__xludf.DUMMYFUNCTION("""COMPUTED_VALUE"""),45811)</f>
        <v>45811</v>
      </c>
      <c r="H942" s="6" t="str">
        <f ca="1">IFERROR(__xludf.DUMMYFUNCTION("""COMPUTED_VALUE"""),"Lugo")</f>
        <v>Lugo</v>
      </c>
      <c r="I942" s="6" t="str">
        <f ca="1">IFERROR(__xludf.DUMMYFUNCTION("""COMPUTED_VALUE"""),"C202563171625513")</f>
        <v>C202563171625513</v>
      </c>
      <c r="J942" s="6" t="str">
        <f ca="1">IFERROR(__xludf.DUMMYFUNCTION("""COMPUTED_VALUE"""),"JOSEFA  GINZO FERNANDEZ")</f>
        <v>JOSEFA  GINZO FERNANDEZ</v>
      </c>
      <c r="K942" s="6">
        <f ca="1">IFERROR(__xludf.DUMMYFUNCTION("""COMPUTED_VALUE"""),1)</f>
        <v>1</v>
      </c>
      <c r="L942" s="139">
        <f ca="1">IFERROR(__xludf.DUMMYFUNCTION("""COMPUTED_VALUE"""),620.36)</f>
        <v>620.36</v>
      </c>
      <c r="M942" s="6" t="str">
        <f ca="1">IFERROR(__xludf.DUMMYFUNCTION("""COMPUTED_VALUE"""),"03 ORL")</f>
        <v>03 ORL</v>
      </c>
      <c r="N942" s="6" t="str">
        <f ca="1">IFERROR(__xludf.DUMMYFUNCTION("""COMPUTED_VALUE"""),"06 ORL")</f>
        <v>06 ORL</v>
      </c>
      <c r="O942" s="6" t="str">
        <f ca="1">IFERROR(__xludf.DUMMYFUNCTION("""COMPUTED_VALUE"""),"Dr, Pedro Juiz López")</f>
        <v>Dr, Pedro Juiz López</v>
      </c>
      <c r="P942" s="6" t="str">
        <f ca="1">IFERROR(__xludf.DUMMYFUNCTION("""COMPUTED_VALUE"""),"Roberto Pereira (Galicia)")</f>
        <v>Roberto Pereira (Galicia)</v>
      </c>
    </row>
    <row r="943" spans="2:16">
      <c r="B943" s="6">
        <f ca="1">IFERROR(__xludf.DUMMYFUNCTION("""COMPUTED_VALUE"""),2025)</f>
        <v>2025</v>
      </c>
      <c r="C943" s="6">
        <f ca="1">IFERROR(__xludf.DUMMYFUNCTION("""COMPUTED_VALUE"""),7)</f>
        <v>7</v>
      </c>
      <c r="D943" s="6" t="str">
        <f ca="1">IFERROR(__xludf.DUMMYFUNCTION("""COMPUTED_VALUE"""),"NO")</f>
        <v>NO</v>
      </c>
      <c r="E943" s="6" t="str">
        <f ca="1">IFERROR(__xludf.DUMMYFUNCTION("""COMPUTED_VALUE"""),"Leganés")</f>
        <v>Leganés</v>
      </c>
      <c r="F943" s="16">
        <f ca="1">IFERROR(__xludf.DUMMYFUNCTION("""COMPUTED_VALUE"""),45849)</f>
        <v>45849</v>
      </c>
      <c r="G943" s="16">
        <f ca="1">IFERROR(__xludf.DUMMYFUNCTION("""COMPUTED_VALUE"""),45819)</f>
        <v>45819</v>
      </c>
      <c r="H943" s="6" t="str">
        <f ca="1">IFERROR(__xludf.DUMMYFUNCTION("""COMPUTED_VALUE"""),"Leganés")</f>
        <v>Leganés</v>
      </c>
      <c r="I943" s="6" t="str">
        <f ca="1">IFERROR(__xludf.DUMMYFUNCTION("""COMPUTED_VALUE"""),"C202561718121172")</f>
        <v>C202561718121172</v>
      </c>
      <c r="J943" s="6" t="str">
        <f ca="1">IFERROR(__xludf.DUMMYFUNCTION("""COMPUTED_VALUE"""),"JOSEFA ISASIS JUAREZ")</f>
        <v>JOSEFA ISASIS JUAREZ</v>
      </c>
      <c r="K943" s="6">
        <f ca="1">IFERROR(__xludf.DUMMYFUNCTION("""COMPUTED_VALUE"""),2)</f>
        <v>2</v>
      </c>
      <c r="L943" s="139">
        <f ca="1">IFERROR(__xludf.DUMMYFUNCTION("""COMPUTED_VALUE"""),3604.55)</f>
        <v>3604.55</v>
      </c>
      <c r="M943" s="6" t="str">
        <f ca="1">IFERROR(__xludf.DUMMYFUNCTION("""COMPUTED_VALUE"""),"03 ORL")</f>
        <v>03 ORL</v>
      </c>
      <c r="N943" s="6" t="str">
        <f ca="1">IFERROR(__xludf.DUMMYFUNCTION("""COMPUTED_VALUE"""),"06 ORL")</f>
        <v>06 ORL</v>
      </c>
      <c r="O943" s="6" t="str">
        <f ca="1">IFERROR(__xludf.DUMMYFUNCTION("""COMPUTED_VALUE"""),"Dra, Ana Ruiz Fornells Noreña")</f>
        <v>Dra, Ana Ruiz Fornells Noreña</v>
      </c>
      <c r="P943" s="6" t="str">
        <f ca="1">IFERROR(__xludf.DUMMYFUNCTION("""COMPUTED_VALUE"""),"Maika Blázquez (Madrid)")</f>
        <v>Maika Blázquez (Madrid)</v>
      </c>
    </row>
    <row r="944" spans="2:16">
      <c r="B944" s="6">
        <f ca="1">IFERROR(__xludf.DUMMYFUNCTION("""COMPUTED_VALUE"""),2025)</f>
        <v>2025</v>
      </c>
      <c r="C944" s="6">
        <f ca="1">IFERROR(__xludf.DUMMYFUNCTION("""COMPUTED_VALUE"""),7)</f>
        <v>7</v>
      </c>
      <c r="D944" s="6" t="str">
        <f ca="1">IFERROR(__xludf.DUMMYFUNCTION("""COMPUTED_VALUE"""),"NO")</f>
        <v>NO</v>
      </c>
      <c r="E944" s="6" t="str">
        <f ca="1">IFERROR(__xludf.DUMMYFUNCTION("""COMPUTED_VALUE"""),"San Javier")</f>
        <v>San Javier</v>
      </c>
      <c r="F944" s="16">
        <f ca="1">IFERROR(__xludf.DUMMYFUNCTION("""COMPUTED_VALUE"""),45853)</f>
        <v>45853</v>
      </c>
      <c r="G944" s="16">
        <f ca="1">IFERROR(__xludf.DUMMYFUNCTION("""COMPUTED_VALUE"""),45831)</f>
        <v>45831</v>
      </c>
      <c r="H944" s="6" t="str">
        <f ca="1">IFERROR(__xludf.DUMMYFUNCTION("""COMPUTED_VALUE"""),"San Javier")</f>
        <v>San Javier</v>
      </c>
      <c r="I944" s="6" t="str">
        <f ca="1">IFERROR(__xludf.DUMMYFUNCTION("""COMPUTED_VALUE"""),"C2025625173212480")</f>
        <v>C2025625173212480</v>
      </c>
      <c r="J944" s="6" t="str">
        <f ca="1">IFERROR(__xludf.DUMMYFUNCTION("""COMPUTED_VALUE"""),"JOSEFA MARTINEZ SAURA")</f>
        <v>JOSEFA MARTINEZ SAURA</v>
      </c>
      <c r="K944" s="6">
        <f ca="1">IFERROR(__xludf.DUMMYFUNCTION("""COMPUTED_VALUE"""),2)</f>
        <v>2</v>
      </c>
      <c r="L944" s="139">
        <f ca="1">IFERROR(__xludf.DUMMYFUNCTION("""COMPUTED_VALUE"""),2974.55)</f>
        <v>2974.55</v>
      </c>
      <c r="M944" s="6" t="str">
        <f ca="1">IFERROR(__xludf.DUMMYFUNCTION("""COMPUTED_VALUE"""),"03 ORL")</f>
        <v>03 ORL</v>
      </c>
      <c r="N944" s="6" t="str">
        <f ca="1">IFERROR(__xludf.DUMMYFUNCTION("""COMPUTED_VALUE"""),"06 ORL")</f>
        <v>06 ORL</v>
      </c>
      <c r="O944" s="6" t="str">
        <f ca="1">IFERROR(__xludf.DUMMYFUNCTION("""COMPUTED_VALUE"""),"Dr, Francisco García Purriños")</f>
        <v>Dr, Francisco García Purriños</v>
      </c>
      <c r="P944" s="6" t="str">
        <f ca="1">IFERROR(__xludf.DUMMYFUNCTION("""COMPUTED_VALUE"""),"Iván Sánchez (Levante Y Albacete)")</f>
        <v>Iván Sánchez (Levante Y Albacete)</v>
      </c>
    </row>
    <row r="945" spans="2:16">
      <c r="B945" s="6">
        <f ca="1">IFERROR(__xludf.DUMMYFUNCTION("""COMPUTED_VALUE"""),2025)</f>
        <v>2025</v>
      </c>
      <c r="C945" s="6">
        <f ca="1">IFERROR(__xludf.DUMMYFUNCTION("""COMPUTED_VALUE"""),7)</f>
        <v>7</v>
      </c>
      <c r="D945" s="6" t="str">
        <f ca="1">IFERROR(__xludf.DUMMYFUNCTION("""COMPUTED_VALUE"""),"NO")</f>
        <v>NO</v>
      </c>
      <c r="E945" s="6" t="str">
        <f ca="1">IFERROR(__xludf.DUMMYFUNCTION("""COMPUTED_VALUE"""),"Madrid- La Oca")</f>
        <v>Madrid- La Oca</v>
      </c>
      <c r="F945" s="16">
        <f ca="1">IFERROR(__xludf.DUMMYFUNCTION("""COMPUTED_VALUE"""),45845)</f>
        <v>45845</v>
      </c>
      <c r="G945" s="16">
        <f ca="1">IFERROR(__xludf.DUMMYFUNCTION("""COMPUTED_VALUE"""),45790)</f>
        <v>45790</v>
      </c>
      <c r="H945" s="6" t="str">
        <f ca="1">IFERROR(__xludf.DUMMYFUNCTION("""COMPUTED_VALUE"""),"La Oca")</f>
        <v>La Oca</v>
      </c>
      <c r="I945" s="6" t="str">
        <f ca="1">IFERROR(__xludf.DUMMYFUNCTION("""COMPUTED_VALUE"""),"C2025520175834441")</f>
        <v>C2025520175834441</v>
      </c>
      <c r="J945" s="6" t="str">
        <f ca="1">IFERROR(__xludf.DUMMYFUNCTION("""COMPUTED_VALUE"""),"JOSEFA MERINERO BORREGO")</f>
        <v>JOSEFA MERINERO BORREGO</v>
      </c>
      <c r="K945" s="6">
        <f ca="1">IFERROR(__xludf.DUMMYFUNCTION("""COMPUTED_VALUE"""),2)</f>
        <v>2</v>
      </c>
      <c r="L945" s="139">
        <f ca="1">IFERROR(__xludf.DUMMYFUNCTION("""COMPUTED_VALUE"""),3524.55)</f>
        <v>3524.55</v>
      </c>
      <c r="M945" s="6" t="str">
        <f ca="1">IFERROR(__xludf.DUMMYFUNCTION("""COMPUTED_VALUE"""),"03 ORL")</f>
        <v>03 ORL</v>
      </c>
      <c r="N945" s="6" t="str">
        <f ca="1">IFERROR(__xludf.DUMMYFUNCTION("""COMPUTED_VALUE"""),"06 ORL")</f>
        <v>06 ORL</v>
      </c>
      <c r="O945" s="6" t="str">
        <f ca="1">IFERROR(__xludf.DUMMYFUNCTION("""COMPUTED_VALUE"""),"Dr, Oscar A, Sánchez Valenzuela")</f>
        <v>Dr, Oscar A, Sánchez Valenzuela</v>
      </c>
      <c r="P945" s="6" t="str">
        <f ca="1">IFERROR(__xludf.DUMMYFUNCTION("""COMPUTED_VALUE"""),"Maika Blázquez (Madrid)")</f>
        <v>Maika Blázquez (Madrid)</v>
      </c>
    </row>
    <row r="946" spans="2:16">
      <c r="B946" s="6">
        <f ca="1">IFERROR(__xludf.DUMMYFUNCTION("""COMPUTED_VALUE"""),2025)</f>
        <v>2025</v>
      </c>
      <c r="C946" s="6">
        <f ca="1">IFERROR(__xludf.DUMMYFUNCTION("""COMPUTED_VALUE"""),7)</f>
        <v>7</v>
      </c>
      <c r="D946" s="6" t="str">
        <f ca="1">IFERROR(__xludf.DUMMYFUNCTION("""COMPUTED_VALUE"""),"NO")</f>
        <v>NO</v>
      </c>
      <c r="E946" s="6" t="str">
        <f ca="1">IFERROR(__xludf.DUMMYFUNCTION("""COMPUTED_VALUE"""),"Sevilla- Montoto")</f>
        <v>Sevilla- Montoto</v>
      </c>
      <c r="F946" s="16">
        <f ca="1">IFERROR(__xludf.DUMMYFUNCTION("""COMPUTED_VALUE"""),45853)</f>
        <v>45853</v>
      </c>
      <c r="G946" s="16">
        <f ca="1">IFERROR(__xludf.DUMMYFUNCTION("""COMPUTED_VALUE"""),45814)</f>
        <v>45814</v>
      </c>
      <c r="H946" s="6" t="str">
        <f ca="1">IFERROR(__xludf.DUMMYFUNCTION("""COMPUTED_VALUE"""),"Montoto")</f>
        <v>Montoto</v>
      </c>
      <c r="I946" s="6" t="str">
        <f ca="1">IFERROR(__xludf.DUMMYFUNCTION("""COMPUTED_VALUE"""),"C2025617102646668")</f>
        <v>C2025617102646668</v>
      </c>
      <c r="J946" s="6" t="str">
        <f ca="1">IFERROR(__xludf.DUMMYFUNCTION("""COMPUTED_VALUE"""),"JOSEFA PEREZ VAYA")</f>
        <v>JOSEFA PEREZ VAYA</v>
      </c>
      <c r="K946" s="6">
        <f ca="1">IFERROR(__xludf.DUMMYFUNCTION("""COMPUTED_VALUE"""),1)</f>
        <v>1</v>
      </c>
      <c r="L946" s="139">
        <f ca="1">IFERROR(__xludf.DUMMYFUNCTION("""COMPUTED_VALUE"""),2292.73)</f>
        <v>2292.73</v>
      </c>
      <c r="M946" s="6" t="str">
        <f ca="1">IFERROR(__xludf.DUMMYFUNCTION("""COMPUTED_VALUE"""),"03 ORL")</f>
        <v>03 ORL</v>
      </c>
      <c r="N946" s="6" t="str">
        <f ca="1">IFERROR(__xludf.DUMMYFUNCTION("""COMPUTED_VALUE"""),"06 ORL")</f>
        <v>06 ORL</v>
      </c>
      <c r="O946" s="6" t="str">
        <f ca="1">IFERROR(__xludf.DUMMYFUNCTION("""COMPUTED_VALUE"""),"Dra, Estefanía Berrocal Postigo")</f>
        <v>Dra, Estefanía Berrocal Postigo</v>
      </c>
      <c r="P946" s="6" t="str">
        <f ca="1">IFERROR(__xludf.DUMMYFUNCTION("""COMPUTED_VALUE"""),"Luis Alberto Rodríguez (Andalucía y Badajoz)")</f>
        <v>Luis Alberto Rodríguez (Andalucía y Badajoz)</v>
      </c>
    </row>
    <row r="947" spans="2:16">
      <c r="B947" s="6">
        <f ca="1">IFERROR(__xludf.DUMMYFUNCTION("""COMPUTED_VALUE"""),2025)</f>
        <v>2025</v>
      </c>
      <c r="C947" s="6">
        <f ca="1">IFERROR(__xludf.DUMMYFUNCTION("""COMPUTED_VALUE"""),7)</f>
        <v>7</v>
      </c>
      <c r="D947" s="6" t="str">
        <f ca="1">IFERROR(__xludf.DUMMYFUNCTION("""COMPUTED_VALUE"""),"NO")</f>
        <v>NO</v>
      </c>
      <c r="E947" s="6" t="str">
        <f ca="1">IFERROR(__xludf.DUMMYFUNCTION("""COMPUTED_VALUE"""),"Alicante")</f>
        <v>Alicante</v>
      </c>
      <c r="F947" s="16">
        <f ca="1">IFERROR(__xludf.DUMMYFUNCTION("""COMPUTED_VALUE"""),45855)</f>
        <v>45855</v>
      </c>
      <c r="G947" s="16">
        <f ca="1">IFERROR(__xludf.DUMMYFUNCTION("""COMPUTED_VALUE"""),45817)</f>
        <v>45817</v>
      </c>
      <c r="H947" s="6" t="str">
        <f ca="1">IFERROR(__xludf.DUMMYFUNCTION("""COMPUTED_VALUE"""),"Alicante")</f>
        <v>Alicante</v>
      </c>
      <c r="I947" s="6" t="str">
        <f ca="1">IFERROR(__xludf.DUMMYFUNCTION("""COMPUTED_VALUE"""),"C20256161601295")</f>
        <v>C20256161601295</v>
      </c>
      <c r="J947" s="6" t="str">
        <f ca="1">IFERROR(__xludf.DUMMYFUNCTION("""COMPUTED_VALUE"""),"JOSEFA TORRÓ CAÑIZARES")</f>
        <v>JOSEFA TORRÓ CAÑIZARES</v>
      </c>
      <c r="K947" s="6">
        <f ca="1">IFERROR(__xludf.DUMMYFUNCTION("""COMPUTED_VALUE"""),2)</f>
        <v>2</v>
      </c>
      <c r="L947" s="139">
        <f ca="1">IFERROR(__xludf.DUMMYFUNCTION("""COMPUTED_VALUE"""),4000)</f>
        <v>4000</v>
      </c>
      <c r="M947" s="6" t="str">
        <f ca="1">IFERROR(__xludf.DUMMYFUNCTION("""COMPUTED_VALUE"""),"03 ORL")</f>
        <v>03 ORL</v>
      </c>
      <c r="N947" s="6" t="str">
        <f ca="1">IFERROR(__xludf.DUMMYFUNCTION("""COMPUTED_VALUE"""),"06 ORL")</f>
        <v>06 ORL</v>
      </c>
      <c r="O947" s="6" t="str">
        <f ca="1">IFERROR(__xludf.DUMMYFUNCTION("""COMPUTED_VALUE"""),"Dr, Francisco Pastor Beviá")</f>
        <v>Dr, Francisco Pastor Beviá</v>
      </c>
      <c r="P947" s="6" t="str">
        <f ca="1">IFERROR(__xludf.DUMMYFUNCTION("""COMPUTED_VALUE"""),"Iván Sánchez (Levante Y Albacete)")</f>
        <v>Iván Sánchez (Levante Y Albacete)</v>
      </c>
    </row>
    <row r="948" spans="2:16">
      <c r="B948" s="6">
        <f ca="1">IFERROR(__xludf.DUMMYFUNCTION("""COMPUTED_VALUE"""),2025)</f>
        <v>2025</v>
      </c>
      <c r="C948" s="6">
        <f ca="1">IFERROR(__xludf.DUMMYFUNCTION("""COMPUTED_VALUE"""),7)</f>
        <v>7</v>
      </c>
      <c r="D948" s="6" t="str">
        <f ca="1">IFERROR(__xludf.DUMMYFUNCTION("""COMPUTED_VALUE"""),"NO")</f>
        <v>NO</v>
      </c>
      <c r="E948" s="6" t="str">
        <f ca="1">IFERROR(__xludf.DUMMYFUNCTION("""COMPUTED_VALUE"""),"Leganés")</f>
        <v>Leganés</v>
      </c>
      <c r="F948" s="16">
        <f ca="1">IFERROR(__xludf.DUMMYFUNCTION("""COMPUTED_VALUE"""),45842)</f>
        <v>45842</v>
      </c>
      <c r="G948" s="16">
        <f ca="1">IFERROR(__xludf.DUMMYFUNCTION("""COMPUTED_VALUE"""),45796)</f>
        <v>45796</v>
      </c>
      <c r="H948" s="6" t="str">
        <f ca="1">IFERROR(__xludf.DUMMYFUNCTION("""COMPUTED_VALUE"""),"Leganés")</f>
        <v>Leganés</v>
      </c>
      <c r="I948" s="6" t="str">
        <f ca="1">IFERROR(__xludf.DUMMYFUNCTION("""COMPUTED_VALUE"""),"C20255289530517")</f>
        <v>C20255289530517</v>
      </c>
      <c r="J948" s="6" t="str">
        <f ca="1">IFERROR(__xludf.DUMMYFUNCTION("""COMPUTED_VALUE"""),"JUAN  REVILLA GOMEZ")</f>
        <v>JUAN  REVILLA GOMEZ</v>
      </c>
      <c r="K948" s="6">
        <f ca="1">IFERROR(__xludf.DUMMYFUNCTION("""COMPUTED_VALUE"""),1)</f>
        <v>1</v>
      </c>
      <c r="L948" s="139">
        <f ca="1">IFERROR(__xludf.DUMMYFUNCTION("""COMPUTED_VALUE"""),1633.64)</f>
        <v>1633.64</v>
      </c>
      <c r="M948" s="6" t="str">
        <f ca="1">IFERROR(__xludf.DUMMYFUNCTION("""COMPUTED_VALUE"""),"03 ORL")</f>
        <v>03 ORL</v>
      </c>
      <c r="N948" s="6" t="str">
        <f ca="1">IFERROR(__xludf.DUMMYFUNCTION("""COMPUTED_VALUE"""),"06 ORL")</f>
        <v>06 ORL</v>
      </c>
      <c r="O948" s="6" t="str">
        <f ca="1">IFERROR(__xludf.DUMMYFUNCTION("""COMPUTED_VALUE"""),"Dra, Inés Pastor Basterra")</f>
        <v>Dra, Inés Pastor Basterra</v>
      </c>
      <c r="P948" s="6" t="str">
        <f ca="1">IFERROR(__xludf.DUMMYFUNCTION("""COMPUTED_VALUE"""),"Maika Blázquez (Madrid)")</f>
        <v>Maika Blázquez (Madrid)</v>
      </c>
    </row>
    <row r="949" spans="2:16">
      <c r="B949" s="6">
        <f ca="1">IFERROR(__xludf.DUMMYFUNCTION("""COMPUTED_VALUE"""),2025)</f>
        <v>2025</v>
      </c>
      <c r="C949" s="6">
        <f ca="1">IFERROR(__xludf.DUMMYFUNCTION("""COMPUTED_VALUE"""),7)</f>
        <v>7</v>
      </c>
      <c r="D949" s="6" t="str">
        <f ca="1">IFERROR(__xludf.DUMMYFUNCTION("""COMPUTED_VALUE"""),"NO")</f>
        <v>NO</v>
      </c>
      <c r="E949" s="6" t="str">
        <f ca="1">IFERROR(__xludf.DUMMYFUNCTION("""COMPUTED_VALUE"""),"Talavera")</f>
        <v>Talavera</v>
      </c>
      <c r="F949" s="16">
        <f ca="1">IFERROR(__xludf.DUMMYFUNCTION("""COMPUTED_VALUE"""),45840)</f>
        <v>45840</v>
      </c>
      <c r="G949" s="16">
        <f ca="1">IFERROR(__xludf.DUMMYFUNCTION("""COMPUTED_VALUE"""),45826)</f>
        <v>45826</v>
      </c>
      <c r="H949" s="6" t="str">
        <f ca="1">IFERROR(__xludf.DUMMYFUNCTION("""COMPUTED_VALUE"""),"Talavera")</f>
        <v>Talavera</v>
      </c>
      <c r="I949" s="6" t="str">
        <f ca="1">IFERROR(__xludf.DUMMYFUNCTION("""COMPUTED_VALUE"""),"C2025618122941714")</f>
        <v>C2025618122941714</v>
      </c>
      <c r="J949" s="6" t="str">
        <f ca="1">IFERROR(__xludf.DUMMYFUNCTION("""COMPUTED_VALUE"""),"JUAN ANTONIO GARCIA DEL OLMO")</f>
        <v>JUAN ANTONIO GARCIA DEL OLMO</v>
      </c>
      <c r="K949" s="6">
        <f ca="1">IFERROR(__xludf.DUMMYFUNCTION("""COMPUTED_VALUE"""),1)</f>
        <v>1</v>
      </c>
      <c r="L949" s="139">
        <f ca="1">IFERROR(__xludf.DUMMYFUNCTION("""COMPUTED_VALUE"""),1695.32)</f>
        <v>1695.32</v>
      </c>
      <c r="M949" s="6" t="str">
        <f ca="1">IFERROR(__xludf.DUMMYFUNCTION("""COMPUTED_VALUE"""),"03 ORL")</f>
        <v>03 ORL</v>
      </c>
      <c r="N949" s="6" t="str">
        <f ca="1">IFERROR(__xludf.DUMMYFUNCTION("""COMPUTED_VALUE"""),"06 ORL")</f>
        <v>06 ORL</v>
      </c>
      <c r="O949" s="6" t="str">
        <f ca="1">IFERROR(__xludf.DUMMYFUNCTION("""COMPUTED_VALUE"""),"Dra, Natalia Gisseth Pulido Fonseca")</f>
        <v>Dra, Natalia Gisseth Pulido Fonseca</v>
      </c>
      <c r="P949" s="6" t="str">
        <f ca="1">IFERROR(__xludf.DUMMYFUNCTION("""COMPUTED_VALUE"""),"Lisandro Russian (Madrid, Cáceres, Toledo, Talavera Y Logroño)")</f>
        <v>Lisandro Russian (Madrid, Cáceres, Toledo, Talavera Y Logroño)</v>
      </c>
    </row>
    <row r="950" spans="2:16">
      <c r="B950" s="6">
        <f ca="1">IFERROR(__xludf.DUMMYFUNCTION("""COMPUTED_VALUE"""),2025)</f>
        <v>2025</v>
      </c>
      <c r="C950" s="6">
        <f ca="1">IFERROR(__xludf.DUMMYFUNCTION("""COMPUTED_VALUE"""),7)</f>
        <v>7</v>
      </c>
      <c r="D950" s="6" t="str">
        <f ca="1">IFERROR(__xludf.DUMMYFUNCTION("""COMPUTED_VALUE"""),"NO")</f>
        <v>NO</v>
      </c>
      <c r="E950" s="6" t="str">
        <f ca="1">IFERROR(__xludf.DUMMYFUNCTION("""COMPUTED_VALUE"""),"Murcia")</f>
        <v>Murcia</v>
      </c>
      <c r="F950" s="16">
        <f ca="1">IFERROR(__xludf.DUMMYFUNCTION("""COMPUTED_VALUE"""),45839)</f>
        <v>45839</v>
      </c>
      <c r="G950" s="16">
        <f ca="1">IFERROR(__xludf.DUMMYFUNCTION("""COMPUTED_VALUE"""),45797)</f>
        <v>45797</v>
      </c>
      <c r="H950" s="6" t="str">
        <f ca="1">IFERROR(__xludf.DUMMYFUNCTION("""COMPUTED_VALUE"""),"Murcia")</f>
        <v>Murcia</v>
      </c>
      <c r="I950" s="6" t="str">
        <f ca="1">IFERROR(__xludf.DUMMYFUNCTION("""COMPUTED_VALUE"""),"C202552013056449")</f>
        <v>C202552013056449</v>
      </c>
      <c r="J950" s="6" t="str">
        <f ca="1">IFERROR(__xludf.DUMMYFUNCTION("""COMPUTED_VALUE"""),"JUAN ANTONIO RAMIREZ RAMIREZ")</f>
        <v>JUAN ANTONIO RAMIREZ RAMIREZ</v>
      </c>
      <c r="K950" s="6">
        <f ca="1">IFERROR(__xludf.DUMMYFUNCTION("""COMPUTED_VALUE"""),2)</f>
        <v>2</v>
      </c>
      <c r="L950" s="139">
        <f ca="1">IFERROR(__xludf.DUMMYFUNCTION("""COMPUTED_VALUE"""),4304.81)</f>
        <v>4304.8100000000004</v>
      </c>
      <c r="M950" s="6" t="str">
        <f ca="1">IFERROR(__xludf.DUMMYFUNCTION("""COMPUTED_VALUE"""),"03 ORL")</f>
        <v>03 ORL</v>
      </c>
      <c r="N950" s="6" t="str">
        <f ca="1">IFERROR(__xludf.DUMMYFUNCTION("""COMPUTED_VALUE"""),"06 ORL")</f>
        <v>06 ORL</v>
      </c>
      <c r="O950" s="6" t="str">
        <f ca="1">IFERROR(__xludf.DUMMYFUNCTION("""COMPUTED_VALUE"""),"Dra, María Agustina Sevilla García")</f>
        <v>Dra, María Agustina Sevilla García</v>
      </c>
      <c r="P950" s="6" t="str">
        <f ca="1">IFERROR(__xludf.DUMMYFUNCTION("""COMPUTED_VALUE"""),"Iván Sánchez (Levante Y Albacete)")</f>
        <v>Iván Sánchez (Levante Y Albacete)</v>
      </c>
    </row>
    <row r="951" spans="2:16">
      <c r="B951" s="6">
        <f ca="1">IFERROR(__xludf.DUMMYFUNCTION("""COMPUTED_VALUE"""),2025)</f>
        <v>2025</v>
      </c>
      <c r="C951" s="6">
        <f ca="1">IFERROR(__xludf.DUMMYFUNCTION("""COMPUTED_VALUE"""),7)</f>
        <v>7</v>
      </c>
      <c r="D951" s="6" t="str">
        <f ca="1">IFERROR(__xludf.DUMMYFUNCTION("""COMPUTED_VALUE"""),"NO")</f>
        <v>NO</v>
      </c>
      <c r="E951" s="6" t="str">
        <f ca="1">IFERROR(__xludf.DUMMYFUNCTION("""COMPUTED_VALUE"""),"Alicante")</f>
        <v>Alicante</v>
      </c>
      <c r="F951" s="16">
        <f ca="1">IFERROR(__xludf.DUMMYFUNCTION("""COMPUTED_VALUE"""),45853)</f>
        <v>45853</v>
      </c>
      <c r="G951" s="16">
        <f ca="1">IFERROR(__xludf.DUMMYFUNCTION("""COMPUTED_VALUE"""),45793)</f>
        <v>45793</v>
      </c>
      <c r="H951" s="6" t="str">
        <f ca="1">IFERROR(__xludf.DUMMYFUNCTION("""COMPUTED_VALUE"""),"Alicante")</f>
        <v>Alicante</v>
      </c>
      <c r="I951" s="6" t="str">
        <f ca="1">IFERROR(__xludf.DUMMYFUNCTION("""COMPUTED_VALUE"""),"C2025522122441620")</f>
        <v>C2025522122441620</v>
      </c>
      <c r="J951" s="6" t="str">
        <f ca="1">IFERROR(__xludf.DUMMYFUNCTION("""COMPUTED_VALUE"""),"JUAN CARLOS PAYA MOLTO")</f>
        <v>JUAN CARLOS PAYA MOLTO</v>
      </c>
      <c r="K951" s="6">
        <f ca="1">IFERROR(__xludf.DUMMYFUNCTION("""COMPUTED_VALUE"""),2)</f>
        <v>2</v>
      </c>
      <c r="L951" s="139">
        <f ca="1">IFERROR(__xludf.DUMMYFUNCTION("""COMPUTED_VALUE"""),4000)</f>
        <v>4000</v>
      </c>
      <c r="M951" s="6" t="str">
        <f ca="1">IFERROR(__xludf.DUMMYFUNCTION("""COMPUTED_VALUE"""),"03 ORL")</f>
        <v>03 ORL</v>
      </c>
      <c r="N951" s="6" t="str">
        <f ca="1">IFERROR(__xludf.DUMMYFUNCTION("""COMPUTED_VALUE"""),"06 ORL")</f>
        <v>06 ORL</v>
      </c>
      <c r="O951" s="6" t="str">
        <f ca="1">IFERROR(__xludf.DUMMYFUNCTION("""COMPUTED_VALUE"""),"Dra, Luisa Payá Pérez")</f>
        <v>Dra, Luisa Payá Pérez</v>
      </c>
      <c r="P951" s="6" t="str">
        <f ca="1">IFERROR(__xludf.DUMMYFUNCTION("""COMPUTED_VALUE"""),"Iván Sánchez (Levante Y Albacete)")</f>
        <v>Iván Sánchez (Levante Y Albacete)</v>
      </c>
    </row>
    <row r="952" spans="2:16">
      <c r="B952" s="6">
        <f ca="1">IFERROR(__xludf.DUMMYFUNCTION("""COMPUTED_VALUE"""),2025)</f>
        <v>2025</v>
      </c>
      <c r="C952" s="6">
        <f ca="1">IFERROR(__xludf.DUMMYFUNCTION("""COMPUTED_VALUE"""),7)</f>
        <v>7</v>
      </c>
      <c r="D952" s="6" t="str">
        <f ca="1">IFERROR(__xludf.DUMMYFUNCTION("""COMPUTED_VALUE"""),"NO")</f>
        <v>NO</v>
      </c>
      <c r="E952" s="6" t="str">
        <f ca="1">IFERROR(__xludf.DUMMYFUNCTION("""COMPUTED_VALUE"""),"Alcorcón")</f>
        <v>Alcorcón</v>
      </c>
      <c r="F952" s="16">
        <f ca="1">IFERROR(__xludf.DUMMYFUNCTION("""COMPUTED_VALUE"""),45846)</f>
        <v>45846</v>
      </c>
      <c r="G952" s="16">
        <f ca="1">IFERROR(__xludf.DUMMYFUNCTION("""COMPUTED_VALUE"""),45811)</f>
        <v>45811</v>
      </c>
      <c r="H952" s="6" t="str">
        <f ca="1">IFERROR(__xludf.DUMMYFUNCTION("""COMPUTED_VALUE"""),"Alcorcón")</f>
        <v>Alcorcón</v>
      </c>
      <c r="I952" s="6" t="str">
        <f ca="1">IFERROR(__xludf.DUMMYFUNCTION("""COMPUTED_VALUE"""),"C20256412532234")</f>
        <v>C20256412532234</v>
      </c>
      <c r="J952" s="6" t="str">
        <f ca="1">IFERROR(__xludf.DUMMYFUNCTION("""COMPUTED_VALUE"""),"JUAN FRANCISCO MUÑOZ RODRIGUEZ")</f>
        <v>JUAN FRANCISCO MUÑOZ RODRIGUEZ</v>
      </c>
      <c r="K952" s="6">
        <f ca="1">IFERROR(__xludf.DUMMYFUNCTION("""COMPUTED_VALUE"""),2)</f>
        <v>2</v>
      </c>
      <c r="L952" s="139">
        <f ca="1">IFERROR(__xludf.DUMMYFUNCTION("""COMPUTED_VALUE"""),4000)</f>
        <v>4000</v>
      </c>
      <c r="M952" s="6" t="str">
        <f ca="1">IFERROR(__xludf.DUMMYFUNCTION("""COMPUTED_VALUE"""),"03 ORL")</f>
        <v>03 ORL</v>
      </c>
      <c r="N952" s="6" t="str">
        <f ca="1">IFERROR(__xludf.DUMMYFUNCTION("""COMPUTED_VALUE"""),"06 ORL")</f>
        <v>06 ORL</v>
      </c>
      <c r="O952" s="6" t="str">
        <f ca="1">IFERROR(__xludf.DUMMYFUNCTION("""COMPUTED_VALUE"""),"No recuerda ORL")</f>
        <v>No recuerda ORL</v>
      </c>
      <c r="P952" s="6" t="str">
        <f ca="1">IFERROR(__xludf.DUMMYFUNCTION("""COMPUTED_VALUE"""),"Maika Blázquez (Madrid)")</f>
        <v>Maika Blázquez (Madrid)</v>
      </c>
    </row>
    <row r="953" spans="2:16">
      <c r="B953" s="6">
        <f ca="1">IFERROR(__xludf.DUMMYFUNCTION("""COMPUTED_VALUE"""),2025)</f>
        <v>2025</v>
      </c>
      <c r="C953" s="6">
        <f ca="1">IFERROR(__xludf.DUMMYFUNCTION("""COMPUTED_VALUE"""),7)</f>
        <v>7</v>
      </c>
      <c r="D953" s="6" t="str">
        <f ca="1">IFERROR(__xludf.DUMMYFUNCTION("""COMPUTED_VALUE"""),"NO")</f>
        <v>NO</v>
      </c>
      <c r="E953" s="6" t="str">
        <f ca="1">IFERROR(__xludf.DUMMYFUNCTION("""COMPUTED_VALUE"""),"Alicante")</f>
        <v>Alicante</v>
      </c>
      <c r="F953" s="16">
        <f ca="1">IFERROR(__xludf.DUMMYFUNCTION("""COMPUTED_VALUE"""),45853)</f>
        <v>45853</v>
      </c>
      <c r="G953" s="16">
        <f ca="1">IFERROR(__xludf.DUMMYFUNCTION("""COMPUTED_VALUE"""),45821)</f>
        <v>45821</v>
      </c>
      <c r="H953" s="6" t="str">
        <f ca="1">IFERROR(__xludf.DUMMYFUNCTION("""COMPUTED_VALUE"""),"Alicante")</f>
        <v>Alicante</v>
      </c>
      <c r="I953" s="6" t="str">
        <f ca="1">IFERROR(__xludf.DUMMYFUNCTION("""COMPUTED_VALUE"""),"C202561611824885")</f>
        <v>C202561611824885</v>
      </c>
      <c r="J953" s="6" t="str">
        <f ca="1">IFERROR(__xludf.DUMMYFUNCTION("""COMPUTED_VALUE"""),"JUAN LORENZO SANCHEZ PINO")</f>
        <v>JUAN LORENZO SANCHEZ PINO</v>
      </c>
      <c r="K953" s="6">
        <f ca="1">IFERROR(__xludf.DUMMYFUNCTION("""COMPUTED_VALUE"""),2)</f>
        <v>2</v>
      </c>
      <c r="L953" s="139">
        <f ca="1">IFERROR(__xludf.DUMMYFUNCTION("""COMPUTED_VALUE"""),3914)</f>
        <v>3914</v>
      </c>
      <c r="M953" s="6" t="str">
        <f ca="1">IFERROR(__xludf.DUMMYFUNCTION("""COMPUTED_VALUE"""),"03 ORL")</f>
        <v>03 ORL</v>
      </c>
      <c r="N953" s="6" t="str">
        <f ca="1">IFERROR(__xludf.DUMMYFUNCTION("""COMPUTED_VALUE"""),"06 ORL")</f>
        <v>06 ORL</v>
      </c>
      <c r="O953" s="6" t="str">
        <f ca="1">IFERROR(__xludf.DUMMYFUNCTION("""COMPUTED_VALUE"""),"Dr, Francisco Pastor Beviá")</f>
        <v>Dr, Francisco Pastor Beviá</v>
      </c>
      <c r="P953" s="6" t="str">
        <f ca="1">IFERROR(__xludf.DUMMYFUNCTION("""COMPUTED_VALUE"""),"Iván Sánchez (Levante Y Albacete)")</f>
        <v>Iván Sánchez (Levante Y Albacete)</v>
      </c>
    </row>
    <row r="954" spans="2:16">
      <c r="B954" s="6">
        <f ca="1">IFERROR(__xludf.DUMMYFUNCTION("""COMPUTED_VALUE"""),2025)</f>
        <v>2025</v>
      </c>
      <c r="C954" s="6">
        <f ca="1">IFERROR(__xludf.DUMMYFUNCTION("""COMPUTED_VALUE"""),7)</f>
        <v>7</v>
      </c>
      <c r="D954" s="6" t="str">
        <f ca="1">IFERROR(__xludf.DUMMYFUNCTION("""COMPUTED_VALUE"""),"NO")</f>
        <v>NO</v>
      </c>
      <c r="E954" s="6" t="str">
        <f ca="1">IFERROR(__xludf.DUMMYFUNCTION("""COMPUTED_VALUE"""),"Madrid- Juan Bravo")</f>
        <v>Madrid- Juan Bravo</v>
      </c>
      <c r="F954" s="16">
        <f ca="1">IFERROR(__xludf.DUMMYFUNCTION("""COMPUTED_VALUE"""),45840)</f>
        <v>45840</v>
      </c>
      <c r="G954" s="16">
        <f ca="1">IFERROR(__xludf.DUMMYFUNCTION("""COMPUTED_VALUE"""),45797)</f>
        <v>45797</v>
      </c>
      <c r="H954" s="6" t="str">
        <f ca="1">IFERROR(__xludf.DUMMYFUNCTION("""COMPUTED_VALUE"""),"Juan Bravo")</f>
        <v>Juan Bravo</v>
      </c>
      <c r="I954" s="6" t="str">
        <f ca="1">IFERROR(__xludf.DUMMYFUNCTION("""COMPUTED_VALUE"""),"C2025522173322301")</f>
        <v>C2025522173322301</v>
      </c>
      <c r="J954" s="6" t="str">
        <f ca="1">IFERROR(__xludf.DUMMYFUNCTION("""COMPUTED_VALUE"""),"JUAN RAMON PELLICER GARRIDO")</f>
        <v>JUAN RAMON PELLICER GARRIDO</v>
      </c>
      <c r="K954" s="6">
        <f ca="1">IFERROR(__xludf.DUMMYFUNCTION("""COMPUTED_VALUE"""),2)</f>
        <v>2</v>
      </c>
      <c r="L954" s="139">
        <f ca="1">IFERROR(__xludf.DUMMYFUNCTION("""COMPUTED_VALUE"""),3800)</f>
        <v>3800</v>
      </c>
      <c r="M954" s="6" t="str">
        <f ca="1">IFERROR(__xludf.DUMMYFUNCTION("""COMPUTED_VALUE"""),"03 ORL")</f>
        <v>03 ORL</v>
      </c>
      <c r="N954" s="6" t="str">
        <f ca="1">IFERROR(__xludf.DUMMYFUNCTION("""COMPUTED_VALUE"""),"06 ORL")</f>
        <v>06 ORL</v>
      </c>
      <c r="O954" s="6" t="str">
        <f ca="1">IFERROR(__xludf.DUMMYFUNCTION("""COMPUTED_VALUE"""),"Dr, Carlos Barajas del Rosal")</f>
        <v>Dr, Carlos Barajas del Rosal</v>
      </c>
      <c r="P954" s="6" t="str">
        <f ca="1">IFERROR(__xludf.DUMMYFUNCTION("""COMPUTED_VALUE"""),"Lisandro Russian (Madrid, Cáceres, Toledo, Talavera Y Logroño)")</f>
        <v>Lisandro Russian (Madrid, Cáceres, Toledo, Talavera Y Logroño)</v>
      </c>
    </row>
    <row r="955" spans="2:16">
      <c r="B955" s="6">
        <f ca="1">IFERROR(__xludf.DUMMYFUNCTION("""COMPUTED_VALUE"""),2025)</f>
        <v>2025</v>
      </c>
      <c r="C955" s="6">
        <f ca="1">IFERROR(__xludf.DUMMYFUNCTION("""COMPUTED_VALUE"""),7)</f>
        <v>7</v>
      </c>
      <c r="D955" s="6" t="str">
        <f ca="1">IFERROR(__xludf.DUMMYFUNCTION("""COMPUTED_VALUE"""),"NO")</f>
        <v>NO</v>
      </c>
      <c r="E955" s="6" t="str">
        <f ca="1">IFERROR(__xludf.DUMMYFUNCTION("""COMPUTED_VALUE"""),"Orihuela")</f>
        <v>Orihuela</v>
      </c>
      <c r="F955" s="16">
        <f ca="1">IFERROR(__xludf.DUMMYFUNCTION("""COMPUTED_VALUE"""),45852)</f>
        <v>45852</v>
      </c>
      <c r="G955" s="16">
        <f ca="1">IFERROR(__xludf.DUMMYFUNCTION("""COMPUTED_VALUE"""),45820)</f>
        <v>45820</v>
      </c>
      <c r="H955" s="6" t="str">
        <f ca="1">IFERROR(__xludf.DUMMYFUNCTION("""COMPUTED_VALUE"""),"La Zenia")</f>
        <v>La Zenia</v>
      </c>
      <c r="I955" s="6" t="str">
        <f ca="1">IFERROR(__xludf.DUMMYFUNCTION("""COMPUTED_VALUE"""),"C2025617172822294")</f>
        <v>C2025617172822294</v>
      </c>
      <c r="J955" s="6" t="str">
        <f ca="1">IFERROR(__xludf.DUMMYFUNCTION("""COMPUTED_VALUE"""),"KARIM AHLMINE")</f>
        <v>KARIM AHLMINE</v>
      </c>
      <c r="K955" s="6">
        <f ca="1">IFERROR(__xludf.DUMMYFUNCTION("""COMPUTED_VALUE"""),1)</f>
        <v>1</v>
      </c>
      <c r="L955" s="139">
        <f ca="1">IFERROR(__xludf.DUMMYFUNCTION("""COMPUTED_VALUE"""),2363.64)</f>
        <v>2363.64</v>
      </c>
      <c r="M955" s="6" t="str">
        <f ca="1">IFERROR(__xludf.DUMMYFUNCTION("""COMPUTED_VALUE"""),"03 ORL")</f>
        <v>03 ORL</v>
      </c>
      <c r="N955" s="6" t="str">
        <f ca="1">IFERROR(__xludf.DUMMYFUNCTION("""COMPUTED_VALUE"""),"06 ORL")</f>
        <v>06 ORL</v>
      </c>
      <c r="O955" s="6" t="str">
        <f ca="1">IFERROR(__xludf.DUMMYFUNCTION("""COMPUTED_VALUE"""),"Dr, Carlos Velásquez Fermín")</f>
        <v>Dr, Carlos Velásquez Fermín</v>
      </c>
      <c r="P955" s="6" t="str">
        <f ca="1">IFERROR(__xludf.DUMMYFUNCTION("""COMPUTED_VALUE"""),"Iván Sánchez (Levante Y Albacete)")</f>
        <v>Iván Sánchez (Levante Y Albacete)</v>
      </c>
    </row>
    <row r="956" spans="2:16">
      <c r="B956" s="6">
        <f ca="1">IFERROR(__xludf.DUMMYFUNCTION("""COMPUTED_VALUE"""),2025)</f>
        <v>2025</v>
      </c>
      <c r="C956" s="6">
        <f ca="1">IFERROR(__xludf.DUMMYFUNCTION("""COMPUTED_VALUE"""),7)</f>
        <v>7</v>
      </c>
      <c r="D956" s="6" t="str">
        <f ca="1">IFERROR(__xludf.DUMMYFUNCTION("""COMPUTED_VALUE"""),"NO")</f>
        <v>NO</v>
      </c>
      <c r="E956" s="6" t="str">
        <f ca="1">IFERROR(__xludf.DUMMYFUNCTION("""COMPUTED_VALUE"""),"El Albir (Benidorm)")</f>
        <v>El Albir (Benidorm)</v>
      </c>
      <c r="F956" s="16">
        <f ca="1">IFERROR(__xludf.DUMMYFUNCTION("""COMPUTED_VALUE"""),45849)</f>
        <v>45849</v>
      </c>
      <c r="G956" s="16">
        <f ca="1">IFERROR(__xludf.DUMMYFUNCTION("""COMPUTED_VALUE"""),45812)</f>
        <v>45812</v>
      </c>
      <c r="H956" s="6" t="str">
        <f ca="1">IFERROR(__xludf.DUMMYFUNCTION("""COMPUTED_VALUE"""),"El Albir (Benidorm)")</f>
        <v>El Albir (Benidorm)</v>
      </c>
      <c r="I956" s="6" t="str">
        <f ca="1">IFERROR(__xludf.DUMMYFUNCTION("""COMPUTED_VALUE"""),"C20256911372588")</f>
        <v>C20256911372588</v>
      </c>
      <c r="J956" s="6" t="str">
        <f ca="1">IFERROR(__xludf.DUMMYFUNCTION("""COMPUTED_VALUE"""),"LODEWIJK REINIER VAN ROSSUM")</f>
        <v>LODEWIJK REINIER VAN ROSSUM</v>
      </c>
      <c r="K956" s="6">
        <f ca="1">IFERROR(__xludf.DUMMYFUNCTION("""COMPUTED_VALUE"""),2)</f>
        <v>2</v>
      </c>
      <c r="L956" s="139">
        <f ca="1">IFERROR(__xludf.DUMMYFUNCTION("""COMPUTED_VALUE"""),4000)</f>
        <v>4000</v>
      </c>
      <c r="M956" s="6" t="str">
        <f ca="1">IFERROR(__xludf.DUMMYFUNCTION("""COMPUTED_VALUE"""),"03 ORL")</f>
        <v>03 ORL</v>
      </c>
      <c r="N956" s="6" t="str">
        <f ca="1">IFERROR(__xludf.DUMMYFUNCTION("""COMPUTED_VALUE"""),"06 ORL")</f>
        <v>06 ORL</v>
      </c>
      <c r="O956" s="6" t="str">
        <f ca="1">IFERROR(__xludf.DUMMYFUNCTION("""COMPUTED_VALUE"""),"Dra, Salwa Laraqui Hossini")</f>
        <v>Dra, Salwa Laraqui Hossini</v>
      </c>
      <c r="P956" s="6" t="str">
        <f ca="1">IFERROR(__xludf.DUMMYFUNCTION("""COMPUTED_VALUE"""),"Iván Sánchez (Levante Y Albacete)")</f>
        <v>Iván Sánchez (Levante Y Albacete)</v>
      </c>
    </row>
    <row r="957" spans="2:16">
      <c r="B957" s="6">
        <f ca="1">IFERROR(__xludf.DUMMYFUNCTION("""COMPUTED_VALUE"""),2025)</f>
        <v>2025</v>
      </c>
      <c r="C957" s="6">
        <f ca="1">IFERROR(__xludf.DUMMYFUNCTION("""COMPUTED_VALUE"""),7)</f>
        <v>7</v>
      </c>
      <c r="D957" s="6" t="str">
        <f ca="1">IFERROR(__xludf.DUMMYFUNCTION("""COMPUTED_VALUE"""),"NO")</f>
        <v>NO</v>
      </c>
      <c r="E957" s="6" t="str">
        <f ca="1">IFERROR(__xludf.DUMMYFUNCTION("""COMPUTED_VALUE"""),"Jerez de la Frontera")</f>
        <v>Jerez de la Frontera</v>
      </c>
      <c r="F957" s="16">
        <f ca="1">IFERROR(__xludf.DUMMYFUNCTION("""COMPUTED_VALUE"""),45845)</f>
        <v>45845</v>
      </c>
      <c r="G957" s="16">
        <f ca="1">IFERROR(__xludf.DUMMYFUNCTION("""COMPUTED_VALUE"""),45804)</f>
        <v>45804</v>
      </c>
      <c r="H957" s="6" t="str">
        <f ca="1">IFERROR(__xludf.DUMMYFUNCTION("""COMPUTED_VALUE"""),"Jerez")</f>
        <v>Jerez</v>
      </c>
      <c r="I957" s="6" t="str">
        <f ca="1">IFERROR(__xludf.DUMMYFUNCTION("""COMPUTED_VALUE"""),"C2025529173113900")</f>
        <v>C2025529173113900</v>
      </c>
      <c r="J957" s="6" t="str">
        <f ca="1">IFERROR(__xludf.DUMMYFUNCTION("""COMPUTED_VALUE"""),"lucia  CARRASCO ROMAN")</f>
        <v>lucia  CARRASCO ROMAN</v>
      </c>
      <c r="K957" s="6">
        <f ca="1">IFERROR(__xludf.DUMMYFUNCTION("""COMPUTED_VALUE"""),2)</f>
        <v>2</v>
      </c>
      <c r="L957" s="139">
        <f ca="1">IFERROR(__xludf.DUMMYFUNCTION("""COMPUTED_VALUE"""),4000)</f>
        <v>4000</v>
      </c>
      <c r="M957" s="6" t="str">
        <f ca="1">IFERROR(__xludf.DUMMYFUNCTION("""COMPUTED_VALUE"""),"03 ORL")</f>
        <v>03 ORL</v>
      </c>
      <c r="N957" s="6" t="str">
        <f ca="1">IFERROR(__xludf.DUMMYFUNCTION("""COMPUTED_VALUE"""),"06 ORL")</f>
        <v>06 ORL</v>
      </c>
      <c r="O957" s="6" t="str">
        <f ca="1">IFERROR(__xludf.DUMMYFUNCTION("""COMPUTED_VALUE"""),"Dr, Juan Maza Solano")</f>
        <v>Dr, Juan Maza Solano</v>
      </c>
      <c r="P957" s="6" t="str">
        <f ca="1">IFERROR(__xludf.DUMMYFUNCTION("""COMPUTED_VALUE"""),"Luis Alberto Rodríguez (Andalucía y Badajoz)")</f>
        <v>Luis Alberto Rodríguez (Andalucía y Badajoz)</v>
      </c>
    </row>
    <row r="958" spans="2:16">
      <c r="B958" s="6">
        <f ca="1">IFERROR(__xludf.DUMMYFUNCTION("""COMPUTED_VALUE"""),2025)</f>
        <v>2025</v>
      </c>
      <c r="C958" s="6">
        <f ca="1">IFERROR(__xludf.DUMMYFUNCTION("""COMPUTED_VALUE"""),7)</f>
        <v>7</v>
      </c>
      <c r="D958" s="6" t="str">
        <f ca="1">IFERROR(__xludf.DUMMYFUNCTION("""COMPUTED_VALUE"""),"NO")</f>
        <v>NO</v>
      </c>
      <c r="E958" s="6" t="str">
        <f ca="1">IFERROR(__xludf.DUMMYFUNCTION("""COMPUTED_VALUE"""),"Leganés")</f>
        <v>Leganés</v>
      </c>
      <c r="F958" s="16">
        <f ca="1">IFERROR(__xludf.DUMMYFUNCTION("""COMPUTED_VALUE"""),45842)</f>
        <v>45842</v>
      </c>
      <c r="G958" s="16">
        <f ca="1">IFERROR(__xludf.DUMMYFUNCTION("""COMPUTED_VALUE"""),45804)</f>
        <v>45804</v>
      </c>
      <c r="H958" s="6" t="str">
        <f ca="1">IFERROR(__xludf.DUMMYFUNCTION("""COMPUTED_VALUE"""),"Leganés")</f>
        <v>Leganés</v>
      </c>
      <c r="I958" s="6" t="str">
        <f ca="1">IFERROR(__xludf.DUMMYFUNCTION("""COMPUTED_VALUE"""),"C202566163216826")</f>
        <v>C202566163216826</v>
      </c>
      <c r="J958" s="6" t="str">
        <f ca="1">IFERROR(__xludf.DUMMYFUNCTION("""COMPUTED_VALUE"""),"LUIS BERNAL BERNAL")</f>
        <v>LUIS BERNAL BERNAL</v>
      </c>
      <c r="K958" s="6">
        <f ca="1">IFERROR(__xludf.DUMMYFUNCTION("""COMPUTED_VALUE"""),2)</f>
        <v>2</v>
      </c>
      <c r="L958" s="139">
        <f ca="1">IFERROR(__xludf.DUMMYFUNCTION("""COMPUTED_VALUE"""),3604.55)</f>
        <v>3604.55</v>
      </c>
      <c r="M958" s="6" t="str">
        <f ca="1">IFERROR(__xludf.DUMMYFUNCTION("""COMPUTED_VALUE"""),"03 ORL")</f>
        <v>03 ORL</v>
      </c>
      <c r="N958" s="6" t="str">
        <f ca="1">IFERROR(__xludf.DUMMYFUNCTION("""COMPUTED_VALUE"""),"06 ORL")</f>
        <v>06 ORL</v>
      </c>
      <c r="O958" s="6" t="str">
        <f ca="1">IFERROR(__xludf.DUMMYFUNCTION("""COMPUTED_VALUE"""),"Dra, Inmaculada Sancho Martín")</f>
        <v>Dra, Inmaculada Sancho Martín</v>
      </c>
      <c r="P958" s="6" t="str">
        <f ca="1">IFERROR(__xludf.DUMMYFUNCTION("""COMPUTED_VALUE"""),"Maika Blázquez (Madrid)")</f>
        <v>Maika Blázquez (Madrid)</v>
      </c>
    </row>
    <row r="959" spans="2:16">
      <c r="B959" s="6">
        <f ca="1">IFERROR(__xludf.DUMMYFUNCTION("""COMPUTED_VALUE"""),2025)</f>
        <v>2025</v>
      </c>
      <c r="C959" s="6">
        <f ca="1">IFERROR(__xludf.DUMMYFUNCTION("""COMPUTED_VALUE"""),7)</f>
        <v>7</v>
      </c>
      <c r="D959" s="6" t="str">
        <f ca="1">IFERROR(__xludf.DUMMYFUNCTION("""COMPUTED_VALUE"""),"NO")</f>
        <v>NO</v>
      </c>
      <c r="E959" s="6" t="str">
        <f ca="1">IFERROR(__xludf.DUMMYFUNCTION("""COMPUTED_VALUE"""),"Almería")</f>
        <v>Almería</v>
      </c>
      <c r="F959" s="16">
        <f ca="1">IFERROR(__xludf.DUMMYFUNCTION("""COMPUTED_VALUE"""),45863)</f>
        <v>45863</v>
      </c>
      <c r="G959" s="16">
        <f ca="1">IFERROR(__xludf.DUMMYFUNCTION("""COMPUTED_VALUE"""),45845)</f>
        <v>45845</v>
      </c>
      <c r="H959" s="6" t="str">
        <f ca="1">IFERROR(__xludf.DUMMYFUNCTION("""COMPUTED_VALUE"""),"Almería")</f>
        <v>Almería</v>
      </c>
      <c r="I959" s="6" t="str">
        <f ca="1">IFERROR(__xludf.DUMMYFUNCTION("""COMPUTED_VALUE"""),"C2025715101924623")</f>
        <v>C2025715101924623</v>
      </c>
      <c r="J959" s="6" t="str">
        <f ca="1">IFERROR(__xludf.DUMMYFUNCTION("""COMPUTED_VALUE"""),"LUISA  GONZALEZ RUEDA")</f>
        <v>LUISA  GONZALEZ RUEDA</v>
      </c>
      <c r="K959" s="6">
        <f ca="1">IFERROR(__xludf.DUMMYFUNCTION("""COMPUTED_VALUE"""),1)</f>
        <v>1</v>
      </c>
      <c r="L959" s="139">
        <f ca="1">IFERROR(__xludf.DUMMYFUNCTION("""COMPUTED_VALUE"""),1631.82)</f>
        <v>1631.82</v>
      </c>
      <c r="M959" s="6" t="str">
        <f ca="1">IFERROR(__xludf.DUMMYFUNCTION("""COMPUTED_VALUE"""),"03 ORL")</f>
        <v>03 ORL</v>
      </c>
      <c r="N959" s="6" t="str">
        <f ca="1">IFERROR(__xludf.DUMMYFUNCTION("""COMPUTED_VALUE"""),"06 ORL")</f>
        <v>06 ORL</v>
      </c>
      <c r="O959" s="6" t="str">
        <f ca="1">IFERROR(__xludf.DUMMYFUNCTION("""COMPUTED_VALUE"""),"Dr, Antonio José Fernández Pérez")</f>
        <v>Dr, Antonio José Fernández Pérez</v>
      </c>
      <c r="P959" s="6" t="str">
        <f ca="1">IFERROR(__xludf.DUMMYFUNCTION("""COMPUTED_VALUE"""),"Ramon Ferrando(Valencia)")</f>
        <v>Ramon Ferrando(Valencia)</v>
      </c>
    </row>
    <row r="960" spans="2:16">
      <c r="B960" s="6">
        <f ca="1">IFERROR(__xludf.DUMMYFUNCTION("""COMPUTED_VALUE"""),2025)</f>
        <v>2025</v>
      </c>
      <c r="C960" s="6">
        <f ca="1">IFERROR(__xludf.DUMMYFUNCTION("""COMPUTED_VALUE"""),7)</f>
        <v>7</v>
      </c>
      <c r="D960" s="6" t="str">
        <f ca="1">IFERROR(__xludf.DUMMYFUNCTION("""COMPUTED_VALUE"""),"NO")</f>
        <v>NO</v>
      </c>
      <c r="E960" s="6" t="str">
        <f ca="1">IFERROR(__xludf.DUMMYFUNCTION("""COMPUTED_VALUE"""),"Leganés")</f>
        <v>Leganés</v>
      </c>
      <c r="F960" s="16">
        <f ca="1">IFERROR(__xludf.DUMMYFUNCTION("""COMPUTED_VALUE"""),45859)</f>
        <v>45859</v>
      </c>
      <c r="G960" s="16">
        <f ca="1">IFERROR(__xludf.DUMMYFUNCTION("""COMPUTED_VALUE"""),45831)</f>
        <v>45831</v>
      </c>
      <c r="H960" s="6" t="str">
        <f ca="1">IFERROR(__xludf.DUMMYFUNCTION("""COMPUTED_VALUE"""),"Leganés")</f>
        <v>Leganés</v>
      </c>
      <c r="I960" s="6" t="str">
        <f ca="1">IFERROR(__xludf.DUMMYFUNCTION("""COMPUTED_VALUE"""),"C202571112926269")</f>
        <v>C202571112926269</v>
      </c>
      <c r="J960" s="6" t="str">
        <f ca="1">IFERROR(__xludf.DUMMYFUNCTION("""COMPUTED_VALUE"""),"MAGDALENA GOMEZ REBOLLO")</f>
        <v>MAGDALENA GOMEZ REBOLLO</v>
      </c>
      <c r="K960" s="6">
        <f ca="1">IFERROR(__xludf.DUMMYFUNCTION("""COMPUTED_VALUE"""),2)</f>
        <v>2</v>
      </c>
      <c r="L960" s="139">
        <f ca="1">IFERROR(__xludf.DUMMYFUNCTION("""COMPUTED_VALUE"""),3604.55)</f>
        <v>3604.55</v>
      </c>
      <c r="M960" s="6" t="str">
        <f ca="1">IFERROR(__xludf.DUMMYFUNCTION("""COMPUTED_VALUE"""),"03 ORL")</f>
        <v>03 ORL</v>
      </c>
      <c r="N960" s="6" t="str">
        <f ca="1">IFERROR(__xludf.DUMMYFUNCTION("""COMPUTED_VALUE"""),"06 ORL")</f>
        <v>06 ORL</v>
      </c>
      <c r="O960" s="6" t="str">
        <f ca="1">IFERROR(__xludf.DUMMYFUNCTION("""COMPUTED_VALUE"""),"Dra, Mar Lasso de la Vega Zamora")</f>
        <v>Dra, Mar Lasso de la Vega Zamora</v>
      </c>
      <c r="P960" s="6" t="str">
        <f ca="1">IFERROR(__xludf.DUMMYFUNCTION("""COMPUTED_VALUE"""),"Maika Blázquez (Madrid)")</f>
        <v>Maika Blázquez (Madrid)</v>
      </c>
    </row>
    <row r="961" spans="2:16">
      <c r="B961" s="6">
        <f ca="1">IFERROR(__xludf.DUMMYFUNCTION("""COMPUTED_VALUE"""),2025)</f>
        <v>2025</v>
      </c>
      <c r="C961" s="6">
        <f ca="1">IFERROR(__xludf.DUMMYFUNCTION("""COMPUTED_VALUE"""),7)</f>
        <v>7</v>
      </c>
      <c r="D961" s="6" t="str">
        <f ca="1">IFERROR(__xludf.DUMMYFUNCTION("""COMPUTED_VALUE"""),"NO")</f>
        <v>NO</v>
      </c>
      <c r="E961" s="6" t="str">
        <f ca="1">IFERROR(__xludf.DUMMYFUNCTION("""COMPUTED_VALUE"""),"Leganés")</f>
        <v>Leganés</v>
      </c>
      <c r="F961" s="16">
        <f ca="1">IFERROR(__xludf.DUMMYFUNCTION("""COMPUTED_VALUE"""),45859)</f>
        <v>45859</v>
      </c>
      <c r="G961" s="16">
        <f ca="1">IFERROR(__xludf.DUMMYFUNCTION("""COMPUTED_VALUE"""),45783)</f>
        <v>45783</v>
      </c>
      <c r="H961" s="6" t="str">
        <f ca="1">IFERROR(__xludf.DUMMYFUNCTION("""COMPUTED_VALUE"""),"Leganés")</f>
        <v>Leganés</v>
      </c>
      <c r="I961" s="6" t="str">
        <f ca="1">IFERROR(__xludf.DUMMYFUNCTION("""COMPUTED_VALUE"""),"C2025512104845211")</f>
        <v>C2025512104845211</v>
      </c>
      <c r="J961" s="6" t="str">
        <f ca="1">IFERROR(__xludf.DUMMYFUNCTION("""COMPUTED_VALUE"""),"MANUEL FLORES COLLAZOS")</f>
        <v>MANUEL FLORES COLLAZOS</v>
      </c>
      <c r="K961" s="6">
        <f ca="1">IFERROR(__xludf.DUMMYFUNCTION("""COMPUTED_VALUE"""),1)</f>
        <v>1</v>
      </c>
      <c r="L961" s="139">
        <f ca="1">IFERROR(__xludf.DUMMYFUNCTION("""COMPUTED_VALUE"""),2162.73)</f>
        <v>2162.73</v>
      </c>
      <c r="M961" s="6" t="str">
        <f ca="1">IFERROR(__xludf.DUMMYFUNCTION("""COMPUTED_VALUE"""),"03 ORL")</f>
        <v>03 ORL</v>
      </c>
      <c r="N961" s="6" t="str">
        <f ca="1">IFERROR(__xludf.DUMMYFUNCTION("""COMPUTED_VALUE"""),"06 ORL")</f>
        <v>06 ORL</v>
      </c>
      <c r="O961" s="6" t="str">
        <f ca="1">IFERROR(__xludf.DUMMYFUNCTION("""COMPUTED_VALUE"""),"Dr, Carles Heredia Llinás")</f>
        <v>Dr, Carles Heredia Llinás</v>
      </c>
      <c r="P961" s="6" t="str">
        <f ca="1">IFERROR(__xludf.DUMMYFUNCTION("""COMPUTED_VALUE"""),"Maika Blázquez (Madrid)")</f>
        <v>Maika Blázquez (Madrid)</v>
      </c>
    </row>
    <row r="962" spans="2:16">
      <c r="B962" s="6">
        <f ca="1">IFERROR(__xludf.DUMMYFUNCTION("""COMPUTED_VALUE"""),2025)</f>
        <v>2025</v>
      </c>
      <c r="C962" s="6">
        <f ca="1">IFERROR(__xludf.DUMMYFUNCTION("""COMPUTED_VALUE"""),7)</f>
        <v>7</v>
      </c>
      <c r="D962" s="6" t="str">
        <f ca="1">IFERROR(__xludf.DUMMYFUNCTION("""COMPUTED_VALUE"""),"NO")</f>
        <v>NO</v>
      </c>
      <c r="E962" s="6" t="str">
        <f ca="1">IFERROR(__xludf.DUMMYFUNCTION("""COMPUTED_VALUE"""),"Barcelona- Córcega")</f>
        <v>Barcelona- Córcega</v>
      </c>
      <c r="F962" s="16">
        <f ca="1">IFERROR(__xludf.DUMMYFUNCTION("""COMPUTED_VALUE"""),45839)</f>
        <v>45839</v>
      </c>
      <c r="G962" s="16">
        <f ca="1">IFERROR(__xludf.DUMMYFUNCTION("""COMPUTED_VALUE"""),45793)</f>
        <v>45793</v>
      </c>
      <c r="H962" s="6" t="str">
        <f ca="1">IFERROR(__xludf.DUMMYFUNCTION("""COMPUTED_VALUE"""),"Córcega")</f>
        <v>Córcega</v>
      </c>
      <c r="I962" s="6" t="str">
        <f ca="1">IFERROR(__xludf.DUMMYFUNCTION("""COMPUTED_VALUE"""),"C20256294131115")</f>
        <v>C20256294131115</v>
      </c>
      <c r="J962" s="6" t="str">
        <f ca="1">IFERROR(__xludf.DUMMYFUNCTION("""COMPUTED_VALUE"""),"MARIA DEL CARMEN  VILAMAJO NOLLA")</f>
        <v>MARIA DEL CARMEN  VILAMAJO NOLLA</v>
      </c>
      <c r="K962" s="6">
        <f ca="1">IFERROR(__xludf.DUMMYFUNCTION("""COMPUTED_VALUE"""),2)</f>
        <v>2</v>
      </c>
      <c r="L962" s="139">
        <f ca="1">IFERROR(__xludf.DUMMYFUNCTION("""COMPUTED_VALUE"""),3710)</f>
        <v>3710</v>
      </c>
      <c r="M962" s="6" t="str">
        <f ca="1">IFERROR(__xludf.DUMMYFUNCTION("""COMPUTED_VALUE"""),"03 ORL")</f>
        <v>03 ORL</v>
      </c>
      <c r="N962" s="6" t="str">
        <f ca="1">IFERROR(__xludf.DUMMYFUNCTION("""COMPUTED_VALUE"""),"06 ORL")</f>
        <v>06 ORL</v>
      </c>
      <c r="O962" s="6" t="str">
        <f ca="1">IFERROR(__xludf.DUMMYFUNCTION("""COMPUTED_VALUE"""),"Dr, Darío Agudelo García")</f>
        <v>Dr, Darío Agudelo García</v>
      </c>
      <c r="P962" s="6" t="str">
        <f ca="1">IFERROR(__xludf.DUMMYFUNCTION("""COMPUTED_VALUE"""),"Mercè Cabrera (Cataluña Y Baleares)")</f>
        <v>Mercè Cabrera (Cataluña Y Baleares)</v>
      </c>
    </row>
    <row r="963" spans="2:16">
      <c r="B963" s="6">
        <f ca="1">IFERROR(__xludf.DUMMYFUNCTION("""COMPUTED_VALUE"""),2025)</f>
        <v>2025</v>
      </c>
      <c r="C963" s="6">
        <f ca="1">IFERROR(__xludf.DUMMYFUNCTION("""COMPUTED_VALUE"""),7)</f>
        <v>7</v>
      </c>
      <c r="D963" s="6" t="str">
        <f ca="1">IFERROR(__xludf.DUMMYFUNCTION("""COMPUTED_VALUE"""),"NO")</f>
        <v>NO</v>
      </c>
      <c r="E963" s="6" t="str">
        <f ca="1">IFERROR(__xludf.DUMMYFUNCTION("""COMPUTED_VALUE"""),"Ourense")</f>
        <v>Ourense</v>
      </c>
      <c r="F963" s="16">
        <f ca="1">IFERROR(__xludf.DUMMYFUNCTION("""COMPUTED_VALUE"""),45848)</f>
        <v>45848</v>
      </c>
      <c r="G963" s="16">
        <f ca="1">IFERROR(__xludf.DUMMYFUNCTION("""COMPUTED_VALUE"""),45818)</f>
        <v>45818</v>
      </c>
      <c r="H963" s="6" t="str">
        <f ca="1">IFERROR(__xludf.DUMMYFUNCTION("""COMPUTED_VALUE"""),"Orense")</f>
        <v>Orense</v>
      </c>
      <c r="I963" s="6" t="str">
        <f ca="1">IFERROR(__xludf.DUMMYFUNCTION("""COMPUTED_VALUE"""),"C202561211128538")</f>
        <v>C202561211128538</v>
      </c>
      <c r="J963" s="6" t="str">
        <f ca="1">IFERROR(__xludf.DUMMYFUNCTION("""COMPUTED_VALUE"""),"MARIA DEL CARMEN FERNANDEZ PATO")</f>
        <v>MARIA DEL CARMEN FERNANDEZ PATO</v>
      </c>
      <c r="K963" s="6">
        <f ca="1">IFERROR(__xludf.DUMMYFUNCTION("""COMPUTED_VALUE"""),2)</f>
        <v>2</v>
      </c>
      <c r="L963" s="139">
        <f ca="1">IFERROR(__xludf.DUMMYFUNCTION("""COMPUTED_VALUE"""),3710)</f>
        <v>3710</v>
      </c>
      <c r="M963" s="6" t="str">
        <f ca="1">IFERROR(__xludf.DUMMYFUNCTION("""COMPUTED_VALUE"""),"03 ORL")</f>
        <v>03 ORL</v>
      </c>
      <c r="N963" s="6" t="str">
        <f ca="1">IFERROR(__xludf.DUMMYFUNCTION("""COMPUTED_VALUE"""),"06 ORL")</f>
        <v>06 ORL</v>
      </c>
      <c r="O963" s="6" t="str">
        <f ca="1">IFERROR(__xludf.DUMMYFUNCTION("""COMPUTED_VALUE"""),"Dr, Gonzalo Dorado Gutiérrez")</f>
        <v>Dr, Gonzalo Dorado Gutiérrez</v>
      </c>
      <c r="P963" s="6" t="str">
        <f ca="1">IFERROR(__xludf.DUMMYFUNCTION("""COMPUTED_VALUE"""),"Roberto Pereira (Galicia)")</f>
        <v>Roberto Pereira (Galicia)</v>
      </c>
    </row>
    <row r="964" spans="2:16">
      <c r="B964" s="6">
        <f ca="1">IFERROR(__xludf.DUMMYFUNCTION("""COMPUTED_VALUE"""),2025)</f>
        <v>2025</v>
      </c>
      <c r="C964" s="6">
        <f ca="1">IFERROR(__xludf.DUMMYFUNCTION("""COMPUTED_VALUE"""),7)</f>
        <v>7</v>
      </c>
      <c r="D964" s="6" t="str">
        <f ca="1">IFERROR(__xludf.DUMMYFUNCTION("""COMPUTED_VALUE"""),"NO")</f>
        <v>NO</v>
      </c>
      <c r="E964" s="6" t="str">
        <f ca="1">IFERROR(__xludf.DUMMYFUNCTION("""COMPUTED_VALUE"""),"Sevilla- Montoto")</f>
        <v>Sevilla- Montoto</v>
      </c>
      <c r="F964" s="16">
        <f ca="1">IFERROR(__xludf.DUMMYFUNCTION("""COMPUTED_VALUE"""),45842)</f>
        <v>45842</v>
      </c>
      <c r="G964" s="16">
        <f ca="1">IFERROR(__xludf.DUMMYFUNCTION("""COMPUTED_VALUE"""),45789)</f>
        <v>45789</v>
      </c>
      <c r="H964" s="6" t="str">
        <f ca="1">IFERROR(__xludf.DUMMYFUNCTION("""COMPUTED_VALUE"""),"Montoto")</f>
        <v>Montoto</v>
      </c>
      <c r="I964" s="6" t="str">
        <f ca="1">IFERROR(__xludf.DUMMYFUNCTION("""COMPUTED_VALUE"""),"C202551412512587")</f>
        <v>C202551412512587</v>
      </c>
      <c r="J964" s="6" t="str">
        <f ca="1">IFERROR(__xludf.DUMMYFUNCTION("""COMPUTED_VALUE"""),"MARIA DEL CARMEN SUAREZ BONILLA")</f>
        <v>MARIA DEL CARMEN SUAREZ BONILLA</v>
      </c>
      <c r="K964" s="6">
        <f ca="1">IFERROR(__xludf.DUMMYFUNCTION("""COMPUTED_VALUE"""),2)</f>
        <v>2</v>
      </c>
      <c r="L964" s="139">
        <f ca="1">IFERROR(__xludf.DUMMYFUNCTION("""COMPUTED_VALUE"""),4304.55)</f>
        <v>4304.55</v>
      </c>
      <c r="M964" s="6" t="str">
        <f ca="1">IFERROR(__xludf.DUMMYFUNCTION("""COMPUTED_VALUE"""),"03 ORL")</f>
        <v>03 ORL</v>
      </c>
      <c r="N964" s="6" t="str">
        <f ca="1">IFERROR(__xludf.DUMMYFUNCTION("""COMPUTED_VALUE"""),"06 ORL")</f>
        <v>06 ORL</v>
      </c>
      <c r="O964" s="6" t="str">
        <f ca="1">IFERROR(__xludf.DUMMYFUNCTION("""COMPUTED_VALUE"""),"Dra, Rocío Corrales Martín")</f>
        <v>Dra, Rocío Corrales Martín</v>
      </c>
      <c r="P964" s="6" t="str">
        <f ca="1">IFERROR(__xludf.DUMMYFUNCTION("""COMPUTED_VALUE"""),"Luis Alberto Rodríguez (Andalucía y Badajoz)")</f>
        <v>Luis Alberto Rodríguez (Andalucía y Badajoz)</v>
      </c>
    </row>
    <row r="965" spans="2:16">
      <c r="B965" s="6">
        <f ca="1">IFERROR(__xludf.DUMMYFUNCTION("""COMPUTED_VALUE"""),2025)</f>
        <v>2025</v>
      </c>
      <c r="C965" s="6">
        <f ca="1">IFERROR(__xludf.DUMMYFUNCTION("""COMPUTED_VALUE"""),7)</f>
        <v>7</v>
      </c>
      <c r="D965" s="6" t="str">
        <f ca="1">IFERROR(__xludf.DUMMYFUNCTION("""COMPUTED_VALUE"""),"NO")</f>
        <v>NO</v>
      </c>
      <c r="E965" s="6" t="str">
        <f ca="1">IFERROR(__xludf.DUMMYFUNCTION("""COMPUTED_VALUE"""),"Madrid- Juan Bravo")</f>
        <v>Madrid- Juan Bravo</v>
      </c>
      <c r="F965" s="16">
        <f ca="1">IFERROR(__xludf.DUMMYFUNCTION("""COMPUTED_VALUE"""),45846)</f>
        <v>45846</v>
      </c>
      <c r="G965" s="16">
        <f ca="1">IFERROR(__xludf.DUMMYFUNCTION("""COMPUTED_VALUE"""),45806)</f>
        <v>45806</v>
      </c>
      <c r="H965" s="6" t="str">
        <f ca="1">IFERROR(__xludf.DUMMYFUNCTION("""COMPUTED_VALUE"""),"Juan Bravo")</f>
        <v>Juan Bravo</v>
      </c>
      <c r="I965" s="6" t="str">
        <f ca="1">IFERROR(__xludf.DUMMYFUNCTION("""COMPUTED_VALUE"""),"C202563121418400")</f>
        <v>C202563121418400</v>
      </c>
      <c r="J965" s="6" t="str">
        <f ca="1">IFERROR(__xludf.DUMMYFUNCTION("""COMPUTED_VALUE"""),"MARIA DEL CASTAÑAR SAAVEDRA CORTES")</f>
        <v>MARIA DEL CASTAÑAR SAAVEDRA CORTES</v>
      </c>
      <c r="K965" s="6">
        <f ca="1">IFERROR(__xludf.DUMMYFUNCTION("""COMPUTED_VALUE"""),2)</f>
        <v>2</v>
      </c>
      <c r="L965" s="139">
        <f ca="1">IFERROR(__xludf.DUMMYFUNCTION("""COMPUTED_VALUE"""),4000)</f>
        <v>4000</v>
      </c>
      <c r="M965" s="6" t="str">
        <f ca="1">IFERROR(__xludf.DUMMYFUNCTION("""COMPUTED_VALUE"""),"03 ORL")</f>
        <v>03 ORL</v>
      </c>
      <c r="N965" s="6" t="str">
        <f ca="1">IFERROR(__xludf.DUMMYFUNCTION("""COMPUTED_VALUE"""),"06 ORL")</f>
        <v>06 ORL</v>
      </c>
      <c r="O965" s="6" t="str">
        <f ca="1">IFERROR(__xludf.DUMMYFUNCTION("""COMPUTED_VALUE"""),"Dr, Joaquín Alacio Casero")</f>
        <v>Dr, Joaquín Alacio Casero</v>
      </c>
      <c r="P965" s="6" t="str">
        <f ca="1">IFERROR(__xludf.DUMMYFUNCTION("""COMPUTED_VALUE"""),"Maika Blázquez (Madrid)")</f>
        <v>Maika Blázquez (Madrid)</v>
      </c>
    </row>
    <row r="966" spans="2:16">
      <c r="B966" s="6">
        <f ca="1">IFERROR(__xludf.DUMMYFUNCTION("""COMPUTED_VALUE"""),2025)</f>
        <v>2025</v>
      </c>
      <c r="C966" s="6">
        <f ca="1">IFERROR(__xludf.DUMMYFUNCTION("""COMPUTED_VALUE"""),7)</f>
        <v>7</v>
      </c>
      <c r="D966" s="6" t="str">
        <f ca="1">IFERROR(__xludf.DUMMYFUNCTION("""COMPUTED_VALUE"""),"NO")</f>
        <v>NO</v>
      </c>
      <c r="E966" s="6" t="str">
        <f ca="1">IFERROR(__xludf.DUMMYFUNCTION("""COMPUTED_VALUE"""),"Lugo")</f>
        <v>Lugo</v>
      </c>
      <c r="F966" s="16">
        <f ca="1">IFERROR(__xludf.DUMMYFUNCTION("""COMPUTED_VALUE"""),45853)</f>
        <v>45853</v>
      </c>
      <c r="G966" s="16">
        <f ca="1">IFERROR(__xludf.DUMMYFUNCTION("""COMPUTED_VALUE"""),45803)</f>
        <v>45803</v>
      </c>
      <c r="H966" s="6" t="str">
        <f ca="1">IFERROR(__xludf.DUMMYFUNCTION("""COMPUTED_VALUE"""),"Lugo")</f>
        <v>Lugo</v>
      </c>
      <c r="I966" s="6" t="str">
        <f ca="1">IFERROR(__xludf.DUMMYFUNCTION("""COMPUTED_VALUE"""),"C2025618173042757")</f>
        <v>C2025618173042757</v>
      </c>
      <c r="J966" s="6" t="str">
        <f ca="1">IFERROR(__xludf.DUMMYFUNCTION("""COMPUTED_VALUE"""),"MARIA DEL PILAR DOMINGUEZ SANTISO")</f>
        <v>MARIA DEL PILAR DOMINGUEZ SANTISO</v>
      </c>
      <c r="K966" s="6">
        <f ca="1">IFERROR(__xludf.DUMMYFUNCTION("""COMPUTED_VALUE"""),2)</f>
        <v>2</v>
      </c>
      <c r="L966" s="139">
        <f ca="1">IFERROR(__xludf.DUMMYFUNCTION("""COMPUTED_VALUE"""),3710)</f>
        <v>3710</v>
      </c>
      <c r="M966" s="6" t="str">
        <f ca="1">IFERROR(__xludf.DUMMYFUNCTION("""COMPUTED_VALUE"""),"03 ORL")</f>
        <v>03 ORL</v>
      </c>
      <c r="N966" s="6" t="str">
        <f ca="1">IFERROR(__xludf.DUMMYFUNCTION("""COMPUTED_VALUE"""),"06 ORL")</f>
        <v>06 ORL</v>
      </c>
      <c r="O966" s="6" t="str">
        <f ca="1">IFERROR(__xludf.DUMMYFUNCTION("""COMPUTED_VALUE"""),"Dr, Pedro Juiz López")</f>
        <v>Dr, Pedro Juiz López</v>
      </c>
      <c r="P966" s="6" t="str">
        <f ca="1">IFERROR(__xludf.DUMMYFUNCTION("""COMPUTED_VALUE"""),"Roberto Pereira (Galicia)")</f>
        <v>Roberto Pereira (Galicia)</v>
      </c>
    </row>
    <row r="967" spans="2:16">
      <c r="B967" s="6">
        <f ca="1">IFERROR(__xludf.DUMMYFUNCTION("""COMPUTED_VALUE"""),2025)</f>
        <v>2025</v>
      </c>
      <c r="C967" s="6">
        <f ca="1">IFERROR(__xludf.DUMMYFUNCTION("""COMPUTED_VALUE"""),7)</f>
        <v>7</v>
      </c>
      <c r="D967" s="6" t="str">
        <f ca="1">IFERROR(__xludf.DUMMYFUNCTION("""COMPUTED_VALUE"""),"NO")</f>
        <v>NO</v>
      </c>
      <c r="E967" s="6" t="str">
        <f ca="1">IFERROR(__xludf.DUMMYFUNCTION("""COMPUTED_VALUE"""),"Madrid- Moratalaz")</f>
        <v>Madrid- Moratalaz</v>
      </c>
      <c r="F967" s="16">
        <f ca="1">IFERROR(__xludf.DUMMYFUNCTION("""COMPUTED_VALUE"""),45854)</f>
        <v>45854</v>
      </c>
      <c r="G967" s="16">
        <f ca="1">IFERROR(__xludf.DUMMYFUNCTION("""COMPUTED_VALUE"""),45827)</f>
        <v>45827</v>
      </c>
      <c r="H967" s="6" t="str">
        <f ca="1">IFERROR(__xludf.DUMMYFUNCTION("""COMPUTED_VALUE"""),"Moratalaz")</f>
        <v>Moratalaz</v>
      </c>
      <c r="I967" s="6" t="str">
        <f ca="1">IFERROR(__xludf.DUMMYFUNCTION("""COMPUTED_VALUE"""),"C2025625101015336")</f>
        <v>C2025625101015336</v>
      </c>
      <c r="J967" s="6" t="str">
        <f ca="1">IFERROR(__xludf.DUMMYFUNCTION("""COMPUTED_VALUE"""),"MARIA JESUS VILLAREAL VILLAREAL")</f>
        <v>MARIA JESUS VILLAREAL VILLAREAL</v>
      </c>
      <c r="K967" s="6">
        <f ca="1">IFERROR(__xludf.DUMMYFUNCTION("""COMPUTED_VALUE"""),2)</f>
        <v>2</v>
      </c>
      <c r="L967" s="139">
        <f ca="1">IFERROR(__xludf.DUMMYFUNCTION("""COMPUTED_VALUE"""),4000)</f>
        <v>4000</v>
      </c>
      <c r="M967" s="6" t="str">
        <f ca="1">IFERROR(__xludf.DUMMYFUNCTION("""COMPUTED_VALUE"""),"03 ORL")</f>
        <v>03 ORL</v>
      </c>
      <c r="N967" s="6" t="str">
        <f ca="1">IFERROR(__xludf.DUMMYFUNCTION("""COMPUTED_VALUE"""),"06 ORL")</f>
        <v>06 ORL</v>
      </c>
      <c r="O967" s="6" t="str">
        <f ca="1">IFERROR(__xludf.DUMMYFUNCTION("""COMPUTED_VALUE"""),"Dr, Julio López Moya")</f>
        <v>Dr, Julio López Moya</v>
      </c>
      <c r="P967" s="6" t="str">
        <f ca="1">IFERROR(__xludf.DUMMYFUNCTION("""COMPUTED_VALUE"""),"Maika Blázquez (Madrid)")</f>
        <v>Maika Blázquez (Madrid)</v>
      </c>
    </row>
    <row r="968" spans="2:16">
      <c r="B968" s="6">
        <f ca="1">IFERROR(__xludf.DUMMYFUNCTION("""COMPUTED_VALUE"""),2025)</f>
        <v>2025</v>
      </c>
      <c r="C968" s="6">
        <f ca="1">IFERROR(__xludf.DUMMYFUNCTION("""COMPUTED_VALUE"""),7)</f>
        <v>7</v>
      </c>
      <c r="D968" s="6" t="str">
        <f ca="1">IFERROR(__xludf.DUMMYFUNCTION("""COMPUTED_VALUE"""),"NO")</f>
        <v>NO</v>
      </c>
      <c r="E968" s="6" t="str">
        <f ca="1">IFERROR(__xludf.DUMMYFUNCTION("""COMPUTED_VALUE"""),"Madrid- Juan Bravo")</f>
        <v>Madrid- Juan Bravo</v>
      </c>
      <c r="F968" s="16">
        <f ca="1">IFERROR(__xludf.DUMMYFUNCTION("""COMPUTED_VALUE"""),45848)</f>
        <v>45848</v>
      </c>
      <c r="G968" s="16">
        <f ca="1">IFERROR(__xludf.DUMMYFUNCTION("""COMPUTED_VALUE"""),45800)</f>
        <v>45800</v>
      </c>
      <c r="H968" s="6" t="str">
        <f ca="1">IFERROR(__xludf.DUMMYFUNCTION("""COMPUTED_VALUE"""),"Juan Bravo")</f>
        <v>Juan Bravo</v>
      </c>
      <c r="I968" s="6" t="str">
        <f ca="1">IFERROR(__xludf.DUMMYFUNCTION("""COMPUTED_VALUE"""),"C20256615416855")</f>
        <v>C20256615416855</v>
      </c>
      <c r="J968" s="6" t="str">
        <f ca="1">IFERROR(__xludf.DUMMYFUNCTION("""COMPUTED_VALUE"""),"MARIA JOSE  GUTIERREZ GUTIERREZ")</f>
        <v>MARIA JOSE  GUTIERREZ GUTIERREZ</v>
      </c>
      <c r="K968" s="6">
        <f ca="1">IFERROR(__xludf.DUMMYFUNCTION("""COMPUTED_VALUE"""),1)</f>
        <v>1</v>
      </c>
      <c r="L968" s="139">
        <f ca="1">IFERROR(__xludf.DUMMYFUNCTION("""COMPUTED_VALUE"""),2280)</f>
        <v>2280</v>
      </c>
      <c r="M968" s="6" t="str">
        <f ca="1">IFERROR(__xludf.DUMMYFUNCTION("""COMPUTED_VALUE"""),"03 ORL")</f>
        <v>03 ORL</v>
      </c>
      <c r="N968" s="6" t="str">
        <f ca="1">IFERROR(__xludf.DUMMYFUNCTION("""COMPUTED_VALUE"""),"06 ORL")</f>
        <v>06 ORL</v>
      </c>
      <c r="O968" s="6" t="str">
        <f ca="1">IFERROR(__xludf.DUMMYFUNCTION("""COMPUTED_VALUE"""),"Dra, Laura Garrido García")</f>
        <v>Dra, Laura Garrido García</v>
      </c>
      <c r="P968" s="6" t="str">
        <f ca="1">IFERROR(__xludf.DUMMYFUNCTION("""COMPUTED_VALUE"""),"Maika Blázquez (Madrid)")</f>
        <v>Maika Blázquez (Madrid)</v>
      </c>
    </row>
    <row r="969" spans="2:16">
      <c r="B969" s="6">
        <f ca="1">IFERROR(__xludf.DUMMYFUNCTION("""COMPUTED_VALUE"""),2025)</f>
        <v>2025</v>
      </c>
      <c r="C969" s="6">
        <f ca="1">IFERROR(__xludf.DUMMYFUNCTION("""COMPUTED_VALUE"""),7)</f>
        <v>7</v>
      </c>
      <c r="D969" s="6" t="str">
        <f ca="1">IFERROR(__xludf.DUMMYFUNCTION("""COMPUTED_VALUE"""),"NO")</f>
        <v>NO</v>
      </c>
      <c r="E969" s="6" t="str">
        <f ca="1">IFERROR(__xludf.DUMMYFUNCTION("""COMPUTED_VALUE"""),"Sevilla- Montoto")</f>
        <v>Sevilla- Montoto</v>
      </c>
      <c r="F969" s="16">
        <f ca="1">IFERROR(__xludf.DUMMYFUNCTION("""COMPUTED_VALUE"""),45862)</f>
        <v>45862</v>
      </c>
      <c r="G969" s="16">
        <f ca="1">IFERROR(__xludf.DUMMYFUNCTION("""COMPUTED_VALUE"""),45777)</f>
        <v>45777</v>
      </c>
      <c r="H969" s="6" t="str">
        <f ca="1">IFERROR(__xludf.DUMMYFUNCTION("""COMPUTED_VALUE"""),"Montoto")</f>
        <v>Montoto</v>
      </c>
      <c r="I969" s="6" t="str">
        <f ca="1">IFERROR(__xludf.DUMMYFUNCTION("""COMPUTED_VALUE"""),"C202555112845907")</f>
        <v>C202555112845907</v>
      </c>
      <c r="J969" s="6" t="str">
        <f ca="1">IFERROR(__xludf.DUMMYFUNCTION("""COMPUTED_VALUE"""),"MARIA JOSEFA MARTINEZ SANDÁ")</f>
        <v>MARIA JOSEFA MARTINEZ SANDÁ</v>
      </c>
      <c r="K969" s="6">
        <f ca="1">IFERROR(__xludf.DUMMYFUNCTION("""COMPUTED_VALUE"""),2)</f>
        <v>2</v>
      </c>
      <c r="L969" s="139">
        <f ca="1">IFERROR(__xludf.DUMMYFUNCTION("""COMPUTED_VALUE"""),3710)</f>
        <v>3710</v>
      </c>
      <c r="M969" s="6" t="str">
        <f ca="1">IFERROR(__xludf.DUMMYFUNCTION("""COMPUTED_VALUE"""),"03 ORL")</f>
        <v>03 ORL</v>
      </c>
      <c r="N969" s="6" t="str">
        <f ca="1">IFERROR(__xludf.DUMMYFUNCTION("""COMPUTED_VALUE"""),"06 ORL")</f>
        <v>06 ORL</v>
      </c>
      <c r="O969" s="6" t="str">
        <f ca="1">IFERROR(__xludf.DUMMYFUNCTION("""COMPUTED_VALUE"""),"Dr, Miguel Alberto Rodríguez Pérez")</f>
        <v>Dr, Miguel Alberto Rodríguez Pérez</v>
      </c>
      <c r="P969" s="6" t="str">
        <f ca="1">IFERROR(__xludf.DUMMYFUNCTION("""COMPUTED_VALUE"""),"Luis Alberto Rodríguez (Andalucía y Badajoz)")</f>
        <v>Luis Alberto Rodríguez (Andalucía y Badajoz)</v>
      </c>
    </row>
    <row r="970" spans="2:16">
      <c r="B970" s="6">
        <f ca="1">IFERROR(__xludf.DUMMYFUNCTION("""COMPUTED_VALUE"""),2025)</f>
        <v>2025</v>
      </c>
      <c r="C970" s="6">
        <f ca="1">IFERROR(__xludf.DUMMYFUNCTION("""COMPUTED_VALUE"""),7)</f>
        <v>7</v>
      </c>
      <c r="D970" s="6" t="str">
        <f ca="1">IFERROR(__xludf.DUMMYFUNCTION("""COMPUTED_VALUE"""),"NO")</f>
        <v>NO</v>
      </c>
      <c r="E970" s="6" t="str">
        <f ca="1">IFERROR(__xludf.DUMMYFUNCTION("""COMPUTED_VALUE"""),"Getafe")</f>
        <v>Getafe</v>
      </c>
      <c r="F970" s="16">
        <f ca="1">IFERROR(__xludf.DUMMYFUNCTION("""COMPUTED_VALUE"""),45862)</f>
        <v>45862</v>
      </c>
      <c r="G970" s="16">
        <f ca="1">IFERROR(__xludf.DUMMYFUNCTION("""COMPUTED_VALUE"""),45827)</f>
        <v>45827</v>
      </c>
      <c r="H970" s="6" t="str">
        <f ca="1">IFERROR(__xludf.DUMMYFUNCTION("""COMPUTED_VALUE"""),"Getafe")</f>
        <v>Getafe</v>
      </c>
      <c r="I970" s="6" t="str">
        <f ca="1">IFERROR(__xludf.DUMMYFUNCTION("""COMPUTED_VALUE"""),"C202562316308221")</f>
        <v>C202562316308221</v>
      </c>
      <c r="J970" s="6" t="str">
        <f ca="1">IFERROR(__xludf.DUMMYFUNCTION("""COMPUTED_VALUE"""),"MARIA MONTSERRAT GOMEZ CALVO")</f>
        <v>MARIA MONTSERRAT GOMEZ CALVO</v>
      </c>
      <c r="K970" s="6">
        <f ca="1">IFERROR(__xludf.DUMMYFUNCTION("""COMPUTED_VALUE"""),2)</f>
        <v>2</v>
      </c>
      <c r="L970" s="139">
        <f ca="1">IFERROR(__xludf.DUMMYFUNCTION("""COMPUTED_VALUE"""),2974.55)</f>
        <v>2974.55</v>
      </c>
      <c r="M970" s="6" t="str">
        <f ca="1">IFERROR(__xludf.DUMMYFUNCTION("""COMPUTED_VALUE"""),"03 ORL")</f>
        <v>03 ORL</v>
      </c>
      <c r="N970" s="6" t="str">
        <f ca="1">IFERROR(__xludf.DUMMYFUNCTION("""COMPUTED_VALUE"""),"06 ORL")</f>
        <v>06 ORL</v>
      </c>
      <c r="O970" s="6" t="str">
        <f ca="1">IFERROR(__xludf.DUMMYFUNCTION("""COMPUTED_VALUE"""),"Dr, Daniel Moreno Jimenez")</f>
        <v>Dr, Daniel Moreno Jimenez</v>
      </c>
      <c r="P970" s="6" t="str">
        <f ca="1">IFERROR(__xludf.DUMMYFUNCTION("""COMPUTED_VALUE"""),"Maika Blázquez (Madrid)")</f>
        <v>Maika Blázquez (Madrid)</v>
      </c>
    </row>
    <row r="971" spans="2:16">
      <c r="B971" s="6">
        <f ca="1">IFERROR(__xludf.DUMMYFUNCTION("""COMPUTED_VALUE"""),2025)</f>
        <v>2025</v>
      </c>
      <c r="C971" s="6">
        <f ca="1">IFERROR(__xludf.DUMMYFUNCTION("""COMPUTED_VALUE"""),7)</f>
        <v>7</v>
      </c>
      <c r="D971" s="6" t="str">
        <f ca="1">IFERROR(__xludf.DUMMYFUNCTION("""COMPUTED_VALUE"""),"NO")</f>
        <v>NO</v>
      </c>
      <c r="E971" s="6" t="str">
        <f ca="1">IFERROR(__xludf.DUMMYFUNCTION("""COMPUTED_VALUE"""),"Madrid- Juan Bravo")</f>
        <v>Madrid- Juan Bravo</v>
      </c>
      <c r="F971" s="16">
        <f ca="1">IFERROR(__xludf.DUMMYFUNCTION("""COMPUTED_VALUE"""),45855)</f>
        <v>45855</v>
      </c>
      <c r="G971" s="16">
        <f ca="1">IFERROR(__xludf.DUMMYFUNCTION("""COMPUTED_VALUE"""),45818)</f>
        <v>45818</v>
      </c>
      <c r="H971" s="6" t="str">
        <f ca="1">IFERROR(__xludf.DUMMYFUNCTION("""COMPUTED_VALUE"""),"Juan Bravo")</f>
        <v>Juan Bravo</v>
      </c>
      <c r="I971" s="6" t="str">
        <f ca="1">IFERROR(__xludf.DUMMYFUNCTION("""COMPUTED_VALUE"""),"C2025624175733862")</f>
        <v>C2025624175733862</v>
      </c>
      <c r="J971" s="6" t="str">
        <f ca="1">IFERROR(__xludf.DUMMYFUNCTION("""COMPUTED_VALUE"""),"MARINA  MIGUEL DE LA CRUZ")</f>
        <v>MARINA  MIGUEL DE LA CRUZ</v>
      </c>
      <c r="K971" s="6">
        <f ca="1">IFERROR(__xludf.DUMMYFUNCTION("""COMPUTED_VALUE"""),1)</f>
        <v>1</v>
      </c>
      <c r="L971" s="139">
        <f ca="1">IFERROR(__xludf.DUMMYFUNCTION("""COMPUTED_VALUE"""),2640)</f>
        <v>2640</v>
      </c>
      <c r="M971" s="6" t="str">
        <f ca="1">IFERROR(__xludf.DUMMYFUNCTION("""COMPUTED_VALUE"""),"03 ORL")</f>
        <v>03 ORL</v>
      </c>
      <c r="N971" s="6" t="str">
        <f ca="1">IFERROR(__xludf.DUMMYFUNCTION("""COMPUTED_VALUE"""),"06 ORL")</f>
        <v>06 ORL</v>
      </c>
      <c r="O971" s="6" t="str">
        <f ca="1">IFERROR(__xludf.DUMMYFUNCTION("""COMPUTED_VALUE"""),"Dr, Carlos Barajas del Rosal")</f>
        <v>Dr, Carlos Barajas del Rosal</v>
      </c>
      <c r="P971" s="6" t="str">
        <f ca="1">IFERROR(__xludf.DUMMYFUNCTION("""COMPUTED_VALUE"""),"Lisandro Russian (Madrid, Cáceres, Toledo, Talavera Y Logroño)")</f>
        <v>Lisandro Russian (Madrid, Cáceres, Toledo, Talavera Y Logroño)</v>
      </c>
    </row>
    <row r="972" spans="2:16">
      <c r="B972" s="6">
        <f ca="1">IFERROR(__xludf.DUMMYFUNCTION("""COMPUTED_VALUE"""),2025)</f>
        <v>2025</v>
      </c>
      <c r="C972" s="6">
        <f ca="1">IFERROR(__xludf.DUMMYFUNCTION("""COMPUTED_VALUE"""),7)</f>
        <v>7</v>
      </c>
      <c r="D972" s="6" t="str">
        <f ca="1">IFERROR(__xludf.DUMMYFUNCTION("""COMPUTED_VALUE"""),"NO")</f>
        <v>NO</v>
      </c>
      <c r="E972" s="6" t="str">
        <f ca="1">IFERROR(__xludf.DUMMYFUNCTION("""COMPUTED_VALUE"""),"Hospitalet de Llobregat")</f>
        <v>Hospitalet de Llobregat</v>
      </c>
      <c r="F972" s="16">
        <f ca="1">IFERROR(__xludf.DUMMYFUNCTION("""COMPUTED_VALUE"""),45853)</f>
        <v>45853</v>
      </c>
      <c r="G972" s="16">
        <f ca="1">IFERROR(__xludf.DUMMYFUNCTION("""COMPUTED_VALUE"""),45811)</f>
        <v>45811</v>
      </c>
      <c r="H972" s="6" t="str">
        <f ca="1">IFERROR(__xludf.DUMMYFUNCTION("""COMPUTED_VALUE"""),"Hospitalet")</f>
        <v>Hospitalet</v>
      </c>
      <c r="I972" s="6" t="str">
        <f ca="1">IFERROR(__xludf.DUMMYFUNCTION("""COMPUTED_VALUE"""),"C2025613161928178")</f>
        <v>C2025613161928178</v>
      </c>
      <c r="J972" s="6" t="str">
        <f ca="1">IFERROR(__xludf.DUMMYFUNCTION("""COMPUTED_VALUE"""),"MIGUEL DOMINGUEZ CALDERON")</f>
        <v>MIGUEL DOMINGUEZ CALDERON</v>
      </c>
      <c r="K972" s="6">
        <f ca="1">IFERROR(__xludf.DUMMYFUNCTION("""COMPUTED_VALUE"""),2)</f>
        <v>2</v>
      </c>
      <c r="L972" s="139">
        <f ca="1">IFERROR(__xludf.DUMMYFUNCTION("""COMPUTED_VALUE"""),2974.55)</f>
        <v>2974.55</v>
      </c>
      <c r="M972" s="6" t="str">
        <f ca="1">IFERROR(__xludf.DUMMYFUNCTION("""COMPUTED_VALUE"""),"03 ORL")</f>
        <v>03 ORL</v>
      </c>
      <c r="N972" s="6" t="str">
        <f ca="1">IFERROR(__xludf.DUMMYFUNCTION("""COMPUTED_VALUE"""),"06 ORL")</f>
        <v>06 ORL</v>
      </c>
      <c r="O972" s="6" t="str">
        <f ca="1">IFERROR(__xludf.DUMMYFUNCTION("""COMPUTED_VALUE"""),"No recuerda ORL")</f>
        <v>No recuerda ORL</v>
      </c>
      <c r="P972" s="6" t="str">
        <f ca="1">IFERROR(__xludf.DUMMYFUNCTION("""COMPUTED_VALUE"""),"Mercè Cabrera (Cataluña Y Baleares)")</f>
        <v>Mercè Cabrera (Cataluña Y Baleares)</v>
      </c>
    </row>
    <row r="973" spans="2:16">
      <c r="B973" s="6">
        <f ca="1">IFERROR(__xludf.DUMMYFUNCTION("""COMPUTED_VALUE"""),2025)</f>
        <v>2025</v>
      </c>
      <c r="C973" s="6">
        <f ca="1">IFERROR(__xludf.DUMMYFUNCTION("""COMPUTED_VALUE"""),7)</f>
        <v>7</v>
      </c>
      <c r="D973" s="6" t="str">
        <f ca="1">IFERROR(__xludf.DUMMYFUNCTION("""COMPUTED_VALUE"""),"NO")</f>
        <v>NO</v>
      </c>
      <c r="E973" s="6" t="str">
        <f ca="1">IFERROR(__xludf.DUMMYFUNCTION("""COMPUTED_VALUE"""),"El Albir (Benidorm)")</f>
        <v>El Albir (Benidorm)</v>
      </c>
      <c r="F973" s="16">
        <f ca="1">IFERROR(__xludf.DUMMYFUNCTION("""COMPUTED_VALUE"""),45859)</f>
        <v>45859</v>
      </c>
      <c r="G973" s="16">
        <f ca="1">IFERROR(__xludf.DUMMYFUNCTION("""COMPUTED_VALUE"""),45803)</f>
        <v>45803</v>
      </c>
      <c r="H973" s="6" t="str">
        <f ca="1">IFERROR(__xludf.DUMMYFUNCTION("""COMPUTED_VALUE"""),"El Albir (Benidorm)")</f>
        <v>El Albir (Benidorm)</v>
      </c>
      <c r="I973" s="6" t="str">
        <f ca="1">IFERROR(__xludf.DUMMYFUNCTION("""COMPUTED_VALUE"""),"C20256121001954")</f>
        <v>C20256121001954</v>
      </c>
      <c r="J973" s="6" t="str">
        <f ca="1">IFERROR(__xludf.DUMMYFUNCTION("""COMPUTED_VALUE"""),"MIGUEL MARTINEZ BOLIVAR")</f>
        <v>MIGUEL MARTINEZ BOLIVAR</v>
      </c>
      <c r="K973" s="6">
        <f ca="1">IFERROR(__xludf.DUMMYFUNCTION("""COMPUTED_VALUE"""),2)</f>
        <v>2</v>
      </c>
      <c r="L973" s="139">
        <f ca="1">IFERROR(__xludf.DUMMYFUNCTION("""COMPUTED_VALUE"""),3710)</f>
        <v>3710</v>
      </c>
      <c r="M973" s="6" t="str">
        <f ca="1">IFERROR(__xludf.DUMMYFUNCTION("""COMPUTED_VALUE"""),"03 ORL")</f>
        <v>03 ORL</v>
      </c>
      <c r="N973" s="6" t="str">
        <f ca="1">IFERROR(__xludf.DUMMYFUNCTION("""COMPUTED_VALUE"""),"06 ORL")</f>
        <v>06 ORL</v>
      </c>
      <c r="O973" s="6" t="str">
        <f ca="1">IFERROR(__xludf.DUMMYFUNCTION("""COMPUTED_VALUE"""),"Dra, María Emilia García Ruiz")</f>
        <v>Dra, María Emilia García Ruiz</v>
      </c>
      <c r="P973" s="6" t="str">
        <f ca="1">IFERROR(__xludf.DUMMYFUNCTION("""COMPUTED_VALUE"""),"Ramon Ferrando(Valencia)")</f>
        <v>Ramon Ferrando(Valencia)</v>
      </c>
    </row>
    <row r="974" spans="2:16">
      <c r="B974" s="6">
        <f ca="1">IFERROR(__xludf.DUMMYFUNCTION("""COMPUTED_VALUE"""),2025)</f>
        <v>2025</v>
      </c>
      <c r="C974" s="6">
        <f ca="1">IFERROR(__xludf.DUMMYFUNCTION("""COMPUTED_VALUE"""),7)</f>
        <v>7</v>
      </c>
      <c r="D974" s="6" t="str">
        <f ca="1">IFERROR(__xludf.DUMMYFUNCTION("""COMPUTED_VALUE"""),"NO")</f>
        <v>NO</v>
      </c>
      <c r="E974" s="6" t="str">
        <f ca="1">IFERROR(__xludf.DUMMYFUNCTION("""COMPUTED_VALUE"""),"Madrid- La Oca")</f>
        <v>Madrid- La Oca</v>
      </c>
      <c r="F974" s="16">
        <f ca="1">IFERROR(__xludf.DUMMYFUNCTION("""COMPUTED_VALUE"""),45841)</f>
        <v>45841</v>
      </c>
      <c r="G974" s="16">
        <f ca="1">IFERROR(__xludf.DUMMYFUNCTION("""COMPUTED_VALUE"""),45796)</f>
        <v>45796</v>
      </c>
      <c r="H974" s="6" t="str">
        <f ca="1">IFERROR(__xludf.DUMMYFUNCTION("""COMPUTED_VALUE"""),"La Oca")</f>
        <v>La Oca</v>
      </c>
      <c r="I974" s="6" t="str">
        <f ca="1">IFERROR(__xludf.DUMMYFUNCTION("""COMPUTED_VALUE"""),"C2025522182025982")</f>
        <v>C2025522182025982</v>
      </c>
      <c r="J974" s="6" t="str">
        <f ca="1">IFERROR(__xludf.DUMMYFUNCTION("""COMPUTED_VALUE"""),"NARCISO GONZALEZ FERRERO")</f>
        <v>NARCISO GONZALEZ FERRERO</v>
      </c>
      <c r="K974" s="6">
        <f ca="1">IFERROR(__xludf.DUMMYFUNCTION("""COMPUTED_VALUE"""),2)</f>
        <v>2</v>
      </c>
      <c r="L974" s="139">
        <f ca="1">IFERROR(__xludf.DUMMYFUNCTION("""COMPUTED_VALUE"""),3710)</f>
        <v>3710</v>
      </c>
      <c r="M974" s="6" t="str">
        <f ca="1">IFERROR(__xludf.DUMMYFUNCTION("""COMPUTED_VALUE"""),"03 ORL")</f>
        <v>03 ORL</v>
      </c>
      <c r="N974" s="6" t="str">
        <f ca="1">IFERROR(__xludf.DUMMYFUNCTION("""COMPUTED_VALUE"""),"06 ORL")</f>
        <v>06 ORL</v>
      </c>
      <c r="O974" s="6" t="str">
        <f ca="1">IFERROR(__xludf.DUMMYFUNCTION("""COMPUTED_VALUE"""),"Dra, Itziar Álvarez Palacios")</f>
        <v>Dra, Itziar Álvarez Palacios</v>
      </c>
      <c r="P974" s="6" t="str">
        <f ca="1">IFERROR(__xludf.DUMMYFUNCTION("""COMPUTED_VALUE"""),"Maika Blázquez (Madrid)")</f>
        <v>Maika Blázquez (Madrid)</v>
      </c>
    </row>
    <row r="975" spans="2:16">
      <c r="B975" s="6">
        <f ca="1">IFERROR(__xludf.DUMMYFUNCTION("""COMPUTED_VALUE"""),2025)</f>
        <v>2025</v>
      </c>
      <c r="C975" s="6">
        <f ca="1">IFERROR(__xludf.DUMMYFUNCTION("""COMPUTED_VALUE"""),7)</f>
        <v>7</v>
      </c>
      <c r="D975" s="6" t="str">
        <f ca="1">IFERROR(__xludf.DUMMYFUNCTION("""COMPUTED_VALUE"""),"NO")</f>
        <v>NO</v>
      </c>
      <c r="E975" s="6" t="str">
        <f ca="1">IFERROR(__xludf.DUMMYFUNCTION("""COMPUTED_VALUE"""),"Murcia")</f>
        <v>Murcia</v>
      </c>
      <c r="F975" s="16">
        <f ca="1">IFERROR(__xludf.DUMMYFUNCTION("""COMPUTED_VALUE"""),45859)</f>
        <v>45859</v>
      </c>
      <c r="G975" s="16">
        <f ca="1">IFERROR(__xludf.DUMMYFUNCTION("""COMPUTED_VALUE"""),45835)</f>
        <v>45835</v>
      </c>
      <c r="H975" s="6" t="str">
        <f ca="1">IFERROR(__xludf.DUMMYFUNCTION("""COMPUTED_VALUE"""),"Murcia")</f>
        <v>Murcia</v>
      </c>
      <c r="I975" s="6" t="str">
        <f ca="1">IFERROR(__xludf.DUMMYFUNCTION("""COMPUTED_VALUE"""),"C202571103959440")</f>
        <v>C202571103959440</v>
      </c>
      <c r="J975" s="6" t="str">
        <f ca="1">IFERROR(__xludf.DUMMYFUNCTION("""COMPUTED_VALUE"""),"OLIMPIA GOMEZ SANCHEZ")</f>
        <v>OLIMPIA GOMEZ SANCHEZ</v>
      </c>
      <c r="K975" s="6">
        <f ca="1">IFERROR(__xludf.DUMMYFUNCTION("""COMPUTED_VALUE"""),2)</f>
        <v>2</v>
      </c>
      <c r="L975" s="139">
        <f ca="1">IFERROR(__xludf.DUMMYFUNCTION("""COMPUTED_VALUE"""),3800)</f>
        <v>3800</v>
      </c>
      <c r="M975" s="6" t="str">
        <f ca="1">IFERROR(__xludf.DUMMYFUNCTION("""COMPUTED_VALUE"""),"03 ORL")</f>
        <v>03 ORL</v>
      </c>
      <c r="N975" s="6" t="str">
        <f ca="1">IFERROR(__xludf.DUMMYFUNCTION("""COMPUTED_VALUE"""),"06 ORL")</f>
        <v>06 ORL</v>
      </c>
      <c r="O975" s="6" t="str">
        <f ca="1">IFERROR(__xludf.DUMMYFUNCTION("""COMPUTED_VALUE"""),"Dra, Beatriz Rodríguez González Herrero")</f>
        <v>Dra, Beatriz Rodríguez González Herrero</v>
      </c>
      <c r="P975" s="6" t="str">
        <f ca="1">IFERROR(__xludf.DUMMYFUNCTION("""COMPUTED_VALUE"""),"Iván Sánchez (Levante Y Albacete)")</f>
        <v>Iván Sánchez (Levante Y Albacete)</v>
      </c>
    </row>
    <row r="976" spans="2:16">
      <c r="B976" s="6">
        <f ca="1">IFERROR(__xludf.DUMMYFUNCTION("""COMPUTED_VALUE"""),2025)</f>
        <v>2025</v>
      </c>
      <c r="C976" s="6">
        <f ca="1">IFERROR(__xludf.DUMMYFUNCTION("""COMPUTED_VALUE"""),7)</f>
        <v>7</v>
      </c>
      <c r="D976" s="6" t="str">
        <f ca="1">IFERROR(__xludf.DUMMYFUNCTION("""COMPUTED_VALUE"""),"NO")</f>
        <v>NO</v>
      </c>
      <c r="E976" s="6" t="str">
        <f ca="1">IFERROR(__xludf.DUMMYFUNCTION("""COMPUTED_VALUE"""),"Fuenlabrada")</f>
        <v>Fuenlabrada</v>
      </c>
      <c r="F976" s="16">
        <f ca="1">IFERROR(__xludf.DUMMYFUNCTION("""COMPUTED_VALUE"""),45848)</f>
        <v>45848</v>
      </c>
      <c r="G976" s="16">
        <f ca="1">IFERROR(__xludf.DUMMYFUNCTION("""COMPUTED_VALUE"""),45821)</f>
        <v>45821</v>
      </c>
      <c r="H976" s="6" t="str">
        <f ca="1">IFERROR(__xludf.DUMMYFUNCTION("""COMPUTED_VALUE"""),"Fuenlabrada")</f>
        <v>Fuenlabrada</v>
      </c>
      <c r="I976" s="6" t="str">
        <f ca="1">IFERROR(__xludf.DUMMYFUNCTION("""COMPUTED_VALUE"""),"C2025616162712892")</f>
        <v>C2025616162712892</v>
      </c>
      <c r="J976" s="6" t="str">
        <f ca="1">IFERROR(__xludf.DUMMYFUNCTION("""COMPUTED_VALUE"""),"PEDRO LUIS VALVERDE LOPEZ")</f>
        <v>PEDRO LUIS VALVERDE LOPEZ</v>
      </c>
      <c r="K976" s="6">
        <f ca="1">IFERROR(__xludf.DUMMYFUNCTION("""COMPUTED_VALUE"""),2)</f>
        <v>2</v>
      </c>
      <c r="L976" s="139">
        <f ca="1">IFERROR(__xludf.DUMMYFUNCTION("""COMPUTED_VALUE"""),4400)</f>
        <v>4400</v>
      </c>
      <c r="M976" s="6" t="str">
        <f ca="1">IFERROR(__xludf.DUMMYFUNCTION("""COMPUTED_VALUE"""),"03 ORL")</f>
        <v>03 ORL</v>
      </c>
      <c r="N976" s="6" t="str">
        <f ca="1">IFERROR(__xludf.DUMMYFUNCTION("""COMPUTED_VALUE"""),"06 ORL")</f>
        <v>06 ORL</v>
      </c>
      <c r="O976" s="6" t="str">
        <f ca="1">IFERROR(__xludf.DUMMYFUNCTION("""COMPUTED_VALUE"""),"Dra, Ithzel Maria Villarreal Patiño")</f>
        <v>Dra, Ithzel Maria Villarreal Patiño</v>
      </c>
      <c r="P976" s="6" t="str">
        <f ca="1">IFERROR(__xludf.DUMMYFUNCTION("""COMPUTED_VALUE"""),"Maika Blázquez (Madrid)")</f>
        <v>Maika Blázquez (Madrid)</v>
      </c>
    </row>
    <row r="977" spans="2:16">
      <c r="B977" s="6">
        <f ca="1">IFERROR(__xludf.DUMMYFUNCTION("""COMPUTED_VALUE"""),2025)</f>
        <v>2025</v>
      </c>
      <c r="C977" s="6">
        <f ca="1">IFERROR(__xludf.DUMMYFUNCTION("""COMPUTED_VALUE"""),7)</f>
        <v>7</v>
      </c>
      <c r="D977" s="6" t="str">
        <f ca="1">IFERROR(__xludf.DUMMYFUNCTION("""COMPUTED_VALUE"""),"NO")</f>
        <v>NO</v>
      </c>
      <c r="E977" s="6" t="str">
        <f ca="1">IFERROR(__xludf.DUMMYFUNCTION("""COMPUTED_VALUE"""),"Orihuela")</f>
        <v>Orihuela</v>
      </c>
      <c r="F977" s="16">
        <f ca="1">IFERROR(__xludf.DUMMYFUNCTION("""COMPUTED_VALUE"""),45846)</f>
        <v>45846</v>
      </c>
      <c r="G977" s="16">
        <f ca="1">IFERROR(__xludf.DUMMYFUNCTION("""COMPUTED_VALUE"""),45798)</f>
        <v>45798</v>
      </c>
      <c r="H977" s="6" t="str">
        <f ca="1">IFERROR(__xludf.DUMMYFUNCTION("""COMPUTED_VALUE"""),"La Zenia")</f>
        <v>La Zenia</v>
      </c>
      <c r="I977" s="6" t="str">
        <f ca="1">IFERROR(__xludf.DUMMYFUNCTION("""COMPUTED_VALUE"""),"C2025527175824796")</f>
        <v>C2025527175824796</v>
      </c>
      <c r="J977" s="6" t="str">
        <f ca="1">IFERROR(__xludf.DUMMYFUNCTION("""COMPUTED_VALUE"""),"RAFAEL SEPULVEDA SALIDO")</f>
        <v>RAFAEL SEPULVEDA SALIDO</v>
      </c>
      <c r="K977" s="6">
        <f ca="1">IFERROR(__xludf.DUMMYFUNCTION("""COMPUTED_VALUE"""),2)</f>
        <v>2</v>
      </c>
      <c r="L977" s="139">
        <f ca="1">IFERROR(__xludf.DUMMYFUNCTION("""COMPUTED_VALUE"""),4000)</f>
        <v>4000</v>
      </c>
      <c r="M977" s="6" t="str">
        <f ca="1">IFERROR(__xludf.DUMMYFUNCTION("""COMPUTED_VALUE"""),"03 ORL")</f>
        <v>03 ORL</v>
      </c>
      <c r="N977" s="6" t="str">
        <f ca="1">IFERROR(__xludf.DUMMYFUNCTION("""COMPUTED_VALUE"""),"06 ORL")</f>
        <v>06 ORL</v>
      </c>
      <c r="O977" s="6" t="str">
        <f ca="1">IFERROR(__xludf.DUMMYFUNCTION("""COMPUTED_VALUE"""),"Dr, Juan Javier Álvarez López")</f>
        <v>Dr, Juan Javier Álvarez López</v>
      </c>
      <c r="P977" s="6" t="str">
        <f ca="1">IFERROR(__xludf.DUMMYFUNCTION("""COMPUTED_VALUE"""),"Iván Sánchez (Levante Y Albacete)")</f>
        <v>Iván Sánchez (Levante Y Albacete)</v>
      </c>
    </row>
    <row r="978" spans="2:16">
      <c r="B978" s="6">
        <f ca="1">IFERROR(__xludf.DUMMYFUNCTION("""COMPUTED_VALUE"""),2025)</f>
        <v>2025</v>
      </c>
      <c r="C978" s="6">
        <f ca="1">IFERROR(__xludf.DUMMYFUNCTION("""COMPUTED_VALUE"""),7)</f>
        <v>7</v>
      </c>
      <c r="D978" s="6" t="str">
        <f ca="1">IFERROR(__xludf.DUMMYFUNCTION("""COMPUTED_VALUE"""),"NO")</f>
        <v>NO</v>
      </c>
      <c r="E978" s="6" t="str">
        <f ca="1">IFERROR(__xludf.DUMMYFUNCTION("""COMPUTED_VALUE"""),"Orihuela")</f>
        <v>Orihuela</v>
      </c>
      <c r="F978" s="16">
        <f ca="1">IFERROR(__xludf.DUMMYFUNCTION("""COMPUTED_VALUE"""),45862)</f>
        <v>45862</v>
      </c>
      <c r="G978" s="16">
        <f ca="1">IFERROR(__xludf.DUMMYFUNCTION("""COMPUTED_VALUE"""),45819)</f>
        <v>45819</v>
      </c>
      <c r="H978" s="6" t="str">
        <f ca="1">IFERROR(__xludf.DUMMYFUNCTION("""COMPUTED_VALUE"""),"La Zenia")</f>
        <v>La Zenia</v>
      </c>
      <c r="I978" s="6" t="str">
        <f ca="1">IFERROR(__xludf.DUMMYFUNCTION("""COMPUTED_VALUE"""),"C202573103548278")</f>
        <v>C202573103548278</v>
      </c>
      <c r="J978" s="6" t="str">
        <f ca="1">IFERROR(__xludf.DUMMYFUNCTION("""COMPUTED_VALUE"""),"REGINE ELISE GORI")</f>
        <v>REGINE ELISE GORI</v>
      </c>
      <c r="K978" s="6">
        <f ca="1">IFERROR(__xludf.DUMMYFUNCTION("""COMPUTED_VALUE"""),2)</f>
        <v>2</v>
      </c>
      <c r="L978" s="139">
        <f ca="1">IFERROR(__xludf.DUMMYFUNCTION("""COMPUTED_VALUE"""),4000)</f>
        <v>4000</v>
      </c>
      <c r="M978" s="6" t="str">
        <f ca="1">IFERROR(__xludf.DUMMYFUNCTION("""COMPUTED_VALUE"""),"03 ORL")</f>
        <v>03 ORL</v>
      </c>
      <c r="N978" s="6" t="str">
        <f ca="1">IFERROR(__xludf.DUMMYFUNCTION("""COMPUTED_VALUE"""),"06 ORL")</f>
        <v>06 ORL</v>
      </c>
      <c r="O978" s="6" t="str">
        <f ca="1">IFERROR(__xludf.DUMMYFUNCTION("""COMPUTED_VALUE"""),"Dr, Carlos Velásquez Fermín")</f>
        <v>Dr, Carlos Velásquez Fermín</v>
      </c>
      <c r="P978" s="6" t="str">
        <f ca="1">IFERROR(__xludf.DUMMYFUNCTION("""COMPUTED_VALUE"""),"Iván Sánchez (Levante Y Albacete)")</f>
        <v>Iván Sánchez (Levante Y Albacete)</v>
      </c>
    </row>
    <row r="979" spans="2:16">
      <c r="B979" s="6">
        <f ca="1">IFERROR(__xludf.DUMMYFUNCTION("""COMPUTED_VALUE"""),2025)</f>
        <v>2025</v>
      </c>
      <c r="C979" s="6">
        <f ca="1">IFERROR(__xludf.DUMMYFUNCTION("""COMPUTED_VALUE"""),7)</f>
        <v>7</v>
      </c>
      <c r="D979" s="6" t="str">
        <f ca="1">IFERROR(__xludf.DUMMYFUNCTION("""COMPUTED_VALUE"""),"SI")</f>
        <v>SI</v>
      </c>
      <c r="E979" s="6" t="str">
        <f ca="1">IFERROR(__xludf.DUMMYFUNCTION("""COMPUTED_VALUE"""),"Madrid- Costa Rica")</f>
        <v>Madrid- Costa Rica</v>
      </c>
      <c r="F979" s="16">
        <f ca="1">IFERROR(__xludf.DUMMYFUNCTION("""COMPUTED_VALUE"""),45856)</f>
        <v>45856</v>
      </c>
      <c r="G979" s="16">
        <f ca="1">IFERROR(__xludf.DUMMYFUNCTION("""COMPUTED_VALUE"""),45341)</f>
        <v>45341</v>
      </c>
      <c r="H979" s="6" t="str">
        <f ca="1">IFERROR(__xludf.DUMMYFUNCTION("""COMPUTED_VALUE"""),"Costa Rica")</f>
        <v>Costa Rica</v>
      </c>
      <c r="I979" s="6" t="str">
        <f ca="1">IFERROR(__xludf.DUMMYFUNCTION("""COMPUTED_VALUE"""),"PIO-11249")</f>
        <v>PIO-11249</v>
      </c>
      <c r="J979" s="6" t="str">
        <f ca="1">IFERROR(__xludf.DUMMYFUNCTION("""COMPUTED_VALUE"""),"RICARDO AGREDA")</f>
        <v>RICARDO AGREDA</v>
      </c>
      <c r="K979" s="6">
        <f ca="1">IFERROR(__xludf.DUMMYFUNCTION("""COMPUTED_VALUE"""),1)</f>
        <v>1</v>
      </c>
      <c r="L979" s="139">
        <f ca="1">IFERROR(__xludf.DUMMYFUNCTION("""COMPUTED_VALUE"""),1730)</f>
        <v>1730</v>
      </c>
      <c r="M979" s="6" t="str">
        <f ca="1">IFERROR(__xludf.DUMMYFUNCTION("""COMPUTED_VALUE"""),"04 TIENDA")</f>
        <v>04 TIENDA</v>
      </c>
      <c r="N979" s="6" t="str">
        <f ca="1">IFERROR(__xludf.DUMMYFUNCTION("""COMPUTED_VALUE"""),"10 REVISIÓN POST-VENTA")</f>
        <v>10 REVISIÓN POST-VENTA</v>
      </c>
      <c r="O979" s="6" t="str">
        <f ca="1">IFERROR(__xludf.DUMMYFUNCTION("""COMPUTED_VALUE"""),"Dr, Raimundo Gómez-Blasi")</f>
        <v>Dr, Raimundo Gómez-Blasi</v>
      </c>
      <c r="P979" s="6" t="str">
        <f ca="1">IFERROR(__xludf.DUMMYFUNCTION("""COMPUTED_VALUE"""),"Maika Blázquez (Madrid)")</f>
        <v>Maika Blázquez (Madrid)</v>
      </c>
    </row>
    <row r="980" spans="2:16">
      <c r="B980" s="6">
        <f ca="1">IFERROR(__xludf.DUMMYFUNCTION("""COMPUTED_VALUE"""),2025)</f>
        <v>2025</v>
      </c>
      <c r="C980" s="6">
        <f ca="1">IFERROR(__xludf.DUMMYFUNCTION("""COMPUTED_VALUE"""),7)</f>
        <v>7</v>
      </c>
      <c r="D980" s="6" t="str">
        <f ca="1">IFERROR(__xludf.DUMMYFUNCTION("""COMPUTED_VALUE"""),"NO")</f>
        <v>NO</v>
      </c>
      <c r="E980" s="6" t="str">
        <f ca="1">IFERROR(__xludf.DUMMYFUNCTION("""COMPUTED_VALUE"""),"Madrid- Canillas")</f>
        <v>Madrid- Canillas</v>
      </c>
      <c r="F980" s="16">
        <f ca="1">IFERROR(__xludf.DUMMYFUNCTION("""COMPUTED_VALUE"""),45855)</f>
        <v>45855</v>
      </c>
      <c r="G980" s="16">
        <f ca="1">IFERROR(__xludf.DUMMYFUNCTION("""COMPUTED_VALUE"""),45715)</f>
        <v>45715</v>
      </c>
      <c r="H980" s="6" t="str">
        <f ca="1">IFERROR(__xludf.DUMMYFUNCTION("""COMPUTED_VALUE"""),"Canillas")</f>
        <v>Canillas</v>
      </c>
      <c r="I980" s="6" t="str">
        <f ca="1">IFERROR(__xludf.DUMMYFUNCTION("""COMPUTED_VALUE"""),"C202574151733611")</f>
        <v>C202574151733611</v>
      </c>
      <c r="J980" s="6" t="str">
        <f ca="1">IFERROR(__xludf.DUMMYFUNCTION("""COMPUTED_VALUE"""),"RONALDO VARGAS CASTILLO")</f>
        <v>RONALDO VARGAS CASTILLO</v>
      </c>
      <c r="K980" s="6">
        <f ca="1">IFERROR(__xludf.DUMMYFUNCTION("""COMPUTED_VALUE"""),2)</f>
        <v>2</v>
      </c>
      <c r="L980" s="139">
        <f ca="1">IFERROR(__xludf.DUMMYFUNCTION("""COMPUTED_VALUE"""),2718.18)</f>
        <v>2718.18</v>
      </c>
      <c r="M980" s="6" t="str">
        <f ca="1">IFERROR(__xludf.DUMMYFUNCTION("""COMPUTED_VALUE"""),"03 ORL")</f>
        <v>03 ORL</v>
      </c>
      <c r="N980" s="6" t="str">
        <f ca="1">IFERROR(__xludf.DUMMYFUNCTION("""COMPUTED_VALUE"""),"06 ORL")</f>
        <v>06 ORL</v>
      </c>
      <c r="O980" s="6" t="str">
        <f ca="1">IFERROR(__xludf.DUMMYFUNCTION("""COMPUTED_VALUE"""),"No recuerda ORL")</f>
        <v>No recuerda ORL</v>
      </c>
      <c r="P980" s="6" t="str">
        <f ca="1">IFERROR(__xludf.DUMMYFUNCTION("""COMPUTED_VALUE"""),"Maika Blázquez (Madrid)")</f>
        <v>Maika Blázquez (Madrid)</v>
      </c>
    </row>
    <row r="981" spans="2:16">
      <c r="B981" s="6">
        <f ca="1">IFERROR(__xludf.DUMMYFUNCTION("""COMPUTED_VALUE"""),2025)</f>
        <v>2025</v>
      </c>
      <c r="C981" s="6">
        <f ca="1">IFERROR(__xludf.DUMMYFUNCTION("""COMPUTED_VALUE"""),7)</f>
        <v>7</v>
      </c>
      <c r="D981" s="6" t="str">
        <f ca="1">IFERROR(__xludf.DUMMYFUNCTION("""COMPUTED_VALUE"""),"NO")</f>
        <v>NO</v>
      </c>
      <c r="E981" s="6" t="str">
        <f ca="1">IFERROR(__xludf.DUMMYFUNCTION("""COMPUTED_VALUE"""),"San Javier")</f>
        <v>San Javier</v>
      </c>
      <c r="F981" s="16">
        <f ca="1">IFERROR(__xludf.DUMMYFUNCTION("""COMPUTED_VALUE"""),45853)</f>
        <v>45853</v>
      </c>
      <c r="G981" s="16">
        <f ca="1">IFERROR(__xludf.DUMMYFUNCTION("""COMPUTED_VALUE"""),45797)</f>
        <v>45797</v>
      </c>
      <c r="H981" s="6" t="str">
        <f ca="1">IFERROR(__xludf.DUMMYFUNCTION("""COMPUTED_VALUE"""),"San Javier")</f>
        <v>San Javier</v>
      </c>
      <c r="I981" s="6" t="str">
        <f ca="1">IFERROR(__xludf.DUMMYFUNCTION("""COMPUTED_VALUE"""),"C202552216137601")</f>
        <v>C202552216137601</v>
      </c>
      <c r="J981" s="6" t="str">
        <f ca="1">IFERROR(__xludf.DUMMYFUNCTION("""COMPUTED_VALUE"""),"ROSA HERMELINDA AVILA PEREZ")</f>
        <v>ROSA HERMELINDA AVILA PEREZ</v>
      </c>
      <c r="K981" s="6">
        <f ca="1">IFERROR(__xludf.DUMMYFUNCTION("""COMPUTED_VALUE"""),1)</f>
        <v>1</v>
      </c>
      <c r="L981" s="139">
        <f ca="1">IFERROR(__xludf.DUMMYFUNCTION("""COMPUTED_VALUE"""),2180.91)</f>
        <v>2180.91</v>
      </c>
      <c r="M981" s="6" t="str">
        <f ca="1">IFERROR(__xludf.DUMMYFUNCTION("""COMPUTED_VALUE"""),"02 MARKETING OFF LINE")</f>
        <v>02 MARKETING OFF LINE</v>
      </c>
      <c r="N981" s="6" t="str">
        <f ca="1">IFERROR(__xludf.DUMMYFUNCTION("""COMPUTED_VALUE"""),"18 ESCAPARATE")</f>
        <v>18 ESCAPARATE</v>
      </c>
      <c r="O981" s="6" t="str">
        <f ca="1">IFERROR(__xludf.DUMMYFUNCTION("""COMPUTED_VALUE"""),"Dra, María Teresa Almela Rojo")</f>
        <v>Dra, María Teresa Almela Rojo</v>
      </c>
      <c r="P981" s="6" t="str">
        <f ca="1">IFERROR(__xludf.DUMMYFUNCTION("""COMPUTED_VALUE"""),"Iván Sánchez (Levante Y Albacete)")</f>
        <v>Iván Sánchez (Levante Y Albacete)</v>
      </c>
    </row>
    <row r="982" spans="2:16">
      <c r="B982" s="6">
        <f ca="1">IFERROR(__xludf.DUMMYFUNCTION("""COMPUTED_VALUE"""),2025)</f>
        <v>2025</v>
      </c>
      <c r="C982" s="6">
        <f ca="1">IFERROR(__xludf.DUMMYFUNCTION("""COMPUTED_VALUE"""),7)</f>
        <v>7</v>
      </c>
      <c r="D982" s="6" t="str">
        <f ca="1">IFERROR(__xludf.DUMMYFUNCTION("""COMPUTED_VALUE"""),"NO")</f>
        <v>NO</v>
      </c>
      <c r="E982" s="6" t="str">
        <f ca="1">IFERROR(__xludf.DUMMYFUNCTION("""COMPUTED_VALUE"""),"Madrid- Monforte de Lemos")</f>
        <v>Madrid- Monforte de Lemos</v>
      </c>
      <c r="F982" s="16">
        <f ca="1">IFERROR(__xludf.DUMMYFUNCTION("""COMPUTED_VALUE"""),45853)</f>
        <v>45853</v>
      </c>
      <c r="G982" s="16">
        <f ca="1">IFERROR(__xludf.DUMMYFUNCTION("""COMPUTED_VALUE"""),45789)</f>
        <v>45789</v>
      </c>
      <c r="H982" s="6" t="str">
        <f ca="1">IFERROR(__xludf.DUMMYFUNCTION("""COMPUTED_VALUE"""),"La Vaguada")</f>
        <v>La Vaguada</v>
      </c>
      <c r="I982" s="6" t="str">
        <f ca="1">IFERROR(__xludf.DUMMYFUNCTION("""COMPUTED_VALUE"""),"C20255271836301")</f>
        <v>C20255271836301</v>
      </c>
      <c r="J982" s="6" t="str">
        <f ca="1">IFERROR(__xludf.DUMMYFUNCTION("""COMPUTED_VALUE"""),"SABINA FRESNILLO CUESTA")</f>
        <v>SABINA FRESNILLO CUESTA</v>
      </c>
      <c r="K982" s="6">
        <f ca="1">IFERROR(__xludf.DUMMYFUNCTION("""COMPUTED_VALUE"""),2)</f>
        <v>2</v>
      </c>
      <c r="L982" s="139">
        <f ca="1">IFERROR(__xludf.DUMMYFUNCTION("""COMPUTED_VALUE"""),3710)</f>
        <v>3710</v>
      </c>
      <c r="M982" s="6" t="str">
        <f ca="1">IFERROR(__xludf.DUMMYFUNCTION("""COMPUTED_VALUE"""),"03 ORL")</f>
        <v>03 ORL</v>
      </c>
      <c r="N982" s="6" t="str">
        <f ca="1">IFERROR(__xludf.DUMMYFUNCTION("""COMPUTED_VALUE"""),"06 ORL")</f>
        <v>06 ORL</v>
      </c>
      <c r="O982" s="6" t="str">
        <f ca="1">IFERROR(__xludf.DUMMYFUNCTION("""COMPUTED_VALUE"""),"Dr, Carlos Barajas del Rosal")</f>
        <v>Dr, Carlos Barajas del Rosal</v>
      </c>
      <c r="P982" s="6" t="str">
        <f ca="1">IFERROR(__xludf.DUMMYFUNCTION("""COMPUTED_VALUE"""),"Lisandro Russian (Madrid, Cáceres, Toledo, Talavera Y Logroño)")</f>
        <v>Lisandro Russian (Madrid, Cáceres, Toledo, Talavera Y Logroño)</v>
      </c>
    </row>
    <row r="983" spans="2:16">
      <c r="B983" s="6">
        <f ca="1">IFERROR(__xludf.DUMMYFUNCTION("""COMPUTED_VALUE"""),2025)</f>
        <v>2025</v>
      </c>
      <c r="C983" s="6">
        <f ca="1">IFERROR(__xludf.DUMMYFUNCTION("""COMPUTED_VALUE"""),7)</f>
        <v>7</v>
      </c>
      <c r="D983" s="6" t="str">
        <f ca="1">IFERROR(__xludf.DUMMYFUNCTION("""COMPUTED_VALUE"""),"NO")</f>
        <v>NO</v>
      </c>
      <c r="E983" s="6" t="str">
        <f ca="1">IFERROR(__xludf.DUMMYFUNCTION("""COMPUTED_VALUE"""),"Madrid- Juan Bravo")</f>
        <v>Madrid- Juan Bravo</v>
      </c>
      <c r="F983" s="16">
        <f ca="1">IFERROR(__xludf.DUMMYFUNCTION("""COMPUTED_VALUE"""),45847)</f>
        <v>45847</v>
      </c>
      <c r="G983" s="16">
        <f ca="1">IFERROR(__xludf.DUMMYFUNCTION("""COMPUTED_VALUE"""),45826)</f>
        <v>45826</v>
      </c>
      <c r="H983" s="6" t="str">
        <f ca="1">IFERROR(__xludf.DUMMYFUNCTION("""COMPUTED_VALUE"""),"Juan Bravo")</f>
        <v>Juan Bravo</v>
      </c>
      <c r="I983" s="6" t="str">
        <f ca="1">IFERROR(__xludf.DUMMYFUNCTION("""COMPUTED_VALUE"""),"C2025620114121344")</f>
        <v>C2025620114121344</v>
      </c>
      <c r="J983" s="6" t="str">
        <f ca="1">IFERROR(__xludf.DUMMYFUNCTION("""COMPUTED_VALUE"""),"SONSOLES URRUTIA SAUTO")</f>
        <v>SONSOLES URRUTIA SAUTO</v>
      </c>
      <c r="K983" s="6">
        <f ca="1">IFERROR(__xludf.DUMMYFUNCTION("""COMPUTED_VALUE"""),2)</f>
        <v>2</v>
      </c>
      <c r="L983" s="139">
        <f ca="1">IFERROR(__xludf.DUMMYFUNCTION("""COMPUTED_VALUE"""),3710)</f>
        <v>3710</v>
      </c>
      <c r="M983" s="6" t="str">
        <f ca="1">IFERROR(__xludf.DUMMYFUNCTION("""COMPUTED_VALUE"""),"03 ORL")</f>
        <v>03 ORL</v>
      </c>
      <c r="N983" s="6" t="str">
        <f ca="1">IFERROR(__xludf.DUMMYFUNCTION("""COMPUTED_VALUE"""),"06 ORL")</f>
        <v>06 ORL</v>
      </c>
      <c r="O983" s="6" t="str">
        <f ca="1">IFERROR(__xludf.DUMMYFUNCTION("""COMPUTED_VALUE"""),"Dr, Javier García Domínguez")</f>
        <v>Dr, Javier García Domínguez</v>
      </c>
      <c r="P983" s="6" t="str">
        <f ca="1">IFERROR(__xludf.DUMMYFUNCTION("""COMPUTED_VALUE"""),"Maika Blázquez (Madrid)")</f>
        <v>Maika Blázquez (Madrid)</v>
      </c>
    </row>
    <row r="984" spans="2:16">
      <c r="B984" s="6">
        <f ca="1">IFERROR(__xludf.DUMMYFUNCTION("""COMPUTED_VALUE"""),2025)</f>
        <v>2025</v>
      </c>
      <c r="C984" s="6">
        <f ca="1">IFERROR(__xludf.DUMMYFUNCTION("""COMPUTED_VALUE"""),7)</f>
        <v>7</v>
      </c>
      <c r="D984" s="6" t="str">
        <f ca="1">IFERROR(__xludf.DUMMYFUNCTION("""COMPUTED_VALUE"""),"NO")</f>
        <v>NO</v>
      </c>
      <c r="E984" s="6" t="str">
        <f ca="1">IFERROR(__xludf.DUMMYFUNCTION("""COMPUTED_VALUE"""),"Talavera")</f>
        <v>Talavera</v>
      </c>
      <c r="F984" s="16">
        <f ca="1">IFERROR(__xludf.DUMMYFUNCTION("""COMPUTED_VALUE"""),45846)</f>
        <v>45846</v>
      </c>
      <c r="G984" s="16">
        <f ca="1">IFERROR(__xludf.DUMMYFUNCTION("""COMPUTED_VALUE"""),45831)</f>
        <v>45831</v>
      </c>
      <c r="H984" s="6" t="str">
        <f ca="1">IFERROR(__xludf.DUMMYFUNCTION("""COMPUTED_VALUE"""),"Talavera")</f>
        <v>Talavera</v>
      </c>
      <c r="I984" s="6" t="str">
        <f ca="1">IFERROR(__xludf.DUMMYFUNCTION("""COMPUTED_VALUE"""),"C202562395341662")</f>
        <v>C202562395341662</v>
      </c>
      <c r="J984" s="6" t="str">
        <f ca="1">IFERROR(__xludf.DUMMYFUNCTION("""COMPUTED_VALUE"""),"TEODORA JIMENEZ RAMOS")</f>
        <v>TEODORA JIMENEZ RAMOS</v>
      </c>
      <c r="K984" s="6">
        <f ca="1">IFERROR(__xludf.DUMMYFUNCTION("""COMPUTED_VALUE"""),1)</f>
        <v>1</v>
      </c>
      <c r="L984" s="139">
        <f ca="1">IFERROR(__xludf.DUMMYFUNCTION("""COMPUTED_VALUE"""),2180.91)</f>
        <v>2180.91</v>
      </c>
      <c r="M984" s="6" t="str">
        <f ca="1">IFERROR(__xludf.DUMMYFUNCTION("""COMPUTED_VALUE"""),"03 ORL")</f>
        <v>03 ORL</v>
      </c>
      <c r="N984" s="6" t="str">
        <f ca="1">IFERROR(__xludf.DUMMYFUNCTION("""COMPUTED_VALUE"""),"06 ORL")</f>
        <v>06 ORL</v>
      </c>
      <c r="O984" s="6" t="str">
        <f ca="1">IFERROR(__xludf.DUMMYFUNCTION("""COMPUTED_VALUE"""),"Dr, Carlos Félix Asensio Nieto")</f>
        <v>Dr, Carlos Félix Asensio Nieto</v>
      </c>
      <c r="P984" s="6" t="str">
        <f ca="1">IFERROR(__xludf.DUMMYFUNCTION("""COMPUTED_VALUE"""),"Lisandro Russian (Madrid, Cáceres, Toledo, Talavera Y Logroño)")</f>
        <v>Lisandro Russian (Madrid, Cáceres, Toledo, Talavera Y Logroño)</v>
      </c>
    </row>
    <row r="985" spans="2:16">
      <c r="B985" s="6">
        <f ca="1">IFERROR(__xludf.DUMMYFUNCTION("""COMPUTED_VALUE"""),2025)</f>
        <v>2025</v>
      </c>
      <c r="C985" s="6">
        <f ca="1">IFERROR(__xludf.DUMMYFUNCTION("""COMPUTED_VALUE"""),7)</f>
        <v>7</v>
      </c>
      <c r="D985" s="6" t="str">
        <f ca="1">IFERROR(__xludf.DUMMYFUNCTION("""COMPUTED_VALUE"""),"NO")</f>
        <v>NO</v>
      </c>
      <c r="E985" s="6" t="str">
        <f ca="1">IFERROR(__xludf.DUMMYFUNCTION("""COMPUTED_VALUE"""),"Madrid- Juan Bravo")</f>
        <v>Madrid- Juan Bravo</v>
      </c>
      <c r="F985" s="16">
        <f ca="1">IFERROR(__xludf.DUMMYFUNCTION("""COMPUTED_VALUE"""),45840)</f>
        <v>45840</v>
      </c>
      <c r="G985" s="16">
        <f ca="1">IFERROR(__xludf.DUMMYFUNCTION("""COMPUTED_VALUE"""),45814)</f>
        <v>45814</v>
      </c>
      <c r="H985" s="6" t="str">
        <f ca="1">IFERROR(__xludf.DUMMYFUNCTION("""COMPUTED_VALUE"""),"Juan Bravo")</f>
        <v>Juan Bravo</v>
      </c>
      <c r="I985" s="6" t="str">
        <f ca="1">IFERROR(__xludf.DUMMYFUNCTION("""COMPUTED_VALUE"""),"C202561116342025")</f>
        <v>C202561116342025</v>
      </c>
      <c r="J985" s="6" t="str">
        <f ca="1">IFERROR(__xludf.DUMMYFUNCTION("""COMPUTED_VALUE"""),"TERESA CANO MARQUES")</f>
        <v>TERESA CANO MARQUES</v>
      </c>
      <c r="K985" s="6">
        <f ca="1">IFERROR(__xludf.DUMMYFUNCTION("""COMPUTED_VALUE"""),2)</f>
        <v>2</v>
      </c>
      <c r="L985" s="139">
        <f ca="1">IFERROR(__xludf.DUMMYFUNCTION("""COMPUTED_VALUE"""),3710)</f>
        <v>3710</v>
      </c>
      <c r="M985" s="6" t="str">
        <f ca="1">IFERROR(__xludf.DUMMYFUNCTION("""COMPUTED_VALUE"""),"03 ORL")</f>
        <v>03 ORL</v>
      </c>
      <c r="N985" s="6" t="str">
        <f ca="1">IFERROR(__xludf.DUMMYFUNCTION("""COMPUTED_VALUE"""),"06 ORL")</f>
        <v>06 ORL</v>
      </c>
      <c r="O985" s="6" t="str">
        <f ca="1">IFERROR(__xludf.DUMMYFUNCTION("""COMPUTED_VALUE"""),"Dr, Carlos Barajas del Rosal")</f>
        <v>Dr, Carlos Barajas del Rosal</v>
      </c>
      <c r="P985" s="6" t="str">
        <f ca="1">IFERROR(__xludf.DUMMYFUNCTION("""COMPUTED_VALUE"""),"Lisandro Russian (Madrid, Cáceres, Toledo, Talavera Y Logroño)")</f>
        <v>Lisandro Russian (Madrid, Cáceres, Toledo, Talavera Y Logroño)</v>
      </c>
    </row>
    <row r="986" spans="2:16">
      <c r="B986" s="6">
        <f ca="1">IFERROR(__xludf.DUMMYFUNCTION("""COMPUTED_VALUE"""),2025)</f>
        <v>2025</v>
      </c>
      <c r="C986" s="6">
        <f ca="1">IFERROR(__xludf.DUMMYFUNCTION("""COMPUTED_VALUE"""),7)</f>
        <v>7</v>
      </c>
      <c r="D986" s="6" t="str">
        <f ca="1">IFERROR(__xludf.DUMMYFUNCTION("""COMPUTED_VALUE"""),"NO")</f>
        <v>NO</v>
      </c>
      <c r="E986" s="6" t="str">
        <f ca="1">IFERROR(__xludf.DUMMYFUNCTION("""COMPUTED_VALUE"""),"Getafe")</f>
        <v>Getafe</v>
      </c>
      <c r="F986" s="16">
        <f ca="1">IFERROR(__xludf.DUMMYFUNCTION("""COMPUTED_VALUE"""),45841)</f>
        <v>45841</v>
      </c>
      <c r="G986" s="16">
        <f ca="1">IFERROR(__xludf.DUMMYFUNCTION("""COMPUTED_VALUE"""),45805)</f>
        <v>45805</v>
      </c>
      <c r="H986" s="6" t="str">
        <f ca="1">IFERROR(__xludf.DUMMYFUNCTION("""COMPUTED_VALUE"""),"Getafe")</f>
        <v>Getafe</v>
      </c>
      <c r="I986" s="6" t="str">
        <f ca="1">IFERROR(__xludf.DUMMYFUNCTION("""COMPUTED_VALUE"""),"C202562091942491")</f>
        <v>C202562091942491</v>
      </c>
      <c r="J986" s="6" t="str">
        <f ca="1">IFERROR(__xludf.DUMMYFUNCTION("""COMPUTED_VALUE"""),"URBANO JESUS ALEJANDRO JIMENEZ TORRECILLA")</f>
        <v>URBANO JESUS ALEJANDRO JIMENEZ TORRECILLA</v>
      </c>
      <c r="K986" s="6">
        <f ca="1">IFERROR(__xludf.DUMMYFUNCTION("""COMPUTED_VALUE"""),2)</f>
        <v>2</v>
      </c>
      <c r="L986" s="139">
        <f ca="1">IFERROR(__xludf.DUMMYFUNCTION("""COMPUTED_VALUE"""),4000)</f>
        <v>4000</v>
      </c>
      <c r="M986" s="6" t="str">
        <f ca="1">IFERROR(__xludf.DUMMYFUNCTION("""COMPUTED_VALUE"""),"03 ORL")</f>
        <v>03 ORL</v>
      </c>
      <c r="N986" s="6" t="str">
        <f ca="1">IFERROR(__xludf.DUMMYFUNCTION("""COMPUTED_VALUE"""),"06 ORL")</f>
        <v>06 ORL</v>
      </c>
      <c r="O986" s="6" t="str">
        <f ca="1">IFERROR(__xludf.DUMMYFUNCTION("""COMPUTED_VALUE"""),"Dr, Gerardo Monedero Rodrigo")</f>
        <v>Dr, Gerardo Monedero Rodrigo</v>
      </c>
      <c r="P986" s="6" t="str">
        <f ca="1">IFERROR(__xludf.DUMMYFUNCTION("""COMPUTED_VALUE"""),"Maika Blázquez (Madrid)")</f>
        <v>Maika Blázquez (Madrid)</v>
      </c>
    </row>
    <row r="987" spans="2:16">
      <c r="B987" s="6">
        <f ca="1">IFERROR(__xludf.DUMMYFUNCTION("""COMPUTED_VALUE"""),2025)</f>
        <v>2025</v>
      </c>
      <c r="C987" s="6">
        <f ca="1">IFERROR(__xludf.DUMMYFUNCTION("""COMPUTED_VALUE"""),7)</f>
        <v>7</v>
      </c>
      <c r="D987" s="6" t="str">
        <f ca="1">IFERROR(__xludf.DUMMYFUNCTION("""COMPUTED_VALUE"""),"NO")</f>
        <v>NO</v>
      </c>
      <c r="E987" s="6" t="str">
        <f ca="1">IFERROR(__xludf.DUMMYFUNCTION("""COMPUTED_VALUE"""),"Torrejón de Ardoz")</f>
        <v>Torrejón de Ardoz</v>
      </c>
      <c r="F987" s="16">
        <f ca="1">IFERROR(__xludf.DUMMYFUNCTION("""COMPUTED_VALUE"""),45855)</f>
        <v>45855</v>
      </c>
      <c r="G987" s="16">
        <f ca="1">IFERROR(__xludf.DUMMYFUNCTION("""COMPUTED_VALUE"""),45838)</f>
        <v>45838</v>
      </c>
      <c r="H987" s="6" t="str">
        <f ca="1">IFERROR(__xludf.DUMMYFUNCTION("""COMPUTED_VALUE"""),"Torrejón")</f>
        <v>Torrejón</v>
      </c>
      <c r="I987" s="6" t="str">
        <f ca="1">IFERROR(__xludf.DUMMYFUNCTION("""COMPUTED_VALUE"""),"C20257116932728")</f>
        <v>C20257116932728</v>
      </c>
      <c r="J987" s="6" t="str">
        <f ca="1">IFERROR(__xludf.DUMMYFUNCTION("""COMPUTED_VALUE"""),"VICENTE FERNANDEZ FERNANDEZ")</f>
        <v>VICENTE FERNANDEZ FERNANDEZ</v>
      </c>
      <c r="K987" s="6">
        <f ca="1">IFERROR(__xludf.DUMMYFUNCTION("""COMPUTED_VALUE"""),2)</f>
        <v>2</v>
      </c>
      <c r="L987" s="139">
        <f ca="1">IFERROR(__xludf.DUMMYFUNCTION("""COMPUTED_VALUE"""),4120)</f>
        <v>4120</v>
      </c>
      <c r="M987" s="6" t="str">
        <f ca="1">IFERROR(__xludf.DUMMYFUNCTION("""COMPUTED_VALUE"""),"03 ORL")</f>
        <v>03 ORL</v>
      </c>
      <c r="N987" s="6" t="str">
        <f ca="1">IFERROR(__xludf.DUMMYFUNCTION("""COMPUTED_VALUE"""),"06 ORL")</f>
        <v>06 ORL</v>
      </c>
      <c r="O987" s="6" t="str">
        <f ca="1">IFERROR(__xludf.DUMMYFUNCTION("""COMPUTED_VALUE"""),"Dra, Paula del Valle Gómez")</f>
        <v>Dra, Paula del Valle Gómez</v>
      </c>
      <c r="P987" s="6" t="str">
        <f ca="1">IFERROR(__xludf.DUMMYFUNCTION("""COMPUTED_VALUE"""),"Maika Blázquez (Madrid)")</f>
        <v>Maika Blázquez (Madrid)</v>
      </c>
    </row>
    <row r="988" spans="2:16">
      <c r="B988" s="6">
        <f ca="1">IFERROR(__xludf.DUMMYFUNCTION("""COMPUTED_VALUE"""),2025)</f>
        <v>2025</v>
      </c>
      <c r="C988" s="6">
        <f ca="1">IFERROR(__xludf.DUMMYFUNCTION("""COMPUTED_VALUE"""),7)</f>
        <v>7</v>
      </c>
      <c r="D988" s="6" t="str">
        <f ca="1">IFERROR(__xludf.DUMMYFUNCTION("""COMPUTED_VALUE"""),"NO")</f>
        <v>NO</v>
      </c>
      <c r="E988" s="6" t="str">
        <f ca="1">IFERROR(__xludf.DUMMYFUNCTION("""COMPUTED_VALUE"""),"Orihuela")</f>
        <v>Orihuela</v>
      </c>
      <c r="F988" s="16">
        <f ca="1">IFERROR(__xludf.DUMMYFUNCTION("""COMPUTED_VALUE"""),45845)</f>
        <v>45845</v>
      </c>
      <c r="G988" s="16">
        <f ca="1">IFERROR(__xludf.DUMMYFUNCTION("""COMPUTED_VALUE"""),45824)</f>
        <v>45824</v>
      </c>
      <c r="H988" s="6" t="str">
        <f ca="1">IFERROR(__xludf.DUMMYFUNCTION("""COMPUTED_VALUE"""),"La Zenia")</f>
        <v>La Zenia</v>
      </c>
      <c r="I988" s="6" t="str">
        <f ca="1">IFERROR(__xludf.DUMMYFUNCTION("""COMPUTED_VALUE"""),"C2025618182738668")</f>
        <v>C2025618182738668</v>
      </c>
      <c r="J988" s="6" t="str">
        <f ca="1">IFERROR(__xludf.DUMMYFUNCTION("""COMPUTED_VALUE"""),"VITALY VALERKO")</f>
        <v>VITALY VALERKO</v>
      </c>
      <c r="K988" s="6">
        <f ca="1">IFERROR(__xludf.DUMMYFUNCTION("""COMPUTED_VALUE"""),2)</f>
        <v>2</v>
      </c>
      <c r="L988" s="139">
        <f ca="1">IFERROR(__xludf.DUMMYFUNCTION("""COMPUTED_VALUE"""),2743.64)</f>
        <v>2743.64</v>
      </c>
      <c r="M988" s="6" t="str">
        <f ca="1">IFERROR(__xludf.DUMMYFUNCTION("""COMPUTED_VALUE"""),"03 ORL")</f>
        <v>03 ORL</v>
      </c>
      <c r="N988" s="6" t="str">
        <f ca="1">IFERROR(__xludf.DUMMYFUNCTION("""COMPUTED_VALUE"""),"06 ORL")</f>
        <v>06 ORL</v>
      </c>
      <c r="O988" s="6" t="str">
        <f ca="1">IFERROR(__xludf.DUMMYFUNCTION("""COMPUTED_VALUE"""),"Dr, Juan Javier Álvarez López")</f>
        <v>Dr, Juan Javier Álvarez López</v>
      </c>
      <c r="P988" s="6" t="str">
        <f ca="1">IFERROR(__xludf.DUMMYFUNCTION("""COMPUTED_VALUE"""),"Iván Sánchez (Levante Y Albacete)")</f>
        <v>Iván Sánchez (Levante Y Albacete)</v>
      </c>
    </row>
    <row r="989" spans="2:16">
      <c r="B989" s="6">
        <f ca="1">IFERROR(__xludf.DUMMYFUNCTION("""COMPUTED_VALUE"""),2025)</f>
        <v>2025</v>
      </c>
      <c r="C989" s="6">
        <f ca="1">IFERROR(__xludf.DUMMYFUNCTION("""COMPUTED_VALUE"""),7)</f>
        <v>7</v>
      </c>
      <c r="D989" s="6" t="str">
        <f ca="1">IFERROR(__xludf.DUMMYFUNCTION("""COMPUTED_VALUE"""),"NO")</f>
        <v>NO</v>
      </c>
      <c r="E989" s="6" t="str">
        <f ca="1">IFERROR(__xludf.DUMMYFUNCTION("""COMPUTED_VALUE"""),"Vigo")</f>
        <v>Vigo</v>
      </c>
      <c r="F989" s="16">
        <f ca="1">IFERROR(__xludf.DUMMYFUNCTION("""COMPUTED_VALUE"""),45839)</f>
        <v>45839</v>
      </c>
      <c r="G989" s="16">
        <f ca="1">IFERROR(__xludf.DUMMYFUNCTION("""COMPUTED_VALUE"""),45806)</f>
        <v>45806</v>
      </c>
      <c r="H989" s="6" t="str">
        <f ca="1">IFERROR(__xludf.DUMMYFUNCTION("""COMPUTED_VALUE"""),"Vigo")</f>
        <v>Vigo</v>
      </c>
      <c r="I989" s="6" t="str">
        <f ca="1">IFERROR(__xludf.DUMMYFUNCTION("""COMPUTED_VALUE"""),"VIG-578")</f>
        <v>VIG-578</v>
      </c>
      <c r="J989" s="6" t="str">
        <f ca="1">IFERROR(__xludf.DUMMYFUNCTION("""COMPUTED_VALUE"""),"Mª DEL MAR REBOREDO OTERO")</f>
        <v>Mª DEL MAR REBOREDO OTERO</v>
      </c>
      <c r="K989" s="6">
        <f ca="1">IFERROR(__xludf.DUMMYFUNCTION("""COMPUTED_VALUE"""),2)</f>
        <v>2</v>
      </c>
      <c r="L989" s="139">
        <f ca="1">IFERROR(__xludf.DUMMYFUNCTION("""COMPUTED_VALUE"""),3454.55)</f>
        <v>3454.55</v>
      </c>
      <c r="M989" s="6" t="str">
        <f ca="1">IFERROR(__xludf.DUMMYFUNCTION("""COMPUTED_VALUE"""),"03 ORL")</f>
        <v>03 ORL</v>
      </c>
      <c r="N989" s="6" t="str">
        <f ca="1">IFERROR(__xludf.DUMMYFUNCTION("""COMPUTED_VALUE"""),"06 ORL")</f>
        <v>06 ORL</v>
      </c>
      <c r="O989" s="6" t="str">
        <f ca="1">IFERROR(__xludf.DUMMYFUNCTION("""COMPUTED_VALUE"""),"Dra, Isabel Miranda García")</f>
        <v>Dra, Isabel Miranda García</v>
      </c>
      <c r="P989" s="6" t="str">
        <f ca="1">IFERROR(__xludf.DUMMYFUNCTION("""COMPUTED_VALUE"""),"Roberto Pereira (Galicia)")</f>
        <v>Roberto Pereira (Galicia)</v>
      </c>
    </row>
    <row r="990" spans="2:16">
      <c r="B990" s="6">
        <f ca="1">IFERROR(__xludf.DUMMYFUNCTION("""COMPUTED_VALUE"""),2025)</f>
        <v>2025</v>
      </c>
      <c r="C990" s="6">
        <f ca="1">IFERROR(__xludf.DUMMYFUNCTION("""COMPUTED_VALUE"""),7)</f>
        <v>7</v>
      </c>
      <c r="D990" s="6" t="str">
        <f ca="1">IFERROR(__xludf.DUMMYFUNCTION("""COMPUTED_VALUE"""),"NO")</f>
        <v>NO</v>
      </c>
      <c r="E990" s="6" t="str">
        <f ca="1">IFERROR(__xludf.DUMMYFUNCTION("""COMPUTED_VALUE"""),"Zaragoza- León XIII")</f>
        <v>Zaragoza- León XIII</v>
      </c>
      <c r="F990" s="16">
        <f ca="1">IFERROR(__xludf.DUMMYFUNCTION("""COMPUTED_VALUE"""),45839)</f>
        <v>45839</v>
      </c>
      <c r="G990" s="16">
        <f ca="1">IFERROR(__xludf.DUMMYFUNCTION("""COMPUTED_VALUE"""),45804)</f>
        <v>45804</v>
      </c>
      <c r="H990" s="6" t="str">
        <f ca="1">IFERROR(__xludf.DUMMYFUNCTION("""COMPUTED_VALUE"""),"Zaragoza")</f>
        <v>Zaragoza</v>
      </c>
      <c r="I990" s="6" t="str">
        <f ca="1">IFERROR(__xludf.DUMMYFUNCTION("""COMPUTED_VALUE"""),"ZRG-645")</f>
        <v>ZRG-645</v>
      </c>
      <c r="J990" s="6" t="str">
        <f ca="1">IFERROR(__xludf.DUMMYFUNCTION("""COMPUTED_VALUE"""),"MARIA DE LOS ANGELES ALADREN GIL")</f>
        <v>MARIA DE LOS ANGELES ALADREN GIL</v>
      </c>
      <c r="K990" s="6">
        <f ca="1">IFERROR(__xludf.DUMMYFUNCTION("""COMPUTED_VALUE"""),1)</f>
        <v>1</v>
      </c>
      <c r="L990" s="139">
        <f ca="1">IFERROR(__xludf.DUMMYFUNCTION("""COMPUTED_VALUE"""),2127.27)</f>
        <v>2127.27</v>
      </c>
      <c r="M990" s="6" t="str">
        <f ca="1">IFERROR(__xludf.DUMMYFUNCTION("""COMPUTED_VALUE"""),"03 ORL")</f>
        <v>03 ORL</v>
      </c>
      <c r="N990" s="6" t="str">
        <f ca="1">IFERROR(__xludf.DUMMYFUNCTION("""COMPUTED_VALUE"""),"06 ORL")</f>
        <v>06 ORL</v>
      </c>
      <c r="O990" s="6" t="str">
        <f ca="1">IFERROR(__xludf.DUMMYFUNCTION("""COMPUTED_VALUE"""),"Dr, Julio Knaster Del Olmo")</f>
        <v>Dr, Julio Knaster Del Olmo</v>
      </c>
      <c r="P990" s="6" t="str">
        <f ca="1">IFERROR(__xludf.DUMMYFUNCTION("""COMPUTED_VALUE"""),"Lisandro Russian (Madrid, Cáceres, Toledo, Talavera Y Logroño)")</f>
        <v>Lisandro Russian (Madrid, Cáceres, Toledo, Talavera Y Logroño)</v>
      </c>
    </row>
    <row r="991" spans="2:16">
      <c r="B991" s="6">
        <f ca="1">IFERROR(__xludf.DUMMYFUNCTION("""COMPUTED_VALUE"""),2025)</f>
        <v>2025</v>
      </c>
      <c r="C991" s="6">
        <f ca="1">IFERROR(__xludf.DUMMYFUNCTION("""COMPUTED_VALUE"""),7)</f>
        <v>7</v>
      </c>
      <c r="D991" s="6" t="str">
        <f ca="1">IFERROR(__xludf.DUMMYFUNCTION("""COMPUTED_VALUE"""),"NO")</f>
        <v>NO</v>
      </c>
      <c r="E991" s="6" t="str">
        <f ca="1">IFERROR(__xludf.DUMMYFUNCTION("""COMPUTED_VALUE"""),"Culleredo")</f>
        <v>Culleredo</v>
      </c>
      <c r="F991" s="16">
        <f ca="1">IFERROR(__xludf.DUMMYFUNCTION("""COMPUTED_VALUE"""),45841)</f>
        <v>45841</v>
      </c>
      <c r="G991" s="16">
        <f ca="1">IFERROR(__xludf.DUMMYFUNCTION("""COMPUTED_VALUE"""),45791)</f>
        <v>45791</v>
      </c>
      <c r="H991" s="6" t="str">
        <f ca="1">IFERROR(__xludf.DUMMYFUNCTION("""COMPUTED_VALUE"""),"Culleredo")</f>
        <v>Culleredo</v>
      </c>
      <c r="I991" s="6" t="str">
        <f ca="1">IFERROR(__xludf.DUMMYFUNCTION("""COMPUTED_VALUE"""),"CULL-207")</f>
        <v>CULL-207</v>
      </c>
      <c r="J991" s="6" t="str">
        <f ca="1">IFERROR(__xludf.DUMMYFUNCTION("""COMPUTED_VALUE"""),"ANGEL RAMON PONTE ROSTRO")</f>
        <v>ANGEL RAMON PONTE ROSTRO</v>
      </c>
      <c r="K991" s="6">
        <f ca="1">IFERROR(__xludf.DUMMYFUNCTION("""COMPUTED_VALUE"""),2)</f>
        <v>2</v>
      </c>
      <c r="L991" s="139">
        <f ca="1">IFERROR(__xludf.DUMMYFUNCTION("""COMPUTED_VALUE"""),3909.09)</f>
        <v>3909.09</v>
      </c>
      <c r="M991" s="6" t="str">
        <f ca="1">IFERROR(__xludf.DUMMYFUNCTION("""COMPUTED_VALUE"""),"03 ORL")</f>
        <v>03 ORL</v>
      </c>
      <c r="N991" s="6" t="str">
        <f ca="1">IFERROR(__xludf.DUMMYFUNCTION("""COMPUTED_VALUE"""),"06 ORL")</f>
        <v>06 ORL</v>
      </c>
      <c r="O991" s="6" t="str">
        <f ca="1">IFERROR(__xludf.DUMMYFUNCTION("""COMPUTED_VALUE"""),"Dr, Miguel Mayo Yáñez")</f>
        <v>Dr, Miguel Mayo Yáñez</v>
      </c>
      <c r="P991" s="6" t="str">
        <f ca="1">IFERROR(__xludf.DUMMYFUNCTION("""COMPUTED_VALUE"""),"Roberto Pereira (Galicia)")</f>
        <v>Roberto Pereira (Galicia)</v>
      </c>
    </row>
    <row r="992" spans="2:16">
      <c r="B992" s="6">
        <f ca="1">IFERROR(__xludf.DUMMYFUNCTION("""COMPUTED_VALUE"""),2025)</f>
        <v>2025</v>
      </c>
      <c r="C992" s="6">
        <f ca="1">IFERROR(__xludf.DUMMYFUNCTION("""COMPUTED_VALUE"""),7)</f>
        <v>7</v>
      </c>
      <c r="D992" s="6" t="str">
        <f ca="1">IFERROR(__xludf.DUMMYFUNCTION("""COMPUTED_VALUE"""),"NO")</f>
        <v>NO</v>
      </c>
      <c r="E992" s="6" t="str">
        <f ca="1">IFERROR(__xludf.DUMMYFUNCTION("""COMPUTED_VALUE"""),"León")</f>
        <v>León</v>
      </c>
      <c r="F992" s="16">
        <f ca="1">IFERROR(__xludf.DUMMYFUNCTION("""COMPUTED_VALUE"""),45841)</f>
        <v>45841</v>
      </c>
      <c r="G992" s="16">
        <f ca="1">IFERROR(__xludf.DUMMYFUNCTION("""COMPUTED_VALUE"""),45803)</f>
        <v>45803</v>
      </c>
      <c r="H992" s="6" t="str">
        <f ca="1">IFERROR(__xludf.DUMMYFUNCTION("""COMPUTED_VALUE"""),"León")</f>
        <v>León</v>
      </c>
      <c r="I992" s="6" t="str">
        <f ca="1">IFERROR(__xludf.DUMMYFUNCTION("""COMPUTED_VALUE"""),"LEO-479")</f>
        <v>LEO-479</v>
      </c>
      <c r="J992" s="6" t="str">
        <f ca="1">IFERROR(__xludf.DUMMYFUNCTION("""COMPUTED_VALUE"""),"MARIA FELIX IGLESIAS GONZALEZ")</f>
        <v>MARIA FELIX IGLESIAS GONZALEZ</v>
      </c>
      <c r="K992" s="6">
        <f ca="1">IFERROR(__xludf.DUMMYFUNCTION("""COMPUTED_VALUE"""),2)</f>
        <v>2</v>
      </c>
      <c r="L992" s="139">
        <f ca="1">IFERROR(__xludf.DUMMYFUNCTION("""COMPUTED_VALUE"""),2577.29)</f>
        <v>2577.29</v>
      </c>
      <c r="M992" s="6" t="str">
        <f ca="1">IFERROR(__xludf.DUMMYFUNCTION("""COMPUTED_VALUE"""),"03 ORL")</f>
        <v>03 ORL</v>
      </c>
      <c r="N992" s="6" t="str">
        <f ca="1">IFERROR(__xludf.DUMMYFUNCTION("""COMPUTED_VALUE"""),"06 ORL")</f>
        <v>06 ORL</v>
      </c>
      <c r="O992" s="6" t="str">
        <f ca="1">IFERROR(__xludf.DUMMYFUNCTION("""COMPUTED_VALUE"""),"Dr, Rafael Pérez González")</f>
        <v>Dr, Rafael Pérez González</v>
      </c>
      <c r="P992" s="6" t="str">
        <f ca="1">IFERROR(__xludf.DUMMYFUNCTION("""COMPUTED_VALUE"""),"Alberto Moreno (Madrid)")</f>
        <v>Alberto Moreno (Madrid)</v>
      </c>
    </row>
    <row r="993" spans="2:16">
      <c r="B993" s="6">
        <f ca="1">IFERROR(__xludf.DUMMYFUNCTION("""COMPUTED_VALUE"""),2025)</f>
        <v>2025</v>
      </c>
      <c r="C993" s="6">
        <f ca="1">IFERROR(__xludf.DUMMYFUNCTION("""COMPUTED_VALUE"""),7)</f>
        <v>7</v>
      </c>
      <c r="D993" s="6" t="str">
        <f ca="1">IFERROR(__xludf.DUMMYFUNCTION("""COMPUTED_VALUE"""),"NO")</f>
        <v>NO</v>
      </c>
      <c r="E993" s="6" t="str">
        <f ca="1">IFERROR(__xludf.DUMMYFUNCTION("""COMPUTED_VALUE"""),"Vigo")</f>
        <v>Vigo</v>
      </c>
      <c r="F993" s="16">
        <f ca="1">IFERROR(__xludf.DUMMYFUNCTION("""COMPUTED_VALUE"""),45841)</f>
        <v>45841</v>
      </c>
      <c r="G993" s="16">
        <f ca="1">IFERROR(__xludf.DUMMYFUNCTION("""COMPUTED_VALUE"""),45761)</f>
        <v>45761</v>
      </c>
      <c r="H993" s="6" t="str">
        <f ca="1">IFERROR(__xludf.DUMMYFUNCTION("""COMPUTED_VALUE"""),"Vigo")</f>
        <v>Vigo</v>
      </c>
      <c r="I993" s="6" t="str">
        <f ca="1">IFERROR(__xludf.DUMMYFUNCTION("""COMPUTED_VALUE"""),"VIG-565")</f>
        <v>VIG-565</v>
      </c>
      <c r="J993" s="6" t="str">
        <f ca="1">IFERROR(__xludf.DUMMYFUNCTION("""COMPUTED_VALUE"""),"IRIA RODRIGUEZ FERNANDEZ")</f>
        <v>IRIA RODRIGUEZ FERNANDEZ</v>
      </c>
      <c r="K993" s="6">
        <f ca="1">IFERROR(__xludf.DUMMYFUNCTION("""COMPUTED_VALUE"""),2)</f>
        <v>2</v>
      </c>
      <c r="L993" s="139">
        <f ca="1">IFERROR(__xludf.DUMMYFUNCTION("""COMPUTED_VALUE"""),3454.55)</f>
        <v>3454.55</v>
      </c>
      <c r="M993" s="6" t="str">
        <f ca="1">IFERROR(__xludf.DUMMYFUNCTION("""COMPUTED_VALUE"""),"03 ORL")</f>
        <v>03 ORL</v>
      </c>
      <c r="N993" s="6" t="str">
        <f ca="1">IFERROR(__xludf.DUMMYFUNCTION("""COMPUTED_VALUE"""),"06 ORL")</f>
        <v>06 ORL</v>
      </c>
      <c r="O993" s="6" t="str">
        <f ca="1">IFERROR(__xludf.DUMMYFUNCTION("""COMPUTED_VALUE"""),"Dra, Pilar Castro Ruiz")</f>
        <v>Dra, Pilar Castro Ruiz</v>
      </c>
      <c r="P993" s="6" t="str">
        <f ca="1">IFERROR(__xludf.DUMMYFUNCTION("""COMPUTED_VALUE"""),"Roberto Pereira (Galicia)")</f>
        <v>Roberto Pereira (Galicia)</v>
      </c>
    </row>
    <row r="994" spans="2:16">
      <c r="B994" s="6">
        <f ca="1">IFERROR(__xludf.DUMMYFUNCTION("""COMPUTED_VALUE"""),2025)</f>
        <v>2025</v>
      </c>
      <c r="C994" s="6">
        <f ca="1">IFERROR(__xludf.DUMMYFUNCTION("""COMPUTED_VALUE"""),7)</f>
        <v>7</v>
      </c>
      <c r="D994" s="6" t="str">
        <f ca="1">IFERROR(__xludf.DUMMYFUNCTION("""COMPUTED_VALUE"""),"NO")</f>
        <v>NO</v>
      </c>
      <c r="E994" s="6" t="str">
        <f ca="1">IFERROR(__xludf.DUMMYFUNCTION("""COMPUTED_VALUE"""),"Badajoz")</f>
        <v>Badajoz</v>
      </c>
      <c r="F994" s="16">
        <f ca="1">IFERROR(__xludf.DUMMYFUNCTION("""COMPUTED_VALUE"""),45842)</f>
        <v>45842</v>
      </c>
      <c r="G994" s="16">
        <f ca="1">IFERROR(__xludf.DUMMYFUNCTION("""COMPUTED_VALUE"""),45800)</f>
        <v>45800</v>
      </c>
      <c r="H994" s="6" t="str">
        <f ca="1">IFERROR(__xludf.DUMMYFUNCTION("""COMPUTED_VALUE"""),"Badajoz")</f>
        <v>Badajoz</v>
      </c>
      <c r="I994" s="6" t="str">
        <f ca="1">IFERROR(__xludf.DUMMYFUNCTION("""COMPUTED_VALUE"""),"BJZE-2491")</f>
        <v>BJZE-2491</v>
      </c>
      <c r="J994" s="6" t="str">
        <f ca="1">IFERROR(__xludf.DUMMYFUNCTION("""COMPUTED_VALUE"""),"JUAN GOMEZ NAVEDO")</f>
        <v>JUAN GOMEZ NAVEDO</v>
      </c>
      <c r="K994" s="6">
        <f ca="1">IFERROR(__xludf.DUMMYFUNCTION("""COMPUTED_VALUE"""),1)</f>
        <v>1</v>
      </c>
      <c r="L994" s="139">
        <f ca="1">IFERROR(__xludf.DUMMYFUNCTION("""COMPUTED_VALUE"""),1590.91)</f>
        <v>1590.91</v>
      </c>
      <c r="M994" s="6" t="str">
        <f ca="1">IFERROR(__xludf.DUMMYFUNCTION("""COMPUTED_VALUE"""),"03 ORL")</f>
        <v>03 ORL</v>
      </c>
      <c r="N994" s="6" t="str">
        <f ca="1">IFERROR(__xludf.DUMMYFUNCTION("""COMPUTED_VALUE"""),"06 ORL")</f>
        <v>06 ORL</v>
      </c>
      <c r="O994" s="6" t="str">
        <f ca="1">IFERROR(__xludf.DUMMYFUNCTION("""COMPUTED_VALUE"""),"Dr, Isidoro Rubio Correa")</f>
        <v>Dr, Isidoro Rubio Correa</v>
      </c>
      <c r="P994" s="6" t="str">
        <f ca="1">IFERROR(__xludf.DUMMYFUNCTION("""COMPUTED_VALUE"""),"Luis Alberto Rodríguez (Andalucía Y Badajoz)")</f>
        <v>Luis Alberto Rodríguez (Andalucía Y Badajoz)</v>
      </c>
    </row>
    <row r="995" spans="2:16">
      <c r="B995" s="6">
        <f ca="1">IFERROR(__xludf.DUMMYFUNCTION("""COMPUTED_VALUE"""),2025)</f>
        <v>2025</v>
      </c>
      <c r="C995" s="6">
        <f ca="1">IFERROR(__xludf.DUMMYFUNCTION("""COMPUTED_VALUE"""),7)</f>
        <v>7</v>
      </c>
      <c r="D995" s="6" t="str">
        <f ca="1">IFERROR(__xludf.DUMMYFUNCTION("""COMPUTED_VALUE"""),"NO")</f>
        <v>NO</v>
      </c>
      <c r="E995" s="6" t="str">
        <f ca="1">IFERROR(__xludf.DUMMYFUNCTION("""COMPUTED_VALUE"""),"Zaragoza- León XIII")</f>
        <v>Zaragoza- León XIII</v>
      </c>
      <c r="F995" s="16">
        <f ca="1">IFERROR(__xludf.DUMMYFUNCTION("""COMPUTED_VALUE"""),45845)</f>
        <v>45845</v>
      </c>
      <c r="G995" s="16">
        <f ca="1">IFERROR(__xludf.DUMMYFUNCTION("""COMPUTED_VALUE"""),45805)</f>
        <v>45805</v>
      </c>
      <c r="H995" s="6" t="str">
        <f ca="1">IFERROR(__xludf.DUMMYFUNCTION("""COMPUTED_VALUE"""),"Zaragoza")</f>
        <v>Zaragoza</v>
      </c>
      <c r="I995" s="6" t="str">
        <f ca="1">IFERROR(__xludf.DUMMYFUNCTION("""COMPUTED_VALUE"""),"ZRG-647")</f>
        <v>ZRG-647</v>
      </c>
      <c r="J995" s="6" t="str">
        <f ca="1">IFERROR(__xludf.DUMMYFUNCTION("""COMPUTED_VALUE"""),"JOSE LUIS ANDREU PUYOL")</f>
        <v>JOSE LUIS ANDREU PUYOL</v>
      </c>
      <c r="K995" s="6">
        <f ca="1">IFERROR(__xludf.DUMMYFUNCTION("""COMPUTED_VALUE"""),2)</f>
        <v>2</v>
      </c>
      <c r="L995" s="139">
        <f ca="1">IFERROR(__xludf.DUMMYFUNCTION("""COMPUTED_VALUE"""),3441.59)</f>
        <v>3441.59</v>
      </c>
      <c r="M995" s="6" t="str">
        <f ca="1">IFERROR(__xludf.DUMMYFUNCTION("""COMPUTED_VALUE"""),"03 ORL")</f>
        <v>03 ORL</v>
      </c>
      <c r="N995" s="6" t="str">
        <f ca="1">IFERROR(__xludf.DUMMYFUNCTION("""COMPUTED_VALUE"""),"06 ORL")</f>
        <v>06 ORL</v>
      </c>
      <c r="O995" s="6" t="str">
        <f ca="1">IFERROR(__xludf.DUMMYFUNCTION("""COMPUTED_VALUE"""),"Dr, Julio Knaster Del Olmo")</f>
        <v>Dr, Julio Knaster Del Olmo</v>
      </c>
      <c r="P995" s="6" t="str">
        <f ca="1">IFERROR(__xludf.DUMMYFUNCTION("""COMPUTED_VALUE"""),"Lisandro Russian (Madrid, Cáceres, Toledo, Talavera Y Logroño)")</f>
        <v>Lisandro Russian (Madrid, Cáceres, Toledo, Talavera Y Logroño)</v>
      </c>
    </row>
    <row r="996" spans="2:16">
      <c r="B996" s="6">
        <f ca="1">IFERROR(__xludf.DUMMYFUNCTION("""COMPUTED_VALUE"""),2025)</f>
        <v>2025</v>
      </c>
      <c r="C996" s="6">
        <f ca="1">IFERROR(__xludf.DUMMYFUNCTION("""COMPUTED_VALUE"""),7)</f>
        <v>7</v>
      </c>
      <c r="D996" s="6" t="str">
        <f ca="1">IFERROR(__xludf.DUMMYFUNCTION("""COMPUTED_VALUE"""),"NO")</f>
        <v>NO</v>
      </c>
      <c r="E996" s="6" t="str">
        <f ca="1">IFERROR(__xludf.DUMMYFUNCTION("""COMPUTED_VALUE"""),"Terrassa")</f>
        <v>Terrassa</v>
      </c>
      <c r="F996" s="16">
        <f ca="1">IFERROR(__xludf.DUMMYFUNCTION("""COMPUTED_VALUE"""),45846)</f>
        <v>45846</v>
      </c>
      <c r="G996" s="16">
        <f ca="1">IFERROR(__xludf.DUMMYFUNCTION("""COMPUTED_VALUE"""),45805)</f>
        <v>45805</v>
      </c>
      <c r="H996" s="6" t="str">
        <f ca="1">IFERROR(__xludf.DUMMYFUNCTION("""COMPUTED_VALUE"""),"Terrassa")</f>
        <v>Terrassa</v>
      </c>
      <c r="I996" s="6" t="str">
        <f ca="1">IFERROR(__xludf.DUMMYFUNCTION("""COMPUTED_VALUE"""),"ZRG-610")</f>
        <v>ZRG-610</v>
      </c>
      <c r="J996" s="6" t="str">
        <f ca="1">IFERROR(__xludf.DUMMYFUNCTION("""COMPUTED_VALUE"""),"ANGELES MEDINA SANCHEZ")</f>
        <v>ANGELES MEDINA SANCHEZ</v>
      </c>
      <c r="K996" s="6">
        <f ca="1">IFERROR(__xludf.DUMMYFUNCTION("""COMPUTED_VALUE"""),2)</f>
        <v>2</v>
      </c>
      <c r="L996" s="139">
        <f ca="1">IFERROR(__xludf.DUMMYFUNCTION("""COMPUTED_VALUE"""),2936.36)</f>
        <v>2936.36</v>
      </c>
      <c r="M996" s="6" t="str">
        <f ca="1">IFERROR(__xludf.DUMMYFUNCTION("""COMPUTED_VALUE"""),"03 ORL")</f>
        <v>03 ORL</v>
      </c>
      <c r="N996" s="6" t="str">
        <f ca="1">IFERROR(__xludf.DUMMYFUNCTION("""COMPUTED_VALUE"""),"06 ORL")</f>
        <v>06 ORL</v>
      </c>
      <c r="O996" s="6" t="str">
        <f ca="1">IFERROR(__xludf.DUMMYFUNCTION("""COMPUTED_VALUE"""),"Dr, Joaquim Broto Sumalla")</f>
        <v>Dr, Joaquim Broto Sumalla</v>
      </c>
      <c r="P996" s="6" t="str">
        <f ca="1">IFERROR(__xludf.DUMMYFUNCTION("""COMPUTED_VALUE"""),"Mercè Cabrera (Cataluña Y Baleares)")</f>
        <v>Mercè Cabrera (Cataluña Y Baleares)</v>
      </c>
    </row>
    <row r="997" spans="2:16">
      <c r="B997" s="6">
        <f ca="1">IFERROR(__xludf.DUMMYFUNCTION("""COMPUTED_VALUE"""),2025)</f>
        <v>2025</v>
      </c>
      <c r="C997" s="6">
        <f ca="1">IFERROR(__xludf.DUMMYFUNCTION("""COMPUTED_VALUE"""),7)</f>
        <v>7</v>
      </c>
      <c r="D997" s="6" t="str">
        <f ca="1">IFERROR(__xludf.DUMMYFUNCTION("""COMPUTED_VALUE"""),"NO")</f>
        <v>NO</v>
      </c>
      <c r="E997" s="6" t="str">
        <f ca="1">IFERROR(__xludf.DUMMYFUNCTION("""COMPUTED_VALUE"""),"Sevilla- Ciencias")</f>
        <v>Sevilla- Ciencias</v>
      </c>
      <c r="F997" s="16">
        <f ca="1">IFERROR(__xludf.DUMMYFUNCTION("""COMPUTED_VALUE"""),45848)</f>
        <v>45848</v>
      </c>
      <c r="G997" s="16">
        <f ca="1">IFERROR(__xludf.DUMMYFUNCTION("""COMPUTED_VALUE"""),45792)</f>
        <v>45792</v>
      </c>
      <c r="H997" s="6" t="str">
        <f ca="1">IFERROR(__xludf.DUMMYFUNCTION("""COMPUTED_VALUE"""),"Sevilla Este")</f>
        <v>Sevilla Este</v>
      </c>
      <c r="I997" s="6" t="str">
        <f ca="1">IFERROR(__xludf.DUMMYFUNCTION("""COMPUTED_VALUE"""),"SEVE-413")</f>
        <v>SEVE-413</v>
      </c>
      <c r="J997" s="6" t="str">
        <f ca="1">IFERROR(__xludf.DUMMYFUNCTION("""COMPUTED_VALUE"""),"JOSE GONZALEZ MARTIN")</f>
        <v>JOSE GONZALEZ MARTIN</v>
      </c>
      <c r="K997" s="6">
        <f ca="1">IFERROR(__xludf.DUMMYFUNCTION("""COMPUTED_VALUE"""),2)</f>
        <v>2</v>
      </c>
      <c r="L997" s="139">
        <f ca="1">IFERROR(__xludf.DUMMYFUNCTION("""COMPUTED_VALUE"""),3636.36)</f>
        <v>3636.36</v>
      </c>
      <c r="M997" s="6" t="str">
        <f ca="1">IFERROR(__xludf.DUMMYFUNCTION("""COMPUTED_VALUE"""),"03 ORL")</f>
        <v>03 ORL</v>
      </c>
      <c r="N997" s="6" t="str">
        <f ca="1">IFERROR(__xludf.DUMMYFUNCTION("""COMPUTED_VALUE"""),"06 ORL")</f>
        <v>06 ORL</v>
      </c>
      <c r="O997" s="6" t="str">
        <f ca="1">IFERROR(__xludf.DUMMYFUNCTION("""COMPUTED_VALUE"""),"Dr, Jesús Crovato Rojas")</f>
        <v>Dr, Jesús Crovato Rojas</v>
      </c>
      <c r="P997" s="6" t="str">
        <f ca="1">IFERROR(__xludf.DUMMYFUNCTION("""COMPUTED_VALUE"""),"Luis Alberto Rodríguez (Andalucía Y Badajoz)")</f>
        <v>Luis Alberto Rodríguez (Andalucía Y Badajoz)</v>
      </c>
    </row>
    <row r="998" spans="2:16">
      <c r="B998" s="6">
        <f ca="1">IFERROR(__xludf.DUMMYFUNCTION("""COMPUTED_VALUE"""),2025)</f>
        <v>2025</v>
      </c>
      <c r="C998" s="6">
        <f ca="1">IFERROR(__xludf.DUMMYFUNCTION("""COMPUTED_VALUE"""),7)</f>
        <v>7</v>
      </c>
      <c r="D998" s="6" t="str">
        <f ca="1">IFERROR(__xludf.DUMMYFUNCTION("""COMPUTED_VALUE"""),"NO")</f>
        <v>NO</v>
      </c>
      <c r="E998" s="6" t="str">
        <f ca="1">IFERROR(__xludf.DUMMYFUNCTION("""COMPUTED_VALUE"""),"Cáceres")</f>
        <v>Cáceres</v>
      </c>
      <c r="F998" s="16">
        <f ca="1">IFERROR(__xludf.DUMMYFUNCTION("""COMPUTED_VALUE"""),45853)</f>
        <v>45853</v>
      </c>
      <c r="G998" s="16">
        <f ca="1">IFERROR(__xludf.DUMMYFUNCTION("""COMPUTED_VALUE"""),45824)</f>
        <v>45824</v>
      </c>
      <c r="H998" s="6" t="str">
        <f ca="1">IFERROR(__xludf.DUMMYFUNCTION("""COMPUTED_VALUE"""),"Cáceres")</f>
        <v>Cáceres</v>
      </c>
      <c r="I998" s="6" t="str">
        <f ca="1">IFERROR(__xludf.DUMMYFUNCTION("""COMPUTED_VALUE"""),"CAC-321")</f>
        <v>CAC-321</v>
      </c>
      <c r="J998" s="6" t="str">
        <f ca="1">IFERROR(__xludf.DUMMYFUNCTION("""COMPUTED_VALUE"""),"MARIA LUISA GUERRAS HERRAEZ")</f>
        <v>MARIA LUISA GUERRAS HERRAEZ</v>
      </c>
      <c r="K998" s="6">
        <f ca="1">IFERROR(__xludf.DUMMYFUNCTION("""COMPUTED_VALUE"""),2)</f>
        <v>2</v>
      </c>
      <c r="L998" s="139">
        <f ca="1">IFERROR(__xludf.DUMMYFUNCTION("""COMPUTED_VALUE"""),4518.18)</f>
        <v>4518.18</v>
      </c>
      <c r="M998" s="6" t="str">
        <f ca="1">IFERROR(__xludf.DUMMYFUNCTION("""COMPUTED_VALUE"""),"03 ORL")</f>
        <v>03 ORL</v>
      </c>
      <c r="N998" s="6" t="str">
        <f ca="1">IFERROR(__xludf.DUMMYFUNCTION("""COMPUTED_VALUE"""),"06 ORL")</f>
        <v>06 ORL</v>
      </c>
      <c r="O998" s="6" t="str">
        <f ca="1">IFERROR(__xludf.DUMMYFUNCTION("""COMPUTED_VALUE"""),"Dra, María Teresa Cervilla Martín")</f>
        <v>Dra, María Teresa Cervilla Martín</v>
      </c>
      <c r="P998" s="6" t="str">
        <f ca="1">IFERROR(__xludf.DUMMYFUNCTION("""COMPUTED_VALUE"""),"Lisandro Russian (Madrid, Cáceres, Toledo, Talavera Y Logroño)")</f>
        <v>Lisandro Russian (Madrid, Cáceres, Toledo, Talavera Y Logroño)</v>
      </c>
    </row>
    <row r="999" spans="2:16">
      <c r="B999" s="6">
        <f ca="1">IFERROR(__xludf.DUMMYFUNCTION("""COMPUTED_VALUE"""),2025)</f>
        <v>2025</v>
      </c>
      <c r="C999" s="6">
        <f ca="1">IFERROR(__xludf.DUMMYFUNCTION("""COMPUTED_VALUE"""),7)</f>
        <v>7</v>
      </c>
      <c r="D999" s="6" t="str">
        <f ca="1">IFERROR(__xludf.DUMMYFUNCTION("""COMPUTED_VALUE"""),"NO")</f>
        <v>NO</v>
      </c>
      <c r="E999" s="6" t="str">
        <f ca="1">IFERROR(__xludf.DUMMYFUNCTION("""COMPUTED_VALUE"""),"Cáceres")</f>
        <v>Cáceres</v>
      </c>
      <c r="F999" s="16">
        <f ca="1">IFERROR(__xludf.DUMMYFUNCTION("""COMPUTED_VALUE"""),45853)</f>
        <v>45853</v>
      </c>
      <c r="G999" s="16">
        <f ca="1">IFERROR(__xludf.DUMMYFUNCTION("""COMPUTED_VALUE"""),45833)</f>
        <v>45833</v>
      </c>
      <c r="H999" s="6" t="str">
        <f ca="1">IFERROR(__xludf.DUMMYFUNCTION("""COMPUTED_VALUE"""),"Cáceres")</f>
        <v>Cáceres</v>
      </c>
      <c r="I999" s="6" t="str">
        <f ca="1">IFERROR(__xludf.DUMMYFUNCTION("""COMPUTED_VALUE"""),"CAC-330")</f>
        <v>CAC-330</v>
      </c>
      <c r="J999" s="6" t="str">
        <f ca="1">IFERROR(__xludf.DUMMYFUNCTION("""COMPUTED_VALUE"""),"MANUEL CALZADA GIL")</f>
        <v>MANUEL CALZADA GIL</v>
      </c>
      <c r="K999" s="6">
        <f ca="1">IFERROR(__xludf.DUMMYFUNCTION("""COMPUTED_VALUE"""),2)</f>
        <v>2</v>
      </c>
      <c r="L999" s="139">
        <f ca="1">IFERROR(__xludf.DUMMYFUNCTION("""COMPUTED_VALUE"""),4378.18)</f>
        <v>4378.18</v>
      </c>
      <c r="M999" s="6" t="str">
        <f ca="1">IFERROR(__xludf.DUMMYFUNCTION("""COMPUTED_VALUE"""),"03 ORL")</f>
        <v>03 ORL</v>
      </c>
      <c r="N999" s="6" t="str">
        <f ca="1">IFERROR(__xludf.DUMMYFUNCTION("""COMPUTED_VALUE"""),"06 ORL")</f>
        <v>06 ORL</v>
      </c>
      <c r="O999" s="6" t="str">
        <f ca="1">IFERROR(__xludf.DUMMYFUNCTION("""COMPUTED_VALUE"""),"Dr, Andrés Paulino Herrera")</f>
        <v>Dr, Andrés Paulino Herrera</v>
      </c>
      <c r="P999" s="6" t="str">
        <f ca="1">IFERROR(__xludf.DUMMYFUNCTION("""COMPUTED_VALUE"""),"Lisandro Russian (Madrid, Cáceres, Toledo, Talavera Y Logroño)")</f>
        <v>Lisandro Russian (Madrid, Cáceres, Toledo, Talavera Y Logroño)</v>
      </c>
    </row>
    <row r="1000" spans="2:16">
      <c r="B1000" s="6">
        <f ca="1">IFERROR(__xludf.DUMMYFUNCTION("""COMPUTED_VALUE"""),2025)</f>
        <v>2025</v>
      </c>
      <c r="C1000" s="6">
        <f ca="1">IFERROR(__xludf.DUMMYFUNCTION("""COMPUTED_VALUE"""),7)</f>
        <v>7</v>
      </c>
      <c r="D1000" s="6" t="str">
        <f ca="1">IFERROR(__xludf.DUMMYFUNCTION("""COMPUTED_VALUE"""),"NO")</f>
        <v>NO</v>
      </c>
      <c r="E1000" s="6" t="str">
        <f ca="1">IFERROR(__xludf.DUMMYFUNCTION("""COMPUTED_VALUE"""),"Lalín")</f>
        <v>Lalín</v>
      </c>
      <c r="F1000" s="16">
        <f ca="1">IFERROR(__xludf.DUMMYFUNCTION("""COMPUTED_VALUE"""),45853)</f>
        <v>45853</v>
      </c>
      <c r="G1000" s="16">
        <f ca="1">IFERROR(__xludf.DUMMYFUNCTION("""COMPUTED_VALUE"""),45785)</f>
        <v>45785</v>
      </c>
      <c r="H1000" s="6" t="str">
        <f ca="1">IFERROR(__xludf.DUMMYFUNCTION("""COMPUTED_VALUE"""),"Lalín")</f>
        <v>Lalín</v>
      </c>
      <c r="I1000" s="6" t="str">
        <f ca="1">IFERROR(__xludf.DUMMYFUNCTION("""COMPUTED_VALUE"""),"LAL-146")</f>
        <v>LAL-146</v>
      </c>
      <c r="J1000" s="6" t="str">
        <f ca="1">IFERROR(__xludf.DUMMYFUNCTION("""COMPUTED_VALUE"""),"MARTA VAZQUEZ BLANCO")</f>
        <v>MARTA VAZQUEZ BLANCO</v>
      </c>
      <c r="K1000" s="6">
        <f ca="1">IFERROR(__xludf.DUMMYFUNCTION("""COMPUTED_VALUE"""),1)</f>
        <v>1</v>
      </c>
      <c r="L1000" s="139">
        <f ca="1">IFERROR(__xludf.DUMMYFUNCTION("""COMPUTED_VALUE"""),1536.36)</f>
        <v>1536.36</v>
      </c>
      <c r="M1000" s="6" t="str">
        <f ca="1">IFERROR(__xludf.DUMMYFUNCTION("""COMPUTED_VALUE"""),"03 ORL")</f>
        <v>03 ORL</v>
      </c>
      <c r="N1000" s="6" t="str">
        <f ca="1">IFERROR(__xludf.DUMMYFUNCTION("""COMPUTED_VALUE"""),"06 ORL")</f>
        <v>06 ORL</v>
      </c>
      <c r="O1000" s="6" t="str">
        <f ca="1">IFERROR(__xludf.DUMMYFUNCTION("""COMPUTED_VALUE"""),"Dra, Isabel Vaamonde Sanchez Andrade")</f>
        <v>Dra, Isabel Vaamonde Sanchez Andrade</v>
      </c>
      <c r="P1000" s="6" t="str">
        <f ca="1">IFERROR(__xludf.DUMMYFUNCTION("""COMPUTED_VALUE"""),"Roberto Pereira (Galicia)")</f>
        <v>Roberto Pereira (Galicia)</v>
      </c>
    </row>
    <row r="1001" spans="2:16">
      <c r="B1001" s="6">
        <f ca="1">IFERROR(__xludf.DUMMYFUNCTION("""COMPUTED_VALUE"""),2025)</f>
        <v>2025</v>
      </c>
      <c r="C1001" s="6">
        <f ca="1">IFERROR(__xludf.DUMMYFUNCTION("""COMPUTED_VALUE"""),7)</f>
        <v>7</v>
      </c>
      <c r="D1001" s="6" t="str">
        <f ca="1">IFERROR(__xludf.DUMMYFUNCTION("""COMPUTED_VALUE"""),"NO")</f>
        <v>NO</v>
      </c>
      <c r="E1001" s="6" t="str">
        <f ca="1">IFERROR(__xludf.DUMMYFUNCTION("""COMPUTED_VALUE"""),"Boiro")</f>
        <v>Boiro</v>
      </c>
      <c r="F1001" s="16">
        <f ca="1">IFERROR(__xludf.DUMMYFUNCTION("""COMPUTED_VALUE"""),45855)</f>
        <v>45855</v>
      </c>
      <c r="G1001" s="16">
        <f ca="1">IFERROR(__xludf.DUMMYFUNCTION("""COMPUTED_VALUE"""),45833)</f>
        <v>45833</v>
      </c>
      <c r="H1001" s="6" t="str">
        <f ca="1">IFERROR(__xludf.DUMMYFUNCTION("""COMPUTED_VALUE"""),"Boiro")</f>
        <v>Boiro</v>
      </c>
      <c r="I1001" s="6" t="str">
        <f ca="1">IFERROR(__xludf.DUMMYFUNCTION("""COMPUTED_VALUE"""),"BOI-973")</f>
        <v>BOI-973</v>
      </c>
      <c r="J1001" s="6" t="str">
        <f ca="1">IFERROR(__xludf.DUMMYFUNCTION("""COMPUTED_VALUE"""),"AMALIA TORRADO HERMO")</f>
        <v>AMALIA TORRADO HERMO</v>
      </c>
      <c r="K1001" s="6">
        <f ca="1">IFERROR(__xludf.DUMMYFUNCTION("""COMPUTED_VALUE"""),2)</f>
        <v>2</v>
      </c>
      <c r="L1001" s="139">
        <f ca="1">IFERROR(__xludf.DUMMYFUNCTION("""COMPUTED_VALUE"""),2990.91)</f>
        <v>2990.91</v>
      </c>
      <c r="M1001" s="6" t="str">
        <f ca="1">IFERROR(__xludf.DUMMYFUNCTION("""COMPUTED_VALUE"""),"03 ORL")</f>
        <v>03 ORL</v>
      </c>
      <c r="N1001" s="6" t="str">
        <f ca="1">IFERROR(__xludf.DUMMYFUNCTION("""COMPUTED_VALUE"""),"06 ORL")</f>
        <v>06 ORL</v>
      </c>
      <c r="O1001" s="6" t="str">
        <f ca="1">IFERROR(__xludf.DUMMYFUNCTION("""COMPUTED_VALUE"""),"Dr, Carlos Vidal Redondo")</f>
        <v>Dr, Carlos Vidal Redondo</v>
      </c>
      <c r="P1001" s="6" t="str">
        <f ca="1">IFERROR(__xludf.DUMMYFUNCTION("""COMPUTED_VALUE"""),"Roberto Pereira (Galicia)")</f>
        <v>Roberto Pereira (Galicia)</v>
      </c>
    </row>
    <row r="1002" spans="2:16">
      <c r="B1002" s="6">
        <f ca="1">IFERROR(__xludf.DUMMYFUNCTION("""COMPUTED_VALUE"""),2025)</f>
        <v>2025</v>
      </c>
      <c r="C1002" s="6">
        <f ca="1">IFERROR(__xludf.DUMMYFUNCTION("""COMPUTED_VALUE"""),7)</f>
        <v>7</v>
      </c>
      <c r="D1002" s="6" t="str">
        <f ca="1">IFERROR(__xludf.DUMMYFUNCTION("""COMPUTED_VALUE"""),"NO")</f>
        <v>NO</v>
      </c>
      <c r="E1002" s="6" t="str">
        <f ca="1">IFERROR(__xludf.DUMMYFUNCTION("""COMPUTED_VALUE"""),"Cáceres")</f>
        <v>Cáceres</v>
      </c>
      <c r="F1002" s="16">
        <f ca="1">IFERROR(__xludf.DUMMYFUNCTION("""COMPUTED_VALUE"""),45855)</f>
        <v>45855</v>
      </c>
      <c r="G1002" s="16">
        <f ca="1">IFERROR(__xludf.DUMMYFUNCTION("""COMPUTED_VALUE"""),45811)</f>
        <v>45811</v>
      </c>
      <c r="H1002" s="6" t="str">
        <f ca="1">IFERROR(__xludf.DUMMYFUNCTION("""COMPUTED_VALUE"""),"Cáceres")</f>
        <v>Cáceres</v>
      </c>
      <c r="I1002" s="6" t="str">
        <f ca="1">IFERROR(__xludf.DUMMYFUNCTION("""COMPUTED_VALUE"""),"CAC-312")</f>
        <v>CAC-312</v>
      </c>
      <c r="J1002" s="6" t="str">
        <f ca="1">IFERROR(__xludf.DUMMYFUNCTION("""COMPUTED_VALUE"""),"CANDIDO HOYAS CAMPOS")</f>
        <v>CANDIDO HOYAS CAMPOS</v>
      </c>
      <c r="K1002" s="6">
        <f ca="1">IFERROR(__xludf.DUMMYFUNCTION("""COMPUTED_VALUE"""),1)</f>
        <v>1</v>
      </c>
      <c r="L1002" s="139">
        <f ca="1">IFERROR(__xludf.DUMMYFUNCTION("""COMPUTED_VALUE"""),1909.09)</f>
        <v>1909.09</v>
      </c>
      <c r="M1002" s="6" t="str">
        <f ca="1">IFERROR(__xludf.DUMMYFUNCTION("""COMPUTED_VALUE"""),"03 ORL")</f>
        <v>03 ORL</v>
      </c>
      <c r="N1002" s="6" t="str">
        <f ca="1">IFERROR(__xludf.DUMMYFUNCTION("""COMPUTED_VALUE"""),"06 ORL")</f>
        <v>06 ORL</v>
      </c>
      <c r="O1002" s="6" t="str">
        <f ca="1">IFERROR(__xludf.DUMMYFUNCTION("""COMPUTED_VALUE"""),"Dr, Rafael Sanz Trenado")</f>
        <v>Dr, Rafael Sanz Trenado</v>
      </c>
      <c r="P1002" s="6" t="str">
        <f ca="1">IFERROR(__xludf.DUMMYFUNCTION("""COMPUTED_VALUE"""),"Lisandro Russian (Madrid, Cáceres, Toledo, Talavera Y Logroño)")</f>
        <v>Lisandro Russian (Madrid, Cáceres, Toledo, Talavera Y Logroño)</v>
      </c>
    </row>
    <row r="1003" spans="2:16">
      <c r="B1003" s="6">
        <f ca="1">IFERROR(__xludf.DUMMYFUNCTION("""COMPUTED_VALUE"""),2025)</f>
        <v>2025</v>
      </c>
      <c r="C1003" s="6">
        <f ca="1">IFERROR(__xludf.DUMMYFUNCTION("""COMPUTED_VALUE"""),7)</f>
        <v>7</v>
      </c>
      <c r="D1003" s="6" t="str">
        <f ca="1">IFERROR(__xludf.DUMMYFUNCTION("""COMPUTED_VALUE"""),"NO")</f>
        <v>NO</v>
      </c>
      <c r="E1003" s="6" t="str">
        <f ca="1">IFERROR(__xludf.DUMMYFUNCTION("""COMPUTED_VALUE"""),"Cáceres")</f>
        <v>Cáceres</v>
      </c>
      <c r="F1003" s="16">
        <f ca="1">IFERROR(__xludf.DUMMYFUNCTION("""COMPUTED_VALUE"""),45858)</f>
        <v>45858</v>
      </c>
      <c r="G1003" s="16">
        <f ca="1">IFERROR(__xludf.DUMMYFUNCTION("""COMPUTED_VALUE"""),45789)</f>
        <v>45789</v>
      </c>
      <c r="H1003" s="6" t="str">
        <f ca="1">IFERROR(__xludf.DUMMYFUNCTION("""COMPUTED_VALUE"""),"Cáceres")</f>
        <v>Cáceres</v>
      </c>
      <c r="I1003" s="6" t="str">
        <f ca="1">IFERROR(__xludf.DUMMYFUNCTION("""COMPUTED_VALUE"""),"CAC-298")</f>
        <v>CAC-298</v>
      </c>
      <c r="J1003" s="6" t="str">
        <f ca="1">IFERROR(__xludf.DUMMYFUNCTION("""COMPUTED_VALUE"""),"JUANA MARQUEZ GARCIA")</f>
        <v>JUANA MARQUEZ GARCIA</v>
      </c>
      <c r="K1003" s="6">
        <f ca="1">IFERROR(__xludf.DUMMYFUNCTION("""COMPUTED_VALUE"""),1)</f>
        <v>1</v>
      </c>
      <c r="L1003" s="139">
        <f ca="1">IFERROR(__xludf.DUMMYFUNCTION("""COMPUTED_VALUE"""),2119.09)</f>
        <v>2119.09</v>
      </c>
      <c r="M1003" s="6" t="str">
        <f ca="1">IFERROR(__xludf.DUMMYFUNCTION("""COMPUTED_VALUE"""),"03 ORL")</f>
        <v>03 ORL</v>
      </c>
      <c r="N1003" s="6" t="str">
        <f ca="1">IFERROR(__xludf.DUMMYFUNCTION("""COMPUTED_VALUE"""),"06 ORL")</f>
        <v>06 ORL</v>
      </c>
      <c r="O1003" s="6" t="str">
        <f ca="1">IFERROR(__xludf.DUMMYFUNCTION("""COMPUTED_VALUE"""),"Dr, Andrés Paulino Herrera")</f>
        <v>Dr, Andrés Paulino Herrera</v>
      </c>
      <c r="P1003" s="6" t="str">
        <f ca="1">IFERROR(__xludf.DUMMYFUNCTION("""COMPUTED_VALUE"""),"Lisandro Russian (Madrid, Cáceres, Toledo, Talavera Y Logroño)")</f>
        <v>Lisandro Russian (Madrid, Cáceres, Toledo, Talavera Y Logroño)</v>
      </c>
    </row>
    <row r="1004" spans="2:16">
      <c r="B1004" s="6">
        <f ca="1">IFERROR(__xludf.DUMMYFUNCTION("""COMPUTED_VALUE"""),2025)</f>
        <v>2025</v>
      </c>
      <c r="C1004" s="6">
        <f ca="1">IFERROR(__xludf.DUMMYFUNCTION("""COMPUTED_VALUE"""),7)</f>
        <v>7</v>
      </c>
      <c r="D1004" s="6" t="str">
        <f ca="1">IFERROR(__xludf.DUMMYFUNCTION("""COMPUTED_VALUE"""),"NO")</f>
        <v>NO</v>
      </c>
      <c r="E1004" s="6" t="str">
        <f ca="1">IFERROR(__xludf.DUMMYFUNCTION("""COMPUTED_VALUE"""),"Ponferrada")</f>
        <v>Ponferrada</v>
      </c>
      <c r="F1004" s="16">
        <f ca="1">IFERROR(__xludf.DUMMYFUNCTION("""COMPUTED_VALUE"""),45854)</f>
        <v>45854</v>
      </c>
      <c r="G1004" s="16">
        <f ca="1">IFERROR(__xludf.DUMMYFUNCTION("""COMPUTED_VALUE"""),45792)</f>
        <v>45792</v>
      </c>
      <c r="H1004" s="6" t="str">
        <f ca="1">IFERROR(__xludf.DUMMYFUNCTION("""COMPUTED_VALUE"""),"Ponferrada")</f>
        <v>Ponferrada</v>
      </c>
      <c r="I1004" s="6" t="str">
        <f ca="1">IFERROR(__xludf.DUMMYFUNCTION("""COMPUTED_VALUE"""),"PON-926")</f>
        <v>PON-926</v>
      </c>
      <c r="J1004" s="6" t="str">
        <f ca="1">IFERROR(__xludf.DUMMYFUNCTION("""COMPUTED_VALUE"""),"BENI CASTELLANOS CESPEDES")</f>
        <v>BENI CASTELLANOS CESPEDES</v>
      </c>
      <c r="K1004" s="6">
        <f ca="1">IFERROR(__xludf.DUMMYFUNCTION("""COMPUTED_VALUE"""),2)</f>
        <v>2</v>
      </c>
      <c r="L1004" s="139">
        <f ca="1">IFERROR(__xludf.DUMMYFUNCTION("""COMPUTED_VALUE"""),3909.09)</f>
        <v>3909.09</v>
      </c>
      <c r="M1004" s="6" t="str">
        <f ca="1">IFERROR(__xludf.DUMMYFUNCTION("""COMPUTED_VALUE"""),"03 ORL")</f>
        <v>03 ORL</v>
      </c>
      <c r="N1004" s="6" t="str">
        <f ca="1">IFERROR(__xludf.DUMMYFUNCTION("""COMPUTED_VALUE"""),"06 ORL")</f>
        <v>06 ORL</v>
      </c>
      <c r="O1004" s="6" t="str">
        <f ca="1">IFERROR(__xludf.DUMMYFUNCTION("""COMPUTED_VALUE"""),"Dra, Mónica Granda Rosales")</f>
        <v>Dra, Mónica Granda Rosales</v>
      </c>
      <c r="P1004" s="6" t="str">
        <f ca="1">IFERROR(__xludf.DUMMYFUNCTION("""COMPUTED_VALUE"""),"Alberto Moreno (Madrid)")</f>
        <v>Alberto Moreno (Madrid)</v>
      </c>
    </row>
    <row r="1005" spans="2:16">
      <c r="B1005" s="6">
        <f ca="1">IFERROR(__xludf.DUMMYFUNCTION("""COMPUTED_VALUE"""),2025)</f>
        <v>2025</v>
      </c>
      <c r="C1005" s="6">
        <f ca="1">IFERROR(__xludf.DUMMYFUNCTION("""COMPUTED_VALUE"""),7)</f>
        <v>7</v>
      </c>
      <c r="D1005" s="6" t="str">
        <f ca="1">IFERROR(__xludf.DUMMYFUNCTION("""COMPUTED_VALUE"""),"NO")</f>
        <v>NO</v>
      </c>
      <c r="E1005" s="6" t="str">
        <f ca="1">IFERROR(__xludf.DUMMYFUNCTION("""COMPUTED_VALUE"""),"Cáceres")</f>
        <v>Cáceres</v>
      </c>
      <c r="F1005" s="16">
        <f ca="1">IFERROR(__xludf.DUMMYFUNCTION("""COMPUTED_VALUE"""),45860)</f>
        <v>45860</v>
      </c>
      <c r="G1005" s="16">
        <f ca="1">IFERROR(__xludf.DUMMYFUNCTION("""COMPUTED_VALUE"""),45615)</f>
        <v>45615</v>
      </c>
      <c r="H1005" s="6" t="str">
        <f ca="1">IFERROR(__xludf.DUMMYFUNCTION("""COMPUTED_VALUE"""),"Cáceres")</f>
        <v>Cáceres</v>
      </c>
      <c r="I1005" s="6" t="str">
        <f ca="1">IFERROR(__xludf.DUMMYFUNCTION("""COMPUTED_VALUE"""),"CAC-194")</f>
        <v>CAC-194</v>
      </c>
      <c r="J1005" s="6" t="str">
        <f ca="1">IFERROR(__xludf.DUMMYFUNCTION("""COMPUTED_VALUE"""),"MARIA DEL PILAR CARCEDO CASARES")</f>
        <v>MARIA DEL PILAR CARCEDO CASARES</v>
      </c>
      <c r="K1005" s="6">
        <f ca="1">IFERROR(__xludf.DUMMYFUNCTION("""COMPUTED_VALUE"""),1)</f>
        <v>1</v>
      </c>
      <c r="L1005" s="139">
        <f ca="1">IFERROR(__xludf.DUMMYFUNCTION("""COMPUTED_VALUE"""),1876.36)</f>
        <v>1876.36</v>
      </c>
      <c r="M1005" s="6" t="str">
        <f ca="1">IFERROR(__xludf.DUMMYFUNCTION("""COMPUTED_VALUE"""),"03 ORL")</f>
        <v>03 ORL</v>
      </c>
      <c r="N1005" s="6" t="str">
        <f ca="1">IFERROR(__xludf.DUMMYFUNCTION("""COMPUTED_VALUE"""),"06 ORL")</f>
        <v>06 ORL</v>
      </c>
      <c r="O1005" s="6" t="str">
        <f ca="1">IFERROR(__xludf.DUMMYFUNCTION("""COMPUTED_VALUE"""),"Dr, Francisco Ramos Puerto")</f>
        <v>Dr, Francisco Ramos Puerto</v>
      </c>
      <c r="P1005" s="6" t="str">
        <f ca="1">IFERROR(__xludf.DUMMYFUNCTION("""COMPUTED_VALUE"""),"Lisandro Russian (Madrid, Cáceres, Toledo, Talavera Y Logroño)")</f>
        <v>Lisandro Russian (Madrid, Cáceres, Toledo, Talavera Y Logroño)</v>
      </c>
    </row>
    <row r="1006" spans="2:16">
      <c r="B1006" s="6">
        <f ca="1">IFERROR(__xludf.DUMMYFUNCTION("""COMPUTED_VALUE"""),2025)</f>
        <v>2025</v>
      </c>
      <c r="C1006" s="6">
        <f ca="1">IFERROR(__xludf.DUMMYFUNCTION("""COMPUTED_VALUE"""),7)</f>
        <v>7</v>
      </c>
      <c r="D1006" s="6" t="str">
        <f ca="1">IFERROR(__xludf.DUMMYFUNCTION("""COMPUTED_VALUE"""),"NO")</f>
        <v>NO</v>
      </c>
      <c r="E1006" s="6" t="str">
        <f ca="1">IFERROR(__xludf.DUMMYFUNCTION("""COMPUTED_VALUE"""),"Cáceres")</f>
        <v>Cáceres</v>
      </c>
      <c r="F1006" s="16">
        <f ca="1">IFERROR(__xludf.DUMMYFUNCTION("""COMPUTED_VALUE"""),45860)</f>
        <v>45860</v>
      </c>
      <c r="G1006" s="16">
        <f ca="1">IFERROR(__xludf.DUMMYFUNCTION("""COMPUTED_VALUE"""),45841)</f>
        <v>45841</v>
      </c>
      <c r="H1006" s="6" t="str">
        <f ca="1">IFERROR(__xludf.DUMMYFUNCTION("""COMPUTED_VALUE"""),"Cáceres")</f>
        <v>Cáceres</v>
      </c>
      <c r="I1006" s="6" t="str">
        <f ca="1">IFERROR(__xludf.DUMMYFUNCTION("""COMPUTED_VALUE"""),"CAC-341")</f>
        <v>CAC-341</v>
      </c>
      <c r="J1006" s="6" t="str">
        <f ca="1">IFERROR(__xludf.DUMMYFUNCTION("""COMPUTED_VALUE"""),"MATEO MERINO CAMPOS")</f>
        <v>MATEO MERINO CAMPOS</v>
      </c>
      <c r="K1006" s="6">
        <f ca="1">IFERROR(__xludf.DUMMYFUNCTION("""COMPUTED_VALUE"""),1)</f>
        <v>1</v>
      </c>
      <c r="L1006" s="139">
        <f ca="1">IFERROR(__xludf.DUMMYFUNCTION("""COMPUTED_VALUE"""),2585)</f>
        <v>2585</v>
      </c>
      <c r="M1006" s="6" t="str">
        <f ca="1">IFERROR(__xludf.DUMMYFUNCTION("""COMPUTED_VALUE"""),"03 ORL")</f>
        <v>03 ORL</v>
      </c>
      <c r="N1006" s="6" t="str">
        <f ca="1">IFERROR(__xludf.DUMMYFUNCTION("""COMPUTED_VALUE"""),"06 ORL")</f>
        <v>06 ORL</v>
      </c>
      <c r="O1006" s="6" t="str">
        <f ca="1">IFERROR(__xludf.DUMMYFUNCTION("""COMPUTED_VALUE"""),"Dr, Andrés Paulino Herrera")</f>
        <v>Dr, Andrés Paulino Herrera</v>
      </c>
      <c r="P1006" s="6" t="str">
        <f ca="1">IFERROR(__xludf.DUMMYFUNCTION("""COMPUTED_VALUE"""),"Lisandro Russian (Madrid, Cáceres, Toledo, Talavera Y Logroño)")</f>
        <v>Lisandro Russian (Madrid, Cáceres, Toledo, Talavera Y Logroño)</v>
      </c>
    </row>
    <row r="1007" spans="2:16">
      <c r="B1007" s="6">
        <f ca="1">IFERROR(__xludf.DUMMYFUNCTION("""COMPUTED_VALUE"""),2025)</f>
        <v>2025</v>
      </c>
      <c r="C1007" s="6">
        <f ca="1">IFERROR(__xludf.DUMMYFUNCTION("""COMPUTED_VALUE"""),7)</f>
        <v>7</v>
      </c>
      <c r="D1007" s="6" t="str">
        <f ca="1">IFERROR(__xludf.DUMMYFUNCTION("""COMPUTED_VALUE"""),"NO")</f>
        <v>NO</v>
      </c>
      <c r="E1007" s="6" t="str">
        <f ca="1">IFERROR(__xludf.DUMMYFUNCTION("""COMPUTED_VALUE"""),"Cáceres")</f>
        <v>Cáceres</v>
      </c>
      <c r="F1007" s="16">
        <f ca="1">IFERROR(__xludf.DUMMYFUNCTION("""COMPUTED_VALUE"""),45862)</f>
        <v>45862</v>
      </c>
      <c r="G1007" s="16">
        <f ca="1">IFERROR(__xludf.DUMMYFUNCTION("""COMPUTED_VALUE"""),45834)</f>
        <v>45834</v>
      </c>
      <c r="H1007" s="6" t="str">
        <f ca="1">IFERROR(__xludf.DUMMYFUNCTION("""COMPUTED_VALUE"""),"Cáceres")</f>
        <v>Cáceres</v>
      </c>
      <c r="I1007" s="6" t="str">
        <f ca="1">IFERROR(__xludf.DUMMYFUNCTION("""COMPUTED_VALUE"""),"CAC-332")</f>
        <v>CAC-332</v>
      </c>
      <c r="J1007" s="6" t="str">
        <f ca="1">IFERROR(__xludf.DUMMYFUNCTION("""COMPUTED_VALUE"""),"ESPERANZA CRIADO DIAZ")</f>
        <v>ESPERANZA CRIADO DIAZ</v>
      </c>
      <c r="K1007" s="6">
        <f ca="1">IFERROR(__xludf.DUMMYFUNCTION("""COMPUTED_VALUE"""),2)</f>
        <v>2</v>
      </c>
      <c r="L1007" s="139">
        <f ca="1">IFERROR(__xludf.DUMMYFUNCTION("""COMPUTED_VALUE"""),3752.73)</f>
        <v>3752.73</v>
      </c>
      <c r="M1007" s="6" t="str">
        <f ca="1">IFERROR(__xludf.DUMMYFUNCTION("""COMPUTED_VALUE"""),"03 ORL")</f>
        <v>03 ORL</v>
      </c>
      <c r="N1007" s="6" t="str">
        <f ca="1">IFERROR(__xludf.DUMMYFUNCTION("""COMPUTED_VALUE"""),"06 ORL")</f>
        <v>06 ORL</v>
      </c>
      <c r="O1007" s="6" t="str">
        <f ca="1">IFERROR(__xludf.DUMMYFUNCTION("""COMPUTED_VALUE"""),"Dr, Rafael Sanz Trenado")</f>
        <v>Dr, Rafael Sanz Trenado</v>
      </c>
      <c r="P1007" s="6" t="str">
        <f ca="1">IFERROR(__xludf.DUMMYFUNCTION("""COMPUTED_VALUE"""),"Lisandro Russian (Madrid, Cáceres, Toledo, Talavera Y Logroño)")</f>
        <v>Lisandro Russian (Madrid, Cáceres, Toledo, Talavera Y Logroño)</v>
      </c>
    </row>
    <row r="1008" spans="2:16">
      <c r="B1008" s="6">
        <f ca="1">IFERROR(__xludf.DUMMYFUNCTION("""COMPUTED_VALUE"""),2025)</f>
        <v>2025</v>
      </c>
      <c r="C1008" s="6">
        <f ca="1">IFERROR(__xludf.DUMMYFUNCTION("""COMPUTED_VALUE"""),7)</f>
        <v>7</v>
      </c>
      <c r="D1008" s="6" t="str">
        <f ca="1">IFERROR(__xludf.DUMMYFUNCTION("""COMPUTED_VALUE"""),"NO")</f>
        <v>NO</v>
      </c>
      <c r="E1008" s="6" t="str">
        <f ca="1">IFERROR(__xludf.DUMMYFUNCTION("""COMPUTED_VALUE"""),"Cáceres")</f>
        <v>Cáceres</v>
      </c>
      <c r="F1008" s="16">
        <f ca="1">IFERROR(__xludf.DUMMYFUNCTION("""COMPUTED_VALUE"""),45864)</f>
        <v>45864</v>
      </c>
      <c r="G1008" s="16">
        <f ca="1">IFERROR(__xludf.DUMMYFUNCTION("""COMPUTED_VALUE"""),45828)</f>
        <v>45828</v>
      </c>
      <c r="H1008" s="6" t="str">
        <f ca="1">IFERROR(__xludf.DUMMYFUNCTION("""COMPUTED_VALUE"""),"Cáceres")</f>
        <v>Cáceres</v>
      </c>
      <c r="I1008" s="6" t="str">
        <f ca="1">IFERROR(__xludf.DUMMYFUNCTION("""COMPUTED_VALUE"""),"CAC-326")</f>
        <v>CAC-326</v>
      </c>
      <c r="J1008" s="6" t="str">
        <f ca="1">IFERROR(__xludf.DUMMYFUNCTION("""COMPUTED_VALUE"""),"CANSINO ANTENOR AYLAS HINOSTROZA")</f>
        <v>CANSINO ANTENOR AYLAS HINOSTROZA</v>
      </c>
      <c r="K1008" s="6">
        <f ca="1">IFERROR(__xludf.DUMMYFUNCTION("""COMPUTED_VALUE"""),2)</f>
        <v>2</v>
      </c>
      <c r="L1008" s="139">
        <f ca="1">IFERROR(__xludf.DUMMYFUNCTION("""COMPUTED_VALUE"""),2829.09)</f>
        <v>2829.09</v>
      </c>
      <c r="M1008" s="6" t="str">
        <f ca="1">IFERROR(__xludf.DUMMYFUNCTION("""COMPUTED_VALUE"""),"03 ORL")</f>
        <v>03 ORL</v>
      </c>
      <c r="N1008" s="6" t="str">
        <f ca="1">IFERROR(__xludf.DUMMYFUNCTION("""COMPUTED_VALUE"""),"06 ORL")</f>
        <v>06 ORL</v>
      </c>
      <c r="O1008" s="6" t="str">
        <f ca="1">IFERROR(__xludf.DUMMYFUNCTION("""COMPUTED_VALUE"""),"Dra, Marta García Jiménez")</f>
        <v>Dra, Marta García Jiménez</v>
      </c>
      <c r="P1008" s="6" t="str">
        <f ca="1">IFERROR(__xludf.DUMMYFUNCTION("""COMPUTED_VALUE"""),"Lisandro Russian (Madrid, Cáceres, Toledo, Talavera Y Logroño)")</f>
        <v>Lisandro Russian (Madrid, Cáceres, Toledo, Talavera Y Logroño)</v>
      </c>
    </row>
    <row r="1009" spans="2:16">
      <c r="B1009" s="6">
        <f ca="1">IFERROR(__xludf.DUMMYFUNCTION("""COMPUTED_VALUE"""),2025)</f>
        <v>2025</v>
      </c>
      <c r="C1009" s="6">
        <f ca="1">IFERROR(__xludf.DUMMYFUNCTION("""COMPUTED_VALUE"""),7)</f>
        <v>7</v>
      </c>
      <c r="D1009" s="6" t="str">
        <f ca="1">IFERROR(__xludf.DUMMYFUNCTION("""COMPUTED_VALUE"""),"NO")</f>
        <v>NO</v>
      </c>
      <c r="E1009" s="6" t="str">
        <f ca="1">IFERROR(__xludf.DUMMYFUNCTION("""COMPUTED_VALUE"""),"O Barco")</f>
        <v>O Barco</v>
      </c>
      <c r="F1009" s="16">
        <f ca="1">IFERROR(__xludf.DUMMYFUNCTION("""COMPUTED_VALUE"""),45861)</f>
        <v>45861</v>
      </c>
      <c r="G1009" s="16">
        <f ca="1">IFERROR(__xludf.DUMMYFUNCTION("""COMPUTED_VALUE"""),45758)</f>
        <v>45758</v>
      </c>
      <c r="H1009" s="6" t="str">
        <f ca="1">IFERROR(__xludf.DUMMYFUNCTION("""COMPUTED_VALUE"""),"O Barco")</f>
        <v>O Barco</v>
      </c>
      <c r="I1009" s="6" t="str">
        <f ca="1">IFERROR(__xludf.DUMMYFUNCTION("""COMPUTED_VALUE"""),"OBR-60")</f>
        <v>OBR-60</v>
      </c>
      <c r="J1009" s="6" t="str">
        <f ca="1">IFERROR(__xludf.DUMMYFUNCTION("""COMPUTED_VALUE"""),"MARIA BEGOÑA FERRER DELGADO")</f>
        <v>MARIA BEGOÑA FERRER DELGADO</v>
      </c>
      <c r="K1009" s="6">
        <f ca="1">IFERROR(__xludf.DUMMYFUNCTION("""COMPUTED_VALUE"""),2)</f>
        <v>2</v>
      </c>
      <c r="L1009" s="139">
        <f ca="1">IFERROR(__xludf.DUMMYFUNCTION("""COMPUTED_VALUE"""),3436.36)</f>
        <v>3436.36</v>
      </c>
      <c r="M1009" s="6" t="str">
        <f ca="1">IFERROR(__xludf.DUMMYFUNCTION("""COMPUTED_VALUE"""),"03 ORL")</f>
        <v>03 ORL</v>
      </c>
      <c r="N1009" s="6" t="str">
        <f ca="1">IFERROR(__xludf.DUMMYFUNCTION("""COMPUTED_VALUE"""),"06 ORL")</f>
        <v>06 ORL</v>
      </c>
      <c r="O1009" s="6" t="str">
        <f ca="1">IFERROR(__xludf.DUMMYFUNCTION("""COMPUTED_VALUE"""),"No Recuerda Orl")</f>
        <v>No Recuerda Orl</v>
      </c>
      <c r="P1009" s="6" t="str">
        <f ca="1">IFERROR(__xludf.DUMMYFUNCTION("""COMPUTED_VALUE"""),"Alberto Moreno (Madrid)")</f>
        <v>Alberto Moreno (Madrid)</v>
      </c>
    </row>
    <row r="1010" spans="2:16">
      <c r="B1010" s="6">
        <f ca="1">IFERROR(__xludf.DUMMYFUNCTION("""COMPUTED_VALUE"""),2025)</f>
        <v>2025</v>
      </c>
      <c r="C1010" s="6">
        <f ca="1">IFERROR(__xludf.DUMMYFUNCTION("""COMPUTED_VALUE"""),7)</f>
        <v>7</v>
      </c>
      <c r="D1010" s="6" t="str">
        <f ca="1">IFERROR(__xludf.DUMMYFUNCTION("""COMPUTED_VALUE"""),"NO")</f>
        <v>NO</v>
      </c>
      <c r="E1010" s="6" t="str">
        <f ca="1">IFERROR(__xludf.DUMMYFUNCTION("""COMPUTED_VALUE"""),"Oviedo")</f>
        <v>Oviedo</v>
      </c>
      <c r="F1010" s="16">
        <f ca="1">IFERROR(__xludf.DUMMYFUNCTION("""COMPUTED_VALUE"""),45852)</f>
        <v>45852</v>
      </c>
      <c r="G1010" s="16">
        <f ca="1">IFERROR(__xludf.DUMMYFUNCTION("""COMPUTED_VALUE"""),45755)</f>
        <v>45755</v>
      </c>
      <c r="H1010" s="6" t="str">
        <f ca="1">IFERROR(__xludf.DUMMYFUNCTION("""COMPUTED_VALUE"""),"Oviedo")</f>
        <v>Oviedo</v>
      </c>
      <c r="I1010" s="6" t="str">
        <f ca="1">IFERROR(__xludf.DUMMYFUNCTION("""COMPUTED_VALUE"""),"C2025410165637982")</f>
        <v>C2025410165637982</v>
      </c>
      <c r="J1010" s="6" t="str">
        <f ca="1">IFERROR(__xludf.DUMMYFUNCTION("""COMPUTED_VALUE"""),"BEATRIZ JIMENEZ JIMENEZ")</f>
        <v>BEATRIZ JIMENEZ JIMENEZ</v>
      </c>
      <c r="K1010" s="6">
        <f ca="1">IFERROR(__xludf.DUMMYFUNCTION("""COMPUTED_VALUE"""),-2)</f>
        <v>-2</v>
      </c>
      <c r="L1010" s="139">
        <f ca="1">IFERROR(__xludf.DUMMYFUNCTION("""COMPUTED_VALUE"""),-3710)</f>
        <v>-3710</v>
      </c>
      <c r="M1010" s="6" t="str">
        <f ca="1">IFERROR(__xludf.DUMMYFUNCTION("""COMPUTED_VALUE"""),"01 MARKETING ON LINE")</f>
        <v>01 MARKETING ON LINE</v>
      </c>
      <c r="N1010" s="6" t="str">
        <f ca="1">IFERROR(__xludf.DUMMYFUNCTION("""COMPUTED_VALUE"""),"04 AUDIFONO,ES")</f>
        <v>04 AUDIFONO,ES</v>
      </c>
      <c r="O1010" s="6" t="str">
        <f ca="1">IFERROR(__xludf.DUMMYFUNCTION("""COMPUTED_VALUE"""),"Dra, María Teresa Herrera Mera")</f>
        <v>Dra, María Teresa Herrera Mera</v>
      </c>
      <c r="P1010" s="6" t="str">
        <f ca="1">IFERROR(__xludf.DUMMYFUNCTION("""COMPUTED_VALUE"""),"Maika Blázquez (Madrid)")</f>
        <v>Maika Blázquez (Madrid)</v>
      </c>
    </row>
    <row r="1011" spans="2:16">
      <c r="B1011" s="6">
        <f ca="1">IFERROR(__xludf.DUMMYFUNCTION("""COMPUTED_VALUE"""),2025)</f>
        <v>2025</v>
      </c>
      <c r="C1011" s="6">
        <f ca="1">IFERROR(__xludf.DUMMYFUNCTION("""COMPUTED_VALUE"""),7)</f>
        <v>7</v>
      </c>
      <c r="D1011" s="6" t="str">
        <f ca="1">IFERROR(__xludf.DUMMYFUNCTION("""COMPUTED_VALUE"""),"NO")</f>
        <v>NO</v>
      </c>
      <c r="E1011" s="6" t="str">
        <f ca="1">IFERROR(__xludf.DUMMYFUNCTION("""COMPUTED_VALUE"""),"Albacete")</f>
        <v>Albacete</v>
      </c>
      <c r="F1011" s="16">
        <f ca="1">IFERROR(__xludf.DUMMYFUNCTION("""COMPUTED_VALUE"""),45866)</f>
        <v>45866</v>
      </c>
      <c r="G1011" s="16">
        <f ca="1">IFERROR(__xludf.DUMMYFUNCTION("""COMPUTED_VALUE"""),45820)</f>
        <v>45820</v>
      </c>
      <c r="H1011" s="6" t="str">
        <f ca="1">IFERROR(__xludf.DUMMYFUNCTION("""COMPUTED_VALUE"""),"Albacete")</f>
        <v>Albacete</v>
      </c>
      <c r="I1011" s="6" t="str">
        <f ca="1">IFERROR(__xludf.DUMMYFUNCTION("""COMPUTED_VALUE"""),"C202561718053736")</f>
        <v>C202561718053736</v>
      </c>
      <c r="J1011" s="6" t="str">
        <f ca="1">IFERROR(__xludf.DUMMYFUNCTION("""COMPUTED_VALUE"""),"SALVADOR SANCHEZ CASTILLO")</f>
        <v>SALVADOR SANCHEZ CASTILLO</v>
      </c>
      <c r="K1011" s="6">
        <f ca="1">IFERROR(__xludf.DUMMYFUNCTION("""COMPUTED_VALUE"""),2)</f>
        <v>2</v>
      </c>
      <c r="L1011" s="139">
        <f ca="1">IFERROR(__xludf.DUMMYFUNCTION("""COMPUTED_VALUE"""),3709.09)</f>
        <v>3709.09</v>
      </c>
      <c r="M1011" s="6" t="str">
        <f ca="1">IFERROR(__xludf.DUMMYFUNCTION("""COMPUTED_VALUE"""),"03 ORL")</f>
        <v>03 ORL</v>
      </c>
      <c r="N1011" s="6" t="str">
        <f ca="1">IFERROR(__xludf.DUMMYFUNCTION("""COMPUTED_VALUE"""),"06 ORL")</f>
        <v>06 ORL</v>
      </c>
      <c r="O1011" s="6" t="str">
        <f ca="1">IFERROR(__xludf.DUMMYFUNCTION("""COMPUTED_VALUE"""),"Dra, María Agustina Sevilla García")</f>
        <v>Dra, María Agustina Sevilla García</v>
      </c>
      <c r="P1011" s="6" t="str">
        <f ca="1">IFERROR(__xludf.DUMMYFUNCTION("""COMPUTED_VALUE"""),"Iván Sánchez (Levante Y Albacete)")</f>
        <v>Iván Sánchez (Levante Y Albacete)</v>
      </c>
    </row>
    <row r="1012" spans="2:16">
      <c r="B1012" s="6">
        <f ca="1">IFERROR(__xludf.DUMMYFUNCTION("""COMPUTED_VALUE"""),2025)</f>
        <v>2025</v>
      </c>
      <c r="C1012" s="6">
        <f ca="1">IFERROR(__xludf.DUMMYFUNCTION("""COMPUTED_VALUE"""),7)</f>
        <v>7</v>
      </c>
      <c r="D1012" s="6" t="str">
        <f ca="1">IFERROR(__xludf.DUMMYFUNCTION("""COMPUTED_VALUE"""),"NO")</f>
        <v>NO</v>
      </c>
      <c r="E1012" s="6" t="str">
        <f ca="1">IFERROR(__xludf.DUMMYFUNCTION("""COMPUTED_VALUE"""),"Alcorcón")</f>
        <v>Alcorcón</v>
      </c>
      <c r="F1012" s="16">
        <f ca="1">IFERROR(__xludf.DUMMYFUNCTION("""COMPUTED_VALUE"""),45867)</f>
        <v>45867</v>
      </c>
      <c r="G1012" s="16">
        <f ca="1">IFERROR(__xludf.DUMMYFUNCTION("""COMPUTED_VALUE"""),45842)</f>
        <v>45842</v>
      </c>
      <c r="H1012" s="6" t="str">
        <f ca="1">IFERROR(__xludf.DUMMYFUNCTION("""COMPUTED_VALUE"""),"Alcorcón")</f>
        <v>Alcorcón</v>
      </c>
      <c r="I1012" s="6" t="str">
        <f ca="1">IFERROR(__xludf.DUMMYFUNCTION("""COMPUTED_VALUE"""),"C20257910250606")</f>
        <v>C20257910250606</v>
      </c>
      <c r="J1012" s="6" t="str">
        <f ca="1">IFERROR(__xludf.DUMMYFUNCTION("""COMPUTED_VALUE"""),"MIGUEL ANGEL JIMENEZ DE NICOLAS")</f>
        <v>MIGUEL ANGEL JIMENEZ DE NICOLAS</v>
      </c>
      <c r="K1012" s="6">
        <f ca="1">IFERROR(__xludf.DUMMYFUNCTION("""COMPUTED_VALUE"""),2)</f>
        <v>2</v>
      </c>
      <c r="L1012" s="139">
        <f ca="1">IFERROR(__xludf.DUMMYFUNCTION("""COMPUTED_VALUE"""),3631.82)</f>
        <v>3631.82</v>
      </c>
      <c r="M1012" s="6" t="str">
        <f ca="1">IFERROR(__xludf.DUMMYFUNCTION("""COMPUTED_VALUE"""),"03 ORL")</f>
        <v>03 ORL</v>
      </c>
      <c r="N1012" s="6" t="str">
        <f ca="1">IFERROR(__xludf.DUMMYFUNCTION("""COMPUTED_VALUE"""),"06 ORL")</f>
        <v>06 ORL</v>
      </c>
      <c r="O1012" s="6" t="str">
        <f ca="1">IFERROR(__xludf.DUMMYFUNCTION("""COMPUTED_VALUE"""),"Dr, Alejandro Harguindey Antoli-Candela")</f>
        <v>Dr, Alejandro Harguindey Antoli-Candela</v>
      </c>
      <c r="P1012" s="6" t="str">
        <f ca="1">IFERROR(__xludf.DUMMYFUNCTION("""COMPUTED_VALUE"""),"Maika Blázquez (Madrid)")</f>
        <v>Maika Blázquez (Madrid)</v>
      </c>
    </row>
    <row r="1013" spans="2:16">
      <c r="B1013" s="6">
        <f ca="1">IFERROR(__xludf.DUMMYFUNCTION("""COMPUTED_VALUE"""),2025)</f>
        <v>2025</v>
      </c>
      <c r="C1013" s="6">
        <f ca="1">IFERROR(__xludf.DUMMYFUNCTION("""COMPUTED_VALUE"""),7)</f>
        <v>7</v>
      </c>
      <c r="D1013" s="6" t="str">
        <f ca="1">IFERROR(__xludf.DUMMYFUNCTION("""COMPUTED_VALUE"""),"NO")</f>
        <v>NO</v>
      </c>
      <c r="E1013" s="6" t="str">
        <f ca="1">IFERROR(__xludf.DUMMYFUNCTION("""COMPUTED_VALUE"""),"Alicante")</f>
        <v>Alicante</v>
      </c>
      <c r="F1013" s="16">
        <f ca="1">IFERROR(__xludf.DUMMYFUNCTION("""COMPUTED_VALUE"""),45869)</f>
        <v>45869</v>
      </c>
      <c r="G1013" s="16">
        <f ca="1">IFERROR(__xludf.DUMMYFUNCTION("""COMPUTED_VALUE"""),45849)</f>
        <v>45849</v>
      </c>
      <c r="H1013" s="6" t="str">
        <f ca="1">IFERROR(__xludf.DUMMYFUNCTION("""COMPUTED_VALUE"""),"Alicante")</f>
        <v>Alicante</v>
      </c>
      <c r="I1013" s="6" t="str">
        <f ca="1">IFERROR(__xludf.DUMMYFUNCTION("""COMPUTED_VALUE"""),"C2025716165443328")</f>
        <v>C2025716165443328</v>
      </c>
      <c r="J1013" s="6" t="str">
        <f ca="1">IFERROR(__xludf.DUMMYFUNCTION("""COMPUTED_VALUE"""),"CICERON CARMELO MORENO ULLOA")</f>
        <v>CICERON CARMELO MORENO ULLOA</v>
      </c>
      <c r="K1013" s="6">
        <f ca="1">IFERROR(__xludf.DUMMYFUNCTION("""COMPUTED_VALUE"""),2)</f>
        <v>2</v>
      </c>
      <c r="L1013" s="139">
        <f ca="1">IFERROR(__xludf.DUMMYFUNCTION("""COMPUTED_VALUE"""),3631.82)</f>
        <v>3631.82</v>
      </c>
      <c r="M1013" s="6" t="str">
        <f ca="1">IFERROR(__xludf.DUMMYFUNCTION("""COMPUTED_VALUE"""),"03 ORL")</f>
        <v>03 ORL</v>
      </c>
      <c r="N1013" s="6" t="str">
        <f ca="1">IFERROR(__xludf.DUMMYFUNCTION("""COMPUTED_VALUE"""),"06 ORL")</f>
        <v>06 ORL</v>
      </c>
      <c r="O1013" s="6" t="str">
        <f ca="1">IFERROR(__xludf.DUMMYFUNCTION("""COMPUTED_VALUE"""),"Dra, Cristina Muñoz Pinto")</f>
        <v>Dra, Cristina Muñoz Pinto</v>
      </c>
      <c r="P1013" s="6" t="str">
        <f ca="1">IFERROR(__xludf.DUMMYFUNCTION("""COMPUTED_VALUE"""),"Iván Sánchez (Levante Y Albacete)")</f>
        <v>Iván Sánchez (Levante Y Albacete)</v>
      </c>
    </row>
    <row r="1014" spans="2:16">
      <c r="B1014" s="6">
        <f ca="1">IFERROR(__xludf.DUMMYFUNCTION("""COMPUTED_VALUE"""),2025)</f>
        <v>2025</v>
      </c>
      <c r="C1014" s="6">
        <f ca="1">IFERROR(__xludf.DUMMYFUNCTION("""COMPUTED_VALUE"""),7)</f>
        <v>7</v>
      </c>
      <c r="D1014" s="6" t="str">
        <f ca="1">IFERROR(__xludf.DUMMYFUNCTION("""COMPUTED_VALUE"""),"NO")</f>
        <v>NO</v>
      </c>
      <c r="E1014" s="6" t="str">
        <f ca="1">IFERROR(__xludf.DUMMYFUNCTION("""COMPUTED_VALUE"""),"Alicante")</f>
        <v>Alicante</v>
      </c>
      <c r="F1014" s="16">
        <f ca="1">IFERROR(__xludf.DUMMYFUNCTION("""COMPUTED_VALUE"""),45869)</f>
        <v>45869</v>
      </c>
      <c r="G1014" s="16">
        <f ca="1">IFERROR(__xludf.DUMMYFUNCTION("""COMPUTED_VALUE"""),45849)</f>
        <v>45849</v>
      </c>
      <c r="H1014" s="6" t="str">
        <f ca="1">IFERROR(__xludf.DUMMYFUNCTION("""COMPUTED_VALUE"""),"Alicante")</f>
        <v>Alicante</v>
      </c>
      <c r="I1014" s="6" t="str">
        <f ca="1">IFERROR(__xludf.DUMMYFUNCTION("""COMPUTED_VALUE"""),"C202571112129849")</f>
        <v>C202571112129849</v>
      </c>
      <c r="J1014" s="6" t="str">
        <f ca="1">IFERROR(__xludf.DUMMYFUNCTION("""COMPUTED_VALUE"""),"JORGE MEDRANO WHITE")</f>
        <v>JORGE MEDRANO WHITE</v>
      </c>
      <c r="K1014" s="6">
        <f ca="1">IFERROR(__xludf.DUMMYFUNCTION("""COMPUTED_VALUE"""),1)</f>
        <v>1</v>
      </c>
      <c r="L1014" s="139">
        <f ca="1">IFERROR(__xludf.DUMMYFUNCTION("""COMPUTED_VALUE"""),2481.82)</f>
        <v>2481.8200000000002</v>
      </c>
      <c r="M1014" s="6" t="str">
        <f ca="1">IFERROR(__xludf.DUMMYFUNCTION("""COMPUTED_VALUE"""),"03 ORL")</f>
        <v>03 ORL</v>
      </c>
      <c r="N1014" s="6" t="str">
        <f ca="1">IFERROR(__xludf.DUMMYFUNCTION("""COMPUTED_VALUE"""),"06 ORL")</f>
        <v>06 ORL</v>
      </c>
      <c r="O1014" s="6" t="str">
        <f ca="1">IFERROR(__xludf.DUMMYFUNCTION("""COMPUTED_VALUE"""),"Dr, Félix Ruíz de la Cuesta Juste")</f>
        <v>Dr, Félix Ruíz de la Cuesta Juste</v>
      </c>
      <c r="P1014" s="6" t="str">
        <f ca="1">IFERROR(__xludf.DUMMYFUNCTION("""COMPUTED_VALUE"""),"Iván Sánchez (Levante Y Albacete)")</f>
        <v>Iván Sánchez (Levante Y Albacete)</v>
      </c>
    </row>
    <row r="1015" spans="2:16">
      <c r="B1015" s="6">
        <f ca="1">IFERROR(__xludf.DUMMYFUNCTION("""COMPUTED_VALUE"""),2025)</f>
        <v>2025</v>
      </c>
      <c r="C1015" s="6">
        <f ca="1">IFERROR(__xludf.DUMMYFUNCTION("""COMPUTED_VALUE"""),7)</f>
        <v>7</v>
      </c>
      <c r="D1015" s="6" t="str">
        <f ca="1">IFERROR(__xludf.DUMMYFUNCTION("""COMPUTED_VALUE"""),"NO")</f>
        <v>NO</v>
      </c>
      <c r="E1015" s="6" t="str">
        <f ca="1">IFERROR(__xludf.DUMMYFUNCTION("""COMPUTED_VALUE"""),"Alicante")</f>
        <v>Alicante</v>
      </c>
      <c r="F1015" s="16">
        <f ca="1">IFERROR(__xludf.DUMMYFUNCTION("""COMPUTED_VALUE"""),45866)</f>
        <v>45866</v>
      </c>
      <c r="G1015" s="16">
        <f ca="1">IFERROR(__xludf.DUMMYFUNCTION("""COMPUTED_VALUE"""),45847)</f>
        <v>45847</v>
      </c>
      <c r="H1015" s="6" t="str">
        <f ca="1">IFERROR(__xludf.DUMMYFUNCTION("""COMPUTED_VALUE"""),"Alicante")</f>
        <v>Alicante</v>
      </c>
      <c r="I1015" s="6" t="str">
        <f ca="1">IFERROR(__xludf.DUMMYFUNCTION("""COMPUTED_VALUE"""),"C2025711105511596")</f>
        <v>C2025711105511596</v>
      </c>
      <c r="J1015" s="6" t="str">
        <f ca="1">IFERROR(__xludf.DUMMYFUNCTION("""COMPUTED_VALUE"""),"JOSE ANTONIO GONZALEZ CARMONA")</f>
        <v>JOSE ANTONIO GONZALEZ CARMONA</v>
      </c>
      <c r="K1015" s="6">
        <f ca="1">IFERROR(__xludf.DUMMYFUNCTION("""COMPUTED_VALUE"""),2)</f>
        <v>2</v>
      </c>
      <c r="L1015" s="139">
        <f ca="1">IFERROR(__xludf.DUMMYFUNCTION("""COMPUTED_VALUE"""),2718.18)</f>
        <v>2718.18</v>
      </c>
      <c r="M1015" s="6" t="str">
        <f ca="1">IFERROR(__xludf.DUMMYFUNCTION("""COMPUTED_VALUE"""),"03 ORL")</f>
        <v>03 ORL</v>
      </c>
      <c r="N1015" s="6" t="str">
        <f ca="1">IFERROR(__xludf.DUMMYFUNCTION("""COMPUTED_VALUE"""),"06 ORL")</f>
        <v>06 ORL</v>
      </c>
      <c r="O1015" s="6" t="str">
        <f ca="1">IFERROR(__xludf.DUMMYFUNCTION("""COMPUTED_VALUE"""),"Dr, Francisco Pastor Beviá")</f>
        <v>Dr, Francisco Pastor Beviá</v>
      </c>
      <c r="P1015" s="6" t="str">
        <f ca="1">IFERROR(__xludf.DUMMYFUNCTION("""COMPUTED_VALUE"""),"Iván Sánchez (Levante Y Albacete)")</f>
        <v>Iván Sánchez (Levante Y Albacete)</v>
      </c>
    </row>
    <row r="1016" spans="2:16">
      <c r="B1016" s="6">
        <f ca="1">IFERROR(__xludf.DUMMYFUNCTION("""COMPUTED_VALUE"""),2025)</f>
        <v>2025</v>
      </c>
      <c r="C1016" s="6">
        <f ca="1">IFERROR(__xludf.DUMMYFUNCTION("""COMPUTED_VALUE"""),7)</f>
        <v>7</v>
      </c>
      <c r="D1016" s="6" t="str">
        <f ca="1">IFERROR(__xludf.DUMMYFUNCTION("""COMPUTED_VALUE"""),"NO")</f>
        <v>NO</v>
      </c>
      <c r="E1016" s="6" t="str">
        <f ca="1">IFERROR(__xludf.DUMMYFUNCTION("""COMPUTED_VALUE"""),"Barcelona- Fabra i Puig")</f>
        <v>Barcelona- Fabra i Puig</v>
      </c>
      <c r="F1016" s="16">
        <f ca="1">IFERROR(__xludf.DUMMYFUNCTION("""COMPUTED_VALUE"""),45868)</f>
        <v>45868</v>
      </c>
      <c r="G1016" s="16">
        <f ca="1">IFERROR(__xludf.DUMMYFUNCTION("""COMPUTED_VALUE"""),45852)</f>
        <v>45852</v>
      </c>
      <c r="H1016" s="6" t="str">
        <f ca="1">IFERROR(__xludf.DUMMYFUNCTION("""COMPUTED_VALUE"""),"Fabra")</f>
        <v>Fabra</v>
      </c>
      <c r="I1016" s="6" t="str">
        <f ca="1">IFERROR(__xludf.DUMMYFUNCTION("""COMPUTED_VALUE"""),"C2025716173733301")</f>
        <v>C2025716173733301</v>
      </c>
      <c r="J1016" s="6" t="str">
        <f ca="1">IFERROR(__xludf.DUMMYFUNCTION("""COMPUTED_VALUE"""),"ANTONIO PALACIO ALLUE")</f>
        <v>ANTONIO PALACIO ALLUE</v>
      </c>
      <c r="K1016" s="6">
        <f ca="1">IFERROR(__xludf.DUMMYFUNCTION("""COMPUTED_VALUE"""),2)</f>
        <v>2</v>
      </c>
      <c r="L1016" s="139">
        <f ca="1">IFERROR(__xludf.DUMMYFUNCTION("""COMPUTED_VALUE"""),3631.82)</f>
        <v>3631.82</v>
      </c>
      <c r="M1016" s="6" t="str">
        <f ca="1">IFERROR(__xludf.DUMMYFUNCTION("""COMPUTED_VALUE"""),"03 ORL")</f>
        <v>03 ORL</v>
      </c>
      <c r="N1016" s="6" t="str">
        <f ca="1">IFERROR(__xludf.DUMMYFUNCTION("""COMPUTED_VALUE"""),"06 ORL")</f>
        <v>06 ORL</v>
      </c>
      <c r="O1016" s="6" t="str">
        <f ca="1">IFERROR(__xludf.DUMMYFUNCTION("""COMPUTED_VALUE"""),"Dr, Pablo Vergés Fort")</f>
        <v>Dr, Pablo Vergés Fort</v>
      </c>
      <c r="P1016" s="6" t="str">
        <f ca="1">IFERROR(__xludf.DUMMYFUNCTION("""COMPUTED_VALUE"""),"Mercè Cabrera (Cataluña Y Baleares)")</f>
        <v>Mercè Cabrera (Cataluña Y Baleares)</v>
      </c>
    </row>
    <row r="1017" spans="2:16">
      <c r="B1017" s="6">
        <f ca="1">IFERROR(__xludf.DUMMYFUNCTION("""COMPUTED_VALUE"""),2025)</f>
        <v>2025</v>
      </c>
      <c r="C1017" s="6">
        <f ca="1">IFERROR(__xludf.DUMMYFUNCTION("""COMPUTED_VALUE"""),7)</f>
        <v>7</v>
      </c>
      <c r="D1017" s="6" t="str">
        <f ca="1">IFERROR(__xludf.DUMMYFUNCTION("""COMPUTED_VALUE"""),"NO")</f>
        <v>NO</v>
      </c>
      <c r="E1017" s="6" t="str">
        <f ca="1">IFERROR(__xludf.DUMMYFUNCTION("""COMPUTED_VALUE"""),"El Albir (Benidorm)")</f>
        <v>El Albir (Benidorm)</v>
      </c>
      <c r="F1017" s="16">
        <f ca="1">IFERROR(__xludf.DUMMYFUNCTION("""COMPUTED_VALUE"""),45868)</f>
        <v>45868</v>
      </c>
      <c r="G1017" s="16">
        <f ca="1">IFERROR(__xludf.DUMMYFUNCTION("""COMPUTED_VALUE"""),45817)</f>
        <v>45817</v>
      </c>
      <c r="H1017" s="6" t="str">
        <f ca="1">IFERROR(__xludf.DUMMYFUNCTION("""COMPUTED_VALUE"""),"El Albir (Benidorm)")</f>
        <v>El Albir (Benidorm)</v>
      </c>
      <c r="I1017" s="6" t="str">
        <f ca="1">IFERROR(__xludf.DUMMYFUNCTION("""COMPUTED_VALUE"""),"C202561312435457")</f>
        <v>C202561312435457</v>
      </c>
      <c r="J1017" s="6" t="str">
        <f ca="1">IFERROR(__xludf.DUMMYFUNCTION("""COMPUTED_VALUE"""),"CECILIA PEDRON PASCUAL")</f>
        <v>CECILIA PEDRON PASCUAL</v>
      </c>
      <c r="K1017" s="6">
        <f ca="1">IFERROR(__xludf.DUMMYFUNCTION("""COMPUTED_VALUE"""),1)</f>
        <v>1</v>
      </c>
      <c r="L1017" s="139">
        <f ca="1">IFERROR(__xludf.DUMMYFUNCTION("""COMPUTED_VALUE"""),2226.36)</f>
        <v>2226.36</v>
      </c>
      <c r="M1017" s="6" t="str">
        <f ca="1">IFERROR(__xludf.DUMMYFUNCTION("""COMPUTED_VALUE"""),"03 ORL")</f>
        <v>03 ORL</v>
      </c>
      <c r="N1017" s="6" t="str">
        <f ca="1">IFERROR(__xludf.DUMMYFUNCTION("""COMPUTED_VALUE"""),"06 ORL")</f>
        <v>06 ORL</v>
      </c>
      <c r="O1017" s="6" t="str">
        <f ca="1">IFERROR(__xludf.DUMMYFUNCTION("""COMPUTED_VALUE"""),"Dr, Daniel Unigarro Londoño")</f>
        <v>Dr, Daniel Unigarro Londoño</v>
      </c>
      <c r="P1017" s="6" t="str">
        <f ca="1">IFERROR(__xludf.DUMMYFUNCTION("""COMPUTED_VALUE"""),"Ramon Ferrando(Valencia)")</f>
        <v>Ramon Ferrando(Valencia)</v>
      </c>
    </row>
    <row r="1018" spans="2:16">
      <c r="B1018" s="6">
        <f ca="1">IFERROR(__xludf.DUMMYFUNCTION("""COMPUTED_VALUE"""),2025)</f>
        <v>2025</v>
      </c>
      <c r="C1018" s="6">
        <f ca="1">IFERROR(__xludf.DUMMYFUNCTION("""COMPUTED_VALUE"""),7)</f>
        <v>7</v>
      </c>
      <c r="D1018" s="6" t="str">
        <f ca="1">IFERROR(__xludf.DUMMYFUNCTION("""COMPUTED_VALUE"""),"NO")</f>
        <v>NO</v>
      </c>
      <c r="E1018" s="6" t="str">
        <f ca="1">IFERROR(__xludf.DUMMYFUNCTION("""COMPUTED_VALUE"""),"Fuenlabrada")</f>
        <v>Fuenlabrada</v>
      </c>
      <c r="F1018" s="16">
        <f ca="1">IFERROR(__xludf.DUMMYFUNCTION("""COMPUTED_VALUE"""),45868)</f>
        <v>45868</v>
      </c>
      <c r="G1018" s="16">
        <f ca="1">IFERROR(__xludf.DUMMYFUNCTION("""COMPUTED_VALUE"""),45842)</f>
        <v>45842</v>
      </c>
      <c r="H1018" s="6" t="str">
        <f ca="1">IFERROR(__xludf.DUMMYFUNCTION("""COMPUTED_VALUE"""),"Fuenlabrada")</f>
        <v>Fuenlabrada</v>
      </c>
      <c r="I1018" s="6" t="str">
        <f ca="1">IFERROR(__xludf.DUMMYFUNCTION("""COMPUTED_VALUE"""),"C2025710105432565")</f>
        <v>C2025710105432565</v>
      </c>
      <c r="J1018" s="6" t="str">
        <f ca="1">IFERROR(__xludf.DUMMYFUNCTION("""COMPUTED_VALUE"""),"LUISA PEDRAZA CASTEJON")</f>
        <v>LUISA PEDRAZA CASTEJON</v>
      </c>
      <c r="K1018" s="6">
        <f ca="1">IFERROR(__xludf.DUMMYFUNCTION("""COMPUTED_VALUE"""),1)</f>
        <v>1</v>
      </c>
      <c r="L1018" s="139">
        <f ca="1">IFERROR(__xludf.DUMMYFUNCTION("""COMPUTED_VALUE"""),1633.64)</f>
        <v>1633.64</v>
      </c>
      <c r="M1018" s="6" t="str">
        <f ca="1">IFERROR(__xludf.DUMMYFUNCTION("""COMPUTED_VALUE"""),"03 ORL")</f>
        <v>03 ORL</v>
      </c>
      <c r="N1018" s="6" t="str">
        <f ca="1">IFERROR(__xludf.DUMMYFUNCTION("""COMPUTED_VALUE"""),"06 ORL")</f>
        <v>06 ORL</v>
      </c>
      <c r="O1018" s="6" t="str">
        <f ca="1">IFERROR(__xludf.DUMMYFUNCTION("""COMPUTED_VALUE"""),"Dra, Ithzel Maria Villarreal Patiño")</f>
        <v>Dra, Ithzel Maria Villarreal Patiño</v>
      </c>
      <c r="P1018" s="6" t="str">
        <f ca="1">IFERROR(__xludf.DUMMYFUNCTION("""COMPUTED_VALUE"""),"Maika Blázquez (Madrid)")</f>
        <v>Maika Blázquez (Madrid)</v>
      </c>
    </row>
    <row r="1019" spans="2:16">
      <c r="B1019" s="6">
        <f ca="1">IFERROR(__xludf.DUMMYFUNCTION("""COMPUTED_VALUE"""),2025)</f>
        <v>2025</v>
      </c>
      <c r="C1019" s="6">
        <f ca="1">IFERROR(__xludf.DUMMYFUNCTION("""COMPUTED_VALUE"""),7)</f>
        <v>7</v>
      </c>
      <c r="D1019" s="6" t="str">
        <f ca="1">IFERROR(__xludf.DUMMYFUNCTION("""COMPUTED_VALUE"""),"NO")</f>
        <v>NO</v>
      </c>
      <c r="E1019" s="6" t="str">
        <f ca="1">IFERROR(__xludf.DUMMYFUNCTION("""COMPUTED_VALUE"""),"Getafe")</f>
        <v>Getafe</v>
      </c>
      <c r="F1019" s="16">
        <f ca="1">IFERROR(__xludf.DUMMYFUNCTION("""COMPUTED_VALUE"""),45869)</f>
        <v>45869</v>
      </c>
      <c r="G1019" s="16">
        <f ca="1">IFERROR(__xludf.DUMMYFUNCTION("""COMPUTED_VALUE"""),45791)</f>
        <v>45791</v>
      </c>
      <c r="H1019" s="6" t="str">
        <f ca="1">IFERROR(__xludf.DUMMYFUNCTION("""COMPUTED_VALUE"""),"Getafe")</f>
        <v>Getafe</v>
      </c>
      <c r="I1019" s="6" t="str">
        <f ca="1">IFERROR(__xludf.DUMMYFUNCTION("""COMPUTED_VALUE"""),"C2025514161716900")</f>
        <v>C2025514161716900</v>
      </c>
      <c r="J1019" s="6" t="str">
        <f ca="1">IFERROR(__xludf.DUMMYFUNCTION("""COMPUTED_VALUE"""),"JOSE ANTONIO AGUDO TIRADO")</f>
        <v>JOSE ANTONIO AGUDO TIRADO</v>
      </c>
      <c r="K1019" s="6">
        <f ca="1">IFERROR(__xludf.DUMMYFUNCTION("""COMPUTED_VALUE"""),2)</f>
        <v>2</v>
      </c>
      <c r="L1019" s="139">
        <f ca="1">IFERROR(__xludf.DUMMYFUNCTION("""COMPUTED_VALUE"""),4120)</f>
        <v>4120</v>
      </c>
      <c r="M1019" s="6" t="str">
        <f ca="1">IFERROR(__xludf.DUMMYFUNCTION("""COMPUTED_VALUE"""),"03 ORL")</f>
        <v>03 ORL</v>
      </c>
      <c r="N1019" s="6" t="str">
        <f ca="1">IFERROR(__xludf.DUMMYFUNCTION("""COMPUTED_VALUE"""),"06 ORL")</f>
        <v>06 ORL</v>
      </c>
      <c r="O1019" s="6" t="str">
        <f ca="1">IFERROR(__xludf.DUMMYFUNCTION("""COMPUTED_VALUE"""),"Dr, Antonio Rodríguez Rivero")</f>
        <v>Dr, Antonio Rodríguez Rivero</v>
      </c>
      <c r="P1019" s="6" t="str">
        <f ca="1">IFERROR(__xludf.DUMMYFUNCTION("""COMPUTED_VALUE"""),"Maika Blázquez (Madrid)")</f>
        <v>Maika Blázquez (Madrid)</v>
      </c>
    </row>
    <row r="1020" spans="2:16">
      <c r="B1020" s="6">
        <f ca="1">IFERROR(__xludf.DUMMYFUNCTION("""COMPUTED_VALUE"""),2025)</f>
        <v>2025</v>
      </c>
      <c r="C1020" s="6">
        <f ca="1">IFERROR(__xludf.DUMMYFUNCTION("""COMPUTED_VALUE"""),7)</f>
        <v>7</v>
      </c>
      <c r="D1020" s="6" t="str">
        <f ca="1">IFERROR(__xludf.DUMMYFUNCTION("""COMPUTED_VALUE"""),"NO")</f>
        <v>NO</v>
      </c>
      <c r="E1020" s="6" t="str">
        <f ca="1">IFERROR(__xludf.DUMMYFUNCTION("""COMPUTED_VALUE"""),"Jerez de la Frontera")</f>
        <v>Jerez de la Frontera</v>
      </c>
      <c r="F1020" s="16">
        <f ca="1">IFERROR(__xludf.DUMMYFUNCTION("""COMPUTED_VALUE"""),45868)</f>
        <v>45868</v>
      </c>
      <c r="G1020" s="16">
        <f ca="1">IFERROR(__xludf.DUMMYFUNCTION("""COMPUTED_VALUE"""),45849)</f>
        <v>45849</v>
      </c>
      <c r="H1020" s="6" t="str">
        <f ca="1">IFERROR(__xludf.DUMMYFUNCTION("""COMPUTED_VALUE"""),"Jerez")</f>
        <v>Jerez</v>
      </c>
      <c r="I1020" s="6" t="str">
        <f ca="1">IFERROR(__xludf.DUMMYFUNCTION("""COMPUTED_VALUE"""),"C2025711165028289")</f>
        <v>C2025711165028289</v>
      </c>
      <c r="J1020" s="6" t="str">
        <f ca="1">IFERROR(__xludf.DUMMYFUNCTION("""COMPUTED_VALUE"""),"ISIDORO EGIDIO FERNANDEZ")</f>
        <v>ISIDORO EGIDIO FERNANDEZ</v>
      </c>
      <c r="K1020" s="6">
        <f ca="1">IFERROR(__xludf.DUMMYFUNCTION("""COMPUTED_VALUE"""),2)</f>
        <v>2</v>
      </c>
      <c r="L1020" s="139">
        <f ca="1">IFERROR(__xludf.DUMMYFUNCTION("""COMPUTED_VALUE"""),4136.36)</f>
        <v>4136.3599999999997</v>
      </c>
      <c r="M1020" s="6" t="str">
        <f ca="1">IFERROR(__xludf.DUMMYFUNCTION("""COMPUTED_VALUE"""),"03 ORL")</f>
        <v>03 ORL</v>
      </c>
      <c r="N1020" s="6" t="str">
        <f ca="1">IFERROR(__xludf.DUMMYFUNCTION("""COMPUTED_VALUE"""),"06 ORL")</f>
        <v>06 ORL</v>
      </c>
      <c r="O1020" s="6" t="str">
        <f ca="1">IFERROR(__xludf.DUMMYFUNCTION("""COMPUTED_VALUE"""),"Dr, Guillermo Sierra Galera")</f>
        <v>Dr, Guillermo Sierra Galera</v>
      </c>
      <c r="P1020" s="6" t="str">
        <f ca="1">IFERROR(__xludf.DUMMYFUNCTION("""COMPUTED_VALUE"""),"Luis Alberto Rodríguez (Andalucía y Badajoz)")</f>
        <v>Luis Alberto Rodríguez (Andalucía y Badajoz)</v>
      </c>
    </row>
    <row r="1021" spans="2:16">
      <c r="B1021" s="6">
        <f ca="1">IFERROR(__xludf.DUMMYFUNCTION("""COMPUTED_VALUE"""),2025)</f>
        <v>2025</v>
      </c>
      <c r="C1021" s="6">
        <f ca="1">IFERROR(__xludf.DUMMYFUNCTION("""COMPUTED_VALUE"""),7)</f>
        <v>7</v>
      </c>
      <c r="D1021" s="6" t="str">
        <f ca="1">IFERROR(__xludf.DUMMYFUNCTION("""COMPUTED_VALUE"""),"NO")</f>
        <v>NO</v>
      </c>
      <c r="E1021" s="6" t="str">
        <f ca="1">IFERROR(__xludf.DUMMYFUNCTION("""COMPUTED_VALUE"""),"Jerez de la Frontera")</f>
        <v>Jerez de la Frontera</v>
      </c>
      <c r="F1021" s="16">
        <f ca="1">IFERROR(__xludf.DUMMYFUNCTION("""COMPUTED_VALUE"""),45866)</f>
        <v>45866</v>
      </c>
      <c r="G1021" s="16">
        <f ca="1">IFERROR(__xludf.DUMMYFUNCTION("""COMPUTED_VALUE"""),45833)</f>
        <v>45833</v>
      </c>
      <c r="H1021" s="6" t="str">
        <f ca="1">IFERROR(__xludf.DUMMYFUNCTION("""COMPUTED_VALUE"""),"Jerez")</f>
        <v>Jerez</v>
      </c>
      <c r="I1021" s="6" t="str">
        <f ca="1">IFERROR(__xludf.DUMMYFUNCTION("""COMPUTED_VALUE"""),"C202563095130210")</f>
        <v>C202563095130210</v>
      </c>
      <c r="J1021" s="6" t="str">
        <f ca="1">IFERROR(__xludf.DUMMYFUNCTION("""COMPUTED_VALUE"""),"virginia HERAS IGLESIAS")</f>
        <v>virginia HERAS IGLESIAS</v>
      </c>
      <c r="K1021" s="6">
        <f ca="1">IFERROR(__xludf.DUMMYFUNCTION("""COMPUTED_VALUE"""),2)</f>
        <v>2</v>
      </c>
      <c r="L1021" s="139">
        <f ca="1">IFERROR(__xludf.DUMMYFUNCTION("""COMPUTED_VALUE"""),4136.36)</f>
        <v>4136.3599999999997</v>
      </c>
      <c r="M1021" s="6" t="str">
        <f ca="1">IFERROR(__xludf.DUMMYFUNCTION("""COMPUTED_VALUE"""),"03 ORL")</f>
        <v>03 ORL</v>
      </c>
      <c r="N1021" s="6" t="str">
        <f ca="1">IFERROR(__xludf.DUMMYFUNCTION("""COMPUTED_VALUE"""),"06 ORL")</f>
        <v>06 ORL</v>
      </c>
      <c r="O1021" s="6" t="str">
        <f ca="1">IFERROR(__xludf.DUMMYFUNCTION("""COMPUTED_VALUE"""),"Dr, Guillermo Sierra Galera")</f>
        <v>Dr, Guillermo Sierra Galera</v>
      </c>
      <c r="P1021" s="6" t="str">
        <f ca="1">IFERROR(__xludf.DUMMYFUNCTION("""COMPUTED_VALUE"""),"Luis Alberto Rodríguez (Andalucía y Badajoz)")</f>
        <v>Luis Alberto Rodríguez (Andalucía y Badajoz)</v>
      </c>
    </row>
    <row r="1022" spans="2:16">
      <c r="B1022" s="6">
        <f ca="1">IFERROR(__xludf.DUMMYFUNCTION("""COMPUTED_VALUE"""),2025)</f>
        <v>2025</v>
      </c>
      <c r="C1022" s="6">
        <f ca="1">IFERROR(__xludf.DUMMYFUNCTION("""COMPUTED_VALUE"""),7)</f>
        <v>7</v>
      </c>
      <c r="D1022" s="6" t="str">
        <f ca="1">IFERROR(__xludf.DUMMYFUNCTION("""COMPUTED_VALUE"""),"NO")</f>
        <v>NO</v>
      </c>
      <c r="E1022" s="6" t="str">
        <f ca="1">IFERROR(__xludf.DUMMYFUNCTION("""COMPUTED_VALUE"""),"Leganés")</f>
        <v>Leganés</v>
      </c>
      <c r="F1022" s="16">
        <f ca="1">IFERROR(__xludf.DUMMYFUNCTION("""COMPUTED_VALUE"""),45866)</f>
        <v>45866</v>
      </c>
      <c r="G1022" s="16">
        <f ca="1">IFERROR(__xludf.DUMMYFUNCTION("""COMPUTED_VALUE"""),45839)</f>
        <v>45839</v>
      </c>
      <c r="H1022" s="6" t="str">
        <f ca="1">IFERROR(__xludf.DUMMYFUNCTION("""COMPUTED_VALUE"""),"Leganés")</f>
        <v>Leganés</v>
      </c>
      <c r="I1022" s="6" t="str">
        <f ca="1">IFERROR(__xludf.DUMMYFUNCTION("""COMPUTED_VALUE"""),"C20257711599915")</f>
        <v>C20257711599915</v>
      </c>
      <c r="J1022" s="6" t="str">
        <f ca="1">IFERROR(__xludf.DUMMYFUNCTION("""COMPUTED_VALUE"""),"ELISA SUAREZ SARDINA")</f>
        <v>ELISA SUAREZ SARDINA</v>
      </c>
      <c r="K1022" s="6">
        <f ca="1">IFERROR(__xludf.DUMMYFUNCTION("""COMPUTED_VALUE"""),1)</f>
        <v>1</v>
      </c>
      <c r="L1022" s="139">
        <f ca="1">IFERROR(__xludf.DUMMYFUNCTION("""COMPUTED_VALUE"""),1631.82)</f>
        <v>1631.82</v>
      </c>
      <c r="M1022" s="6" t="str">
        <f ca="1">IFERROR(__xludf.DUMMYFUNCTION("""COMPUTED_VALUE"""),"03 ORL")</f>
        <v>03 ORL</v>
      </c>
      <c r="N1022" s="6" t="str">
        <f ca="1">IFERROR(__xludf.DUMMYFUNCTION("""COMPUTED_VALUE"""),"06 ORL")</f>
        <v>06 ORL</v>
      </c>
      <c r="O1022" s="6" t="str">
        <f ca="1">IFERROR(__xludf.DUMMYFUNCTION("""COMPUTED_VALUE"""),"Dra, Inés Pastor Basterra")</f>
        <v>Dra, Inés Pastor Basterra</v>
      </c>
      <c r="P1022" s="6" t="str">
        <f ca="1">IFERROR(__xludf.DUMMYFUNCTION("""COMPUTED_VALUE"""),"Maika Blázquez (Madrid)")</f>
        <v>Maika Blázquez (Madrid)</v>
      </c>
    </row>
    <row r="1023" spans="2:16">
      <c r="B1023" s="6">
        <f ca="1">IFERROR(__xludf.DUMMYFUNCTION("""COMPUTED_VALUE"""),2025)</f>
        <v>2025</v>
      </c>
      <c r="C1023" s="6">
        <f ca="1">IFERROR(__xludf.DUMMYFUNCTION("""COMPUTED_VALUE"""),7)</f>
        <v>7</v>
      </c>
      <c r="D1023" s="6" t="str">
        <f ca="1">IFERROR(__xludf.DUMMYFUNCTION("""COMPUTED_VALUE"""),"NO")</f>
        <v>NO</v>
      </c>
      <c r="E1023" s="6" t="str">
        <f ca="1">IFERROR(__xludf.DUMMYFUNCTION("""COMPUTED_VALUE"""),"Leganés")</f>
        <v>Leganés</v>
      </c>
      <c r="F1023" s="16">
        <f ca="1">IFERROR(__xludf.DUMMYFUNCTION("""COMPUTED_VALUE"""),45867)</f>
        <v>45867</v>
      </c>
      <c r="G1023" s="16">
        <f ca="1">IFERROR(__xludf.DUMMYFUNCTION("""COMPUTED_VALUE"""),45832)</f>
        <v>45832</v>
      </c>
      <c r="H1023" s="6" t="str">
        <f ca="1">IFERROR(__xludf.DUMMYFUNCTION("""COMPUTED_VALUE"""),"Leganés")</f>
        <v>Leganés</v>
      </c>
      <c r="I1023" s="6" t="str">
        <f ca="1">IFERROR(__xludf.DUMMYFUNCTION("""COMPUTED_VALUE"""),"C202573122916902")</f>
        <v>C202573122916902</v>
      </c>
      <c r="J1023" s="6" t="str">
        <f ca="1">IFERROR(__xludf.DUMMYFUNCTION("""COMPUTED_VALUE"""),"FILOMENA DE LA FUENTE BERGON")</f>
        <v>FILOMENA DE LA FUENTE BERGON</v>
      </c>
      <c r="K1023" s="6">
        <f ca="1">IFERROR(__xludf.DUMMYFUNCTION("""COMPUTED_VALUE"""),2)</f>
        <v>2</v>
      </c>
      <c r="L1023" s="139">
        <f ca="1">IFERROR(__xludf.DUMMYFUNCTION("""COMPUTED_VALUE"""),3424.55)</f>
        <v>3424.55</v>
      </c>
      <c r="M1023" s="6" t="str">
        <f ca="1">IFERROR(__xludf.DUMMYFUNCTION("""COMPUTED_VALUE"""),"03 ORL")</f>
        <v>03 ORL</v>
      </c>
      <c r="N1023" s="6" t="str">
        <f ca="1">IFERROR(__xludf.DUMMYFUNCTION("""COMPUTED_VALUE"""),"06 ORL")</f>
        <v>06 ORL</v>
      </c>
      <c r="O1023" s="6" t="str">
        <f ca="1">IFERROR(__xludf.DUMMYFUNCTION("""COMPUTED_VALUE"""),"Dr, Jesús Ramos Fernández")</f>
        <v>Dr, Jesús Ramos Fernández</v>
      </c>
      <c r="P1023" s="6" t="str">
        <f ca="1">IFERROR(__xludf.DUMMYFUNCTION("""COMPUTED_VALUE"""),"Maika Blázquez (Madrid)")</f>
        <v>Maika Blázquez (Madrid)</v>
      </c>
    </row>
    <row r="1024" spans="2:16">
      <c r="B1024" s="6">
        <f ca="1">IFERROR(__xludf.DUMMYFUNCTION("""COMPUTED_VALUE"""),2025)</f>
        <v>2025</v>
      </c>
      <c r="C1024" s="6">
        <f ca="1">IFERROR(__xludf.DUMMYFUNCTION("""COMPUTED_VALUE"""),7)</f>
        <v>7</v>
      </c>
      <c r="D1024" s="6" t="str">
        <f ca="1">IFERROR(__xludf.DUMMYFUNCTION("""COMPUTED_VALUE"""),"NO")</f>
        <v>NO</v>
      </c>
      <c r="E1024" s="6" t="str">
        <f ca="1">IFERROR(__xludf.DUMMYFUNCTION("""COMPUTED_VALUE"""),"Leganés")</f>
        <v>Leganés</v>
      </c>
      <c r="F1024" s="16">
        <f ca="1">IFERROR(__xludf.DUMMYFUNCTION("""COMPUTED_VALUE"""),45866)</f>
        <v>45866</v>
      </c>
      <c r="G1024" s="16">
        <f ca="1">IFERROR(__xludf.DUMMYFUNCTION("""COMPUTED_VALUE"""),45819)</f>
        <v>45819</v>
      </c>
      <c r="H1024" s="6" t="str">
        <f ca="1">IFERROR(__xludf.DUMMYFUNCTION("""COMPUTED_VALUE"""),"Leganés")</f>
        <v>Leganés</v>
      </c>
      <c r="I1024" s="6" t="str">
        <f ca="1">IFERROR(__xludf.DUMMYFUNCTION("""COMPUTED_VALUE"""),"C202561817471468")</f>
        <v>C202561817471468</v>
      </c>
      <c r="J1024" s="6" t="str">
        <f ca="1">IFERROR(__xludf.DUMMYFUNCTION("""COMPUTED_VALUE"""),"JUAN JOSE RODRIGUEZ GAYO")</f>
        <v>JUAN JOSE RODRIGUEZ GAYO</v>
      </c>
      <c r="K1024" s="6">
        <f ca="1">IFERROR(__xludf.DUMMYFUNCTION("""COMPUTED_VALUE"""),1)</f>
        <v>1</v>
      </c>
      <c r="L1024" s="139">
        <f ca="1">IFERROR(__xludf.DUMMYFUNCTION("""COMPUTED_VALUE"""),1568.18)</f>
        <v>1568.18</v>
      </c>
      <c r="M1024" s="6" t="str">
        <f ca="1">IFERROR(__xludf.DUMMYFUNCTION("""COMPUTED_VALUE"""),"03 ORL")</f>
        <v>03 ORL</v>
      </c>
      <c r="N1024" s="6" t="str">
        <f ca="1">IFERROR(__xludf.DUMMYFUNCTION("""COMPUTED_VALUE"""),"06 ORL")</f>
        <v>06 ORL</v>
      </c>
      <c r="O1024" s="6" t="str">
        <f ca="1">IFERROR(__xludf.DUMMYFUNCTION("""COMPUTED_VALUE"""),"Dra, Cristina Vaduva")</f>
        <v>Dra, Cristina Vaduva</v>
      </c>
      <c r="P1024" s="6" t="str">
        <f ca="1">IFERROR(__xludf.DUMMYFUNCTION("""COMPUTED_VALUE"""),"Maika Blázquez (Madrid)")</f>
        <v>Maika Blázquez (Madrid)</v>
      </c>
    </row>
    <row r="1025" spans="2:16">
      <c r="B1025" s="6">
        <f ca="1">IFERROR(__xludf.DUMMYFUNCTION("""COMPUTED_VALUE"""),2025)</f>
        <v>2025</v>
      </c>
      <c r="C1025" s="6">
        <f ca="1">IFERROR(__xludf.DUMMYFUNCTION("""COMPUTED_VALUE"""),7)</f>
        <v>7</v>
      </c>
      <c r="D1025" s="6" t="str">
        <f ca="1">IFERROR(__xludf.DUMMYFUNCTION("""COMPUTED_VALUE"""),"NO")</f>
        <v>NO</v>
      </c>
      <c r="E1025" s="6" t="str">
        <f ca="1">IFERROR(__xludf.DUMMYFUNCTION("""COMPUTED_VALUE"""),"Leganés")</f>
        <v>Leganés</v>
      </c>
      <c r="F1025" s="16">
        <f ca="1">IFERROR(__xludf.DUMMYFUNCTION("""COMPUTED_VALUE"""),45869)</f>
        <v>45869</v>
      </c>
      <c r="G1025" s="16">
        <f ca="1">IFERROR(__xludf.DUMMYFUNCTION("""COMPUTED_VALUE"""),45819)</f>
        <v>45819</v>
      </c>
      <c r="H1025" s="6" t="str">
        <f ca="1">IFERROR(__xludf.DUMMYFUNCTION("""COMPUTED_VALUE"""),"Leganés")</f>
        <v>Leganés</v>
      </c>
      <c r="I1025" s="6" t="str">
        <f ca="1">IFERROR(__xludf.DUMMYFUNCTION("""COMPUTED_VALUE"""),"C202561918355912")</f>
        <v>C202561918355912</v>
      </c>
      <c r="J1025" s="6" t="str">
        <f ca="1">IFERROR(__xludf.DUMMYFUNCTION("""COMPUTED_VALUE"""),"VICTORIA RUBIO BARBA")</f>
        <v>VICTORIA RUBIO BARBA</v>
      </c>
      <c r="K1025" s="6">
        <f ca="1">IFERROR(__xludf.DUMMYFUNCTION("""COMPUTED_VALUE"""),2)</f>
        <v>2</v>
      </c>
      <c r="L1025" s="139">
        <f ca="1">IFERROR(__xludf.DUMMYFUNCTION("""COMPUTED_VALUE"""),3604.55)</f>
        <v>3604.55</v>
      </c>
      <c r="M1025" s="6" t="str">
        <f ca="1">IFERROR(__xludf.DUMMYFUNCTION("""COMPUTED_VALUE"""),"03 ORL")</f>
        <v>03 ORL</v>
      </c>
      <c r="N1025" s="6" t="str">
        <f ca="1">IFERROR(__xludf.DUMMYFUNCTION("""COMPUTED_VALUE"""),"06 ORL")</f>
        <v>06 ORL</v>
      </c>
      <c r="O1025" s="6" t="str">
        <f ca="1">IFERROR(__xludf.DUMMYFUNCTION("""COMPUTED_VALUE"""),"Dra, Inés Pastor Basterra")</f>
        <v>Dra, Inés Pastor Basterra</v>
      </c>
      <c r="P1025" s="6" t="str">
        <f ca="1">IFERROR(__xludf.DUMMYFUNCTION("""COMPUTED_VALUE"""),"Maika Blázquez (Madrid)")</f>
        <v>Maika Blázquez (Madrid)</v>
      </c>
    </row>
    <row r="1026" spans="2:16">
      <c r="B1026" s="6">
        <f ca="1">IFERROR(__xludf.DUMMYFUNCTION("""COMPUTED_VALUE"""),2025)</f>
        <v>2025</v>
      </c>
      <c r="C1026" s="6">
        <f ca="1">IFERROR(__xludf.DUMMYFUNCTION("""COMPUTED_VALUE"""),7)</f>
        <v>7</v>
      </c>
      <c r="D1026" s="6" t="str">
        <f ca="1">IFERROR(__xludf.DUMMYFUNCTION("""COMPUTED_VALUE"""),"NO")</f>
        <v>NO</v>
      </c>
      <c r="E1026" s="6" t="str">
        <f ca="1">IFERROR(__xludf.DUMMYFUNCTION("""COMPUTED_VALUE"""),"Madrid- Canillas")</f>
        <v>Madrid- Canillas</v>
      </c>
      <c r="F1026" s="16">
        <f ca="1">IFERROR(__xludf.DUMMYFUNCTION("""COMPUTED_VALUE"""),45866)</f>
        <v>45866</v>
      </c>
      <c r="G1026" s="16">
        <f ca="1">IFERROR(__xludf.DUMMYFUNCTION("""COMPUTED_VALUE"""),45838)</f>
        <v>45838</v>
      </c>
      <c r="H1026" s="6" t="str">
        <f ca="1">IFERROR(__xludf.DUMMYFUNCTION("""COMPUTED_VALUE"""),"Canillas")</f>
        <v>Canillas</v>
      </c>
      <c r="I1026" s="6" t="str">
        <f ca="1">IFERROR(__xludf.DUMMYFUNCTION("""COMPUTED_VALUE"""),"C202572171727696")</f>
        <v>C202572171727696</v>
      </c>
      <c r="J1026" s="6" t="str">
        <f ca="1">IFERROR(__xludf.DUMMYFUNCTION("""COMPUTED_VALUE"""),"JOSE ANTONIO DE MIGUEL AGUILAR")</f>
        <v>JOSE ANTONIO DE MIGUEL AGUILAR</v>
      </c>
      <c r="K1026" s="6">
        <f ca="1">IFERROR(__xludf.DUMMYFUNCTION("""COMPUTED_VALUE"""),2)</f>
        <v>2</v>
      </c>
      <c r="L1026" s="139">
        <f ca="1">IFERROR(__xludf.DUMMYFUNCTION("""COMPUTED_VALUE"""),4120.19)</f>
        <v>4120.1899999999996</v>
      </c>
      <c r="M1026" s="6" t="str">
        <f ca="1">IFERROR(__xludf.DUMMYFUNCTION("""COMPUTED_VALUE"""),"03 ORL")</f>
        <v>03 ORL</v>
      </c>
      <c r="N1026" s="6" t="str">
        <f ca="1">IFERROR(__xludf.DUMMYFUNCTION("""COMPUTED_VALUE"""),"06 ORL")</f>
        <v>06 ORL</v>
      </c>
      <c r="O1026" s="6" t="str">
        <f ca="1">IFERROR(__xludf.DUMMYFUNCTION("""COMPUTED_VALUE"""),"Dra, María del Mar Medina González")</f>
        <v>Dra, María del Mar Medina González</v>
      </c>
      <c r="P1026" s="6" t="str">
        <f ca="1">IFERROR(__xludf.DUMMYFUNCTION("""COMPUTED_VALUE"""),"Maika Blázquez (Madrid)")</f>
        <v>Maika Blázquez (Madrid)</v>
      </c>
    </row>
    <row r="1027" spans="2:16">
      <c r="B1027" s="6">
        <f ca="1">IFERROR(__xludf.DUMMYFUNCTION("""COMPUTED_VALUE"""),2025)</f>
        <v>2025</v>
      </c>
      <c r="C1027" s="6">
        <f ca="1">IFERROR(__xludf.DUMMYFUNCTION("""COMPUTED_VALUE"""),7)</f>
        <v>7</v>
      </c>
      <c r="D1027" s="6" t="str">
        <f ca="1">IFERROR(__xludf.DUMMYFUNCTION("""COMPUTED_VALUE"""),"NO")</f>
        <v>NO</v>
      </c>
      <c r="E1027" s="6" t="str">
        <f ca="1">IFERROR(__xludf.DUMMYFUNCTION("""COMPUTED_VALUE"""),"Madrid- Juan Bravo")</f>
        <v>Madrid- Juan Bravo</v>
      </c>
      <c r="F1027" s="16">
        <f ca="1">IFERROR(__xludf.DUMMYFUNCTION("""COMPUTED_VALUE"""),45868)</f>
        <v>45868</v>
      </c>
      <c r="G1027" s="16">
        <f ca="1">IFERROR(__xludf.DUMMYFUNCTION("""COMPUTED_VALUE"""),45841)</f>
        <v>45841</v>
      </c>
      <c r="H1027" s="6" t="str">
        <f ca="1">IFERROR(__xludf.DUMMYFUNCTION("""COMPUTED_VALUE"""),"Juan Bravo")</f>
        <v>Juan Bravo</v>
      </c>
      <c r="I1027" s="6" t="str">
        <f ca="1">IFERROR(__xludf.DUMMYFUNCTION("""COMPUTED_VALUE"""),"C2025710104044176")</f>
        <v>C2025710104044176</v>
      </c>
      <c r="J1027" s="6" t="str">
        <f ca="1">IFERROR(__xludf.DUMMYFUNCTION("""COMPUTED_VALUE"""),"OLGA AMPUERO GALVEZ")</f>
        <v>OLGA AMPUERO GALVEZ</v>
      </c>
      <c r="K1027" s="6">
        <f ca="1">IFERROR(__xludf.DUMMYFUNCTION("""COMPUTED_VALUE"""),1)</f>
        <v>1</v>
      </c>
      <c r="L1027" s="139">
        <f ca="1">IFERROR(__xludf.DUMMYFUNCTION("""COMPUTED_VALUE"""),2226.36)</f>
        <v>2226.36</v>
      </c>
      <c r="M1027" s="6" t="str">
        <f ca="1">IFERROR(__xludf.DUMMYFUNCTION("""COMPUTED_VALUE"""),"03 ORL")</f>
        <v>03 ORL</v>
      </c>
      <c r="N1027" s="6" t="str">
        <f ca="1">IFERROR(__xludf.DUMMYFUNCTION("""COMPUTED_VALUE"""),"06 ORL")</f>
        <v>06 ORL</v>
      </c>
      <c r="O1027" s="6" t="str">
        <f ca="1">IFERROR(__xludf.DUMMYFUNCTION("""COMPUTED_VALUE"""),"Dr, Javier García Domínguez")</f>
        <v>Dr, Javier García Domínguez</v>
      </c>
      <c r="P1027" s="6" t="str">
        <f ca="1">IFERROR(__xludf.DUMMYFUNCTION("""COMPUTED_VALUE"""),"Maika Blázquez (Madrid)")</f>
        <v>Maika Blázquez (Madrid)</v>
      </c>
    </row>
    <row r="1028" spans="2:16">
      <c r="B1028" s="6">
        <f ca="1">IFERROR(__xludf.DUMMYFUNCTION("""COMPUTED_VALUE"""),2025)</f>
        <v>2025</v>
      </c>
      <c r="C1028" s="6">
        <f ca="1">IFERROR(__xludf.DUMMYFUNCTION("""COMPUTED_VALUE"""),7)</f>
        <v>7</v>
      </c>
      <c r="D1028" s="6" t="str">
        <f ca="1">IFERROR(__xludf.DUMMYFUNCTION("""COMPUTED_VALUE"""),"NO")</f>
        <v>NO</v>
      </c>
      <c r="E1028" s="6" t="str">
        <f ca="1">IFERROR(__xludf.DUMMYFUNCTION("""COMPUTED_VALUE"""),"Murcia")</f>
        <v>Murcia</v>
      </c>
      <c r="F1028" s="16">
        <f ca="1">IFERROR(__xludf.DUMMYFUNCTION("""COMPUTED_VALUE"""),45868)</f>
        <v>45868</v>
      </c>
      <c r="G1028" s="16">
        <f ca="1">IFERROR(__xludf.DUMMYFUNCTION("""COMPUTED_VALUE"""),45845)</f>
        <v>45845</v>
      </c>
      <c r="H1028" s="6" t="str">
        <f ca="1">IFERROR(__xludf.DUMMYFUNCTION("""COMPUTED_VALUE"""),"Murcia")</f>
        <v>Murcia</v>
      </c>
      <c r="I1028" s="6" t="str">
        <f ca="1">IFERROR(__xludf.DUMMYFUNCTION("""COMPUTED_VALUE"""),"C2025716172143986")</f>
        <v>C2025716172143986</v>
      </c>
      <c r="J1028" s="6" t="str">
        <f ca="1">IFERROR(__xludf.DUMMYFUNCTION("""COMPUTED_VALUE"""),"ANTONIA GARCIA MARTINEZ")</f>
        <v>ANTONIA GARCIA MARTINEZ</v>
      </c>
      <c r="K1028" s="6">
        <f ca="1">IFERROR(__xludf.DUMMYFUNCTION("""COMPUTED_VALUE"""),2)</f>
        <v>2</v>
      </c>
      <c r="L1028" s="139">
        <f ca="1">IFERROR(__xludf.DUMMYFUNCTION("""COMPUTED_VALUE"""),2888.18)</f>
        <v>2888.18</v>
      </c>
      <c r="M1028" s="6" t="str">
        <f ca="1">IFERROR(__xludf.DUMMYFUNCTION("""COMPUTED_VALUE"""),"03 ORL")</f>
        <v>03 ORL</v>
      </c>
      <c r="N1028" s="6" t="str">
        <f ca="1">IFERROR(__xludf.DUMMYFUNCTION("""COMPUTED_VALUE"""),"06 ORL")</f>
        <v>06 ORL</v>
      </c>
      <c r="O1028" s="6" t="str">
        <f ca="1">IFERROR(__xludf.DUMMYFUNCTION("""COMPUTED_VALUE"""),"Dr, Enrique Viviente Rodríguez")</f>
        <v>Dr, Enrique Viviente Rodríguez</v>
      </c>
      <c r="P1028" s="6" t="str">
        <f ca="1">IFERROR(__xludf.DUMMYFUNCTION("""COMPUTED_VALUE"""),"Iván Sánchez (Levante Y Albacete)")</f>
        <v>Iván Sánchez (Levante Y Albacete)</v>
      </c>
    </row>
    <row r="1029" spans="2:16">
      <c r="B1029" s="6">
        <f ca="1">IFERROR(__xludf.DUMMYFUNCTION("""COMPUTED_VALUE"""),2025)</f>
        <v>2025</v>
      </c>
      <c r="C1029" s="6">
        <f ca="1">IFERROR(__xludf.DUMMYFUNCTION("""COMPUTED_VALUE"""),7)</f>
        <v>7</v>
      </c>
      <c r="D1029" s="6" t="str">
        <f ca="1">IFERROR(__xludf.DUMMYFUNCTION("""COMPUTED_VALUE"""),"NO")</f>
        <v>NO</v>
      </c>
      <c r="E1029" s="6" t="str">
        <f ca="1">IFERROR(__xludf.DUMMYFUNCTION("""COMPUTED_VALUE"""),"Murcia")</f>
        <v>Murcia</v>
      </c>
      <c r="F1029" s="16">
        <f ca="1">IFERROR(__xludf.DUMMYFUNCTION("""COMPUTED_VALUE"""),45867)</f>
        <v>45867</v>
      </c>
      <c r="G1029" s="16">
        <f ca="1">IFERROR(__xludf.DUMMYFUNCTION("""COMPUTED_VALUE"""),45841)</f>
        <v>45841</v>
      </c>
      <c r="H1029" s="6" t="str">
        <f ca="1">IFERROR(__xludf.DUMMYFUNCTION("""COMPUTED_VALUE"""),"Murcia")</f>
        <v>Murcia</v>
      </c>
      <c r="I1029" s="6" t="str">
        <f ca="1">IFERROR(__xludf.DUMMYFUNCTION("""COMPUTED_VALUE"""),"C20257911532263")</f>
        <v>C20257911532263</v>
      </c>
      <c r="J1029" s="6" t="str">
        <f ca="1">IFERROR(__xludf.DUMMYFUNCTION("""COMPUTED_VALUE"""),"ANTONIO MIGUEL HERNANDEZ QUEVEDO")</f>
        <v>ANTONIO MIGUEL HERNANDEZ QUEVEDO</v>
      </c>
      <c r="K1029" s="6">
        <f ca="1">IFERROR(__xludf.DUMMYFUNCTION("""COMPUTED_VALUE"""),1)</f>
        <v>1</v>
      </c>
      <c r="L1029" s="139">
        <f ca="1">IFERROR(__xludf.DUMMYFUNCTION("""COMPUTED_VALUE"""),2400)</f>
        <v>2400</v>
      </c>
      <c r="M1029" s="6" t="str">
        <f ca="1">IFERROR(__xludf.DUMMYFUNCTION("""COMPUTED_VALUE"""),"03 ORL")</f>
        <v>03 ORL</v>
      </c>
      <c r="N1029" s="6" t="str">
        <f ca="1">IFERROR(__xludf.DUMMYFUNCTION("""COMPUTED_VALUE"""),"06 ORL")</f>
        <v>06 ORL</v>
      </c>
      <c r="O1029" s="6" t="str">
        <f ca="1">IFERROR(__xludf.DUMMYFUNCTION("""COMPUTED_VALUE"""),"Dr, Jesús Miguel Iniesta Turpín")</f>
        <v>Dr, Jesús Miguel Iniesta Turpín</v>
      </c>
      <c r="P1029" s="6" t="str">
        <f ca="1">IFERROR(__xludf.DUMMYFUNCTION("""COMPUTED_VALUE"""),"Iván Sánchez (Levante Y Albacete)")</f>
        <v>Iván Sánchez (Levante Y Albacete)</v>
      </c>
    </row>
    <row r="1030" spans="2:16">
      <c r="B1030" s="6">
        <f ca="1">IFERROR(__xludf.DUMMYFUNCTION("""COMPUTED_VALUE"""),2025)</f>
        <v>2025</v>
      </c>
      <c r="C1030" s="6">
        <f ca="1">IFERROR(__xludf.DUMMYFUNCTION("""COMPUTED_VALUE"""),7)</f>
        <v>7</v>
      </c>
      <c r="D1030" s="6" t="str">
        <f ca="1">IFERROR(__xludf.DUMMYFUNCTION("""COMPUTED_VALUE"""),"NO")</f>
        <v>NO</v>
      </c>
      <c r="E1030" s="6" t="str">
        <f ca="1">IFERROR(__xludf.DUMMYFUNCTION("""COMPUTED_VALUE"""),"Orihuela")</f>
        <v>Orihuela</v>
      </c>
      <c r="F1030" s="16">
        <f ca="1">IFERROR(__xludf.DUMMYFUNCTION("""COMPUTED_VALUE"""),45869)</f>
        <v>45869</v>
      </c>
      <c r="G1030" s="16">
        <f ca="1">IFERROR(__xludf.DUMMYFUNCTION("""COMPUTED_VALUE"""),45840)</f>
        <v>45840</v>
      </c>
      <c r="H1030" s="6" t="str">
        <f ca="1">IFERROR(__xludf.DUMMYFUNCTION("""COMPUTED_VALUE"""),"La Zenia")</f>
        <v>La Zenia</v>
      </c>
      <c r="I1030" s="6" t="str">
        <f ca="1">IFERROR(__xludf.DUMMYFUNCTION("""COMPUTED_VALUE"""),"C20257219284198")</f>
        <v>C20257219284198</v>
      </c>
      <c r="J1030" s="6" t="str">
        <f ca="1">IFERROR(__xludf.DUMMYFUNCTION("""COMPUTED_VALUE"""),"PAUL TERENCE VICKERS")</f>
        <v>PAUL TERENCE VICKERS</v>
      </c>
      <c r="K1030" s="6">
        <f ca="1">IFERROR(__xludf.DUMMYFUNCTION("""COMPUTED_VALUE"""),1)</f>
        <v>1</v>
      </c>
      <c r="L1030" s="139">
        <f ca="1">IFERROR(__xludf.DUMMYFUNCTION("""COMPUTED_VALUE"""),2481.82)</f>
        <v>2481.8200000000002</v>
      </c>
      <c r="M1030" s="6" t="str">
        <f ca="1">IFERROR(__xludf.DUMMYFUNCTION("""COMPUTED_VALUE"""),"03 ORL")</f>
        <v>03 ORL</v>
      </c>
      <c r="N1030" s="6" t="str">
        <f ca="1">IFERROR(__xludf.DUMMYFUNCTION("""COMPUTED_VALUE"""),"06 ORL")</f>
        <v>06 ORL</v>
      </c>
      <c r="O1030" s="6" t="str">
        <f ca="1">IFERROR(__xludf.DUMMYFUNCTION("""COMPUTED_VALUE"""),"Dra, María Agustina Sevilla García")</f>
        <v>Dra, María Agustina Sevilla García</v>
      </c>
      <c r="P1030" s="6" t="str">
        <f ca="1">IFERROR(__xludf.DUMMYFUNCTION("""COMPUTED_VALUE"""),"Iván Sánchez (Levante Y Albacete)")</f>
        <v>Iván Sánchez (Levante Y Albacete)</v>
      </c>
    </row>
    <row r="1031" spans="2:16">
      <c r="B1031" s="6">
        <f ca="1">IFERROR(__xludf.DUMMYFUNCTION("""COMPUTED_VALUE"""),2025)</f>
        <v>2025</v>
      </c>
      <c r="C1031" s="6">
        <f ca="1">IFERROR(__xludf.DUMMYFUNCTION("""COMPUTED_VALUE"""),7)</f>
        <v>7</v>
      </c>
      <c r="D1031" s="6" t="str">
        <f ca="1">IFERROR(__xludf.DUMMYFUNCTION("""COMPUTED_VALUE"""),"NO")</f>
        <v>NO</v>
      </c>
      <c r="E1031" s="6" t="str">
        <f ca="1">IFERROR(__xludf.DUMMYFUNCTION("""COMPUTED_VALUE"""),"Ourense")</f>
        <v>Ourense</v>
      </c>
      <c r="F1031" s="16">
        <f ca="1">IFERROR(__xludf.DUMMYFUNCTION("""COMPUTED_VALUE"""),45868)</f>
        <v>45868</v>
      </c>
      <c r="G1031" s="16">
        <f ca="1">IFERROR(__xludf.DUMMYFUNCTION("""COMPUTED_VALUE"""),45824)</f>
        <v>45824</v>
      </c>
      <c r="H1031" s="6" t="str">
        <f ca="1">IFERROR(__xludf.DUMMYFUNCTION("""COMPUTED_VALUE"""),"Orense")</f>
        <v>Orense</v>
      </c>
      <c r="I1031" s="6" t="str">
        <f ca="1">IFERROR(__xludf.DUMMYFUNCTION("""COMPUTED_VALUE"""),"C2025618104417651")</f>
        <v>C2025618104417651</v>
      </c>
      <c r="J1031" s="6" t="str">
        <f ca="1">IFERROR(__xludf.DUMMYFUNCTION("""COMPUTED_VALUE"""),"JOSE ALVAREZ SALGADO")</f>
        <v>JOSE ALVAREZ SALGADO</v>
      </c>
      <c r="K1031" s="6">
        <f ca="1">IFERROR(__xludf.DUMMYFUNCTION("""COMPUTED_VALUE"""),2)</f>
        <v>2</v>
      </c>
      <c r="L1031" s="139">
        <f ca="1">IFERROR(__xludf.DUMMYFUNCTION("""COMPUTED_VALUE"""),3272.73)</f>
        <v>3272.73</v>
      </c>
      <c r="M1031" s="6" t="str">
        <f ca="1">IFERROR(__xludf.DUMMYFUNCTION("""COMPUTED_VALUE"""),"03 ORL")</f>
        <v>03 ORL</v>
      </c>
      <c r="N1031" s="6" t="str">
        <f ca="1">IFERROR(__xludf.DUMMYFUNCTION("""COMPUTED_VALUE"""),"06 ORL")</f>
        <v>06 ORL</v>
      </c>
      <c r="O1031" s="6" t="str">
        <f ca="1">IFERROR(__xludf.DUMMYFUNCTION("""COMPUTED_VALUE"""),"Dra, Blanca Marly de Alós")</f>
        <v>Dra, Blanca Marly de Alós</v>
      </c>
      <c r="P1031" s="6" t="str">
        <f ca="1">IFERROR(__xludf.DUMMYFUNCTION("""COMPUTED_VALUE"""),"Roberto Pereira (Galicia)")</f>
        <v>Roberto Pereira (Galicia)</v>
      </c>
    </row>
    <row r="1032" spans="2:16">
      <c r="B1032" s="6">
        <f ca="1">IFERROR(__xludf.DUMMYFUNCTION("""COMPUTED_VALUE"""),2025)</f>
        <v>2025</v>
      </c>
      <c r="C1032" s="6">
        <f ca="1">IFERROR(__xludf.DUMMYFUNCTION("""COMPUTED_VALUE"""),7)</f>
        <v>7</v>
      </c>
      <c r="D1032" s="6" t="str">
        <f ca="1">IFERROR(__xludf.DUMMYFUNCTION("""COMPUTED_VALUE"""),"NO")</f>
        <v>NO</v>
      </c>
      <c r="E1032" s="6" t="str">
        <f ca="1">IFERROR(__xludf.DUMMYFUNCTION("""COMPUTED_VALUE"""),"San Javier")</f>
        <v>San Javier</v>
      </c>
      <c r="F1032" s="16">
        <f ca="1">IFERROR(__xludf.DUMMYFUNCTION("""COMPUTED_VALUE"""),45868)</f>
        <v>45868</v>
      </c>
      <c r="G1032" s="16">
        <f ca="1">IFERROR(__xludf.DUMMYFUNCTION("""COMPUTED_VALUE"""),45832)</f>
        <v>45832</v>
      </c>
      <c r="H1032" s="6" t="str">
        <f ca="1">IFERROR(__xludf.DUMMYFUNCTION("""COMPUTED_VALUE"""),"San Javier")</f>
        <v>San Javier</v>
      </c>
      <c r="I1032" s="6" t="str">
        <f ca="1">IFERROR(__xludf.DUMMYFUNCTION("""COMPUTED_VALUE"""),"C2025711204388")</f>
        <v>C2025711204388</v>
      </c>
      <c r="J1032" s="6" t="str">
        <f ca="1">IFERROR(__xludf.DUMMYFUNCTION("""COMPUTED_VALUE"""),"CHRISTINE CLARK")</f>
        <v>CHRISTINE CLARK</v>
      </c>
      <c r="K1032" s="6">
        <f ca="1">IFERROR(__xludf.DUMMYFUNCTION("""COMPUTED_VALUE"""),2)</f>
        <v>2</v>
      </c>
      <c r="L1032" s="139">
        <f ca="1">IFERROR(__xludf.DUMMYFUNCTION("""COMPUTED_VALUE"""),3730)</f>
        <v>3730</v>
      </c>
      <c r="M1032" s="6" t="str">
        <f ca="1">IFERROR(__xludf.DUMMYFUNCTION("""COMPUTED_VALUE"""),"03 ORL")</f>
        <v>03 ORL</v>
      </c>
      <c r="N1032" s="6" t="str">
        <f ca="1">IFERROR(__xludf.DUMMYFUNCTION("""COMPUTED_VALUE"""),"06 ORL")</f>
        <v>06 ORL</v>
      </c>
      <c r="O1032" s="6" t="str">
        <f ca="1">IFERROR(__xludf.DUMMYFUNCTION("""COMPUTED_VALUE"""),"Dr, Alberto Raposo Jiménez")</f>
        <v>Dr, Alberto Raposo Jiménez</v>
      </c>
      <c r="P1032" s="6" t="str">
        <f ca="1">IFERROR(__xludf.DUMMYFUNCTION("""COMPUTED_VALUE"""),"Iván Sánchez (Levante Y Albacete)")</f>
        <v>Iván Sánchez (Levante Y Albacete)</v>
      </c>
    </row>
    <row r="1033" spans="2:16">
      <c r="B1033" s="6">
        <f ca="1">IFERROR(__xludf.DUMMYFUNCTION("""COMPUTED_VALUE"""),2025)</f>
        <v>2025</v>
      </c>
      <c r="C1033" s="6">
        <f ca="1">IFERROR(__xludf.DUMMYFUNCTION("""COMPUTED_VALUE"""),7)</f>
        <v>7</v>
      </c>
      <c r="D1033" s="6" t="str">
        <f ca="1">IFERROR(__xludf.DUMMYFUNCTION("""COMPUTED_VALUE"""),"NO")</f>
        <v>NO</v>
      </c>
      <c r="E1033" s="6" t="str">
        <f ca="1">IFERROR(__xludf.DUMMYFUNCTION("""COMPUTED_VALUE"""),"Santiago de Compostela")</f>
        <v>Santiago de Compostela</v>
      </c>
      <c r="F1033" s="16">
        <f ca="1">IFERROR(__xludf.DUMMYFUNCTION("""COMPUTED_VALUE"""),45867)</f>
        <v>45867</v>
      </c>
      <c r="G1033" s="16">
        <f ca="1">IFERROR(__xludf.DUMMYFUNCTION("""COMPUTED_VALUE"""),45847)</f>
        <v>45847</v>
      </c>
      <c r="H1033" s="6" t="str">
        <f ca="1">IFERROR(__xludf.DUMMYFUNCTION("""COMPUTED_VALUE"""),"Santiago")</f>
        <v>Santiago</v>
      </c>
      <c r="I1033" s="6" t="str">
        <f ca="1">IFERROR(__xludf.DUMMYFUNCTION("""COMPUTED_VALUE"""),"C2025710174318408")</f>
        <v>C2025710174318408</v>
      </c>
      <c r="J1033" s="6" t="str">
        <f ca="1">IFERROR(__xludf.DUMMYFUNCTION("""COMPUTED_VALUE"""),"LAURA GÓMEZ ROO")</f>
        <v>LAURA GÓMEZ ROO</v>
      </c>
      <c r="K1033" s="6">
        <f ca="1">IFERROR(__xludf.DUMMYFUNCTION("""COMPUTED_VALUE"""),2)</f>
        <v>2</v>
      </c>
      <c r="L1033" s="139">
        <f ca="1">IFERROR(__xludf.DUMMYFUNCTION("""COMPUTED_VALUE"""),2718.18)</f>
        <v>2718.18</v>
      </c>
      <c r="M1033" s="6" t="str">
        <f ca="1">IFERROR(__xludf.DUMMYFUNCTION("""COMPUTED_VALUE"""),"03 ORL")</f>
        <v>03 ORL</v>
      </c>
      <c r="N1033" s="6" t="str">
        <f ca="1">IFERROR(__xludf.DUMMYFUNCTION("""COMPUTED_VALUE"""),"06 ORL")</f>
        <v>06 ORL</v>
      </c>
      <c r="O1033" s="6" t="str">
        <f ca="1">IFERROR(__xludf.DUMMYFUNCTION("""COMPUTED_VALUE"""),"Dra, Isabel Vaamonde Sanchez Andrade")</f>
        <v>Dra, Isabel Vaamonde Sanchez Andrade</v>
      </c>
      <c r="P1033" s="6" t="str">
        <f ca="1">IFERROR(__xludf.DUMMYFUNCTION("""COMPUTED_VALUE"""),"Roberto Pereira (Galicia)")</f>
        <v>Roberto Pereira (Galicia)</v>
      </c>
    </row>
    <row r="1034" spans="2:16">
      <c r="B1034" s="6">
        <f ca="1">IFERROR(__xludf.DUMMYFUNCTION("""COMPUTED_VALUE"""),2025)</f>
        <v>2025</v>
      </c>
      <c r="C1034" s="6">
        <f ca="1">IFERROR(__xludf.DUMMYFUNCTION("""COMPUTED_VALUE"""),7)</f>
        <v>7</v>
      </c>
      <c r="D1034" s="6" t="str">
        <f ca="1">IFERROR(__xludf.DUMMYFUNCTION("""COMPUTED_VALUE"""),"NO")</f>
        <v>NO</v>
      </c>
      <c r="E1034" s="6" t="str">
        <f ca="1">IFERROR(__xludf.DUMMYFUNCTION("""COMPUTED_VALUE"""),"Sevilla- Montoto")</f>
        <v>Sevilla- Montoto</v>
      </c>
      <c r="F1034" s="16">
        <f ca="1">IFERROR(__xludf.DUMMYFUNCTION("""COMPUTED_VALUE"""),45869)</f>
        <v>45869</v>
      </c>
      <c r="G1034" s="16">
        <f ca="1">IFERROR(__xludf.DUMMYFUNCTION("""COMPUTED_VALUE"""),45812)</f>
        <v>45812</v>
      </c>
      <c r="H1034" s="6" t="str">
        <f ca="1">IFERROR(__xludf.DUMMYFUNCTION("""COMPUTED_VALUE"""),"Montoto")</f>
        <v>Montoto</v>
      </c>
      <c r="I1034" s="6" t="str">
        <f ca="1">IFERROR(__xludf.DUMMYFUNCTION("""COMPUTED_VALUE"""),"C2025610114053735")</f>
        <v>C2025610114053735</v>
      </c>
      <c r="J1034" s="6" t="str">
        <f ca="1">IFERROR(__xludf.DUMMYFUNCTION("""COMPUTED_VALUE"""),"ALEJANDRO MONTES BELLIDO")</f>
        <v>ALEJANDRO MONTES BELLIDO</v>
      </c>
      <c r="K1034" s="6">
        <f ca="1">IFERROR(__xludf.DUMMYFUNCTION("""COMPUTED_VALUE"""),1)</f>
        <v>1</v>
      </c>
      <c r="L1034" s="139">
        <f ca="1">IFERROR(__xludf.DUMMYFUNCTION("""COMPUTED_VALUE"""),2180.91)</f>
        <v>2180.91</v>
      </c>
      <c r="M1034" s="6" t="str">
        <f ca="1">IFERROR(__xludf.DUMMYFUNCTION("""COMPUTED_VALUE"""),"03 ORL")</f>
        <v>03 ORL</v>
      </c>
      <c r="N1034" s="6" t="str">
        <f ca="1">IFERROR(__xludf.DUMMYFUNCTION("""COMPUTED_VALUE"""),"06 ORL")</f>
        <v>06 ORL</v>
      </c>
      <c r="O1034" s="6" t="str">
        <f ca="1">IFERROR(__xludf.DUMMYFUNCTION("""COMPUTED_VALUE"""),"Dr, Francisco López Navas")</f>
        <v>Dr, Francisco López Navas</v>
      </c>
      <c r="P1034" s="6" t="str">
        <f ca="1">IFERROR(__xludf.DUMMYFUNCTION("""COMPUTED_VALUE"""),"Luis Alberto Rodríguez (Andalucía y Badajoz)")</f>
        <v>Luis Alberto Rodríguez (Andalucía y Badajoz)</v>
      </c>
    </row>
    <row r="1035" spans="2:16">
      <c r="B1035" s="6">
        <f ca="1">IFERROR(__xludf.DUMMYFUNCTION("""COMPUTED_VALUE"""),2025)</f>
        <v>2025</v>
      </c>
      <c r="C1035" s="6">
        <f ca="1">IFERROR(__xludf.DUMMYFUNCTION("""COMPUTED_VALUE"""),7)</f>
        <v>7</v>
      </c>
      <c r="D1035" s="6" t="str">
        <f ca="1">IFERROR(__xludf.DUMMYFUNCTION("""COMPUTED_VALUE"""),"NO")</f>
        <v>NO</v>
      </c>
      <c r="E1035" s="6" t="str">
        <f ca="1">IFERROR(__xludf.DUMMYFUNCTION("""COMPUTED_VALUE"""),"Valencia- Cádiz")</f>
        <v>Valencia- Cádiz</v>
      </c>
      <c r="F1035" s="16">
        <f ca="1">IFERROR(__xludf.DUMMYFUNCTION("""COMPUTED_VALUE"""),45866)</f>
        <v>45866</v>
      </c>
      <c r="G1035" s="16">
        <f ca="1">IFERROR(__xludf.DUMMYFUNCTION("""COMPUTED_VALUE"""),45789)</f>
        <v>45789</v>
      </c>
      <c r="H1035" s="6" t="str">
        <f ca="1">IFERROR(__xludf.DUMMYFUNCTION("""COMPUTED_VALUE"""),"Valencia- Cádiz")</f>
        <v>Valencia- Cádiz</v>
      </c>
      <c r="I1035" s="6" t="str">
        <f ca="1">IFERROR(__xludf.DUMMYFUNCTION("""COMPUTED_VALUE"""),"C202551612054133")</f>
        <v>C202551612054133</v>
      </c>
      <c r="J1035" s="6" t="str">
        <f ca="1">IFERROR(__xludf.DUMMYFUNCTION("""COMPUTED_VALUE"""),"JUAN JOSE CAIRE")</f>
        <v>JUAN JOSE CAIRE</v>
      </c>
      <c r="K1035" s="6">
        <f ca="1">IFERROR(__xludf.DUMMYFUNCTION("""COMPUTED_VALUE"""),2)</f>
        <v>2</v>
      </c>
      <c r="L1035" s="139">
        <f ca="1">IFERROR(__xludf.DUMMYFUNCTION("""COMPUTED_VALUE"""),4545.45)</f>
        <v>4545.45</v>
      </c>
      <c r="M1035" s="6" t="str">
        <f ca="1">IFERROR(__xludf.DUMMYFUNCTION("""COMPUTED_VALUE"""),"03 ORL")</f>
        <v>03 ORL</v>
      </c>
      <c r="N1035" s="6" t="str">
        <f ca="1">IFERROR(__xludf.DUMMYFUNCTION("""COMPUTED_VALUE"""),"06 ORL")</f>
        <v>06 ORL</v>
      </c>
      <c r="O1035" s="6" t="str">
        <f ca="1">IFERROR(__xludf.DUMMYFUNCTION("""COMPUTED_VALUE"""),"Dr, Ángel Ángel de Miguel")</f>
        <v>Dr, Ángel Ángel de Miguel</v>
      </c>
      <c r="P1035" s="6" t="str">
        <f ca="1">IFERROR(__xludf.DUMMYFUNCTION("""COMPUTED_VALUE"""),"Ramon Ferrando(Valencia)")</f>
        <v>Ramon Ferrando(Valencia)</v>
      </c>
    </row>
    <row r="1036" spans="2:16">
      <c r="B1036" s="6">
        <f ca="1">IFERROR(__xludf.DUMMYFUNCTION("""COMPUTED_VALUE"""),2025)</f>
        <v>2025</v>
      </c>
      <c r="C1036" s="6">
        <f ca="1">IFERROR(__xludf.DUMMYFUNCTION("""COMPUTED_VALUE"""),7)</f>
        <v>7</v>
      </c>
      <c r="D1036" s="6" t="str">
        <f ca="1">IFERROR(__xludf.DUMMYFUNCTION("""COMPUTED_VALUE"""),"NO")</f>
        <v>NO</v>
      </c>
      <c r="E1036" s="6" t="str">
        <f ca="1">IFERROR(__xludf.DUMMYFUNCTION("""COMPUTED_VALUE"""),"Valencia- Cádiz")</f>
        <v>Valencia- Cádiz</v>
      </c>
      <c r="F1036" s="16">
        <f ca="1">IFERROR(__xludf.DUMMYFUNCTION("""COMPUTED_VALUE"""),45866)</f>
        <v>45866</v>
      </c>
      <c r="G1036" s="16">
        <f ca="1">IFERROR(__xludf.DUMMYFUNCTION("""COMPUTED_VALUE"""),45827)</f>
        <v>45827</v>
      </c>
      <c r="H1036" s="6" t="str">
        <f ca="1">IFERROR(__xludf.DUMMYFUNCTION("""COMPUTED_VALUE"""),"Valencia- Cádiz")</f>
        <v>Valencia- Cádiz</v>
      </c>
      <c r="I1036" s="6" t="str">
        <f ca="1">IFERROR(__xludf.DUMMYFUNCTION("""COMPUTED_VALUE"""),"C202565174717215")</f>
        <v>C202565174717215</v>
      </c>
      <c r="J1036" s="6" t="str">
        <f ca="1">IFERROR(__xludf.DUMMYFUNCTION("""COMPUTED_VALUE"""),"DELIA GARCIA MARTINEZ")</f>
        <v>DELIA GARCIA MARTINEZ</v>
      </c>
      <c r="K1036" s="6">
        <f ca="1">IFERROR(__xludf.DUMMYFUNCTION("""COMPUTED_VALUE"""),2)</f>
        <v>2</v>
      </c>
      <c r="L1036" s="139">
        <f ca="1">IFERROR(__xludf.DUMMYFUNCTION("""COMPUTED_VALUE"""),3800)</f>
        <v>3800</v>
      </c>
      <c r="M1036" s="6" t="str">
        <f ca="1">IFERROR(__xludf.DUMMYFUNCTION("""COMPUTED_VALUE"""),"03 ORL")</f>
        <v>03 ORL</v>
      </c>
      <c r="N1036" s="6" t="str">
        <f ca="1">IFERROR(__xludf.DUMMYFUNCTION("""COMPUTED_VALUE"""),"06 ORL")</f>
        <v>06 ORL</v>
      </c>
      <c r="O1036" s="6" t="str">
        <f ca="1">IFERROR(__xludf.DUMMYFUNCTION("""COMPUTED_VALUE"""),"Dr, Martín Eduardo Marcano Acuña")</f>
        <v>Dr, Martín Eduardo Marcano Acuña</v>
      </c>
      <c r="P1036" s="6" t="str">
        <f ca="1">IFERROR(__xludf.DUMMYFUNCTION("""COMPUTED_VALUE"""),"Ramon Ferrando(Valencia)")</f>
        <v>Ramon Ferrando(Valencia)</v>
      </c>
    </row>
    <row r="1037" spans="2:16">
      <c r="B1037" s="6">
        <f ca="1">IFERROR(__xludf.DUMMYFUNCTION("""COMPUTED_VALUE"""),2025)</f>
        <v>2025</v>
      </c>
      <c r="C1037" s="6">
        <f ca="1">IFERROR(__xludf.DUMMYFUNCTION("""COMPUTED_VALUE"""),7)</f>
        <v>7</v>
      </c>
      <c r="D1037" s="6" t="str">
        <f ca="1">IFERROR(__xludf.DUMMYFUNCTION("""COMPUTED_VALUE"""),"NO")</f>
        <v>NO</v>
      </c>
      <c r="E1037" s="6" t="str">
        <f ca="1">IFERROR(__xludf.DUMMYFUNCTION("""COMPUTED_VALUE"""),"Valencia- Cádiz")</f>
        <v>Valencia- Cádiz</v>
      </c>
      <c r="F1037" s="16">
        <f ca="1">IFERROR(__xludf.DUMMYFUNCTION("""COMPUTED_VALUE"""),45866)</f>
        <v>45866</v>
      </c>
      <c r="G1037" s="16">
        <f ca="1">IFERROR(__xludf.DUMMYFUNCTION("""COMPUTED_VALUE"""),45789)</f>
        <v>45789</v>
      </c>
      <c r="H1037" s="6" t="str">
        <f ca="1">IFERROR(__xludf.DUMMYFUNCTION("""COMPUTED_VALUE"""),"Valencia- Cádiz")</f>
        <v>Valencia- Cádiz</v>
      </c>
      <c r="I1037" s="6" t="str">
        <f ca="1">IFERROR(__xludf.DUMMYFUNCTION("""COMPUTED_VALUE"""),"C2025516115425615")</f>
        <v>C2025516115425615</v>
      </c>
      <c r="J1037" s="6" t="str">
        <f ca="1">IFERROR(__xludf.DUMMYFUNCTION("""COMPUTED_VALUE"""),"GLORIA ZULPA")</f>
        <v>GLORIA ZULPA</v>
      </c>
      <c r="K1037" s="6">
        <f ca="1">IFERROR(__xludf.DUMMYFUNCTION("""COMPUTED_VALUE"""),2)</f>
        <v>2</v>
      </c>
      <c r="L1037" s="139">
        <f ca="1">IFERROR(__xludf.DUMMYFUNCTION("""COMPUTED_VALUE"""),4545.45)</f>
        <v>4545.45</v>
      </c>
      <c r="M1037" s="6" t="str">
        <f ca="1">IFERROR(__xludf.DUMMYFUNCTION("""COMPUTED_VALUE"""),"03 ORL")</f>
        <v>03 ORL</v>
      </c>
      <c r="N1037" s="6" t="str">
        <f ca="1">IFERROR(__xludf.DUMMYFUNCTION("""COMPUTED_VALUE"""),"06 ORL")</f>
        <v>06 ORL</v>
      </c>
      <c r="O1037" s="6" t="str">
        <f ca="1">IFERROR(__xludf.DUMMYFUNCTION("""COMPUTED_VALUE"""),"Dr, Ignacio Llopez Carratalá")</f>
        <v>Dr, Ignacio Llopez Carratalá</v>
      </c>
      <c r="P1037" s="6" t="str">
        <f ca="1">IFERROR(__xludf.DUMMYFUNCTION("""COMPUTED_VALUE"""),"Ramon Ferrando(Valencia)")</f>
        <v>Ramon Ferrando(Valencia)</v>
      </c>
    </row>
    <row r="1038" spans="2:16">
      <c r="B1038" s="6">
        <f ca="1">IFERROR(__xludf.DUMMYFUNCTION("""COMPUTED_VALUE"""),2025)</f>
        <v>2025</v>
      </c>
      <c r="C1038" s="6">
        <f ca="1">IFERROR(__xludf.DUMMYFUNCTION("""COMPUTED_VALUE"""),7)</f>
        <v>7</v>
      </c>
      <c r="D1038" s="6" t="str">
        <f ca="1">IFERROR(__xludf.DUMMYFUNCTION("""COMPUTED_VALUE"""),"NO")</f>
        <v>NO</v>
      </c>
      <c r="E1038" s="6" t="str">
        <f ca="1">IFERROR(__xludf.DUMMYFUNCTION("""COMPUTED_VALUE"""),"Valencia- Cádiz")</f>
        <v>Valencia- Cádiz</v>
      </c>
      <c r="F1038" s="16">
        <f ca="1">IFERROR(__xludf.DUMMYFUNCTION("""COMPUTED_VALUE"""),45866)</f>
        <v>45866</v>
      </c>
      <c r="G1038" s="16">
        <f ca="1">IFERROR(__xludf.DUMMYFUNCTION("""COMPUTED_VALUE"""),45826)</f>
        <v>45826</v>
      </c>
      <c r="H1038" s="6" t="str">
        <f ca="1">IFERROR(__xludf.DUMMYFUNCTION("""COMPUTED_VALUE"""),"Valencia- Cádiz")</f>
        <v>Valencia- Cádiz</v>
      </c>
      <c r="I1038" s="6" t="str">
        <f ca="1">IFERROR(__xludf.DUMMYFUNCTION("""COMPUTED_VALUE"""),"C20256301214587")</f>
        <v>C20256301214587</v>
      </c>
      <c r="J1038" s="6" t="str">
        <f ca="1">IFERROR(__xludf.DUMMYFUNCTION("""COMPUTED_VALUE"""),"JENNY MORALES PEREZ")</f>
        <v>JENNY MORALES PEREZ</v>
      </c>
      <c r="K1038" s="6">
        <f ca="1">IFERROR(__xludf.DUMMYFUNCTION("""COMPUTED_VALUE"""),1)</f>
        <v>1</v>
      </c>
      <c r="L1038" s="139">
        <f ca="1">IFERROR(__xludf.DUMMYFUNCTION("""COMPUTED_VALUE"""),2226.36)</f>
        <v>2226.36</v>
      </c>
      <c r="M1038" s="6" t="str">
        <f ca="1">IFERROR(__xludf.DUMMYFUNCTION("""COMPUTED_VALUE"""),"03 ORL")</f>
        <v>03 ORL</v>
      </c>
      <c r="N1038" s="6" t="str">
        <f ca="1">IFERROR(__xludf.DUMMYFUNCTION("""COMPUTED_VALUE"""),"06 ORL")</f>
        <v>06 ORL</v>
      </c>
      <c r="O1038" s="6" t="str">
        <f ca="1">IFERROR(__xludf.DUMMYFUNCTION("""COMPUTED_VALUE"""),"Dr, Carlos de Paula Vernetta")</f>
        <v>Dr, Carlos de Paula Vernetta</v>
      </c>
      <c r="P1038" s="6" t="str">
        <f ca="1">IFERROR(__xludf.DUMMYFUNCTION("""COMPUTED_VALUE"""),"Ramon Ferrando(Valencia)")</f>
        <v>Ramon Ferrando(Valencia)</v>
      </c>
    </row>
    <row r="1039" spans="2:16">
      <c r="B1039" s="6">
        <f ca="1">IFERROR(__xludf.DUMMYFUNCTION("""COMPUTED_VALUE"""),2025)</f>
        <v>2025</v>
      </c>
      <c r="C1039" s="6">
        <f ca="1">IFERROR(__xludf.DUMMYFUNCTION("""COMPUTED_VALUE"""),7)</f>
        <v>7</v>
      </c>
      <c r="D1039" s="6" t="str">
        <f ca="1">IFERROR(__xludf.DUMMYFUNCTION("""COMPUTED_VALUE"""),"NO")</f>
        <v>NO</v>
      </c>
      <c r="E1039" s="6" t="str">
        <f ca="1">IFERROR(__xludf.DUMMYFUNCTION("""COMPUTED_VALUE"""),"Valencia- Cádiz")</f>
        <v>Valencia- Cádiz</v>
      </c>
      <c r="F1039" s="16">
        <f ca="1">IFERROR(__xludf.DUMMYFUNCTION("""COMPUTED_VALUE"""),45868)</f>
        <v>45868</v>
      </c>
      <c r="G1039" s="16">
        <f ca="1">IFERROR(__xludf.DUMMYFUNCTION("""COMPUTED_VALUE"""),45812)</f>
        <v>45812</v>
      </c>
      <c r="H1039" s="6" t="str">
        <f ca="1">IFERROR(__xludf.DUMMYFUNCTION("""COMPUTED_VALUE"""),"Valencia- Cádiz")</f>
        <v>Valencia- Cádiz</v>
      </c>
      <c r="I1039" s="6" t="str">
        <f ca="1">IFERROR(__xludf.DUMMYFUNCTION("""COMPUTED_VALUE"""),"C2025613123911482")</f>
        <v>C2025613123911482</v>
      </c>
      <c r="J1039" s="6" t="str">
        <f ca="1">IFERROR(__xludf.DUMMYFUNCTION("""COMPUTED_VALUE"""),"JUAN CARLOS PEÑALVER LLORENS")</f>
        <v>JUAN CARLOS PEÑALVER LLORENS</v>
      </c>
      <c r="K1039" s="6">
        <f ca="1">IFERROR(__xludf.DUMMYFUNCTION("""COMPUTED_VALUE"""),1)</f>
        <v>1</v>
      </c>
      <c r="L1039" s="139">
        <f ca="1">IFERROR(__xludf.DUMMYFUNCTION("""COMPUTED_VALUE"""),2481.82)</f>
        <v>2481.8200000000002</v>
      </c>
      <c r="M1039" s="6" t="str">
        <f ca="1">IFERROR(__xludf.DUMMYFUNCTION("""COMPUTED_VALUE"""),"01 MARKETING ON LINE")</f>
        <v>01 MARKETING ON LINE</v>
      </c>
      <c r="N1039" s="6" t="str">
        <f ca="1">IFERROR(__xludf.DUMMYFUNCTION("""COMPUTED_VALUE"""),"04 AUDIFONO,ES")</f>
        <v>04 AUDIFONO,ES</v>
      </c>
      <c r="O1039" s="6" t="str">
        <f ca="1">IFERROR(__xludf.DUMMYFUNCTION("""COMPUTED_VALUE"""),"Dr, Raimon García Chillerón")</f>
        <v>Dr, Raimon García Chillerón</v>
      </c>
      <c r="P1039" s="6" t="str">
        <f ca="1">IFERROR(__xludf.DUMMYFUNCTION("""COMPUTED_VALUE"""),"Ramon Ferrando(Valencia)")</f>
        <v>Ramon Ferrando(Valencia)</v>
      </c>
    </row>
    <row r="1040" spans="2:16">
      <c r="B1040" s="6">
        <f ca="1">IFERROR(__xludf.DUMMYFUNCTION("""COMPUTED_VALUE"""),2025)</f>
        <v>2025</v>
      </c>
      <c r="C1040" s="6">
        <f ca="1">IFERROR(__xludf.DUMMYFUNCTION("""COMPUTED_VALUE"""),7)</f>
        <v>7</v>
      </c>
      <c r="D1040" s="6" t="str">
        <f ca="1">IFERROR(__xludf.DUMMYFUNCTION("""COMPUTED_VALUE"""),"NO")</f>
        <v>NO</v>
      </c>
      <c r="E1040" s="6" t="str">
        <f ca="1">IFERROR(__xludf.DUMMYFUNCTION("""COMPUTED_VALUE"""),"Valencia- Parra")</f>
        <v>Valencia- Parra</v>
      </c>
      <c r="F1040" s="16">
        <f ca="1">IFERROR(__xludf.DUMMYFUNCTION("""COMPUTED_VALUE"""),45869)</f>
        <v>45869</v>
      </c>
      <c r="G1040" s="16">
        <f ca="1">IFERROR(__xludf.DUMMYFUNCTION("""COMPUTED_VALUE"""),45826)</f>
        <v>45826</v>
      </c>
      <c r="H1040" s="6" t="str">
        <f ca="1">IFERROR(__xludf.DUMMYFUNCTION("""COMPUTED_VALUE"""),"Valencia- Parra")</f>
        <v>Valencia- Parra</v>
      </c>
      <c r="I1040" s="6" t="str">
        <f ca="1">IFERROR(__xludf.DUMMYFUNCTION("""COMPUTED_VALUE"""),"C2025627163913242")</f>
        <v>C2025627163913242</v>
      </c>
      <c r="J1040" s="6" t="str">
        <f ca="1">IFERROR(__xludf.DUMMYFUNCTION("""COMPUTED_VALUE"""),"AMPARO GRANCHA MONTOLIO")</f>
        <v>AMPARO GRANCHA MONTOLIO</v>
      </c>
      <c r="K1040" s="6">
        <f ca="1">IFERROR(__xludf.DUMMYFUNCTION("""COMPUTED_VALUE"""),2)</f>
        <v>2</v>
      </c>
      <c r="L1040" s="139">
        <f ca="1">IFERROR(__xludf.DUMMYFUNCTION("""COMPUTED_VALUE"""),4136.36)</f>
        <v>4136.3599999999997</v>
      </c>
      <c r="M1040" s="6" t="str">
        <f ca="1">IFERROR(__xludf.DUMMYFUNCTION("""COMPUTED_VALUE"""),"03 ORL")</f>
        <v>03 ORL</v>
      </c>
      <c r="N1040" s="6" t="str">
        <f ca="1">IFERROR(__xludf.DUMMYFUNCTION("""COMPUTED_VALUE"""),"06 ORL")</f>
        <v>06 ORL</v>
      </c>
      <c r="O1040" s="6" t="str">
        <f ca="1">IFERROR(__xludf.DUMMYFUNCTION("""COMPUTED_VALUE"""),"Dra, Vanesa Pérez Guillén")</f>
        <v>Dra, Vanesa Pérez Guillén</v>
      </c>
      <c r="P1040" s="6" t="str">
        <f ca="1">IFERROR(__xludf.DUMMYFUNCTION("""COMPUTED_VALUE"""),"Ramon Ferrando(Valencia)")</f>
        <v>Ramon Ferrando(Valencia)</v>
      </c>
    </row>
    <row r="1041" spans="2:16">
      <c r="B1041" s="6">
        <f ca="1">IFERROR(__xludf.DUMMYFUNCTION("""COMPUTED_VALUE"""),2025)</f>
        <v>2025</v>
      </c>
      <c r="C1041" s="6">
        <f ca="1">IFERROR(__xludf.DUMMYFUNCTION("""COMPUTED_VALUE"""),7)</f>
        <v>7</v>
      </c>
      <c r="D1041" s="6" t="str">
        <f ca="1">IFERROR(__xludf.DUMMYFUNCTION("""COMPUTED_VALUE"""),"NO")</f>
        <v>NO</v>
      </c>
      <c r="E1041" s="6" t="str">
        <f ca="1">IFERROR(__xludf.DUMMYFUNCTION("""COMPUTED_VALUE"""),"Cáceres")</f>
        <v>Cáceres</v>
      </c>
      <c r="F1041" s="16">
        <f ca="1">IFERROR(__xludf.DUMMYFUNCTION("""COMPUTED_VALUE"""),45866)</f>
        <v>45866</v>
      </c>
      <c r="G1041" s="16">
        <f ca="1">IFERROR(__xludf.DUMMYFUNCTION("""COMPUTED_VALUE"""),45835)</f>
        <v>45835</v>
      </c>
      <c r="H1041" s="6" t="str">
        <f ca="1">IFERROR(__xludf.DUMMYFUNCTION("""COMPUTED_VALUE"""),"Cáceres")</f>
        <v>Cáceres</v>
      </c>
      <c r="I1041" s="6" t="str">
        <f ca="1">IFERROR(__xludf.DUMMYFUNCTION("""COMPUTED_VALUE"""),"CAC-334")</f>
        <v>CAC-334</v>
      </c>
      <c r="J1041" s="6" t="str">
        <f ca="1">IFERROR(__xludf.DUMMYFUNCTION("""COMPUTED_VALUE"""),"GABRIELA LEO CHAVES")</f>
        <v>GABRIELA LEO CHAVES</v>
      </c>
      <c r="K1041" s="6">
        <f ca="1">IFERROR(__xludf.DUMMYFUNCTION("""COMPUTED_VALUE"""),2)</f>
        <v>2</v>
      </c>
      <c r="L1041" s="139">
        <f ca="1">IFERROR(__xludf.DUMMYFUNCTION("""COMPUTED_VALUE"""),3474.54)</f>
        <v>3474.54</v>
      </c>
      <c r="M1041" s="6" t="str">
        <f ca="1">IFERROR(__xludf.DUMMYFUNCTION("""COMPUTED_VALUE"""),"03 ORL")</f>
        <v>03 ORL</v>
      </c>
      <c r="N1041" s="6" t="str">
        <f ca="1">IFERROR(__xludf.DUMMYFUNCTION("""COMPUTED_VALUE"""),"06 ORL")</f>
        <v>06 ORL</v>
      </c>
      <c r="O1041" s="6" t="str">
        <f ca="1">IFERROR(__xludf.DUMMYFUNCTION("""COMPUTED_VALUE"""),"Dr, Javier García Gómez")</f>
        <v>Dr, Javier García Gómez</v>
      </c>
      <c r="P1041" s="6" t="str">
        <f ca="1">IFERROR(__xludf.DUMMYFUNCTION("""COMPUTED_VALUE"""),"Lisandro Russian (Madrid, Cáceres, Toledo, Talavera Y Logroño)")</f>
        <v>Lisandro Russian (Madrid, Cáceres, Toledo, Talavera Y Logroño)</v>
      </c>
    </row>
    <row r="1042" spans="2:16">
      <c r="B1042" s="6">
        <f ca="1">IFERROR(__xludf.DUMMYFUNCTION("""COMPUTED_VALUE"""),2025)</f>
        <v>2025</v>
      </c>
      <c r="C1042" s="6">
        <f ca="1">IFERROR(__xludf.DUMMYFUNCTION("""COMPUTED_VALUE"""),7)</f>
        <v>7</v>
      </c>
      <c r="D1042" s="6" t="str">
        <f ca="1">IFERROR(__xludf.DUMMYFUNCTION("""COMPUTED_VALUE"""),"NO")</f>
        <v>NO</v>
      </c>
      <c r="E1042" s="6" t="str">
        <f ca="1">IFERROR(__xludf.DUMMYFUNCTION("""COMPUTED_VALUE"""),"Salamanca")</f>
        <v>Salamanca</v>
      </c>
      <c r="F1042" s="16">
        <f ca="1">IFERROR(__xludf.DUMMYFUNCTION("""COMPUTED_VALUE"""),45866)</f>
        <v>45866</v>
      </c>
      <c r="G1042" s="16">
        <f ca="1">IFERROR(__xludf.DUMMYFUNCTION("""COMPUTED_VALUE"""),45812)</f>
        <v>45812</v>
      </c>
      <c r="H1042" s="6" t="str">
        <f ca="1">IFERROR(__xludf.DUMMYFUNCTION("""COMPUTED_VALUE"""),"Salamanca")</f>
        <v>Salamanca</v>
      </c>
      <c r="I1042" s="6" t="str">
        <f ca="1">IFERROR(__xludf.DUMMYFUNCTION("""COMPUTED_VALUE"""),"SLM-561")</f>
        <v>SLM-561</v>
      </c>
      <c r="J1042" s="6" t="str">
        <f ca="1">IFERROR(__xludf.DUMMYFUNCTION("""COMPUTED_VALUE"""),"ENRIQUE JESUS PEREZ ROMO")</f>
        <v>ENRIQUE JESUS PEREZ ROMO</v>
      </c>
      <c r="K1042" s="6">
        <f ca="1">IFERROR(__xludf.DUMMYFUNCTION("""COMPUTED_VALUE"""),2)</f>
        <v>2</v>
      </c>
      <c r="L1042" s="139">
        <f ca="1">IFERROR(__xludf.DUMMYFUNCTION("""COMPUTED_VALUE"""),3730)</f>
        <v>3730</v>
      </c>
      <c r="M1042" s="6" t="str">
        <f ca="1">IFERROR(__xludf.DUMMYFUNCTION("""COMPUTED_VALUE"""),"03 ORL")</f>
        <v>03 ORL</v>
      </c>
      <c r="N1042" s="6" t="str">
        <f ca="1">IFERROR(__xludf.DUMMYFUNCTION("""COMPUTED_VALUE"""),"06 ORL")</f>
        <v>06 ORL</v>
      </c>
      <c r="O1042" s="6" t="str">
        <f ca="1">IFERROR(__xludf.DUMMYFUNCTION("""COMPUTED_VALUE"""),"Dr, Juan Carlos Del Pozo De Dios")</f>
        <v>Dr, Juan Carlos Del Pozo De Dios</v>
      </c>
      <c r="P1042" s="6" t="str">
        <f ca="1">IFERROR(__xludf.DUMMYFUNCTION("""COMPUTED_VALUE"""),"Alberto Moreno (Madrid)")</f>
        <v>Alberto Moreno (Madrid)</v>
      </c>
    </row>
    <row r="1043" spans="2:16">
      <c r="B1043" s="6">
        <f ca="1">IFERROR(__xludf.DUMMYFUNCTION("""COMPUTED_VALUE"""),2025)</f>
        <v>2025</v>
      </c>
      <c r="C1043" s="6">
        <f ca="1">IFERROR(__xludf.DUMMYFUNCTION("""COMPUTED_VALUE"""),7)</f>
        <v>7</v>
      </c>
      <c r="D1043" s="6" t="str">
        <f ca="1">IFERROR(__xludf.DUMMYFUNCTION("""COMPUTED_VALUE"""),"NO")</f>
        <v>NO</v>
      </c>
      <c r="E1043" s="6" t="str">
        <f ca="1">IFERROR(__xludf.DUMMYFUNCTION("""COMPUTED_VALUE"""),"Sevilla- Ciencias")</f>
        <v>Sevilla- Ciencias</v>
      </c>
      <c r="F1043" s="16">
        <f ca="1">IFERROR(__xludf.DUMMYFUNCTION("""COMPUTED_VALUE"""),45866)</f>
        <v>45866</v>
      </c>
      <c r="G1043" s="16">
        <f ca="1">IFERROR(__xludf.DUMMYFUNCTION("""COMPUTED_VALUE"""),45848)</f>
        <v>45848</v>
      </c>
      <c r="H1043" s="6" t="str">
        <f ca="1">IFERROR(__xludf.DUMMYFUNCTION("""COMPUTED_VALUE"""),"Sevilla Este")</f>
        <v>Sevilla Este</v>
      </c>
      <c r="I1043" s="6" t="str">
        <f ca="1">IFERROR(__xludf.DUMMYFUNCTION("""COMPUTED_VALUE"""),"SEVE-433")</f>
        <v>SEVE-433</v>
      </c>
      <c r="J1043" s="6" t="str">
        <f ca="1">IFERROR(__xludf.DUMMYFUNCTION("""COMPUTED_VALUE"""),"BENILDE HERNANDEZ MARTIN")</f>
        <v>BENILDE HERNANDEZ MARTIN</v>
      </c>
      <c r="K1043" s="6">
        <f ca="1">IFERROR(__xludf.DUMMYFUNCTION("""COMPUTED_VALUE"""),1)</f>
        <v>1</v>
      </c>
      <c r="L1043" s="139">
        <f ca="1">IFERROR(__xludf.DUMMYFUNCTION("""COMPUTED_VALUE"""),1784.55)</f>
        <v>1784.55</v>
      </c>
      <c r="M1043" s="6" t="str">
        <f ca="1">IFERROR(__xludf.DUMMYFUNCTION("""COMPUTED_VALUE"""),"03 ORL")</f>
        <v>03 ORL</v>
      </c>
      <c r="N1043" s="6" t="str">
        <f ca="1">IFERROR(__xludf.DUMMYFUNCTION("""COMPUTED_VALUE"""),"06 ORL")</f>
        <v>06 ORL</v>
      </c>
      <c r="O1043" s="6" t="str">
        <f ca="1">IFERROR(__xludf.DUMMYFUNCTION("""COMPUTED_VALUE"""),"Dra, Zoila Peña Rodríguez")</f>
        <v>Dra, Zoila Peña Rodríguez</v>
      </c>
      <c r="P1043" s="6" t="str">
        <f ca="1">IFERROR(__xludf.DUMMYFUNCTION("""COMPUTED_VALUE"""),"Luis Alberto Rodríguez (Andalucía Y Badajoz)")</f>
        <v>Luis Alberto Rodríguez (Andalucía Y Badajoz)</v>
      </c>
    </row>
    <row r="1044" spans="2:16">
      <c r="B1044" s="6">
        <f ca="1">IFERROR(__xludf.DUMMYFUNCTION("""COMPUTED_VALUE"""),2025)</f>
        <v>2025</v>
      </c>
      <c r="C1044" s="6">
        <f ca="1">IFERROR(__xludf.DUMMYFUNCTION("""COMPUTED_VALUE"""),7)</f>
        <v>7</v>
      </c>
      <c r="D1044" s="6" t="str">
        <f ca="1">IFERROR(__xludf.DUMMYFUNCTION("""COMPUTED_VALUE"""),"NO")</f>
        <v>NO</v>
      </c>
      <c r="E1044" s="6" t="str">
        <f ca="1">IFERROR(__xludf.DUMMYFUNCTION("""COMPUTED_VALUE"""),"Vigo")</f>
        <v>Vigo</v>
      </c>
      <c r="F1044" s="16">
        <f ca="1">IFERROR(__xludf.DUMMYFUNCTION("""COMPUTED_VALUE"""),45867)</f>
        <v>45867</v>
      </c>
      <c r="G1044" s="16">
        <f ca="1">IFERROR(__xludf.DUMMYFUNCTION("""COMPUTED_VALUE"""),45825)</f>
        <v>45825</v>
      </c>
      <c r="H1044" s="6" t="str">
        <f ca="1">IFERROR(__xludf.DUMMYFUNCTION("""COMPUTED_VALUE"""),"Vigo")</f>
        <v>Vigo</v>
      </c>
      <c r="I1044" s="6" t="str">
        <f ca="1">IFERROR(__xludf.DUMMYFUNCTION("""COMPUTED_VALUE"""),"VIG-585")</f>
        <v>VIG-585</v>
      </c>
      <c r="J1044" s="6" t="str">
        <f ca="1">IFERROR(__xludf.DUMMYFUNCTION("""COMPUTED_VALUE"""),"HERMINIA GARCIA CANEDA")</f>
        <v>HERMINIA GARCIA CANEDA</v>
      </c>
      <c r="K1044" s="6">
        <f ca="1">IFERROR(__xludf.DUMMYFUNCTION("""COMPUTED_VALUE"""),2)</f>
        <v>2</v>
      </c>
      <c r="L1044" s="139">
        <f ca="1">IFERROR(__xludf.DUMMYFUNCTION("""COMPUTED_VALUE"""),3454.55)</f>
        <v>3454.55</v>
      </c>
      <c r="M1044" s="6" t="str">
        <f ca="1">IFERROR(__xludf.DUMMYFUNCTION("""COMPUTED_VALUE"""),"03 ORL")</f>
        <v>03 ORL</v>
      </c>
      <c r="N1044" s="6" t="str">
        <f ca="1">IFERROR(__xludf.DUMMYFUNCTION("""COMPUTED_VALUE"""),"06 ORL")</f>
        <v>06 ORL</v>
      </c>
      <c r="O1044" s="6" t="str">
        <f ca="1">IFERROR(__xludf.DUMMYFUNCTION("""COMPUTED_VALUE"""),"Dra, Isabel Miranda García")</f>
        <v>Dra, Isabel Miranda García</v>
      </c>
      <c r="P1044" s="6" t="str">
        <f ca="1">IFERROR(__xludf.DUMMYFUNCTION("""COMPUTED_VALUE"""),"Roberto Pereira (Galicia)")</f>
        <v>Roberto Pereira (Galicia)</v>
      </c>
    </row>
    <row r="1045" spans="2:16">
      <c r="B1045" s="6">
        <f ca="1">IFERROR(__xludf.DUMMYFUNCTION("""COMPUTED_VALUE"""),2025)</f>
        <v>2025</v>
      </c>
      <c r="C1045" s="6">
        <f ca="1">IFERROR(__xludf.DUMMYFUNCTION("""COMPUTED_VALUE"""),7)</f>
        <v>7</v>
      </c>
      <c r="D1045" s="6" t="str">
        <f ca="1">IFERROR(__xludf.DUMMYFUNCTION("""COMPUTED_VALUE"""),"NO")</f>
        <v>NO</v>
      </c>
      <c r="E1045" s="6" t="str">
        <f ca="1">IFERROR(__xludf.DUMMYFUNCTION("""COMPUTED_VALUE"""),"Cáceres")</f>
        <v>Cáceres</v>
      </c>
      <c r="F1045" s="16">
        <f ca="1">IFERROR(__xludf.DUMMYFUNCTION("""COMPUTED_VALUE"""),45868)</f>
        <v>45868</v>
      </c>
      <c r="G1045" s="16">
        <f ca="1">IFERROR(__xludf.DUMMYFUNCTION("""COMPUTED_VALUE"""),45817)</f>
        <v>45817</v>
      </c>
      <c r="H1045" s="6" t="str">
        <f ca="1">IFERROR(__xludf.DUMMYFUNCTION("""COMPUTED_VALUE"""),"Cáceres")</f>
        <v>Cáceres</v>
      </c>
      <c r="I1045" s="6" t="str">
        <f ca="1">IFERROR(__xludf.DUMMYFUNCTION("""COMPUTED_VALUE"""),"CAC-317")</f>
        <v>CAC-317</v>
      </c>
      <c r="J1045" s="6" t="str">
        <f ca="1">IFERROR(__xludf.DUMMYFUNCTION("""COMPUTED_VALUE"""),"CONCEPCION ANTONIA IBAÑEZ MONTERO")</f>
        <v>CONCEPCION ANTONIA IBAÑEZ MONTERO</v>
      </c>
      <c r="K1045" s="6">
        <f ca="1">IFERROR(__xludf.DUMMYFUNCTION("""COMPUTED_VALUE"""),1)</f>
        <v>1</v>
      </c>
      <c r="L1045" s="139">
        <f ca="1">IFERROR(__xludf.DUMMYFUNCTION("""COMPUTED_VALUE"""),2820)</f>
        <v>2820</v>
      </c>
      <c r="M1045" s="6" t="str">
        <f ca="1">IFERROR(__xludf.DUMMYFUNCTION("""COMPUTED_VALUE"""),"03 ORL")</f>
        <v>03 ORL</v>
      </c>
      <c r="N1045" s="6" t="str">
        <f ca="1">IFERROR(__xludf.DUMMYFUNCTION("""COMPUTED_VALUE"""),"06 ORL")</f>
        <v>06 ORL</v>
      </c>
      <c r="O1045" s="6" t="str">
        <f ca="1">IFERROR(__xludf.DUMMYFUNCTION("""COMPUTED_VALUE"""),"Dra, Marta García Jiménez")</f>
        <v>Dra, Marta García Jiménez</v>
      </c>
      <c r="P1045" s="6" t="str">
        <f ca="1">IFERROR(__xludf.DUMMYFUNCTION("""COMPUTED_VALUE"""),"Lisandro Russian (Madrid, Cáceres, Toledo, Talavera Y Logroño)")</f>
        <v>Lisandro Russian (Madrid, Cáceres, Toledo, Talavera Y Logroño)</v>
      </c>
    </row>
    <row r="1046" spans="2:16">
      <c r="B1046" s="6">
        <f ca="1">IFERROR(__xludf.DUMMYFUNCTION("""COMPUTED_VALUE"""),2025)</f>
        <v>2025</v>
      </c>
      <c r="C1046" s="6">
        <f ca="1">IFERROR(__xludf.DUMMYFUNCTION("""COMPUTED_VALUE"""),7)</f>
        <v>7</v>
      </c>
      <c r="D1046" s="6" t="str">
        <f ca="1">IFERROR(__xludf.DUMMYFUNCTION("""COMPUTED_VALUE"""),"NO")</f>
        <v>NO</v>
      </c>
      <c r="E1046" s="6" t="str">
        <f ca="1">IFERROR(__xludf.DUMMYFUNCTION("""COMPUTED_VALUE"""),"Valladolid")</f>
        <v>Valladolid</v>
      </c>
      <c r="F1046" s="16">
        <f ca="1">IFERROR(__xludf.DUMMYFUNCTION("""COMPUTED_VALUE"""),45868)</f>
        <v>45868</v>
      </c>
      <c r="G1046" s="16">
        <f ca="1">IFERROR(__xludf.DUMMYFUNCTION("""COMPUTED_VALUE"""),45819)</f>
        <v>45819</v>
      </c>
      <c r="H1046" s="6" t="str">
        <f ca="1">IFERROR(__xludf.DUMMYFUNCTION("""COMPUTED_VALUE"""),"Valladolid")</f>
        <v>Valladolid</v>
      </c>
      <c r="I1046" s="6" t="str">
        <f ca="1">IFERROR(__xludf.DUMMYFUNCTION("""COMPUTED_VALUE"""),"VLL-415")</f>
        <v>VLL-415</v>
      </c>
      <c r="J1046" s="6" t="str">
        <f ca="1">IFERROR(__xludf.DUMMYFUNCTION("""COMPUTED_VALUE"""),"CARLOS HERRERO DEL CASTILLO")</f>
        <v>CARLOS HERRERO DEL CASTILLO</v>
      </c>
      <c r="K1046" s="6">
        <f ca="1">IFERROR(__xludf.DUMMYFUNCTION("""COMPUTED_VALUE"""),2)</f>
        <v>2</v>
      </c>
      <c r="L1046" s="139">
        <f ca="1">IFERROR(__xludf.DUMMYFUNCTION("""COMPUTED_VALUE"""),3977.27)</f>
        <v>3977.27</v>
      </c>
      <c r="M1046" s="6" t="str">
        <f ca="1">IFERROR(__xludf.DUMMYFUNCTION("""COMPUTED_VALUE"""),"03 ORL")</f>
        <v>03 ORL</v>
      </c>
      <c r="N1046" s="6" t="str">
        <f ca="1">IFERROR(__xludf.DUMMYFUNCTION("""COMPUTED_VALUE"""),"06 ORL")</f>
        <v>06 ORL</v>
      </c>
      <c r="O1046" s="6" t="str">
        <f ca="1">IFERROR(__xludf.DUMMYFUNCTION("""COMPUTED_VALUE"""),"Dra, Angela Enterría González")</f>
        <v>Dra, Angela Enterría González</v>
      </c>
      <c r="P1046" s="6" t="str">
        <f ca="1">IFERROR(__xludf.DUMMYFUNCTION("""COMPUTED_VALUE"""),"Alberto Moreno (Madrid)")</f>
        <v>Alberto Moreno (Madrid)</v>
      </c>
    </row>
    <row r="1047" spans="2:16">
      <c r="B1047" s="6">
        <f ca="1">IFERROR(__xludf.DUMMYFUNCTION("""COMPUTED_VALUE"""),2025)</f>
        <v>2025</v>
      </c>
      <c r="C1047" s="6">
        <f ca="1">IFERROR(__xludf.DUMMYFUNCTION("""COMPUTED_VALUE"""),7)</f>
        <v>7</v>
      </c>
      <c r="D1047" s="6" t="str">
        <f ca="1">IFERROR(__xludf.DUMMYFUNCTION("""COMPUTED_VALUE"""),"NO")</f>
        <v>NO</v>
      </c>
      <c r="E1047" s="6" t="str">
        <f ca="1">IFERROR(__xludf.DUMMYFUNCTION("""COMPUTED_VALUE"""),"Culleredo")</f>
        <v>Culleredo</v>
      </c>
      <c r="F1047" s="16">
        <f ca="1">IFERROR(__xludf.DUMMYFUNCTION("""COMPUTED_VALUE"""),45869)</f>
        <v>45869</v>
      </c>
      <c r="G1047" s="16">
        <f ca="1">IFERROR(__xludf.DUMMYFUNCTION("""COMPUTED_VALUE"""),45776)</f>
        <v>45776</v>
      </c>
      <c r="H1047" s="6" t="str">
        <f ca="1">IFERROR(__xludf.DUMMYFUNCTION("""COMPUTED_VALUE"""),"Culleredo")</f>
        <v>Culleredo</v>
      </c>
      <c r="I1047" s="6" t="str">
        <f ca="1">IFERROR(__xludf.DUMMYFUNCTION("""COMPUTED_VALUE"""),"CULL-202")</f>
        <v>CULL-202</v>
      </c>
      <c r="J1047" s="6" t="str">
        <f ca="1">IFERROR(__xludf.DUMMYFUNCTION("""COMPUTED_VALUE"""),"ESTHER BLAS RODRIGUEZ")</f>
        <v>ESTHER BLAS RODRIGUEZ</v>
      </c>
      <c r="K1047" s="6">
        <f ca="1">IFERROR(__xludf.DUMMYFUNCTION("""COMPUTED_VALUE"""),1)</f>
        <v>1</v>
      </c>
      <c r="L1047" s="139">
        <f ca="1">IFERROR(__xludf.DUMMYFUNCTION("""COMPUTED_VALUE"""),1727.35)</f>
        <v>1727.35</v>
      </c>
      <c r="M1047" s="6" t="str">
        <f ca="1">IFERROR(__xludf.DUMMYFUNCTION("""COMPUTED_VALUE"""),"03 ORL")</f>
        <v>03 ORL</v>
      </c>
      <c r="N1047" s="6" t="str">
        <f ca="1">IFERROR(__xludf.DUMMYFUNCTION("""COMPUTED_VALUE"""),"06 ORL")</f>
        <v>06 ORL</v>
      </c>
      <c r="O1047" s="6" t="str">
        <f ca="1">IFERROR(__xludf.DUMMYFUNCTION("""COMPUTED_VALUE"""),"Dr, Miguel Mayo Yáñez")</f>
        <v>Dr, Miguel Mayo Yáñez</v>
      </c>
      <c r="P1047" s="6" t="str">
        <f ca="1">IFERROR(__xludf.DUMMYFUNCTION("""COMPUTED_VALUE"""),"Roberto Pereira (Galicia)")</f>
        <v>Roberto Pereira (Galicia)</v>
      </c>
    </row>
    <row r="1048" spans="2:16">
      <c r="B1048" s="6">
        <f ca="1">IFERROR(__xludf.DUMMYFUNCTION("""COMPUTED_VALUE"""),2025)</f>
        <v>2025</v>
      </c>
      <c r="C1048" s="6">
        <f ca="1">IFERROR(__xludf.DUMMYFUNCTION("""COMPUTED_VALUE"""),7)</f>
        <v>7</v>
      </c>
      <c r="D1048" s="6" t="str">
        <f ca="1">IFERROR(__xludf.DUMMYFUNCTION("""COMPUTED_VALUE"""),"NO")</f>
        <v>NO</v>
      </c>
      <c r="E1048" s="6" t="str">
        <f ca="1">IFERROR(__xludf.DUMMYFUNCTION("""COMPUTED_VALUE"""),"Zaragoza- León XIII")</f>
        <v>Zaragoza- León XIII</v>
      </c>
      <c r="F1048" s="16">
        <f ca="1">IFERROR(__xludf.DUMMYFUNCTION("""COMPUTED_VALUE"""),45869)</f>
        <v>45869</v>
      </c>
      <c r="G1048" s="16">
        <f ca="1">IFERROR(__xludf.DUMMYFUNCTION("""COMPUTED_VALUE"""),45820)</f>
        <v>45820</v>
      </c>
      <c r="H1048" s="6" t="str">
        <f ca="1">IFERROR(__xludf.DUMMYFUNCTION("""COMPUTED_VALUE"""),"Zaragoza")</f>
        <v>Zaragoza</v>
      </c>
      <c r="I1048" s="6" t="str">
        <f ca="1">IFERROR(__xludf.DUMMYFUNCTION("""COMPUTED_VALUE"""),"ZRG-655")</f>
        <v>ZRG-655</v>
      </c>
      <c r="J1048" s="6" t="str">
        <f ca="1">IFERROR(__xludf.DUMMYFUNCTION("""COMPUTED_VALUE"""),"SOLEDAD IRUN IRUN")</f>
        <v>SOLEDAD IRUN IRUN</v>
      </c>
      <c r="K1048" s="6">
        <f ca="1">IFERROR(__xludf.DUMMYFUNCTION("""COMPUTED_VALUE"""),2)</f>
        <v>2</v>
      </c>
      <c r="L1048" s="139">
        <f ca="1">IFERROR(__xludf.DUMMYFUNCTION("""COMPUTED_VALUE"""),3800)</f>
        <v>3800</v>
      </c>
      <c r="M1048" s="6" t="str">
        <f ca="1">IFERROR(__xludf.DUMMYFUNCTION("""COMPUTED_VALUE"""),"03 ORL")</f>
        <v>03 ORL</v>
      </c>
      <c r="N1048" s="6" t="str">
        <f ca="1">IFERROR(__xludf.DUMMYFUNCTION("""COMPUTED_VALUE"""),"06 ORL")</f>
        <v>06 ORL</v>
      </c>
      <c r="O1048" s="6" t="str">
        <f ca="1">IFERROR(__xludf.DUMMYFUNCTION("""COMPUTED_VALUE"""),"Dr, Julio Knaster Del Olmo")</f>
        <v>Dr, Julio Knaster Del Olmo</v>
      </c>
      <c r="P1048" s="6" t="str">
        <f ca="1">IFERROR(__xludf.DUMMYFUNCTION("""COMPUTED_VALUE"""),"Lisandro Russian (Madrid, Cáceres, Toledo, Talavera Y Logroño)")</f>
        <v>Lisandro Russian (Madrid, Cáceres, Toledo, Talavera Y Logroño)</v>
      </c>
    </row>
    <row r="1049" spans="2:16">
      <c r="B1049" s="6">
        <f ca="1">IFERROR(__xludf.DUMMYFUNCTION("""COMPUTED_VALUE"""),2025)</f>
        <v>2025</v>
      </c>
      <c r="C1049" s="6">
        <f ca="1">IFERROR(__xludf.DUMMYFUNCTION("""COMPUTED_VALUE"""),8)</f>
        <v>8</v>
      </c>
      <c r="D1049" s="6" t="str">
        <f ca="1">IFERROR(__xludf.DUMMYFUNCTION("""COMPUTED_VALUE"""),"NO")</f>
        <v>NO</v>
      </c>
      <c r="E1049" s="6" t="str">
        <f ca="1">IFERROR(__xludf.DUMMYFUNCTION("""COMPUTED_VALUE"""),"Hospitalet de Llobregat")</f>
        <v>Hospitalet de Llobregat</v>
      </c>
      <c r="F1049" s="16">
        <f ca="1">IFERROR(__xludf.DUMMYFUNCTION("""COMPUTED_VALUE"""),45876)</f>
        <v>45876</v>
      </c>
      <c r="G1049" s="16">
        <f ca="1">IFERROR(__xludf.DUMMYFUNCTION("""COMPUTED_VALUE"""),45824)</f>
        <v>45824</v>
      </c>
      <c r="H1049" s="6" t="str">
        <f ca="1">IFERROR(__xludf.DUMMYFUNCTION("""COMPUTED_VALUE"""),"Hospitalet")</f>
        <v>Hospitalet</v>
      </c>
      <c r="I1049" s="6" t="str">
        <f ca="1">IFERROR(__xludf.DUMMYFUNCTION("""COMPUTED_VALUE"""),"C202587123548790")</f>
        <v>C202587123548790</v>
      </c>
      <c r="J1049" s="6" t="str">
        <f ca="1">IFERROR(__xludf.DUMMYFUNCTION("""COMPUTED_VALUE"""),"Agatona Dimaano")</f>
        <v>Agatona Dimaano</v>
      </c>
      <c r="K1049" s="6">
        <f ca="1">IFERROR(__xludf.DUMMYFUNCTION("""COMPUTED_VALUE"""),2)</f>
        <v>2</v>
      </c>
      <c r="L1049" s="139">
        <f ca="1">IFERROR(__xludf.DUMMYFUNCTION("""COMPUTED_VALUE"""),4136.36)</f>
        <v>4136.3599999999997</v>
      </c>
      <c r="M1049" s="6" t="str">
        <f ca="1">IFERROR(__xludf.DUMMYFUNCTION("""COMPUTED_VALUE"""),"03 ORL")</f>
        <v>03 ORL</v>
      </c>
      <c r="N1049" s="6" t="str">
        <f ca="1">IFERROR(__xludf.DUMMYFUNCTION("""COMPUTED_VALUE"""),"06 ORL")</f>
        <v>06 ORL</v>
      </c>
      <c r="O1049" s="6" t="str">
        <f ca="1">IFERROR(__xludf.DUMMYFUNCTION("""COMPUTED_VALUE"""),"Dr, Joan Remacha Sardà")</f>
        <v>Dr, Joan Remacha Sardà</v>
      </c>
      <c r="P1049" s="6" t="str">
        <f ca="1">IFERROR(__xludf.DUMMYFUNCTION("""COMPUTED_VALUE"""),"Mercè Cabrera (Cataluña Y Baleares)")</f>
        <v>Mercè Cabrera (Cataluña Y Baleares)</v>
      </c>
    </row>
    <row r="1050" spans="2:16">
      <c r="B1050" s="6">
        <f ca="1">IFERROR(__xludf.DUMMYFUNCTION("""COMPUTED_VALUE"""),2025)</f>
        <v>2025</v>
      </c>
      <c r="C1050" s="6">
        <f ca="1">IFERROR(__xludf.DUMMYFUNCTION("""COMPUTED_VALUE"""),8)</f>
        <v>8</v>
      </c>
      <c r="D1050" s="6" t="str">
        <f ca="1">IFERROR(__xludf.DUMMYFUNCTION("""COMPUTED_VALUE"""),"NO")</f>
        <v>NO</v>
      </c>
      <c r="E1050" s="6" t="str">
        <f ca="1">IFERROR(__xludf.DUMMYFUNCTION("""COMPUTED_VALUE"""),"El Albir (Benidorm)")</f>
        <v>El Albir (Benidorm)</v>
      </c>
      <c r="F1050" s="16">
        <f ca="1">IFERROR(__xludf.DUMMYFUNCTION("""COMPUTED_VALUE"""),45898)</f>
        <v>45898</v>
      </c>
      <c r="G1050" s="16">
        <f ca="1">IFERROR(__xludf.DUMMYFUNCTION("""COMPUTED_VALUE"""),45868)</f>
        <v>45868</v>
      </c>
      <c r="H1050" s="6" t="str">
        <f ca="1">IFERROR(__xludf.DUMMYFUNCTION("""COMPUTED_VALUE"""),"El Albir (Benidorm)")</f>
        <v>El Albir (Benidorm)</v>
      </c>
      <c r="I1050" s="6" t="str">
        <f ca="1">IFERROR(__xludf.DUMMYFUNCTION("""COMPUTED_VALUE"""),"C2025731103413485")</f>
        <v>C2025731103413485</v>
      </c>
      <c r="J1050" s="6" t="str">
        <f ca="1">IFERROR(__xludf.DUMMYFUNCTION("""COMPUTED_VALUE"""),"ANDRES  IVARS PASTOR")</f>
        <v>ANDRES  IVARS PASTOR</v>
      </c>
      <c r="K1050" s="6">
        <f ca="1">IFERROR(__xludf.DUMMYFUNCTION("""COMPUTED_VALUE"""),2)</f>
        <v>2</v>
      </c>
      <c r="L1050" s="139">
        <f ca="1">IFERROR(__xludf.DUMMYFUNCTION("""COMPUTED_VALUE"""),3631.82)</f>
        <v>3631.82</v>
      </c>
      <c r="M1050" s="6" t="str">
        <f ca="1">IFERROR(__xludf.DUMMYFUNCTION("""COMPUTED_VALUE"""),"03 ORL")</f>
        <v>03 ORL</v>
      </c>
      <c r="N1050" s="6" t="str">
        <f ca="1">IFERROR(__xludf.DUMMYFUNCTION("""COMPUTED_VALUE"""),"06 ORL")</f>
        <v>06 ORL</v>
      </c>
      <c r="O1050" s="6" t="str">
        <f ca="1">IFERROR(__xludf.DUMMYFUNCTION("""COMPUTED_VALUE"""),"Dr, Daniel Unigarro Londoño")</f>
        <v>Dr, Daniel Unigarro Londoño</v>
      </c>
      <c r="P1050" s="6" t="str">
        <f ca="1">IFERROR(__xludf.DUMMYFUNCTION("""COMPUTED_VALUE"""),"Ramon Ferrando(Valencia)")</f>
        <v>Ramon Ferrando(Valencia)</v>
      </c>
    </row>
    <row r="1051" spans="2:16">
      <c r="B1051" s="6">
        <f ca="1">IFERROR(__xludf.DUMMYFUNCTION("""COMPUTED_VALUE"""),2025)</f>
        <v>2025</v>
      </c>
      <c r="C1051" s="6">
        <f ca="1">IFERROR(__xludf.DUMMYFUNCTION("""COMPUTED_VALUE"""),8)</f>
        <v>8</v>
      </c>
      <c r="D1051" s="6" t="str">
        <f ca="1">IFERROR(__xludf.DUMMYFUNCTION("""COMPUTED_VALUE"""),"NO")</f>
        <v>NO</v>
      </c>
      <c r="E1051" s="6" t="str">
        <f ca="1">IFERROR(__xludf.DUMMYFUNCTION("""COMPUTED_VALUE"""),"Ourense")</f>
        <v>Ourense</v>
      </c>
      <c r="F1051" s="16">
        <f ca="1">IFERROR(__xludf.DUMMYFUNCTION("""COMPUTED_VALUE"""),45889)</f>
        <v>45889</v>
      </c>
      <c r="G1051" s="16">
        <f ca="1">IFERROR(__xludf.DUMMYFUNCTION("""COMPUTED_VALUE"""),45812)</f>
        <v>45812</v>
      </c>
      <c r="H1051" s="6" t="str">
        <f ca="1">IFERROR(__xludf.DUMMYFUNCTION("""COMPUTED_VALUE"""),"Orense")</f>
        <v>Orense</v>
      </c>
      <c r="I1051" s="6" t="str">
        <f ca="1">IFERROR(__xludf.DUMMYFUNCTION("""COMPUTED_VALUE"""),"C202561113133217")</f>
        <v>C202561113133217</v>
      </c>
      <c r="J1051" s="6" t="str">
        <f ca="1">IFERROR(__xludf.DUMMYFUNCTION("""COMPUTED_VALUE"""),"ANTONIA BORRAJO OTERO")</f>
        <v>ANTONIA BORRAJO OTERO</v>
      </c>
      <c r="K1051" s="6">
        <f ca="1">IFERROR(__xludf.DUMMYFUNCTION("""COMPUTED_VALUE"""),2)</f>
        <v>2</v>
      </c>
      <c r="L1051" s="139">
        <f ca="1">IFERROR(__xludf.DUMMYFUNCTION("""COMPUTED_VALUE"""),3536.36)</f>
        <v>3536.36</v>
      </c>
      <c r="M1051" s="6" t="str">
        <f ca="1">IFERROR(__xludf.DUMMYFUNCTION("""COMPUTED_VALUE"""),"03 ORL")</f>
        <v>03 ORL</v>
      </c>
      <c r="N1051" s="6" t="str">
        <f ca="1">IFERROR(__xludf.DUMMYFUNCTION("""COMPUTED_VALUE"""),"06 ORL")</f>
        <v>06 ORL</v>
      </c>
      <c r="O1051" s="6" t="str">
        <f ca="1">IFERROR(__xludf.DUMMYFUNCTION("""COMPUTED_VALUE"""),"Dra, María Rey Marcos")</f>
        <v>Dra, María Rey Marcos</v>
      </c>
      <c r="P1051" s="6" t="str">
        <f ca="1">IFERROR(__xludf.DUMMYFUNCTION("""COMPUTED_VALUE"""),"Roberto Pereira (Galicia)")</f>
        <v>Roberto Pereira (Galicia)</v>
      </c>
    </row>
    <row r="1052" spans="2:16">
      <c r="B1052" s="6">
        <f ca="1">IFERROR(__xludf.DUMMYFUNCTION("""COMPUTED_VALUE"""),2025)</f>
        <v>2025</v>
      </c>
      <c r="C1052" s="6">
        <f ca="1">IFERROR(__xludf.DUMMYFUNCTION("""COMPUTED_VALUE"""),8)</f>
        <v>8</v>
      </c>
      <c r="D1052" s="6" t="str">
        <f ca="1">IFERROR(__xludf.DUMMYFUNCTION("""COMPUTED_VALUE"""),"NO")</f>
        <v>NO</v>
      </c>
      <c r="E1052" s="6" t="str">
        <f ca="1">IFERROR(__xludf.DUMMYFUNCTION("""COMPUTED_VALUE"""),"Vilanova")</f>
        <v>Vilanova</v>
      </c>
      <c r="F1052" s="16">
        <f ca="1">IFERROR(__xludf.DUMMYFUNCTION("""COMPUTED_VALUE"""),45898)</f>
        <v>45898</v>
      </c>
      <c r="G1052" s="16">
        <f ca="1">IFERROR(__xludf.DUMMYFUNCTION("""COMPUTED_VALUE"""),45854)</f>
        <v>45854</v>
      </c>
      <c r="H1052" s="6" t="str">
        <f ca="1">IFERROR(__xludf.DUMMYFUNCTION("""COMPUTED_VALUE"""),"Vilanova")</f>
        <v>Vilanova</v>
      </c>
      <c r="I1052" s="6" t="str">
        <f ca="1">IFERROR(__xludf.DUMMYFUNCTION("""COMPUTED_VALUE"""),"C2025717115851930")</f>
        <v>C2025717115851930</v>
      </c>
      <c r="J1052" s="6" t="str">
        <f ca="1">IFERROR(__xludf.DUMMYFUNCTION("""COMPUTED_VALUE"""),"ANTONIO ENRIQUE LAZARO SORIANO")</f>
        <v>ANTONIO ENRIQUE LAZARO SORIANO</v>
      </c>
      <c r="K1052" s="6">
        <f ca="1">IFERROR(__xludf.DUMMYFUNCTION("""COMPUTED_VALUE"""),2)</f>
        <v>2</v>
      </c>
      <c r="L1052" s="139">
        <f ca="1">IFERROR(__xludf.DUMMYFUNCTION("""COMPUTED_VALUE"""),3971.82)</f>
        <v>3971.82</v>
      </c>
      <c r="M1052" s="6" t="str">
        <f ca="1">IFERROR(__xludf.DUMMYFUNCTION("""COMPUTED_VALUE"""),"03 ORL")</f>
        <v>03 ORL</v>
      </c>
      <c r="N1052" s="6" t="str">
        <f ca="1">IFERROR(__xludf.DUMMYFUNCTION("""COMPUTED_VALUE"""),"06 ORL")</f>
        <v>06 ORL</v>
      </c>
      <c r="O1052" s="6" t="str">
        <f ca="1">IFERROR(__xludf.DUMMYFUNCTION("""COMPUTED_VALUE"""),"Dr, Miguel F, García Wagner")</f>
        <v>Dr, Miguel F, García Wagner</v>
      </c>
      <c r="P1052" s="6" t="str">
        <f ca="1">IFERROR(__xludf.DUMMYFUNCTION("""COMPUTED_VALUE"""),"Mercè Cabrera (Cataluña Y Baleares)")</f>
        <v>Mercè Cabrera (Cataluña Y Baleares)</v>
      </c>
    </row>
    <row r="1053" spans="2:16">
      <c r="B1053" s="6">
        <f ca="1">IFERROR(__xludf.DUMMYFUNCTION("""COMPUTED_VALUE"""),2025)</f>
        <v>2025</v>
      </c>
      <c r="C1053" s="6">
        <f ca="1">IFERROR(__xludf.DUMMYFUNCTION("""COMPUTED_VALUE"""),8)</f>
        <v>8</v>
      </c>
      <c r="D1053" s="6" t="str">
        <f ca="1">IFERROR(__xludf.DUMMYFUNCTION("""COMPUTED_VALUE"""),"NO")</f>
        <v>NO</v>
      </c>
      <c r="E1053" s="6" t="str">
        <f ca="1">IFERROR(__xludf.DUMMYFUNCTION("""COMPUTED_VALUE"""),"Logroño")</f>
        <v>Logroño</v>
      </c>
      <c r="F1053" s="16">
        <f ca="1">IFERROR(__xludf.DUMMYFUNCTION("""COMPUTED_VALUE"""),45894)</f>
        <v>45894</v>
      </c>
      <c r="G1053" s="16">
        <f ca="1">IFERROR(__xludf.DUMMYFUNCTION("""COMPUTED_VALUE"""),45855)</f>
        <v>45855</v>
      </c>
      <c r="H1053" s="6" t="str">
        <f ca="1">IFERROR(__xludf.DUMMYFUNCTION("""COMPUTED_VALUE"""),"Logroño")</f>
        <v>Logroño</v>
      </c>
      <c r="I1053" s="6" t="str">
        <f ca="1">IFERROR(__xludf.DUMMYFUNCTION("""COMPUTED_VALUE"""),"C20257231092199")</f>
        <v>C20257231092199</v>
      </c>
      <c r="J1053" s="6" t="str">
        <f ca="1">IFERROR(__xludf.DUMMYFUNCTION("""COMPUTED_VALUE"""),"AVELINO GARRALOCES BARAHONA")</f>
        <v>AVELINO GARRALOCES BARAHONA</v>
      </c>
      <c r="K1053" s="6">
        <f ca="1">IFERROR(__xludf.DUMMYFUNCTION("""COMPUTED_VALUE"""),2)</f>
        <v>2</v>
      </c>
      <c r="L1053" s="139">
        <f ca="1">IFERROR(__xludf.DUMMYFUNCTION("""COMPUTED_VALUE"""),2718.18)</f>
        <v>2718.18</v>
      </c>
      <c r="M1053" s="6" t="str">
        <f ca="1">IFERROR(__xludf.DUMMYFUNCTION("""COMPUTED_VALUE"""),"03 ORL")</f>
        <v>03 ORL</v>
      </c>
      <c r="N1053" s="6" t="str">
        <f ca="1">IFERROR(__xludf.DUMMYFUNCTION("""COMPUTED_VALUE"""),"06 ORL")</f>
        <v>06 ORL</v>
      </c>
      <c r="O1053" s="6" t="str">
        <f ca="1">IFERROR(__xludf.DUMMYFUNCTION("""COMPUTED_VALUE"""),"Dr, Fernando Salazar Barcelona")</f>
        <v>Dr, Fernando Salazar Barcelona</v>
      </c>
      <c r="P1053" s="6" t="str">
        <f ca="1">IFERROR(__xludf.DUMMYFUNCTION("""COMPUTED_VALUE"""),"Lisandro Russian (Madrid, Cáceres, Toledo, Talavera Y Logroño)")</f>
        <v>Lisandro Russian (Madrid, Cáceres, Toledo, Talavera Y Logroño)</v>
      </c>
    </row>
    <row r="1054" spans="2:16">
      <c r="B1054" s="6">
        <f ca="1">IFERROR(__xludf.DUMMYFUNCTION("""COMPUTED_VALUE"""),2025)</f>
        <v>2025</v>
      </c>
      <c r="C1054" s="6">
        <f ca="1">IFERROR(__xludf.DUMMYFUNCTION("""COMPUTED_VALUE"""),8)</f>
        <v>8</v>
      </c>
      <c r="D1054" s="6" t="str">
        <f ca="1">IFERROR(__xludf.DUMMYFUNCTION("""COMPUTED_VALUE"""),"NO")</f>
        <v>NO</v>
      </c>
      <c r="E1054" s="6" t="str">
        <f ca="1">IFERROR(__xludf.DUMMYFUNCTION("""COMPUTED_VALUE"""),"Murcia")</f>
        <v>Murcia</v>
      </c>
      <c r="F1054" s="16">
        <f ca="1">IFERROR(__xludf.DUMMYFUNCTION("""COMPUTED_VALUE"""),45898)</f>
        <v>45898</v>
      </c>
      <c r="G1054" s="16">
        <f ca="1">IFERROR(__xludf.DUMMYFUNCTION("""COMPUTED_VALUE"""),45853)</f>
        <v>45853</v>
      </c>
      <c r="H1054" s="6" t="str">
        <f ca="1">IFERROR(__xludf.DUMMYFUNCTION("""COMPUTED_VALUE"""),"Murcia")</f>
        <v>Murcia</v>
      </c>
      <c r="I1054" s="6" t="str">
        <f ca="1">IFERROR(__xludf.DUMMYFUNCTION("""COMPUTED_VALUE"""),"C202572418359947")</f>
        <v>C202572418359947</v>
      </c>
      <c r="J1054" s="6" t="str">
        <f ca="1">IFERROR(__xludf.DUMMYFUNCTION("""COMPUTED_VALUE"""),"CARMEN ALICIA GARCES MORENO")</f>
        <v>CARMEN ALICIA GARCES MORENO</v>
      </c>
      <c r="K1054" s="6">
        <f ca="1">IFERROR(__xludf.DUMMYFUNCTION("""COMPUTED_VALUE"""),2)</f>
        <v>2</v>
      </c>
      <c r="L1054" s="139">
        <f ca="1">IFERROR(__xludf.DUMMYFUNCTION("""COMPUTED_VALUE"""),3631.82)</f>
        <v>3631.82</v>
      </c>
      <c r="M1054" s="6" t="str">
        <f ca="1">IFERROR(__xludf.DUMMYFUNCTION("""COMPUTED_VALUE"""),"03 ORL")</f>
        <v>03 ORL</v>
      </c>
      <c r="N1054" s="6" t="str">
        <f ca="1">IFERROR(__xludf.DUMMYFUNCTION("""COMPUTED_VALUE"""),"06 ORL")</f>
        <v>06 ORL</v>
      </c>
      <c r="O1054" s="6" t="str">
        <f ca="1">IFERROR(__xludf.DUMMYFUNCTION("""COMPUTED_VALUE"""),"Dra, Beatriz Rodríguez González Herrero")</f>
        <v>Dra, Beatriz Rodríguez González Herrero</v>
      </c>
      <c r="P1054" s="6" t="str">
        <f ca="1">IFERROR(__xludf.DUMMYFUNCTION("""COMPUTED_VALUE"""),"Iván Sánchez (Levante Y Albacete)")</f>
        <v>Iván Sánchez (Levante Y Albacete)</v>
      </c>
    </row>
    <row r="1055" spans="2:16">
      <c r="B1055" s="6">
        <f ca="1">IFERROR(__xludf.DUMMYFUNCTION("""COMPUTED_VALUE"""),2025)</f>
        <v>2025</v>
      </c>
      <c r="C1055" s="6">
        <f ca="1">IFERROR(__xludf.DUMMYFUNCTION("""COMPUTED_VALUE"""),8)</f>
        <v>8</v>
      </c>
      <c r="D1055" s="6" t="str">
        <f ca="1">IFERROR(__xludf.DUMMYFUNCTION("""COMPUTED_VALUE"""),"NO")</f>
        <v>NO</v>
      </c>
      <c r="E1055" s="6" t="str">
        <f ca="1">IFERROR(__xludf.DUMMYFUNCTION("""COMPUTED_VALUE"""),"Getafe")</f>
        <v>Getafe</v>
      </c>
      <c r="F1055" s="16">
        <f ca="1">IFERROR(__xludf.DUMMYFUNCTION("""COMPUTED_VALUE"""),45887)</f>
        <v>45887</v>
      </c>
      <c r="G1055" s="16">
        <f ca="1">IFERROR(__xludf.DUMMYFUNCTION("""COMPUTED_VALUE"""),45861)</f>
        <v>45861</v>
      </c>
      <c r="H1055" s="6" t="str">
        <f ca="1">IFERROR(__xludf.DUMMYFUNCTION("""COMPUTED_VALUE"""),"Getafe")</f>
        <v>Getafe</v>
      </c>
      <c r="I1055" s="6" t="str">
        <f ca="1">IFERROR(__xludf.DUMMYFUNCTION("""COMPUTED_VALUE"""),"C2025723124347297")</f>
        <v>C2025723124347297</v>
      </c>
      <c r="J1055" s="6" t="str">
        <f ca="1">IFERROR(__xludf.DUMMYFUNCTION("""COMPUTED_VALUE"""),"CARMEN GOMEZ FERNANDEZ")</f>
        <v>CARMEN GOMEZ FERNANDEZ</v>
      </c>
      <c r="K1055" s="6">
        <f ca="1">IFERROR(__xludf.DUMMYFUNCTION("""COMPUTED_VALUE"""),2)</f>
        <v>2</v>
      </c>
      <c r="L1055" s="139">
        <f ca="1">IFERROR(__xludf.DUMMYFUNCTION("""COMPUTED_VALUE"""),2582.27)</f>
        <v>2582.27</v>
      </c>
      <c r="M1055" s="6" t="str">
        <f ca="1">IFERROR(__xludf.DUMMYFUNCTION("""COMPUTED_VALUE"""),"03 ORL")</f>
        <v>03 ORL</v>
      </c>
      <c r="N1055" s="6" t="str">
        <f ca="1">IFERROR(__xludf.DUMMYFUNCTION("""COMPUTED_VALUE"""),"06 ORL")</f>
        <v>06 ORL</v>
      </c>
      <c r="O1055" s="6" t="str">
        <f ca="1">IFERROR(__xludf.DUMMYFUNCTION("""COMPUTED_VALUE"""),"Dra, María Garrote Garrote")</f>
        <v>Dra, María Garrote Garrote</v>
      </c>
      <c r="P1055" s="6" t="str">
        <f ca="1">IFERROR(__xludf.DUMMYFUNCTION("""COMPUTED_VALUE"""),"Maika Blázquez (Madrid)")</f>
        <v>Maika Blázquez (Madrid)</v>
      </c>
    </row>
    <row r="1056" spans="2:16">
      <c r="B1056" s="6">
        <f ca="1">IFERROR(__xludf.DUMMYFUNCTION("""COMPUTED_VALUE"""),2025)</f>
        <v>2025</v>
      </c>
      <c r="C1056" s="6">
        <f ca="1">IFERROR(__xludf.DUMMYFUNCTION("""COMPUTED_VALUE"""),8)</f>
        <v>8</v>
      </c>
      <c r="D1056" s="6" t="str">
        <f ca="1">IFERROR(__xludf.DUMMYFUNCTION("""COMPUTED_VALUE"""),"NO")</f>
        <v>NO</v>
      </c>
      <c r="E1056" s="6" t="str">
        <f ca="1">IFERROR(__xludf.DUMMYFUNCTION("""COMPUTED_VALUE"""),"Leganés")</f>
        <v>Leganés</v>
      </c>
      <c r="F1056" s="16">
        <f ca="1">IFERROR(__xludf.DUMMYFUNCTION("""COMPUTED_VALUE"""),45896)</f>
        <v>45896</v>
      </c>
      <c r="G1056" s="16">
        <f ca="1">IFERROR(__xludf.DUMMYFUNCTION("""COMPUTED_VALUE"""),45828)</f>
        <v>45828</v>
      </c>
      <c r="H1056" s="6" t="str">
        <f ca="1">IFERROR(__xludf.DUMMYFUNCTION("""COMPUTED_VALUE"""),"Leganés")</f>
        <v>Leganés</v>
      </c>
      <c r="I1056" s="6" t="str">
        <f ca="1">IFERROR(__xludf.DUMMYFUNCTION("""COMPUTED_VALUE"""),"C202572122032603")</f>
        <v>C202572122032603</v>
      </c>
      <c r="J1056" s="6" t="str">
        <f ca="1">IFERROR(__xludf.DUMMYFUNCTION("""COMPUTED_VALUE"""),"DIONISIA PATON SIMON")</f>
        <v>DIONISIA PATON SIMON</v>
      </c>
      <c r="K1056" s="6">
        <f ca="1">IFERROR(__xludf.DUMMYFUNCTION("""COMPUTED_VALUE"""),2)</f>
        <v>2</v>
      </c>
      <c r="L1056" s="139">
        <f ca="1">IFERROR(__xludf.DUMMYFUNCTION("""COMPUTED_VALUE"""),2636.36)</f>
        <v>2636.36</v>
      </c>
      <c r="M1056" s="6" t="str">
        <f ca="1">IFERROR(__xludf.DUMMYFUNCTION("""COMPUTED_VALUE"""),"03 ORL")</f>
        <v>03 ORL</v>
      </c>
      <c r="N1056" s="6" t="str">
        <f ca="1">IFERROR(__xludf.DUMMYFUNCTION("""COMPUTED_VALUE"""),"06 ORL")</f>
        <v>06 ORL</v>
      </c>
      <c r="O1056" s="6" t="str">
        <f ca="1">IFERROR(__xludf.DUMMYFUNCTION("""COMPUTED_VALUE"""),"Dra, Inés Pastor Basterra")</f>
        <v>Dra, Inés Pastor Basterra</v>
      </c>
      <c r="P1056" s="6" t="str">
        <f ca="1">IFERROR(__xludf.DUMMYFUNCTION("""COMPUTED_VALUE"""),"Maika Blázquez (Madrid)")</f>
        <v>Maika Blázquez (Madrid)</v>
      </c>
    </row>
    <row r="1057" spans="2:16">
      <c r="B1057" s="6">
        <f ca="1">IFERROR(__xludf.DUMMYFUNCTION("""COMPUTED_VALUE"""),2025)</f>
        <v>2025</v>
      </c>
      <c r="C1057" s="6">
        <f ca="1">IFERROR(__xludf.DUMMYFUNCTION("""COMPUTED_VALUE"""),8)</f>
        <v>8</v>
      </c>
      <c r="D1057" s="6" t="str">
        <f ca="1">IFERROR(__xludf.DUMMYFUNCTION("""COMPUTED_VALUE"""),"NO")</f>
        <v>NO</v>
      </c>
      <c r="E1057" s="6" t="str">
        <f ca="1">IFERROR(__xludf.DUMMYFUNCTION("""COMPUTED_VALUE"""),"Sevilla- Montoto")</f>
        <v>Sevilla- Montoto</v>
      </c>
      <c r="F1057" s="16">
        <f ca="1">IFERROR(__xludf.DUMMYFUNCTION("""COMPUTED_VALUE"""),45874)</f>
        <v>45874</v>
      </c>
      <c r="G1057" s="16">
        <f ca="1">IFERROR(__xludf.DUMMYFUNCTION("""COMPUTED_VALUE"""),45819)</f>
        <v>45819</v>
      </c>
      <c r="H1057" s="6" t="str">
        <f ca="1">IFERROR(__xludf.DUMMYFUNCTION("""COMPUTED_VALUE"""),"Montoto")</f>
        <v>Montoto</v>
      </c>
      <c r="I1057" s="6" t="str">
        <f ca="1">IFERROR(__xludf.DUMMYFUNCTION("""COMPUTED_VALUE"""),"C2025612101314389")</f>
        <v>C2025612101314389</v>
      </c>
      <c r="J1057" s="6" t="str">
        <f ca="1">IFERROR(__xludf.DUMMYFUNCTION("""COMPUTED_VALUE"""),"EDUARDO QUIÑONES ASUERO")</f>
        <v>EDUARDO QUIÑONES ASUERO</v>
      </c>
      <c r="K1057" s="6">
        <f ca="1">IFERROR(__xludf.DUMMYFUNCTION("""COMPUTED_VALUE"""),1)</f>
        <v>1</v>
      </c>
      <c r="L1057" s="139">
        <f ca="1">IFERROR(__xludf.DUMMYFUNCTION("""COMPUTED_VALUE"""),2244.09)</f>
        <v>2244.09</v>
      </c>
      <c r="M1057" s="6" t="str">
        <f ca="1">IFERROR(__xludf.DUMMYFUNCTION("""COMPUTED_VALUE"""),"03 ORL")</f>
        <v>03 ORL</v>
      </c>
      <c r="N1057" s="6" t="str">
        <f ca="1">IFERROR(__xludf.DUMMYFUNCTION("""COMPUTED_VALUE"""),"06 ORL")</f>
        <v>06 ORL</v>
      </c>
      <c r="O1057" s="6" t="str">
        <f ca="1">IFERROR(__xludf.DUMMYFUNCTION("""COMPUTED_VALUE"""),"Dra, Daniela Terán Guamán")</f>
        <v>Dra, Daniela Terán Guamán</v>
      </c>
      <c r="P1057" s="6" t="str">
        <f ca="1">IFERROR(__xludf.DUMMYFUNCTION("""COMPUTED_VALUE"""),"Luis Alberto Rodríguez (Andalucía y Badajoz)")</f>
        <v>Luis Alberto Rodríguez (Andalucía y Badajoz)</v>
      </c>
    </row>
    <row r="1058" spans="2:16">
      <c r="B1058" s="6">
        <f ca="1">IFERROR(__xludf.DUMMYFUNCTION("""COMPUTED_VALUE"""),2025)</f>
        <v>2025</v>
      </c>
      <c r="C1058" s="6">
        <f ca="1">IFERROR(__xludf.DUMMYFUNCTION("""COMPUTED_VALUE"""),8)</f>
        <v>8</v>
      </c>
      <c r="D1058" s="6" t="str">
        <f ca="1">IFERROR(__xludf.DUMMYFUNCTION("""COMPUTED_VALUE"""),"NO")</f>
        <v>NO</v>
      </c>
      <c r="E1058" s="6" t="str">
        <f ca="1">IFERROR(__xludf.DUMMYFUNCTION("""COMPUTED_VALUE"""),"Murcia")</f>
        <v>Murcia</v>
      </c>
      <c r="F1058" s="16">
        <f ca="1">IFERROR(__xludf.DUMMYFUNCTION("""COMPUTED_VALUE"""),45898)</f>
        <v>45898</v>
      </c>
      <c r="G1058" s="16">
        <f ca="1">IFERROR(__xludf.DUMMYFUNCTION("""COMPUTED_VALUE"""),45839)</f>
        <v>45839</v>
      </c>
      <c r="H1058" s="6" t="str">
        <f ca="1">IFERROR(__xludf.DUMMYFUNCTION("""COMPUTED_VALUE"""),"Murcia")</f>
        <v>Murcia</v>
      </c>
      <c r="I1058" s="6" t="str">
        <f ca="1">IFERROR(__xludf.DUMMYFUNCTION("""COMPUTED_VALUE"""),"C2025721155827451")</f>
        <v>C2025721155827451</v>
      </c>
      <c r="J1058" s="6" t="str">
        <f ca="1">IFERROR(__xludf.DUMMYFUNCTION("""COMPUTED_VALUE"""),"ELENA MARTINEZ FERNANDEZ")</f>
        <v>ELENA MARTINEZ FERNANDEZ</v>
      </c>
      <c r="K1058" s="6">
        <f ca="1">IFERROR(__xludf.DUMMYFUNCTION("""COMPUTED_VALUE"""),1)</f>
        <v>1</v>
      </c>
      <c r="L1058" s="139">
        <f ca="1">IFERROR(__xludf.DUMMYFUNCTION("""COMPUTED_VALUE"""),1784.55)</f>
        <v>1784.55</v>
      </c>
      <c r="M1058" s="6" t="str">
        <f ca="1">IFERROR(__xludf.DUMMYFUNCTION("""COMPUTED_VALUE"""),"03 ORL")</f>
        <v>03 ORL</v>
      </c>
      <c r="N1058" s="6" t="str">
        <f ca="1">IFERROR(__xludf.DUMMYFUNCTION("""COMPUTED_VALUE"""),"06 ORL")</f>
        <v>06 ORL</v>
      </c>
      <c r="O1058" s="6" t="str">
        <f ca="1">IFERROR(__xludf.DUMMYFUNCTION("""COMPUTED_VALUE"""),"Dra, María Agustina Sevilla García")</f>
        <v>Dra, María Agustina Sevilla García</v>
      </c>
      <c r="P1058" s="6" t="str">
        <f ca="1">IFERROR(__xludf.DUMMYFUNCTION("""COMPUTED_VALUE"""),"Iván Sánchez (Levante Y Albacete)")</f>
        <v>Iván Sánchez (Levante Y Albacete)</v>
      </c>
    </row>
    <row r="1059" spans="2:16">
      <c r="B1059" s="6">
        <f ca="1">IFERROR(__xludf.DUMMYFUNCTION("""COMPUTED_VALUE"""),2025)</f>
        <v>2025</v>
      </c>
      <c r="C1059" s="6">
        <f ca="1">IFERROR(__xludf.DUMMYFUNCTION("""COMPUTED_VALUE"""),8)</f>
        <v>8</v>
      </c>
      <c r="D1059" s="6" t="str">
        <f ca="1">IFERROR(__xludf.DUMMYFUNCTION("""COMPUTED_VALUE"""),"NO")</f>
        <v>NO</v>
      </c>
      <c r="E1059" s="6" t="str">
        <f ca="1">IFERROR(__xludf.DUMMYFUNCTION("""COMPUTED_VALUE"""),"Madrid- Monforte de Lemos")</f>
        <v>Madrid- Monforte de Lemos</v>
      </c>
      <c r="F1059" s="16">
        <f ca="1">IFERROR(__xludf.DUMMYFUNCTION("""COMPUTED_VALUE"""),45891)</f>
        <v>45891</v>
      </c>
      <c r="G1059" s="16">
        <f ca="1">IFERROR(__xludf.DUMMYFUNCTION("""COMPUTED_VALUE"""),45412)</f>
        <v>45412</v>
      </c>
      <c r="H1059" s="6" t="str">
        <f ca="1">IFERROR(__xludf.DUMMYFUNCTION("""COMPUTED_VALUE"""),"La Vaguada")</f>
        <v>La Vaguada</v>
      </c>
      <c r="I1059" s="6" t="str">
        <f ca="1">IFERROR(__xludf.DUMMYFUNCTION("""COMPUTED_VALUE"""),"VAG-5367")</f>
        <v>VAG-5367</v>
      </c>
      <c r="J1059" s="6" t="str">
        <f ca="1">IFERROR(__xludf.DUMMYFUNCTION("""COMPUTED_VALUE"""),"ENCARNACION MARTINEZ VILARIÑO")</f>
        <v>ENCARNACION MARTINEZ VILARIÑO</v>
      </c>
      <c r="K1059" s="6">
        <f ca="1">IFERROR(__xludf.DUMMYFUNCTION("""COMPUTED_VALUE"""),2)</f>
        <v>2</v>
      </c>
      <c r="L1059" s="139">
        <f ca="1">IFERROR(__xludf.DUMMYFUNCTION("""COMPUTED_VALUE"""),3604.55)</f>
        <v>3604.55</v>
      </c>
      <c r="M1059" s="6" t="str">
        <f ca="1">IFERROR(__xludf.DUMMYFUNCTION("""COMPUTED_VALUE"""),"03 ORL")</f>
        <v>03 ORL</v>
      </c>
      <c r="N1059" s="6" t="str">
        <f ca="1">IFERROR(__xludf.DUMMYFUNCTION("""COMPUTED_VALUE"""),"06 ORL")</f>
        <v>06 ORL</v>
      </c>
      <c r="O1059" s="6" t="str">
        <f ca="1">IFERROR(__xludf.DUMMYFUNCTION("""COMPUTED_VALUE"""),"Dra, María Cecilia Scola Torres")</f>
        <v>Dra, María Cecilia Scola Torres</v>
      </c>
      <c r="P1059" s="6" t="str">
        <f ca="1">IFERROR(__xludf.DUMMYFUNCTION("""COMPUTED_VALUE"""),"Maika Blázquez (Madrid)")</f>
        <v>Maika Blázquez (Madrid)</v>
      </c>
    </row>
    <row r="1060" spans="2:16">
      <c r="B1060" s="6">
        <f ca="1">IFERROR(__xludf.DUMMYFUNCTION("""COMPUTED_VALUE"""),2025)</f>
        <v>2025</v>
      </c>
      <c r="C1060" s="6">
        <f ca="1">IFERROR(__xludf.DUMMYFUNCTION("""COMPUTED_VALUE"""),8)</f>
        <v>8</v>
      </c>
      <c r="D1060" s="6" t="str">
        <f ca="1">IFERROR(__xludf.DUMMYFUNCTION("""COMPUTED_VALUE"""),"NO")</f>
        <v>NO</v>
      </c>
      <c r="E1060" s="6" t="str">
        <f ca="1">IFERROR(__xludf.DUMMYFUNCTION("""COMPUTED_VALUE"""),"Fuenlabrada")</f>
        <v>Fuenlabrada</v>
      </c>
      <c r="F1060" s="16">
        <f ca="1">IFERROR(__xludf.DUMMYFUNCTION("""COMPUTED_VALUE"""),45897)</f>
        <v>45897</v>
      </c>
      <c r="G1060" s="16">
        <f ca="1">IFERROR(__xludf.DUMMYFUNCTION("""COMPUTED_VALUE"""),45867)</f>
        <v>45867</v>
      </c>
      <c r="H1060" s="6" t="str">
        <f ca="1">IFERROR(__xludf.DUMMYFUNCTION("""COMPUTED_VALUE"""),"Fuenlabrada")</f>
        <v>Fuenlabrada</v>
      </c>
      <c r="I1060" s="6" t="str">
        <f ca="1">IFERROR(__xludf.DUMMYFUNCTION("""COMPUTED_VALUE"""),"C2025731103513675")</f>
        <v>C2025731103513675</v>
      </c>
      <c r="J1060" s="6" t="str">
        <f ca="1">IFERROR(__xludf.DUMMYFUNCTION("""COMPUTED_VALUE"""),"FRANCISCO HERNANDEZ BARBERAN")</f>
        <v>FRANCISCO HERNANDEZ BARBERAN</v>
      </c>
      <c r="K1060" s="6">
        <f ca="1">IFERROR(__xludf.DUMMYFUNCTION("""COMPUTED_VALUE"""),1)</f>
        <v>1</v>
      </c>
      <c r="L1060" s="139">
        <f ca="1">IFERROR(__xludf.DUMMYFUNCTION("""COMPUTED_VALUE"""),2162.73)</f>
        <v>2162.73</v>
      </c>
      <c r="M1060" s="6" t="str">
        <f ca="1">IFERROR(__xludf.DUMMYFUNCTION("""COMPUTED_VALUE"""),"03 ORL")</f>
        <v>03 ORL</v>
      </c>
      <c r="N1060" s="6" t="str">
        <f ca="1">IFERROR(__xludf.DUMMYFUNCTION("""COMPUTED_VALUE"""),"22 AUDIOMETRIA CLINICA")</f>
        <v>22 AUDIOMETRIA CLINICA</v>
      </c>
      <c r="O1060" s="6" t="str">
        <f ca="1">IFERROR(__xludf.DUMMYFUNCTION("""COMPUTED_VALUE"""),"Dr, Adolfo Toledano Muñoz")</f>
        <v>Dr, Adolfo Toledano Muñoz</v>
      </c>
      <c r="P1060" s="6" t="str">
        <f ca="1">IFERROR(__xludf.DUMMYFUNCTION("""COMPUTED_VALUE"""),"Maika Blázquez (Madrid)")</f>
        <v>Maika Blázquez (Madrid)</v>
      </c>
    </row>
    <row r="1061" spans="2:16">
      <c r="B1061" s="6">
        <f ca="1">IFERROR(__xludf.DUMMYFUNCTION("""COMPUTED_VALUE"""),2025)</f>
        <v>2025</v>
      </c>
      <c r="C1061" s="6">
        <f ca="1">IFERROR(__xludf.DUMMYFUNCTION("""COMPUTED_VALUE"""),8)</f>
        <v>8</v>
      </c>
      <c r="D1061" s="6" t="str">
        <f ca="1">IFERROR(__xludf.DUMMYFUNCTION("""COMPUTED_VALUE"""),"NO")</f>
        <v>NO</v>
      </c>
      <c r="E1061" s="6" t="str">
        <f ca="1">IFERROR(__xludf.DUMMYFUNCTION("""COMPUTED_VALUE"""),"Ourense")</f>
        <v>Ourense</v>
      </c>
      <c r="F1061" s="16">
        <f ca="1">IFERROR(__xludf.DUMMYFUNCTION("""COMPUTED_VALUE"""),45891)</f>
        <v>45891</v>
      </c>
      <c r="G1061" s="16">
        <f ca="1">IFERROR(__xludf.DUMMYFUNCTION("""COMPUTED_VALUE"""),45782)</f>
        <v>45782</v>
      </c>
      <c r="H1061" s="6" t="str">
        <f ca="1">IFERROR(__xludf.DUMMYFUNCTION("""COMPUTED_VALUE"""),"Orense")</f>
        <v>Orense</v>
      </c>
      <c r="I1061" s="6" t="str">
        <f ca="1">IFERROR(__xludf.DUMMYFUNCTION("""COMPUTED_VALUE"""),"C20255910648971")</f>
        <v>C20255910648971</v>
      </c>
      <c r="J1061" s="6" t="str">
        <f ca="1">IFERROR(__xludf.DUMMYFUNCTION("""COMPUTED_VALUE"""),"GENARO ALVAREZ SALGADO")</f>
        <v>GENARO ALVAREZ SALGADO</v>
      </c>
      <c r="K1061" s="6">
        <f ca="1">IFERROR(__xludf.DUMMYFUNCTION("""COMPUTED_VALUE"""),2)</f>
        <v>2</v>
      </c>
      <c r="L1061" s="139">
        <f ca="1">IFERROR(__xludf.DUMMYFUNCTION("""COMPUTED_VALUE"""),3710)</f>
        <v>3710</v>
      </c>
      <c r="M1061" s="6" t="str">
        <f ca="1">IFERROR(__xludf.DUMMYFUNCTION("""COMPUTED_VALUE"""),"03 ORL")</f>
        <v>03 ORL</v>
      </c>
      <c r="N1061" s="6" t="str">
        <f ca="1">IFERROR(__xludf.DUMMYFUNCTION("""COMPUTED_VALUE"""),"06 ORL")</f>
        <v>06 ORL</v>
      </c>
      <c r="O1061" s="6" t="str">
        <f ca="1">IFERROR(__xludf.DUMMYFUNCTION("""COMPUTED_VALUE"""),"Dra, María Rey Marcos")</f>
        <v>Dra, María Rey Marcos</v>
      </c>
      <c r="P1061" s="6" t="str">
        <f ca="1">IFERROR(__xludf.DUMMYFUNCTION("""COMPUTED_VALUE"""),"Roberto Pereira (Galicia)")</f>
        <v>Roberto Pereira (Galicia)</v>
      </c>
    </row>
    <row r="1062" spans="2:16">
      <c r="B1062" s="6">
        <f ca="1">IFERROR(__xludf.DUMMYFUNCTION("""COMPUTED_VALUE"""),2025)</f>
        <v>2025</v>
      </c>
      <c r="C1062" s="6">
        <f ca="1">IFERROR(__xludf.DUMMYFUNCTION("""COMPUTED_VALUE"""),8)</f>
        <v>8</v>
      </c>
      <c r="D1062" s="6" t="str">
        <f ca="1">IFERROR(__xludf.DUMMYFUNCTION("""COMPUTED_VALUE"""),"NO")</f>
        <v>NO</v>
      </c>
      <c r="E1062" s="6" t="str">
        <f ca="1">IFERROR(__xludf.DUMMYFUNCTION("""COMPUTED_VALUE"""),"Valencia- Parra")</f>
        <v>Valencia- Parra</v>
      </c>
      <c r="F1062" s="16">
        <f ca="1">IFERROR(__xludf.DUMMYFUNCTION("""COMPUTED_VALUE"""),45896)</f>
        <v>45896</v>
      </c>
      <c r="G1062" s="16">
        <f ca="1">IFERROR(__xludf.DUMMYFUNCTION("""COMPUTED_VALUE"""),45852)</f>
        <v>45852</v>
      </c>
      <c r="H1062" s="6" t="str">
        <f ca="1">IFERROR(__xludf.DUMMYFUNCTION("""COMPUTED_VALUE"""),"Valencia- Parra")</f>
        <v>Valencia- Parra</v>
      </c>
      <c r="I1062" s="6" t="str">
        <f ca="1">IFERROR(__xludf.DUMMYFUNCTION("""COMPUTED_VALUE"""),"C2025717173352454")</f>
        <v>C2025717173352454</v>
      </c>
      <c r="J1062" s="6" t="str">
        <f ca="1">IFERROR(__xludf.DUMMYFUNCTION("""COMPUTED_VALUE"""),"JAIME MATEO GARCIA")</f>
        <v>JAIME MATEO GARCIA</v>
      </c>
      <c r="K1062" s="6">
        <f ca="1">IFERROR(__xludf.DUMMYFUNCTION("""COMPUTED_VALUE"""),2)</f>
        <v>2</v>
      </c>
      <c r="L1062" s="139">
        <f ca="1">IFERROR(__xludf.DUMMYFUNCTION("""COMPUTED_VALUE"""),2718.18)</f>
        <v>2718.18</v>
      </c>
      <c r="M1062" s="6" t="str">
        <f ca="1">IFERROR(__xludf.DUMMYFUNCTION("""COMPUTED_VALUE"""),"03 ORL")</f>
        <v>03 ORL</v>
      </c>
      <c r="N1062" s="6" t="str">
        <f ca="1">IFERROR(__xludf.DUMMYFUNCTION("""COMPUTED_VALUE"""),"06 ORL")</f>
        <v>06 ORL</v>
      </c>
      <c r="O1062" s="6" t="str">
        <f ca="1">IFERROR(__xludf.DUMMYFUNCTION("""COMPUTED_VALUE"""),"Dr, Jean Franco Intraprendente Martini")</f>
        <v>Dr, Jean Franco Intraprendente Martini</v>
      </c>
      <c r="P1062" s="6" t="str">
        <f ca="1">IFERROR(__xludf.DUMMYFUNCTION("""COMPUTED_VALUE"""),"Ramon Ferrando(Valencia)")</f>
        <v>Ramon Ferrando(Valencia)</v>
      </c>
    </row>
    <row r="1063" spans="2:16">
      <c r="B1063" s="6">
        <f ca="1">IFERROR(__xludf.DUMMYFUNCTION("""COMPUTED_VALUE"""),2025)</f>
        <v>2025</v>
      </c>
      <c r="C1063" s="6">
        <f ca="1">IFERROR(__xludf.DUMMYFUNCTION("""COMPUTED_VALUE"""),8)</f>
        <v>8</v>
      </c>
      <c r="D1063" s="6" t="str">
        <f ca="1">IFERROR(__xludf.DUMMYFUNCTION("""COMPUTED_VALUE"""),"NO")</f>
        <v>NO</v>
      </c>
      <c r="E1063" s="6" t="str">
        <f ca="1">IFERROR(__xludf.DUMMYFUNCTION("""COMPUTED_VALUE"""),"Madrid- La Oca")</f>
        <v>Madrid- La Oca</v>
      </c>
      <c r="F1063" s="16">
        <f ca="1">IFERROR(__xludf.DUMMYFUNCTION("""COMPUTED_VALUE"""),45897)</f>
        <v>45897</v>
      </c>
      <c r="G1063" s="16">
        <f ca="1">IFERROR(__xludf.DUMMYFUNCTION("""COMPUTED_VALUE"""),45866)</f>
        <v>45866</v>
      </c>
      <c r="H1063" s="6" t="str">
        <f ca="1">IFERROR(__xludf.DUMMYFUNCTION("""COMPUTED_VALUE"""),"La Oca")</f>
        <v>La Oca</v>
      </c>
      <c r="I1063" s="6" t="str">
        <f ca="1">IFERROR(__xludf.DUMMYFUNCTION("""COMPUTED_VALUE"""),"C202572912251122")</f>
        <v>C202572912251122</v>
      </c>
      <c r="J1063" s="6" t="str">
        <f ca="1">IFERROR(__xludf.DUMMYFUNCTION("""COMPUTED_VALUE"""),"JESUS HERNANDEZ BAUTISTA")</f>
        <v>JESUS HERNANDEZ BAUTISTA</v>
      </c>
      <c r="K1063" s="6">
        <f ca="1">IFERROR(__xludf.DUMMYFUNCTION("""COMPUTED_VALUE"""),2)</f>
        <v>2</v>
      </c>
      <c r="L1063" s="139">
        <f ca="1">IFERROR(__xludf.DUMMYFUNCTION("""COMPUTED_VALUE"""),2581.82)</f>
        <v>2581.8200000000002</v>
      </c>
      <c r="M1063" s="6" t="str">
        <f ca="1">IFERROR(__xludf.DUMMYFUNCTION("""COMPUTED_VALUE"""),"03 ORL")</f>
        <v>03 ORL</v>
      </c>
      <c r="N1063" s="6" t="str">
        <f ca="1">IFERROR(__xludf.DUMMYFUNCTION("""COMPUTED_VALUE"""),"06 ORL")</f>
        <v>06 ORL</v>
      </c>
      <c r="O1063" s="6" t="str">
        <f ca="1">IFERROR(__xludf.DUMMYFUNCTION("""COMPUTED_VALUE"""),"Dr, Ignacio Jiménez Huerta")</f>
        <v>Dr, Ignacio Jiménez Huerta</v>
      </c>
      <c r="P1063" s="6" t="str">
        <f ca="1">IFERROR(__xludf.DUMMYFUNCTION("""COMPUTED_VALUE"""),"Maika Blázquez (Madrid)")</f>
        <v>Maika Blázquez (Madrid)</v>
      </c>
    </row>
    <row r="1064" spans="2:16">
      <c r="B1064" s="6">
        <f ca="1">IFERROR(__xludf.DUMMYFUNCTION("""COMPUTED_VALUE"""),2025)</f>
        <v>2025</v>
      </c>
      <c r="C1064" s="6">
        <f ca="1">IFERROR(__xludf.DUMMYFUNCTION("""COMPUTED_VALUE"""),8)</f>
        <v>8</v>
      </c>
      <c r="D1064" s="6" t="str">
        <f ca="1">IFERROR(__xludf.DUMMYFUNCTION("""COMPUTED_VALUE"""),"NO")</f>
        <v>NO</v>
      </c>
      <c r="E1064" s="6" t="str">
        <f ca="1">IFERROR(__xludf.DUMMYFUNCTION("""COMPUTED_VALUE"""),"Santiago de Compostela")</f>
        <v>Santiago de Compostela</v>
      </c>
      <c r="F1064" s="16">
        <f ca="1">IFERROR(__xludf.DUMMYFUNCTION("""COMPUTED_VALUE"""),45890)</f>
        <v>45890</v>
      </c>
      <c r="G1064" s="16">
        <f ca="1">IFERROR(__xludf.DUMMYFUNCTION("""COMPUTED_VALUE"""),45867)</f>
        <v>45867</v>
      </c>
      <c r="H1064" s="6" t="str">
        <f ca="1">IFERROR(__xludf.DUMMYFUNCTION("""COMPUTED_VALUE"""),"Santiago")</f>
        <v>Santiago</v>
      </c>
      <c r="I1064" s="6" t="str">
        <f ca="1">IFERROR(__xludf.DUMMYFUNCTION("""COMPUTED_VALUE"""),"C202573017349274")</f>
        <v>C202573017349274</v>
      </c>
      <c r="J1064" s="6" t="str">
        <f ca="1">IFERROR(__xludf.DUMMYFUNCTION("""COMPUTED_VALUE"""),"JESUS RUA RAMUDO")</f>
        <v>JESUS RUA RAMUDO</v>
      </c>
      <c r="K1064" s="6">
        <f ca="1">IFERROR(__xludf.DUMMYFUNCTION("""COMPUTED_VALUE"""),2)</f>
        <v>2</v>
      </c>
      <c r="L1064" s="139">
        <f ca="1">IFERROR(__xludf.DUMMYFUNCTION("""COMPUTED_VALUE"""),3631.82)</f>
        <v>3631.82</v>
      </c>
      <c r="M1064" s="6" t="str">
        <f ca="1">IFERROR(__xludf.DUMMYFUNCTION("""COMPUTED_VALUE"""),"03 ORL")</f>
        <v>03 ORL</v>
      </c>
      <c r="N1064" s="6" t="str">
        <f ca="1">IFERROR(__xludf.DUMMYFUNCTION("""COMPUTED_VALUE"""),"06 ORL")</f>
        <v>06 ORL</v>
      </c>
      <c r="O1064" s="6" t="str">
        <f ca="1">IFERROR(__xludf.DUMMYFUNCTION("""COMPUTED_VALUE"""),"Dra, Isabel Vaamonde Sanchez Andrade")</f>
        <v>Dra, Isabel Vaamonde Sanchez Andrade</v>
      </c>
      <c r="P1064" s="6" t="str">
        <f ca="1">IFERROR(__xludf.DUMMYFUNCTION("""COMPUTED_VALUE"""),"Roberto Pereira (Galicia)")</f>
        <v>Roberto Pereira (Galicia)</v>
      </c>
    </row>
    <row r="1065" spans="2:16">
      <c r="B1065" s="6">
        <f ca="1">IFERROR(__xludf.DUMMYFUNCTION("""COMPUTED_VALUE"""),2025)</f>
        <v>2025</v>
      </c>
      <c r="C1065" s="6">
        <f ca="1">IFERROR(__xludf.DUMMYFUNCTION("""COMPUTED_VALUE"""),8)</f>
        <v>8</v>
      </c>
      <c r="D1065" s="6" t="str">
        <f ca="1">IFERROR(__xludf.DUMMYFUNCTION("""COMPUTED_VALUE"""),"NO")</f>
        <v>NO</v>
      </c>
      <c r="E1065" s="6" t="str">
        <f ca="1">IFERROR(__xludf.DUMMYFUNCTION("""COMPUTED_VALUE"""),"Jerez de la Frontera")</f>
        <v>Jerez de la Frontera</v>
      </c>
      <c r="F1065" s="16">
        <f ca="1">IFERROR(__xludf.DUMMYFUNCTION("""COMPUTED_VALUE"""),45876)</f>
        <v>45876</v>
      </c>
      <c r="G1065" s="16">
        <f ca="1">IFERROR(__xludf.DUMMYFUNCTION("""COMPUTED_VALUE"""),45835)</f>
        <v>45835</v>
      </c>
      <c r="H1065" s="6" t="str">
        <f ca="1">IFERROR(__xludf.DUMMYFUNCTION("""COMPUTED_VALUE"""),"Jerez")</f>
        <v>Jerez</v>
      </c>
      <c r="I1065" s="6" t="str">
        <f ca="1">IFERROR(__xludf.DUMMYFUNCTION("""COMPUTED_VALUE"""),"C202587124256978")</f>
        <v>C202587124256978</v>
      </c>
      <c r="J1065" s="6" t="str">
        <f ca="1">IFERROR(__xludf.DUMMYFUNCTION("""COMPUTED_VALUE"""),"JOSE ANTONIO  MACIAS FALCON")</f>
        <v>JOSE ANTONIO  MACIAS FALCON</v>
      </c>
      <c r="K1065" s="6">
        <f ca="1">IFERROR(__xludf.DUMMYFUNCTION("""COMPUTED_VALUE"""),2)</f>
        <v>2</v>
      </c>
      <c r="L1065" s="139">
        <f ca="1">IFERROR(__xludf.DUMMYFUNCTION("""COMPUTED_VALUE"""),2636.36)</f>
        <v>2636.36</v>
      </c>
      <c r="M1065" s="6" t="str">
        <f ca="1">IFERROR(__xludf.DUMMYFUNCTION("""COMPUTED_VALUE"""),"03 ORL")</f>
        <v>03 ORL</v>
      </c>
      <c r="N1065" s="6" t="str">
        <f ca="1">IFERROR(__xludf.DUMMYFUNCTION("""COMPUTED_VALUE"""),"06 ORL")</f>
        <v>06 ORL</v>
      </c>
      <c r="O1065" s="6" t="str">
        <f ca="1">IFERROR(__xludf.DUMMYFUNCTION("""COMPUTED_VALUE"""),"Dra, Maria Del Carmen Salom Coveñas")</f>
        <v>Dra, Maria Del Carmen Salom Coveñas</v>
      </c>
      <c r="P1065" s="6" t="str">
        <f ca="1">IFERROR(__xludf.DUMMYFUNCTION("""COMPUTED_VALUE"""),"Luis Alberto Rodríguez (Andalucía y Badajoz)")</f>
        <v>Luis Alberto Rodríguez (Andalucía y Badajoz)</v>
      </c>
    </row>
    <row r="1066" spans="2:16">
      <c r="B1066" s="6">
        <f ca="1">IFERROR(__xludf.DUMMYFUNCTION("""COMPUTED_VALUE"""),2025)</f>
        <v>2025</v>
      </c>
      <c r="C1066" s="6">
        <f ca="1">IFERROR(__xludf.DUMMYFUNCTION("""COMPUTED_VALUE"""),8)</f>
        <v>8</v>
      </c>
      <c r="D1066" s="6" t="str">
        <f ca="1">IFERROR(__xludf.DUMMYFUNCTION("""COMPUTED_VALUE"""),"NO")</f>
        <v>NO</v>
      </c>
      <c r="E1066" s="6" t="str">
        <f ca="1">IFERROR(__xludf.DUMMYFUNCTION("""COMPUTED_VALUE"""),"Madrid- Juan Bravo")</f>
        <v>Madrid- Juan Bravo</v>
      </c>
      <c r="F1066" s="16">
        <f ca="1">IFERROR(__xludf.DUMMYFUNCTION("""COMPUTED_VALUE"""),45887)</f>
        <v>45887</v>
      </c>
      <c r="G1066" s="16">
        <f ca="1">IFERROR(__xludf.DUMMYFUNCTION("""COMPUTED_VALUE"""),45828)</f>
        <v>45828</v>
      </c>
      <c r="H1066" s="6" t="str">
        <f ca="1">IFERROR(__xludf.DUMMYFUNCTION("""COMPUTED_VALUE"""),"Juan Bravo")</f>
        <v>Juan Bravo</v>
      </c>
      <c r="I1066" s="6" t="str">
        <f ca="1">IFERROR(__xludf.DUMMYFUNCTION("""COMPUTED_VALUE"""),"C202572171020276")</f>
        <v>C202572171020276</v>
      </c>
      <c r="J1066" s="6" t="str">
        <f ca="1">IFERROR(__xludf.DUMMYFUNCTION("""COMPUTED_VALUE"""),"JOSEFA BURGOS LAZARO")</f>
        <v>JOSEFA BURGOS LAZARO</v>
      </c>
      <c r="K1066" s="6">
        <f ca="1">IFERROR(__xludf.DUMMYFUNCTION("""COMPUTED_VALUE"""),2)</f>
        <v>2</v>
      </c>
      <c r="L1066" s="139">
        <f ca="1">IFERROR(__xludf.DUMMYFUNCTION("""COMPUTED_VALUE"""),3306.36)</f>
        <v>3306.36</v>
      </c>
      <c r="M1066" s="6" t="str">
        <f ca="1">IFERROR(__xludf.DUMMYFUNCTION("""COMPUTED_VALUE"""),"03 ORL")</f>
        <v>03 ORL</v>
      </c>
      <c r="N1066" s="6" t="str">
        <f ca="1">IFERROR(__xludf.DUMMYFUNCTION("""COMPUTED_VALUE"""),"06 ORL")</f>
        <v>06 ORL</v>
      </c>
      <c r="O1066" s="6" t="str">
        <f ca="1">IFERROR(__xludf.DUMMYFUNCTION("""COMPUTED_VALUE"""),"Dra, Mar Lasso De La Vega Zamora")</f>
        <v>Dra, Mar Lasso De La Vega Zamora</v>
      </c>
      <c r="P1066" s="6" t="str">
        <f ca="1">IFERROR(__xludf.DUMMYFUNCTION("""COMPUTED_VALUE"""),"Maika Blázquez (Madrid)")</f>
        <v>Maika Blázquez (Madrid)</v>
      </c>
    </row>
    <row r="1067" spans="2:16">
      <c r="B1067" s="6">
        <f ca="1">IFERROR(__xludf.DUMMYFUNCTION("""COMPUTED_VALUE"""),2025)</f>
        <v>2025</v>
      </c>
      <c r="C1067" s="6">
        <f ca="1">IFERROR(__xludf.DUMMYFUNCTION("""COMPUTED_VALUE"""),8)</f>
        <v>8</v>
      </c>
      <c r="D1067" s="6" t="str">
        <f ca="1">IFERROR(__xludf.DUMMYFUNCTION("""COMPUTED_VALUE"""),"NO")</f>
        <v>NO</v>
      </c>
      <c r="E1067" s="6" t="str">
        <f ca="1">IFERROR(__xludf.DUMMYFUNCTION("""COMPUTED_VALUE"""),"Logroño")</f>
        <v>Logroño</v>
      </c>
      <c r="F1067" s="16">
        <f ca="1">IFERROR(__xludf.DUMMYFUNCTION("""COMPUTED_VALUE"""),45898)</f>
        <v>45898</v>
      </c>
      <c r="G1067" s="16">
        <f ca="1">IFERROR(__xludf.DUMMYFUNCTION("""COMPUTED_VALUE"""),45807)</f>
        <v>45807</v>
      </c>
      <c r="H1067" s="6" t="str">
        <f ca="1">IFERROR(__xludf.DUMMYFUNCTION("""COMPUTED_VALUE"""),"Logroño")</f>
        <v>Logroño</v>
      </c>
      <c r="I1067" s="6" t="str">
        <f ca="1">IFERROR(__xludf.DUMMYFUNCTION("""COMPUTED_VALUE"""),"C202563114633778")</f>
        <v>C202563114633778</v>
      </c>
      <c r="J1067" s="6" t="str">
        <f ca="1">IFERROR(__xludf.DUMMYFUNCTION("""COMPUTED_VALUE"""),"JUDITH VALLILENGUA NOVOA")</f>
        <v>JUDITH VALLILENGUA NOVOA</v>
      </c>
      <c r="K1067" s="6">
        <f ca="1">IFERROR(__xludf.DUMMYFUNCTION("""COMPUTED_VALUE"""),1)</f>
        <v>1</v>
      </c>
      <c r="L1067" s="139">
        <f ca="1">IFERROR(__xludf.DUMMYFUNCTION("""COMPUTED_VALUE"""),2400)</f>
        <v>2400</v>
      </c>
      <c r="M1067" s="6" t="str">
        <f ca="1">IFERROR(__xludf.DUMMYFUNCTION("""COMPUTED_VALUE"""),"03 ORL")</f>
        <v>03 ORL</v>
      </c>
      <c r="N1067" s="6" t="str">
        <f ca="1">IFERROR(__xludf.DUMMYFUNCTION("""COMPUTED_VALUE"""),"06 ORL")</f>
        <v>06 ORL</v>
      </c>
      <c r="O1067" s="6" t="str">
        <f ca="1">IFERROR(__xludf.DUMMYFUNCTION("""COMPUTED_VALUE"""),"Dr, Garikoitz Calzada Uriondo")</f>
        <v>Dr, Garikoitz Calzada Uriondo</v>
      </c>
      <c r="P1067" s="6" t="str">
        <f ca="1">IFERROR(__xludf.DUMMYFUNCTION("""COMPUTED_VALUE"""),"Lisandro Russian (Madrid, Cáceres, Toledo, Talavera Y Logroño)")</f>
        <v>Lisandro Russian (Madrid, Cáceres, Toledo, Talavera Y Logroño)</v>
      </c>
    </row>
    <row r="1068" spans="2:16">
      <c r="B1068" s="6">
        <f ca="1">IFERROR(__xludf.DUMMYFUNCTION("""COMPUTED_VALUE"""),2025)</f>
        <v>2025</v>
      </c>
      <c r="C1068" s="6">
        <f ca="1">IFERROR(__xludf.DUMMYFUNCTION("""COMPUTED_VALUE"""),8)</f>
        <v>8</v>
      </c>
      <c r="D1068" s="6" t="str">
        <f ca="1">IFERROR(__xludf.DUMMYFUNCTION("""COMPUTED_VALUE"""),"NO")</f>
        <v>NO</v>
      </c>
      <c r="E1068" s="6" t="str">
        <f ca="1">IFERROR(__xludf.DUMMYFUNCTION("""COMPUTED_VALUE"""),"Madrid- Monforte de Lemos")</f>
        <v>Madrid- Monforte de Lemos</v>
      </c>
      <c r="F1068" s="16">
        <f ca="1">IFERROR(__xludf.DUMMYFUNCTION("""COMPUTED_VALUE"""),45889)</f>
        <v>45889</v>
      </c>
      <c r="G1068" s="16">
        <f ca="1">IFERROR(__xludf.DUMMYFUNCTION("""COMPUTED_VALUE"""),45842)</f>
        <v>45842</v>
      </c>
      <c r="H1068" s="6" t="str">
        <f ca="1">IFERROR(__xludf.DUMMYFUNCTION("""COMPUTED_VALUE"""),"La Vaguada")</f>
        <v>La Vaguada</v>
      </c>
      <c r="I1068" s="6" t="str">
        <f ca="1">IFERROR(__xludf.DUMMYFUNCTION("""COMPUTED_VALUE"""),"C2025721163159413")</f>
        <v>C2025721163159413</v>
      </c>
      <c r="J1068" s="6" t="str">
        <f ca="1">IFERROR(__xludf.DUMMYFUNCTION("""COMPUTED_VALUE"""),"LORENZO BARREDO DIEZ")</f>
        <v>LORENZO BARREDO DIEZ</v>
      </c>
      <c r="K1068" s="6">
        <f ca="1">IFERROR(__xludf.DUMMYFUNCTION("""COMPUTED_VALUE"""),2)</f>
        <v>2</v>
      </c>
      <c r="L1068" s="139">
        <f ca="1">IFERROR(__xludf.DUMMYFUNCTION("""COMPUTED_VALUE"""),4000)</f>
        <v>4000</v>
      </c>
      <c r="M1068" s="6" t="str">
        <f ca="1">IFERROR(__xludf.DUMMYFUNCTION("""COMPUTED_VALUE"""),"03 ORL")</f>
        <v>03 ORL</v>
      </c>
      <c r="N1068" s="6" t="str">
        <f ca="1">IFERROR(__xludf.DUMMYFUNCTION("""COMPUTED_VALUE"""),"06 ORL")</f>
        <v>06 ORL</v>
      </c>
      <c r="O1068" s="6" t="str">
        <f ca="1">IFERROR(__xludf.DUMMYFUNCTION("""COMPUTED_VALUE"""),"Dr, Álvaro Sánchez de Arriba")</f>
        <v>Dr, Álvaro Sánchez de Arriba</v>
      </c>
      <c r="P1068" s="6" t="str">
        <f ca="1">IFERROR(__xludf.DUMMYFUNCTION("""COMPUTED_VALUE"""),"Lisandro Russian (Madrid, Cáceres, Toledo, Talavera Y Logroño)")</f>
        <v>Lisandro Russian (Madrid, Cáceres, Toledo, Talavera Y Logroño)</v>
      </c>
    </row>
    <row r="1069" spans="2:16">
      <c r="B1069" s="6">
        <f ca="1">IFERROR(__xludf.DUMMYFUNCTION("""COMPUTED_VALUE"""),2025)</f>
        <v>2025</v>
      </c>
      <c r="C1069" s="6">
        <f ca="1">IFERROR(__xludf.DUMMYFUNCTION("""COMPUTED_VALUE"""),8)</f>
        <v>8</v>
      </c>
      <c r="D1069" s="6" t="str">
        <f ca="1">IFERROR(__xludf.DUMMYFUNCTION("""COMPUTED_VALUE"""),"NO")</f>
        <v>NO</v>
      </c>
      <c r="E1069" s="6" t="str">
        <f ca="1">IFERROR(__xludf.DUMMYFUNCTION("""COMPUTED_VALUE"""),"Lugo")</f>
        <v>Lugo</v>
      </c>
      <c r="F1069" s="16">
        <f ca="1">IFERROR(__xludf.DUMMYFUNCTION("""COMPUTED_VALUE"""),45890)</f>
        <v>45890</v>
      </c>
      <c r="G1069" s="16">
        <f ca="1">IFERROR(__xludf.DUMMYFUNCTION("""COMPUTED_VALUE"""),45853)</f>
        <v>45853</v>
      </c>
      <c r="H1069" s="6" t="str">
        <f ca="1">IFERROR(__xludf.DUMMYFUNCTION("""COMPUTED_VALUE"""),"Lugo")</f>
        <v>Lugo</v>
      </c>
      <c r="I1069" s="6" t="str">
        <f ca="1">IFERROR(__xludf.DUMMYFUNCTION("""COMPUTED_VALUE"""),"C20257179330428")</f>
        <v>C20257179330428</v>
      </c>
      <c r="J1069" s="6" t="str">
        <f ca="1">IFERROR(__xludf.DUMMYFUNCTION("""COMPUTED_VALUE"""),"MANUEL  ALVAREZ BURGUE")</f>
        <v>MANUEL  ALVAREZ BURGUE</v>
      </c>
      <c r="K1069" s="6">
        <f ca="1">IFERROR(__xludf.DUMMYFUNCTION("""COMPUTED_VALUE"""),2)</f>
        <v>2</v>
      </c>
      <c r="L1069" s="139">
        <f ca="1">IFERROR(__xludf.DUMMYFUNCTION("""COMPUTED_VALUE"""),2495.45)</f>
        <v>2495.4499999999998</v>
      </c>
      <c r="M1069" s="6" t="str">
        <f ca="1">IFERROR(__xludf.DUMMYFUNCTION("""COMPUTED_VALUE"""),"03 ORL")</f>
        <v>03 ORL</v>
      </c>
      <c r="N1069" s="6" t="str">
        <f ca="1">IFERROR(__xludf.DUMMYFUNCTION("""COMPUTED_VALUE"""),"06 ORL")</f>
        <v>06 ORL</v>
      </c>
      <c r="O1069" s="6" t="str">
        <f ca="1">IFERROR(__xludf.DUMMYFUNCTION("""COMPUTED_VALUE"""),"Dr, Pedro Juiz López")</f>
        <v>Dr, Pedro Juiz López</v>
      </c>
      <c r="P1069" s="6" t="str">
        <f ca="1">IFERROR(__xludf.DUMMYFUNCTION("""COMPUTED_VALUE"""),"Roberto Pereira (Galicia)")</f>
        <v>Roberto Pereira (Galicia)</v>
      </c>
    </row>
    <row r="1070" spans="2:16">
      <c r="B1070" s="6">
        <f ca="1">IFERROR(__xludf.DUMMYFUNCTION("""COMPUTED_VALUE"""),2025)</f>
        <v>2025</v>
      </c>
      <c r="C1070" s="6">
        <f ca="1">IFERROR(__xludf.DUMMYFUNCTION("""COMPUTED_VALUE"""),8)</f>
        <v>8</v>
      </c>
      <c r="D1070" s="6" t="str">
        <f ca="1">IFERROR(__xludf.DUMMYFUNCTION("""COMPUTED_VALUE"""),"NO")</f>
        <v>NO</v>
      </c>
      <c r="E1070" s="6" t="str">
        <f ca="1">IFERROR(__xludf.DUMMYFUNCTION("""COMPUTED_VALUE"""),"Sevilla- Montoto")</f>
        <v>Sevilla- Montoto</v>
      </c>
      <c r="F1070" s="16">
        <f ca="1">IFERROR(__xludf.DUMMYFUNCTION("""COMPUTED_VALUE"""),45876)</f>
        <v>45876</v>
      </c>
      <c r="G1070" s="16">
        <f ca="1">IFERROR(__xludf.DUMMYFUNCTION("""COMPUTED_VALUE"""),45845)</f>
        <v>45845</v>
      </c>
      <c r="H1070" s="6" t="str">
        <f ca="1">IFERROR(__xludf.DUMMYFUNCTION("""COMPUTED_VALUE"""),"Montoto")</f>
        <v>Montoto</v>
      </c>
      <c r="I1070" s="6" t="str">
        <f ca="1">IFERROR(__xludf.DUMMYFUNCTION("""COMPUTED_VALUE"""),"C2025711124459405")</f>
        <v>C2025711124459405</v>
      </c>
      <c r="J1070" s="6" t="str">
        <f ca="1">IFERROR(__xludf.DUMMYFUNCTION("""COMPUTED_VALUE"""),"MANUEL GONZALEZ GARCIA")</f>
        <v>MANUEL GONZALEZ GARCIA</v>
      </c>
      <c r="K1070" s="6">
        <f ca="1">IFERROR(__xludf.DUMMYFUNCTION("""COMPUTED_VALUE"""),1)</f>
        <v>1</v>
      </c>
      <c r="L1070" s="139">
        <f ca="1">IFERROR(__xludf.DUMMYFUNCTION("""COMPUTED_VALUE"""),1646.09)</f>
        <v>1646.09</v>
      </c>
      <c r="M1070" s="6" t="str">
        <f ca="1">IFERROR(__xludf.DUMMYFUNCTION("""COMPUTED_VALUE"""),"03 ORL")</f>
        <v>03 ORL</v>
      </c>
      <c r="N1070" s="6" t="str">
        <f ca="1">IFERROR(__xludf.DUMMYFUNCTION("""COMPUTED_VALUE"""),"06 ORL")</f>
        <v>06 ORL</v>
      </c>
      <c r="O1070" s="6" t="str">
        <f ca="1">IFERROR(__xludf.DUMMYFUNCTION("""COMPUTED_VALUE"""),"Dra, Paloma Martín Díaz")</f>
        <v>Dra, Paloma Martín Díaz</v>
      </c>
      <c r="P1070" s="6" t="str">
        <f ca="1">IFERROR(__xludf.DUMMYFUNCTION("""COMPUTED_VALUE"""),"Luis Alberto Rodríguez (Andalucía y Badajoz)")</f>
        <v>Luis Alberto Rodríguez (Andalucía y Badajoz)</v>
      </c>
    </row>
    <row r="1071" spans="2:16">
      <c r="B1071" s="6">
        <f ca="1">IFERROR(__xludf.DUMMYFUNCTION("""COMPUTED_VALUE"""),2025)</f>
        <v>2025</v>
      </c>
      <c r="C1071" s="6">
        <f ca="1">IFERROR(__xludf.DUMMYFUNCTION("""COMPUTED_VALUE"""),8)</f>
        <v>8</v>
      </c>
      <c r="D1071" s="6" t="str">
        <f ca="1">IFERROR(__xludf.DUMMYFUNCTION("""COMPUTED_VALUE"""),"NO")</f>
        <v>NO</v>
      </c>
      <c r="E1071" s="6" t="str">
        <f ca="1">IFERROR(__xludf.DUMMYFUNCTION("""COMPUTED_VALUE"""),"Orihuela")</f>
        <v>Orihuela</v>
      </c>
      <c r="F1071" s="16">
        <f ca="1">IFERROR(__xludf.DUMMYFUNCTION("""COMPUTED_VALUE"""),45888)</f>
        <v>45888</v>
      </c>
      <c r="G1071" s="16">
        <f ca="1">IFERROR(__xludf.DUMMYFUNCTION("""COMPUTED_VALUE"""),45856)</f>
        <v>45856</v>
      </c>
      <c r="H1071" s="6" t="str">
        <f ca="1">IFERROR(__xludf.DUMMYFUNCTION("""COMPUTED_VALUE"""),"La Zenia")</f>
        <v>La Zenia</v>
      </c>
      <c r="I1071" s="6" t="str">
        <f ca="1">IFERROR(__xludf.DUMMYFUNCTION("""COMPUTED_VALUE"""),"C2025722155358807")</f>
        <v>C2025722155358807</v>
      </c>
      <c r="J1071" s="6" t="str">
        <f ca="1">IFERROR(__xludf.DUMMYFUNCTION("""COMPUTED_VALUE"""),"MARC JEREMY LAWRENCE")</f>
        <v>MARC JEREMY LAWRENCE</v>
      </c>
      <c r="K1071" s="6">
        <f ca="1">IFERROR(__xludf.DUMMYFUNCTION("""COMPUTED_VALUE"""),1)</f>
        <v>1</v>
      </c>
      <c r="L1071" s="139">
        <f ca="1">IFERROR(__xludf.DUMMYFUNCTION("""COMPUTED_VALUE"""),2481.82)</f>
        <v>2481.8200000000002</v>
      </c>
      <c r="M1071" s="6" t="str">
        <f ca="1">IFERROR(__xludf.DUMMYFUNCTION("""COMPUTED_VALUE"""),"03 ORL")</f>
        <v>03 ORL</v>
      </c>
      <c r="N1071" s="6" t="str">
        <f ca="1">IFERROR(__xludf.DUMMYFUNCTION("""COMPUTED_VALUE"""),"06 ORL")</f>
        <v>06 ORL</v>
      </c>
      <c r="O1071" s="6" t="str">
        <f ca="1">IFERROR(__xludf.DUMMYFUNCTION("""COMPUTED_VALUE"""),"Dr, Juan Javier Álvarez López")</f>
        <v>Dr, Juan Javier Álvarez López</v>
      </c>
      <c r="P1071" s="6" t="str">
        <f ca="1">IFERROR(__xludf.DUMMYFUNCTION("""COMPUTED_VALUE"""),"Iván Sánchez (Levante Y Albacete)")</f>
        <v>Iván Sánchez (Levante Y Albacete)</v>
      </c>
    </row>
    <row r="1072" spans="2:16">
      <c r="B1072" s="6">
        <f ca="1">IFERROR(__xludf.DUMMYFUNCTION("""COMPUTED_VALUE"""),2025)</f>
        <v>2025</v>
      </c>
      <c r="C1072" s="6">
        <f ca="1">IFERROR(__xludf.DUMMYFUNCTION("""COMPUTED_VALUE"""),8)</f>
        <v>8</v>
      </c>
      <c r="D1072" s="6" t="str">
        <f ca="1">IFERROR(__xludf.DUMMYFUNCTION("""COMPUTED_VALUE"""),"NO")</f>
        <v>NO</v>
      </c>
      <c r="E1072" s="6" t="str">
        <f ca="1">IFERROR(__xludf.DUMMYFUNCTION("""COMPUTED_VALUE"""),"Móstoles")</f>
        <v>Móstoles</v>
      </c>
      <c r="F1072" s="16">
        <f ca="1">IFERROR(__xludf.DUMMYFUNCTION("""COMPUTED_VALUE"""),45898)</f>
        <v>45898</v>
      </c>
      <c r="G1072" s="16">
        <f ca="1">IFERROR(__xludf.DUMMYFUNCTION("""COMPUTED_VALUE"""),45603)</f>
        <v>45603</v>
      </c>
      <c r="H1072" s="6" t="str">
        <f ca="1">IFERROR(__xludf.DUMMYFUNCTION("""COMPUTED_VALUE"""),"Móstoles")</f>
        <v>Móstoles</v>
      </c>
      <c r="I1072" s="6" t="str">
        <f ca="1">IFERROR(__xludf.DUMMYFUNCTION("""COMPUTED_VALUE"""),"C202411141803749")</f>
        <v>C202411141803749</v>
      </c>
      <c r="J1072" s="6" t="str">
        <f ca="1">IFERROR(__xludf.DUMMYFUNCTION("""COMPUTED_VALUE"""),"MARGARITA TORO GALIANA")</f>
        <v>MARGARITA TORO GALIANA</v>
      </c>
      <c r="K1072" s="6">
        <f ca="1">IFERROR(__xludf.DUMMYFUNCTION("""COMPUTED_VALUE"""),1)</f>
        <v>1</v>
      </c>
      <c r="L1072" s="139">
        <f ca="1">IFERROR(__xludf.DUMMYFUNCTION("""COMPUTED_VALUE"""),2280)</f>
        <v>2280</v>
      </c>
      <c r="M1072" s="6" t="str">
        <f ca="1">IFERROR(__xludf.DUMMYFUNCTION("""COMPUTED_VALUE"""),"03 ORL")</f>
        <v>03 ORL</v>
      </c>
      <c r="N1072" s="6" t="str">
        <f ca="1">IFERROR(__xludf.DUMMYFUNCTION("""COMPUTED_VALUE"""),"06 ORL")</f>
        <v>06 ORL</v>
      </c>
      <c r="O1072" s="6" t="str">
        <f ca="1">IFERROR(__xludf.DUMMYFUNCTION("""COMPUTED_VALUE"""),"Dr, Alejandro Harguindey Antoli-Candela")</f>
        <v>Dr, Alejandro Harguindey Antoli-Candela</v>
      </c>
      <c r="P1072" s="6" t="str">
        <f ca="1">IFERROR(__xludf.DUMMYFUNCTION("""COMPUTED_VALUE"""),"Maika Blázquez (Madrid)")</f>
        <v>Maika Blázquez (Madrid)</v>
      </c>
    </row>
    <row r="1073" spans="2:16">
      <c r="B1073" s="6">
        <f ca="1">IFERROR(__xludf.DUMMYFUNCTION("""COMPUTED_VALUE"""),2025)</f>
        <v>2025</v>
      </c>
      <c r="C1073" s="6">
        <f ca="1">IFERROR(__xludf.DUMMYFUNCTION("""COMPUTED_VALUE"""),8)</f>
        <v>8</v>
      </c>
      <c r="D1073" s="6" t="str">
        <f ca="1">IFERROR(__xludf.DUMMYFUNCTION("""COMPUTED_VALUE"""),"NO")</f>
        <v>NO</v>
      </c>
      <c r="E1073" s="6" t="str">
        <f ca="1">IFERROR(__xludf.DUMMYFUNCTION("""COMPUTED_VALUE"""),"Toledo")</f>
        <v>Toledo</v>
      </c>
      <c r="F1073" s="16">
        <f ca="1">IFERROR(__xludf.DUMMYFUNCTION("""COMPUTED_VALUE"""),45875)</f>
        <v>45875</v>
      </c>
      <c r="G1073" s="16">
        <f ca="1">IFERROR(__xludf.DUMMYFUNCTION("""COMPUTED_VALUE"""),45841)</f>
        <v>45841</v>
      </c>
      <c r="H1073" s="6" t="str">
        <f ca="1">IFERROR(__xludf.DUMMYFUNCTION("""COMPUTED_VALUE"""),"Toledo")</f>
        <v>Toledo</v>
      </c>
      <c r="I1073" s="6" t="str">
        <f ca="1">IFERROR(__xludf.DUMMYFUNCTION("""COMPUTED_VALUE"""),"C2025724181189")</f>
        <v>C2025724181189</v>
      </c>
      <c r="J1073" s="6" t="str">
        <f ca="1">IFERROR(__xludf.DUMMYFUNCTION("""COMPUTED_VALUE"""),"MARIA DOBLADO RODRIGUEZ")</f>
        <v>MARIA DOBLADO RODRIGUEZ</v>
      </c>
      <c r="K1073" s="6">
        <f ca="1">IFERROR(__xludf.DUMMYFUNCTION("""COMPUTED_VALUE"""),1)</f>
        <v>1</v>
      </c>
      <c r="L1073" s="139">
        <f ca="1">IFERROR(__xludf.DUMMYFUNCTION("""COMPUTED_VALUE"""),1200)</f>
        <v>1200</v>
      </c>
      <c r="M1073" s="6" t="str">
        <f ca="1">IFERROR(__xludf.DUMMYFUNCTION("""COMPUTED_VALUE"""),"03 ORL")</f>
        <v>03 ORL</v>
      </c>
      <c r="N1073" s="6" t="str">
        <f ca="1">IFERROR(__xludf.DUMMYFUNCTION("""COMPUTED_VALUE"""),"06 ORL")</f>
        <v>06 ORL</v>
      </c>
      <c r="O1073" s="6" t="str">
        <f ca="1">IFERROR(__xludf.DUMMYFUNCTION("""COMPUTED_VALUE"""),"Dra, María Garrote Garrote")</f>
        <v>Dra, María Garrote Garrote</v>
      </c>
      <c r="P1073" s="6" t="str">
        <f ca="1">IFERROR(__xludf.DUMMYFUNCTION("""COMPUTED_VALUE"""),"Maika Blázquez (Madrid)")</f>
        <v>Maika Blázquez (Madrid)</v>
      </c>
    </row>
    <row r="1074" spans="2:16">
      <c r="B1074" s="6">
        <f ca="1">IFERROR(__xludf.DUMMYFUNCTION("""COMPUTED_VALUE"""),2025)</f>
        <v>2025</v>
      </c>
      <c r="C1074" s="6">
        <f ca="1">IFERROR(__xludf.DUMMYFUNCTION("""COMPUTED_VALUE"""),8)</f>
        <v>8</v>
      </c>
      <c r="D1074" s="6" t="str">
        <f ca="1">IFERROR(__xludf.DUMMYFUNCTION("""COMPUTED_VALUE"""),"NO")</f>
        <v>NO</v>
      </c>
      <c r="E1074" s="6" t="str">
        <f ca="1">IFERROR(__xludf.DUMMYFUNCTION("""COMPUTED_VALUE"""),"Torrejón de Ardoz")</f>
        <v>Torrejón de Ardoz</v>
      </c>
      <c r="F1074" s="16">
        <f ca="1">IFERROR(__xludf.DUMMYFUNCTION("""COMPUTED_VALUE"""),45896)</f>
        <v>45896</v>
      </c>
      <c r="G1074" s="16">
        <f ca="1">IFERROR(__xludf.DUMMYFUNCTION("""COMPUTED_VALUE"""),45834)</f>
        <v>45834</v>
      </c>
      <c r="H1074" s="6" t="str">
        <f ca="1">IFERROR(__xludf.DUMMYFUNCTION("""COMPUTED_VALUE"""),"Torrejón")</f>
        <v>Torrejón</v>
      </c>
      <c r="I1074" s="6" t="str">
        <f ca="1">IFERROR(__xludf.DUMMYFUNCTION("""COMPUTED_VALUE"""),"C202571101131108")</f>
        <v>C202571101131108</v>
      </c>
      <c r="J1074" s="6" t="str">
        <f ca="1">IFERROR(__xludf.DUMMYFUNCTION("""COMPUTED_VALUE"""),"MARIA EUGENIA ARBOLEA ARAGONCILLO")</f>
        <v>MARIA EUGENIA ARBOLEA ARAGONCILLO</v>
      </c>
      <c r="K1074" s="6">
        <f ca="1">IFERROR(__xludf.DUMMYFUNCTION("""COMPUTED_VALUE"""),2)</f>
        <v>2</v>
      </c>
      <c r="L1074" s="139">
        <f ca="1">IFERROR(__xludf.DUMMYFUNCTION("""COMPUTED_VALUE"""),3523.64)</f>
        <v>3523.64</v>
      </c>
      <c r="M1074" s="6" t="str">
        <f ca="1">IFERROR(__xludf.DUMMYFUNCTION("""COMPUTED_VALUE"""),"03 ORL")</f>
        <v>03 ORL</v>
      </c>
      <c r="N1074" s="6" t="str">
        <f ca="1">IFERROR(__xludf.DUMMYFUNCTION("""COMPUTED_VALUE"""),"06 ORL")</f>
        <v>06 ORL</v>
      </c>
      <c r="O1074" s="6" t="str">
        <f ca="1">IFERROR(__xludf.DUMMYFUNCTION("""COMPUTED_VALUE"""),"Dr, Pablo García González")</f>
        <v>Dr, Pablo García González</v>
      </c>
      <c r="P1074" s="6" t="str">
        <f ca="1">IFERROR(__xludf.DUMMYFUNCTION("""COMPUTED_VALUE"""),"Maika Blázquez (Madrid)")</f>
        <v>Maika Blázquez (Madrid)</v>
      </c>
    </row>
    <row r="1075" spans="2:16">
      <c r="B1075" s="6">
        <f ca="1">IFERROR(__xludf.DUMMYFUNCTION("""COMPUTED_VALUE"""),2025)</f>
        <v>2025</v>
      </c>
      <c r="C1075" s="6">
        <f ca="1">IFERROR(__xludf.DUMMYFUNCTION("""COMPUTED_VALUE"""),8)</f>
        <v>8</v>
      </c>
      <c r="D1075" s="6" t="str">
        <f ca="1">IFERROR(__xludf.DUMMYFUNCTION("""COMPUTED_VALUE"""),"NO")</f>
        <v>NO</v>
      </c>
      <c r="E1075" s="6" t="str">
        <f ca="1">IFERROR(__xludf.DUMMYFUNCTION("""COMPUTED_VALUE"""),"Leganés")</f>
        <v>Leganés</v>
      </c>
      <c r="F1075" s="16">
        <f ca="1">IFERROR(__xludf.DUMMYFUNCTION("""COMPUTED_VALUE"""),45876)</f>
        <v>45876</v>
      </c>
      <c r="G1075" s="16">
        <f ca="1">IFERROR(__xludf.DUMMYFUNCTION("""COMPUTED_VALUE"""),45848)</f>
        <v>45848</v>
      </c>
      <c r="H1075" s="6" t="str">
        <f ca="1">IFERROR(__xludf.DUMMYFUNCTION("""COMPUTED_VALUE"""),"Leganés")</f>
        <v>Leganés</v>
      </c>
      <c r="I1075" s="6" t="str">
        <f ca="1">IFERROR(__xludf.DUMMYFUNCTION("""COMPUTED_VALUE"""),"C2025716175810999")</f>
        <v>C2025716175810999</v>
      </c>
      <c r="J1075" s="6" t="str">
        <f ca="1">IFERROR(__xludf.DUMMYFUNCTION("""COMPUTED_VALUE"""),"MARIA RUIZ LETRADO")</f>
        <v>MARIA RUIZ LETRADO</v>
      </c>
      <c r="K1075" s="6">
        <f ca="1">IFERROR(__xludf.DUMMYFUNCTION("""COMPUTED_VALUE"""),2)</f>
        <v>2</v>
      </c>
      <c r="L1075" s="139">
        <f ca="1">IFERROR(__xludf.DUMMYFUNCTION("""COMPUTED_VALUE"""),3450)</f>
        <v>3450</v>
      </c>
      <c r="M1075" s="6" t="str">
        <f ca="1">IFERROR(__xludf.DUMMYFUNCTION("""COMPUTED_VALUE"""),"03 ORL")</f>
        <v>03 ORL</v>
      </c>
      <c r="N1075" s="6" t="str">
        <f ca="1">IFERROR(__xludf.DUMMYFUNCTION("""COMPUTED_VALUE"""),"06 ORL")</f>
        <v>06 ORL</v>
      </c>
      <c r="O1075" s="6" t="str">
        <f ca="1">IFERROR(__xludf.DUMMYFUNCTION("""COMPUTED_VALUE"""),"Dra, Mar Lasso de la Vega Zamora")</f>
        <v>Dra, Mar Lasso de la Vega Zamora</v>
      </c>
      <c r="P1075" s="6" t="str">
        <f ca="1">IFERROR(__xludf.DUMMYFUNCTION("""COMPUTED_VALUE"""),"Maika Blázquez (Madrid)")</f>
        <v>Maika Blázquez (Madrid)</v>
      </c>
    </row>
    <row r="1076" spans="2:16">
      <c r="B1076" s="6">
        <f ca="1">IFERROR(__xludf.DUMMYFUNCTION("""COMPUTED_VALUE"""),2025)</f>
        <v>2025</v>
      </c>
      <c r="C1076" s="6">
        <f ca="1">IFERROR(__xludf.DUMMYFUNCTION("""COMPUTED_VALUE"""),8)</f>
        <v>8</v>
      </c>
      <c r="D1076" s="6" t="str">
        <f ca="1">IFERROR(__xludf.DUMMYFUNCTION("""COMPUTED_VALUE"""),"NO")</f>
        <v>NO</v>
      </c>
      <c r="E1076" s="6" t="str">
        <f ca="1">IFERROR(__xludf.DUMMYFUNCTION("""COMPUTED_VALUE"""),"Murcia")</f>
        <v>Murcia</v>
      </c>
      <c r="F1076" s="16">
        <f ca="1">IFERROR(__xludf.DUMMYFUNCTION("""COMPUTED_VALUE"""),45898)</f>
        <v>45898</v>
      </c>
      <c r="G1076" s="16">
        <f ca="1">IFERROR(__xludf.DUMMYFUNCTION("""COMPUTED_VALUE"""),45888)</f>
        <v>45888</v>
      </c>
      <c r="H1076" s="6" t="str">
        <f ca="1">IFERROR(__xludf.DUMMYFUNCTION("""COMPUTED_VALUE"""),"Murcia")</f>
        <v>Murcia</v>
      </c>
      <c r="I1076" s="6" t="str">
        <f ca="1">IFERROR(__xludf.DUMMYFUNCTION("""COMPUTED_VALUE"""),"C202582111928956")</f>
        <v>C202582111928956</v>
      </c>
      <c r="J1076" s="6" t="str">
        <f ca="1">IFERROR(__xludf.DUMMYFUNCTION("""COMPUTED_VALUE"""),"MARITZA ARENAS MUÑOZ")</f>
        <v>MARITZA ARENAS MUÑOZ</v>
      </c>
      <c r="K1076" s="6">
        <f ca="1">IFERROR(__xludf.DUMMYFUNCTION("""COMPUTED_VALUE"""),2)</f>
        <v>2</v>
      </c>
      <c r="L1076" s="139">
        <f ca="1">IFERROR(__xludf.DUMMYFUNCTION("""COMPUTED_VALUE"""),3631.81)</f>
        <v>3631.81</v>
      </c>
      <c r="M1076" s="6" t="str">
        <f ca="1">IFERROR(__xludf.DUMMYFUNCTION("""COMPUTED_VALUE"""),"03 ORL")</f>
        <v>03 ORL</v>
      </c>
      <c r="N1076" s="6" t="str">
        <f ca="1">IFERROR(__xludf.DUMMYFUNCTION("""COMPUTED_VALUE"""),"06 ORL")</f>
        <v>06 ORL</v>
      </c>
      <c r="O1076" s="6" t="str">
        <f ca="1">IFERROR(__xludf.DUMMYFUNCTION("""COMPUTED_VALUE"""),"Dra, Beatriz Rodríguez González Herrero")</f>
        <v>Dra, Beatriz Rodríguez González Herrero</v>
      </c>
      <c r="P1076" s="6" t="str">
        <f ca="1">IFERROR(__xludf.DUMMYFUNCTION("""COMPUTED_VALUE"""),"Iván Sánchez (Levante Y Albacete)")</f>
        <v>Iván Sánchez (Levante Y Albacete)</v>
      </c>
    </row>
    <row r="1077" spans="2:16">
      <c r="B1077" s="6">
        <f ca="1">IFERROR(__xludf.DUMMYFUNCTION("""COMPUTED_VALUE"""),2025)</f>
        <v>2025</v>
      </c>
      <c r="C1077" s="6">
        <f ca="1">IFERROR(__xludf.DUMMYFUNCTION("""COMPUTED_VALUE"""),8)</f>
        <v>8</v>
      </c>
      <c r="D1077" s="6" t="str">
        <f ca="1">IFERROR(__xludf.DUMMYFUNCTION("""COMPUTED_VALUE"""),"NO")</f>
        <v>NO</v>
      </c>
      <c r="E1077" s="6" t="str">
        <f ca="1">IFERROR(__xludf.DUMMYFUNCTION("""COMPUTED_VALUE"""),"Murcia")</f>
        <v>Murcia</v>
      </c>
      <c r="F1077" s="16">
        <f ca="1">IFERROR(__xludf.DUMMYFUNCTION("""COMPUTED_VALUE"""),45898)</f>
        <v>45898</v>
      </c>
      <c r="G1077" s="16">
        <f ca="1">IFERROR(__xludf.DUMMYFUNCTION("""COMPUTED_VALUE"""),45876)</f>
        <v>45876</v>
      </c>
      <c r="H1077" s="6" t="str">
        <f ca="1">IFERROR(__xludf.DUMMYFUNCTION("""COMPUTED_VALUE"""),"Murcia")</f>
        <v>Murcia</v>
      </c>
      <c r="I1077" s="6" t="str">
        <f ca="1">IFERROR(__xludf.DUMMYFUNCTION("""COMPUTED_VALUE"""),"C202581992053548")</f>
        <v>C202581992053548</v>
      </c>
      <c r="J1077" s="6" t="str">
        <f ca="1">IFERROR(__xludf.DUMMYFUNCTION("""COMPUTED_VALUE"""),"MATIAS BELMONTE CARRIQUE")</f>
        <v>MATIAS BELMONTE CARRIQUE</v>
      </c>
      <c r="K1077" s="6">
        <f ca="1">IFERROR(__xludf.DUMMYFUNCTION("""COMPUTED_VALUE"""),2)</f>
        <v>2</v>
      </c>
      <c r="L1077" s="139">
        <f ca="1">IFERROR(__xludf.DUMMYFUNCTION("""COMPUTED_VALUE"""),3927.27)</f>
        <v>3927.27</v>
      </c>
      <c r="M1077" s="6" t="str">
        <f ca="1">IFERROR(__xludf.DUMMYFUNCTION("""COMPUTED_VALUE"""),"03 ORL")</f>
        <v>03 ORL</v>
      </c>
      <c r="N1077" s="6" t="str">
        <f ca="1">IFERROR(__xludf.DUMMYFUNCTION("""COMPUTED_VALUE"""),"06 ORL")</f>
        <v>06 ORL</v>
      </c>
      <c r="O1077" s="6" t="str">
        <f ca="1">IFERROR(__xludf.DUMMYFUNCTION("""COMPUTED_VALUE"""),"Dr, Alfonso Marco Garrido")</f>
        <v>Dr, Alfonso Marco Garrido</v>
      </c>
      <c r="P1077" s="6" t="str">
        <f ca="1">IFERROR(__xludf.DUMMYFUNCTION("""COMPUTED_VALUE"""),"Iván Sánchez (Levante Y Albacete)")</f>
        <v>Iván Sánchez (Levante Y Albacete)</v>
      </c>
    </row>
    <row r="1078" spans="2:16">
      <c r="B1078" s="6">
        <f ca="1">IFERROR(__xludf.DUMMYFUNCTION("""COMPUTED_VALUE"""),2025)</f>
        <v>2025</v>
      </c>
      <c r="C1078" s="6">
        <f ca="1">IFERROR(__xludf.DUMMYFUNCTION("""COMPUTED_VALUE"""),8)</f>
        <v>8</v>
      </c>
      <c r="D1078" s="6" t="str">
        <f ca="1">IFERROR(__xludf.DUMMYFUNCTION("""COMPUTED_VALUE"""),"NO")</f>
        <v>NO</v>
      </c>
      <c r="E1078" s="6" t="str">
        <f ca="1">IFERROR(__xludf.DUMMYFUNCTION("""COMPUTED_VALUE"""),"Talavera")</f>
        <v>Talavera</v>
      </c>
      <c r="F1078" s="16">
        <f ca="1">IFERROR(__xludf.DUMMYFUNCTION("""COMPUTED_VALUE"""),45897)</f>
        <v>45897</v>
      </c>
      <c r="G1078" s="16">
        <f ca="1">IFERROR(__xludf.DUMMYFUNCTION("""COMPUTED_VALUE"""),45853)</f>
        <v>45853</v>
      </c>
      <c r="H1078" s="6" t="str">
        <f ca="1">IFERROR(__xludf.DUMMYFUNCTION("""COMPUTED_VALUE"""),"Talavera")</f>
        <v>Talavera</v>
      </c>
      <c r="I1078" s="6" t="str">
        <f ca="1">IFERROR(__xludf.DUMMYFUNCTION("""COMPUTED_VALUE"""),"C2025721113545272")</f>
        <v>C2025721113545272</v>
      </c>
      <c r="J1078" s="6" t="str">
        <f ca="1">IFERROR(__xludf.DUMMYFUNCTION("""COMPUTED_VALUE"""),"MILAGROS RUIZ REQUENA")</f>
        <v>MILAGROS RUIZ REQUENA</v>
      </c>
      <c r="K1078" s="6">
        <f ca="1">IFERROR(__xludf.DUMMYFUNCTION("""COMPUTED_VALUE"""),2)</f>
        <v>2</v>
      </c>
      <c r="L1078" s="139">
        <f ca="1">IFERROR(__xludf.DUMMYFUNCTION("""COMPUTED_VALUE"""),3424.32)</f>
        <v>3424.32</v>
      </c>
      <c r="M1078" s="6" t="str">
        <f ca="1">IFERROR(__xludf.DUMMYFUNCTION("""COMPUTED_VALUE"""),"03 ORL")</f>
        <v>03 ORL</v>
      </c>
      <c r="N1078" s="6" t="str">
        <f ca="1">IFERROR(__xludf.DUMMYFUNCTION("""COMPUTED_VALUE"""),"06 ORL")</f>
        <v>06 ORL</v>
      </c>
      <c r="O1078" s="6" t="str">
        <f ca="1">IFERROR(__xludf.DUMMYFUNCTION("""COMPUTED_VALUE"""),"Dra, María Del Rocío Lobato Pérez")</f>
        <v>Dra, María Del Rocío Lobato Pérez</v>
      </c>
      <c r="P1078" s="6" t="str">
        <f ca="1">IFERROR(__xludf.DUMMYFUNCTION("""COMPUTED_VALUE"""),"Lisandro Russian (Madrid, Cáceres, Toledo, Talavera Y Logroño)")</f>
        <v>Lisandro Russian (Madrid, Cáceres, Toledo, Talavera Y Logroño)</v>
      </c>
    </row>
    <row r="1079" spans="2:16">
      <c r="B1079" s="6">
        <f ca="1">IFERROR(__xludf.DUMMYFUNCTION("""COMPUTED_VALUE"""),2025)</f>
        <v>2025</v>
      </c>
      <c r="C1079" s="6">
        <f ca="1">IFERROR(__xludf.DUMMYFUNCTION("""COMPUTED_VALUE"""),8)</f>
        <v>8</v>
      </c>
      <c r="D1079" s="6" t="str">
        <f ca="1">IFERROR(__xludf.DUMMYFUNCTION("""COMPUTED_VALUE"""),"NO")</f>
        <v>NO</v>
      </c>
      <c r="E1079" s="6" t="str">
        <f ca="1">IFERROR(__xludf.DUMMYFUNCTION("""COMPUTED_VALUE"""),"Talavera")</f>
        <v>Talavera</v>
      </c>
      <c r="F1079" s="16">
        <f ca="1">IFERROR(__xludf.DUMMYFUNCTION("""COMPUTED_VALUE"""),45874)</f>
        <v>45874</v>
      </c>
      <c r="G1079" s="16">
        <f ca="1">IFERROR(__xludf.DUMMYFUNCTION("""COMPUTED_VALUE"""),45846)</f>
        <v>45846</v>
      </c>
      <c r="H1079" s="6" t="str">
        <f ca="1">IFERROR(__xludf.DUMMYFUNCTION("""COMPUTED_VALUE"""),"Talavera")</f>
        <v>Talavera</v>
      </c>
      <c r="I1079" s="6" t="str">
        <f ca="1">IFERROR(__xludf.DUMMYFUNCTION("""COMPUTED_VALUE"""),"C202571610581643")</f>
        <v>C202571610581643</v>
      </c>
      <c r="J1079" s="6" t="str">
        <f ca="1">IFERROR(__xludf.DUMMYFUNCTION("""COMPUTED_VALUE"""),"OTILIO DOMINGUEZ FERNANDEZ")</f>
        <v>OTILIO DOMINGUEZ FERNANDEZ</v>
      </c>
      <c r="K1079" s="6">
        <f ca="1">IFERROR(__xludf.DUMMYFUNCTION("""COMPUTED_VALUE"""),2)</f>
        <v>2</v>
      </c>
      <c r="L1079" s="139">
        <f ca="1">IFERROR(__xludf.DUMMYFUNCTION("""COMPUTED_VALUE"""),4136.36)</f>
        <v>4136.3599999999997</v>
      </c>
      <c r="M1079" s="6" t="str">
        <f ca="1">IFERROR(__xludf.DUMMYFUNCTION("""COMPUTED_VALUE"""),"03 ORL")</f>
        <v>03 ORL</v>
      </c>
      <c r="N1079" s="6" t="str">
        <f ca="1">IFERROR(__xludf.DUMMYFUNCTION("""COMPUTED_VALUE"""),"06 ORL")</f>
        <v>06 ORL</v>
      </c>
      <c r="O1079" s="6" t="str">
        <f ca="1">IFERROR(__xludf.DUMMYFUNCTION("""COMPUTED_VALUE"""),"Dr, Carlos Félix Asensio Nieto")</f>
        <v>Dr, Carlos Félix Asensio Nieto</v>
      </c>
      <c r="P1079" s="6" t="str">
        <f ca="1">IFERROR(__xludf.DUMMYFUNCTION("""COMPUTED_VALUE"""),"Lisandro Russian (Madrid, Cáceres, Toledo, Talavera Y Logroño)")</f>
        <v>Lisandro Russian (Madrid, Cáceres, Toledo, Talavera Y Logroño)</v>
      </c>
    </row>
    <row r="1080" spans="2:16">
      <c r="B1080" s="6">
        <f ca="1">IFERROR(__xludf.DUMMYFUNCTION("""COMPUTED_VALUE"""),2025)</f>
        <v>2025</v>
      </c>
      <c r="C1080" s="6">
        <f ca="1">IFERROR(__xludf.DUMMYFUNCTION("""COMPUTED_VALUE"""),8)</f>
        <v>8</v>
      </c>
      <c r="D1080" s="6" t="str">
        <f ca="1">IFERROR(__xludf.DUMMYFUNCTION("""COMPUTED_VALUE"""),"NO")</f>
        <v>NO</v>
      </c>
      <c r="E1080" s="6" t="str">
        <f ca="1">IFERROR(__xludf.DUMMYFUNCTION("""COMPUTED_VALUE"""),"Fuenlabrada")</f>
        <v>Fuenlabrada</v>
      </c>
      <c r="F1080" s="16">
        <f ca="1">IFERROR(__xludf.DUMMYFUNCTION("""COMPUTED_VALUE"""),45877)</f>
        <v>45877</v>
      </c>
      <c r="G1080" s="16">
        <f ca="1">IFERROR(__xludf.DUMMYFUNCTION("""COMPUTED_VALUE"""),45840)</f>
        <v>45840</v>
      </c>
      <c r="H1080" s="6" t="str">
        <f ca="1">IFERROR(__xludf.DUMMYFUNCTION("""COMPUTED_VALUE"""),"Fuenlabrada")</f>
        <v>Fuenlabrada</v>
      </c>
      <c r="I1080" s="6" t="str">
        <f ca="1">IFERROR(__xludf.DUMMYFUNCTION("""COMPUTED_VALUE"""),"C202578163140695")</f>
        <v>C202578163140695</v>
      </c>
      <c r="J1080" s="6" t="str">
        <f ca="1">IFERROR(__xludf.DUMMYFUNCTION("""COMPUTED_VALUE"""),"PIEDAD CARRION SANCHEZ")</f>
        <v>PIEDAD CARRION SANCHEZ</v>
      </c>
      <c r="K1080" s="6">
        <f ca="1">IFERROR(__xludf.DUMMYFUNCTION("""COMPUTED_VALUE"""),2)</f>
        <v>2</v>
      </c>
      <c r="L1080" s="139">
        <f ca="1">IFERROR(__xludf.DUMMYFUNCTION("""COMPUTED_VALUE"""),2722.73)</f>
        <v>2722.73</v>
      </c>
      <c r="M1080" s="6" t="str">
        <f ca="1">IFERROR(__xludf.DUMMYFUNCTION("""COMPUTED_VALUE"""),"03 ORL")</f>
        <v>03 ORL</v>
      </c>
      <c r="N1080" s="6" t="str">
        <f ca="1">IFERROR(__xludf.DUMMYFUNCTION("""COMPUTED_VALUE"""),"06 ORL")</f>
        <v>06 ORL</v>
      </c>
      <c r="O1080" s="6" t="str">
        <f ca="1">IFERROR(__xludf.DUMMYFUNCTION("""COMPUTED_VALUE"""),"Dra, Paloma Martín-Aragón Martín")</f>
        <v>Dra, Paloma Martín-Aragón Martín</v>
      </c>
      <c r="P1080" s="6" t="str">
        <f ca="1">IFERROR(__xludf.DUMMYFUNCTION("""COMPUTED_VALUE"""),"Maika Blázquez (Madrid)")</f>
        <v>Maika Blázquez (Madrid)</v>
      </c>
    </row>
    <row r="1081" spans="2:16">
      <c r="B1081" s="6">
        <f ca="1">IFERROR(__xludf.DUMMYFUNCTION("""COMPUTED_VALUE"""),2025)</f>
        <v>2025</v>
      </c>
      <c r="C1081" s="6">
        <f ca="1">IFERROR(__xludf.DUMMYFUNCTION("""COMPUTED_VALUE"""),8)</f>
        <v>8</v>
      </c>
      <c r="D1081" s="6" t="str">
        <f ca="1">IFERROR(__xludf.DUMMYFUNCTION("""COMPUTED_VALUE"""),"NO")</f>
        <v>NO</v>
      </c>
      <c r="E1081" s="6" t="str">
        <f ca="1">IFERROR(__xludf.DUMMYFUNCTION("""COMPUTED_VALUE"""),"Barcelona- Córcega")</f>
        <v>Barcelona- Córcega</v>
      </c>
      <c r="F1081" s="16">
        <f ca="1">IFERROR(__xludf.DUMMYFUNCTION("""COMPUTED_VALUE"""),45876)</f>
        <v>45876</v>
      </c>
      <c r="G1081" s="16">
        <f ca="1">IFERROR(__xludf.DUMMYFUNCTION("""COMPUTED_VALUE"""),45852)</f>
        <v>45852</v>
      </c>
      <c r="H1081" s="6" t="str">
        <f ca="1">IFERROR(__xludf.DUMMYFUNCTION("""COMPUTED_VALUE"""),"Córcega")</f>
        <v>Córcega</v>
      </c>
      <c r="I1081" s="6" t="str">
        <f ca="1">IFERROR(__xludf.DUMMYFUNCTION("""COMPUTED_VALUE"""),"C202571693436582")</f>
        <v>C202571693436582</v>
      </c>
      <c r="J1081" s="6" t="str">
        <f ca="1">IFERROR(__xludf.DUMMYFUNCTION("""COMPUTED_VALUE"""),"RAMON BUJ BOU")</f>
        <v>RAMON BUJ BOU</v>
      </c>
      <c r="K1081" s="6">
        <f ca="1">IFERROR(__xludf.DUMMYFUNCTION("""COMPUTED_VALUE"""),2)</f>
        <v>2</v>
      </c>
      <c r="L1081" s="139">
        <f ca="1">IFERROR(__xludf.DUMMYFUNCTION("""COMPUTED_VALUE"""),2718.18)</f>
        <v>2718.18</v>
      </c>
      <c r="M1081" s="6" t="str">
        <f ca="1">IFERROR(__xludf.DUMMYFUNCTION("""COMPUTED_VALUE"""),"03 ORL")</f>
        <v>03 ORL</v>
      </c>
      <c r="N1081" s="6" t="str">
        <f ca="1">IFERROR(__xludf.DUMMYFUNCTION("""COMPUTED_VALUE"""),"06 ORL")</f>
        <v>06 ORL</v>
      </c>
      <c r="O1081" s="6" t="str">
        <f ca="1">IFERROR(__xludf.DUMMYFUNCTION("""COMPUTED_VALUE"""),"Dra, Sara Jubés Monforte")</f>
        <v>Dra, Sara Jubés Monforte</v>
      </c>
      <c r="P1081" s="6" t="str">
        <f ca="1">IFERROR(__xludf.DUMMYFUNCTION("""COMPUTED_VALUE"""),"Mercè Cabrera (Cataluña Y Baleares)")</f>
        <v>Mercè Cabrera (Cataluña Y Baleares)</v>
      </c>
    </row>
    <row r="1082" spans="2:16">
      <c r="B1082" s="6">
        <f ca="1">IFERROR(__xludf.DUMMYFUNCTION("""COMPUTED_VALUE"""),2025)</f>
        <v>2025</v>
      </c>
      <c r="C1082" s="6">
        <f ca="1">IFERROR(__xludf.DUMMYFUNCTION("""COMPUTED_VALUE"""),8)</f>
        <v>8</v>
      </c>
      <c r="D1082" s="6" t="str">
        <f ca="1">IFERROR(__xludf.DUMMYFUNCTION("""COMPUTED_VALUE"""),"NO")</f>
        <v>NO</v>
      </c>
      <c r="E1082" s="6" t="str">
        <f ca="1">IFERROR(__xludf.DUMMYFUNCTION("""COMPUTED_VALUE"""),"Sevilla- Montoto")</f>
        <v>Sevilla- Montoto</v>
      </c>
      <c r="F1082" s="16">
        <f ca="1">IFERROR(__xludf.DUMMYFUNCTION("""COMPUTED_VALUE"""),45897)</f>
        <v>45897</v>
      </c>
      <c r="G1082" s="16">
        <f ca="1">IFERROR(__xludf.DUMMYFUNCTION("""COMPUTED_VALUE"""),45853)</f>
        <v>45853</v>
      </c>
      <c r="H1082" s="6" t="str">
        <f ca="1">IFERROR(__xludf.DUMMYFUNCTION("""COMPUTED_VALUE"""),"Montoto")</f>
        <v>Montoto</v>
      </c>
      <c r="I1082" s="6" t="str">
        <f ca="1">IFERROR(__xludf.DUMMYFUNCTION("""COMPUTED_VALUE"""),"C20257221881716")</f>
        <v>C20257221881716</v>
      </c>
      <c r="J1082" s="6" t="str">
        <f ca="1">IFERROR(__xludf.DUMMYFUNCTION("""COMPUTED_VALUE"""),"RICARDO NICOLAS BERNALES MEZA")</f>
        <v>RICARDO NICOLAS BERNALES MEZA</v>
      </c>
      <c r="K1082" s="6">
        <f ca="1">IFERROR(__xludf.DUMMYFUNCTION("""COMPUTED_VALUE"""),2)</f>
        <v>2</v>
      </c>
      <c r="L1082" s="139">
        <f ca="1">IFERROR(__xludf.DUMMYFUNCTION("""COMPUTED_VALUE"""),3631.82)</f>
        <v>3631.82</v>
      </c>
      <c r="M1082" s="6" t="str">
        <f ca="1">IFERROR(__xludf.DUMMYFUNCTION("""COMPUTED_VALUE"""),"03 ORL")</f>
        <v>03 ORL</v>
      </c>
      <c r="N1082" s="6" t="str">
        <f ca="1">IFERROR(__xludf.DUMMYFUNCTION("""COMPUTED_VALUE"""),"06 ORL")</f>
        <v>06 ORL</v>
      </c>
      <c r="O1082" s="6" t="str">
        <f ca="1">IFERROR(__xludf.DUMMYFUNCTION("""COMPUTED_VALUE"""),"No recuerda ORL")</f>
        <v>No recuerda ORL</v>
      </c>
      <c r="P1082" s="6" t="str">
        <f ca="1">IFERROR(__xludf.DUMMYFUNCTION("""COMPUTED_VALUE"""),"Luis Alberto Rodríguez (Andalucía y Badajoz)")</f>
        <v>Luis Alberto Rodríguez (Andalucía y Badajoz)</v>
      </c>
    </row>
    <row r="1083" spans="2:16">
      <c r="B1083" s="6">
        <f ca="1">IFERROR(__xludf.DUMMYFUNCTION("""COMPUTED_VALUE"""),2025)</f>
        <v>2025</v>
      </c>
      <c r="C1083" s="6">
        <f ca="1">IFERROR(__xludf.DUMMYFUNCTION("""COMPUTED_VALUE"""),8)</f>
        <v>8</v>
      </c>
      <c r="D1083" s="6" t="str">
        <f ca="1">IFERROR(__xludf.DUMMYFUNCTION("""COMPUTED_VALUE"""),"NO")</f>
        <v>NO</v>
      </c>
      <c r="E1083" s="6" t="str">
        <f ca="1">IFERROR(__xludf.DUMMYFUNCTION("""COMPUTED_VALUE"""),"Torrejón de Ardoz")</f>
        <v>Torrejón de Ardoz</v>
      </c>
      <c r="F1083" s="16">
        <f ca="1">IFERROR(__xludf.DUMMYFUNCTION("""COMPUTED_VALUE"""),45898)</f>
        <v>45898</v>
      </c>
      <c r="G1083" s="16">
        <f ca="1">IFERROR(__xludf.DUMMYFUNCTION("""COMPUTED_VALUE"""),45861)</f>
        <v>45861</v>
      </c>
      <c r="H1083" s="6" t="str">
        <f ca="1">IFERROR(__xludf.DUMMYFUNCTION("""COMPUTED_VALUE"""),"Torrejón")</f>
        <v>Torrejón</v>
      </c>
      <c r="I1083" s="6" t="str">
        <f ca="1">IFERROR(__xludf.DUMMYFUNCTION("""COMPUTED_VALUE"""),"C2025728112816267")</f>
        <v>C2025728112816267</v>
      </c>
      <c r="J1083" s="6" t="str">
        <f ca="1">IFERROR(__xludf.DUMMYFUNCTION("""COMPUTED_VALUE"""),"ROSA OKUYAMA YAMADA")</f>
        <v>ROSA OKUYAMA YAMADA</v>
      </c>
      <c r="K1083" s="6">
        <f ca="1">IFERROR(__xludf.DUMMYFUNCTION("""COMPUTED_VALUE"""),2)</f>
        <v>2</v>
      </c>
      <c r="L1083" s="139">
        <f ca="1">IFERROR(__xludf.DUMMYFUNCTION("""COMPUTED_VALUE"""),3085.45)</f>
        <v>3085.45</v>
      </c>
      <c r="M1083" s="6" t="str">
        <f ca="1">IFERROR(__xludf.DUMMYFUNCTION("""COMPUTED_VALUE"""),"03 ORL")</f>
        <v>03 ORL</v>
      </c>
      <c r="N1083" s="6" t="str">
        <f ca="1">IFERROR(__xludf.DUMMYFUNCTION("""COMPUTED_VALUE"""),"06 ORL")</f>
        <v>06 ORL</v>
      </c>
      <c r="O1083" s="6" t="str">
        <f ca="1">IFERROR(__xludf.DUMMYFUNCTION("""COMPUTED_VALUE"""),"Dr, Andreas Schilling Borghesi")</f>
        <v>Dr, Andreas Schilling Borghesi</v>
      </c>
      <c r="P1083" s="6" t="str">
        <f ca="1">IFERROR(__xludf.DUMMYFUNCTION("""COMPUTED_VALUE"""),"Maika Blázquez (Madrid)")</f>
        <v>Maika Blázquez (Madrid)</v>
      </c>
    </row>
    <row r="1084" spans="2:16">
      <c r="B1084" s="6">
        <f ca="1">IFERROR(__xludf.DUMMYFUNCTION("""COMPUTED_VALUE"""),2025)</f>
        <v>2025</v>
      </c>
      <c r="C1084" s="6">
        <f ca="1">IFERROR(__xludf.DUMMYFUNCTION("""COMPUTED_VALUE"""),8)</f>
        <v>8</v>
      </c>
      <c r="D1084" s="6" t="str">
        <f ca="1">IFERROR(__xludf.DUMMYFUNCTION("""COMPUTED_VALUE"""),"NO")</f>
        <v>NO</v>
      </c>
      <c r="E1084" s="6" t="str">
        <f ca="1">IFERROR(__xludf.DUMMYFUNCTION("""COMPUTED_VALUE"""),"Valencia- Parra")</f>
        <v>Valencia- Parra</v>
      </c>
      <c r="F1084" s="16">
        <f ca="1">IFERROR(__xludf.DUMMYFUNCTION("""COMPUTED_VALUE"""),45875)</f>
        <v>45875</v>
      </c>
      <c r="G1084" s="16">
        <f ca="1">IFERROR(__xludf.DUMMYFUNCTION("""COMPUTED_VALUE"""),45852)</f>
        <v>45852</v>
      </c>
      <c r="H1084" s="6" t="str">
        <f ca="1">IFERROR(__xludf.DUMMYFUNCTION("""COMPUTED_VALUE"""),"Valencia- Parra")</f>
        <v>Valencia- Parra</v>
      </c>
      <c r="I1084" s="6" t="str">
        <f ca="1">IFERROR(__xludf.DUMMYFUNCTION("""COMPUTED_VALUE"""),"C202571710351430")</f>
        <v>C202571710351430</v>
      </c>
      <c r="J1084" s="6" t="str">
        <f ca="1">IFERROR(__xludf.DUMMYFUNCTION("""COMPUTED_VALUE"""),"ROSA ORTEGA ASINS")</f>
        <v>ROSA ORTEGA ASINS</v>
      </c>
      <c r="K1084" s="6">
        <f ca="1">IFERROR(__xludf.DUMMYFUNCTION("""COMPUTED_VALUE"""),2)</f>
        <v>2</v>
      </c>
      <c r="L1084" s="139">
        <f ca="1">IFERROR(__xludf.DUMMYFUNCTION("""COMPUTED_VALUE"""),2731.25)</f>
        <v>2731.25</v>
      </c>
      <c r="M1084" s="6" t="str">
        <f ca="1">IFERROR(__xludf.DUMMYFUNCTION("""COMPUTED_VALUE"""),"03 ORL")</f>
        <v>03 ORL</v>
      </c>
      <c r="N1084" s="6" t="str">
        <f ca="1">IFERROR(__xludf.DUMMYFUNCTION("""COMPUTED_VALUE"""),"06 ORL")</f>
        <v>06 ORL</v>
      </c>
      <c r="O1084" s="6" t="str">
        <f ca="1">IFERROR(__xludf.DUMMYFUNCTION("""COMPUTED_VALUE"""),"Dr, Raimon García Chillerón")</f>
        <v>Dr, Raimon García Chillerón</v>
      </c>
      <c r="P1084" s="6" t="str">
        <f ca="1">IFERROR(__xludf.DUMMYFUNCTION("""COMPUTED_VALUE"""),"Ramon Ferrando(Valencia)")</f>
        <v>Ramon Ferrando(Valencia)</v>
      </c>
    </row>
    <row r="1085" spans="2:16">
      <c r="B1085" s="6">
        <f ca="1">IFERROR(__xludf.DUMMYFUNCTION("""COMPUTED_VALUE"""),2025)</f>
        <v>2025</v>
      </c>
      <c r="C1085" s="6">
        <f ca="1">IFERROR(__xludf.DUMMYFUNCTION("""COMPUTED_VALUE"""),8)</f>
        <v>8</v>
      </c>
      <c r="D1085" s="6" t="str">
        <f ca="1">IFERROR(__xludf.DUMMYFUNCTION("""COMPUTED_VALUE"""),"NO")</f>
        <v>NO</v>
      </c>
      <c r="E1085" s="6" t="str">
        <f ca="1">IFERROR(__xludf.DUMMYFUNCTION("""COMPUTED_VALUE"""),"Madrid- Juan Bravo")</f>
        <v>Madrid- Juan Bravo</v>
      </c>
      <c r="F1085" s="16">
        <f ca="1">IFERROR(__xludf.DUMMYFUNCTION("""COMPUTED_VALUE"""),45889)</f>
        <v>45889</v>
      </c>
      <c r="G1085" s="16">
        <f ca="1">IFERROR(__xludf.DUMMYFUNCTION("""COMPUTED_VALUE"""),45845)</f>
        <v>45845</v>
      </c>
      <c r="H1085" s="6" t="str">
        <f ca="1">IFERROR(__xludf.DUMMYFUNCTION("""COMPUTED_VALUE"""),"Juan Bravo")</f>
        <v>Juan Bravo</v>
      </c>
      <c r="I1085" s="6" t="str">
        <f ca="1">IFERROR(__xludf.DUMMYFUNCTION("""COMPUTED_VALUE"""),"C20257161864666")</f>
        <v>C20257161864666</v>
      </c>
      <c r="J1085" s="6" t="str">
        <f ca="1">IFERROR(__xludf.DUMMYFUNCTION("""COMPUTED_VALUE"""),"ROSARIO GONZALEZ SANCHEZ")</f>
        <v>ROSARIO GONZALEZ SANCHEZ</v>
      </c>
      <c r="K1085" s="6">
        <f ca="1">IFERROR(__xludf.DUMMYFUNCTION("""COMPUTED_VALUE"""),2)</f>
        <v>2</v>
      </c>
      <c r="L1085" s="139">
        <f ca="1">IFERROR(__xludf.DUMMYFUNCTION("""COMPUTED_VALUE"""),4136.36)</f>
        <v>4136.3599999999997</v>
      </c>
      <c r="M1085" s="6" t="str">
        <f ca="1">IFERROR(__xludf.DUMMYFUNCTION("""COMPUTED_VALUE"""),"03 ORL")</f>
        <v>03 ORL</v>
      </c>
      <c r="N1085" s="6" t="str">
        <f ca="1">IFERROR(__xludf.DUMMYFUNCTION("""COMPUTED_VALUE"""),"06 ORL")</f>
        <v>06 ORL</v>
      </c>
      <c r="O1085" s="6" t="str">
        <f ca="1">IFERROR(__xludf.DUMMYFUNCTION("""COMPUTED_VALUE"""),"Dr, Carlos Barajas del Rosal")</f>
        <v>Dr, Carlos Barajas del Rosal</v>
      </c>
      <c r="P1085" s="6" t="str">
        <f ca="1">IFERROR(__xludf.DUMMYFUNCTION("""COMPUTED_VALUE"""),"Lisandro Russian (Madrid, Cáceres, Toledo, Talavera Y Logroño)")</f>
        <v>Lisandro Russian (Madrid, Cáceres, Toledo, Talavera Y Logroño)</v>
      </c>
    </row>
    <row r="1086" spans="2:16">
      <c r="B1086" s="6">
        <f ca="1">IFERROR(__xludf.DUMMYFUNCTION("""COMPUTED_VALUE"""),2025)</f>
        <v>2025</v>
      </c>
      <c r="C1086" s="6">
        <f ca="1">IFERROR(__xludf.DUMMYFUNCTION("""COMPUTED_VALUE"""),8)</f>
        <v>8</v>
      </c>
      <c r="D1086" s="6" t="str">
        <f ca="1">IFERROR(__xludf.DUMMYFUNCTION("""COMPUTED_VALUE"""),"NO")</f>
        <v>NO</v>
      </c>
      <c r="E1086" s="6" t="str">
        <f ca="1">IFERROR(__xludf.DUMMYFUNCTION("""COMPUTED_VALUE"""),"Madrid- Juan Bravo")</f>
        <v>Madrid- Juan Bravo</v>
      </c>
      <c r="F1086" s="16">
        <f ca="1">IFERROR(__xludf.DUMMYFUNCTION("""COMPUTED_VALUE"""),45895)</f>
        <v>45895</v>
      </c>
      <c r="G1086" s="16">
        <f ca="1">IFERROR(__xludf.DUMMYFUNCTION("""COMPUTED_VALUE"""),45827)</f>
        <v>45827</v>
      </c>
      <c r="H1086" s="6" t="str">
        <f ca="1">IFERROR(__xludf.DUMMYFUNCTION("""COMPUTED_VALUE"""),"Juan Bravo")</f>
        <v>Juan Bravo</v>
      </c>
      <c r="I1086" s="6" t="str">
        <f ca="1">IFERROR(__xludf.DUMMYFUNCTION("""COMPUTED_VALUE"""),"C202562411302998")</f>
        <v>C202562411302998</v>
      </c>
      <c r="J1086" s="6" t="str">
        <f ca="1">IFERROR(__xludf.DUMMYFUNCTION("""COMPUTED_VALUE"""),"ROSARIO RUIZ MARTIN")</f>
        <v>ROSARIO RUIZ MARTIN</v>
      </c>
      <c r="K1086" s="6">
        <f ca="1">IFERROR(__xludf.DUMMYFUNCTION("""COMPUTED_VALUE"""),2)</f>
        <v>2</v>
      </c>
      <c r="L1086" s="139">
        <f ca="1">IFERROR(__xludf.DUMMYFUNCTION("""COMPUTED_VALUE"""),3524.5)</f>
        <v>3524.5</v>
      </c>
      <c r="M1086" s="6" t="str">
        <f ca="1">IFERROR(__xludf.DUMMYFUNCTION("""COMPUTED_VALUE"""),"03 ORL")</f>
        <v>03 ORL</v>
      </c>
      <c r="N1086" s="6" t="str">
        <f ca="1">IFERROR(__xludf.DUMMYFUNCTION("""COMPUTED_VALUE"""),"06 ORL")</f>
        <v>06 ORL</v>
      </c>
      <c r="O1086" s="6" t="str">
        <f ca="1">IFERROR(__xludf.DUMMYFUNCTION("""COMPUTED_VALUE"""),"Dr, Julio López Moya")</f>
        <v>Dr, Julio López Moya</v>
      </c>
      <c r="P1086" s="6" t="str">
        <f ca="1">IFERROR(__xludf.DUMMYFUNCTION("""COMPUTED_VALUE"""),"Maika Blázquez (Madrid)")</f>
        <v>Maika Blázquez (Madrid)</v>
      </c>
    </row>
    <row r="1087" spans="2:16">
      <c r="B1087" s="6">
        <f ca="1">IFERROR(__xludf.DUMMYFUNCTION("""COMPUTED_VALUE"""),2025)</f>
        <v>2025</v>
      </c>
      <c r="C1087" s="6">
        <f ca="1">IFERROR(__xludf.DUMMYFUNCTION("""COMPUTED_VALUE"""),8)</f>
        <v>8</v>
      </c>
      <c r="D1087" s="6" t="str">
        <f ca="1">IFERROR(__xludf.DUMMYFUNCTION("""COMPUTED_VALUE"""),"NO")</f>
        <v>NO</v>
      </c>
      <c r="E1087" s="6" t="str">
        <f ca="1">IFERROR(__xludf.DUMMYFUNCTION("""COMPUTED_VALUE"""),"Jerez de la Frontera")</f>
        <v>Jerez de la Frontera</v>
      </c>
      <c r="F1087" s="16">
        <f ca="1">IFERROR(__xludf.DUMMYFUNCTION("""COMPUTED_VALUE"""),45897)</f>
        <v>45897</v>
      </c>
      <c r="G1087" s="16">
        <f ca="1">IFERROR(__xludf.DUMMYFUNCTION("""COMPUTED_VALUE"""),45856)</f>
        <v>45856</v>
      </c>
      <c r="H1087" s="6" t="str">
        <f ca="1">IFERROR(__xludf.DUMMYFUNCTION("""COMPUTED_VALUE"""),"Jerez")</f>
        <v>Jerez</v>
      </c>
      <c r="I1087" s="6" t="str">
        <f ca="1">IFERROR(__xludf.DUMMYFUNCTION("""COMPUTED_VALUE"""),"C2025721101518733")</f>
        <v>C2025721101518733</v>
      </c>
      <c r="J1087" s="6" t="str">
        <f ca="1">IFERROR(__xludf.DUMMYFUNCTION("""COMPUTED_VALUE"""),"YOLANDA  CRUZ JIMENEZ")</f>
        <v>YOLANDA  CRUZ JIMENEZ</v>
      </c>
      <c r="K1087" s="6">
        <f ca="1">IFERROR(__xludf.DUMMYFUNCTION("""COMPUTED_VALUE"""),1)</f>
        <v>1</v>
      </c>
      <c r="L1087" s="139">
        <f ca="1">IFERROR(__xludf.DUMMYFUNCTION("""COMPUTED_VALUE"""),1631.82)</f>
        <v>1631.82</v>
      </c>
      <c r="M1087" s="6" t="str">
        <f ca="1">IFERROR(__xludf.DUMMYFUNCTION("""COMPUTED_VALUE"""),"03 ORL")</f>
        <v>03 ORL</v>
      </c>
      <c r="N1087" s="6" t="str">
        <f ca="1">IFERROR(__xludf.DUMMYFUNCTION("""COMPUTED_VALUE"""),"06 ORL")</f>
        <v>06 ORL</v>
      </c>
      <c r="O1087" s="6" t="str">
        <f ca="1">IFERROR(__xludf.DUMMYFUNCTION("""COMPUTED_VALUE"""),"Dr, Vicente Mira Escartí")</f>
        <v>Dr, Vicente Mira Escartí</v>
      </c>
      <c r="P1087" s="6" t="str">
        <f ca="1">IFERROR(__xludf.DUMMYFUNCTION("""COMPUTED_VALUE"""),"Luis Alberto Rodríguez (Andalucía y Badajoz)")</f>
        <v>Luis Alberto Rodríguez (Andalucía y Badajoz)</v>
      </c>
    </row>
    <row r="1088" spans="2:16">
      <c r="B1088" s="6">
        <f ca="1">IFERROR(__xludf.DUMMYFUNCTION("""COMPUTED_VALUE"""),2025)</f>
        <v>2025</v>
      </c>
      <c r="C1088" s="6">
        <f ca="1">IFERROR(__xludf.DUMMYFUNCTION("""COMPUTED_VALUE"""),8)</f>
        <v>8</v>
      </c>
      <c r="D1088" s="6" t="str">
        <f ca="1">IFERROR(__xludf.DUMMYFUNCTION("""COMPUTED_VALUE"""),"NO")</f>
        <v>NO</v>
      </c>
      <c r="E1088" s="6" t="str">
        <f ca="1">IFERROR(__xludf.DUMMYFUNCTION("""COMPUTED_VALUE"""),"Fuenlabrada")</f>
        <v>Fuenlabrada</v>
      </c>
      <c r="F1088" s="16">
        <f ca="1">IFERROR(__xludf.DUMMYFUNCTION("""COMPUTED_VALUE"""),45898)</f>
        <v>45898</v>
      </c>
      <c r="G1088" s="16">
        <f ca="1">IFERROR(__xludf.DUMMYFUNCTION("""COMPUTED_VALUE"""),45845)</f>
        <v>45845</v>
      </c>
      <c r="H1088" s="6" t="str">
        <f ca="1">IFERROR(__xludf.DUMMYFUNCTION("""COMPUTED_VALUE"""),"Fuenlabrada")</f>
        <v>Fuenlabrada</v>
      </c>
      <c r="I1088" s="6" t="str">
        <f ca="1">IFERROR(__xludf.DUMMYFUNCTION("""COMPUTED_VALUE"""),"C2025711115559983")</f>
        <v>C2025711115559983</v>
      </c>
      <c r="J1088" s="6" t="str">
        <f ca="1">IFERROR(__xludf.DUMMYFUNCTION("""COMPUTED_VALUE"""),"YOLANDA DEL HIERRO VELASCO")</f>
        <v>YOLANDA DEL HIERRO VELASCO</v>
      </c>
      <c r="K1088" s="6">
        <f ca="1">IFERROR(__xludf.DUMMYFUNCTION("""COMPUTED_VALUE"""),1)</f>
        <v>1</v>
      </c>
      <c r="L1088" s="139">
        <f ca="1">IFERROR(__xludf.DUMMYFUNCTION("""COMPUTED_VALUE"""),2162.73)</f>
        <v>2162.73</v>
      </c>
      <c r="M1088" s="6" t="str">
        <f ca="1">IFERROR(__xludf.DUMMYFUNCTION("""COMPUTED_VALUE"""),"03 ORL")</f>
        <v>03 ORL</v>
      </c>
      <c r="N1088" s="6" t="str">
        <f ca="1">IFERROR(__xludf.DUMMYFUNCTION("""COMPUTED_VALUE"""),"06 ORL")</f>
        <v>06 ORL</v>
      </c>
      <c r="O1088" s="6" t="str">
        <f ca="1">IFERROR(__xludf.DUMMYFUNCTION("""COMPUTED_VALUE"""),"Dra, Victoria García Peces")</f>
        <v>Dra, Victoria García Peces</v>
      </c>
      <c r="P1088" s="6" t="str">
        <f ca="1">IFERROR(__xludf.DUMMYFUNCTION("""COMPUTED_VALUE"""),"Maika Blázquez (Madrid)")</f>
        <v>Maika Blázquez (Madrid)</v>
      </c>
    </row>
    <row r="1089" spans="2:16">
      <c r="B1089" s="6">
        <f ca="1">IFERROR(__xludf.DUMMYFUNCTION("""COMPUTED_VALUE"""),2025)</f>
        <v>2025</v>
      </c>
      <c r="C1089" s="6">
        <f ca="1">IFERROR(__xludf.DUMMYFUNCTION("""COMPUTED_VALUE"""),8)</f>
        <v>8</v>
      </c>
      <c r="D1089" s="6" t="str">
        <f ca="1">IFERROR(__xludf.DUMMYFUNCTION("""COMPUTED_VALUE"""),"NO")</f>
        <v>NO</v>
      </c>
      <c r="E1089" s="6" t="str">
        <f ca="1">IFERROR(__xludf.DUMMYFUNCTION("""COMPUTED_VALUE"""),"Culleredo")</f>
        <v>Culleredo</v>
      </c>
      <c r="F1089" s="16">
        <f ca="1">IFERROR(__xludf.DUMMYFUNCTION("""COMPUTED_VALUE"""),45891)</f>
        <v>45891</v>
      </c>
      <c r="G1089" s="16">
        <f ca="1">IFERROR(__xludf.DUMMYFUNCTION("""COMPUTED_VALUE"""),45842)</f>
        <v>45842</v>
      </c>
      <c r="H1089" s="6" t="str">
        <f ca="1">IFERROR(__xludf.DUMMYFUNCTION("""COMPUTED_VALUE"""),"Culleredo")</f>
        <v>Culleredo</v>
      </c>
      <c r="I1089" s="6" t="str">
        <f ca="1">IFERROR(__xludf.DUMMYFUNCTION("""COMPUTED_VALUE"""),"CULL-221")</f>
        <v>CULL-221</v>
      </c>
      <c r="J1089" s="6" t="str">
        <f ca="1">IFERROR(__xludf.DUMMYFUNCTION("""COMPUTED_VALUE"""),"LUCINDA CERDEIRO SUAREZ")</f>
        <v>LUCINDA CERDEIRO SUAREZ</v>
      </c>
      <c r="K1089" s="6">
        <f ca="1">IFERROR(__xludf.DUMMYFUNCTION("""COMPUTED_VALUE"""),2)</f>
        <v>2</v>
      </c>
      <c r="L1089" s="139">
        <f ca="1">IFERROR(__xludf.DUMMYFUNCTION("""COMPUTED_VALUE"""),3181.82)</f>
        <v>3181.82</v>
      </c>
      <c r="M1089" s="6" t="str">
        <f ca="1">IFERROR(__xludf.DUMMYFUNCTION("""COMPUTED_VALUE"""),"03 ORL")</f>
        <v>03 ORL</v>
      </c>
      <c r="N1089" s="6" t="str">
        <f ca="1">IFERROR(__xludf.DUMMYFUNCTION("""COMPUTED_VALUE"""),"06 ORL")</f>
        <v>06 ORL</v>
      </c>
      <c r="O1089" s="6" t="str">
        <f ca="1">IFERROR(__xludf.DUMMYFUNCTION("""COMPUTED_VALUE"""),"Dr, Miguel Mayo Yáñez")</f>
        <v>Dr, Miguel Mayo Yáñez</v>
      </c>
      <c r="P1089" s="6" t="str">
        <f ca="1">IFERROR(__xludf.DUMMYFUNCTION("""COMPUTED_VALUE"""),"Roberto Pereira (Galicia)")</f>
        <v>Roberto Pereira (Galicia)</v>
      </c>
    </row>
    <row r="1090" spans="2:16">
      <c r="B1090" s="6">
        <f ca="1">IFERROR(__xludf.DUMMYFUNCTION("""COMPUTED_VALUE"""),2025)</f>
        <v>2025</v>
      </c>
      <c r="C1090" s="6">
        <f ca="1">IFERROR(__xludf.DUMMYFUNCTION("""COMPUTED_VALUE"""),8)</f>
        <v>8</v>
      </c>
      <c r="D1090" s="6" t="str">
        <f ca="1">IFERROR(__xludf.DUMMYFUNCTION("""COMPUTED_VALUE"""),"SI")</f>
        <v>SI</v>
      </c>
      <c r="E1090" s="6" t="str">
        <f ca="1">IFERROR(__xludf.DUMMYFUNCTION("""COMPUTED_VALUE"""),"Cáceres")</f>
        <v>Cáceres</v>
      </c>
      <c r="F1090" s="16">
        <f ca="1">IFERROR(__xludf.DUMMYFUNCTION("""COMPUTED_VALUE"""),45877)</f>
        <v>45877</v>
      </c>
      <c r="G1090" s="16">
        <f ca="1">IFERROR(__xludf.DUMMYFUNCTION("""COMPUTED_VALUE"""),45838)</f>
        <v>45838</v>
      </c>
      <c r="H1090" s="6" t="str">
        <f ca="1">IFERROR(__xludf.DUMMYFUNCTION("""COMPUTED_VALUE"""),"Cáceres")</f>
        <v>Cáceres</v>
      </c>
      <c r="I1090" s="6" t="str">
        <f ca="1">IFERROR(__xludf.DUMMYFUNCTION("""COMPUTED_VALUE"""),"CAC-336")</f>
        <v>CAC-336</v>
      </c>
      <c r="J1090" s="6" t="str">
        <f ca="1">IFERROR(__xludf.DUMMYFUNCTION("""COMPUTED_VALUE"""),"ANGEL MENDOZA JAMBRINA")</f>
        <v>ANGEL MENDOZA JAMBRINA</v>
      </c>
      <c r="K1090" s="6">
        <f ca="1">IFERROR(__xludf.DUMMYFUNCTION("""COMPUTED_VALUE"""),1)</f>
        <v>1</v>
      </c>
      <c r="L1090" s="139">
        <f ca="1">IFERROR(__xludf.DUMMYFUNCTION("""COMPUTED_VALUE"""),2272.73)</f>
        <v>2272.73</v>
      </c>
      <c r="M1090" s="6" t="str">
        <f ca="1">IFERROR(__xludf.DUMMYFUNCTION("""COMPUTED_VALUE"""),"03 ORL")</f>
        <v>03 ORL</v>
      </c>
      <c r="N1090" s="6" t="str">
        <f ca="1">IFERROR(__xludf.DUMMYFUNCTION("""COMPUTED_VALUE"""),"06 ORL")</f>
        <v>06 ORL</v>
      </c>
      <c r="O1090" s="6" t="str">
        <f ca="1">IFERROR(__xludf.DUMMYFUNCTION("""COMPUTED_VALUE"""),"Dr, Andrés Paulino Herrera")</f>
        <v>Dr, Andrés Paulino Herrera</v>
      </c>
      <c r="P1090" s="6" t="str">
        <f ca="1">IFERROR(__xludf.DUMMYFUNCTION("""COMPUTED_VALUE"""),"Lisandro Russian (Madrid, Cáceres, Toledo, Talavera Y Logroño)")</f>
        <v>Lisandro Russian (Madrid, Cáceres, Toledo, Talavera Y Logroño)</v>
      </c>
    </row>
    <row r="1091" spans="2:16">
      <c r="B1091" s="6">
        <f ca="1">IFERROR(__xludf.DUMMYFUNCTION("""COMPUTED_VALUE"""),2025)</f>
        <v>2025</v>
      </c>
      <c r="C1091" s="6">
        <f ca="1">IFERROR(__xludf.DUMMYFUNCTION("""COMPUTED_VALUE"""),8)</f>
        <v>8</v>
      </c>
      <c r="D1091" s="6" t="str">
        <f ca="1">IFERROR(__xludf.DUMMYFUNCTION("""COMPUTED_VALUE"""),"NO")</f>
        <v>NO</v>
      </c>
      <c r="E1091" s="6" t="str">
        <f ca="1">IFERROR(__xludf.DUMMYFUNCTION("""COMPUTED_VALUE"""),"Cáceres")</f>
        <v>Cáceres</v>
      </c>
      <c r="F1091" s="16">
        <f ca="1">IFERROR(__xludf.DUMMYFUNCTION("""COMPUTED_VALUE"""),45887)</f>
        <v>45887</v>
      </c>
      <c r="G1091" s="16">
        <f ca="1">IFERROR(__xludf.DUMMYFUNCTION("""COMPUTED_VALUE"""),45839)</f>
        <v>45839</v>
      </c>
      <c r="H1091" s="6" t="str">
        <f ca="1">IFERROR(__xludf.DUMMYFUNCTION("""COMPUTED_VALUE"""),"Cáceres")</f>
        <v>Cáceres</v>
      </c>
      <c r="I1091" s="6" t="str">
        <f ca="1">IFERROR(__xludf.DUMMYFUNCTION("""COMPUTED_VALUE"""),"CAC-338")</f>
        <v>CAC-338</v>
      </c>
      <c r="J1091" s="6" t="str">
        <f ca="1">IFERROR(__xludf.DUMMYFUNCTION("""COMPUTED_VALUE"""),"MANUEL DONAIRE OBREGON")</f>
        <v>MANUEL DONAIRE OBREGON</v>
      </c>
      <c r="K1091" s="6">
        <f ca="1">IFERROR(__xludf.DUMMYFUNCTION("""COMPUTED_VALUE"""),1)</f>
        <v>1</v>
      </c>
      <c r="L1091" s="139">
        <f ca="1">IFERROR(__xludf.DUMMYFUNCTION("""COMPUTED_VALUE"""),2495.45)</f>
        <v>2495.4499999999998</v>
      </c>
      <c r="M1091" s="6" t="str">
        <f ca="1">IFERROR(__xludf.DUMMYFUNCTION("""COMPUTED_VALUE"""),"03 ORL")</f>
        <v>03 ORL</v>
      </c>
      <c r="N1091" s="6" t="str">
        <f ca="1">IFERROR(__xludf.DUMMYFUNCTION("""COMPUTED_VALUE"""),"06 ORL")</f>
        <v>06 ORL</v>
      </c>
      <c r="O1091" s="6" t="str">
        <f ca="1">IFERROR(__xludf.DUMMYFUNCTION("""COMPUTED_VALUE"""),"Dr, Javier García Gómez")</f>
        <v>Dr, Javier García Gómez</v>
      </c>
      <c r="P1091" s="6" t="str">
        <f ca="1">IFERROR(__xludf.DUMMYFUNCTION("""COMPUTED_VALUE"""),"Lisandro Russian (Madrid, Cáceres, Toledo, Talavera Y Logroño)")</f>
        <v>Lisandro Russian (Madrid, Cáceres, Toledo, Talavera Y Logroño)</v>
      </c>
    </row>
    <row r="1092" spans="2:16">
      <c r="B1092" s="6">
        <f ca="1">IFERROR(__xludf.DUMMYFUNCTION("""COMPUTED_VALUE"""),2025)</f>
        <v>2025</v>
      </c>
      <c r="C1092" s="6">
        <f ca="1">IFERROR(__xludf.DUMMYFUNCTION("""COMPUTED_VALUE"""),8)</f>
        <v>8</v>
      </c>
      <c r="D1092" s="6" t="str">
        <f ca="1">IFERROR(__xludf.DUMMYFUNCTION("""COMPUTED_VALUE"""),"NO")</f>
        <v>NO</v>
      </c>
      <c r="E1092" s="6" t="str">
        <f ca="1">IFERROR(__xludf.DUMMYFUNCTION("""COMPUTED_VALUE"""),"Cáceres")</f>
        <v>Cáceres</v>
      </c>
      <c r="F1092" s="16">
        <f ca="1">IFERROR(__xludf.DUMMYFUNCTION("""COMPUTED_VALUE"""),45889)</f>
        <v>45889</v>
      </c>
      <c r="G1092" s="16">
        <f ca="1">IFERROR(__xludf.DUMMYFUNCTION("""COMPUTED_VALUE"""),45846)</f>
        <v>45846</v>
      </c>
      <c r="H1092" s="6" t="str">
        <f ca="1">IFERROR(__xludf.DUMMYFUNCTION("""COMPUTED_VALUE"""),"Cáceres")</f>
        <v>Cáceres</v>
      </c>
      <c r="I1092" s="6" t="str">
        <f ca="1">IFERROR(__xludf.DUMMYFUNCTION("""COMPUTED_VALUE"""),"CAC-344")</f>
        <v>CAC-344</v>
      </c>
      <c r="J1092" s="6" t="str">
        <f ca="1">IFERROR(__xludf.DUMMYFUNCTION("""COMPUTED_VALUE"""),"CARMEN SANCHEZ LUQUE")</f>
        <v>CARMEN SANCHEZ LUQUE</v>
      </c>
      <c r="K1092" s="6">
        <f ca="1">IFERROR(__xludf.DUMMYFUNCTION("""COMPUTED_VALUE"""),2)</f>
        <v>2</v>
      </c>
      <c r="L1092" s="139">
        <f ca="1">IFERROR(__xludf.DUMMYFUNCTION("""COMPUTED_VALUE"""),3182.73)</f>
        <v>3182.73</v>
      </c>
      <c r="M1092" s="6" t="str">
        <f ca="1">IFERROR(__xludf.DUMMYFUNCTION("""COMPUTED_VALUE"""),"03 ORL")</f>
        <v>03 ORL</v>
      </c>
      <c r="N1092" s="6" t="str">
        <f ca="1">IFERROR(__xludf.DUMMYFUNCTION("""COMPUTED_VALUE"""),"06 ORL")</f>
        <v>06 ORL</v>
      </c>
      <c r="O1092" s="6" t="str">
        <f ca="1">IFERROR(__xludf.DUMMYFUNCTION("""COMPUTED_VALUE"""),"Dr, Andrés Paulino Herrera")</f>
        <v>Dr, Andrés Paulino Herrera</v>
      </c>
      <c r="P1092" s="6" t="str">
        <f ca="1">IFERROR(__xludf.DUMMYFUNCTION("""COMPUTED_VALUE"""),"Lisandro Russian (Madrid, Cáceres, Toledo, Talavera Y Logroño)")</f>
        <v>Lisandro Russian (Madrid, Cáceres, Toledo, Talavera Y Logroño)</v>
      </c>
    </row>
    <row r="1093" spans="2:16">
      <c r="B1093" s="6">
        <f ca="1">IFERROR(__xludf.DUMMYFUNCTION("""COMPUTED_VALUE"""),2025)</f>
        <v>2025</v>
      </c>
      <c r="C1093" s="6">
        <f ca="1">IFERROR(__xludf.DUMMYFUNCTION("""COMPUTED_VALUE"""),8)</f>
        <v>8</v>
      </c>
      <c r="D1093" s="6" t="str">
        <f ca="1">IFERROR(__xludf.DUMMYFUNCTION("""COMPUTED_VALUE"""),"NO")</f>
        <v>NO</v>
      </c>
      <c r="E1093" s="6" t="str">
        <f ca="1">IFERROR(__xludf.DUMMYFUNCTION("""COMPUTED_VALUE"""),"Cáceres")</f>
        <v>Cáceres</v>
      </c>
      <c r="F1093" s="16">
        <f ca="1">IFERROR(__xludf.DUMMYFUNCTION("""COMPUTED_VALUE"""),45900)</f>
        <v>45900</v>
      </c>
      <c r="G1093" s="16">
        <f ca="1">IFERROR(__xludf.DUMMYFUNCTION("""COMPUTED_VALUE"""),45847)</f>
        <v>45847</v>
      </c>
      <c r="H1093" s="6" t="str">
        <f ca="1">IFERROR(__xludf.DUMMYFUNCTION("""COMPUTED_VALUE"""),"Cáceres")</f>
        <v>Cáceres</v>
      </c>
      <c r="I1093" s="6" t="str">
        <f ca="1">IFERROR(__xludf.DUMMYFUNCTION("""COMPUTED_VALUE"""),"CAC-345")</f>
        <v>CAC-345</v>
      </c>
      <c r="J1093" s="6" t="str">
        <f ca="1">IFERROR(__xludf.DUMMYFUNCTION("""COMPUTED_VALUE"""),"LUIS MIGUEL CERRO GONZALEZ")</f>
        <v>LUIS MIGUEL CERRO GONZALEZ</v>
      </c>
      <c r="K1093" s="6">
        <f ca="1">IFERROR(__xludf.DUMMYFUNCTION("""COMPUTED_VALUE"""),2)</f>
        <v>2</v>
      </c>
      <c r="L1093" s="139">
        <f ca="1">IFERROR(__xludf.DUMMYFUNCTION("""COMPUTED_VALUE"""),4990.91)</f>
        <v>4990.91</v>
      </c>
      <c r="M1093" s="6" t="str">
        <f ca="1">IFERROR(__xludf.DUMMYFUNCTION("""COMPUTED_VALUE"""),"03 ORL")</f>
        <v>03 ORL</v>
      </c>
      <c r="N1093" s="6" t="str">
        <f ca="1">IFERROR(__xludf.DUMMYFUNCTION("""COMPUTED_VALUE"""),"06 ORL")</f>
        <v>06 ORL</v>
      </c>
      <c r="O1093" s="6" t="str">
        <f ca="1">IFERROR(__xludf.DUMMYFUNCTION("""COMPUTED_VALUE"""),"Dr, Manuel Martí Peña")</f>
        <v>Dr, Manuel Martí Peña</v>
      </c>
      <c r="P1093" s="6" t="str">
        <f ca="1">IFERROR(__xludf.DUMMYFUNCTION("""COMPUTED_VALUE"""),"Lisandro Russian (Madrid, Cáceres, Toledo, Talavera Y Logroño)")</f>
        <v>Lisandro Russian (Madrid, Cáceres, Toledo, Talavera Y Logroño)</v>
      </c>
    </row>
    <row r="1094" spans="2:16">
      <c r="B1094" s="6">
        <f ca="1">IFERROR(__xludf.DUMMYFUNCTION("""COMPUTED_VALUE"""),2025)</f>
        <v>2025</v>
      </c>
      <c r="C1094" s="6">
        <f ca="1">IFERROR(__xludf.DUMMYFUNCTION("""COMPUTED_VALUE"""),8)</f>
        <v>8</v>
      </c>
      <c r="D1094" s="6" t="str">
        <f ca="1">IFERROR(__xludf.DUMMYFUNCTION("""COMPUTED_VALUE"""),"NO")</f>
        <v>NO</v>
      </c>
      <c r="E1094" s="6" t="str">
        <f ca="1">IFERROR(__xludf.DUMMYFUNCTION("""COMPUTED_VALUE"""),"Cáceres")</f>
        <v>Cáceres</v>
      </c>
      <c r="F1094" s="16">
        <f ca="1">IFERROR(__xludf.DUMMYFUNCTION("""COMPUTED_VALUE"""),45890)</f>
        <v>45890</v>
      </c>
      <c r="G1094" s="16">
        <f ca="1">IFERROR(__xludf.DUMMYFUNCTION("""COMPUTED_VALUE"""),45859)</f>
        <v>45859</v>
      </c>
      <c r="H1094" s="6" t="str">
        <f ca="1">IFERROR(__xludf.DUMMYFUNCTION("""COMPUTED_VALUE"""),"Cáceres")</f>
        <v>Cáceres</v>
      </c>
      <c r="I1094" s="6" t="str">
        <f ca="1">IFERROR(__xludf.DUMMYFUNCTION("""COMPUTED_VALUE"""),"CAC-353")</f>
        <v>CAC-353</v>
      </c>
      <c r="J1094" s="6" t="str">
        <f ca="1">IFERROR(__xludf.DUMMYFUNCTION("""COMPUTED_VALUE"""),"MARIA ARANZAZU PEREZ GOMEZ")</f>
        <v>MARIA ARANZAZU PEREZ GOMEZ</v>
      </c>
      <c r="K1094" s="6">
        <f ca="1">IFERROR(__xludf.DUMMYFUNCTION("""COMPUTED_VALUE"""),2)</f>
        <v>2</v>
      </c>
      <c r="L1094" s="139">
        <f ca="1">IFERROR(__xludf.DUMMYFUNCTION("""COMPUTED_VALUE"""),3636.36)</f>
        <v>3636.36</v>
      </c>
      <c r="M1094" s="6" t="str">
        <f ca="1">IFERROR(__xludf.DUMMYFUNCTION("""COMPUTED_VALUE"""),"03 ORL")</f>
        <v>03 ORL</v>
      </c>
      <c r="N1094" s="6" t="str">
        <f ca="1">IFERROR(__xludf.DUMMYFUNCTION("""COMPUTED_VALUE"""),"06 ORL")</f>
        <v>06 ORL</v>
      </c>
      <c r="O1094" s="6" t="str">
        <f ca="1">IFERROR(__xludf.DUMMYFUNCTION("""COMPUTED_VALUE"""),"Dra, Andrea Cifuentes Navas")</f>
        <v>Dra, Andrea Cifuentes Navas</v>
      </c>
      <c r="P1094" s="6" t="str">
        <f ca="1">IFERROR(__xludf.DUMMYFUNCTION("""COMPUTED_VALUE"""),"Lisandro Russian (Madrid, Cáceres, Toledo, Talavera Y Logroño)")</f>
        <v>Lisandro Russian (Madrid, Cáceres, Toledo, Talavera Y Logroño)</v>
      </c>
    </row>
    <row r="1095" spans="2:16">
      <c r="B1095" s="6">
        <f ca="1">IFERROR(__xludf.DUMMYFUNCTION("""COMPUTED_VALUE"""),2025)</f>
        <v>2025</v>
      </c>
      <c r="C1095" s="6">
        <f ca="1">IFERROR(__xludf.DUMMYFUNCTION("""COMPUTED_VALUE"""),8)</f>
        <v>8</v>
      </c>
      <c r="D1095" s="6" t="str">
        <f ca="1">IFERROR(__xludf.DUMMYFUNCTION("""COMPUTED_VALUE"""),"NO")</f>
        <v>NO</v>
      </c>
      <c r="E1095" s="6" t="str">
        <f ca="1">IFERROR(__xludf.DUMMYFUNCTION("""COMPUTED_VALUE"""),"Cáceres")</f>
        <v>Cáceres</v>
      </c>
      <c r="F1095" s="16">
        <f ca="1">IFERROR(__xludf.DUMMYFUNCTION("""COMPUTED_VALUE"""),45887)</f>
        <v>45887</v>
      </c>
      <c r="G1095" s="16">
        <f ca="1">IFERROR(__xludf.DUMMYFUNCTION("""COMPUTED_VALUE"""),45862)</f>
        <v>45862</v>
      </c>
      <c r="H1095" s="6" t="str">
        <f ca="1">IFERROR(__xludf.DUMMYFUNCTION("""COMPUTED_VALUE"""),"Cáceres")</f>
        <v>Cáceres</v>
      </c>
      <c r="I1095" s="6" t="str">
        <f ca="1">IFERROR(__xludf.DUMMYFUNCTION("""COMPUTED_VALUE"""),"CAC-359")</f>
        <v>CAC-359</v>
      </c>
      <c r="J1095" s="6" t="str">
        <f ca="1">IFERROR(__xludf.DUMMYFUNCTION("""COMPUTED_VALUE"""),"JOSE RAMOS FERNANDEZ")</f>
        <v>JOSE RAMOS FERNANDEZ</v>
      </c>
      <c r="K1095" s="6">
        <f ca="1">IFERROR(__xludf.DUMMYFUNCTION("""COMPUTED_VALUE"""),2)</f>
        <v>2</v>
      </c>
      <c r="L1095" s="139">
        <f ca="1">IFERROR(__xludf.DUMMYFUNCTION("""COMPUTED_VALUE"""),4045.45)</f>
        <v>4045.45</v>
      </c>
      <c r="M1095" s="6" t="str">
        <f ca="1">IFERROR(__xludf.DUMMYFUNCTION("""COMPUTED_VALUE"""),"03 ORL")</f>
        <v>03 ORL</v>
      </c>
      <c r="N1095" s="6" t="str">
        <f ca="1">IFERROR(__xludf.DUMMYFUNCTION("""COMPUTED_VALUE"""),"06 ORL")</f>
        <v>06 ORL</v>
      </c>
      <c r="O1095" s="6" t="str">
        <f ca="1">IFERROR(__xludf.DUMMYFUNCTION("""COMPUTED_VALUE"""),"Dr, Javier García Gómez")</f>
        <v>Dr, Javier García Gómez</v>
      </c>
      <c r="P1095" s="6" t="str">
        <f ca="1">IFERROR(__xludf.DUMMYFUNCTION("""COMPUTED_VALUE"""),"Lisandro Russian (Madrid, Cáceres, Toledo, Talavera Y Logroño)")</f>
        <v>Lisandro Russian (Madrid, Cáceres, Toledo, Talavera Y Logroño)</v>
      </c>
    </row>
    <row r="1096" spans="2:16">
      <c r="B1096" s="6">
        <f ca="1">IFERROR(__xludf.DUMMYFUNCTION("""COMPUTED_VALUE"""),2025)</f>
        <v>2025</v>
      </c>
      <c r="C1096" s="6">
        <f ca="1">IFERROR(__xludf.DUMMYFUNCTION("""COMPUTED_VALUE"""),8)</f>
        <v>8</v>
      </c>
      <c r="D1096" s="6" t="str">
        <f ca="1">IFERROR(__xludf.DUMMYFUNCTION("""COMPUTED_VALUE"""),"NO")</f>
        <v>NO</v>
      </c>
      <c r="E1096" s="6" t="str">
        <f ca="1">IFERROR(__xludf.DUMMYFUNCTION("""COMPUTED_VALUE"""),"Cáceres")</f>
        <v>Cáceres</v>
      </c>
      <c r="F1096" s="16">
        <f ca="1">IFERROR(__xludf.DUMMYFUNCTION("""COMPUTED_VALUE"""),45900)</f>
        <v>45900</v>
      </c>
      <c r="G1096" s="16">
        <f ca="1">IFERROR(__xludf.DUMMYFUNCTION("""COMPUTED_VALUE"""),45869)</f>
        <v>45869</v>
      </c>
      <c r="H1096" s="6" t="str">
        <f ca="1">IFERROR(__xludf.DUMMYFUNCTION("""COMPUTED_VALUE"""),"Cáceres")</f>
        <v>Cáceres</v>
      </c>
      <c r="I1096" s="6" t="str">
        <f ca="1">IFERROR(__xludf.DUMMYFUNCTION("""COMPUTED_VALUE"""),"CAC-365")</f>
        <v>CAC-365</v>
      </c>
      <c r="J1096" s="6" t="str">
        <f ca="1">IFERROR(__xludf.DUMMYFUNCTION("""COMPUTED_VALUE"""),"SANTIAGO CAMARA FLORES")</f>
        <v>SANTIAGO CAMARA FLORES</v>
      </c>
      <c r="K1096" s="6">
        <f ca="1">IFERROR(__xludf.DUMMYFUNCTION("""COMPUTED_VALUE"""),2)</f>
        <v>2</v>
      </c>
      <c r="L1096" s="139">
        <f ca="1">IFERROR(__xludf.DUMMYFUNCTION("""COMPUTED_VALUE"""),4045.45)</f>
        <v>4045.45</v>
      </c>
      <c r="M1096" s="6" t="str">
        <f ca="1">IFERROR(__xludf.DUMMYFUNCTION("""COMPUTED_VALUE"""),"03 ORL")</f>
        <v>03 ORL</v>
      </c>
      <c r="N1096" s="6" t="str">
        <f ca="1">IFERROR(__xludf.DUMMYFUNCTION("""COMPUTED_VALUE"""),"06 ORL")</f>
        <v>06 ORL</v>
      </c>
      <c r="O1096" s="6" t="str">
        <f ca="1">IFERROR(__xludf.DUMMYFUNCTION("""COMPUTED_VALUE"""),"Dr, Andrés Paulino Herrera")</f>
        <v>Dr, Andrés Paulino Herrera</v>
      </c>
      <c r="P1096" s="6" t="str">
        <f ca="1">IFERROR(__xludf.DUMMYFUNCTION("""COMPUTED_VALUE"""),"Lisandro Russian (Madrid, Cáceres, Toledo, Talavera Y Logroño)")</f>
        <v>Lisandro Russian (Madrid, Cáceres, Toledo, Talavera Y Logroño)</v>
      </c>
    </row>
    <row r="1097" spans="2:16">
      <c r="B1097" s="6">
        <f ca="1">IFERROR(__xludf.DUMMYFUNCTION("""COMPUTED_VALUE"""),2025)</f>
        <v>2025</v>
      </c>
      <c r="C1097" s="6">
        <f ca="1">IFERROR(__xludf.DUMMYFUNCTION("""COMPUTED_VALUE"""),8)</f>
        <v>8</v>
      </c>
      <c r="D1097" s="6" t="str">
        <f ca="1">IFERROR(__xludf.DUMMYFUNCTION("""COMPUTED_VALUE"""),"NO")</f>
        <v>NO</v>
      </c>
      <c r="E1097" s="6" t="str">
        <f ca="1">IFERROR(__xludf.DUMMYFUNCTION("""COMPUTED_VALUE"""),"León")</f>
        <v>León</v>
      </c>
      <c r="F1097" s="16">
        <f ca="1">IFERROR(__xludf.DUMMYFUNCTION("""COMPUTED_VALUE"""),45877)</f>
        <v>45877</v>
      </c>
      <c r="G1097" s="16">
        <f ca="1">IFERROR(__xludf.DUMMYFUNCTION("""COMPUTED_VALUE"""),45840)</f>
        <v>45840</v>
      </c>
      <c r="H1097" s="6" t="str">
        <f ca="1">IFERROR(__xludf.DUMMYFUNCTION("""COMPUTED_VALUE"""),"León")</f>
        <v>León</v>
      </c>
      <c r="I1097" s="6" t="str">
        <f ca="1">IFERROR(__xludf.DUMMYFUNCTION("""COMPUTED_VALUE"""),"LEO-498")</f>
        <v>LEO-498</v>
      </c>
      <c r="J1097" s="6" t="str">
        <f ca="1">IFERROR(__xludf.DUMMYFUNCTION("""COMPUTED_VALUE"""),"ARGIMIRO ALVAREZ ALVAREZ")</f>
        <v>ARGIMIRO ALVAREZ ALVAREZ</v>
      </c>
      <c r="K1097" s="6">
        <f ca="1">IFERROR(__xludf.DUMMYFUNCTION("""COMPUTED_VALUE"""),2)</f>
        <v>2</v>
      </c>
      <c r="L1097" s="139">
        <f ca="1">IFERROR(__xludf.DUMMYFUNCTION("""COMPUTED_VALUE"""),5386.36)</f>
        <v>5386.36</v>
      </c>
      <c r="M1097" s="6" t="str">
        <f ca="1">IFERROR(__xludf.DUMMYFUNCTION("""COMPUTED_VALUE"""),"03 ORL")</f>
        <v>03 ORL</v>
      </c>
      <c r="N1097" s="6" t="str">
        <f ca="1">IFERROR(__xludf.DUMMYFUNCTION("""COMPUTED_VALUE"""),"06 ORL")</f>
        <v>06 ORL</v>
      </c>
      <c r="O1097" s="6" t="str">
        <f ca="1">IFERROR(__xludf.DUMMYFUNCTION("""COMPUTED_VALUE"""),"Dra, Sara Fernandez Cascón")</f>
        <v>Dra, Sara Fernandez Cascón</v>
      </c>
      <c r="P1097" s="6" t="str">
        <f ca="1">IFERROR(__xludf.DUMMYFUNCTION("""COMPUTED_VALUE"""),"Alberto Moreno (Madrid)")</f>
        <v>Alberto Moreno (Madrid)</v>
      </c>
    </row>
    <row r="1098" spans="2:16">
      <c r="B1098" s="6">
        <f ca="1">IFERROR(__xludf.DUMMYFUNCTION("""COMPUTED_VALUE"""),2025)</f>
        <v>2025</v>
      </c>
      <c r="C1098" s="6">
        <f ca="1">IFERROR(__xludf.DUMMYFUNCTION("""COMPUTED_VALUE"""),8)</f>
        <v>8</v>
      </c>
      <c r="D1098" s="6" t="str">
        <f ca="1">IFERROR(__xludf.DUMMYFUNCTION("""COMPUTED_VALUE"""),"NO")</f>
        <v>NO</v>
      </c>
      <c r="E1098" s="6" t="str">
        <f ca="1">IFERROR(__xludf.DUMMYFUNCTION("""COMPUTED_VALUE"""),"Ponferrada")</f>
        <v>Ponferrada</v>
      </c>
      <c r="F1098" s="16">
        <f ca="1">IFERROR(__xludf.DUMMYFUNCTION("""COMPUTED_VALUE"""),45876)</f>
        <v>45876</v>
      </c>
      <c r="G1098" s="16">
        <f ca="1">IFERROR(__xludf.DUMMYFUNCTION("""COMPUTED_VALUE"""),45642)</f>
        <v>45642</v>
      </c>
      <c r="H1098" s="6" t="str">
        <f ca="1">IFERROR(__xludf.DUMMYFUNCTION("""COMPUTED_VALUE"""),"Ponferrada")</f>
        <v>Ponferrada</v>
      </c>
      <c r="I1098" s="6" t="str">
        <f ca="1">IFERROR(__xludf.DUMMYFUNCTION("""COMPUTED_VALUE"""),"PON-846")</f>
        <v>PON-846</v>
      </c>
      <c r="J1098" s="6" t="str">
        <f ca="1">IFERROR(__xludf.DUMMYFUNCTION("""COMPUTED_VALUE"""),"MARI PAZ RODRIGUEZ QUIJADA")</f>
        <v>MARI PAZ RODRIGUEZ QUIJADA</v>
      </c>
      <c r="K1098" s="6">
        <f ca="1">IFERROR(__xludf.DUMMYFUNCTION("""COMPUTED_VALUE"""),2)</f>
        <v>2</v>
      </c>
      <c r="L1098" s="139">
        <f ca="1">IFERROR(__xludf.DUMMYFUNCTION("""COMPUTED_VALUE"""),3545.45)</f>
        <v>3545.45</v>
      </c>
      <c r="M1098" s="6" t="str">
        <f ca="1">IFERROR(__xludf.DUMMYFUNCTION("""COMPUTED_VALUE"""),"03 ORL")</f>
        <v>03 ORL</v>
      </c>
      <c r="N1098" s="6" t="str">
        <f ca="1">IFERROR(__xludf.DUMMYFUNCTION("""COMPUTED_VALUE"""),"06 ORL")</f>
        <v>06 ORL</v>
      </c>
      <c r="O1098" s="6" t="str">
        <f ca="1">IFERROR(__xludf.DUMMYFUNCTION("""COMPUTED_VALUE"""),"Dra, Xenia Mota Rojas")</f>
        <v>Dra, Xenia Mota Rojas</v>
      </c>
      <c r="P1098" s="6" t="str">
        <f ca="1">IFERROR(__xludf.DUMMYFUNCTION("""COMPUTED_VALUE"""),"Alberto Moreno (Madrid)")</f>
        <v>Alberto Moreno (Madrid)</v>
      </c>
    </row>
    <row r="1099" spans="2:16">
      <c r="B1099" s="6">
        <f ca="1">IFERROR(__xludf.DUMMYFUNCTION("""COMPUTED_VALUE"""),2025)</f>
        <v>2025</v>
      </c>
      <c r="C1099" s="6">
        <f ca="1">IFERROR(__xludf.DUMMYFUNCTION("""COMPUTED_VALUE"""),8)</f>
        <v>8</v>
      </c>
      <c r="D1099" s="6" t="str">
        <f ca="1">IFERROR(__xludf.DUMMYFUNCTION("""COMPUTED_VALUE"""),"NO")</f>
        <v>NO</v>
      </c>
      <c r="E1099" s="6" t="str">
        <f ca="1">IFERROR(__xludf.DUMMYFUNCTION("""COMPUTED_VALUE"""),"Ponferrada")</f>
        <v>Ponferrada</v>
      </c>
      <c r="F1099" s="16">
        <f ca="1">IFERROR(__xludf.DUMMYFUNCTION("""COMPUTED_VALUE"""),45887)</f>
        <v>45887</v>
      </c>
      <c r="G1099" s="16">
        <f ca="1">IFERROR(__xludf.DUMMYFUNCTION("""COMPUTED_VALUE"""),45855)</f>
        <v>45855</v>
      </c>
      <c r="H1099" s="6" t="str">
        <f ca="1">IFERROR(__xludf.DUMMYFUNCTION("""COMPUTED_VALUE"""),"Ponferrada")</f>
        <v>Ponferrada</v>
      </c>
      <c r="I1099" s="6" t="str">
        <f ca="1">IFERROR(__xludf.DUMMYFUNCTION("""COMPUTED_VALUE"""),"PON-950")</f>
        <v>PON-950</v>
      </c>
      <c r="J1099" s="6" t="str">
        <f ca="1">IFERROR(__xludf.DUMMYFUNCTION("""COMPUTED_VALUE"""),"FELISINDA RAMON ALVAREZ")</f>
        <v>FELISINDA RAMON ALVAREZ</v>
      </c>
      <c r="K1099" s="6">
        <f ca="1">IFERROR(__xludf.DUMMYFUNCTION("""COMPUTED_VALUE"""),1)</f>
        <v>1</v>
      </c>
      <c r="L1099" s="139">
        <f ca="1">IFERROR(__xludf.DUMMYFUNCTION("""COMPUTED_VALUE"""),2090.91)</f>
        <v>2090.91</v>
      </c>
      <c r="M1099" s="6" t="str">
        <f ca="1">IFERROR(__xludf.DUMMYFUNCTION("""COMPUTED_VALUE"""),"03 ORL")</f>
        <v>03 ORL</v>
      </c>
      <c r="N1099" s="6" t="str">
        <f ca="1">IFERROR(__xludf.DUMMYFUNCTION("""COMPUTED_VALUE"""),"06 ORL")</f>
        <v>06 ORL</v>
      </c>
      <c r="O1099" s="6" t="str">
        <f ca="1">IFERROR(__xludf.DUMMYFUNCTION("""COMPUTED_VALUE"""),"Dra, Xenia Mota Rojas")</f>
        <v>Dra, Xenia Mota Rojas</v>
      </c>
      <c r="P1099" s="6" t="str">
        <f ca="1">IFERROR(__xludf.DUMMYFUNCTION("""COMPUTED_VALUE"""),"Alberto Moreno (Madrid)")</f>
        <v>Alberto Moreno (Madrid)</v>
      </c>
    </row>
    <row r="1100" spans="2:16">
      <c r="B1100" s="6">
        <f ca="1">IFERROR(__xludf.DUMMYFUNCTION("""COMPUTED_VALUE"""),2025)</f>
        <v>2025</v>
      </c>
      <c r="C1100" s="6">
        <f ca="1">IFERROR(__xludf.DUMMYFUNCTION("""COMPUTED_VALUE"""),8)</f>
        <v>8</v>
      </c>
      <c r="D1100" s="6" t="str">
        <f ca="1">IFERROR(__xludf.DUMMYFUNCTION("""COMPUTED_VALUE"""),"NO")</f>
        <v>NO</v>
      </c>
      <c r="E1100" s="6" t="str">
        <f ca="1">IFERROR(__xludf.DUMMYFUNCTION("""COMPUTED_VALUE"""),"Salamanca")</f>
        <v>Salamanca</v>
      </c>
      <c r="F1100" s="16">
        <f ca="1">IFERROR(__xludf.DUMMYFUNCTION("""COMPUTED_VALUE"""),45895)</f>
        <v>45895</v>
      </c>
      <c r="G1100" s="16">
        <f ca="1">IFERROR(__xludf.DUMMYFUNCTION("""COMPUTED_VALUE"""),45869)</f>
        <v>45869</v>
      </c>
      <c r="H1100" s="6" t="str">
        <f ca="1">IFERROR(__xludf.DUMMYFUNCTION("""COMPUTED_VALUE"""),"Salamanca")</f>
        <v>Salamanca</v>
      </c>
      <c r="I1100" s="6" t="str">
        <f ca="1">IFERROR(__xludf.DUMMYFUNCTION("""COMPUTED_VALUE"""),"SLM-595")</f>
        <v>SLM-595</v>
      </c>
      <c r="J1100" s="6" t="str">
        <f ca="1">IFERROR(__xludf.DUMMYFUNCTION("""COMPUTED_VALUE"""),"GABRIEL LUIS ARRIBAS MADRID")</f>
        <v>GABRIEL LUIS ARRIBAS MADRID</v>
      </c>
      <c r="K1100" s="6">
        <f ca="1">IFERROR(__xludf.DUMMYFUNCTION("""COMPUTED_VALUE"""),2)</f>
        <v>2</v>
      </c>
      <c r="L1100" s="139">
        <f ca="1">IFERROR(__xludf.DUMMYFUNCTION("""COMPUTED_VALUE"""),4120)</f>
        <v>4120</v>
      </c>
      <c r="M1100" s="6" t="str">
        <f ca="1">IFERROR(__xludf.DUMMYFUNCTION("""COMPUTED_VALUE"""),"03 ORL")</f>
        <v>03 ORL</v>
      </c>
      <c r="N1100" s="6" t="str">
        <f ca="1">IFERROR(__xludf.DUMMYFUNCTION("""COMPUTED_VALUE"""),"06 ORL")</f>
        <v>06 ORL</v>
      </c>
      <c r="O1100" s="6" t="str">
        <f ca="1">IFERROR(__xludf.DUMMYFUNCTION("""COMPUTED_VALUE"""),"Dr, Ángel Muñoz Herrera")</f>
        <v>Dr, Ángel Muñoz Herrera</v>
      </c>
      <c r="P1100" s="6" t="str">
        <f ca="1">IFERROR(__xludf.DUMMYFUNCTION("""COMPUTED_VALUE"""),"Alberto Moreno (Madrid)")</f>
        <v>Alberto Moreno (Madrid)</v>
      </c>
    </row>
    <row r="1101" spans="2:16">
      <c r="B1101" s="6">
        <f ca="1">IFERROR(__xludf.DUMMYFUNCTION("""COMPUTED_VALUE"""),2025)</f>
        <v>2025</v>
      </c>
      <c r="C1101" s="6">
        <f ca="1">IFERROR(__xludf.DUMMYFUNCTION("""COMPUTED_VALUE"""),8)</f>
        <v>8</v>
      </c>
      <c r="D1101" s="6" t="str">
        <f ca="1">IFERROR(__xludf.DUMMYFUNCTION("""COMPUTED_VALUE"""),"NO")</f>
        <v>NO</v>
      </c>
      <c r="E1101" s="6" t="str">
        <f ca="1">IFERROR(__xludf.DUMMYFUNCTION("""COMPUTED_VALUE"""),"Valladolid")</f>
        <v>Valladolid</v>
      </c>
      <c r="F1101" s="16">
        <f ca="1">IFERROR(__xludf.DUMMYFUNCTION("""COMPUTED_VALUE"""),45889)</f>
        <v>45889</v>
      </c>
      <c r="G1101" s="16">
        <f ca="1">IFERROR(__xludf.DUMMYFUNCTION("""COMPUTED_VALUE"""),45840)</f>
        <v>45840</v>
      </c>
      <c r="H1101" s="6" t="str">
        <f ca="1">IFERROR(__xludf.DUMMYFUNCTION("""COMPUTED_VALUE"""),"Valladolid")</f>
        <v>Valladolid</v>
      </c>
      <c r="I1101" s="6" t="str">
        <f ca="1">IFERROR(__xludf.DUMMYFUNCTION("""COMPUTED_VALUE"""),"VLL-419")</f>
        <v>VLL-419</v>
      </c>
      <c r="J1101" s="6" t="str">
        <f ca="1">IFERROR(__xludf.DUMMYFUNCTION("""COMPUTED_VALUE"""),"ABELINO DE FRUTOS MATEO")</f>
        <v>ABELINO DE FRUTOS MATEO</v>
      </c>
      <c r="K1101" s="6">
        <f ca="1">IFERROR(__xludf.DUMMYFUNCTION("""COMPUTED_VALUE"""),2)</f>
        <v>2</v>
      </c>
      <c r="L1101" s="139">
        <f ca="1">IFERROR(__xludf.DUMMYFUNCTION("""COMPUTED_VALUE"""),3522.73)</f>
        <v>3522.73</v>
      </c>
      <c r="M1101" s="6" t="str">
        <f ca="1">IFERROR(__xludf.DUMMYFUNCTION("""COMPUTED_VALUE"""),"03 ORL")</f>
        <v>03 ORL</v>
      </c>
      <c r="N1101" s="6" t="str">
        <f ca="1">IFERROR(__xludf.DUMMYFUNCTION("""COMPUTED_VALUE"""),"06 ORL")</f>
        <v>06 ORL</v>
      </c>
      <c r="O1101" s="6" t="str">
        <f ca="1">IFERROR(__xludf.DUMMYFUNCTION("""COMPUTED_VALUE"""),"Dra, Antonia Carranza Calleja")</f>
        <v>Dra, Antonia Carranza Calleja</v>
      </c>
      <c r="P1101" s="6" t="str">
        <f ca="1">IFERROR(__xludf.DUMMYFUNCTION("""COMPUTED_VALUE"""),"Alberto Moreno (Madrid)")</f>
        <v>Alberto Moreno (Madrid)</v>
      </c>
    </row>
    <row r="1102" spans="2:16">
      <c r="B1102" s="6">
        <f ca="1">IFERROR(__xludf.DUMMYFUNCTION("""COMPUTED_VALUE"""),2025)</f>
        <v>2025</v>
      </c>
      <c r="C1102" s="6">
        <f ca="1">IFERROR(__xludf.DUMMYFUNCTION("""COMPUTED_VALUE"""),8)</f>
        <v>8</v>
      </c>
      <c r="D1102" s="6" t="str">
        <f ca="1">IFERROR(__xludf.DUMMYFUNCTION("""COMPUTED_VALUE"""),"NO")</f>
        <v>NO</v>
      </c>
      <c r="E1102" s="6" t="str">
        <f ca="1">IFERROR(__xludf.DUMMYFUNCTION("""COMPUTED_VALUE"""),"Vigo")</f>
        <v>Vigo</v>
      </c>
      <c r="F1102" s="16">
        <f ca="1">IFERROR(__xludf.DUMMYFUNCTION("""COMPUTED_VALUE"""),45887)</f>
        <v>45887</v>
      </c>
      <c r="G1102" s="16">
        <f ca="1">IFERROR(__xludf.DUMMYFUNCTION("""COMPUTED_VALUE"""),45842)</f>
        <v>45842</v>
      </c>
      <c r="H1102" s="6" t="str">
        <f ca="1">IFERROR(__xludf.DUMMYFUNCTION("""COMPUTED_VALUE"""),"Vigo")</f>
        <v>Vigo</v>
      </c>
      <c r="I1102" s="6" t="str">
        <f ca="1">IFERROR(__xludf.DUMMYFUNCTION("""COMPUTED_VALUE"""),"VIG-592")</f>
        <v>VIG-592</v>
      </c>
      <c r="J1102" s="6" t="str">
        <f ca="1">IFERROR(__xludf.DUMMYFUNCTION("""COMPUTED_VALUE"""),"JOSE ANTONIO GARCIA VALENCIANO")</f>
        <v>JOSE ANTONIO GARCIA VALENCIANO</v>
      </c>
      <c r="K1102" s="6">
        <f ca="1">IFERROR(__xludf.DUMMYFUNCTION("""COMPUTED_VALUE"""),2)</f>
        <v>2</v>
      </c>
      <c r="L1102" s="139">
        <f ca="1">IFERROR(__xludf.DUMMYFUNCTION("""COMPUTED_VALUE"""),3636.36)</f>
        <v>3636.36</v>
      </c>
      <c r="M1102" s="6" t="str">
        <f ca="1">IFERROR(__xludf.DUMMYFUNCTION("""COMPUTED_VALUE"""),"03 ORL")</f>
        <v>03 ORL</v>
      </c>
      <c r="N1102" s="6" t="str">
        <f ca="1">IFERROR(__xludf.DUMMYFUNCTION("""COMPUTED_VALUE"""),"06 ORL")</f>
        <v>06 ORL</v>
      </c>
      <c r="O1102" s="6" t="str">
        <f ca="1">IFERROR(__xludf.DUMMYFUNCTION("""COMPUTED_VALUE"""),"Dra, Isabel Miranda García")</f>
        <v>Dra, Isabel Miranda García</v>
      </c>
      <c r="P1102" s="6" t="str">
        <f ca="1">IFERROR(__xludf.DUMMYFUNCTION("""COMPUTED_VALUE"""),"Roberto Pereira (Galicia)")</f>
        <v>Roberto Pereira (Galicia)</v>
      </c>
    </row>
    <row r="1103" spans="2:16">
      <c r="B1103" s="6">
        <f ca="1">IFERROR(__xludf.DUMMYFUNCTION("""COMPUTED_VALUE"""),2025)</f>
        <v>2025</v>
      </c>
      <c r="C1103" s="6">
        <f ca="1">IFERROR(__xludf.DUMMYFUNCTION("""COMPUTED_VALUE"""),8)</f>
        <v>8</v>
      </c>
      <c r="D1103" s="6" t="str">
        <f ca="1">IFERROR(__xludf.DUMMYFUNCTION("""COMPUTED_VALUE"""),"NO")</f>
        <v>NO</v>
      </c>
      <c r="E1103" s="6" t="str">
        <f ca="1">IFERROR(__xludf.DUMMYFUNCTION("""COMPUTED_VALUE"""),"Vigo")</f>
        <v>Vigo</v>
      </c>
      <c r="F1103" s="16">
        <f ca="1">IFERROR(__xludf.DUMMYFUNCTION("""COMPUTED_VALUE"""),45889)</f>
        <v>45889</v>
      </c>
      <c r="G1103" s="16">
        <f ca="1">IFERROR(__xludf.DUMMYFUNCTION("""COMPUTED_VALUE"""),45853)</f>
        <v>45853</v>
      </c>
      <c r="H1103" s="6" t="str">
        <f ca="1">IFERROR(__xludf.DUMMYFUNCTION("""COMPUTED_VALUE"""),"Vigo")</f>
        <v>Vigo</v>
      </c>
      <c r="I1103" s="6" t="str">
        <f ca="1">IFERROR(__xludf.DUMMYFUNCTION("""COMPUTED_VALUE"""),"VIG-597")</f>
        <v>VIG-597</v>
      </c>
      <c r="J1103" s="6" t="str">
        <f ca="1">IFERROR(__xludf.DUMMYFUNCTION("""COMPUTED_VALUE"""),"JOSE ANTONIO FERNANDEZ RODRIGUEZ")</f>
        <v>JOSE ANTONIO FERNANDEZ RODRIGUEZ</v>
      </c>
      <c r="K1103" s="6">
        <f ca="1">IFERROR(__xludf.DUMMYFUNCTION("""COMPUTED_VALUE"""),2)</f>
        <v>2</v>
      </c>
      <c r="L1103" s="139">
        <f ca="1">IFERROR(__xludf.DUMMYFUNCTION("""COMPUTED_VALUE"""),3545.45)</f>
        <v>3545.45</v>
      </c>
      <c r="M1103" s="6" t="str">
        <f ca="1">IFERROR(__xludf.DUMMYFUNCTION("""COMPUTED_VALUE"""),"03 ORL")</f>
        <v>03 ORL</v>
      </c>
      <c r="N1103" s="6" t="str">
        <f ca="1">IFERROR(__xludf.DUMMYFUNCTION("""COMPUTED_VALUE"""),"06 ORL")</f>
        <v>06 ORL</v>
      </c>
      <c r="O1103" s="6" t="str">
        <f ca="1">IFERROR(__xludf.DUMMYFUNCTION("""COMPUTED_VALUE"""),"Dra, Isabel Miranda García")</f>
        <v>Dra, Isabel Miranda García</v>
      </c>
      <c r="P1103" s="6" t="str">
        <f ca="1">IFERROR(__xludf.DUMMYFUNCTION("""COMPUTED_VALUE"""),"Roberto Pereira (Galicia)")</f>
        <v>Roberto Pereira (Galicia)</v>
      </c>
    </row>
    <row r="1104" spans="2:16">
      <c r="B1104" s="6">
        <f ca="1">IFERROR(__xludf.DUMMYFUNCTION("""COMPUTED_VALUE"""),2025)</f>
        <v>2025</v>
      </c>
      <c r="C1104" s="6">
        <f ca="1">IFERROR(__xludf.DUMMYFUNCTION("""COMPUTED_VALUE"""),9)</f>
        <v>9</v>
      </c>
      <c r="D1104" s="6" t="str">
        <f ca="1">IFERROR(__xludf.DUMMYFUNCTION("""COMPUTED_VALUE"""),"NO")</f>
        <v>NO</v>
      </c>
      <c r="E1104" s="6" t="str">
        <f ca="1">IFERROR(__xludf.DUMMYFUNCTION("""COMPUTED_VALUE"""),"Albacete")</f>
        <v>Albacete</v>
      </c>
      <c r="F1104" s="16">
        <f ca="1">IFERROR(__xludf.DUMMYFUNCTION("""COMPUTED_VALUE"""),45918)</f>
        <v>45918</v>
      </c>
      <c r="G1104" s="16">
        <f ca="1">IFERROR(__xludf.DUMMYFUNCTION("""COMPUTED_VALUE"""),45887)</f>
        <v>45887</v>
      </c>
      <c r="H1104" s="6" t="str">
        <f ca="1">IFERROR(__xludf.DUMMYFUNCTION("""COMPUTED_VALUE"""),"Albacete")</f>
        <v>Albacete</v>
      </c>
      <c r="I1104" s="6" t="str">
        <f ca="1">IFERROR(__xludf.DUMMYFUNCTION("""COMPUTED_VALUE"""),"C202581995853579")</f>
        <v>C202581995853579</v>
      </c>
      <c r="J1104" s="6" t="str">
        <f ca="1">IFERROR(__xludf.DUMMYFUNCTION("""COMPUTED_VALUE"""),"EMILIANO CERRILLO JAREÑO")</f>
        <v>EMILIANO CERRILLO JAREÑO</v>
      </c>
      <c r="K1104" s="6">
        <f ca="1">IFERROR(__xludf.DUMMYFUNCTION("""COMPUTED_VALUE"""),2)</f>
        <v>2</v>
      </c>
      <c r="L1104" s="139">
        <f ca="1">IFERROR(__xludf.DUMMYFUNCTION("""COMPUTED_VALUE"""),3631.82)</f>
        <v>3631.82</v>
      </c>
      <c r="M1104" s="6" t="str">
        <f ca="1">IFERROR(__xludf.DUMMYFUNCTION("""COMPUTED_VALUE"""),"03 ORL")</f>
        <v>03 ORL</v>
      </c>
      <c r="N1104" s="6" t="str">
        <f ca="1">IFERROR(__xludf.DUMMYFUNCTION("""COMPUTED_VALUE"""),"06 ORL")</f>
        <v>06 ORL</v>
      </c>
      <c r="O1104" s="6" t="str">
        <f ca="1">IFERROR(__xludf.DUMMYFUNCTION("""COMPUTED_VALUE"""),"Dr, Javier García-Dueñas González")</f>
        <v>Dr, Javier García-Dueñas González</v>
      </c>
      <c r="P1104" s="6" t="str">
        <f ca="1">IFERROR(__xludf.DUMMYFUNCTION("""COMPUTED_VALUE"""),"Iván Sánchez (Levante Y Albacete)")</f>
        <v>Iván Sánchez (Levante Y Albacete)</v>
      </c>
    </row>
    <row r="1105" spans="2:16">
      <c r="B1105" s="6">
        <f ca="1">IFERROR(__xludf.DUMMYFUNCTION("""COMPUTED_VALUE"""),2025)</f>
        <v>2025</v>
      </c>
      <c r="C1105" s="6">
        <f ca="1">IFERROR(__xludf.DUMMYFUNCTION("""COMPUTED_VALUE"""),9)</f>
        <v>9</v>
      </c>
      <c r="D1105" s="6" t="str">
        <f ca="1">IFERROR(__xludf.DUMMYFUNCTION("""COMPUTED_VALUE"""),"NO")</f>
        <v>NO</v>
      </c>
      <c r="E1105" s="6" t="str">
        <f ca="1">IFERROR(__xludf.DUMMYFUNCTION("""COMPUTED_VALUE"""),"Albacete")</f>
        <v>Albacete</v>
      </c>
      <c r="F1105" s="16">
        <f ca="1">IFERROR(__xludf.DUMMYFUNCTION("""COMPUTED_VALUE"""),45924)</f>
        <v>45924</v>
      </c>
      <c r="G1105" s="16">
        <f ca="1">IFERROR(__xludf.DUMMYFUNCTION("""COMPUTED_VALUE"""),45869)</f>
        <v>45869</v>
      </c>
      <c r="H1105" s="6" t="str">
        <f ca="1">IFERROR(__xludf.DUMMYFUNCTION("""COMPUTED_VALUE"""),"Albacete")</f>
        <v>Albacete</v>
      </c>
      <c r="I1105" s="6" t="str">
        <f ca="1">IFERROR(__xludf.DUMMYFUNCTION("""COMPUTED_VALUE"""),"C202581121019301")</f>
        <v>C202581121019301</v>
      </c>
      <c r="J1105" s="6" t="str">
        <f ca="1">IFERROR(__xludf.DUMMYFUNCTION("""COMPUTED_VALUE"""),"JUANA CATALAN AGUILAR")</f>
        <v>JUANA CATALAN AGUILAR</v>
      </c>
      <c r="K1105" s="6">
        <f ca="1">IFERROR(__xludf.DUMMYFUNCTION("""COMPUTED_VALUE"""),1)</f>
        <v>1</v>
      </c>
      <c r="L1105" s="139">
        <f ca="1">IFERROR(__xludf.DUMMYFUNCTION("""COMPUTED_VALUE"""),2162.73)</f>
        <v>2162.73</v>
      </c>
      <c r="M1105" s="6" t="str">
        <f ca="1">IFERROR(__xludf.DUMMYFUNCTION("""COMPUTED_VALUE"""),"03 ORL")</f>
        <v>03 ORL</v>
      </c>
      <c r="N1105" s="6" t="str">
        <f ca="1">IFERROR(__xludf.DUMMYFUNCTION("""COMPUTED_VALUE"""),"06 ORL")</f>
        <v>06 ORL</v>
      </c>
      <c r="O1105" s="6" t="str">
        <f ca="1">IFERROR(__xludf.DUMMYFUNCTION("""COMPUTED_VALUE"""),"Dr, Javier García-Dueñas González")</f>
        <v>Dr, Javier García-Dueñas González</v>
      </c>
      <c r="P1105" s="6" t="str">
        <f ca="1">IFERROR(__xludf.DUMMYFUNCTION("""COMPUTED_VALUE"""),"Iván Sánchez (Levante Y Albacete)")</f>
        <v>Iván Sánchez (Levante Y Albacete)</v>
      </c>
    </row>
    <row r="1106" spans="2:16">
      <c r="B1106" s="6">
        <f ca="1">IFERROR(__xludf.DUMMYFUNCTION("""COMPUTED_VALUE"""),2025)</f>
        <v>2025</v>
      </c>
      <c r="C1106" s="6">
        <f ca="1">IFERROR(__xludf.DUMMYFUNCTION("""COMPUTED_VALUE"""),9)</f>
        <v>9</v>
      </c>
      <c r="D1106" s="6" t="str">
        <f ca="1">IFERROR(__xludf.DUMMYFUNCTION("""COMPUTED_VALUE"""),"NO")</f>
        <v>NO</v>
      </c>
      <c r="E1106" s="6" t="str">
        <f ca="1">IFERROR(__xludf.DUMMYFUNCTION("""COMPUTED_VALUE"""),"Alcorcón")</f>
        <v>Alcorcón</v>
      </c>
      <c r="F1106" s="16">
        <f ca="1">IFERROR(__xludf.DUMMYFUNCTION("""COMPUTED_VALUE"""),45911)</f>
        <v>45911</v>
      </c>
      <c r="G1106" s="16">
        <f ca="1">IFERROR(__xludf.DUMMYFUNCTION("""COMPUTED_VALUE"""),45887)</f>
        <v>45887</v>
      </c>
      <c r="H1106" s="6" t="str">
        <f ca="1">IFERROR(__xludf.DUMMYFUNCTION("""COMPUTED_VALUE"""),"Alcorcón")</f>
        <v>Alcorcón</v>
      </c>
      <c r="I1106" s="6" t="str">
        <f ca="1">IFERROR(__xludf.DUMMYFUNCTION("""COMPUTED_VALUE"""),"C2025822121047405")</f>
        <v>C2025822121047405</v>
      </c>
      <c r="J1106" s="6" t="str">
        <f ca="1">IFERROR(__xludf.DUMMYFUNCTION("""COMPUTED_VALUE"""),"ANTONIO  DURAN GARCIA")</f>
        <v>ANTONIO  DURAN GARCIA</v>
      </c>
      <c r="K1106" s="6">
        <f ca="1">IFERROR(__xludf.DUMMYFUNCTION("""COMPUTED_VALUE"""),1)</f>
        <v>1</v>
      </c>
      <c r="L1106" s="139">
        <f ca="1">IFERROR(__xludf.DUMMYFUNCTION("""COMPUTED_VALUE"""),1631.82)</f>
        <v>1631.82</v>
      </c>
      <c r="M1106" s="6" t="str">
        <f ca="1">IFERROR(__xludf.DUMMYFUNCTION("""COMPUTED_VALUE"""),"03 ORL")</f>
        <v>03 ORL</v>
      </c>
      <c r="N1106" s="6" t="str">
        <f ca="1">IFERROR(__xludf.DUMMYFUNCTION("""COMPUTED_VALUE"""),"06 ORL")</f>
        <v>06 ORL</v>
      </c>
      <c r="O1106" s="6" t="str">
        <f ca="1">IFERROR(__xludf.DUMMYFUNCTION("""COMPUTED_VALUE"""),"Dra, María Sol Marcos Salazar")</f>
        <v>Dra, María Sol Marcos Salazar</v>
      </c>
      <c r="P1106" s="6" t="str">
        <f ca="1">IFERROR(__xludf.DUMMYFUNCTION("""COMPUTED_VALUE"""),"Lisandro Russian (Madrid, Cáceres, Toledo, Talavera Y Logroño)")</f>
        <v>Lisandro Russian (Madrid, Cáceres, Toledo, Talavera Y Logroño)</v>
      </c>
    </row>
    <row r="1107" spans="2:16">
      <c r="B1107" s="6">
        <f ca="1">IFERROR(__xludf.DUMMYFUNCTION("""COMPUTED_VALUE"""),2025)</f>
        <v>2025</v>
      </c>
      <c r="C1107" s="6">
        <f ca="1">IFERROR(__xludf.DUMMYFUNCTION("""COMPUTED_VALUE"""),9)</f>
        <v>9</v>
      </c>
      <c r="D1107" s="6" t="str">
        <f ca="1">IFERROR(__xludf.DUMMYFUNCTION("""COMPUTED_VALUE"""),"NO")</f>
        <v>NO</v>
      </c>
      <c r="E1107" s="6" t="str">
        <f ca="1">IFERROR(__xludf.DUMMYFUNCTION("""COMPUTED_VALUE"""),"Alcorcón")</f>
        <v>Alcorcón</v>
      </c>
      <c r="F1107" s="16">
        <f ca="1">IFERROR(__xludf.DUMMYFUNCTION("""COMPUTED_VALUE"""),45926)</f>
        <v>45926</v>
      </c>
      <c r="G1107" s="16">
        <f ca="1">IFERROR(__xludf.DUMMYFUNCTION("""COMPUTED_VALUE"""),45873)</f>
        <v>45873</v>
      </c>
      <c r="H1107" s="6" t="str">
        <f ca="1">IFERROR(__xludf.DUMMYFUNCTION("""COMPUTED_VALUE"""),"Alcorcón")</f>
        <v>Alcorcón</v>
      </c>
      <c r="I1107" s="6" t="str">
        <f ca="1">IFERROR(__xludf.DUMMYFUNCTION("""COMPUTED_VALUE"""),"C20258251058283")</f>
        <v>C20258251058283</v>
      </c>
      <c r="J1107" s="6" t="str">
        <f ca="1">IFERROR(__xludf.DUMMYFUNCTION("""COMPUTED_VALUE"""),"MARIA LUZ PEREZ SANCHEZ")</f>
        <v>MARIA LUZ PEREZ SANCHEZ</v>
      </c>
      <c r="K1107" s="6">
        <f ca="1">IFERROR(__xludf.DUMMYFUNCTION("""COMPUTED_VALUE"""),1)</f>
        <v>1</v>
      </c>
      <c r="L1107" s="139">
        <f ca="1">IFERROR(__xludf.DUMMYFUNCTION("""COMPUTED_VALUE"""),2481.82)</f>
        <v>2481.8200000000002</v>
      </c>
      <c r="M1107" s="6" t="str">
        <f ca="1">IFERROR(__xludf.DUMMYFUNCTION("""COMPUTED_VALUE"""),"03 ORL")</f>
        <v>03 ORL</v>
      </c>
      <c r="N1107" s="6" t="str">
        <f ca="1">IFERROR(__xludf.DUMMYFUNCTION("""COMPUTED_VALUE"""),"06 ORL")</f>
        <v>06 ORL</v>
      </c>
      <c r="O1107" s="6" t="str">
        <f ca="1">IFERROR(__xludf.DUMMYFUNCTION("""COMPUTED_VALUE"""),"Dra, María Sol Marcos Salazar")</f>
        <v>Dra, María Sol Marcos Salazar</v>
      </c>
      <c r="P1107" s="6" t="str">
        <f ca="1">IFERROR(__xludf.DUMMYFUNCTION("""COMPUTED_VALUE"""),"Lisandro Russian (Madrid, Cáceres, Toledo, Talavera Y Logroño)")</f>
        <v>Lisandro Russian (Madrid, Cáceres, Toledo, Talavera Y Logroño)</v>
      </c>
    </row>
    <row r="1108" spans="2:16">
      <c r="B1108" s="6">
        <f ca="1">IFERROR(__xludf.DUMMYFUNCTION("""COMPUTED_VALUE"""),2025)</f>
        <v>2025</v>
      </c>
      <c r="C1108" s="6">
        <f ca="1">IFERROR(__xludf.DUMMYFUNCTION("""COMPUTED_VALUE"""),9)</f>
        <v>9</v>
      </c>
      <c r="D1108" s="6" t="str">
        <f ca="1">IFERROR(__xludf.DUMMYFUNCTION("""COMPUTED_VALUE"""),"NO")</f>
        <v>NO</v>
      </c>
      <c r="E1108" s="6" t="str">
        <f ca="1">IFERROR(__xludf.DUMMYFUNCTION("""COMPUTED_VALUE"""),"Alcorcón")</f>
        <v>Alcorcón</v>
      </c>
      <c r="F1108" s="16">
        <f ca="1">IFERROR(__xludf.DUMMYFUNCTION("""COMPUTED_VALUE"""),45929)</f>
        <v>45929</v>
      </c>
      <c r="G1108" s="16">
        <f ca="1">IFERROR(__xludf.DUMMYFUNCTION("""COMPUTED_VALUE"""),45897)</f>
        <v>45897</v>
      </c>
      <c r="H1108" s="6" t="str">
        <f ca="1">IFERROR(__xludf.DUMMYFUNCTION("""COMPUTED_VALUE"""),"Alcorcón")</f>
        <v>Alcorcón</v>
      </c>
      <c r="I1108" s="6" t="str">
        <f ca="1">IFERROR(__xludf.DUMMYFUNCTION("""COMPUTED_VALUE"""),"C20259216555344")</f>
        <v>C20259216555344</v>
      </c>
      <c r="J1108" s="6" t="str">
        <f ca="1">IFERROR(__xludf.DUMMYFUNCTION("""COMPUTED_VALUE"""),"MARIA MERCEDES JIMENEZ SANCHEZ")</f>
        <v>MARIA MERCEDES JIMENEZ SANCHEZ</v>
      </c>
      <c r="K1108" s="6">
        <f ca="1">IFERROR(__xludf.DUMMYFUNCTION("""COMPUTED_VALUE"""),2)</f>
        <v>2</v>
      </c>
      <c r="L1108" s="139">
        <f ca="1">IFERROR(__xludf.DUMMYFUNCTION("""COMPUTED_VALUE"""),4136.36)</f>
        <v>4136.3599999999997</v>
      </c>
      <c r="M1108" s="6" t="str">
        <f ca="1">IFERROR(__xludf.DUMMYFUNCTION("""COMPUTED_VALUE"""),"03 ORL")</f>
        <v>03 ORL</v>
      </c>
      <c r="N1108" s="6" t="str">
        <f ca="1">IFERROR(__xludf.DUMMYFUNCTION("""COMPUTED_VALUE"""),"06 ORL")</f>
        <v>06 ORL</v>
      </c>
      <c r="O1108" s="6" t="str">
        <f ca="1">IFERROR(__xludf.DUMMYFUNCTION("""COMPUTED_VALUE"""),"No recuerda ORL")</f>
        <v>No recuerda ORL</v>
      </c>
      <c r="P1108" s="6" t="str">
        <f ca="1">IFERROR(__xludf.DUMMYFUNCTION("""COMPUTED_VALUE"""),"Maika Blázquez (Madrid)")</f>
        <v>Maika Blázquez (Madrid)</v>
      </c>
    </row>
    <row r="1109" spans="2:16">
      <c r="B1109" s="6">
        <f ca="1">IFERROR(__xludf.DUMMYFUNCTION("""COMPUTED_VALUE"""),2025)</f>
        <v>2025</v>
      </c>
      <c r="C1109" s="6">
        <f ca="1">IFERROR(__xludf.DUMMYFUNCTION("""COMPUTED_VALUE"""),9)</f>
        <v>9</v>
      </c>
      <c r="D1109" s="6" t="str">
        <f ca="1">IFERROR(__xludf.DUMMYFUNCTION("""COMPUTED_VALUE"""),"NO")</f>
        <v>NO</v>
      </c>
      <c r="E1109" s="6" t="str">
        <f ca="1">IFERROR(__xludf.DUMMYFUNCTION("""COMPUTED_VALUE"""),"Alicante")</f>
        <v>Alicante</v>
      </c>
      <c r="F1109" s="16">
        <f ca="1">IFERROR(__xludf.DUMMYFUNCTION("""COMPUTED_VALUE"""),45925)</f>
        <v>45925</v>
      </c>
      <c r="G1109" s="16">
        <f ca="1">IFERROR(__xludf.DUMMYFUNCTION("""COMPUTED_VALUE"""),45902)</f>
        <v>45902</v>
      </c>
      <c r="H1109" s="6" t="str">
        <f ca="1">IFERROR(__xludf.DUMMYFUNCTION("""COMPUTED_VALUE"""),"Alicante")</f>
        <v>Alicante</v>
      </c>
      <c r="I1109" s="6" t="str">
        <f ca="1">IFERROR(__xludf.DUMMYFUNCTION("""COMPUTED_VALUE"""),"C20259416449826")</f>
        <v>C20259416449826</v>
      </c>
      <c r="J1109" s="6" t="str">
        <f ca="1">IFERROR(__xludf.DUMMYFUNCTION("""COMPUTED_VALUE"""),"CIARAN BRENDAN BRACKEN")</f>
        <v>CIARAN BRENDAN BRACKEN</v>
      </c>
      <c r="K1109" s="6">
        <f ca="1">IFERROR(__xludf.DUMMYFUNCTION("""COMPUTED_VALUE"""),2)</f>
        <v>2</v>
      </c>
      <c r="L1109" s="139">
        <f ca="1">IFERROR(__xludf.DUMMYFUNCTION("""COMPUTED_VALUE"""),4136.36)</f>
        <v>4136.3599999999997</v>
      </c>
      <c r="M1109" s="6" t="str">
        <f ca="1">IFERROR(__xludf.DUMMYFUNCTION("""COMPUTED_VALUE"""),"03 ORL")</f>
        <v>03 ORL</v>
      </c>
      <c r="N1109" s="6" t="str">
        <f ca="1">IFERROR(__xludf.DUMMYFUNCTION("""COMPUTED_VALUE"""),"06 ORL")</f>
        <v>06 ORL</v>
      </c>
      <c r="O1109" s="6" t="str">
        <f ca="1">IFERROR(__xludf.DUMMYFUNCTION("""COMPUTED_VALUE"""),"Dr, Francisco Javier Cerdán Baeza")</f>
        <v>Dr, Francisco Javier Cerdán Baeza</v>
      </c>
      <c r="P1109" s="6" t="str">
        <f ca="1">IFERROR(__xludf.DUMMYFUNCTION("""COMPUTED_VALUE"""),"Iván Sánchez (Levante Y Albacete)")</f>
        <v>Iván Sánchez (Levante Y Albacete)</v>
      </c>
    </row>
    <row r="1110" spans="2:16">
      <c r="B1110" s="6">
        <f ca="1">IFERROR(__xludf.DUMMYFUNCTION("""COMPUTED_VALUE"""),2025)</f>
        <v>2025</v>
      </c>
      <c r="C1110" s="6">
        <f ca="1">IFERROR(__xludf.DUMMYFUNCTION("""COMPUTED_VALUE"""),9)</f>
        <v>9</v>
      </c>
      <c r="D1110" s="6" t="str">
        <f ca="1">IFERROR(__xludf.DUMMYFUNCTION("""COMPUTED_VALUE"""),"NO")</f>
        <v>NO</v>
      </c>
      <c r="E1110" s="6" t="str">
        <f ca="1">IFERROR(__xludf.DUMMYFUNCTION("""COMPUTED_VALUE"""),"Alicante")</f>
        <v>Alicante</v>
      </c>
      <c r="F1110" s="16">
        <f ca="1">IFERROR(__xludf.DUMMYFUNCTION("""COMPUTED_VALUE"""),45924)</f>
        <v>45924</v>
      </c>
      <c r="G1110" s="16">
        <f ca="1">IFERROR(__xludf.DUMMYFUNCTION("""COMPUTED_VALUE"""),45895)</f>
        <v>45895</v>
      </c>
      <c r="H1110" s="6" t="str">
        <f ca="1">IFERROR(__xludf.DUMMYFUNCTION("""COMPUTED_VALUE"""),"Alicante")</f>
        <v>Alicante</v>
      </c>
      <c r="I1110" s="6" t="str">
        <f ca="1">IFERROR(__xludf.DUMMYFUNCTION("""COMPUTED_VALUE"""),"C202593104026561")</f>
        <v>C202593104026561</v>
      </c>
      <c r="J1110" s="6" t="str">
        <f ca="1">IFERROR(__xludf.DUMMYFUNCTION("""COMPUTED_VALUE"""),"YOLANDA BURILLO ADROVER")</f>
        <v>YOLANDA BURILLO ADROVER</v>
      </c>
      <c r="K1110" s="6">
        <f ca="1">IFERROR(__xludf.DUMMYFUNCTION("""COMPUTED_VALUE"""),1)</f>
        <v>1</v>
      </c>
      <c r="L1110" s="139">
        <f ca="1">IFERROR(__xludf.DUMMYFUNCTION("""COMPUTED_VALUE"""),2481.82)</f>
        <v>2481.8200000000002</v>
      </c>
      <c r="M1110" s="6" t="str">
        <f ca="1">IFERROR(__xludf.DUMMYFUNCTION("""COMPUTED_VALUE"""),"03 ORL")</f>
        <v>03 ORL</v>
      </c>
      <c r="N1110" s="6" t="str">
        <f ca="1">IFERROR(__xludf.DUMMYFUNCTION("""COMPUTED_VALUE"""),"06 ORL")</f>
        <v>06 ORL</v>
      </c>
      <c r="O1110" s="6" t="str">
        <f ca="1">IFERROR(__xludf.DUMMYFUNCTION("""COMPUTED_VALUE"""),"Dra, Mónica Rodríguez Briceño")</f>
        <v>Dra, Mónica Rodríguez Briceño</v>
      </c>
      <c r="P1110" s="6" t="str">
        <f ca="1">IFERROR(__xludf.DUMMYFUNCTION("""COMPUTED_VALUE"""),"Iván Sánchez (Levante Y Albacete)")</f>
        <v>Iván Sánchez (Levante Y Albacete)</v>
      </c>
    </row>
    <row r="1111" spans="2:16">
      <c r="B1111" s="6">
        <f ca="1">IFERROR(__xludf.DUMMYFUNCTION("""COMPUTED_VALUE"""),2025)</f>
        <v>2025</v>
      </c>
      <c r="C1111" s="6">
        <f ca="1">IFERROR(__xludf.DUMMYFUNCTION("""COMPUTED_VALUE"""),9)</f>
        <v>9</v>
      </c>
      <c r="D1111" s="6" t="str">
        <f ca="1">IFERROR(__xludf.DUMMYFUNCTION("""COMPUTED_VALUE"""),"NO")</f>
        <v>NO</v>
      </c>
      <c r="E1111" s="1" t="str">
        <f ca="1">IFERROR(__xludf.DUMMYFUNCTION("""COMPUTED_VALUE"""),"Barcelona- Córcega")</f>
        <v>Barcelona- Córcega</v>
      </c>
      <c r="F1111" s="16">
        <f ca="1">IFERROR(__xludf.DUMMYFUNCTION("""COMPUTED_VALUE"""),45926)</f>
        <v>45926</v>
      </c>
      <c r="G1111" s="16">
        <f ca="1">IFERROR(__xludf.DUMMYFUNCTION("""COMPUTED_VALUE"""),45860)</f>
        <v>45860</v>
      </c>
      <c r="H1111" s="6" t="str">
        <f ca="1">IFERROR(__xludf.DUMMYFUNCTION("""COMPUTED_VALUE"""),"Córcega")</f>
        <v>Córcega</v>
      </c>
      <c r="I1111" s="6" t="str">
        <f ca="1">IFERROR(__xludf.DUMMYFUNCTION("""COMPUTED_VALUE"""),"C2025729112114817")</f>
        <v>C2025729112114817</v>
      </c>
      <c r="J1111" s="1" t="str">
        <f ca="1">IFERROR(__xludf.DUMMYFUNCTION("""COMPUTED_VALUE"""),"JOSEFINA  MILANES LOPEZ")</f>
        <v>JOSEFINA  MILANES LOPEZ</v>
      </c>
      <c r="K1111" s="6">
        <f ca="1">IFERROR(__xludf.DUMMYFUNCTION("""COMPUTED_VALUE"""),2)</f>
        <v>2</v>
      </c>
      <c r="L1111" s="139">
        <f ca="1">IFERROR(__xludf.DUMMYFUNCTION("""COMPUTED_VALUE"""),3710)</f>
        <v>3710</v>
      </c>
      <c r="M1111" s="6" t="str">
        <f ca="1">IFERROR(__xludf.DUMMYFUNCTION("""COMPUTED_VALUE"""),"03 ORL")</f>
        <v>03 ORL</v>
      </c>
      <c r="N1111" s="6" t="str">
        <f ca="1">IFERROR(__xludf.DUMMYFUNCTION("""COMPUTED_VALUE"""),"06 ORL")</f>
        <v>06 ORL</v>
      </c>
      <c r="O1111" s="1" t="str">
        <f ca="1">IFERROR(__xludf.DUMMYFUNCTION("""COMPUTED_VALUE"""),"Dr, Camilo Rodríguez Van Strahle")</f>
        <v>Dr, Camilo Rodríguez Van Strahle</v>
      </c>
      <c r="P1111" s="6" t="str">
        <f ca="1">IFERROR(__xludf.DUMMYFUNCTION("""COMPUTED_VALUE"""),"Mercè Cabrera (Cataluña Y Baleares)")</f>
        <v>Mercè Cabrera (Cataluña Y Baleares)</v>
      </c>
    </row>
    <row r="1112" spans="2:16">
      <c r="B1112" s="6">
        <f ca="1">IFERROR(__xludf.DUMMYFUNCTION("""COMPUTED_VALUE"""),2025)</f>
        <v>2025</v>
      </c>
      <c r="C1112" s="6">
        <f ca="1">IFERROR(__xludf.DUMMYFUNCTION("""COMPUTED_VALUE"""),9)</f>
        <v>9</v>
      </c>
      <c r="D1112" s="6" t="str">
        <f ca="1">IFERROR(__xludf.DUMMYFUNCTION("""COMPUTED_VALUE"""),"NO")</f>
        <v>NO</v>
      </c>
      <c r="E1112" s="6" t="str">
        <f ca="1">IFERROR(__xludf.DUMMYFUNCTION("""COMPUTED_VALUE"""),"Barcelona- Fabra i Puig")</f>
        <v>Barcelona- Fabra i Puig</v>
      </c>
      <c r="F1112" s="16">
        <f ca="1">IFERROR(__xludf.DUMMYFUNCTION("""COMPUTED_VALUE"""),45923)</f>
        <v>45923</v>
      </c>
      <c r="G1112" s="16">
        <f ca="1">IFERROR(__xludf.DUMMYFUNCTION("""COMPUTED_VALUE"""),45853)</f>
        <v>45853</v>
      </c>
      <c r="H1112" s="6" t="str">
        <f ca="1">IFERROR(__xludf.DUMMYFUNCTION("""COMPUTED_VALUE"""),"Fabra")</f>
        <v>Fabra</v>
      </c>
      <c r="I1112" s="6" t="str">
        <f ca="1">IFERROR(__xludf.DUMMYFUNCTION("""COMPUTED_VALUE"""),"C2025912124422319")</f>
        <v>C2025912124422319</v>
      </c>
      <c r="J1112" s="6" t="str">
        <f ca="1">IFERROR(__xludf.DUMMYFUNCTION("""COMPUTED_VALUE"""),"PURIFICACIÓN SANTAMARTA GARCÍA")</f>
        <v>PURIFICACIÓN SANTAMARTA GARCÍA</v>
      </c>
      <c r="K1112" s="6">
        <f ca="1">IFERROR(__xludf.DUMMYFUNCTION("""COMPUTED_VALUE"""),2)</f>
        <v>2</v>
      </c>
      <c r="L1112" s="139">
        <f ca="1">IFERROR(__xludf.DUMMYFUNCTION("""COMPUTED_VALUE"""),2718.18)</f>
        <v>2718.18</v>
      </c>
      <c r="M1112" s="6" t="str">
        <f ca="1">IFERROR(__xludf.DUMMYFUNCTION("""COMPUTED_VALUE"""),"03 ORL")</f>
        <v>03 ORL</v>
      </c>
      <c r="N1112" s="6" t="str">
        <f ca="1">IFERROR(__xludf.DUMMYFUNCTION("""COMPUTED_VALUE"""),"06 ORL")</f>
        <v>06 ORL</v>
      </c>
      <c r="O1112" s="6" t="str">
        <f ca="1">IFERROR(__xludf.DUMMYFUNCTION("""COMPUTED_VALUE"""),"Dra, Paula López Mesa")</f>
        <v>Dra, Paula López Mesa</v>
      </c>
      <c r="P1112" s="6" t="str">
        <f ca="1">IFERROR(__xludf.DUMMYFUNCTION("""COMPUTED_VALUE"""),"Mercè Cabrera (Cataluña Y Baleares)")</f>
        <v>Mercè Cabrera (Cataluña Y Baleares)</v>
      </c>
    </row>
    <row r="1113" spans="2:16">
      <c r="B1113" s="6">
        <f ca="1">IFERROR(__xludf.DUMMYFUNCTION("""COMPUTED_VALUE"""),2025)</f>
        <v>2025</v>
      </c>
      <c r="C1113" s="6">
        <f ca="1">IFERROR(__xludf.DUMMYFUNCTION("""COMPUTED_VALUE"""),9)</f>
        <v>9</v>
      </c>
      <c r="D1113" s="6" t="str">
        <f ca="1">IFERROR(__xludf.DUMMYFUNCTION("""COMPUTED_VALUE"""),"NO")</f>
        <v>NO</v>
      </c>
      <c r="E1113" s="6" t="str">
        <f ca="1">IFERROR(__xludf.DUMMYFUNCTION("""COMPUTED_VALUE"""),"El Albir (Benidorm)")</f>
        <v>El Albir (Benidorm)</v>
      </c>
      <c r="F1113" s="16">
        <f ca="1">IFERROR(__xludf.DUMMYFUNCTION("""COMPUTED_VALUE"""),45918)</f>
        <v>45918</v>
      </c>
      <c r="G1113" s="16">
        <f ca="1">IFERROR(__xludf.DUMMYFUNCTION("""COMPUTED_VALUE"""),45876)</f>
        <v>45876</v>
      </c>
      <c r="H1113" s="6" t="str">
        <f ca="1">IFERROR(__xludf.DUMMYFUNCTION("""COMPUTED_VALUE"""),"El Albir (Benidorm)")</f>
        <v>El Albir (Benidorm)</v>
      </c>
      <c r="I1113" s="6" t="str">
        <f ca="1">IFERROR(__xludf.DUMMYFUNCTION("""COMPUTED_VALUE"""),"C2025821123847841")</f>
        <v>C2025821123847841</v>
      </c>
      <c r="J1113" s="6" t="str">
        <f ca="1">IFERROR(__xludf.DUMMYFUNCTION("""COMPUTED_VALUE"""),"JOSE MOLINA ANGEL")</f>
        <v>JOSE MOLINA ANGEL</v>
      </c>
      <c r="K1113" s="6">
        <f ca="1">IFERROR(__xludf.DUMMYFUNCTION("""COMPUTED_VALUE"""),2)</f>
        <v>2</v>
      </c>
      <c r="L1113" s="139">
        <f ca="1">IFERROR(__xludf.DUMMYFUNCTION("""COMPUTED_VALUE"""),4536.36)</f>
        <v>4536.3599999999997</v>
      </c>
      <c r="M1113" s="6" t="str">
        <f ca="1">IFERROR(__xludf.DUMMYFUNCTION("""COMPUTED_VALUE"""),"03 ORL")</f>
        <v>03 ORL</v>
      </c>
      <c r="N1113" s="6" t="str">
        <f ca="1">IFERROR(__xludf.DUMMYFUNCTION("""COMPUTED_VALUE"""),"06 ORL")</f>
        <v>06 ORL</v>
      </c>
      <c r="O1113" s="6" t="str">
        <f ca="1">IFERROR(__xludf.DUMMYFUNCTION("""COMPUTED_VALUE"""),"Dra, Isabel Polo Tomás")</f>
        <v>Dra, Isabel Polo Tomás</v>
      </c>
      <c r="P1113" s="6" t="str">
        <f ca="1">IFERROR(__xludf.DUMMYFUNCTION("""COMPUTED_VALUE"""),"Ramon Ferrando(Valencia)")</f>
        <v>Ramon Ferrando(Valencia)</v>
      </c>
    </row>
    <row r="1114" spans="2:16">
      <c r="B1114" s="6">
        <f ca="1">IFERROR(__xludf.DUMMYFUNCTION("""COMPUTED_VALUE"""),2025)</f>
        <v>2025</v>
      </c>
      <c r="C1114" s="6">
        <f ca="1">IFERROR(__xludf.DUMMYFUNCTION("""COMPUTED_VALUE"""),9)</f>
        <v>9</v>
      </c>
      <c r="D1114" s="6" t="str">
        <f ca="1">IFERROR(__xludf.DUMMYFUNCTION("""COMPUTED_VALUE"""),"NO")</f>
        <v>NO</v>
      </c>
      <c r="E1114" s="6" t="str">
        <f ca="1">IFERROR(__xludf.DUMMYFUNCTION("""COMPUTED_VALUE"""),"El Albir (Benidorm)")</f>
        <v>El Albir (Benidorm)</v>
      </c>
      <c r="F1114" s="16">
        <f ca="1">IFERROR(__xludf.DUMMYFUNCTION("""COMPUTED_VALUE"""),45924)</f>
        <v>45924</v>
      </c>
      <c r="G1114" s="16">
        <f ca="1">IFERROR(__xludf.DUMMYFUNCTION("""COMPUTED_VALUE"""),45909)</f>
        <v>45909</v>
      </c>
      <c r="H1114" s="6" t="str">
        <f ca="1">IFERROR(__xludf.DUMMYFUNCTION("""COMPUTED_VALUE"""),"El Albir (Benidorm)")</f>
        <v>El Albir (Benidorm)</v>
      </c>
      <c r="I1114" s="6" t="str">
        <f ca="1">IFERROR(__xludf.DUMMYFUNCTION("""COMPUTED_VALUE"""),"C202591592845120")</f>
        <v>C202591592845120</v>
      </c>
      <c r="J1114" s="6" t="str">
        <f ca="1">IFERROR(__xludf.DUMMYFUNCTION("""COMPUTED_VALUE"""),"GEOFFREY HEATHCOTE")</f>
        <v>GEOFFREY HEATHCOTE</v>
      </c>
      <c r="K1114" s="6">
        <f ca="1">IFERROR(__xludf.DUMMYFUNCTION("""COMPUTED_VALUE"""),2)</f>
        <v>2</v>
      </c>
      <c r="L1114" s="139">
        <f ca="1">IFERROR(__xludf.DUMMYFUNCTION("""COMPUTED_VALUE"""),4000)</f>
        <v>4000</v>
      </c>
      <c r="M1114" s="6" t="str">
        <f ca="1">IFERROR(__xludf.DUMMYFUNCTION("""COMPUTED_VALUE"""),"03 ORL")</f>
        <v>03 ORL</v>
      </c>
      <c r="N1114" s="6" t="str">
        <f ca="1">IFERROR(__xludf.DUMMYFUNCTION("""COMPUTED_VALUE"""),"06 ORL")</f>
        <v>06 ORL</v>
      </c>
      <c r="O1114" s="6" t="str">
        <f ca="1">IFERROR(__xludf.DUMMYFUNCTION("""COMPUTED_VALUE"""),"Dr, Lino Enguidanos Hernandorena")</f>
        <v>Dr, Lino Enguidanos Hernandorena</v>
      </c>
      <c r="P1114" s="6" t="str">
        <f ca="1">IFERROR(__xludf.DUMMYFUNCTION("""COMPUTED_VALUE"""),"Ramon Ferrando(Valencia)")</f>
        <v>Ramon Ferrando(Valencia)</v>
      </c>
    </row>
    <row r="1115" spans="2:16">
      <c r="B1115" s="6">
        <f ca="1">IFERROR(__xludf.DUMMYFUNCTION("""COMPUTED_VALUE"""),2025)</f>
        <v>2025</v>
      </c>
      <c r="C1115" s="6">
        <f ca="1">IFERROR(__xludf.DUMMYFUNCTION("""COMPUTED_VALUE"""),9)</f>
        <v>9</v>
      </c>
      <c r="D1115" s="6" t="str">
        <f ca="1">IFERROR(__xludf.DUMMYFUNCTION("""COMPUTED_VALUE"""),"NO")</f>
        <v>NO</v>
      </c>
      <c r="E1115" s="6" t="str">
        <f ca="1">IFERROR(__xludf.DUMMYFUNCTION("""COMPUTED_VALUE"""),"El Albir (Benidorm)")</f>
        <v>El Albir (Benidorm)</v>
      </c>
      <c r="F1115" s="16">
        <f ca="1">IFERROR(__xludf.DUMMYFUNCTION("""COMPUTED_VALUE"""),45930)</f>
        <v>45930</v>
      </c>
      <c r="G1115" s="16">
        <f ca="1">IFERROR(__xludf.DUMMYFUNCTION("""COMPUTED_VALUE"""),45903)</f>
        <v>45903</v>
      </c>
      <c r="H1115" s="6" t="str">
        <f ca="1">IFERROR(__xludf.DUMMYFUNCTION("""COMPUTED_VALUE"""),"El Albir (Benidorm)")</f>
        <v>El Albir (Benidorm)</v>
      </c>
      <c r="I1115" s="6" t="str">
        <f ca="1">IFERROR(__xludf.DUMMYFUNCTION("""COMPUTED_VALUE"""),"C202591011421837")</f>
        <v>C202591011421837</v>
      </c>
      <c r="J1115" s="6" t="str">
        <f ca="1">IFERROR(__xludf.DUMMYFUNCTION("""COMPUTED_VALUE"""),"JOSE MANUEL  SANZ FAILDE")</f>
        <v>JOSE MANUEL  SANZ FAILDE</v>
      </c>
      <c r="K1115" s="6">
        <f ca="1">IFERROR(__xludf.DUMMYFUNCTION("""COMPUTED_VALUE"""),2)</f>
        <v>2</v>
      </c>
      <c r="L1115" s="139">
        <f ca="1">IFERROR(__xludf.DUMMYFUNCTION("""COMPUTED_VALUE"""),4136.36)</f>
        <v>4136.3599999999997</v>
      </c>
      <c r="M1115" s="6" t="str">
        <f ca="1">IFERROR(__xludf.DUMMYFUNCTION("""COMPUTED_VALUE"""),"03 ORL")</f>
        <v>03 ORL</v>
      </c>
      <c r="N1115" s="6" t="str">
        <f ca="1">IFERROR(__xludf.DUMMYFUNCTION("""COMPUTED_VALUE"""),"06 ORL")</f>
        <v>06 ORL</v>
      </c>
      <c r="O1115" s="6" t="str">
        <f ca="1">IFERROR(__xludf.DUMMYFUNCTION("""COMPUTED_VALUE"""),"Dr, Salwa Laraqui Hossini")</f>
        <v>Dr, Salwa Laraqui Hossini</v>
      </c>
      <c r="P1115" s="6" t="str">
        <f ca="1">IFERROR(__xludf.DUMMYFUNCTION("""COMPUTED_VALUE"""),"Iván Sánchez (Levante Y Albacete)")</f>
        <v>Iván Sánchez (Levante Y Albacete)</v>
      </c>
    </row>
    <row r="1116" spans="2:16">
      <c r="B1116" s="6">
        <f ca="1">IFERROR(__xludf.DUMMYFUNCTION("""COMPUTED_VALUE"""),2025)</f>
        <v>2025</v>
      </c>
      <c r="C1116" s="6">
        <f ca="1">IFERROR(__xludf.DUMMYFUNCTION("""COMPUTED_VALUE"""),9)</f>
        <v>9</v>
      </c>
      <c r="D1116" s="6" t="str">
        <f ca="1">IFERROR(__xludf.DUMMYFUNCTION("""COMPUTED_VALUE"""),"NO")</f>
        <v>NO</v>
      </c>
      <c r="E1116" s="6" t="str">
        <f ca="1">IFERROR(__xludf.DUMMYFUNCTION("""COMPUTED_VALUE"""),"El Albir (Benidorm)")</f>
        <v>El Albir (Benidorm)</v>
      </c>
      <c r="F1116" s="16">
        <f ca="1">IFERROR(__xludf.DUMMYFUNCTION("""COMPUTED_VALUE"""),45923)</f>
        <v>45923</v>
      </c>
      <c r="G1116" s="16">
        <f ca="1">IFERROR(__xludf.DUMMYFUNCTION("""COMPUTED_VALUE"""),45887)</f>
        <v>45887</v>
      </c>
      <c r="H1116" s="6" t="str">
        <f ca="1">IFERROR(__xludf.DUMMYFUNCTION("""COMPUTED_VALUE"""),"El Albir (Benidorm)")</f>
        <v>El Albir (Benidorm)</v>
      </c>
      <c r="I1116" s="6" t="str">
        <f ca="1">IFERROR(__xludf.DUMMYFUNCTION("""COMPUTED_VALUE"""),"C20258229546440")</f>
        <v>C20258229546440</v>
      </c>
      <c r="J1116" s="6" t="str">
        <f ca="1">IFERROR(__xludf.DUMMYFUNCTION("""COMPUTED_VALUE"""),"ROSA PONT PASCUAL")</f>
        <v>ROSA PONT PASCUAL</v>
      </c>
      <c r="K1116" s="6">
        <f ca="1">IFERROR(__xludf.DUMMYFUNCTION("""COMPUTED_VALUE"""),2)</f>
        <v>2</v>
      </c>
      <c r="L1116" s="139">
        <f ca="1">IFERROR(__xludf.DUMMYFUNCTION("""COMPUTED_VALUE"""),3631.82)</f>
        <v>3631.82</v>
      </c>
      <c r="M1116" s="6" t="str">
        <f ca="1">IFERROR(__xludf.DUMMYFUNCTION("""COMPUTED_VALUE"""),"03 ORL")</f>
        <v>03 ORL</v>
      </c>
      <c r="N1116" s="6" t="str">
        <f ca="1">IFERROR(__xludf.DUMMYFUNCTION("""COMPUTED_VALUE"""),"06 ORL")</f>
        <v>06 ORL</v>
      </c>
      <c r="O1116" s="6" t="str">
        <f ca="1">IFERROR(__xludf.DUMMYFUNCTION("""COMPUTED_VALUE"""),"Dra, María Emilia García Ruiz")</f>
        <v>Dra, María Emilia García Ruiz</v>
      </c>
      <c r="P1116" s="6" t="str">
        <f ca="1">IFERROR(__xludf.DUMMYFUNCTION("""COMPUTED_VALUE"""),"Ramon Ferrando(Valencia)")</f>
        <v>Ramon Ferrando(Valencia)</v>
      </c>
    </row>
    <row r="1117" spans="2:16">
      <c r="B1117" s="6">
        <f ca="1">IFERROR(__xludf.DUMMYFUNCTION("""COMPUTED_VALUE"""),2025)</f>
        <v>2025</v>
      </c>
      <c r="C1117" s="6">
        <f ca="1">IFERROR(__xludf.DUMMYFUNCTION("""COMPUTED_VALUE"""),9)</f>
        <v>9</v>
      </c>
      <c r="D1117" s="6" t="str">
        <f ca="1">IFERROR(__xludf.DUMMYFUNCTION("""COMPUTED_VALUE"""),"NO")</f>
        <v>NO</v>
      </c>
      <c r="E1117" s="6" t="str">
        <f ca="1">IFERROR(__xludf.DUMMYFUNCTION("""COMPUTED_VALUE"""),"Fuenlabrada")</f>
        <v>Fuenlabrada</v>
      </c>
      <c r="F1117" s="16">
        <f ca="1">IFERROR(__xludf.DUMMYFUNCTION("""COMPUTED_VALUE"""),45926)</f>
        <v>45926</v>
      </c>
      <c r="G1117" s="16">
        <f ca="1">IFERROR(__xludf.DUMMYFUNCTION("""COMPUTED_VALUE"""),43134)</f>
        <v>43134</v>
      </c>
      <c r="H1117" s="6" t="str">
        <f ca="1">IFERROR(__xludf.DUMMYFUNCTION("""COMPUTED_VALUE"""),"Fuenlabrada")</f>
        <v>Fuenlabrada</v>
      </c>
      <c r="I1117" s="6" t="str">
        <f ca="1">IFERROR(__xludf.DUMMYFUNCTION("""COMPUTED_VALUE"""),"FNL-1469")</f>
        <v>FNL-1469</v>
      </c>
      <c r="J1117" s="6" t="str">
        <f ca="1">IFERROR(__xludf.DUMMYFUNCTION("""COMPUTED_VALUE"""),"JOSE LUIS BOIX LOPEZ")</f>
        <v>JOSE LUIS BOIX LOPEZ</v>
      </c>
      <c r="K1117" s="6">
        <f ca="1">IFERROR(__xludf.DUMMYFUNCTION("""COMPUTED_VALUE"""),2)</f>
        <v>2</v>
      </c>
      <c r="L1117" s="139">
        <f ca="1">IFERROR(__xludf.DUMMYFUNCTION("""COMPUTED_VALUE"""),2718.18)</f>
        <v>2718.18</v>
      </c>
      <c r="M1117" s="6" t="str">
        <f ca="1">IFERROR(__xludf.DUMMYFUNCTION("""COMPUTED_VALUE"""),"03 ORL")</f>
        <v>03 ORL</v>
      </c>
      <c r="N1117" s="6" t="str">
        <f ca="1">IFERROR(__xludf.DUMMYFUNCTION("""COMPUTED_VALUE"""),"06 ORL")</f>
        <v>06 ORL</v>
      </c>
      <c r="O1117" s="6" t="str">
        <f ca="1">IFERROR(__xludf.DUMMYFUNCTION("""COMPUTED_VALUE"""),"Dra, Cristina García García")</f>
        <v>Dra, Cristina García García</v>
      </c>
      <c r="P1117" s="6" t="str">
        <f ca="1">IFERROR(__xludf.DUMMYFUNCTION("""COMPUTED_VALUE"""),"Maika Blázquez (Madrid)")</f>
        <v>Maika Blázquez (Madrid)</v>
      </c>
    </row>
    <row r="1118" spans="2:16">
      <c r="B1118" s="6">
        <f ca="1">IFERROR(__xludf.DUMMYFUNCTION("""COMPUTED_VALUE"""),2025)</f>
        <v>2025</v>
      </c>
      <c r="C1118" s="6">
        <f ca="1">IFERROR(__xludf.DUMMYFUNCTION("""COMPUTED_VALUE"""),9)</f>
        <v>9</v>
      </c>
      <c r="D1118" s="6" t="str">
        <f ca="1">IFERROR(__xludf.DUMMYFUNCTION("""COMPUTED_VALUE"""),"NO")</f>
        <v>NO</v>
      </c>
      <c r="E1118" s="6" t="str">
        <f ca="1">IFERROR(__xludf.DUMMYFUNCTION("""COMPUTED_VALUE"""),"Fuenlabrada")</f>
        <v>Fuenlabrada</v>
      </c>
      <c r="F1118" s="16">
        <f ca="1">IFERROR(__xludf.DUMMYFUNCTION("""COMPUTED_VALUE"""),45925)</f>
        <v>45925</v>
      </c>
      <c r="G1118" s="16">
        <f ca="1">IFERROR(__xludf.DUMMYFUNCTION("""COMPUTED_VALUE"""),45908)</f>
        <v>45908</v>
      </c>
      <c r="H1118" s="6" t="str">
        <f ca="1">IFERROR(__xludf.DUMMYFUNCTION("""COMPUTED_VALUE"""),"Fuenlabrada")</f>
        <v>Fuenlabrada</v>
      </c>
      <c r="I1118" s="6"/>
      <c r="J1118" s="6" t="str">
        <f ca="1">IFERROR(__xludf.DUMMYFUNCTION("""COMPUTED_VALUE"""),"MARÍA DEL CARMEN GONZALEZ SORIANO")</f>
        <v>MARÍA DEL CARMEN GONZALEZ SORIANO</v>
      </c>
      <c r="K1118" s="6">
        <f ca="1">IFERROR(__xludf.DUMMYFUNCTION("""COMPUTED_VALUE"""),1)</f>
        <v>1</v>
      </c>
      <c r="L1118" s="139">
        <f ca="1">IFERROR(__xludf.DUMMYFUNCTION("""COMPUTED_VALUE"""),2180.91)</f>
        <v>2180.91</v>
      </c>
      <c r="M1118" s="6" t="str">
        <f ca="1">IFERROR(__xludf.DUMMYFUNCTION("""COMPUTED_VALUE"""),"03 ORL")</f>
        <v>03 ORL</v>
      </c>
      <c r="N1118" s="6" t="str">
        <f ca="1">IFERROR(__xludf.DUMMYFUNCTION("""COMPUTED_VALUE"""),"06 ORL")</f>
        <v>06 ORL</v>
      </c>
      <c r="O1118" s="6" t="str">
        <f ca="1">IFERROR(__xludf.DUMMYFUNCTION("""COMPUTED_VALUE"""),"Dr, Raimundo Andres Navarro Mediano")</f>
        <v>Dr, Raimundo Andres Navarro Mediano</v>
      </c>
      <c r="P1118" s="6" t="str">
        <f ca="1">IFERROR(__xludf.DUMMYFUNCTION("""COMPUTED_VALUE"""),"Maika Blázquez (Madrid)")</f>
        <v>Maika Blázquez (Madrid)</v>
      </c>
    </row>
    <row r="1119" spans="2:16">
      <c r="B1119" s="6">
        <f ca="1">IFERROR(__xludf.DUMMYFUNCTION("""COMPUTED_VALUE"""),2025)</f>
        <v>2025</v>
      </c>
      <c r="C1119" s="6">
        <f ca="1">IFERROR(__xludf.DUMMYFUNCTION("""COMPUTED_VALUE"""),9)</f>
        <v>9</v>
      </c>
      <c r="D1119" s="6" t="str">
        <f ca="1">IFERROR(__xludf.DUMMYFUNCTION("""COMPUTED_VALUE"""),"NO")</f>
        <v>NO</v>
      </c>
      <c r="E1119" s="6" t="str">
        <f ca="1">IFERROR(__xludf.DUMMYFUNCTION("""COMPUTED_VALUE"""),"Fuenlabrada")</f>
        <v>Fuenlabrada</v>
      </c>
      <c r="F1119" s="16">
        <f ca="1">IFERROR(__xludf.DUMMYFUNCTION("""COMPUTED_VALUE"""),45930)</f>
        <v>45930</v>
      </c>
      <c r="G1119" s="16">
        <f ca="1">IFERROR(__xludf.DUMMYFUNCTION("""COMPUTED_VALUE"""),45902)</f>
        <v>45902</v>
      </c>
      <c r="H1119" s="6" t="str">
        <f ca="1">IFERROR(__xludf.DUMMYFUNCTION("""COMPUTED_VALUE"""),"Fuenlabrada")</f>
        <v>Fuenlabrada</v>
      </c>
      <c r="I1119" s="6" t="str">
        <f ca="1">IFERROR(__xludf.DUMMYFUNCTION("""COMPUTED_VALUE"""),"C2025951159016")</f>
        <v>C2025951159016</v>
      </c>
      <c r="J1119" s="6" t="str">
        <f ca="1">IFERROR(__xludf.DUMMYFUNCTION("""COMPUTED_VALUE"""),"PAULA ADELAIDA MARTIN ZAZO")</f>
        <v>PAULA ADELAIDA MARTIN ZAZO</v>
      </c>
      <c r="K1119" s="6">
        <f ca="1">IFERROR(__xludf.DUMMYFUNCTION("""COMPUTED_VALUE"""),2)</f>
        <v>2</v>
      </c>
      <c r="L1119" s="139">
        <f ca="1">IFERROR(__xludf.DUMMYFUNCTION("""COMPUTED_VALUE"""),2718.18)</f>
        <v>2718.18</v>
      </c>
      <c r="M1119" s="6" t="str">
        <f ca="1">IFERROR(__xludf.DUMMYFUNCTION("""COMPUTED_VALUE"""),"03 ORL")</f>
        <v>03 ORL</v>
      </c>
      <c r="N1119" s="6" t="str">
        <f ca="1">IFERROR(__xludf.DUMMYFUNCTION("""COMPUTED_VALUE"""),"06 ORL")</f>
        <v>06 ORL</v>
      </c>
      <c r="O1119" s="6" t="str">
        <f ca="1">IFERROR(__xludf.DUMMYFUNCTION("""COMPUTED_VALUE"""),"Dra, Victoria García Peces")</f>
        <v>Dra, Victoria García Peces</v>
      </c>
      <c r="P1119" s="6" t="str">
        <f ca="1">IFERROR(__xludf.DUMMYFUNCTION("""COMPUTED_VALUE"""),"Maika Blázquez (Madrid)")</f>
        <v>Maika Blázquez (Madrid)</v>
      </c>
    </row>
    <row r="1120" spans="2:16">
      <c r="B1120" s="6">
        <f ca="1">IFERROR(__xludf.DUMMYFUNCTION("""COMPUTED_VALUE"""),2025)</f>
        <v>2025</v>
      </c>
      <c r="C1120" s="6">
        <f ca="1">IFERROR(__xludf.DUMMYFUNCTION("""COMPUTED_VALUE"""),9)</f>
        <v>9</v>
      </c>
      <c r="D1120" s="6" t="str">
        <f ca="1">IFERROR(__xludf.DUMMYFUNCTION("""COMPUTED_VALUE"""),"NO")</f>
        <v>NO</v>
      </c>
      <c r="E1120" s="6" t="str">
        <f ca="1">IFERROR(__xludf.DUMMYFUNCTION("""COMPUTED_VALUE"""),"Getafe")</f>
        <v>Getafe</v>
      </c>
      <c r="F1120" s="16">
        <f ca="1">IFERROR(__xludf.DUMMYFUNCTION("""COMPUTED_VALUE"""),45926)</f>
        <v>45926</v>
      </c>
      <c r="G1120" s="16">
        <f ca="1">IFERROR(__xludf.DUMMYFUNCTION("""COMPUTED_VALUE"""),45870)</f>
        <v>45870</v>
      </c>
      <c r="H1120" s="6" t="str">
        <f ca="1">IFERROR(__xludf.DUMMYFUNCTION("""COMPUTED_VALUE"""),"Getafe")</f>
        <v>Getafe</v>
      </c>
      <c r="I1120" s="6" t="str">
        <f ca="1">IFERROR(__xludf.DUMMYFUNCTION("""COMPUTED_VALUE"""),"C2025822104014712")</f>
        <v>C2025822104014712</v>
      </c>
      <c r="J1120" s="6" t="str">
        <f ca="1">IFERROR(__xludf.DUMMYFUNCTION("""COMPUTED_VALUE"""),"BERNARDA GONZALEZ GALARZA")</f>
        <v>BERNARDA GONZALEZ GALARZA</v>
      </c>
      <c r="K1120" s="6">
        <f ca="1">IFERROR(__xludf.DUMMYFUNCTION("""COMPUTED_VALUE"""),2)</f>
        <v>2</v>
      </c>
      <c r="L1120" s="139">
        <f ca="1">IFERROR(__xludf.DUMMYFUNCTION("""COMPUTED_VALUE"""),3450.23)</f>
        <v>3450.23</v>
      </c>
      <c r="M1120" s="6" t="str">
        <f ca="1">IFERROR(__xludf.DUMMYFUNCTION("""COMPUTED_VALUE"""),"03 ORL")</f>
        <v>03 ORL</v>
      </c>
      <c r="N1120" s="6" t="str">
        <f ca="1">IFERROR(__xludf.DUMMYFUNCTION("""COMPUTED_VALUE"""),"06 ORL")</f>
        <v>06 ORL</v>
      </c>
      <c r="O1120" s="6" t="str">
        <f ca="1">IFERROR(__xludf.DUMMYFUNCTION("""COMPUTED_VALUE"""),"Dra, Marta Colmenero Ruiz")</f>
        <v>Dra, Marta Colmenero Ruiz</v>
      </c>
      <c r="P1120" s="6" t="str">
        <f ca="1">IFERROR(__xludf.DUMMYFUNCTION("""COMPUTED_VALUE"""),"Maika Blázquez (Madrid)")</f>
        <v>Maika Blázquez (Madrid)</v>
      </c>
    </row>
    <row r="1121" spans="2:16">
      <c r="B1121" s="6">
        <f ca="1">IFERROR(__xludf.DUMMYFUNCTION("""COMPUTED_VALUE"""),2025)</f>
        <v>2025</v>
      </c>
      <c r="C1121" s="6">
        <f ca="1">IFERROR(__xludf.DUMMYFUNCTION("""COMPUTED_VALUE"""),9)</f>
        <v>9</v>
      </c>
      <c r="D1121" s="6" t="str">
        <f ca="1">IFERROR(__xludf.DUMMYFUNCTION("""COMPUTED_VALUE"""),"NO")</f>
        <v>NO</v>
      </c>
      <c r="E1121" s="6" t="str">
        <f ca="1">IFERROR(__xludf.DUMMYFUNCTION("""COMPUTED_VALUE"""),"Getafe")</f>
        <v>Getafe</v>
      </c>
      <c r="F1121" s="16">
        <f ca="1">IFERROR(__xludf.DUMMYFUNCTION("""COMPUTED_VALUE"""),45924)</f>
        <v>45924</v>
      </c>
      <c r="G1121" s="16">
        <f ca="1">IFERROR(__xludf.DUMMYFUNCTION("""COMPUTED_VALUE"""),45908)</f>
        <v>45908</v>
      </c>
      <c r="H1121" s="6" t="str">
        <f ca="1">IFERROR(__xludf.DUMMYFUNCTION("""COMPUTED_VALUE"""),"Getafe")</f>
        <v>Getafe</v>
      </c>
      <c r="I1121" s="6" t="str">
        <f ca="1">IFERROR(__xludf.DUMMYFUNCTION("""COMPUTED_VALUE"""),"C20259101779829")</f>
        <v>C20259101779829</v>
      </c>
      <c r="J1121" s="6" t="str">
        <f ca="1">IFERROR(__xludf.DUMMYFUNCTION("""COMPUTED_VALUE"""),"MARIA NARVAEZ PUERTO")</f>
        <v>MARIA NARVAEZ PUERTO</v>
      </c>
      <c r="K1121" s="6">
        <f ca="1">IFERROR(__xludf.DUMMYFUNCTION("""COMPUTED_VALUE"""),1)</f>
        <v>1</v>
      </c>
      <c r="L1121" s="139">
        <f ca="1">IFERROR(__xludf.DUMMYFUNCTION("""COMPUTED_VALUE"""),2357.73)</f>
        <v>2357.73</v>
      </c>
      <c r="M1121" s="6" t="str">
        <f ca="1">IFERROR(__xludf.DUMMYFUNCTION("""COMPUTED_VALUE"""),"03 ORL")</f>
        <v>03 ORL</v>
      </c>
      <c r="N1121" s="6" t="str">
        <f ca="1">IFERROR(__xludf.DUMMYFUNCTION("""COMPUTED_VALUE"""),"06 ORL")</f>
        <v>06 ORL</v>
      </c>
      <c r="O1121" s="6" t="str">
        <f ca="1">IFERROR(__xludf.DUMMYFUNCTION("""COMPUTED_VALUE"""),"Dr, Gerardo Monedero Rodrigo")</f>
        <v>Dr, Gerardo Monedero Rodrigo</v>
      </c>
      <c r="P1121" s="6" t="str">
        <f ca="1">IFERROR(__xludf.DUMMYFUNCTION("""COMPUTED_VALUE"""),"Maika Blázquez (Madrid)")</f>
        <v>Maika Blázquez (Madrid)</v>
      </c>
    </row>
    <row r="1122" spans="2:16">
      <c r="B1122" s="6">
        <f ca="1">IFERROR(__xludf.DUMMYFUNCTION("""COMPUTED_VALUE"""),2025)</f>
        <v>2025</v>
      </c>
      <c r="C1122" s="6">
        <f ca="1">IFERROR(__xludf.DUMMYFUNCTION("""COMPUTED_VALUE"""),9)</f>
        <v>9</v>
      </c>
      <c r="D1122" s="6" t="str">
        <f ca="1">IFERROR(__xludf.DUMMYFUNCTION("""COMPUTED_VALUE"""),"NO")</f>
        <v>NO</v>
      </c>
      <c r="E1122" s="6" t="str">
        <f ca="1">IFERROR(__xludf.DUMMYFUNCTION("""COMPUTED_VALUE"""),"Getafe")</f>
        <v>Getafe</v>
      </c>
      <c r="F1122" s="16">
        <f ca="1">IFERROR(__xludf.DUMMYFUNCTION("""COMPUTED_VALUE"""),45917)</f>
        <v>45917</v>
      </c>
      <c r="G1122" s="16">
        <f ca="1">IFERROR(__xludf.DUMMYFUNCTION("""COMPUTED_VALUE"""),45868)</f>
        <v>45868</v>
      </c>
      <c r="H1122" s="6" t="str">
        <f ca="1">IFERROR(__xludf.DUMMYFUNCTION("""COMPUTED_VALUE"""),"Getafe")</f>
        <v>Getafe</v>
      </c>
      <c r="I1122" s="6" t="str">
        <f ca="1">IFERROR(__xludf.DUMMYFUNCTION("""COMPUTED_VALUE"""),"C20258511036334")</f>
        <v>C20258511036334</v>
      </c>
      <c r="J1122" s="6" t="str">
        <f ca="1">IFERROR(__xludf.DUMMYFUNCTION("""COMPUTED_VALUE"""),"VICENTE MANZANO ZAMORA")</f>
        <v>VICENTE MANZANO ZAMORA</v>
      </c>
      <c r="K1122" s="6">
        <f ca="1">IFERROR(__xludf.DUMMYFUNCTION("""COMPUTED_VALUE"""),2)</f>
        <v>2</v>
      </c>
      <c r="L1122" s="139">
        <f ca="1">IFERROR(__xludf.DUMMYFUNCTION("""COMPUTED_VALUE"""),2540.91)</f>
        <v>2540.91</v>
      </c>
      <c r="M1122" s="6" t="str">
        <f ca="1">IFERROR(__xludf.DUMMYFUNCTION("""COMPUTED_VALUE"""),"03 ORL")</f>
        <v>03 ORL</v>
      </c>
      <c r="N1122" s="6" t="str">
        <f ca="1">IFERROR(__xludf.DUMMYFUNCTION("""COMPUTED_VALUE"""),"06 ORL")</f>
        <v>06 ORL</v>
      </c>
      <c r="O1122" s="6" t="str">
        <f ca="1">IFERROR(__xludf.DUMMYFUNCTION("""COMPUTED_VALUE"""),"Dra, María Garrote Garrote")</f>
        <v>Dra, María Garrote Garrote</v>
      </c>
      <c r="P1122" s="6" t="str">
        <f ca="1">IFERROR(__xludf.DUMMYFUNCTION("""COMPUTED_VALUE"""),"Maika Blázquez (Madrid)")</f>
        <v>Maika Blázquez (Madrid)</v>
      </c>
    </row>
    <row r="1123" spans="2:16">
      <c r="B1123" s="6">
        <f ca="1">IFERROR(__xludf.DUMMYFUNCTION("""COMPUTED_VALUE"""),2025)</f>
        <v>2025</v>
      </c>
      <c r="C1123" s="6">
        <f ca="1">IFERROR(__xludf.DUMMYFUNCTION("""COMPUTED_VALUE"""),9)</f>
        <v>9</v>
      </c>
      <c r="D1123" s="6" t="str">
        <f ca="1">IFERROR(__xludf.DUMMYFUNCTION("""COMPUTED_VALUE"""),"NO")</f>
        <v>NO</v>
      </c>
      <c r="E1123" s="6" t="str">
        <f ca="1">IFERROR(__xludf.DUMMYFUNCTION("""COMPUTED_VALUE"""),"Jerez de la Frontera")</f>
        <v>Jerez de la Frontera</v>
      </c>
      <c r="F1123" s="16">
        <f ca="1">IFERROR(__xludf.DUMMYFUNCTION("""COMPUTED_VALUE"""),45910)</f>
        <v>45910</v>
      </c>
      <c r="G1123" s="16">
        <f ca="1">IFERROR(__xludf.DUMMYFUNCTION("""COMPUTED_VALUE"""),45846)</f>
        <v>45846</v>
      </c>
      <c r="H1123" s="6" t="str">
        <f ca="1">IFERROR(__xludf.DUMMYFUNCTION("""COMPUTED_VALUE"""),"Jerez")</f>
        <v>Jerez</v>
      </c>
      <c r="I1123" s="6" t="str">
        <f ca="1">IFERROR(__xludf.DUMMYFUNCTION("""COMPUTED_VALUE"""),"C2025710102423971")</f>
        <v>C2025710102423971</v>
      </c>
      <c r="J1123" s="6" t="str">
        <f ca="1">IFERROR(__xludf.DUMMYFUNCTION("""COMPUTED_VALUE"""),"CARMEN SANCHEZ GARCIA")</f>
        <v>CARMEN SANCHEZ GARCIA</v>
      </c>
      <c r="K1123" s="6">
        <f ca="1">IFERROR(__xludf.DUMMYFUNCTION("""COMPUTED_VALUE"""),1)</f>
        <v>1</v>
      </c>
      <c r="L1123" s="139">
        <f ca="1">IFERROR(__xludf.DUMMYFUNCTION("""COMPUTED_VALUE"""),1784.55)</f>
        <v>1784.55</v>
      </c>
      <c r="M1123" s="6" t="str">
        <f ca="1">IFERROR(__xludf.DUMMYFUNCTION("""COMPUTED_VALUE"""),"03 ORL")</f>
        <v>03 ORL</v>
      </c>
      <c r="N1123" s="6" t="str">
        <f ca="1">IFERROR(__xludf.DUMMYFUNCTION("""COMPUTED_VALUE"""),"06 ORL")</f>
        <v>06 ORL</v>
      </c>
      <c r="O1123" s="6" t="str">
        <f ca="1">IFERROR(__xludf.DUMMYFUNCTION("""COMPUTED_VALUE"""),"Dra, Maria Del Carmen Salom Coveñas")</f>
        <v>Dra, Maria Del Carmen Salom Coveñas</v>
      </c>
      <c r="P1123" s="6" t="str">
        <f ca="1">IFERROR(__xludf.DUMMYFUNCTION("""COMPUTED_VALUE"""),"Luis Alberto Rodríguez (Andalucía y Badajoz)")</f>
        <v>Luis Alberto Rodríguez (Andalucía y Badajoz)</v>
      </c>
    </row>
    <row r="1124" spans="2:16">
      <c r="B1124" s="6">
        <f ca="1">IFERROR(__xludf.DUMMYFUNCTION("""COMPUTED_VALUE"""),2025)</f>
        <v>2025</v>
      </c>
      <c r="C1124" s="6">
        <f ca="1">IFERROR(__xludf.DUMMYFUNCTION("""COMPUTED_VALUE"""),9)</f>
        <v>9</v>
      </c>
      <c r="D1124" s="6" t="str">
        <f ca="1">IFERROR(__xludf.DUMMYFUNCTION("""COMPUTED_VALUE"""),"NO")</f>
        <v>NO</v>
      </c>
      <c r="E1124" s="6" t="str">
        <f ca="1">IFERROR(__xludf.DUMMYFUNCTION("""COMPUTED_VALUE"""),"Jerez de la Frontera")</f>
        <v>Jerez de la Frontera</v>
      </c>
      <c r="F1124" s="16">
        <f ca="1">IFERROR(__xludf.DUMMYFUNCTION("""COMPUTED_VALUE"""),45929)</f>
        <v>45929</v>
      </c>
      <c r="G1124" s="16">
        <f ca="1">IFERROR(__xludf.DUMMYFUNCTION("""COMPUTED_VALUE"""),45873)</f>
        <v>45873</v>
      </c>
      <c r="H1124" s="6" t="str">
        <f ca="1">IFERROR(__xludf.DUMMYFUNCTION("""COMPUTED_VALUE"""),"Jerez")</f>
        <v>Jerez</v>
      </c>
      <c r="I1124" s="6" t="str">
        <f ca="1">IFERROR(__xludf.DUMMYFUNCTION("""COMPUTED_VALUE"""),"C20258510293183")</f>
        <v>C20258510293183</v>
      </c>
      <c r="J1124" s="6" t="str">
        <f ca="1">IFERROR(__xludf.DUMMYFUNCTION("""COMPUTED_VALUE"""),"CAROLINA LOZANO IÑIGO")</f>
        <v>CAROLINA LOZANO IÑIGO</v>
      </c>
      <c r="K1124" s="6">
        <f ca="1">IFERROR(__xludf.DUMMYFUNCTION("""COMPUTED_VALUE"""),2)</f>
        <v>2</v>
      </c>
      <c r="L1124" s="139">
        <f ca="1">IFERROR(__xludf.DUMMYFUNCTION("""COMPUTED_VALUE"""),2718.18)</f>
        <v>2718.18</v>
      </c>
      <c r="M1124" s="6" t="str">
        <f ca="1">IFERROR(__xludf.DUMMYFUNCTION("""COMPUTED_VALUE"""),"03 ORL")</f>
        <v>03 ORL</v>
      </c>
      <c r="N1124" s="6" t="str">
        <f ca="1">IFERROR(__xludf.DUMMYFUNCTION("""COMPUTED_VALUE"""),"06 ORL")</f>
        <v>06 ORL</v>
      </c>
      <c r="O1124" s="6" t="str">
        <f ca="1">IFERROR(__xludf.DUMMYFUNCTION("""COMPUTED_VALUE"""),"Dr, Vicente Mira Escartí")</f>
        <v>Dr, Vicente Mira Escartí</v>
      </c>
      <c r="P1124" s="6" t="str">
        <f ca="1">IFERROR(__xludf.DUMMYFUNCTION("""COMPUTED_VALUE"""),"Luis Alberto Rodríguez (Andalucía y Badajoz)")</f>
        <v>Luis Alberto Rodríguez (Andalucía y Badajoz)</v>
      </c>
    </row>
    <row r="1125" spans="2:16">
      <c r="B1125" s="6">
        <f ca="1">IFERROR(__xludf.DUMMYFUNCTION("""COMPUTED_VALUE"""),2025)</f>
        <v>2025</v>
      </c>
      <c r="C1125" s="6">
        <f ca="1">IFERROR(__xludf.DUMMYFUNCTION("""COMPUTED_VALUE"""),9)</f>
        <v>9</v>
      </c>
      <c r="D1125" s="6" t="str">
        <f ca="1">IFERROR(__xludf.DUMMYFUNCTION("""COMPUTED_VALUE"""),"NO")</f>
        <v>NO</v>
      </c>
      <c r="E1125" s="6" t="str">
        <f ca="1">IFERROR(__xludf.DUMMYFUNCTION("""COMPUTED_VALUE"""),"Jerez de la Frontera")</f>
        <v>Jerez de la Frontera</v>
      </c>
      <c r="F1125" s="16">
        <f ca="1">IFERROR(__xludf.DUMMYFUNCTION("""COMPUTED_VALUE"""),45930)</f>
        <v>45930</v>
      </c>
      <c r="G1125" s="16">
        <f ca="1">IFERROR(__xludf.DUMMYFUNCTION("""COMPUTED_VALUE"""),45903)</f>
        <v>45903</v>
      </c>
      <c r="H1125" s="6" t="str">
        <f ca="1">IFERROR(__xludf.DUMMYFUNCTION("""COMPUTED_VALUE"""),"Jerez")</f>
        <v>Jerez</v>
      </c>
      <c r="I1125" s="6" t="str">
        <f ca="1">IFERROR(__xludf.DUMMYFUNCTION("""COMPUTED_VALUE"""),"C20259891120370")</f>
        <v>C20259891120370</v>
      </c>
      <c r="J1125" s="6" t="str">
        <f ca="1">IFERROR(__xludf.DUMMYFUNCTION("""COMPUTED_VALUE"""),"TERESA VERA JIMENEZ")</f>
        <v>TERESA VERA JIMENEZ</v>
      </c>
      <c r="K1125" s="6">
        <f ca="1">IFERROR(__xludf.DUMMYFUNCTION("""COMPUTED_VALUE"""),2)</f>
        <v>2</v>
      </c>
      <c r="L1125" s="139">
        <f ca="1">IFERROR(__xludf.DUMMYFUNCTION("""COMPUTED_VALUE"""),4000)</f>
        <v>4000</v>
      </c>
      <c r="M1125" s="6" t="str">
        <f ca="1">IFERROR(__xludf.DUMMYFUNCTION("""COMPUTED_VALUE"""),"03 ORL")</f>
        <v>03 ORL</v>
      </c>
      <c r="N1125" s="6" t="str">
        <f ca="1">IFERROR(__xludf.DUMMYFUNCTION("""COMPUTED_VALUE"""),"06 ORL")</f>
        <v>06 ORL</v>
      </c>
      <c r="O1125" s="6" t="str">
        <f ca="1">IFERROR(__xludf.DUMMYFUNCTION("""COMPUTED_VALUE"""),"Dr, Manuel Tucciarone")</f>
        <v>Dr, Manuel Tucciarone</v>
      </c>
      <c r="P1125" s="6" t="str">
        <f ca="1">IFERROR(__xludf.DUMMYFUNCTION("""COMPUTED_VALUE"""),"Luis Alberto Rodríguez (Andalucía y Badajoz)")</f>
        <v>Luis Alberto Rodríguez (Andalucía y Badajoz)</v>
      </c>
    </row>
    <row r="1126" spans="2:16">
      <c r="B1126" s="6">
        <f ca="1">IFERROR(__xludf.DUMMYFUNCTION("""COMPUTED_VALUE"""),2025)</f>
        <v>2025</v>
      </c>
      <c r="C1126" s="6">
        <f ca="1">IFERROR(__xludf.DUMMYFUNCTION("""COMPUTED_VALUE"""),9)</f>
        <v>9</v>
      </c>
      <c r="D1126" s="6" t="str">
        <f ca="1">IFERROR(__xludf.DUMMYFUNCTION("""COMPUTED_VALUE"""),"NO")</f>
        <v>NO</v>
      </c>
      <c r="E1126" s="6" t="str">
        <f ca="1">IFERROR(__xludf.DUMMYFUNCTION("""COMPUTED_VALUE"""),"Leganés")</f>
        <v>Leganés</v>
      </c>
      <c r="F1126" s="16">
        <f ca="1">IFERROR(__xludf.DUMMYFUNCTION("""COMPUTED_VALUE"""),45929)</f>
        <v>45929</v>
      </c>
      <c r="G1126" s="16">
        <f ca="1">IFERROR(__xludf.DUMMYFUNCTION("""COMPUTED_VALUE"""),45834)</f>
        <v>45834</v>
      </c>
      <c r="H1126" s="6" t="str">
        <f ca="1">IFERROR(__xludf.DUMMYFUNCTION("""COMPUTED_VALUE"""),"Leganés")</f>
        <v>Leganés</v>
      </c>
      <c r="I1126" s="6" t="str">
        <f ca="1">IFERROR(__xludf.DUMMYFUNCTION("""COMPUTED_VALUE"""),"C20259810525083")</f>
        <v>C20259810525083</v>
      </c>
      <c r="J1126" s="6" t="str">
        <f ca="1">IFERROR(__xludf.DUMMYFUNCTION("""COMPUTED_VALUE"""),"VICTORINA GOMEZ NEIRA")</f>
        <v>VICTORINA GOMEZ NEIRA</v>
      </c>
      <c r="K1126" s="6">
        <f ca="1">IFERROR(__xludf.DUMMYFUNCTION("""COMPUTED_VALUE"""),1)</f>
        <v>1</v>
      </c>
      <c r="L1126" s="139">
        <f ca="1">IFERROR(__xludf.DUMMYFUNCTION("""COMPUTED_VALUE"""),1631.82)</f>
        <v>1631.82</v>
      </c>
      <c r="M1126" s="6" t="str">
        <f ca="1">IFERROR(__xludf.DUMMYFUNCTION("""COMPUTED_VALUE"""),"03 ORL")</f>
        <v>03 ORL</v>
      </c>
      <c r="N1126" s="6" t="str">
        <f ca="1">IFERROR(__xludf.DUMMYFUNCTION("""COMPUTED_VALUE"""),"06 ORL")</f>
        <v>06 ORL</v>
      </c>
      <c r="O1126" s="6" t="str">
        <f ca="1">IFERROR(__xludf.DUMMYFUNCTION("""COMPUTED_VALUE"""),"Dra, Desirée Méndez Brenderbache")</f>
        <v>Dra, Desirée Méndez Brenderbache</v>
      </c>
      <c r="P1126" s="6" t="str">
        <f ca="1">IFERROR(__xludf.DUMMYFUNCTION("""COMPUTED_VALUE"""),"Maika Blázquez (Madrid)")</f>
        <v>Maika Blázquez (Madrid)</v>
      </c>
    </row>
    <row r="1127" spans="2:16">
      <c r="B1127" s="6">
        <f ca="1">IFERROR(__xludf.DUMMYFUNCTION("""COMPUTED_VALUE"""),2025)</f>
        <v>2025</v>
      </c>
      <c r="C1127" s="6">
        <f ca="1">IFERROR(__xludf.DUMMYFUNCTION("""COMPUTED_VALUE"""),9)</f>
        <v>9</v>
      </c>
      <c r="D1127" s="6" t="str">
        <f ca="1">IFERROR(__xludf.DUMMYFUNCTION("""COMPUTED_VALUE"""),"NO")</f>
        <v>NO</v>
      </c>
      <c r="E1127" s="6" t="str">
        <f ca="1">IFERROR(__xludf.DUMMYFUNCTION("""COMPUTED_VALUE"""),"Logroño")</f>
        <v>Logroño</v>
      </c>
      <c r="F1127" s="16">
        <f ca="1">IFERROR(__xludf.DUMMYFUNCTION("""COMPUTED_VALUE"""),45916)</f>
        <v>45916</v>
      </c>
      <c r="G1127" s="16">
        <f ca="1">IFERROR(__xludf.DUMMYFUNCTION("""COMPUTED_VALUE"""),45891)</f>
        <v>45891</v>
      </c>
      <c r="H1127" s="6" t="str">
        <f ca="1">IFERROR(__xludf.DUMMYFUNCTION("""COMPUTED_VALUE"""),"Logroño")</f>
        <v>Logroño</v>
      </c>
      <c r="I1127" s="6" t="str">
        <f ca="1">IFERROR(__xludf.DUMMYFUNCTION("""COMPUTED_VALUE"""),"C202582710334353")</f>
        <v>C202582710334353</v>
      </c>
      <c r="J1127" s="6" t="str">
        <f ca="1">IFERROR(__xludf.DUMMYFUNCTION("""COMPUTED_VALUE"""),"VALENTINA ORTE GONZALEZ")</f>
        <v>VALENTINA ORTE GONZALEZ</v>
      </c>
      <c r="K1127" s="6">
        <f ca="1">IFERROR(__xludf.DUMMYFUNCTION("""COMPUTED_VALUE"""),2)</f>
        <v>2</v>
      </c>
      <c r="L1127" s="139">
        <f ca="1">IFERROR(__xludf.DUMMYFUNCTION("""COMPUTED_VALUE"""),3631.82)</f>
        <v>3631.82</v>
      </c>
      <c r="M1127" s="6" t="str">
        <f ca="1">IFERROR(__xludf.DUMMYFUNCTION("""COMPUTED_VALUE"""),"03 ORL")</f>
        <v>03 ORL</v>
      </c>
      <c r="N1127" s="6" t="str">
        <f ca="1">IFERROR(__xludf.DUMMYFUNCTION("""COMPUTED_VALUE"""),"06 ORL")</f>
        <v>06 ORL</v>
      </c>
      <c r="O1127" s="6" t="str">
        <f ca="1">IFERROR(__xludf.DUMMYFUNCTION("""COMPUTED_VALUE"""),"Dr, Daniel Briones Crespo")</f>
        <v>Dr, Daniel Briones Crespo</v>
      </c>
      <c r="P1127" s="6" t="str">
        <f ca="1">IFERROR(__xludf.DUMMYFUNCTION("""COMPUTED_VALUE"""),"Lisandro Russian (Madrid, Cáceres, Toledo, Talavera Y Logroño)")</f>
        <v>Lisandro Russian (Madrid, Cáceres, Toledo, Talavera Y Logroño)</v>
      </c>
    </row>
    <row r="1128" spans="2:16">
      <c r="B1128" s="6">
        <f ca="1">IFERROR(__xludf.DUMMYFUNCTION("""COMPUTED_VALUE"""),2025)</f>
        <v>2025</v>
      </c>
      <c r="C1128" s="6">
        <f ca="1">IFERROR(__xludf.DUMMYFUNCTION("""COMPUTED_VALUE"""),9)</f>
        <v>9</v>
      </c>
      <c r="D1128" s="6" t="str">
        <f ca="1">IFERROR(__xludf.DUMMYFUNCTION("""COMPUTED_VALUE"""),"NO")</f>
        <v>NO</v>
      </c>
      <c r="E1128" s="6" t="str">
        <f ca="1">IFERROR(__xludf.DUMMYFUNCTION("""COMPUTED_VALUE"""),"Lugo")</f>
        <v>Lugo</v>
      </c>
      <c r="F1128" s="16">
        <f ca="1">IFERROR(__xludf.DUMMYFUNCTION("""COMPUTED_VALUE"""),45924)</f>
        <v>45924</v>
      </c>
      <c r="G1128" s="16">
        <f ca="1">IFERROR(__xludf.DUMMYFUNCTION("""COMPUTED_VALUE"""),45869)</f>
        <v>45869</v>
      </c>
      <c r="H1128" s="6" t="str">
        <f ca="1">IFERROR(__xludf.DUMMYFUNCTION("""COMPUTED_VALUE"""),"Lugo")</f>
        <v>Lugo</v>
      </c>
      <c r="I1128" s="6" t="str">
        <f ca="1">IFERROR(__xludf.DUMMYFUNCTION("""COMPUTED_VALUE"""),"C20258191118319")</f>
        <v>C20258191118319</v>
      </c>
      <c r="J1128" s="6" t="str">
        <f ca="1">IFERROR(__xludf.DUMMYFUNCTION("""COMPUTED_VALUE"""),"CONSTANTINO BURGUE PALMEIRO")</f>
        <v>CONSTANTINO BURGUE PALMEIRO</v>
      </c>
      <c r="K1128" s="6">
        <f ca="1">IFERROR(__xludf.DUMMYFUNCTION("""COMPUTED_VALUE"""),2)</f>
        <v>2</v>
      </c>
      <c r="L1128" s="139">
        <f ca="1">IFERROR(__xludf.DUMMYFUNCTION("""COMPUTED_VALUE"""),2718.19)</f>
        <v>2718.19</v>
      </c>
      <c r="M1128" s="6" t="str">
        <f ca="1">IFERROR(__xludf.DUMMYFUNCTION("""COMPUTED_VALUE"""),"03 ORL")</f>
        <v>03 ORL</v>
      </c>
      <c r="N1128" s="6" t="str">
        <f ca="1">IFERROR(__xludf.DUMMYFUNCTION("""COMPUTED_VALUE"""),"06 ORL")</f>
        <v>06 ORL</v>
      </c>
      <c r="O1128" s="6" t="str">
        <f ca="1">IFERROR(__xludf.DUMMYFUNCTION("""COMPUTED_VALUE"""),"Dr, Pedro Juiz López")</f>
        <v>Dr, Pedro Juiz López</v>
      </c>
      <c r="P1128" s="6" t="str">
        <f ca="1">IFERROR(__xludf.DUMMYFUNCTION("""COMPUTED_VALUE"""),"Roberto Pereira (Galicia)")</f>
        <v>Roberto Pereira (Galicia)</v>
      </c>
    </row>
    <row r="1129" spans="2:16">
      <c r="B1129" s="6">
        <f ca="1">IFERROR(__xludf.DUMMYFUNCTION("""COMPUTED_VALUE"""),2025)</f>
        <v>2025</v>
      </c>
      <c r="C1129" s="6">
        <f ca="1">IFERROR(__xludf.DUMMYFUNCTION("""COMPUTED_VALUE"""),9)</f>
        <v>9</v>
      </c>
      <c r="D1129" s="6" t="str">
        <f ca="1">IFERROR(__xludf.DUMMYFUNCTION("""COMPUTED_VALUE"""),"NO")</f>
        <v>NO</v>
      </c>
      <c r="E1129" s="6" t="str">
        <f ca="1">IFERROR(__xludf.DUMMYFUNCTION("""COMPUTED_VALUE"""),"Madrid- Canillas")</f>
        <v>Madrid- Canillas</v>
      </c>
      <c r="F1129" s="16">
        <f ca="1">IFERROR(__xludf.DUMMYFUNCTION("""COMPUTED_VALUE"""),45923)</f>
        <v>45923</v>
      </c>
      <c r="G1129" s="16">
        <f ca="1">IFERROR(__xludf.DUMMYFUNCTION("""COMPUTED_VALUE"""),45847)</f>
        <v>45847</v>
      </c>
      <c r="H1129" s="6" t="str">
        <f ca="1">IFERROR(__xludf.DUMMYFUNCTION("""COMPUTED_VALUE"""),"Canillas")</f>
        <v>Canillas</v>
      </c>
      <c r="I1129" s="6" t="str">
        <f ca="1">IFERROR(__xludf.DUMMYFUNCTION("""COMPUTED_VALUE"""),"C2025724165737532")</f>
        <v>C2025724165737532</v>
      </c>
      <c r="J1129" s="6" t="str">
        <f ca="1">IFERROR(__xludf.DUMMYFUNCTION("""COMPUTED_VALUE"""),"JULIÁN JUÁREZ RODRÍGUEZ")</f>
        <v>JULIÁN JUÁREZ RODRÍGUEZ</v>
      </c>
      <c r="K1129" s="6">
        <f ca="1">IFERROR(__xludf.DUMMYFUNCTION("""COMPUTED_VALUE"""),2)</f>
        <v>2</v>
      </c>
      <c r="L1129" s="139">
        <f ca="1">IFERROR(__xludf.DUMMYFUNCTION("""COMPUTED_VALUE"""),3929.55)</f>
        <v>3929.55</v>
      </c>
      <c r="M1129" s="6" t="str">
        <f ca="1">IFERROR(__xludf.DUMMYFUNCTION("""COMPUTED_VALUE"""),"03 ORL")</f>
        <v>03 ORL</v>
      </c>
      <c r="N1129" s="6" t="str">
        <f ca="1">IFERROR(__xludf.DUMMYFUNCTION("""COMPUTED_VALUE"""),"06 ORL")</f>
        <v>06 ORL</v>
      </c>
      <c r="O1129" s="6" t="str">
        <f ca="1">IFERROR(__xludf.DUMMYFUNCTION("""COMPUTED_VALUE"""),"Dra, Laura Yeguas Ramírez")</f>
        <v>Dra, Laura Yeguas Ramírez</v>
      </c>
      <c r="P1129" s="6" t="str">
        <f ca="1">IFERROR(__xludf.DUMMYFUNCTION("""COMPUTED_VALUE"""),"Maika Blázquez (Madrid)")</f>
        <v>Maika Blázquez (Madrid)</v>
      </c>
    </row>
    <row r="1130" spans="2:16">
      <c r="B1130" s="6">
        <f ca="1">IFERROR(__xludf.DUMMYFUNCTION("""COMPUTED_VALUE"""),2025)</f>
        <v>2025</v>
      </c>
      <c r="C1130" s="6">
        <f ca="1">IFERROR(__xludf.DUMMYFUNCTION("""COMPUTED_VALUE"""),9)</f>
        <v>9</v>
      </c>
      <c r="D1130" s="6" t="str">
        <f ca="1">IFERROR(__xludf.DUMMYFUNCTION("""COMPUTED_VALUE"""),"NO")</f>
        <v>NO</v>
      </c>
      <c r="E1130" s="6" t="str">
        <f ca="1">IFERROR(__xludf.DUMMYFUNCTION("""COMPUTED_VALUE"""),"Madrid- Canillas")</f>
        <v>Madrid- Canillas</v>
      </c>
      <c r="F1130" s="16">
        <f ca="1">IFERROR(__xludf.DUMMYFUNCTION("""COMPUTED_VALUE"""),45930)</f>
        <v>45930</v>
      </c>
      <c r="G1130" s="16">
        <f ca="1">IFERROR(__xludf.DUMMYFUNCTION("""COMPUTED_VALUE"""),45775)</f>
        <v>45775</v>
      </c>
      <c r="H1130" s="6" t="str">
        <f ca="1">IFERROR(__xludf.DUMMYFUNCTION("""COMPUTED_VALUE"""),"Canillas")</f>
        <v>Canillas</v>
      </c>
      <c r="I1130" s="6" t="str">
        <f ca="1">IFERROR(__xludf.DUMMYFUNCTION("""COMPUTED_VALUE"""),"C2025924102353135")</f>
        <v>C2025924102353135</v>
      </c>
      <c r="J1130" s="6" t="str">
        <f ca="1">IFERROR(__xludf.DUMMYFUNCTION("""COMPUTED_VALUE"""),"MANUEL TALAVERA MARIN")</f>
        <v>MANUEL TALAVERA MARIN</v>
      </c>
      <c r="K1130" s="6">
        <f ca="1">IFERROR(__xludf.DUMMYFUNCTION("""COMPUTED_VALUE"""),2)</f>
        <v>2</v>
      </c>
      <c r="L1130" s="139">
        <f ca="1">IFERROR(__xludf.DUMMYFUNCTION("""COMPUTED_VALUE"""),4136.36)</f>
        <v>4136.3599999999997</v>
      </c>
      <c r="M1130" s="6" t="str">
        <f ca="1">IFERROR(__xludf.DUMMYFUNCTION("""COMPUTED_VALUE"""),"03 ORL")</f>
        <v>03 ORL</v>
      </c>
      <c r="N1130" s="6" t="str">
        <f ca="1">IFERROR(__xludf.DUMMYFUNCTION("""COMPUTED_VALUE"""),"06 ORL")</f>
        <v>06 ORL</v>
      </c>
      <c r="O1130" s="6" t="str">
        <f ca="1">IFERROR(__xludf.DUMMYFUNCTION("""COMPUTED_VALUE"""),"Dra, Helena Moreno Pardo")</f>
        <v>Dra, Helena Moreno Pardo</v>
      </c>
      <c r="P1130" s="6" t="str">
        <f ca="1">IFERROR(__xludf.DUMMYFUNCTION("""COMPUTED_VALUE"""),"Maika Blázquez (Madrid)")</f>
        <v>Maika Blázquez (Madrid)</v>
      </c>
    </row>
    <row r="1131" spans="2:16">
      <c r="B1131" s="6">
        <f ca="1">IFERROR(__xludf.DUMMYFUNCTION("""COMPUTED_VALUE"""),2025)</f>
        <v>2025</v>
      </c>
      <c r="C1131" s="6">
        <f ca="1">IFERROR(__xludf.DUMMYFUNCTION("""COMPUTED_VALUE"""),9)</f>
        <v>9</v>
      </c>
      <c r="D1131" s="6" t="str">
        <f ca="1">IFERROR(__xludf.DUMMYFUNCTION("""COMPUTED_VALUE"""),"NO")</f>
        <v>NO</v>
      </c>
      <c r="E1131" s="6" t="str">
        <f ca="1">IFERROR(__xludf.DUMMYFUNCTION("""COMPUTED_VALUE"""),"Madrid- Canillas")</f>
        <v>Madrid- Canillas</v>
      </c>
      <c r="F1131" s="16">
        <f ca="1">IFERROR(__xludf.DUMMYFUNCTION("""COMPUTED_VALUE"""),45926)</f>
        <v>45926</v>
      </c>
      <c r="G1131" s="16">
        <f ca="1">IFERROR(__xludf.DUMMYFUNCTION("""COMPUTED_VALUE"""),45888)</f>
        <v>45888</v>
      </c>
      <c r="H1131" s="6" t="str">
        <f ca="1">IFERROR(__xludf.DUMMYFUNCTION("""COMPUTED_VALUE"""),"Canillas")</f>
        <v>Canillas</v>
      </c>
      <c r="I1131" s="6" t="str">
        <f ca="1">IFERROR(__xludf.DUMMYFUNCTION("""COMPUTED_VALUE"""),"C202594115643608")</f>
        <v>C202594115643608</v>
      </c>
      <c r="J1131" s="6" t="str">
        <f ca="1">IFERROR(__xludf.DUMMYFUNCTION("""COMPUTED_VALUE"""),"TOMÁS FELGUERAS GARCÍA")</f>
        <v>TOMÁS FELGUERAS GARCÍA</v>
      </c>
      <c r="K1131" s="6">
        <f ca="1">IFERROR(__xludf.DUMMYFUNCTION("""COMPUTED_VALUE"""),2)</f>
        <v>2</v>
      </c>
      <c r="L1131" s="139">
        <f ca="1">IFERROR(__xludf.DUMMYFUNCTION("""COMPUTED_VALUE"""),2718.18)</f>
        <v>2718.18</v>
      </c>
      <c r="M1131" s="6" t="str">
        <f ca="1">IFERROR(__xludf.DUMMYFUNCTION("""COMPUTED_VALUE"""),"03 ORL")</f>
        <v>03 ORL</v>
      </c>
      <c r="N1131" s="6" t="str">
        <f ca="1">IFERROR(__xludf.DUMMYFUNCTION("""COMPUTED_VALUE"""),"06 ORL")</f>
        <v>06 ORL</v>
      </c>
      <c r="O1131" s="6" t="str">
        <f ca="1">IFERROR(__xludf.DUMMYFUNCTION("""COMPUTED_VALUE"""),"Dra, Laura Yeguas Ramírez")</f>
        <v>Dra, Laura Yeguas Ramírez</v>
      </c>
      <c r="P1131" s="6" t="str">
        <f ca="1">IFERROR(__xludf.DUMMYFUNCTION("""COMPUTED_VALUE"""),"Maika Blázquez (Madrid)")</f>
        <v>Maika Blázquez (Madrid)</v>
      </c>
    </row>
    <row r="1132" spans="2:16">
      <c r="B1132" s="6">
        <f ca="1">IFERROR(__xludf.DUMMYFUNCTION("""COMPUTED_VALUE"""),2025)</f>
        <v>2025</v>
      </c>
      <c r="C1132" s="6">
        <f ca="1">IFERROR(__xludf.DUMMYFUNCTION("""COMPUTED_VALUE"""),9)</f>
        <v>9</v>
      </c>
      <c r="D1132" s="6" t="str">
        <f ca="1">IFERROR(__xludf.DUMMYFUNCTION("""COMPUTED_VALUE"""),"NO")</f>
        <v>NO</v>
      </c>
      <c r="E1132" s="6" t="str">
        <f ca="1">IFERROR(__xludf.DUMMYFUNCTION("""COMPUTED_VALUE"""),"Madrid- Costa Rica")</f>
        <v>Madrid- Costa Rica</v>
      </c>
      <c r="F1132" s="16">
        <f ca="1">IFERROR(__xludf.DUMMYFUNCTION("""COMPUTED_VALUE"""),45924)</f>
        <v>45924</v>
      </c>
      <c r="G1132" s="16">
        <f ca="1">IFERROR(__xludf.DUMMYFUNCTION("""COMPUTED_VALUE"""),45842)</f>
        <v>45842</v>
      </c>
      <c r="H1132" s="6" t="str">
        <f ca="1">IFERROR(__xludf.DUMMYFUNCTION("""COMPUTED_VALUE"""),"Costa Rica")</f>
        <v>Costa Rica</v>
      </c>
      <c r="I1132" s="6" t="str">
        <f ca="1">IFERROR(__xludf.DUMMYFUNCTION("""COMPUTED_VALUE"""),"C20257812052998")</f>
        <v>C20257812052998</v>
      </c>
      <c r="J1132" s="6" t="str">
        <f ca="1">IFERROR(__xludf.DUMMYFUNCTION("""COMPUTED_VALUE"""),"JULIA FRAILE CORTES")</f>
        <v>JULIA FRAILE CORTES</v>
      </c>
      <c r="K1132" s="6">
        <f ca="1">IFERROR(__xludf.DUMMYFUNCTION("""COMPUTED_VALUE"""),2)</f>
        <v>2</v>
      </c>
      <c r="L1132" s="139">
        <f ca="1">IFERROR(__xludf.DUMMYFUNCTION("""COMPUTED_VALUE"""),4536.36)</f>
        <v>4536.3599999999997</v>
      </c>
      <c r="M1132" s="6" t="str">
        <f ca="1">IFERROR(__xludf.DUMMYFUNCTION("""COMPUTED_VALUE"""),"03 ORL")</f>
        <v>03 ORL</v>
      </c>
      <c r="N1132" s="6" t="str">
        <f ca="1">IFERROR(__xludf.DUMMYFUNCTION("""COMPUTED_VALUE"""),"06 ORL")</f>
        <v>06 ORL</v>
      </c>
      <c r="O1132" s="6" t="str">
        <f ca="1">IFERROR(__xludf.DUMMYFUNCTION("""COMPUTED_VALUE"""),"Dr, Antonio Bueno Ríos")</f>
        <v>Dr, Antonio Bueno Ríos</v>
      </c>
      <c r="P1132" s="6" t="str">
        <f ca="1">IFERROR(__xludf.DUMMYFUNCTION("""COMPUTED_VALUE"""),"Lisandro Russian (Madrid, Cáceres, Toledo, Talavera Y Logroño)")</f>
        <v>Lisandro Russian (Madrid, Cáceres, Toledo, Talavera Y Logroño)</v>
      </c>
    </row>
    <row r="1133" spans="2:16">
      <c r="B1133" s="6">
        <f ca="1">IFERROR(__xludf.DUMMYFUNCTION("""COMPUTED_VALUE"""),2025)</f>
        <v>2025</v>
      </c>
      <c r="C1133" s="6">
        <f ca="1">IFERROR(__xludf.DUMMYFUNCTION("""COMPUTED_VALUE"""),9)</f>
        <v>9</v>
      </c>
      <c r="D1133" s="6" t="str">
        <f ca="1">IFERROR(__xludf.DUMMYFUNCTION("""COMPUTED_VALUE"""),"NO")</f>
        <v>NO</v>
      </c>
      <c r="E1133" s="6" t="str">
        <f ca="1">IFERROR(__xludf.DUMMYFUNCTION("""COMPUTED_VALUE"""),"Madrid- Juan Bravo")</f>
        <v>Madrid- Juan Bravo</v>
      </c>
      <c r="F1133" s="16">
        <f ca="1">IFERROR(__xludf.DUMMYFUNCTION("""COMPUTED_VALUE"""),45926)</f>
        <v>45926</v>
      </c>
      <c r="G1133" s="16">
        <f ca="1">IFERROR(__xludf.DUMMYFUNCTION("""COMPUTED_VALUE"""),45859)</f>
        <v>45859</v>
      </c>
      <c r="H1133" s="6" t="str">
        <f ca="1">IFERROR(__xludf.DUMMYFUNCTION("""COMPUTED_VALUE"""),"Juan Bravo")</f>
        <v>Juan Bravo</v>
      </c>
      <c r="I1133" s="6" t="str">
        <f ca="1">IFERROR(__xludf.DUMMYFUNCTION("""COMPUTED_VALUE"""),"C2025724123618478")</f>
        <v>C2025724123618478</v>
      </c>
      <c r="J1133" s="6" t="str">
        <f ca="1">IFERROR(__xludf.DUMMYFUNCTION("""COMPUTED_VALUE"""),"MARIA PIEDAD NUÑEZ ORTEGA")</f>
        <v>MARIA PIEDAD NUÑEZ ORTEGA</v>
      </c>
      <c r="K1133" s="6">
        <f ca="1">IFERROR(__xludf.DUMMYFUNCTION("""COMPUTED_VALUE"""),2)</f>
        <v>2</v>
      </c>
      <c r="L1133" s="139">
        <f ca="1">IFERROR(__xludf.DUMMYFUNCTION("""COMPUTED_VALUE"""),2718.18)</f>
        <v>2718.18</v>
      </c>
      <c r="M1133" s="6" t="str">
        <f ca="1">IFERROR(__xludf.DUMMYFUNCTION("""COMPUTED_VALUE"""),"03 ORL")</f>
        <v>03 ORL</v>
      </c>
      <c r="N1133" s="6" t="str">
        <f ca="1">IFERROR(__xludf.DUMMYFUNCTION("""COMPUTED_VALUE"""),"06 ORL")</f>
        <v>06 ORL</v>
      </c>
      <c r="O1133" s="6" t="str">
        <f ca="1">IFERROR(__xludf.DUMMYFUNCTION("""COMPUTED_VALUE"""),"Dra, María Antonia Rodríguez Castejón")</f>
        <v>Dra, María Antonia Rodríguez Castejón</v>
      </c>
      <c r="P1133" s="6" t="str">
        <f ca="1">IFERROR(__xludf.DUMMYFUNCTION("""COMPUTED_VALUE"""),"Maika Blázquez (Madrid)")</f>
        <v>Maika Blázquez (Madrid)</v>
      </c>
    </row>
    <row r="1134" spans="2:16">
      <c r="B1134" s="6">
        <f ca="1">IFERROR(__xludf.DUMMYFUNCTION("""COMPUTED_VALUE"""),2025)</f>
        <v>2025</v>
      </c>
      <c r="C1134" s="6">
        <f ca="1">IFERROR(__xludf.DUMMYFUNCTION("""COMPUTED_VALUE"""),9)</f>
        <v>9</v>
      </c>
      <c r="D1134" s="6" t="str">
        <f ca="1">IFERROR(__xludf.DUMMYFUNCTION("""COMPUTED_VALUE"""),"NO")</f>
        <v>NO</v>
      </c>
      <c r="E1134" s="6" t="str">
        <f ca="1">IFERROR(__xludf.DUMMYFUNCTION("""COMPUTED_VALUE"""),"Madrid- Juan Bravo")</f>
        <v>Madrid- Juan Bravo</v>
      </c>
      <c r="F1134" s="16">
        <f ca="1">IFERROR(__xludf.DUMMYFUNCTION("""COMPUTED_VALUE"""),45923)</f>
        <v>45923</v>
      </c>
      <c r="G1134" s="16">
        <f ca="1">IFERROR(__xludf.DUMMYFUNCTION("""COMPUTED_VALUE"""),45866)</f>
        <v>45866</v>
      </c>
      <c r="H1134" s="6" t="str">
        <f ca="1">IFERROR(__xludf.DUMMYFUNCTION("""COMPUTED_VALUE"""),"Juan Bravo")</f>
        <v>Juan Bravo</v>
      </c>
      <c r="I1134" s="6" t="str">
        <f ca="1">IFERROR(__xludf.DUMMYFUNCTION("""COMPUTED_VALUE"""),"C202573117223984")</f>
        <v>C202573117223984</v>
      </c>
      <c r="J1134" s="6" t="str">
        <f ca="1">IFERROR(__xludf.DUMMYFUNCTION("""COMPUTED_VALUE"""),"PILAR RUIZ VECINO")</f>
        <v>PILAR RUIZ VECINO</v>
      </c>
      <c r="K1134" s="6">
        <f ca="1">IFERROR(__xludf.DUMMYFUNCTION("""COMPUTED_VALUE"""),1)</f>
        <v>1</v>
      </c>
      <c r="L1134" s="139">
        <f ca="1">IFERROR(__xludf.DUMMYFUNCTION("""COMPUTED_VALUE"""),1983.64)</f>
        <v>1983.64</v>
      </c>
      <c r="M1134" s="6" t="str">
        <f ca="1">IFERROR(__xludf.DUMMYFUNCTION("""COMPUTED_VALUE"""),"03 ORL")</f>
        <v>03 ORL</v>
      </c>
      <c r="N1134" s="6" t="str">
        <f ca="1">IFERROR(__xludf.DUMMYFUNCTION("""COMPUTED_VALUE"""),"06 ORL")</f>
        <v>06 ORL</v>
      </c>
      <c r="O1134" s="6" t="str">
        <f ca="1">IFERROR(__xludf.DUMMYFUNCTION("""COMPUTED_VALUE"""),"Dr, Carlos Barajas del Rosal")</f>
        <v>Dr, Carlos Barajas del Rosal</v>
      </c>
      <c r="P1134" s="6" t="str">
        <f ca="1">IFERROR(__xludf.DUMMYFUNCTION("""COMPUTED_VALUE"""),"Lisandro Russian (Madrid, Cáceres, Toledo, Talavera Y Logroño)")</f>
        <v>Lisandro Russian (Madrid, Cáceres, Toledo, Talavera Y Logroño)</v>
      </c>
    </row>
    <row r="1135" spans="2:16">
      <c r="B1135" s="6">
        <f ca="1">IFERROR(__xludf.DUMMYFUNCTION("""COMPUTED_VALUE"""),2025)</f>
        <v>2025</v>
      </c>
      <c r="C1135" s="6">
        <f ca="1">IFERROR(__xludf.DUMMYFUNCTION("""COMPUTED_VALUE"""),9)</f>
        <v>9</v>
      </c>
      <c r="D1135" s="6" t="str">
        <f ca="1">IFERROR(__xludf.DUMMYFUNCTION("""COMPUTED_VALUE"""),"NO")</f>
        <v>NO</v>
      </c>
      <c r="E1135" s="6" t="str">
        <f ca="1">IFERROR(__xludf.DUMMYFUNCTION("""COMPUTED_VALUE"""),"Madrid- Juan Bravo")</f>
        <v>Madrid- Juan Bravo</v>
      </c>
      <c r="F1135" s="16">
        <f ca="1">IFERROR(__xludf.DUMMYFUNCTION("""COMPUTED_VALUE"""),45930)</f>
        <v>45930</v>
      </c>
      <c r="G1135" s="16">
        <f ca="1">IFERROR(__xludf.DUMMYFUNCTION("""COMPUTED_VALUE"""),45839)</f>
        <v>45839</v>
      </c>
      <c r="H1135" s="6" t="str">
        <f ca="1">IFERROR(__xludf.DUMMYFUNCTION("""COMPUTED_VALUE"""),"Juan Bravo")</f>
        <v>Juan Bravo</v>
      </c>
      <c r="I1135" s="6" t="str">
        <f ca="1">IFERROR(__xludf.DUMMYFUNCTION("""COMPUTED_VALUE"""),"C202598101940599")</f>
        <v>C202598101940599</v>
      </c>
      <c r="J1135" s="6" t="str">
        <f ca="1">IFERROR(__xludf.DUMMYFUNCTION("""COMPUTED_VALUE"""),"ROSA MARIA ALONSO VARELA")</f>
        <v>ROSA MARIA ALONSO VARELA</v>
      </c>
      <c r="K1135" s="6">
        <f ca="1">IFERROR(__xludf.DUMMYFUNCTION("""COMPUTED_VALUE"""),2)</f>
        <v>2</v>
      </c>
      <c r="L1135" s="139">
        <f ca="1">IFERROR(__xludf.DUMMYFUNCTION("""COMPUTED_VALUE"""),3631.82)</f>
        <v>3631.82</v>
      </c>
      <c r="M1135" s="6" t="str">
        <f ca="1">IFERROR(__xludf.DUMMYFUNCTION("""COMPUTED_VALUE"""),"03 ORL")</f>
        <v>03 ORL</v>
      </c>
      <c r="N1135" s="6" t="str">
        <f ca="1">IFERROR(__xludf.DUMMYFUNCTION("""COMPUTED_VALUE"""),"06 ORL")</f>
        <v>06 ORL</v>
      </c>
      <c r="O1135" s="6" t="str">
        <f ca="1">IFERROR(__xludf.DUMMYFUNCTION("""COMPUTED_VALUE"""),"Dr, Ignacio Aristegui Torrano")</f>
        <v>Dr, Ignacio Aristegui Torrano</v>
      </c>
      <c r="P1135" s="6" t="str">
        <f ca="1">IFERROR(__xludf.DUMMYFUNCTION("""COMPUTED_VALUE"""),"Maika Blázquez (Madrid)")</f>
        <v>Maika Blázquez (Madrid)</v>
      </c>
    </row>
    <row r="1136" spans="2:16">
      <c r="B1136" s="6">
        <f ca="1">IFERROR(__xludf.DUMMYFUNCTION("""COMPUTED_VALUE"""),2025)</f>
        <v>2025</v>
      </c>
      <c r="C1136" s="6">
        <f ca="1">IFERROR(__xludf.DUMMYFUNCTION("""COMPUTED_VALUE"""),9)</f>
        <v>9</v>
      </c>
      <c r="D1136" s="6" t="str">
        <f ca="1">IFERROR(__xludf.DUMMYFUNCTION("""COMPUTED_VALUE"""),"NO")</f>
        <v>NO</v>
      </c>
      <c r="E1136" s="6" t="str">
        <f ca="1">IFERROR(__xludf.DUMMYFUNCTION("""COMPUTED_VALUE"""),"Madrid- Juan Bravo")</f>
        <v>Madrid- Juan Bravo</v>
      </c>
      <c r="F1136" s="16">
        <f ca="1">IFERROR(__xludf.DUMMYFUNCTION("""COMPUTED_VALUE"""),45930)</f>
        <v>45930</v>
      </c>
      <c r="G1136" s="16">
        <f ca="1">IFERROR(__xludf.DUMMYFUNCTION("""COMPUTED_VALUE"""),45903)</f>
        <v>45903</v>
      </c>
      <c r="H1136" s="6" t="str">
        <f ca="1">IFERROR(__xludf.DUMMYFUNCTION("""COMPUTED_VALUE"""),"Juan Bravo")</f>
        <v>Juan Bravo</v>
      </c>
      <c r="I1136" s="6" t="str">
        <f ca="1">IFERROR(__xludf.DUMMYFUNCTION("""COMPUTED_VALUE"""),"C202591012357715")</f>
        <v>C202591012357715</v>
      </c>
      <c r="J1136" s="6" t="str">
        <f ca="1">IFERROR(__xludf.DUMMYFUNCTION("""COMPUTED_VALUE"""),"ROSA MARIA MARTINEZ GUISASOLA")</f>
        <v>ROSA MARIA MARTINEZ GUISASOLA</v>
      </c>
      <c r="K1136" s="6">
        <f ca="1">IFERROR(__xludf.DUMMYFUNCTION("""COMPUTED_VALUE"""),2)</f>
        <v>2</v>
      </c>
      <c r="L1136" s="139">
        <f ca="1">IFERROR(__xludf.DUMMYFUNCTION("""COMPUTED_VALUE"""),3631.82)</f>
        <v>3631.82</v>
      </c>
      <c r="M1136" s="6" t="str">
        <f ca="1">IFERROR(__xludf.DUMMYFUNCTION("""COMPUTED_VALUE"""),"03 ORL")</f>
        <v>03 ORL</v>
      </c>
      <c r="N1136" s="6" t="str">
        <f ca="1">IFERROR(__xludf.DUMMYFUNCTION("""COMPUTED_VALUE"""),"06 ORL")</f>
        <v>06 ORL</v>
      </c>
      <c r="O1136" s="6" t="str">
        <f ca="1">IFERROR(__xludf.DUMMYFUNCTION("""COMPUTED_VALUE"""),"Dra, Clara Beltrán Yturriaga")</f>
        <v>Dra, Clara Beltrán Yturriaga</v>
      </c>
      <c r="P1136" s="6" t="str">
        <f ca="1">IFERROR(__xludf.DUMMYFUNCTION("""COMPUTED_VALUE"""),"Maika Blázquez (Madrid)")</f>
        <v>Maika Blázquez (Madrid)</v>
      </c>
    </row>
    <row r="1137" spans="2:16">
      <c r="B1137" s="6">
        <f ca="1">IFERROR(__xludf.DUMMYFUNCTION("""COMPUTED_VALUE"""),2025)</f>
        <v>2025</v>
      </c>
      <c r="C1137" s="6">
        <f ca="1">IFERROR(__xludf.DUMMYFUNCTION("""COMPUTED_VALUE"""),9)</f>
        <v>9</v>
      </c>
      <c r="D1137" s="6" t="str">
        <f ca="1">IFERROR(__xludf.DUMMYFUNCTION("""COMPUTED_VALUE"""),"NO")</f>
        <v>NO</v>
      </c>
      <c r="E1137" s="6" t="str">
        <f ca="1">IFERROR(__xludf.DUMMYFUNCTION("""COMPUTED_VALUE"""),"Madrid- La Oca")</f>
        <v>Madrid- La Oca</v>
      </c>
      <c r="F1137" s="16">
        <f ca="1">IFERROR(__xludf.DUMMYFUNCTION("""COMPUTED_VALUE"""),45926)</f>
        <v>45926</v>
      </c>
      <c r="G1137" s="16">
        <f ca="1">IFERROR(__xludf.DUMMYFUNCTION("""COMPUTED_VALUE"""),45912)</f>
        <v>45912</v>
      </c>
      <c r="H1137" s="6" t="str">
        <f ca="1">IFERROR(__xludf.DUMMYFUNCTION("""COMPUTED_VALUE"""),"La Oca")</f>
        <v>La Oca</v>
      </c>
      <c r="I1137" s="6" t="str">
        <f ca="1">IFERROR(__xludf.DUMMYFUNCTION("""COMPUTED_VALUE"""),"C2025919153150313")</f>
        <v>C2025919153150313</v>
      </c>
      <c r="J1137" s="6" t="str">
        <f ca="1">IFERROR(__xludf.DUMMYFUNCTION("""COMPUTED_VALUE"""),"DANIEL ANGEL GAMBOA TORRECILLA")</f>
        <v>DANIEL ANGEL GAMBOA TORRECILLA</v>
      </c>
      <c r="K1137" s="6">
        <f ca="1">IFERROR(__xludf.DUMMYFUNCTION("""COMPUTED_VALUE"""),2)</f>
        <v>2</v>
      </c>
      <c r="L1137" s="139">
        <f ca="1">IFERROR(__xludf.DUMMYFUNCTION("""COMPUTED_VALUE"""),2718.18)</f>
        <v>2718.18</v>
      </c>
      <c r="M1137" s="6" t="str">
        <f ca="1">IFERROR(__xludf.DUMMYFUNCTION("""COMPUTED_VALUE"""),"03 ORL")</f>
        <v>03 ORL</v>
      </c>
      <c r="N1137" s="6" t="str">
        <f ca="1">IFERROR(__xludf.DUMMYFUNCTION("""COMPUTED_VALUE"""),"06 ORL")</f>
        <v>06 ORL</v>
      </c>
      <c r="O1137" s="6" t="str">
        <f ca="1">IFERROR(__xludf.DUMMYFUNCTION("""COMPUTED_VALUE"""),"Dra, Bárbara Castillo Ávila")</f>
        <v>Dra, Bárbara Castillo Ávila</v>
      </c>
      <c r="P1137" s="6" t="str">
        <f ca="1">IFERROR(__xludf.DUMMYFUNCTION("""COMPUTED_VALUE"""),"Maika Blázquez (Madrid)")</f>
        <v>Maika Blázquez (Madrid)</v>
      </c>
    </row>
    <row r="1138" spans="2:16">
      <c r="B1138" s="6">
        <f ca="1">IFERROR(__xludf.DUMMYFUNCTION("""COMPUTED_VALUE"""),2025)</f>
        <v>2025</v>
      </c>
      <c r="C1138" s="6">
        <f ca="1">IFERROR(__xludf.DUMMYFUNCTION("""COMPUTED_VALUE"""),9)</f>
        <v>9</v>
      </c>
      <c r="D1138" s="6" t="str">
        <f ca="1">IFERROR(__xludf.DUMMYFUNCTION("""COMPUTED_VALUE"""),"NO")</f>
        <v>NO</v>
      </c>
      <c r="E1138" s="6" t="str">
        <f ca="1">IFERROR(__xludf.DUMMYFUNCTION("""COMPUTED_VALUE"""),"Madrid- La Oca")</f>
        <v>Madrid- La Oca</v>
      </c>
      <c r="F1138" s="16">
        <f ca="1">IFERROR(__xludf.DUMMYFUNCTION("""COMPUTED_VALUE"""),45923)</f>
        <v>45923</v>
      </c>
      <c r="G1138" s="16">
        <f ca="1">IFERROR(__xludf.DUMMYFUNCTION("""COMPUTED_VALUE"""),45901)</f>
        <v>45901</v>
      </c>
      <c r="H1138" s="6" t="str">
        <f ca="1">IFERROR(__xludf.DUMMYFUNCTION("""COMPUTED_VALUE"""),"La Oca")</f>
        <v>La Oca</v>
      </c>
      <c r="I1138" s="6" t="str">
        <f ca="1">IFERROR(__xludf.DUMMYFUNCTION("""COMPUTED_VALUE"""),"C202592105656843")</f>
        <v>C202592105656843</v>
      </c>
      <c r="J1138" s="6" t="str">
        <f ca="1">IFERROR(__xludf.DUMMYFUNCTION("""COMPUTED_VALUE"""),"JUAN ANTONIO DEL RIO JIMENEZ")</f>
        <v>JUAN ANTONIO DEL RIO JIMENEZ</v>
      </c>
      <c r="K1138" s="6">
        <f ca="1">IFERROR(__xludf.DUMMYFUNCTION("""COMPUTED_VALUE"""),2)</f>
        <v>2</v>
      </c>
      <c r="L1138" s="139">
        <f ca="1">IFERROR(__xludf.DUMMYFUNCTION("""COMPUTED_VALUE"""),2581.82)</f>
        <v>2581.8200000000002</v>
      </c>
      <c r="M1138" s="6" t="str">
        <f ca="1">IFERROR(__xludf.DUMMYFUNCTION("""COMPUTED_VALUE"""),"03 ORL")</f>
        <v>03 ORL</v>
      </c>
      <c r="N1138" s="6" t="str">
        <f ca="1">IFERROR(__xludf.DUMMYFUNCTION("""COMPUTED_VALUE"""),"06 ORL")</f>
        <v>06 ORL</v>
      </c>
      <c r="O1138" s="6" t="str">
        <f ca="1">IFERROR(__xludf.DUMMYFUNCTION("""COMPUTED_VALUE"""),"Dr, Eviatar Friedlander")</f>
        <v>Dr, Eviatar Friedlander</v>
      </c>
      <c r="P1138" s="6" t="str">
        <f ca="1">IFERROR(__xludf.DUMMYFUNCTION("""COMPUTED_VALUE"""),"Maika Blázquez (Madrid)")</f>
        <v>Maika Blázquez (Madrid)</v>
      </c>
    </row>
    <row r="1139" spans="2:16">
      <c r="B1139" s="6">
        <f ca="1">IFERROR(__xludf.DUMMYFUNCTION("""COMPUTED_VALUE"""),2025)</f>
        <v>2025</v>
      </c>
      <c r="C1139" s="6">
        <f ca="1">IFERROR(__xludf.DUMMYFUNCTION("""COMPUTED_VALUE"""),9)</f>
        <v>9</v>
      </c>
      <c r="D1139" s="6" t="str">
        <f ca="1">IFERROR(__xludf.DUMMYFUNCTION("""COMPUTED_VALUE"""),"NO")</f>
        <v>NO</v>
      </c>
      <c r="E1139" s="6" t="str">
        <f ca="1">IFERROR(__xludf.DUMMYFUNCTION("""COMPUTED_VALUE"""),"Madrid- La Oca")</f>
        <v>Madrid- La Oca</v>
      </c>
      <c r="F1139" s="16">
        <f ca="1">IFERROR(__xludf.DUMMYFUNCTION("""COMPUTED_VALUE"""),45910)</f>
        <v>45910</v>
      </c>
      <c r="G1139" s="16">
        <f ca="1">IFERROR(__xludf.DUMMYFUNCTION("""COMPUTED_VALUE"""),45910)</f>
        <v>45910</v>
      </c>
      <c r="H1139" s="6" t="str">
        <f ca="1">IFERROR(__xludf.DUMMYFUNCTION("""COMPUTED_VALUE"""),"La Oca")</f>
        <v>La Oca</v>
      </c>
      <c r="I1139" s="6" t="str">
        <f ca="1">IFERROR(__xludf.DUMMYFUNCTION("""COMPUTED_VALUE"""),"C2025910173529359")</f>
        <v>C2025910173529359</v>
      </c>
      <c r="J1139" s="6" t="str">
        <f ca="1">IFERROR(__xludf.DUMMYFUNCTION("""COMPUTED_VALUE"""),"MARIA SOLEDAD GARCIA RUIZ [JOSE CAZORLA DUQUE]")</f>
        <v>MARIA SOLEDAD GARCIA RUIZ [JOSE CAZORLA DUQUE]</v>
      </c>
      <c r="K1139" s="6">
        <f ca="1">IFERROR(__xludf.DUMMYFUNCTION("""COMPUTED_VALUE"""),2)</f>
        <v>2</v>
      </c>
      <c r="L1139" s="139">
        <f ca="1">IFERROR(__xludf.DUMMYFUNCTION("""COMPUTED_VALUE"""),2718.18)</f>
        <v>2718.18</v>
      </c>
      <c r="M1139" s="6" t="str">
        <f ca="1">IFERROR(__xludf.DUMMYFUNCTION("""COMPUTED_VALUE"""),"03 ORL")</f>
        <v>03 ORL</v>
      </c>
      <c r="N1139" s="6" t="str">
        <f ca="1">IFERROR(__xludf.DUMMYFUNCTION("""COMPUTED_VALUE"""),"06 ORL")</f>
        <v>06 ORL</v>
      </c>
      <c r="O1139" s="6" t="str">
        <f ca="1">IFERROR(__xludf.DUMMYFUNCTION("""COMPUTED_VALUE"""),"Dra, Laura Ruano De Pablo")</f>
        <v>Dra, Laura Ruano De Pablo</v>
      </c>
      <c r="P1139" s="6" t="str">
        <f ca="1">IFERROR(__xludf.DUMMYFUNCTION("""COMPUTED_VALUE"""),"Maika Blázquez (Madrid)")</f>
        <v>Maika Blázquez (Madrid)</v>
      </c>
    </row>
    <row r="1140" spans="2:16">
      <c r="B1140" s="6">
        <f ca="1">IFERROR(__xludf.DUMMYFUNCTION("""COMPUTED_VALUE"""),2025)</f>
        <v>2025</v>
      </c>
      <c r="C1140" s="6">
        <f ca="1">IFERROR(__xludf.DUMMYFUNCTION("""COMPUTED_VALUE"""),9)</f>
        <v>9</v>
      </c>
      <c r="D1140" s="6" t="str">
        <f ca="1">IFERROR(__xludf.DUMMYFUNCTION("""COMPUTED_VALUE"""),"NO")</f>
        <v>NO</v>
      </c>
      <c r="E1140" s="6" t="str">
        <f ca="1">IFERROR(__xludf.DUMMYFUNCTION("""COMPUTED_VALUE"""),"Madrid- La Oca")</f>
        <v>Madrid- La Oca</v>
      </c>
      <c r="F1140" s="16">
        <f ca="1">IFERROR(__xludf.DUMMYFUNCTION("""COMPUTED_VALUE"""),45915)</f>
        <v>45915</v>
      </c>
      <c r="G1140" s="16">
        <f ca="1">IFERROR(__xludf.DUMMYFUNCTION("""COMPUTED_VALUE"""),45855)</f>
        <v>45855</v>
      </c>
      <c r="H1140" s="6" t="str">
        <f ca="1">IFERROR(__xludf.DUMMYFUNCTION("""COMPUTED_VALUE"""),"La Oca")</f>
        <v>La Oca</v>
      </c>
      <c r="I1140" s="6" t="str">
        <f ca="1">IFERROR(__xludf.DUMMYFUNCTION("""COMPUTED_VALUE"""),"C202571710114916")</f>
        <v>C202571710114916</v>
      </c>
      <c r="J1140" s="6" t="str">
        <f ca="1">IFERROR(__xludf.DUMMYFUNCTION("""COMPUTED_VALUE"""),"PILAR ALONSO VAZQUEZ")</f>
        <v>PILAR ALONSO VAZQUEZ</v>
      </c>
      <c r="K1140" s="6">
        <f ca="1">IFERROR(__xludf.DUMMYFUNCTION("""COMPUTED_VALUE"""),2)</f>
        <v>2</v>
      </c>
      <c r="L1140" s="139">
        <f ca="1">IFERROR(__xludf.DUMMYFUNCTION("""COMPUTED_VALUE"""),4000)</f>
        <v>4000</v>
      </c>
      <c r="M1140" s="6" t="str">
        <f ca="1">IFERROR(__xludf.DUMMYFUNCTION("""COMPUTED_VALUE"""),"03 ORL")</f>
        <v>03 ORL</v>
      </c>
      <c r="N1140" s="6" t="str">
        <f ca="1">IFERROR(__xludf.DUMMYFUNCTION("""COMPUTED_VALUE"""),"06 ORL")</f>
        <v>06 ORL</v>
      </c>
      <c r="O1140" s="6" t="str">
        <f ca="1">IFERROR(__xludf.DUMMYFUNCTION("""COMPUTED_VALUE"""),"Dr, José Joaquín Gutiérrez Barquín")</f>
        <v>Dr, José Joaquín Gutiérrez Barquín</v>
      </c>
      <c r="P1140" s="6" t="str">
        <f ca="1">IFERROR(__xludf.DUMMYFUNCTION("""COMPUTED_VALUE"""),"Maika Blázquez (Madrid)")</f>
        <v>Maika Blázquez (Madrid)</v>
      </c>
    </row>
    <row r="1141" spans="2:16">
      <c r="B1141" s="6">
        <f ca="1">IFERROR(__xludf.DUMMYFUNCTION("""COMPUTED_VALUE"""),2025)</f>
        <v>2025</v>
      </c>
      <c r="C1141" s="6">
        <f ca="1">IFERROR(__xludf.DUMMYFUNCTION("""COMPUTED_VALUE"""),9)</f>
        <v>9</v>
      </c>
      <c r="D1141" s="6" t="str">
        <f ca="1">IFERROR(__xludf.DUMMYFUNCTION("""COMPUTED_VALUE"""),"NO")</f>
        <v>NO</v>
      </c>
      <c r="E1141" s="6" t="str">
        <f ca="1">IFERROR(__xludf.DUMMYFUNCTION("""COMPUTED_VALUE"""),"Madrid- La Oca")</f>
        <v>Madrid- La Oca</v>
      </c>
      <c r="F1141" s="16">
        <f ca="1">IFERROR(__xludf.DUMMYFUNCTION("""COMPUTED_VALUE"""),45922)</f>
        <v>45922</v>
      </c>
      <c r="G1141" s="16">
        <f ca="1">IFERROR(__xludf.DUMMYFUNCTION("""COMPUTED_VALUE"""),45905)</f>
        <v>45905</v>
      </c>
      <c r="H1141" s="6" t="str">
        <f ca="1">IFERROR(__xludf.DUMMYFUNCTION("""COMPUTED_VALUE"""),"La Oca")</f>
        <v>La Oca</v>
      </c>
      <c r="I1141" s="6" t="str">
        <f ca="1">IFERROR(__xludf.DUMMYFUNCTION("""COMPUTED_VALUE"""),"C2025951648821")</f>
        <v>C2025951648821</v>
      </c>
      <c r="J1141" s="6" t="str">
        <f ca="1">IFERROR(__xludf.DUMMYFUNCTION("""COMPUTED_VALUE"""),"SANDRA CALVAY MEDINA")</f>
        <v>SANDRA CALVAY MEDINA</v>
      </c>
      <c r="K1141" s="6">
        <f ca="1">IFERROR(__xludf.DUMMYFUNCTION("""COMPUTED_VALUE"""),2)</f>
        <v>2</v>
      </c>
      <c r="L1141" s="139">
        <f ca="1">IFERROR(__xludf.DUMMYFUNCTION("""COMPUTED_VALUE"""),2718.18)</f>
        <v>2718.18</v>
      </c>
      <c r="M1141" s="6" t="str">
        <f ca="1">IFERROR(__xludf.DUMMYFUNCTION("""COMPUTED_VALUE"""),"03 ORL")</f>
        <v>03 ORL</v>
      </c>
      <c r="N1141" s="6" t="str">
        <f ca="1">IFERROR(__xludf.DUMMYFUNCTION("""COMPUTED_VALUE"""),"06 ORL")</f>
        <v>06 ORL</v>
      </c>
      <c r="O1141" s="6" t="str">
        <f ca="1">IFERROR(__xludf.DUMMYFUNCTION("""COMPUTED_VALUE"""),"Dra, Laura Ruano De Pablo")</f>
        <v>Dra, Laura Ruano De Pablo</v>
      </c>
      <c r="P1141" s="6" t="str">
        <f ca="1">IFERROR(__xludf.DUMMYFUNCTION("""COMPUTED_VALUE"""),"Maika Blázquez (Madrid)")</f>
        <v>Maika Blázquez (Madrid)</v>
      </c>
    </row>
    <row r="1142" spans="2:16">
      <c r="B1142" s="6">
        <f ca="1">IFERROR(__xludf.DUMMYFUNCTION("""COMPUTED_VALUE"""),2025)</f>
        <v>2025</v>
      </c>
      <c r="C1142" s="6">
        <f ca="1">IFERROR(__xludf.DUMMYFUNCTION("""COMPUTED_VALUE"""),9)</f>
        <v>9</v>
      </c>
      <c r="D1142" s="6" t="str">
        <f ca="1">IFERROR(__xludf.DUMMYFUNCTION("""COMPUTED_VALUE"""),"NO")</f>
        <v>NO</v>
      </c>
      <c r="E1142" s="6" t="str">
        <f ca="1">IFERROR(__xludf.DUMMYFUNCTION("""COMPUTED_VALUE"""),"Madrid- La Oca")</f>
        <v>Madrid- La Oca</v>
      </c>
      <c r="F1142" s="16">
        <f ca="1">IFERROR(__xludf.DUMMYFUNCTION("""COMPUTED_VALUE"""),45919)</f>
        <v>45919</v>
      </c>
      <c r="G1142" s="16">
        <f ca="1">IFERROR(__xludf.DUMMYFUNCTION("""COMPUTED_VALUE"""),45741)</f>
        <v>45741</v>
      </c>
      <c r="H1142" s="6" t="str">
        <f ca="1">IFERROR(__xludf.DUMMYFUNCTION("""COMPUTED_VALUE"""),"La Oca")</f>
        <v>La Oca</v>
      </c>
      <c r="I1142" s="6" t="str">
        <f ca="1">IFERROR(__xludf.DUMMYFUNCTION("""COMPUTED_VALUE"""),"C2025415102713525")</f>
        <v>C2025415102713525</v>
      </c>
      <c r="J1142" s="6" t="str">
        <f ca="1">IFERROR(__xludf.DUMMYFUNCTION("""COMPUTED_VALUE"""),"TOMAS SANTIAGO MONTES")</f>
        <v>TOMAS SANTIAGO MONTES</v>
      </c>
      <c r="K1142" s="6">
        <f ca="1">IFERROR(__xludf.DUMMYFUNCTION("""COMPUTED_VALUE"""),1)</f>
        <v>1</v>
      </c>
      <c r="L1142" s="139">
        <f ca="1">IFERROR(__xludf.DUMMYFUNCTION("""COMPUTED_VALUE"""),1631.82)</f>
        <v>1631.82</v>
      </c>
      <c r="M1142" s="6" t="str">
        <f ca="1">IFERROR(__xludf.DUMMYFUNCTION("""COMPUTED_VALUE"""),"03 ORL")</f>
        <v>03 ORL</v>
      </c>
      <c r="N1142" s="6" t="str">
        <f ca="1">IFERROR(__xludf.DUMMYFUNCTION("""COMPUTED_VALUE"""),"22 AUDIOMETRIA CLINICA")</f>
        <v>22 AUDIOMETRIA CLINICA</v>
      </c>
      <c r="O1142" s="6" t="str">
        <f ca="1">IFERROR(__xludf.DUMMYFUNCTION("""COMPUTED_VALUE"""),"Dr, José Joaquín Gutiérrez Barquín")</f>
        <v>Dr, José Joaquín Gutiérrez Barquín</v>
      </c>
      <c r="P1142" s="6" t="str">
        <f ca="1">IFERROR(__xludf.DUMMYFUNCTION("""COMPUTED_VALUE"""),"Maika Blázquez (Madrid)")</f>
        <v>Maika Blázquez (Madrid)</v>
      </c>
    </row>
    <row r="1143" spans="2:16">
      <c r="B1143" s="6">
        <f ca="1">IFERROR(__xludf.DUMMYFUNCTION("""COMPUTED_VALUE"""),2025)</f>
        <v>2025</v>
      </c>
      <c r="C1143" s="6">
        <f ca="1">IFERROR(__xludf.DUMMYFUNCTION("""COMPUTED_VALUE"""),9)</f>
        <v>9</v>
      </c>
      <c r="D1143" s="6" t="str">
        <f ca="1">IFERROR(__xludf.DUMMYFUNCTION("""COMPUTED_VALUE"""),"NO")</f>
        <v>NO</v>
      </c>
      <c r="E1143" s="6" t="str">
        <f ca="1">IFERROR(__xludf.DUMMYFUNCTION("""COMPUTED_VALUE"""),"Madrid- Moratalaz")</f>
        <v>Madrid- Moratalaz</v>
      </c>
      <c r="F1143" s="16">
        <f ca="1">IFERROR(__xludf.DUMMYFUNCTION("""COMPUTED_VALUE"""),45908)</f>
        <v>45908</v>
      </c>
      <c r="G1143" s="16">
        <f ca="1">IFERROR(__xludf.DUMMYFUNCTION("""COMPUTED_VALUE"""),45854)</f>
        <v>45854</v>
      </c>
      <c r="H1143" s="6" t="str">
        <f ca="1">IFERROR(__xludf.DUMMYFUNCTION("""COMPUTED_VALUE"""),"Moratalaz")</f>
        <v>Moratalaz</v>
      </c>
      <c r="I1143" s="6" t="str">
        <f ca="1">IFERROR(__xludf.DUMMYFUNCTION("""COMPUTED_VALUE"""),"C2025723101654681")</f>
        <v>C2025723101654681</v>
      </c>
      <c r="J1143" s="6" t="str">
        <f ca="1">IFERROR(__xludf.DUMMYFUNCTION("""COMPUTED_VALUE"""),"CELIA VELLISCO AMODIA")</f>
        <v>CELIA VELLISCO AMODIA</v>
      </c>
      <c r="K1143" s="6">
        <f ca="1">IFERROR(__xludf.DUMMYFUNCTION("""COMPUTED_VALUE"""),1)</f>
        <v>1</v>
      </c>
      <c r="L1143" s="139">
        <f ca="1">IFERROR(__xludf.DUMMYFUNCTION("""COMPUTED_VALUE"""),2481.82)</f>
        <v>2481.8200000000002</v>
      </c>
      <c r="M1143" s="6" t="str">
        <f ca="1">IFERROR(__xludf.DUMMYFUNCTION("""COMPUTED_VALUE"""),"03 ORL")</f>
        <v>03 ORL</v>
      </c>
      <c r="N1143" s="6" t="str">
        <f ca="1">IFERROR(__xludf.DUMMYFUNCTION("""COMPUTED_VALUE"""),"06 ORL")</f>
        <v>06 ORL</v>
      </c>
      <c r="O1143" s="6" t="str">
        <f ca="1">IFERROR(__xludf.DUMMYFUNCTION("""COMPUTED_VALUE"""),"Dr, Manuel Gutiérrez Triguero")</f>
        <v>Dr, Manuel Gutiérrez Triguero</v>
      </c>
      <c r="P1143" s="6" t="str">
        <f ca="1">IFERROR(__xludf.DUMMYFUNCTION("""COMPUTED_VALUE"""),"Maika Blázquez (Madrid)")</f>
        <v>Maika Blázquez (Madrid)</v>
      </c>
    </row>
    <row r="1144" spans="2:16">
      <c r="B1144" s="6">
        <f ca="1">IFERROR(__xludf.DUMMYFUNCTION("""COMPUTED_VALUE"""),2025)</f>
        <v>2025</v>
      </c>
      <c r="C1144" s="6">
        <f ca="1">IFERROR(__xludf.DUMMYFUNCTION("""COMPUTED_VALUE"""),9)</f>
        <v>9</v>
      </c>
      <c r="D1144" s="6" t="str">
        <f ca="1">IFERROR(__xludf.DUMMYFUNCTION("""COMPUTED_VALUE"""),"NO")</f>
        <v>NO</v>
      </c>
      <c r="E1144" s="6" t="str">
        <f ca="1">IFERROR(__xludf.DUMMYFUNCTION("""COMPUTED_VALUE"""),"Madrid- Moratalaz")</f>
        <v>Madrid- Moratalaz</v>
      </c>
      <c r="F1144" s="16">
        <f ca="1">IFERROR(__xludf.DUMMYFUNCTION("""COMPUTED_VALUE"""),45909)</f>
        <v>45909</v>
      </c>
      <c r="G1144" s="16">
        <f ca="1">IFERROR(__xludf.DUMMYFUNCTION("""COMPUTED_VALUE"""),45847)</f>
        <v>45847</v>
      </c>
      <c r="H1144" s="6" t="str">
        <f ca="1">IFERROR(__xludf.DUMMYFUNCTION("""COMPUTED_VALUE"""),"Moratalaz")</f>
        <v>Moratalaz</v>
      </c>
      <c r="I1144" s="6" t="str">
        <f ca="1">IFERROR(__xludf.DUMMYFUNCTION("""COMPUTED_VALUE"""),"C2025722172149692")</f>
        <v>C2025722172149692</v>
      </c>
      <c r="J1144" s="6" t="str">
        <f ca="1">IFERROR(__xludf.DUMMYFUNCTION("""COMPUTED_VALUE"""),"MIGUEL MARTINEZ CHIRON")</f>
        <v>MIGUEL MARTINEZ CHIRON</v>
      </c>
      <c r="K1144" s="6">
        <f ca="1">IFERROR(__xludf.DUMMYFUNCTION("""COMPUTED_VALUE"""),2)</f>
        <v>2</v>
      </c>
      <c r="L1144" s="139">
        <f ca="1">IFERROR(__xludf.DUMMYFUNCTION("""COMPUTED_VALUE"""),4136.36)</f>
        <v>4136.3599999999997</v>
      </c>
      <c r="M1144" s="6" t="str">
        <f ca="1">IFERROR(__xludf.DUMMYFUNCTION("""COMPUTED_VALUE"""),"03 ORL")</f>
        <v>03 ORL</v>
      </c>
      <c r="N1144" s="6" t="str">
        <f ca="1">IFERROR(__xludf.DUMMYFUNCTION("""COMPUTED_VALUE"""),"06 ORL")</f>
        <v>06 ORL</v>
      </c>
      <c r="O1144" s="6" t="str">
        <f ca="1">IFERROR(__xludf.DUMMYFUNCTION("""COMPUTED_VALUE"""),"No recuerda ORL")</f>
        <v>No recuerda ORL</v>
      </c>
      <c r="P1144" s="6" t="str">
        <f ca="1">IFERROR(__xludf.DUMMYFUNCTION("""COMPUTED_VALUE"""),"Maika Blázquez (Madrid)")</f>
        <v>Maika Blázquez (Madrid)</v>
      </c>
    </row>
    <row r="1145" spans="2:16">
      <c r="B1145" s="6">
        <f ca="1">IFERROR(__xludf.DUMMYFUNCTION("""COMPUTED_VALUE"""),2025)</f>
        <v>2025</v>
      </c>
      <c r="C1145" s="6">
        <f ca="1">IFERROR(__xludf.DUMMYFUNCTION("""COMPUTED_VALUE"""),9)</f>
        <v>9</v>
      </c>
      <c r="D1145" s="6" t="str">
        <f ca="1">IFERROR(__xludf.DUMMYFUNCTION("""COMPUTED_VALUE"""),"NO")</f>
        <v>NO</v>
      </c>
      <c r="E1145" s="6" t="str">
        <f ca="1">IFERROR(__xludf.DUMMYFUNCTION("""COMPUTED_VALUE"""),"Móstoles")</f>
        <v>Móstoles</v>
      </c>
      <c r="F1145" s="16">
        <f ca="1">IFERROR(__xludf.DUMMYFUNCTION("""COMPUTED_VALUE"""),45908)</f>
        <v>45908</v>
      </c>
      <c r="G1145" s="16">
        <f ca="1">IFERROR(__xludf.DUMMYFUNCTION("""COMPUTED_VALUE"""),45828)</f>
        <v>45828</v>
      </c>
      <c r="H1145" s="6" t="str">
        <f ca="1">IFERROR(__xludf.DUMMYFUNCTION("""COMPUTED_VALUE"""),"Móstoles")</f>
        <v>Móstoles</v>
      </c>
      <c r="I1145" s="6" t="str">
        <f ca="1">IFERROR(__xludf.DUMMYFUNCTION("""COMPUTED_VALUE"""),"C20256239281927")</f>
        <v>C20256239281927</v>
      </c>
      <c r="J1145" s="6" t="str">
        <f ca="1">IFERROR(__xludf.DUMMYFUNCTION("""COMPUTED_VALUE"""),"BARTOLOME DE JESUS SILVA MACHADO")</f>
        <v>BARTOLOME DE JESUS SILVA MACHADO</v>
      </c>
      <c r="K1145" s="6">
        <f ca="1">IFERROR(__xludf.DUMMYFUNCTION("""COMPUTED_VALUE"""),1)</f>
        <v>1</v>
      </c>
      <c r="L1145" s="139">
        <f ca="1">IFERROR(__xludf.DUMMYFUNCTION("""COMPUTED_VALUE"""),1631.82)</f>
        <v>1631.82</v>
      </c>
      <c r="M1145" s="6" t="str">
        <f ca="1">IFERROR(__xludf.DUMMYFUNCTION("""COMPUTED_VALUE"""),"03 ORL")</f>
        <v>03 ORL</v>
      </c>
      <c r="N1145" s="6" t="str">
        <f ca="1">IFERROR(__xludf.DUMMYFUNCTION("""COMPUTED_VALUE"""),"06 ORL")</f>
        <v>06 ORL</v>
      </c>
      <c r="O1145" s="6" t="str">
        <f ca="1">IFERROR(__xludf.DUMMYFUNCTION("""COMPUTED_VALUE"""),"Dr, Víctor José González Arias")</f>
        <v>Dr, Víctor José González Arias</v>
      </c>
      <c r="P1145" s="6" t="str">
        <f ca="1">IFERROR(__xludf.DUMMYFUNCTION("""COMPUTED_VALUE"""),"Maika Blázquez (Madrid)")</f>
        <v>Maika Blázquez (Madrid)</v>
      </c>
    </row>
    <row r="1146" spans="2:16">
      <c r="B1146" s="6">
        <f ca="1">IFERROR(__xludf.DUMMYFUNCTION("""COMPUTED_VALUE"""),2025)</f>
        <v>2025</v>
      </c>
      <c r="C1146" s="6">
        <f ca="1">IFERROR(__xludf.DUMMYFUNCTION("""COMPUTED_VALUE"""),9)</f>
        <v>9</v>
      </c>
      <c r="D1146" s="6" t="str">
        <f ca="1">IFERROR(__xludf.DUMMYFUNCTION("""COMPUTED_VALUE"""),"NO")</f>
        <v>NO</v>
      </c>
      <c r="E1146" s="6" t="str">
        <f ca="1">IFERROR(__xludf.DUMMYFUNCTION("""COMPUTED_VALUE"""),"Móstoles")</f>
        <v>Móstoles</v>
      </c>
      <c r="F1146" s="16">
        <f ca="1">IFERROR(__xludf.DUMMYFUNCTION("""COMPUTED_VALUE"""),45919)</f>
        <v>45919</v>
      </c>
      <c r="G1146" s="16">
        <f ca="1">IFERROR(__xludf.DUMMYFUNCTION("""COMPUTED_VALUE"""),45831)</f>
        <v>45831</v>
      </c>
      <c r="H1146" s="6" t="str">
        <f ca="1">IFERROR(__xludf.DUMMYFUNCTION("""COMPUTED_VALUE"""),"Móstoles")</f>
        <v>Móstoles</v>
      </c>
      <c r="I1146" s="6" t="str">
        <f ca="1">IFERROR(__xludf.DUMMYFUNCTION("""COMPUTED_VALUE"""),"C2025626181732616")</f>
        <v>C2025626181732616</v>
      </c>
      <c r="J1146" s="6" t="str">
        <f ca="1">IFERROR(__xludf.DUMMYFUNCTION("""COMPUTED_VALUE"""),"DANIEL VALLADARES PEREZ")</f>
        <v>DANIEL VALLADARES PEREZ</v>
      </c>
      <c r="K1146" s="6">
        <f ca="1">IFERROR(__xludf.DUMMYFUNCTION("""COMPUTED_VALUE"""),2)</f>
        <v>2</v>
      </c>
      <c r="L1146" s="139">
        <f ca="1">IFERROR(__xludf.DUMMYFUNCTION("""COMPUTED_VALUE"""),3268.64)</f>
        <v>3268.64</v>
      </c>
      <c r="M1146" s="6" t="str">
        <f ca="1">IFERROR(__xludf.DUMMYFUNCTION("""COMPUTED_VALUE"""),"03 ORL")</f>
        <v>03 ORL</v>
      </c>
      <c r="N1146" s="6" t="str">
        <f ca="1">IFERROR(__xludf.DUMMYFUNCTION("""COMPUTED_VALUE"""),"06 ORL")</f>
        <v>06 ORL</v>
      </c>
      <c r="O1146" s="6" t="str">
        <f ca="1">IFERROR(__xludf.DUMMYFUNCTION("""COMPUTED_VALUE"""),"Dra, María Gabriela Bosco Morales")</f>
        <v>Dra, María Gabriela Bosco Morales</v>
      </c>
      <c r="P1146" s="6" t="str">
        <f ca="1">IFERROR(__xludf.DUMMYFUNCTION("""COMPUTED_VALUE"""),"Maika Blázquez (Madrid)")</f>
        <v>Maika Blázquez (Madrid)</v>
      </c>
    </row>
    <row r="1147" spans="2:16">
      <c r="B1147" s="6">
        <f ca="1">IFERROR(__xludf.DUMMYFUNCTION("""COMPUTED_VALUE"""),2025)</f>
        <v>2025</v>
      </c>
      <c r="C1147" s="6">
        <f ca="1">IFERROR(__xludf.DUMMYFUNCTION("""COMPUTED_VALUE"""),9)</f>
        <v>9</v>
      </c>
      <c r="D1147" s="6" t="str">
        <f ca="1">IFERROR(__xludf.DUMMYFUNCTION("""COMPUTED_VALUE"""),"NO")</f>
        <v>NO</v>
      </c>
      <c r="E1147" s="6" t="str">
        <f ca="1">IFERROR(__xludf.DUMMYFUNCTION("""COMPUTED_VALUE"""),"Móstoles")</f>
        <v>Móstoles</v>
      </c>
      <c r="F1147" s="16">
        <f ca="1">IFERROR(__xludf.DUMMYFUNCTION("""COMPUTED_VALUE"""),45919)</f>
        <v>45919</v>
      </c>
      <c r="G1147" s="16">
        <f ca="1">IFERROR(__xludf.DUMMYFUNCTION("""COMPUTED_VALUE"""),45831)</f>
        <v>45831</v>
      </c>
      <c r="H1147" s="6" t="str">
        <f ca="1">IFERROR(__xludf.DUMMYFUNCTION("""COMPUTED_VALUE"""),"Móstoles")</f>
        <v>Móstoles</v>
      </c>
      <c r="I1147" s="6" t="str">
        <f ca="1">IFERROR(__xludf.DUMMYFUNCTION("""COMPUTED_VALUE"""),"C202562617310290")</f>
        <v>C202562617310290</v>
      </c>
      <c r="J1147" s="6" t="str">
        <f ca="1">IFERROR(__xludf.DUMMYFUNCTION("""COMPUTED_VALUE"""),"MARIA DE LAS HUERTAS NAVARRO PEREZ")</f>
        <v>MARIA DE LAS HUERTAS NAVARRO PEREZ</v>
      </c>
      <c r="K1147" s="6">
        <f ca="1">IFERROR(__xludf.DUMMYFUNCTION("""COMPUTED_VALUE"""),2)</f>
        <v>2</v>
      </c>
      <c r="L1147" s="139">
        <f ca="1">IFERROR(__xludf.DUMMYFUNCTION("""COMPUTED_VALUE"""),3268.64)</f>
        <v>3268.64</v>
      </c>
      <c r="M1147" s="6" t="str">
        <f ca="1">IFERROR(__xludf.DUMMYFUNCTION("""COMPUTED_VALUE"""),"03 ORL")</f>
        <v>03 ORL</v>
      </c>
      <c r="N1147" s="6" t="str">
        <f ca="1">IFERROR(__xludf.DUMMYFUNCTION("""COMPUTED_VALUE"""),"06 ORL")</f>
        <v>06 ORL</v>
      </c>
      <c r="O1147" s="6" t="str">
        <f ca="1">IFERROR(__xludf.DUMMYFUNCTION("""COMPUTED_VALUE"""),"Dr, Víctor José González Arias")</f>
        <v>Dr, Víctor José González Arias</v>
      </c>
      <c r="P1147" s="6" t="str">
        <f ca="1">IFERROR(__xludf.DUMMYFUNCTION("""COMPUTED_VALUE"""),"Maika Blázquez (Madrid)")</f>
        <v>Maika Blázquez (Madrid)</v>
      </c>
    </row>
    <row r="1148" spans="2:16">
      <c r="B1148" s="6">
        <f ca="1">IFERROR(__xludf.DUMMYFUNCTION("""COMPUTED_VALUE"""),2025)</f>
        <v>2025</v>
      </c>
      <c r="C1148" s="6">
        <f ca="1">IFERROR(__xludf.DUMMYFUNCTION("""COMPUTED_VALUE"""),9)</f>
        <v>9</v>
      </c>
      <c r="D1148" s="6" t="str">
        <f ca="1">IFERROR(__xludf.DUMMYFUNCTION("""COMPUTED_VALUE"""),"NO")</f>
        <v>NO</v>
      </c>
      <c r="E1148" s="6" t="str">
        <f ca="1">IFERROR(__xludf.DUMMYFUNCTION("""COMPUTED_VALUE"""),"Murcia")</f>
        <v>Murcia</v>
      </c>
      <c r="F1148" s="16">
        <f ca="1">IFERROR(__xludf.DUMMYFUNCTION("""COMPUTED_VALUE"""),45929)</f>
        <v>45929</v>
      </c>
      <c r="G1148" s="16">
        <f ca="1">IFERROR(__xludf.DUMMYFUNCTION("""COMPUTED_VALUE"""),45912)</f>
        <v>45912</v>
      </c>
      <c r="H1148" s="6" t="str">
        <f ca="1">IFERROR(__xludf.DUMMYFUNCTION("""COMPUTED_VALUE"""),"Murcia")</f>
        <v>Murcia</v>
      </c>
      <c r="I1148" s="6" t="str">
        <f ca="1">IFERROR(__xludf.DUMMYFUNCTION("""COMPUTED_VALUE"""),"C202591712235127")</f>
        <v>C202591712235127</v>
      </c>
      <c r="J1148" s="6" t="str">
        <f ca="1">IFERROR(__xludf.DUMMYFUNCTION("""COMPUTED_VALUE"""),"GINES MARIN SANCHEZ")</f>
        <v>GINES MARIN SANCHEZ</v>
      </c>
      <c r="K1148" s="6">
        <f ca="1">IFERROR(__xludf.DUMMYFUNCTION("""COMPUTED_VALUE"""),2)</f>
        <v>2</v>
      </c>
      <c r="L1148" s="139">
        <f ca="1">IFERROR(__xludf.DUMMYFUNCTION("""COMPUTED_VALUE"""),4400)</f>
        <v>4400</v>
      </c>
      <c r="M1148" s="6" t="str">
        <f ca="1">IFERROR(__xludf.DUMMYFUNCTION("""COMPUTED_VALUE"""),"03 ORL")</f>
        <v>03 ORL</v>
      </c>
      <c r="N1148" s="6" t="str">
        <f ca="1">IFERROR(__xludf.DUMMYFUNCTION("""COMPUTED_VALUE"""),"06 ORL")</f>
        <v>06 ORL</v>
      </c>
      <c r="O1148" s="6" t="str">
        <f ca="1">IFERROR(__xludf.DUMMYFUNCTION("""COMPUTED_VALUE"""),"Dra, Cristina Esther Torregrosa Carrasquer")</f>
        <v>Dra, Cristina Esther Torregrosa Carrasquer</v>
      </c>
      <c r="P1148" s="6" t="str">
        <f ca="1">IFERROR(__xludf.DUMMYFUNCTION("""COMPUTED_VALUE"""),"Iván Sánchez (Levante Y Albacete)")</f>
        <v>Iván Sánchez (Levante Y Albacete)</v>
      </c>
    </row>
    <row r="1149" spans="2:16">
      <c r="B1149" s="6">
        <f ca="1">IFERROR(__xludf.DUMMYFUNCTION("""COMPUTED_VALUE"""),2025)</f>
        <v>2025</v>
      </c>
      <c r="C1149" s="6">
        <f ca="1">IFERROR(__xludf.DUMMYFUNCTION("""COMPUTED_VALUE"""),9)</f>
        <v>9</v>
      </c>
      <c r="D1149" s="6" t="str">
        <f ca="1">IFERROR(__xludf.DUMMYFUNCTION("""COMPUTED_VALUE"""),"NO")</f>
        <v>NO</v>
      </c>
      <c r="E1149" s="6" t="str">
        <f ca="1">IFERROR(__xludf.DUMMYFUNCTION("""COMPUTED_VALUE"""),"Murcia")</f>
        <v>Murcia</v>
      </c>
      <c r="F1149" s="16">
        <f ca="1">IFERROR(__xludf.DUMMYFUNCTION("""COMPUTED_VALUE"""),45925)</f>
        <v>45925</v>
      </c>
      <c r="G1149" s="16">
        <f ca="1">IFERROR(__xludf.DUMMYFUNCTION("""COMPUTED_VALUE"""),45868)</f>
        <v>45868</v>
      </c>
      <c r="H1149" s="6" t="str">
        <f ca="1">IFERROR(__xludf.DUMMYFUNCTION("""COMPUTED_VALUE"""),"Murcia")</f>
        <v>Murcia</v>
      </c>
      <c r="I1149" s="6" t="str">
        <f ca="1">IFERROR(__xludf.DUMMYFUNCTION("""COMPUTED_VALUE"""),"C202581111258719")</f>
        <v>C202581111258719</v>
      </c>
      <c r="J1149" s="6" t="str">
        <f ca="1">IFERROR(__xludf.DUMMYFUNCTION("""COMPUTED_VALUE"""),"JESUS RUIZ MOLINA")</f>
        <v>JESUS RUIZ MOLINA</v>
      </c>
      <c r="K1149" s="6">
        <f ca="1">IFERROR(__xludf.DUMMYFUNCTION("""COMPUTED_VALUE"""),1)</f>
        <v>1</v>
      </c>
      <c r="L1149" s="139">
        <f ca="1">IFERROR(__xludf.DUMMYFUNCTION("""COMPUTED_VALUE"""),2162.73)</f>
        <v>2162.73</v>
      </c>
      <c r="M1149" s="6" t="str">
        <f ca="1">IFERROR(__xludf.DUMMYFUNCTION("""COMPUTED_VALUE"""),"03 ORL")</f>
        <v>03 ORL</v>
      </c>
      <c r="N1149" s="6" t="str">
        <f ca="1">IFERROR(__xludf.DUMMYFUNCTION("""COMPUTED_VALUE"""),"06 ORL")</f>
        <v>06 ORL</v>
      </c>
      <c r="O1149" s="6" t="str">
        <f ca="1">IFERROR(__xludf.DUMMYFUNCTION("""COMPUTED_VALUE"""),"Dr, Juan David Lara Lozano")</f>
        <v>Dr, Juan David Lara Lozano</v>
      </c>
      <c r="P1149" s="6" t="str">
        <f ca="1">IFERROR(__xludf.DUMMYFUNCTION("""COMPUTED_VALUE"""),"Iván Sánchez (Levante Y Albacete)")</f>
        <v>Iván Sánchez (Levante Y Albacete)</v>
      </c>
    </row>
    <row r="1150" spans="2:16">
      <c r="B1150" s="6">
        <f ca="1">IFERROR(__xludf.DUMMYFUNCTION("""COMPUTED_VALUE"""),2025)</f>
        <v>2025</v>
      </c>
      <c r="C1150" s="6">
        <f ca="1">IFERROR(__xludf.DUMMYFUNCTION("""COMPUTED_VALUE"""),9)</f>
        <v>9</v>
      </c>
      <c r="D1150" s="6" t="str">
        <f ca="1">IFERROR(__xludf.DUMMYFUNCTION("""COMPUTED_VALUE"""),"NO")</f>
        <v>NO</v>
      </c>
      <c r="E1150" s="6" t="str">
        <f ca="1">IFERROR(__xludf.DUMMYFUNCTION("""COMPUTED_VALUE"""),"Murcia")</f>
        <v>Murcia</v>
      </c>
      <c r="F1150" s="16">
        <f ca="1">IFERROR(__xludf.DUMMYFUNCTION("""COMPUTED_VALUE"""),45923)</f>
        <v>45923</v>
      </c>
      <c r="G1150" s="16">
        <f ca="1">IFERROR(__xludf.DUMMYFUNCTION("""COMPUTED_VALUE"""),45889)</f>
        <v>45889</v>
      </c>
      <c r="H1150" s="6" t="str">
        <f ca="1">IFERROR(__xludf.DUMMYFUNCTION("""COMPUTED_VALUE"""),"Murcia")</f>
        <v>Murcia</v>
      </c>
      <c r="I1150" s="6" t="str">
        <f ca="1">IFERROR(__xludf.DUMMYFUNCTION("""COMPUTED_VALUE"""),"C202582293418119")</f>
        <v>C202582293418119</v>
      </c>
      <c r="J1150" s="6" t="str">
        <f ca="1">IFERROR(__xludf.DUMMYFUNCTION("""COMPUTED_VALUE"""),"JOSEFA MARTINEZ GUILLEN")</f>
        <v>JOSEFA MARTINEZ GUILLEN</v>
      </c>
      <c r="K1150" s="6">
        <f ca="1">IFERROR(__xludf.DUMMYFUNCTION("""COMPUTED_VALUE"""),2)</f>
        <v>2</v>
      </c>
      <c r="L1150" s="139">
        <f ca="1">IFERROR(__xludf.DUMMYFUNCTION("""COMPUTED_VALUE"""),2718.18)</f>
        <v>2718.18</v>
      </c>
      <c r="M1150" s="6" t="str">
        <f ca="1">IFERROR(__xludf.DUMMYFUNCTION("""COMPUTED_VALUE"""),"03 ORL")</f>
        <v>03 ORL</v>
      </c>
      <c r="N1150" s="6" t="str">
        <f ca="1">IFERROR(__xludf.DUMMYFUNCTION("""COMPUTED_VALUE"""),"06 ORL")</f>
        <v>06 ORL</v>
      </c>
      <c r="O1150" s="6" t="str">
        <f ca="1">IFERROR(__xludf.DUMMYFUNCTION("""COMPUTED_VALUE"""),"No recuerda ORL")</f>
        <v>No recuerda ORL</v>
      </c>
      <c r="P1150" s="6" t="str">
        <f ca="1">IFERROR(__xludf.DUMMYFUNCTION("""COMPUTED_VALUE"""),"Iván Sánchez (Levante Y Albacete)")</f>
        <v>Iván Sánchez (Levante Y Albacete)</v>
      </c>
    </row>
    <row r="1151" spans="2:16">
      <c r="B1151" s="6">
        <f ca="1">IFERROR(__xludf.DUMMYFUNCTION("""COMPUTED_VALUE"""),2025)</f>
        <v>2025</v>
      </c>
      <c r="C1151" s="6">
        <f ca="1">IFERROR(__xludf.DUMMYFUNCTION("""COMPUTED_VALUE"""),9)</f>
        <v>9</v>
      </c>
      <c r="D1151" s="6" t="str">
        <f ca="1">IFERROR(__xludf.DUMMYFUNCTION("""COMPUTED_VALUE"""),"NO")</f>
        <v>NO</v>
      </c>
      <c r="E1151" s="6" t="str">
        <f ca="1">IFERROR(__xludf.DUMMYFUNCTION("""COMPUTED_VALUE"""),"Orihuela")</f>
        <v>Orihuela</v>
      </c>
      <c r="F1151" s="16">
        <f ca="1">IFERROR(__xludf.DUMMYFUNCTION("""COMPUTED_VALUE"""),45922)</f>
        <v>45922</v>
      </c>
      <c r="G1151" s="16">
        <f ca="1">IFERROR(__xludf.DUMMYFUNCTION("""COMPUTED_VALUE"""),45870)</f>
        <v>45870</v>
      </c>
      <c r="H1151" s="6" t="str">
        <f ca="1">IFERROR(__xludf.DUMMYFUNCTION("""COMPUTED_VALUE"""),"La Zenia")</f>
        <v>La Zenia</v>
      </c>
      <c r="I1151" s="6" t="str">
        <f ca="1">IFERROR(__xludf.DUMMYFUNCTION("""COMPUTED_VALUE"""),"C202581114846277")</f>
        <v>C202581114846277</v>
      </c>
      <c r="J1151" s="6" t="str">
        <f ca="1">IFERROR(__xludf.DUMMYFUNCTION("""COMPUTED_VALUE"""),"BERNARDA FÉLIX CUEVAS")</f>
        <v>BERNARDA FÉLIX CUEVAS</v>
      </c>
      <c r="K1151" s="6">
        <f ca="1">IFERROR(__xludf.DUMMYFUNCTION("""COMPUTED_VALUE"""),2)</f>
        <v>2</v>
      </c>
      <c r="L1151" s="139">
        <f ca="1">IFERROR(__xludf.DUMMYFUNCTION("""COMPUTED_VALUE"""),2718.18)</f>
        <v>2718.18</v>
      </c>
      <c r="M1151" s="6" t="str">
        <f ca="1">IFERROR(__xludf.DUMMYFUNCTION("""COMPUTED_VALUE"""),"03 ORL")</f>
        <v>03 ORL</v>
      </c>
      <c r="N1151" s="6" t="str">
        <f ca="1">IFERROR(__xludf.DUMMYFUNCTION("""COMPUTED_VALUE"""),"06 ORL")</f>
        <v>06 ORL</v>
      </c>
      <c r="O1151" s="6" t="str">
        <f ca="1">IFERROR(__xludf.DUMMYFUNCTION("""COMPUTED_VALUE"""),"Dr, Juan Javier Álvarez López")</f>
        <v>Dr, Juan Javier Álvarez López</v>
      </c>
      <c r="P1151" s="6" t="str">
        <f ca="1">IFERROR(__xludf.DUMMYFUNCTION("""COMPUTED_VALUE"""),"Iván Sánchez (Levante Y Albacete)")</f>
        <v>Iván Sánchez (Levante Y Albacete)</v>
      </c>
    </row>
    <row r="1152" spans="2:16">
      <c r="B1152" s="6">
        <f ca="1">IFERROR(__xludf.DUMMYFUNCTION("""COMPUTED_VALUE"""),2025)</f>
        <v>2025</v>
      </c>
      <c r="C1152" s="6">
        <f ca="1">IFERROR(__xludf.DUMMYFUNCTION("""COMPUTED_VALUE"""),9)</f>
        <v>9</v>
      </c>
      <c r="D1152" s="6" t="str">
        <f ca="1">IFERROR(__xludf.DUMMYFUNCTION("""COMPUTED_VALUE"""),"NO")</f>
        <v>NO</v>
      </c>
      <c r="E1152" s="6" t="str">
        <f ca="1">IFERROR(__xludf.DUMMYFUNCTION("""COMPUTED_VALUE"""),"Orihuela")</f>
        <v>Orihuela</v>
      </c>
      <c r="F1152" s="16">
        <f ca="1">IFERROR(__xludf.DUMMYFUNCTION("""COMPUTED_VALUE"""),45922)</f>
        <v>45922</v>
      </c>
      <c r="G1152" s="16">
        <f ca="1">IFERROR(__xludf.DUMMYFUNCTION("""COMPUTED_VALUE"""),45901)</f>
        <v>45901</v>
      </c>
      <c r="H1152" s="6" t="str">
        <f ca="1">IFERROR(__xludf.DUMMYFUNCTION("""COMPUTED_VALUE"""),"La Zenia")</f>
        <v>La Zenia</v>
      </c>
      <c r="I1152" s="6" t="str">
        <f ca="1">IFERROR(__xludf.DUMMYFUNCTION("""COMPUTED_VALUE"""),"C202591116191616")</f>
        <v>C202591116191616</v>
      </c>
      <c r="J1152" s="6" t="str">
        <f ca="1">IFERROR(__xludf.DUMMYFUNCTION("""COMPUTED_VALUE"""),"CARMELO BERZOZA MONTIEL")</f>
        <v>CARMELO BERZOZA MONTIEL</v>
      </c>
      <c r="K1152" s="6">
        <f ca="1">IFERROR(__xludf.DUMMYFUNCTION("""COMPUTED_VALUE"""),2)</f>
        <v>2</v>
      </c>
      <c r="L1152" s="139">
        <f ca="1">IFERROR(__xludf.DUMMYFUNCTION("""COMPUTED_VALUE"""),3631.82)</f>
        <v>3631.82</v>
      </c>
      <c r="M1152" s="6" t="str">
        <f ca="1">IFERROR(__xludf.DUMMYFUNCTION("""COMPUTED_VALUE"""),"03 ORL")</f>
        <v>03 ORL</v>
      </c>
      <c r="N1152" s="6" t="str">
        <f ca="1">IFERROR(__xludf.DUMMYFUNCTION("""COMPUTED_VALUE"""),"06 ORL")</f>
        <v>06 ORL</v>
      </c>
      <c r="O1152" s="6" t="str">
        <f ca="1">IFERROR(__xludf.DUMMYFUNCTION("""COMPUTED_VALUE"""),"Dr, Juan Javier Álvarez López")</f>
        <v>Dr, Juan Javier Álvarez López</v>
      </c>
      <c r="P1152" s="6" t="str">
        <f ca="1">IFERROR(__xludf.DUMMYFUNCTION("""COMPUTED_VALUE"""),"Iván Sánchez (Levante Y Albacete)")</f>
        <v>Iván Sánchez (Levante Y Albacete)</v>
      </c>
    </row>
    <row r="1153" spans="2:16">
      <c r="B1153" s="6">
        <f ca="1">IFERROR(__xludf.DUMMYFUNCTION("""COMPUTED_VALUE"""),2025)</f>
        <v>2025</v>
      </c>
      <c r="C1153" s="6">
        <f ca="1">IFERROR(__xludf.DUMMYFUNCTION("""COMPUTED_VALUE"""),9)</f>
        <v>9</v>
      </c>
      <c r="D1153" s="6" t="str">
        <f ca="1">IFERROR(__xludf.DUMMYFUNCTION("""COMPUTED_VALUE"""),"NO")</f>
        <v>NO</v>
      </c>
      <c r="E1153" s="6" t="str">
        <f ca="1">IFERROR(__xludf.DUMMYFUNCTION("""COMPUTED_VALUE"""),"Orihuela")</f>
        <v>Orihuela</v>
      </c>
      <c r="F1153" s="16">
        <f ca="1">IFERROR(__xludf.DUMMYFUNCTION("""COMPUTED_VALUE"""),45901)</f>
        <v>45901</v>
      </c>
      <c r="G1153" s="16">
        <f ca="1">IFERROR(__xludf.DUMMYFUNCTION("""COMPUTED_VALUE"""),45874)</f>
        <v>45874</v>
      </c>
      <c r="H1153" s="6" t="str">
        <f ca="1">IFERROR(__xludf.DUMMYFUNCTION("""COMPUTED_VALUE"""),"La Zenia")</f>
        <v>La Zenia</v>
      </c>
      <c r="I1153" s="6" t="str">
        <f ca="1">IFERROR(__xludf.DUMMYFUNCTION("""COMPUTED_VALUE"""),"C20258885832459")</f>
        <v>C20258885832459</v>
      </c>
      <c r="J1153" s="6" t="str">
        <f ca="1">IFERROR(__xludf.DUMMYFUNCTION("""COMPUTED_VALUE"""),"GUURT GERARDA VERMER KENSELAAR")</f>
        <v>GUURT GERARDA VERMER KENSELAAR</v>
      </c>
      <c r="K1153" s="6">
        <f ca="1">IFERROR(__xludf.DUMMYFUNCTION("""COMPUTED_VALUE"""),2)</f>
        <v>2</v>
      </c>
      <c r="L1153" s="139">
        <f ca="1">IFERROR(__xludf.DUMMYFUNCTION("""COMPUTED_VALUE"""),3631.82)</f>
        <v>3631.82</v>
      </c>
      <c r="M1153" s="6" t="str">
        <f ca="1">IFERROR(__xludf.DUMMYFUNCTION("""COMPUTED_VALUE"""),"03 ORL")</f>
        <v>03 ORL</v>
      </c>
      <c r="N1153" s="6" t="str">
        <f ca="1">IFERROR(__xludf.DUMMYFUNCTION("""COMPUTED_VALUE"""),"06 ORL")</f>
        <v>06 ORL</v>
      </c>
      <c r="O1153" s="6" t="str">
        <f ca="1">IFERROR(__xludf.DUMMYFUNCTION("""COMPUTED_VALUE"""),"Dr, José García Morillas")</f>
        <v>Dr, José García Morillas</v>
      </c>
      <c r="P1153" s="6" t="str">
        <f ca="1">IFERROR(__xludf.DUMMYFUNCTION("""COMPUTED_VALUE"""),"Iván Sánchez (Levante Y Albacete)")</f>
        <v>Iván Sánchez (Levante Y Albacete)</v>
      </c>
    </row>
    <row r="1154" spans="2:16">
      <c r="B1154" s="6">
        <f ca="1">IFERROR(__xludf.DUMMYFUNCTION("""COMPUTED_VALUE"""),2025)</f>
        <v>2025</v>
      </c>
      <c r="C1154" s="6">
        <f ca="1">IFERROR(__xludf.DUMMYFUNCTION("""COMPUTED_VALUE"""),9)</f>
        <v>9</v>
      </c>
      <c r="D1154" s="6" t="str">
        <f ca="1">IFERROR(__xludf.DUMMYFUNCTION("""COMPUTED_VALUE"""),"NO")</f>
        <v>NO</v>
      </c>
      <c r="E1154" s="6" t="str">
        <f ca="1">IFERROR(__xludf.DUMMYFUNCTION("""COMPUTED_VALUE"""),"Orihuela")</f>
        <v>Orihuela</v>
      </c>
      <c r="F1154" s="16">
        <f ca="1">IFERROR(__xludf.DUMMYFUNCTION("""COMPUTED_VALUE"""),45926)</f>
        <v>45926</v>
      </c>
      <c r="G1154" s="16">
        <f ca="1">IFERROR(__xludf.DUMMYFUNCTION("""COMPUTED_VALUE"""),45862)</f>
        <v>45862</v>
      </c>
      <c r="H1154" s="6" t="str">
        <f ca="1">IFERROR(__xludf.DUMMYFUNCTION("""COMPUTED_VALUE"""),"La Zenia")</f>
        <v>La Zenia</v>
      </c>
      <c r="I1154" s="6" t="str">
        <f ca="1">IFERROR(__xludf.DUMMYFUNCTION("""COMPUTED_VALUE"""),"C202572815224502")</f>
        <v>C202572815224502</v>
      </c>
      <c r="J1154" s="6" t="str">
        <f ca="1">IFERROR(__xludf.DUMMYFUNCTION("""COMPUTED_VALUE"""),"PARVIN HOSSEIN ZADEH")</f>
        <v>PARVIN HOSSEIN ZADEH</v>
      </c>
      <c r="K1154" s="6">
        <f ca="1">IFERROR(__xludf.DUMMYFUNCTION("""COMPUTED_VALUE"""),2)</f>
        <v>2</v>
      </c>
      <c r="L1154" s="139">
        <f ca="1">IFERROR(__xludf.DUMMYFUNCTION("""COMPUTED_VALUE"""),2718.18)</f>
        <v>2718.18</v>
      </c>
      <c r="M1154" s="6" t="str">
        <f ca="1">IFERROR(__xludf.DUMMYFUNCTION("""COMPUTED_VALUE"""),"03 ORL")</f>
        <v>03 ORL</v>
      </c>
      <c r="N1154" s="6" t="str">
        <f ca="1">IFERROR(__xludf.DUMMYFUNCTION("""COMPUTED_VALUE"""),"06 ORL")</f>
        <v>06 ORL</v>
      </c>
      <c r="O1154" s="6" t="str">
        <f ca="1">IFERROR(__xludf.DUMMYFUNCTION("""COMPUTED_VALUE"""),"Dra, Paula Hernández Ruíz")</f>
        <v>Dra, Paula Hernández Ruíz</v>
      </c>
      <c r="P1154" s="6" t="str">
        <f ca="1">IFERROR(__xludf.DUMMYFUNCTION("""COMPUTED_VALUE"""),"Iván Sánchez (Levante Y Albacete)")</f>
        <v>Iván Sánchez (Levante Y Albacete)</v>
      </c>
    </row>
    <row r="1155" spans="2:16">
      <c r="B1155" s="6">
        <f ca="1">IFERROR(__xludf.DUMMYFUNCTION("""COMPUTED_VALUE"""),2025)</f>
        <v>2025</v>
      </c>
      <c r="C1155" s="6">
        <f ca="1">IFERROR(__xludf.DUMMYFUNCTION("""COMPUTED_VALUE"""),9)</f>
        <v>9</v>
      </c>
      <c r="D1155" s="6" t="str">
        <f ca="1">IFERROR(__xludf.DUMMYFUNCTION("""COMPUTED_VALUE"""),"NO")</f>
        <v>NO</v>
      </c>
      <c r="E1155" s="6" t="str">
        <f ca="1">IFERROR(__xludf.DUMMYFUNCTION("""COMPUTED_VALUE"""),"Ourense")</f>
        <v>Ourense</v>
      </c>
      <c r="F1155" s="16">
        <f ca="1">IFERROR(__xludf.DUMMYFUNCTION("""COMPUTED_VALUE"""),45930)</f>
        <v>45930</v>
      </c>
      <c r="G1155" s="16">
        <f ca="1">IFERROR(__xludf.DUMMYFUNCTION("""COMPUTED_VALUE"""),45875)</f>
        <v>45875</v>
      </c>
      <c r="H1155" s="6" t="str">
        <f ca="1">IFERROR(__xludf.DUMMYFUNCTION("""COMPUTED_VALUE"""),"Orense")</f>
        <v>Orense</v>
      </c>
      <c r="I1155" s="6" t="str">
        <f ca="1">IFERROR(__xludf.DUMMYFUNCTION("""COMPUTED_VALUE"""),"C202587113137242")</f>
        <v>C202587113137242</v>
      </c>
      <c r="J1155" s="6" t="str">
        <f ca="1">IFERROR(__xludf.DUMMYFUNCTION("""COMPUTED_VALUE"""),"DORINDA SALGADO VILA")</f>
        <v>DORINDA SALGADO VILA</v>
      </c>
      <c r="K1155" s="6">
        <f ca="1">IFERROR(__xludf.DUMMYFUNCTION("""COMPUTED_VALUE"""),2)</f>
        <v>2</v>
      </c>
      <c r="L1155" s="139">
        <f ca="1">IFERROR(__xludf.DUMMYFUNCTION("""COMPUTED_VALUE"""),3631.82)</f>
        <v>3631.82</v>
      </c>
      <c r="M1155" s="6" t="str">
        <f ca="1">IFERROR(__xludf.DUMMYFUNCTION("""COMPUTED_VALUE"""),"03 ORL")</f>
        <v>03 ORL</v>
      </c>
      <c r="N1155" s="6" t="str">
        <f ca="1">IFERROR(__xludf.DUMMYFUNCTION("""COMPUTED_VALUE"""),"06 ORL")</f>
        <v>06 ORL</v>
      </c>
      <c r="O1155" s="6" t="str">
        <f ca="1">IFERROR(__xludf.DUMMYFUNCTION("""COMPUTED_VALUE"""),"No recuerda ORL")</f>
        <v>No recuerda ORL</v>
      </c>
      <c r="P1155" s="6" t="str">
        <f ca="1">IFERROR(__xludf.DUMMYFUNCTION("""COMPUTED_VALUE"""),"Roberto Pereira (Galicia)")</f>
        <v>Roberto Pereira (Galicia)</v>
      </c>
    </row>
    <row r="1156" spans="2:16">
      <c r="B1156" s="6">
        <f ca="1">IFERROR(__xludf.DUMMYFUNCTION("""COMPUTED_VALUE"""),2025)</f>
        <v>2025</v>
      </c>
      <c r="C1156" s="6">
        <f ca="1">IFERROR(__xludf.DUMMYFUNCTION("""COMPUTED_VALUE"""),9)</f>
        <v>9</v>
      </c>
      <c r="D1156" s="6" t="str">
        <f ca="1">IFERROR(__xludf.DUMMYFUNCTION("""COMPUTED_VALUE"""),"NO")</f>
        <v>NO</v>
      </c>
      <c r="E1156" s="6" t="str">
        <f ca="1">IFERROR(__xludf.DUMMYFUNCTION("""COMPUTED_VALUE"""),"Ourense")</f>
        <v>Ourense</v>
      </c>
      <c r="F1156" s="16">
        <f ca="1">IFERROR(__xludf.DUMMYFUNCTION("""COMPUTED_VALUE"""),45902)</f>
        <v>45902</v>
      </c>
      <c r="G1156" s="16">
        <f ca="1">IFERROR(__xludf.DUMMYFUNCTION("""COMPUTED_VALUE"""),45862)</f>
        <v>45862</v>
      </c>
      <c r="H1156" s="6" t="str">
        <f ca="1">IFERROR(__xludf.DUMMYFUNCTION("""COMPUTED_VALUE"""),"Orense")</f>
        <v>Orense</v>
      </c>
      <c r="I1156" s="6" t="str">
        <f ca="1">IFERROR(__xludf.DUMMYFUNCTION("""COMPUTED_VALUE"""),"C202572912645144")</f>
        <v>C202572912645144</v>
      </c>
      <c r="J1156" s="6" t="str">
        <f ca="1">IFERROR(__xludf.DUMMYFUNCTION("""COMPUTED_VALUE"""),"JOSEFA CELESTE GONZALEZ VISPO")</f>
        <v>JOSEFA CELESTE GONZALEZ VISPO</v>
      </c>
      <c r="K1156" s="6">
        <f ca="1">IFERROR(__xludf.DUMMYFUNCTION("""COMPUTED_VALUE"""),1)</f>
        <v>1</v>
      </c>
      <c r="L1156" s="139">
        <f ca="1">IFERROR(__xludf.DUMMYFUNCTION("""COMPUTED_VALUE"""),1631.82)</f>
        <v>1631.82</v>
      </c>
      <c r="M1156" s="6" t="str">
        <f ca="1">IFERROR(__xludf.DUMMYFUNCTION("""COMPUTED_VALUE"""),"03 ORL")</f>
        <v>03 ORL</v>
      </c>
      <c r="N1156" s="6" t="str">
        <f ca="1">IFERROR(__xludf.DUMMYFUNCTION("""COMPUTED_VALUE"""),"06 ORL")</f>
        <v>06 ORL</v>
      </c>
      <c r="O1156" s="6" t="str">
        <f ca="1">IFERROR(__xludf.DUMMYFUNCTION("""COMPUTED_VALUE"""),"No recuerda ORL")</f>
        <v>No recuerda ORL</v>
      </c>
      <c r="P1156" s="6" t="str">
        <f ca="1">IFERROR(__xludf.DUMMYFUNCTION("""COMPUTED_VALUE"""),"Roberto Pereira (Galicia)")</f>
        <v>Roberto Pereira (Galicia)</v>
      </c>
    </row>
    <row r="1157" spans="2:16">
      <c r="B1157" s="6">
        <f ca="1">IFERROR(__xludf.DUMMYFUNCTION("""COMPUTED_VALUE"""),2025)</f>
        <v>2025</v>
      </c>
      <c r="C1157" s="6">
        <f ca="1">IFERROR(__xludf.DUMMYFUNCTION("""COMPUTED_VALUE"""),9)</f>
        <v>9</v>
      </c>
      <c r="D1157" s="6" t="str">
        <f ca="1">IFERROR(__xludf.DUMMYFUNCTION("""COMPUTED_VALUE"""),"NO")</f>
        <v>NO</v>
      </c>
      <c r="E1157" s="6" t="str">
        <f ca="1">IFERROR(__xludf.DUMMYFUNCTION("""COMPUTED_VALUE"""),"Ourense")</f>
        <v>Ourense</v>
      </c>
      <c r="F1157" s="16">
        <f ca="1">IFERROR(__xludf.DUMMYFUNCTION("""COMPUTED_VALUE"""),45904)</f>
        <v>45904</v>
      </c>
      <c r="G1157" s="16">
        <f ca="1">IFERROR(__xludf.DUMMYFUNCTION("""COMPUTED_VALUE"""),45849)</f>
        <v>45849</v>
      </c>
      <c r="H1157" s="6" t="str">
        <f ca="1">IFERROR(__xludf.DUMMYFUNCTION("""COMPUTED_VALUE"""),"Orense")</f>
        <v>Orense</v>
      </c>
      <c r="I1157" s="6" t="str">
        <f ca="1">IFERROR(__xludf.DUMMYFUNCTION("""COMPUTED_VALUE"""),"C20257149364853")</f>
        <v>C20257149364853</v>
      </c>
      <c r="J1157" s="6" t="str">
        <f ca="1">IFERROR(__xludf.DUMMYFUNCTION("""COMPUTED_VALUE"""),"JUAN CUMBRADO GRANDE")</f>
        <v>JUAN CUMBRADO GRANDE</v>
      </c>
      <c r="K1157" s="6">
        <f ca="1">IFERROR(__xludf.DUMMYFUNCTION("""COMPUTED_VALUE"""),1)</f>
        <v>1</v>
      </c>
      <c r="L1157" s="139">
        <f ca="1">IFERROR(__xludf.DUMMYFUNCTION("""COMPUTED_VALUE"""),2045.45)</f>
        <v>2045.45</v>
      </c>
      <c r="M1157" s="6" t="str">
        <f ca="1">IFERROR(__xludf.DUMMYFUNCTION("""COMPUTED_VALUE"""),"03 ORL")</f>
        <v>03 ORL</v>
      </c>
      <c r="N1157" s="6" t="str">
        <f ca="1">IFERROR(__xludf.DUMMYFUNCTION("""COMPUTED_VALUE"""),"06 ORL")</f>
        <v>06 ORL</v>
      </c>
      <c r="O1157" s="6" t="str">
        <f ca="1">IFERROR(__xludf.DUMMYFUNCTION("""COMPUTED_VALUE"""),"Dra, Ana Quintana Sanjuan")</f>
        <v>Dra, Ana Quintana Sanjuan</v>
      </c>
      <c r="P1157" s="6" t="str">
        <f ca="1">IFERROR(__xludf.DUMMYFUNCTION("""COMPUTED_VALUE"""),"Roberto Pereira (Galicia)")</f>
        <v>Roberto Pereira (Galicia)</v>
      </c>
    </row>
    <row r="1158" spans="2:16">
      <c r="B1158" s="6">
        <f ca="1">IFERROR(__xludf.DUMMYFUNCTION("""COMPUTED_VALUE"""),2025)</f>
        <v>2025</v>
      </c>
      <c r="C1158" s="6">
        <f ca="1">IFERROR(__xludf.DUMMYFUNCTION("""COMPUTED_VALUE"""),9)</f>
        <v>9</v>
      </c>
      <c r="D1158" s="6" t="str">
        <f ca="1">IFERROR(__xludf.DUMMYFUNCTION("""COMPUTED_VALUE"""),"NO")</f>
        <v>NO</v>
      </c>
      <c r="E1158" s="6" t="str">
        <f ca="1">IFERROR(__xludf.DUMMYFUNCTION("""COMPUTED_VALUE"""),"San Javier")</f>
        <v>San Javier</v>
      </c>
      <c r="F1158" s="16">
        <f ca="1">IFERROR(__xludf.DUMMYFUNCTION("""COMPUTED_VALUE"""),45915)</f>
        <v>45915</v>
      </c>
      <c r="G1158" s="16">
        <f ca="1">IFERROR(__xludf.DUMMYFUNCTION("""COMPUTED_VALUE"""),45875)</f>
        <v>45875</v>
      </c>
      <c r="H1158" s="6" t="str">
        <f ca="1">IFERROR(__xludf.DUMMYFUNCTION("""COMPUTED_VALUE"""),"San Javier")</f>
        <v>San Javier</v>
      </c>
      <c r="I1158" s="6" t="str">
        <f ca="1">IFERROR(__xludf.DUMMYFUNCTION("""COMPUTED_VALUE"""),"C202588114736810")</f>
        <v>C202588114736810</v>
      </c>
      <c r="J1158" s="6" t="str">
        <f ca="1">IFERROR(__xludf.DUMMYFUNCTION("""COMPUTED_VALUE"""),"ANA MESEGUER HERNANDEZ")</f>
        <v>ANA MESEGUER HERNANDEZ</v>
      </c>
      <c r="K1158" s="6">
        <f ca="1">IFERROR(__xludf.DUMMYFUNCTION("""COMPUTED_VALUE"""),2)</f>
        <v>2</v>
      </c>
      <c r="L1158" s="139">
        <f ca="1">IFERROR(__xludf.DUMMYFUNCTION("""COMPUTED_VALUE"""),3631.82)</f>
        <v>3631.82</v>
      </c>
      <c r="M1158" s="6" t="str">
        <f ca="1">IFERROR(__xludf.DUMMYFUNCTION("""COMPUTED_VALUE"""),"03 ORL")</f>
        <v>03 ORL</v>
      </c>
      <c r="N1158" s="6" t="str">
        <f ca="1">IFERROR(__xludf.DUMMYFUNCTION("""COMPUTED_VALUE"""),"06 ORL")</f>
        <v>06 ORL</v>
      </c>
      <c r="O1158" s="6" t="str">
        <f ca="1">IFERROR(__xludf.DUMMYFUNCTION("""COMPUTED_VALUE"""),"Dr, Rubén Moreno Arrones")</f>
        <v>Dr, Rubén Moreno Arrones</v>
      </c>
      <c r="P1158" s="6" t="str">
        <f ca="1">IFERROR(__xludf.DUMMYFUNCTION("""COMPUTED_VALUE"""),"Iván Sánchez (Levante Y Albacete)")</f>
        <v>Iván Sánchez (Levante Y Albacete)</v>
      </c>
    </row>
    <row r="1159" spans="2:16">
      <c r="B1159" s="6">
        <f ca="1">IFERROR(__xludf.DUMMYFUNCTION("""COMPUTED_VALUE"""),2025)</f>
        <v>2025</v>
      </c>
      <c r="C1159" s="6">
        <f ca="1">IFERROR(__xludf.DUMMYFUNCTION("""COMPUTED_VALUE"""),9)</f>
        <v>9</v>
      </c>
      <c r="D1159" s="6" t="str">
        <f ca="1">IFERROR(__xludf.DUMMYFUNCTION("""COMPUTED_VALUE"""),"NO")</f>
        <v>NO</v>
      </c>
      <c r="E1159" s="6" t="str">
        <f ca="1">IFERROR(__xludf.DUMMYFUNCTION("""COMPUTED_VALUE"""),"San Javier")</f>
        <v>San Javier</v>
      </c>
      <c r="F1159" s="16">
        <f ca="1">IFERROR(__xludf.DUMMYFUNCTION("""COMPUTED_VALUE"""),45922)</f>
        <v>45922</v>
      </c>
      <c r="G1159" s="16">
        <f ca="1">IFERROR(__xludf.DUMMYFUNCTION("""COMPUTED_VALUE"""),45862)</f>
        <v>45862</v>
      </c>
      <c r="H1159" s="6" t="str">
        <f ca="1">IFERROR(__xludf.DUMMYFUNCTION("""COMPUTED_VALUE"""),"San Javier")</f>
        <v>San Javier</v>
      </c>
      <c r="I1159" s="6" t="str">
        <f ca="1">IFERROR(__xludf.DUMMYFUNCTION("""COMPUTED_VALUE"""),"C202572416303646")</f>
        <v>C202572416303646</v>
      </c>
      <c r="J1159" s="6" t="str">
        <f ca="1">IFERROR(__xludf.DUMMYFUNCTION("""COMPUTED_VALUE"""),"GONZALO CORRAL BEAS")</f>
        <v>GONZALO CORRAL BEAS</v>
      </c>
      <c r="K1159" s="6">
        <f ca="1">IFERROR(__xludf.DUMMYFUNCTION("""COMPUTED_VALUE"""),1)</f>
        <v>1</v>
      </c>
      <c r="L1159" s="139">
        <f ca="1">IFERROR(__xludf.DUMMYFUNCTION("""COMPUTED_VALUE"""),2481.82)</f>
        <v>2481.8200000000002</v>
      </c>
      <c r="M1159" s="6" t="str">
        <f ca="1">IFERROR(__xludf.DUMMYFUNCTION("""COMPUTED_VALUE"""),"03 ORL")</f>
        <v>03 ORL</v>
      </c>
      <c r="N1159" s="6" t="str">
        <f ca="1">IFERROR(__xludf.DUMMYFUNCTION("""COMPUTED_VALUE"""),"06 ORL")</f>
        <v>06 ORL</v>
      </c>
      <c r="O1159" s="6" t="str">
        <f ca="1">IFERROR(__xludf.DUMMYFUNCTION("""COMPUTED_VALUE"""),"Dr, Alberto Raposo Jiménez")</f>
        <v>Dr, Alberto Raposo Jiménez</v>
      </c>
      <c r="P1159" s="6" t="str">
        <f ca="1">IFERROR(__xludf.DUMMYFUNCTION("""COMPUTED_VALUE"""),"Iván Sánchez (Levante Y Albacete)")</f>
        <v>Iván Sánchez (Levante Y Albacete)</v>
      </c>
    </row>
    <row r="1160" spans="2:16">
      <c r="B1160" s="6">
        <f ca="1">IFERROR(__xludf.DUMMYFUNCTION("""COMPUTED_VALUE"""),2025)</f>
        <v>2025</v>
      </c>
      <c r="C1160" s="6">
        <f ca="1">IFERROR(__xludf.DUMMYFUNCTION("""COMPUTED_VALUE"""),9)</f>
        <v>9</v>
      </c>
      <c r="D1160" s="6" t="str">
        <f ca="1">IFERROR(__xludf.DUMMYFUNCTION("""COMPUTED_VALUE"""),"NO")</f>
        <v>NO</v>
      </c>
      <c r="E1160" s="6" t="str">
        <f ca="1">IFERROR(__xludf.DUMMYFUNCTION("""COMPUTED_VALUE"""),"San Javier")</f>
        <v>San Javier</v>
      </c>
      <c r="F1160" s="16">
        <f ca="1">IFERROR(__xludf.DUMMYFUNCTION("""COMPUTED_VALUE"""),45926)</f>
        <v>45926</v>
      </c>
      <c r="G1160" s="16">
        <f ca="1">IFERROR(__xludf.DUMMYFUNCTION("""COMPUTED_VALUE"""),45909)</f>
        <v>45909</v>
      </c>
      <c r="H1160" s="6" t="str">
        <f ca="1">IFERROR(__xludf.DUMMYFUNCTION("""COMPUTED_VALUE"""),"San Javier")</f>
        <v>San Javier</v>
      </c>
      <c r="I1160" s="6" t="str">
        <f ca="1">IFERROR(__xludf.DUMMYFUNCTION("""COMPUTED_VALUE"""),"C2025916123433783")</f>
        <v>C2025916123433783</v>
      </c>
      <c r="J1160" s="6" t="str">
        <f ca="1">IFERROR(__xludf.DUMMYFUNCTION("""COMPUTED_VALUE"""),"JOSEFA MARTINEZ OSETE")</f>
        <v>JOSEFA MARTINEZ OSETE</v>
      </c>
      <c r="K1160" s="6">
        <f ca="1">IFERROR(__xludf.DUMMYFUNCTION("""COMPUTED_VALUE"""),1)</f>
        <v>1</v>
      </c>
      <c r="L1160" s="139">
        <f ca="1">IFERROR(__xludf.DUMMYFUNCTION("""COMPUTED_VALUE"""),1631.82)</f>
        <v>1631.82</v>
      </c>
      <c r="M1160" s="6" t="str">
        <f ca="1">IFERROR(__xludf.DUMMYFUNCTION("""COMPUTED_VALUE"""),"03 ORL")</f>
        <v>03 ORL</v>
      </c>
      <c r="N1160" s="6" t="str">
        <f ca="1">IFERROR(__xludf.DUMMYFUNCTION("""COMPUTED_VALUE"""),"06 ORL")</f>
        <v>06 ORL</v>
      </c>
      <c r="O1160" s="6" t="str">
        <f ca="1">IFERROR(__xludf.DUMMYFUNCTION("""COMPUTED_VALUE"""),"Dr, Rubén Moreno Arrones")</f>
        <v>Dr, Rubén Moreno Arrones</v>
      </c>
      <c r="P1160" s="6" t="str">
        <f ca="1">IFERROR(__xludf.DUMMYFUNCTION("""COMPUTED_VALUE"""),"Iván Sánchez (Levante Y Albacete)")</f>
        <v>Iván Sánchez (Levante Y Albacete)</v>
      </c>
    </row>
    <row r="1161" spans="2:16">
      <c r="B1161" s="6">
        <f ca="1">IFERROR(__xludf.DUMMYFUNCTION("""COMPUTED_VALUE"""),2025)</f>
        <v>2025</v>
      </c>
      <c r="C1161" s="6">
        <f ca="1">IFERROR(__xludf.DUMMYFUNCTION("""COMPUTED_VALUE"""),9)</f>
        <v>9</v>
      </c>
      <c r="D1161" s="6" t="str">
        <f ca="1">IFERROR(__xludf.DUMMYFUNCTION("""COMPUTED_VALUE"""),"NO")</f>
        <v>NO</v>
      </c>
      <c r="E1161" s="6" t="str">
        <f ca="1">IFERROR(__xludf.DUMMYFUNCTION("""COMPUTED_VALUE"""),"Santiago de Compostela")</f>
        <v>Santiago de Compostela</v>
      </c>
      <c r="F1161" s="16">
        <f ca="1">IFERROR(__xludf.DUMMYFUNCTION("""COMPUTED_VALUE"""),45919)</f>
        <v>45919</v>
      </c>
      <c r="G1161" s="16">
        <f ca="1">IFERROR(__xludf.DUMMYFUNCTION("""COMPUTED_VALUE"""),45902)</f>
        <v>45902</v>
      </c>
      <c r="H1161" s="6" t="str">
        <f ca="1">IFERROR(__xludf.DUMMYFUNCTION("""COMPUTED_VALUE"""),"Santiago")</f>
        <v>Santiago</v>
      </c>
      <c r="I1161" s="6" t="str">
        <f ca="1">IFERROR(__xludf.DUMMYFUNCTION("""COMPUTED_VALUE"""),"C20259510647702")</f>
        <v>C20259510647702</v>
      </c>
      <c r="J1161" s="6" t="str">
        <f ca="1">IFERROR(__xludf.DUMMYFUNCTION("""COMPUTED_VALUE"""),"CARLOS MOSTEIRO SANCHEZ")</f>
        <v>CARLOS MOSTEIRO SANCHEZ</v>
      </c>
      <c r="K1161" s="6">
        <f ca="1">IFERROR(__xludf.DUMMYFUNCTION("""COMPUTED_VALUE"""),2)</f>
        <v>2</v>
      </c>
      <c r="L1161" s="139">
        <f ca="1">IFERROR(__xludf.DUMMYFUNCTION("""COMPUTED_VALUE"""),3631.82)</f>
        <v>3631.82</v>
      </c>
      <c r="M1161" s="6" t="str">
        <f ca="1">IFERROR(__xludf.DUMMYFUNCTION("""COMPUTED_VALUE"""),"03 ORL")</f>
        <v>03 ORL</v>
      </c>
      <c r="N1161" s="6" t="str">
        <f ca="1">IFERROR(__xludf.DUMMYFUNCTION("""COMPUTED_VALUE"""),"06 ORL")</f>
        <v>06 ORL</v>
      </c>
      <c r="O1161" s="6" t="str">
        <f ca="1">IFERROR(__xludf.DUMMYFUNCTION("""COMPUTED_VALUE"""),"Dra, Isabel Vaamonde Sanchez Andrade")</f>
        <v>Dra, Isabel Vaamonde Sanchez Andrade</v>
      </c>
      <c r="P1161" s="6" t="str">
        <f ca="1">IFERROR(__xludf.DUMMYFUNCTION("""COMPUTED_VALUE"""),"Roberto Pereira (Galicia)")</f>
        <v>Roberto Pereira (Galicia)</v>
      </c>
    </row>
    <row r="1162" spans="2:16">
      <c r="B1162" s="6">
        <f ca="1">IFERROR(__xludf.DUMMYFUNCTION("""COMPUTED_VALUE"""),2025)</f>
        <v>2025</v>
      </c>
      <c r="C1162" s="6">
        <f ca="1">IFERROR(__xludf.DUMMYFUNCTION("""COMPUTED_VALUE"""),9)</f>
        <v>9</v>
      </c>
      <c r="D1162" s="6" t="str">
        <f ca="1">IFERROR(__xludf.DUMMYFUNCTION("""COMPUTED_VALUE"""),"NO")</f>
        <v>NO</v>
      </c>
      <c r="E1162" s="6" t="str">
        <f ca="1">IFERROR(__xludf.DUMMYFUNCTION("""COMPUTED_VALUE"""),"Santiago de Compostela")</f>
        <v>Santiago de Compostela</v>
      </c>
      <c r="F1162" s="16">
        <f ca="1">IFERROR(__xludf.DUMMYFUNCTION("""COMPUTED_VALUE"""),45905)</f>
        <v>45905</v>
      </c>
      <c r="G1162" s="16">
        <f ca="1">IFERROR(__xludf.DUMMYFUNCTION("""COMPUTED_VALUE"""),45867)</f>
        <v>45867</v>
      </c>
      <c r="H1162" s="6" t="str">
        <f ca="1">IFERROR(__xludf.DUMMYFUNCTION("""COMPUTED_VALUE"""),"Santiago")</f>
        <v>Santiago</v>
      </c>
      <c r="I1162" s="6" t="str">
        <f ca="1">IFERROR(__xludf.DUMMYFUNCTION("""COMPUTED_VALUE"""),"C2025730112237206")</f>
        <v>C2025730112237206</v>
      </c>
      <c r="J1162" s="6" t="str">
        <f ca="1">IFERROR(__xludf.DUMMYFUNCTION("""COMPUTED_VALUE"""),"MARIA DOLORES  COUCEIRO GONZALEZ")</f>
        <v>MARIA DOLORES  COUCEIRO GONZALEZ</v>
      </c>
      <c r="K1162" s="6">
        <f ca="1">IFERROR(__xludf.DUMMYFUNCTION("""COMPUTED_VALUE"""),2)</f>
        <v>2</v>
      </c>
      <c r="L1162" s="139">
        <f ca="1">IFERROR(__xludf.DUMMYFUNCTION("""COMPUTED_VALUE"""),4309.55)</f>
        <v>4309.55</v>
      </c>
      <c r="M1162" s="6" t="str">
        <f ca="1">IFERROR(__xludf.DUMMYFUNCTION("""COMPUTED_VALUE"""),"03 ORL")</f>
        <v>03 ORL</v>
      </c>
      <c r="N1162" s="6" t="str">
        <f ca="1">IFERROR(__xludf.DUMMYFUNCTION("""COMPUTED_VALUE"""),"06 ORL")</f>
        <v>06 ORL</v>
      </c>
      <c r="O1162" s="6" t="str">
        <f ca="1">IFERROR(__xludf.DUMMYFUNCTION("""COMPUTED_VALUE"""),"Dra, Isabel Vaamonde Sanchez Andrade")</f>
        <v>Dra, Isabel Vaamonde Sanchez Andrade</v>
      </c>
      <c r="P1162" s="6" t="str">
        <f ca="1">IFERROR(__xludf.DUMMYFUNCTION("""COMPUTED_VALUE"""),"Roberto Pereira (Galicia)")</f>
        <v>Roberto Pereira (Galicia)</v>
      </c>
    </row>
    <row r="1163" spans="2:16">
      <c r="B1163" s="6">
        <f ca="1">IFERROR(__xludf.DUMMYFUNCTION("""COMPUTED_VALUE"""),2025)</f>
        <v>2025</v>
      </c>
      <c r="C1163" s="6">
        <f ca="1">IFERROR(__xludf.DUMMYFUNCTION("""COMPUTED_VALUE"""),9)</f>
        <v>9</v>
      </c>
      <c r="D1163" s="6" t="str">
        <f ca="1">IFERROR(__xludf.DUMMYFUNCTION("""COMPUTED_VALUE"""),"NO")</f>
        <v>NO</v>
      </c>
      <c r="E1163" s="6" t="str">
        <f ca="1">IFERROR(__xludf.DUMMYFUNCTION("""COMPUTED_VALUE"""),"Sevilla- Montoto")</f>
        <v>Sevilla- Montoto</v>
      </c>
      <c r="F1163" s="16">
        <f ca="1">IFERROR(__xludf.DUMMYFUNCTION("""COMPUTED_VALUE"""),45917)</f>
        <v>45917</v>
      </c>
      <c r="G1163" s="16">
        <f ca="1">IFERROR(__xludf.DUMMYFUNCTION("""COMPUTED_VALUE"""),45831)</f>
        <v>45831</v>
      </c>
      <c r="H1163" s="6" t="str">
        <f ca="1">IFERROR(__xludf.DUMMYFUNCTION("""COMPUTED_VALUE"""),"Montoto")</f>
        <v>Montoto</v>
      </c>
      <c r="I1163" s="6" t="str">
        <f ca="1">IFERROR(__xludf.DUMMYFUNCTION("""COMPUTED_VALUE"""),"C2025624155632351")</f>
        <v>C2025624155632351</v>
      </c>
      <c r="J1163" s="6" t="str">
        <f ca="1">IFERROR(__xludf.DUMMYFUNCTION("""COMPUTED_VALUE"""),"ALEXIS SALAS GALINDO")</f>
        <v>ALEXIS SALAS GALINDO</v>
      </c>
      <c r="K1163" s="6">
        <f ca="1">IFERROR(__xludf.DUMMYFUNCTION("""COMPUTED_VALUE"""),2)</f>
        <v>2</v>
      </c>
      <c r="L1163" s="139">
        <f ca="1">IFERROR(__xludf.DUMMYFUNCTION("""COMPUTED_VALUE"""),4531.82)</f>
        <v>4531.82</v>
      </c>
      <c r="M1163" s="6" t="str">
        <f ca="1">IFERROR(__xludf.DUMMYFUNCTION("""COMPUTED_VALUE"""),"03 ORL")</f>
        <v>03 ORL</v>
      </c>
      <c r="N1163" s="6" t="str">
        <f ca="1">IFERROR(__xludf.DUMMYFUNCTION("""COMPUTED_VALUE"""),"06 ORL")</f>
        <v>06 ORL</v>
      </c>
      <c r="O1163" s="6" t="str">
        <f ca="1">IFERROR(__xludf.DUMMYFUNCTION("""COMPUTED_VALUE"""),"Dra, Paloma Martín Díaz")</f>
        <v>Dra, Paloma Martín Díaz</v>
      </c>
      <c r="P1163" s="6" t="str">
        <f ca="1">IFERROR(__xludf.DUMMYFUNCTION("""COMPUTED_VALUE"""),"Luis Alberto Rodríguez (Andalucía y Badajoz)")</f>
        <v>Luis Alberto Rodríguez (Andalucía y Badajoz)</v>
      </c>
    </row>
    <row r="1164" spans="2:16">
      <c r="B1164" s="6">
        <f ca="1">IFERROR(__xludf.DUMMYFUNCTION("""COMPUTED_VALUE"""),2025)</f>
        <v>2025</v>
      </c>
      <c r="C1164" s="6">
        <f ca="1">IFERROR(__xludf.DUMMYFUNCTION("""COMPUTED_VALUE"""),9)</f>
        <v>9</v>
      </c>
      <c r="D1164" s="6" t="str">
        <f ca="1">IFERROR(__xludf.DUMMYFUNCTION("""COMPUTED_VALUE"""),"NO")</f>
        <v>NO</v>
      </c>
      <c r="E1164" s="6" t="str">
        <f ca="1">IFERROR(__xludf.DUMMYFUNCTION("""COMPUTED_VALUE"""),"Sevilla- Montoto")</f>
        <v>Sevilla- Montoto</v>
      </c>
      <c r="F1164" s="16">
        <f ca="1">IFERROR(__xludf.DUMMYFUNCTION("""COMPUTED_VALUE"""),45930)</f>
        <v>45930</v>
      </c>
      <c r="G1164" s="16">
        <f ca="1">IFERROR(__xludf.DUMMYFUNCTION("""COMPUTED_VALUE"""),45860)</f>
        <v>45860</v>
      </c>
      <c r="H1164" s="6" t="str">
        <f ca="1">IFERROR(__xludf.DUMMYFUNCTION("""COMPUTED_VALUE"""),"Montoto")</f>
        <v>Montoto</v>
      </c>
      <c r="I1164" s="6" t="str">
        <f ca="1">IFERROR(__xludf.DUMMYFUNCTION("""COMPUTED_VALUE"""),"C202572910510409")</f>
        <v>C202572910510409</v>
      </c>
      <c r="J1164" s="6" t="str">
        <f ca="1">IFERROR(__xludf.DUMMYFUNCTION("""COMPUTED_VALUE"""),"ELVIRA SANCHEZ MAQUEDA")</f>
        <v>ELVIRA SANCHEZ MAQUEDA</v>
      </c>
      <c r="K1164" s="6">
        <f ca="1">IFERROR(__xludf.DUMMYFUNCTION("""COMPUTED_VALUE"""),1)</f>
        <v>1</v>
      </c>
      <c r="L1164" s="139">
        <f ca="1">IFERROR(__xludf.DUMMYFUNCTION("""COMPUTED_VALUE"""),2481.82)</f>
        <v>2481.8200000000002</v>
      </c>
      <c r="M1164" s="6" t="str">
        <f ca="1">IFERROR(__xludf.DUMMYFUNCTION("""COMPUTED_VALUE"""),"03 ORL")</f>
        <v>03 ORL</v>
      </c>
      <c r="N1164" s="6" t="str">
        <f ca="1">IFERROR(__xludf.DUMMYFUNCTION("""COMPUTED_VALUE"""),"06 ORL")</f>
        <v>06 ORL</v>
      </c>
      <c r="O1164" s="6" t="str">
        <f ca="1">IFERROR(__xludf.DUMMYFUNCTION("""COMPUTED_VALUE"""),"Dra, Estefanía Berrocal Postigo")</f>
        <v>Dra, Estefanía Berrocal Postigo</v>
      </c>
      <c r="P1164" s="6" t="str">
        <f ca="1">IFERROR(__xludf.DUMMYFUNCTION("""COMPUTED_VALUE"""),"Luis Alberto Rodríguez (Andalucía y Badajoz)")</f>
        <v>Luis Alberto Rodríguez (Andalucía y Badajoz)</v>
      </c>
    </row>
    <row r="1165" spans="2:16">
      <c r="B1165" s="6">
        <f ca="1">IFERROR(__xludf.DUMMYFUNCTION("""COMPUTED_VALUE"""),2025)</f>
        <v>2025</v>
      </c>
      <c r="C1165" s="6">
        <f ca="1">IFERROR(__xludf.DUMMYFUNCTION("""COMPUTED_VALUE"""),9)</f>
        <v>9</v>
      </c>
      <c r="D1165" s="6" t="str">
        <f ca="1">IFERROR(__xludf.DUMMYFUNCTION("""COMPUTED_VALUE"""),"NO")</f>
        <v>NO</v>
      </c>
      <c r="E1165" s="6" t="str">
        <f ca="1">IFERROR(__xludf.DUMMYFUNCTION("""COMPUTED_VALUE"""),"Sevilla- Montoto")</f>
        <v>Sevilla- Montoto</v>
      </c>
      <c r="F1165" s="16">
        <f ca="1">IFERROR(__xludf.DUMMYFUNCTION("""COMPUTED_VALUE"""),45925)</f>
        <v>45925</v>
      </c>
      <c r="G1165" s="16">
        <f ca="1">IFERROR(__xludf.DUMMYFUNCTION("""COMPUTED_VALUE"""),45867)</f>
        <v>45867</v>
      </c>
      <c r="H1165" s="6" t="str">
        <f ca="1">IFERROR(__xludf.DUMMYFUNCTION("""COMPUTED_VALUE"""),"Montoto")</f>
        <v>Montoto</v>
      </c>
      <c r="I1165" s="6" t="str">
        <f ca="1">IFERROR(__xludf.DUMMYFUNCTION("""COMPUTED_VALUE"""),"C202584121523354")</f>
        <v>C202584121523354</v>
      </c>
      <c r="J1165" s="6" t="str">
        <f ca="1">IFERROR(__xludf.DUMMYFUNCTION("""COMPUTED_VALUE"""),"JESUS MEDINA ALADRO")</f>
        <v>JESUS MEDINA ALADRO</v>
      </c>
      <c r="K1165" s="6">
        <f ca="1">IFERROR(__xludf.DUMMYFUNCTION("""COMPUTED_VALUE"""),2)</f>
        <v>2</v>
      </c>
      <c r="L1165" s="139">
        <f ca="1">IFERROR(__xludf.DUMMYFUNCTION("""COMPUTED_VALUE"""),4309.55)</f>
        <v>4309.55</v>
      </c>
      <c r="M1165" s="6" t="str">
        <f ca="1">IFERROR(__xludf.DUMMYFUNCTION("""COMPUTED_VALUE"""),"01 MARKETING ON LINE")</f>
        <v>01 MARKETING ON LINE</v>
      </c>
      <c r="N1165" s="6" t="str">
        <f ca="1">IFERROR(__xludf.DUMMYFUNCTION("""COMPUTED_VALUE"""),"04 AUDIFONO,ES")</f>
        <v>04 AUDIFONO,ES</v>
      </c>
      <c r="O1165" s="6" t="str">
        <f ca="1">IFERROR(__xludf.DUMMYFUNCTION("""COMPUTED_VALUE"""),"Dra, Noelia García García")</f>
        <v>Dra, Noelia García García</v>
      </c>
      <c r="P1165" s="6" t="str">
        <f ca="1">IFERROR(__xludf.DUMMYFUNCTION("""COMPUTED_VALUE"""),"Luis Alberto Rodríguez (Andalucía y Badajoz)")</f>
        <v>Luis Alberto Rodríguez (Andalucía y Badajoz)</v>
      </c>
    </row>
    <row r="1166" spans="2:16">
      <c r="B1166" s="6">
        <f ca="1">IFERROR(__xludf.DUMMYFUNCTION("""COMPUTED_VALUE"""),2025)</f>
        <v>2025</v>
      </c>
      <c r="C1166" s="6">
        <f ca="1">IFERROR(__xludf.DUMMYFUNCTION("""COMPUTED_VALUE"""),9)</f>
        <v>9</v>
      </c>
      <c r="D1166" s="6" t="str">
        <f ca="1">IFERROR(__xludf.DUMMYFUNCTION("""COMPUTED_VALUE"""),"NO")</f>
        <v>NO</v>
      </c>
      <c r="E1166" s="6" t="str">
        <f ca="1">IFERROR(__xludf.DUMMYFUNCTION("""COMPUTED_VALUE"""),"Sevilla- Montoto")</f>
        <v>Sevilla- Montoto</v>
      </c>
      <c r="F1166" s="16">
        <f ca="1">IFERROR(__xludf.DUMMYFUNCTION("""COMPUTED_VALUE"""),45918)</f>
        <v>45918</v>
      </c>
      <c r="G1166" s="16">
        <f ca="1">IFERROR(__xludf.DUMMYFUNCTION("""COMPUTED_VALUE"""),45868)</f>
        <v>45868</v>
      </c>
      <c r="H1166" s="6" t="str">
        <f ca="1">IFERROR(__xludf.DUMMYFUNCTION("""COMPUTED_VALUE"""),"Montoto")</f>
        <v>Montoto</v>
      </c>
      <c r="I1166" s="6" t="str">
        <f ca="1">IFERROR(__xludf.DUMMYFUNCTION("""COMPUTED_VALUE"""),"C20259210293860")</f>
        <v>C20259210293860</v>
      </c>
      <c r="J1166" s="6" t="str">
        <f ca="1">IFERROR(__xludf.DUMMYFUNCTION("""COMPUTED_VALUE"""),"JOSE TORO MARISCAL")</f>
        <v>JOSE TORO MARISCAL</v>
      </c>
      <c r="K1166" s="6">
        <f ca="1">IFERROR(__xludf.DUMMYFUNCTION("""COMPUTED_VALUE"""),2)</f>
        <v>2</v>
      </c>
      <c r="L1166" s="139">
        <f ca="1">IFERROR(__xludf.DUMMYFUNCTION("""COMPUTED_VALUE"""),2594.23)</f>
        <v>2594.23</v>
      </c>
      <c r="M1166" s="6" t="str">
        <f ca="1">IFERROR(__xludf.DUMMYFUNCTION("""COMPUTED_VALUE"""),"03 ORL")</f>
        <v>03 ORL</v>
      </c>
      <c r="N1166" s="6" t="str">
        <f ca="1">IFERROR(__xludf.DUMMYFUNCTION("""COMPUTED_VALUE"""),"06 ORL")</f>
        <v>06 ORL</v>
      </c>
      <c r="O1166" s="6" t="str">
        <f ca="1">IFERROR(__xludf.DUMMYFUNCTION("""COMPUTED_VALUE"""),"Dra, Rocío Corrales Millán")</f>
        <v>Dra, Rocío Corrales Millán</v>
      </c>
      <c r="P1166" s="6" t="str">
        <f ca="1">IFERROR(__xludf.DUMMYFUNCTION("""COMPUTED_VALUE"""),"Luis Alberto Rodríguez (Andalucía y Badajoz)")</f>
        <v>Luis Alberto Rodríguez (Andalucía y Badajoz)</v>
      </c>
    </row>
    <row r="1167" spans="2:16">
      <c r="B1167" s="6">
        <f ca="1">IFERROR(__xludf.DUMMYFUNCTION("""COMPUTED_VALUE"""),2025)</f>
        <v>2025</v>
      </c>
      <c r="C1167" s="6">
        <f ca="1">IFERROR(__xludf.DUMMYFUNCTION("""COMPUTED_VALUE"""),9)</f>
        <v>9</v>
      </c>
      <c r="D1167" s="6" t="str">
        <f ca="1">IFERROR(__xludf.DUMMYFUNCTION("""COMPUTED_VALUE"""),"NO")</f>
        <v>NO</v>
      </c>
      <c r="E1167" s="6" t="str">
        <f ca="1">IFERROR(__xludf.DUMMYFUNCTION("""COMPUTED_VALUE"""),"Sevilla- Montoto")</f>
        <v>Sevilla- Montoto</v>
      </c>
      <c r="F1167" s="16">
        <f ca="1">IFERROR(__xludf.DUMMYFUNCTION("""COMPUTED_VALUE"""),45915)</f>
        <v>45915</v>
      </c>
      <c r="G1167" s="16">
        <f ca="1">IFERROR(__xludf.DUMMYFUNCTION("""COMPUTED_VALUE"""),45855)</f>
        <v>45855</v>
      </c>
      <c r="H1167" s="6" t="str">
        <f ca="1">IFERROR(__xludf.DUMMYFUNCTION("""COMPUTED_VALUE"""),"Montoto")</f>
        <v>Montoto</v>
      </c>
      <c r="I1167" s="6" t="str">
        <f ca="1">IFERROR(__xludf.DUMMYFUNCTION("""COMPUTED_VALUE"""),"C20257181540467")</f>
        <v>C20257181540467</v>
      </c>
      <c r="J1167" s="6" t="str">
        <f ca="1">IFERROR(__xludf.DUMMYFUNCTION("""COMPUTED_VALUE"""),"MARIUXI LUCIA TOALA LEON")</f>
        <v>MARIUXI LUCIA TOALA LEON</v>
      </c>
      <c r="K1167" s="6">
        <f ca="1">IFERROR(__xludf.DUMMYFUNCTION("""COMPUTED_VALUE"""),1)</f>
        <v>1</v>
      </c>
      <c r="L1167" s="139">
        <f ca="1">IFERROR(__xludf.DUMMYFUNCTION("""COMPUTED_VALUE"""),1631.82)</f>
        <v>1631.82</v>
      </c>
      <c r="M1167" s="6" t="str">
        <f ca="1">IFERROR(__xludf.DUMMYFUNCTION("""COMPUTED_VALUE"""),"03 ORL")</f>
        <v>03 ORL</v>
      </c>
      <c r="N1167" s="6" t="str">
        <f ca="1">IFERROR(__xludf.DUMMYFUNCTION("""COMPUTED_VALUE"""),"06 ORL")</f>
        <v>06 ORL</v>
      </c>
      <c r="O1167" s="6" t="str">
        <f ca="1">IFERROR(__xludf.DUMMYFUNCTION("""COMPUTED_VALUE"""),"Dr, Francisco López Navas")</f>
        <v>Dr, Francisco López Navas</v>
      </c>
      <c r="P1167" s="6" t="str">
        <f ca="1">IFERROR(__xludf.DUMMYFUNCTION("""COMPUTED_VALUE"""),"Luis Alberto Rodríguez (Andalucía y Badajoz)")</f>
        <v>Luis Alberto Rodríguez (Andalucía y Badajoz)</v>
      </c>
    </row>
    <row r="1168" spans="2:16">
      <c r="B1168" s="6">
        <f ca="1">IFERROR(__xludf.DUMMYFUNCTION("""COMPUTED_VALUE"""),2025)</f>
        <v>2025</v>
      </c>
      <c r="C1168" s="6">
        <f ca="1">IFERROR(__xludf.DUMMYFUNCTION("""COMPUTED_VALUE"""),9)</f>
        <v>9</v>
      </c>
      <c r="D1168" s="6" t="str">
        <f ca="1">IFERROR(__xludf.DUMMYFUNCTION("""COMPUTED_VALUE"""),"NO")</f>
        <v>NO</v>
      </c>
      <c r="E1168" s="6" t="str">
        <f ca="1">IFERROR(__xludf.DUMMYFUNCTION("""COMPUTED_VALUE"""),"Sevilla- Montoto")</f>
        <v>Sevilla- Montoto</v>
      </c>
      <c r="F1168" s="16">
        <f ca="1">IFERROR(__xludf.DUMMYFUNCTION("""COMPUTED_VALUE"""),45918)</f>
        <v>45918</v>
      </c>
      <c r="G1168" s="16">
        <f ca="1">IFERROR(__xludf.DUMMYFUNCTION("""COMPUTED_VALUE"""),45894)</f>
        <v>45894</v>
      </c>
      <c r="H1168" s="6" t="str">
        <f ca="1">IFERROR(__xludf.DUMMYFUNCTION("""COMPUTED_VALUE"""),"Montoto")</f>
        <v>Montoto</v>
      </c>
      <c r="I1168" s="6" t="str">
        <f ca="1">IFERROR(__xludf.DUMMYFUNCTION("""COMPUTED_VALUE"""),"C20258289454924")</f>
        <v>C20258289454924</v>
      </c>
      <c r="J1168" s="6" t="str">
        <f ca="1">IFERROR(__xludf.DUMMYFUNCTION("""COMPUTED_VALUE"""),"VICENTE SANCHIS BELMONTE")</f>
        <v>VICENTE SANCHIS BELMONTE</v>
      </c>
      <c r="K1168" s="6">
        <f ca="1">IFERROR(__xludf.DUMMYFUNCTION("""COMPUTED_VALUE"""),2)</f>
        <v>2</v>
      </c>
      <c r="L1168" s="139">
        <f ca="1">IFERROR(__xludf.DUMMYFUNCTION("""COMPUTED_VALUE"""),4136.36)</f>
        <v>4136.3599999999997</v>
      </c>
      <c r="M1168" s="6" t="str">
        <f ca="1">IFERROR(__xludf.DUMMYFUNCTION("""COMPUTED_VALUE"""),"03 ORL")</f>
        <v>03 ORL</v>
      </c>
      <c r="N1168" s="6" t="str">
        <f ca="1">IFERROR(__xludf.DUMMYFUNCTION("""COMPUTED_VALUE"""),"06 ORL")</f>
        <v>06 ORL</v>
      </c>
      <c r="O1168" s="6" t="str">
        <f ca="1">IFERROR(__xludf.DUMMYFUNCTION("""COMPUTED_VALUE"""),"Dra, Estefanía Berrocal Postigo")</f>
        <v>Dra, Estefanía Berrocal Postigo</v>
      </c>
      <c r="P1168" s="6" t="str">
        <f ca="1">IFERROR(__xludf.DUMMYFUNCTION("""COMPUTED_VALUE"""),"Luis Alberto Rodríguez (Andalucía y Badajoz)")</f>
        <v>Luis Alberto Rodríguez (Andalucía y Badajoz)</v>
      </c>
    </row>
    <row r="1169" spans="2:16">
      <c r="B1169" s="6">
        <f ca="1">IFERROR(__xludf.DUMMYFUNCTION("""COMPUTED_VALUE"""),2025)</f>
        <v>2025</v>
      </c>
      <c r="C1169" s="6">
        <f ca="1">IFERROR(__xludf.DUMMYFUNCTION("""COMPUTED_VALUE"""),9)</f>
        <v>9</v>
      </c>
      <c r="D1169" s="6" t="str">
        <f ca="1">IFERROR(__xludf.DUMMYFUNCTION("""COMPUTED_VALUE"""),"NO")</f>
        <v>NO</v>
      </c>
      <c r="E1169" s="6" t="str">
        <f ca="1">IFERROR(__xludf.DUMMYFUNCTION("""COMPUTED_VALUE"""),"Talavera")</f>
        <v>Talavera</v>
      </c>
      <c r="F1169" s="16">
        <f ca="1">IFERROR(__xludf.DUMMYFUNCTION("""COMPUTED_VALUE"""),45916)</f>
        <v>45916</v>
      </c>
      <c r="G1169" s="16">
        <f ca="1">IFERROR(__xludf.DUMMYFUNCTION("""COMPUTED_VALUE"""),45873)</f>
        <v>45873</v>
      </c>
      <c r="H1169" s="6" t="str">
        <f ca="1">IFERROR(__xludf.DUMMYFUNCTION("""COMPUTED_VALUE"""),"Talavera")</f>
        <v>Talavera</v>
      </c>
      <c r="I1169" s="6" t="str">
        <f ca="1">IFERROR(__xludf.DUMMYFUNCTION("""COMPUTED_VALUE"""),"C202585947250")</f>
        <v>C202585947250</v>
      </c>
      <c r="J1169" s="6" t="str">
        <f ca="1">IFERROR(__xludf.DUMMYFUNCTION("""COMPUTED_VALUE"""),"MANUEL BENITO RODRIGUEZ")</f>
        <v>MANUEL BENITO RODRIGUEZ</v>
      </c>
      <c r="K1169" s="6">
        <f ca="1">IFERROR(__xludf.DUMMYFUNCTION("""COMPUTED_VALUE"""),2)</f>
        <v>2</v>
      </c>
      <c r="L1169" s="139">
        <f ca="1">IFERROR(__xludf.DUMMYFUNCTION("""COMPUTED_VALUE"""),2486.36)</f>
        <v>2486.36</v>
      </c>
      <c r="M1169" s="6" t="str">
        <f ca="1">IFERROR(__xludf.DUMMYFUNCTION("""COMPUTED_VALUE"""),"03 ORL")</f>
        <v>03 ORL</v>
      </c>
      <c r="N1169" s="6" t="str">
        <f ca="1">IFERROR(__xludf.DUMMYFUNCTION("""COMPUTED_VALUE"""),"06 ORL")</f>
        <v>06 ORL</v>
      </c>
      <c r="O1169" s="6" t="str">
        <f ca="1">IFERROR(__xludf.DUMMYFUNCTION("""COMPUTED_VALUE"""),"Dra, María Elena García García")</f>
        <v>Dra, María Elena García García</v>
      </c>
      <c r="P1169" s="6" t="str">
        <f ca="1">IFERROR(__xludf.DUMMYFUNCTION("""COMPUTED_VALUE"""),"Lisandro Russian (Madrid, Cáceres, Toledo, Talavera Y Logroño)")</f>
        <v>Lisandro Russian (Madrid, Cáceres, Toledo, Talavera Y Logroño)</v>
      </c>
    </row>
    <row r="1170" spans="2:16">
      <c r="B1170" s="6">
        <f ca="1">IFERROR(__xludf.DUMMYFUNCTION("""COMPUTED_VALUE"""),2025)</f>
        <v>2025</v>
      </c>
      <c r="C1170" s="6">
        <f ca="1">IFERROR(__xludf.DUMMYFUNCTION("""COMPUTED_VALUE"""),9)</f>
        <v>9</v>
      </c>
      <c r="D1170" s="6" t="str">
        <f ca="1">IFERROR(__xludf.DUMMYFUNCTION("""COMPUTED_VALUE"""),"NO")</f>
        <v>NO</v>
      </c>
      <c r="E1170" s="6" t="str">
        <f ca="1">IFERROR(__xludf.DUMMYFUNCTION("""COMPUTED_VALUE"""),"Talavera")</f>
        <v>Talavera</v>
      </c>
      <c r="F1170" s="16">
        <f ca="1">IFERROR(__xludf.DUMMYFUNCTION("""COMPUTED_VALUE"""),45923)</f>
        <v>45923</v>
      </c>
      <c r="G1170" s="16">
        <f ca="1">IFERROR(__xludf.DUMMYFUNCTION("""COMPUTED_VALUE"""),45902)</f>
        <v>45902</v>
      </c>
      <c r="H1170" s="6" t="str">
        <f ca="1">IFERROR(__xludf.DUMMYFUNCTION("""COMPUTED_VALUE"""),"Talavera")</f>
        <v>Talavera</v>
      </c>
      <c r="I1170" s="6" t="str">
        <f ca="1">IFERROR(__xludf.DUMMYFUNCTION("""COMPUTED_VALUE"""),"C20259210529996")</f>
        <v>C20259210529996</v>
      </c>
      <c r="J1170" s="6" t="str">
        <f ca="1">IFERROR(__xludf.DUMMYFUNCTION("""COMPUTED_VALUE"""),"PURIFICACION  PASCUAL MORENO")</f>
        <v>PURIFICACION  PASCUAL MORENO</v>
      </c>
      <c r="K1170" s="6">
        <f ca="1">IFERROR(__xludf.DUMMYFUNCTION("""COMPUTED_VALUE"""),2)</f>
        <v>2</v>
      </c>
      <c r="L1170" s="139">
        <f ca="1">IFERROR(__xludf.DUMMYFUNCTION("""COMPUTED_VALUE"""),3450)</f>
        <v>3450</v>
      </c>
      <c r="M1170" s="6" t="str">
        <f ca="1">IFERROR(__xludf.DUMMYFUNCTION("""COMPUTED_VALUE"""),"03 ORL")</f>
        <v>03 ORL</v>
      </c>
      <c r="N1170" s="6" t="str">
        <f ca="1">IFERROR(__xludf.DUMMYFUNCTION("""COMPUTED_VALUE"""),"06 ORL")</f>
        <v>06 ORL</v>
      </c>
      <c r="O1170" s="6" t="str">
        <f ca="1">IFERROR(__xludf.DUMMYFUNCTION("""COMPUTED_VALUE"""),"Dr, Carlos Félix Asensio Nieto")</f>
        <v>Dr, Carlos Félix Asensio Nieto</v>
      </c>
      <c r="P1170" s="6" t="str">
        <f ca="1">IFERROR(__xludf.DUMMYFUNCTION("""COMPUTED_VALUE"""),"Lisandro Russian (Madrid, Cáceres, Toledo, Talavera Y Logroño)")</f>
        <v>Lisandro Russian (Madrid, Cáceres, Toledo, Talavera Y Logroño)</v>
      </c>
    </row>
    <row r="1171" spans="2:16">
      <c r="B1171" s="6">
        <f ca="1">IFERROR(__xludf.DUMMYFUNCTION("""COMPUTED_VALUE"""),2025)</f>
        <v>2025</v>
      </c>
      <c r="C1171" s="6">
        <f ca="1">IFERROR(__xludf.DUMMYFUNCTION("""COMPUTED_VALUE"""),9)</f>
        <v>9</v>
      </c>
      <c r="D1171" s="6" t="str">
        <f ca="1">IFERROR(__xludf.DUMMYFUNCTION("""COMPUTED_VALUE"""),"NO")</f>
        <v>NO</v>
      </c>
      <c r="E1171" s="6" t="str">
        <f ca="1">IFERROR(__xludf.DUMMYFUNCTION("""COMPUTED_VALUE"""),"Talavera")</f>
        <v>Talavera</v>
      </c>
      <c r="F1171" s="16">
        <f ca="1">IFERROR(__xludf.DUMMYFUNCTION("""COMPUTED_VALUE"""),45901)</f>
        <v>45901</v>
      </c>
      <c r="G1171" s="16">
        <f ca="1">IFERROR(__xludf.DUMMYFUNCTION("""COMPUTED_VALUE"""),45859)</f>
        <v>45859</v>
      </c>
      <c r="H1171" s="6" t="str">
        <f ca="1">IFERROR(__xludf.DUMMYFUNCTION("""COMPUTED_VALUE"""),"Talavera")</f>
        <v>Talavera</v>
      </c>
      <c r="I1171" s="6" t="str">
        <f ca="1">IFERROR(__xludf.DUMMYFUNCTION("""COMPUTED_VALUE"""),"C202572310248292")</f>
        <v>C202572310248292</v>
      </c>
      <c r="J1171" s="6" t="str">
        <f ca="1">IFERROR(__xludf.DUMMYFUNCTION("""COMPUTED_VALUE"""),"ROSA CERQUEDA FONT")</f>
        <v>ROSA CERQUEDA FONT</v>
      </c>
      <c r="K1171" s="6">
        <f ca="1">IFERROR(__xludf.DUMMYFUNCTION("""COMPUTED_VALUE"""),2)</f>
        <v>2</v>
      </c>
      <c r="L1171" s="139">
        <f ca="1">IFERROR(__xludf.DUMMYFUNCTION("""COMPUTED_VALUE"""),2556.44)</f>
        <v>2556.44</v>
      </c>
      <c r="M1171" s="6" t="str">
        <f ca="1">IFERROR(__xludf.DUMMYFUNCTION("""COMPUTED_VALUE"""),"03 ORL")</f>
        <v>03 ORL</v>
      </c>
      <c r="N1171" s="6" t="str">
        <f ca="1">IFERROR(__xludf.DUMMYFUNCTION("""COMPUTED_VALUE"""),"06 ORL")</f>
        <v>06 ORL</v>
      </c>
      <c r="O1171" s="6" t="str">
        <f ca="1">IFERROR(__xludf.DUMMYFUNCTION("""COMPUTED_VALUE"""),"Dr, Carlos Félix Asensio Nieto")</f>
        <v>Dr, Carlos Félix Asensio Nieto</v>
      </c>
      <c r="P1171" s="6" t="str">
        <f ca="1">IFERROR(__xludf.DUMMYFUNCTION("""COMPUTED_VALUE"""),"Lisandro Russian (Madrid, Cáceres, Toledo, Talavera Y Logroño)")</f>
        <v>Lisandro Russian (Madrid, Cáceres, Toledo, Talavera Y Logroño)</v>
      </c>
    </row>
    <row r="1172" spans="2:16">
      <c r="B1172" s="6">
        <f ca="1">IFERROR(__xludf.DUMMYFUNCTION("""COMPUTED_VALUE"""),2025)</f>
        <v>2025</v>
      </c>
      <c r="C1172" s="6">
        <f ca="1">IFERROR(__xludf.DUMMYFUNCTION("""COMPUTED_VALUE"""),9)</f>
        <v>9</v>
      </c>
      <c r="D1172" s="6" t="str">
        <f ca="1">IFERROR(__xludf.DUMMYFUNCTION("""COMPUTED_VALUE"""),"NO")</f>
        <v>NO</v>
      </c>
      <c r="E1172" s="6" t="str">
        <f ca="1">IFERROR(__xludf.DUMMYFUNCTION("""COMPUTED_VALUE"""),"Talavera")</f>
        <v>Talavera</v>
      </c>
      <c r="F1172" s="16">
        <f ca="1">IFERROR(__xludf.DUMMYFUNCTION("""COMPUTED_VALUE"""),45926)</f>
        <v>45926</v>
      </c>
      <c r="G1172" s="16">
        <f ca="1">IFERROR(__xludf.DUMMYFUNCTION("""COMPUTED_VALUE"""),45911)</f>
        <v>45911</v>
      </c>
      <c r="H1172" s="6" t="str">
        <f ca="1">IFERROR(__xludf.DUMMYFUNCTION("""COMPUTED_VALUE"""),"Talavera")</f>
        <v>Talavera</v>
      </c>
      <c r="I1172" s="6" t="str">
        <f ca="1">IFERROR(__xludf.DUMMYFUNCTION("""COMPUTED_VALUE"""),"C202591117352797")</f>
        <v>C202591117352797</v>
      </c>
      <c r="J1172" s="6" t="str">
        <f ca="1">IFERROR(__xludf.DUMMYFUNCTION("""COMPUTED_VALUE"""),"SOCORRO PRIETO PEREZ")</f>
        <v>SOCORRO PRIETO PEREZ</v>
      </c>
      <c r="K1172" s="6">
        <f ca="1">IFERROR(__xludf.DUMMYFUNCTION("""COMPUTED_VALUE"""),2)</f>
        <v>2</v>
      </c>
      <c r="L1172" s="139">
        <f ca="1">IFERROR(__xludf.DUMMYFUNCTION("""COMPUTED_VALUE"""),2718.18)</f>
        <v>2718.18</v>
      </c>
      <c r="M1172" s="6" t="str">
        <f ca="1">IFERROR(__xludf.DUMMYFUNCTION("""COMPUTED_VALUE"""),"03 ORL")</f>
        <v>03 ORL</v>
      </c>
      <c r="N1172" s="6" t="str">
        <f ca="1">IFERROR(__xludf.DUMMYFUNCTION("""COMPUTED_VALUE"""),"06 ORL")</f>
        <v>06 ORL</v>
      </c>
      <c r="O1172" s="6" t="str">
        <f ca="1">IFERROR(__xludf.DUMMYFUNCTION("""COMPUTED_VALUE"""),"Dr, Carlos Félix Asensio Nieto")</f>
        <v>Dr, Carlos Félix Asensio Nieto</v>
      </c>
      <c r="P1172" s="6" t="str">
        <f ca="1">IFERROR(__xludf.DUMMYFUNCTION("""COMPUTED_VALUE"""),"Lisandro Russian (Madrid, Cáceres, Toledo, Talavera Y Logroño)")</f>
        <v>Lisandro Russian (Madrid, Cáceres, Toledo, Talavera Y Logroño)</v>
      </c>
    </row>
    <row r="1173" spans="2:16">
      <c r="B1173" s="6">
        <f ca="1">IFERROR(__xludf.DUMMYFUNCTION("""COMPUTED_VALUE"""),2025)</f>
        <v>2025</v>
      </c>
      <c r="C1173" s="6">
        <f ca="1">IFERROR(__xludf.DUMMYFUNCTION("""COMPUTED_VALUE"""),9)</f>
        <v>9</v>
      </c>
      <c r="D1173" s="6" t="str">
        <f ca="1">IFERROR(__xludf.DUMMYFUNCTION("""COMPUTED_VALUE"""),"NO")</f>
        <v>NO</v>
      </c>
      <c r="E1173" s="6" t="str">
        <f ca="1">IFERROR(__xludf.DUMMYFUNCTION("""COMPUTED_VALUE"""),"Toledo")</f>
        <v>Toledo</v>
      </c>
      <c r="F1173" s="16">
        <f ca="1">IFERROR(__xludf.DUMMYFUNCTION("""COMPUTED_VALUE"""),45926)</f>
        <v>45926</v>
      </c>
      <c r="G1173" s="16">
        <f ca="1">IFERROR(__xludf.DUMMYFUNCTION("""COMPUTED_VALUE"""),45876)</f>
        <v>45876</v>
      </c>
      <c r="H1173" s="6" t="str">
        <f ca="1">IFERROR(__xludf.DUMMYFUNCTION("""COMPUTED_VALUE"""),"Toledo")</f>
        <v>Toledo</v>
      </c>
      <c r="I1173" s="6" t="str">
        <f ca="1">IFERROR(__xludf.DUMMYFUNCTION("""COMPUTED_VALUE"""),"C202587105344388")</f>
        <v>C202587105344388</v>
      </c>
      <c r="J1173" s="6" t="str">
        <f ca="1">IFERROR(__xludf.DUMMYFUNCTION("""COMPUTED_VALUE"""),"AMPARO BRAVO SANCHEZ")</f>
        <v>AMPARO BRAVO SANCHEZ</v>
      </c>
      <c r="K1173" s="6">
        <f ca="1">IFERROR(__xludf.DUMMYFUNCTION("""COMPUTED_VALUE"""),2)</f>
        <v>2</v>
      </c>
      <c r="L1173" s="139">
        <f ca="1">IFERROR(__xludf.DUMMYFUNCTION("""COMPUTED_VALUE"""),4180)</f>
        <v>4180</v>
      </c>
      <c r="M1173" s="6" t="str">
        <f ca="1">IFERROR(__xludf.DUMMYFUNCTION("""COMPUTED_VALUE"""),"03 ORL")</f>
        <v>03 ORL</v>
      </c>
      <c r="N1173" s="6" t="str">
        <f ca="1">IFERROR(__xludf.DUMMYFUNCTION("""COMPUTED_VALUE"""),"06 ORL")</f>
        <v>06 ORL</v>
      </c>
      <c r="O1173" s="6" t="str">
        <f ca="1">IFERROR(__xludf.DUMMYFUNCTION("""COMPUTED_VALUE"""),"Dra, María Garrote Garrote")</f>
        <v>Dra, María Garrote Garrote</v>
      </c>
      <c r="P1173" s="6" t="str">
        <f ca="1">IFERROR(__xludf.DUMMYFUNCTION("""COMPUTED_VALUE"""),"Maika Blázquez (Madrid)")</f>
        <v>Maika Blázquez (Madrid)</v>
      </c>
    </row>
    <row r="1174" spans="2:16">
      <c r="B1174" s="6">
        <f ca="1">IFERROR(__xludf.DUMMYFUNCTION("""COMPUTED_VALUE"""),2025)</f>
        <v>2025</v>
      </c>
      <c r="C1174" s="6">
        <f ca="1">IFERROR(__xludf.DUMMYFUNCTION("""COMPUTED_VALUE"""),9)</f>
        <v>9</v>
      </c>
      <c r="D1174" s="6" t="str">
        <f ca="1">IFERROR(__xludf.DUMMYFUNCTION("""COMPUTED_VALUE"""),"NO")</f>
        <v>NO</v>
      </c>
      <c r="E1174" s="6" t="str">
        <f ca="1">IFERROR(__xludf.DUMMYFUNCTION("""COMPUTED_VALUE"""),"Toledo")</f>
        <v>Toledo</v>
      </c>
      <c r="F1174" s="16">
        <f ca="1">IFERROR(__xludf.DUMMYFUNCTION("""COMPUTED_VALUE"""),45917)</f>
        <v>45917</v>
      </c>
      <c r="G1174" s="16">
        <f ca="1">IFERROR(__xludf.DUMMYFUNCTION("""COMPUTED_VALUE"""),45839)</f>
        <v>45839</v>
      </c>
      <c r="H1174" s="6" t="str">
        <f ca="1">IFERROR(__xludf.DUMMYFUNCTION("""COMPUTED_VALUE"""),"Toledo")</f>
        <v>Toledo</v>
      </c>
      <c r="I1174" s="6" t="str">
        <f ca="1">IFERROR(__xludf.DUMMYFUNCTION("""COMPUTED_VALUE"""),"C202572165922418")</f>
        <v>C202572165922418</v>
      </c>
      <c r="J1174" s="6" t="str">
        <f ca="1">IFERROR(__xludf.DUMMYFUNCTION("""COMPUTED_VALUE"""),"Angel Martinez de la Casa")</f>
        <v>Angel Martinez de la Casa</v>
      </c>
      <c r="K1174" s="6">
        <f ca="1">IFERROR(__xludf.DUMMYFUNCTION("""COMPUTED_VALUE"""),2)</f>
        <v>2</v>
      </c>
      <c r="L1174" s="139">
        <f ca="1">IFERROR(__xludf.DUMMYFUNCTION("""COMPUTED_VALUE"""),4081.82)</f>
        <v>4081.82</v>
      </c>
      <c r="M1174" s="6" t="str">
        <f ca="1">IFERROR(__xludf.DUMMYFUNCTION("""COMPUTED_VALUE"""),"03 ORL")</f>
        <v>03 ORL</v>
      </c>
      <c r="N1174" s="6" t="str">
        <f ca="1">IFERROR(__xludf.DUMMYFUNCTION("""COMPUTED_VALUE"""),"06 ORL")</f>
        <v>06 ORL</v>
      </c>
      <c r="O1174" s="6" t="str">
        <f ca="1">IFERROR(__xludf.DUMMYFUNCTION("""COMPUTED_VALUE"""),"Dra, Eva Ruiz de Gauna")</f>
        <v>Dra, Eva Ruiz de Gauna</v>
      </c>
      <c r="P1174" s="6" t="str">
        <f ca="1">IFERROR(__xludf.DUMMYFUNCTION("""COMPUTED_VALUE"""),"Lisandro Russian (Madrid, Cáceres, Toledo, Talavera Y Logroño)")</f>
        <v>Lisandro Russian (Madrid, Cáceres, Toledo, Talavera Y Logroño)</v>
      </c>
    </row>
    <row r="1175" spans="2:16">
      <c r="B1175" s="6">
        <f ca="1">IFERROR(__xludf.DUMMYFUNCTION("""COMPUTED_VALUE"""),2025)</f>
        <v>2025</v>
      </c>
      <c r="C1175" s="6">
        <f ca="1">IFERROR(__xludf.DUMMYFUNCTION("""COMPUTED_VALUE"""),9)</f>
        <v>9</v>
      </c>
      <c r="D1175" s="6" t="str">
        <f ca="1">IFERROR(__xludf.DUMMYFUNCTION("""COMPUTED_VALUE"""),"NO")</f>
        <v>NO</v>
      </c>
      <c r="E1175" s="6" t="str">
        <f ca="1">IFERROR(__xludf.DUMMYFUNCTION("""COMPUTED_VALUE"""),"Torrejón de Ardoz")</f>
        <v>Torrejón de Ardoz</v>
      </c>
      <c r="F1175" s="16">
        <f ca="1">IFERROR(__xludf.DUMMYFUNCTION("""COMPUTED_VALUE"""),45930)</f>
        <v>45930</v>
      </c>
      <c r="G1175" s="16">
        <f ca="1">IFERROR(__xludf.DUMMYFUNCTION("""COMPUTED_VALUE"""),45902)</f>
        <v>45902</v>
      </c>
      <c r="H1175" s="6" t="str">
        <f ca="1">IFERROR(__xludf.DUMMYFUNCTION("""COMPUTED_VALUE"""),"Torrejón")</f>
        <v>Torrejón</v>
      </c>
      <c r="I1175" s="6" t="str">
        <f ca="1">IFERROR(__xludf.DUMMYFUNCTION("""COMPUTED_VALUE"""),"C202599102631456")</f>
        <v>C202599102631456</v>
      </c>
      <c r="J1175" s="6" t="str">
        <f ca="1">IFERROR(__xludf.DUMMYFUNCTION("""COMPUTED_VALUE"""),"JUAN LUIS CRUZADO SÁNCHEZ")</f>
        <v>JUAN LUIS CRUZADO SÁNCHEZ</v>
      </c>
      <c r="K1175" s="6">
        <f ca="1">IFERROR(__xludf.DUMMYFUNCTION("""COMPUTED_VALUE"""),1)</f>
        <v>1</v>
      </c>
      <c r="L1175" s="139">
        <f ca="1">IFERROR(__xludf.DUMMYFUNCTION("""COMPUTED_VALUE"""),2180.91)</f>
        <v>2180.91</v>
      </c>
      <c r="M1175" s="6" t="str">
        <f ca="1">IFERROR(__xludf.DUMMYFUNCTION("""COMPUTED_VALUE"""),"03 ORL")</f>
        <v>03 ORL</v>
      </c>
      <c r="N1175" s="6" t="str">
        <f ca="1">IFERROR(__xludf.DUMMYFUNCTION("""COMPUTED_VALUE"""),"06 ORL")</f>
        <v>06 ORL</v>
      </c>
      <c r="O1175" s="6" t="str">
        <f ca="1">IFERROR(__xludf.DUMMYFUNCTION("""COMPUTED_VALUE"""),"Dr, javier Gamboa Mutuberria")</f>
        <v>Dr, javier Gamboa Mutuberria</v>
      </c>
      <c r="P1175" s="6" t="str">
        <f ca="1">IFERROR(__xludf.DUMMYFUNCTION("""COMPUTED_VALUE"""),"Maika Blázquez (Madrid)")</f>
        <v>Maika Blázquez (Madrid)</v>
      </c>
    </row>
    <row r="1176" spans="2:16">
      <c r="B1176" s="6">
        <f ca="1">IFERROR(__xludf.DUMMYFUNCTION("""COMPUTED_VALUE"""),2025)</f>
        <v>2025</v>
      </c>
      <c r="C1176" s="6">
        <f ca="1">IFERROR(__xludf.DUMMYFUNCTION("""COMPUTED_VALUE"""),9)</f>
        <v>9</v>
      </c>
      <c r="D1176" s="6" t="str">
        <f ca="1">IFERROR(__xludf.DUMMYFUNCTION("""COMPUTED_VALUE"""),"SI")</f>
        <v>SI</v>
      </c>
      <c r="E1176" s="6" t="str">
        <f ca="1">IFERROR(__xludf.DUMMYFUNCTION("""COMPUTED_VALUE"""),"Valencia- Cádiz")</f>
        <v>Valencia- Cádiz</v>
      </c>
      <c r="F1176" s="16">
        <f ca="1">IFERROR(__xludf.DUMMYFUNCTION("""COMPUTED_VALUE"""),45915)</f>
        <v>45915</v>
      </c>
      <c r="G1176" s="16">
        <f ca="1">IFERROR(__xludf.DUMMYFUNCTION("""COMPUTED_VALUE"""),44440)</f>
        <v>44440</v>
      </c>
      <c r="H1176" s="6" t="str">
        <f ca="1">IFERROR(__xludf.DUMMYFUNCTION("""COMPUTED_VALUE"""),"Valencia- Cádiz")</f>
        <v>Valencia- Cádiz</v>
      </c>
      <c r="I1176" s="6" t="str">
        <f ca="1">IFERROR(__xludf.DUMMYFUNCTION("""COMPUTED_VALUE"""),"VLC-547")</f>
        <v>VLC-547</v>
      </c>
      <c r="J1176" s="6" t="str">
        <f ca="1">IFERROR(__xludf.DUMMYFUNCTION("""COMPUTED_VALUE"""),"JUAN JOSE SAEZ ALCARRIA")</f>
        <v>JUAN JOSE SAEZ ALCARRIA</v>
      </c>
      <c r="K1176" s="6">
        <f ca="1">IFERROR(__xludf.DUMMYFUNCTION("""COMPUTED_VALUE"""),2)</f>
        <v>2</v>
      </c>
      <c r="L1176" s="139">
        <f ca="1">IFERROR(__xludf.DUMMYFUNCTION("""COMPUTED_VALUE"""),2310.45)</f>
        <v>2310.4499999999998</v>
      </c>
      <c r="M1176" s="6" t="str">
        <f ca="1">IFERROR(__xludf.DUMMYFUNCTION("""COMPUTED_VALUE"""),"04 TIENDA")</f>
        <v>04 TIENDA</v>
      </c>
      <c r="N1176" s="6" t="str">
        <f ca="1">IFERROR(__xludf.DUMMYFUNCTION("""COMPUTED_VALUE"""),"10 REVISIÓN POST-VENTA")</f>
        <v>10 REVISIÓN POST-VENTA</v>
      </c>
      <c r="O1176" s="6" t="str">
        <f ca="1">IFERROR(__xludf.DUMMYFUNCTION("""COMPUTED_VALUE"""),"Dr, Manuel Mateos Fernández")</f>
        <v>Dr, Manuel Mateos Fernández</v>
      </c>
      <c r="P1176" s="6" t="str">
        <f ca="1">IFERROR(__xludf.DUMMYFUNCTION("""COMPUTED_VALUE"""),"Ramon Ferrando(Valencia)")</f>
        <v>Ramon Ferrando(Valencia)</v>
      </c>
    </row>
    <row r="1177" spans="2:16">
      <c r="B1177" s="6">
        <f ca="1">IFERROR(__xludf.DUMMYFUNCTION("""COMPUTED_VALUE"""),2025)</f>
        <v>2025</v>
      </c>
      <c r="C1177" s="6">
        <f ca="1">IFERROR(__xludf.DUMMYFUNCTION("""COMPUTED_VALUE"""),9)</f>
        <v>9</v>
      </c>
      <c r="D1177" s="6" t="str">
        <f ca="1">IFERROR(__xludf.DUMMYFUNCTION("""COMPUTED_VALUE"""),"NO")</f>
        <v>NO</v>
      </c>
      <c r="E1177" s="6" t="str">
        <f ca="1">IFERROR(__xludf.DUMMYFUNCTION("""COMPUTED_VALUE"""),"Valencia- Cádiz")</f>
        <v>Valencia- Cádiz</v>
      </c>
      <c r="F1177" s="16">
        <f ca="1">IFERROR(__xludf.DUMMYFUNCTION("""COMPUTED_VALUE"""),45924)</f>
        <v>45924</v>
      </c>
      <c r="G1177" s="16">
        <f ca="1">IFERROR(__xludf.DUMMYFUNCTION("""COMPUTED_VALUE"""),45838)</f>
        <v>45838</v>
      </c>
      <c r="H1177" s="6" t="str">
        <f ca="1">IFERROR(__xludf.DUMMYFUNCTION("""COMPUTED_VALUE"""),"Valencia- Cádiz")</f>
        <v>Valencia- Cádiz</v>
      </c>
      <c r="I1177" s="6" t="str">
        <f ca="1">IFERROR(__xludf.DUMMYFUNCTION("""COMPUTED_VALUE"""),"C202572122416550")</f>
        <v>C202572122416550</v>
      </c>
      <c r="J1177" s="1" t="str">
        <f ca="1">IFERROR(__xludf.DUMMYFUNCTION("""COMPUTED_VALUE"""),"PILAR TORTAJADA BELTRAN")</f>
        <v>PILAR TORTAJADA BELTRAN</v>
      </c>
      <c r="K1177" s="6">
        <f ca="1">IFERROR(__xludf.DUMMYFUNCTION("""COMPUTED_VALUE"""),2)</f>
        <v>2</v>
      </c>
      <c r="L1177" s="139">
        <f ca="1">IFERROR(__xludf.DUMMYFUNCTION("""COMPUTED_VALUE"""),3524.5)</f>
        <v>3524.5</v>
      </c>
      <c r="M1177" s="6" t="str">
        <f ca="1">IFERROR(__xludf.DUMMYFUNCTION("""COMPUTED_VALUE"""),"03 ORL")</f>
        <v>03 ORL</v>
      </c>
      <c r="N1177" s="6" t="str">
        <f ca="1">IFERROR(__xludf.DUMMYFUNCTION("""COMPUTED_VALUE"""),"06 ORL")</f>
        <v>06 ORL</v>
      </c>
      <c r="O1177" s="6" t="str">
        <f ca="1">IFERROR(__xludf.DUMMYFUNCTION("""COMPUTED_VALUE"""),"Dra, Paula Martinez Pascual")</f>
        <v>Dra, Paula Martinez Pascual</v>
      </c>
      <c r="P1177" s="6" t="str">
        <f ca="1">IFERROR(__xludf.DUMMYFUNCTION("""COMPUTED_VALUE"""),"Ramon Ferrando(Valencia)")</f>
        <v>Ramon Ferrando(Valencia)</v>
      </c>
    </row>
    <row r="1178" spans="2:16">
      <c r="B1178" s="6">
        <f ca="1">IFERROR(__xludf.DUMMYFUNCTION("""COMPUTED_VALUE"""),2025)</f>
        <v>2025</v>
      </c>
      <c r="C1178" s="6">
        <f ca="1">IFERROR(__xludf.DUMMYFUNCTION("""COMPUTED_VALUE"""),9)</f>
        <v>9</v>
      </c>
      <c r="D1178" s="6" t="str">
        <f ca="1">IFERROR(__xludf.DUMMYFUNCTION("""COMPUTED_VALUE"""),"NO")</f>
        <v>NO</v>
      </c>
      <c r="E1178" s="6" t="str">
        <f ca="1">IFERROR(__xludf.DUMMYFUNCTION("""COMPUTED_VALUE"""),"Valencia- Cádiz")</f>
        <v>Valencia- Cádiz</v>
      </c>
      <c r="F1178" s="16">
        <f ca="1">IFERROR(__xludf.DUMMYFUNCTION("""COMPUTED_VALUE"""),45924)</f>
        <v>45924</v>
      </c>
      <c r="G1178" s="16">
        <f ca="1">IFERROR(__xludf.DUMMYFUNCTION("""COMPUTED_VALUE"""),45890)</f>
        <v>45890</v>
      </c>
      <c r="H1178" s="6" t="str">
        <f ca="1">IFERROR(__xludf.DUMMYFUNCTION("""COMPUTED_VALUE"""),"Valencia- Cádiz")</f>
        <v>Valencia- Cádiz</v>
      </c>
      <c r="I1178" s="6" t="str">
        <f ca="1">IFERROR(__xludf.DUMMYFUNCTION("""COMPUTED_VALUE"""),"C2025821151130392")</f>
        <v>C2025821151130392</v>
      </c>
      <c r="J1178" s="6" t="str">
        <f ca="1">IFERROR(__xludf.DUMMYFUNCTION("""COMPUTED_VALUE"""),"ROSA MARIA MONZÓ HERRÁN")</f>
        <v>ROSA MARIA MONZÓ HERRÁN</v>
      </c>
      <c r="K1178" s="6">
        <f ca="1">IFERROR(__xludf.DUMMYFUNCTION("""COMPUTED_VALUE"""),2)</f>
        <v>2</v>
      </c>
      <c r="L1178" s="139">
        <f ca="1">IFERROR(__xludf.DUMMYFUNCTION("""COMPUTED_VALUE"""),3313.64)</f>
        <v>3313.64</v>
      </c>
      <c r="M1178" s="6" t="str">
        <f ca="1">IFERROR(__xludf.DUMMYFUNCTION("""COMPUTED_VALUE"""),"03 ORL")</f>
        <v>03 ORL</v>
      </c>
      <c r="N1178" s="6" t="str">
        <f ca="1">IFERROR(__xludf.DUMMYFUNCTION("""COMPUTED_VALUE"""),"06 ORL")</f>
        <v>06 ORL</v>
      </c>
      <c r="O1178" s="6" t="str">
        <f ca="1">IFERROR(__xludf.DUMMYFUNCTION("""COMPUTED_VALUE"""),"Dr, Abel Guzmán Calvete")</f>
        <v>Dr, Abel Guzmán Calvete</v>
      </c>
      <c r="P1178" s="6" t="str">
        <f ca="1">IFERROR(__xludf.DUMMYFUNCTION("""COMPUTED_VALUE"""),"Ramon Ferrando(Valencia)")</f>
        <v>Ramon Ferrando(Valencia)</v>
      </c>
    </row>
    <row r="1179" spans="2:16">
      <c r="B1179" s="6">
        <f ca="1">IFERROR(__xludf.DUMMYFUNCTION("""COMPUTED_VALUE"""),2025)</f>
        <v>2025</v>
      </c>
      <c r="C1179" s="6">
        <f ca="1">IFERROR(__xludf.DUMMYFUNCTION("""COMPUTED_VALUE"""),9)</f>
        <v>9</v>
      </c>
      <c r="D1179" s="6" t="str">
        <f ca="1">IFERROR(__xludf.DUMMYFUNCTION("""COMPUTED_VALUE"""),"NO")</f>
        <v>NO</v>
      </c>
      <c r="E1179" s="6" t="str">
        <f ca="1">IFERROR(__xludf.DUMMYFUNCTION("""COMPUTED_VALUE"""),"Valencia- Parra")</f>
        <v>Valencia- Parra</v>
      </c>
      <c r="F1179" s="16">
        <f ca="1">IFERROR(__xludf.DUMMYFUNCTION("""COMPUTED_VALUE"""),45925)</f>
        <v>45925</v>
      </c>
      <c r="G1179" s="16">
        <f ca="1">IFERROR(__xludf.DUMMYFUNCTION("""COMPUTED_VALUE"""),45869)</f>
        <v>45869</v>
      </c>
      <c r="H1179" s="6" t="str">
        <f ca="1">IFERROR(__xludf.DUMMYFUNCTION("""COMPUTED_VALUE"""),"Valencia- Parra")</f>
        <v>Valencia- Parra</v>
      </c>
      <c r="I1179" s="6" t="str">
        <f ca="1">IFERROR(__xludf.DUMMYFUNCTION("""COMPUTED_VALUE"""),"C202582511573899")</f>
        <v>C202582511573899</v>
      </c>
      <c r="J1179" s="1" t="str">
        <f ca="1">IFERROR(__xludf.DUMMYFUNCTION("""COMPUTED_VALUE"""),"Vicente Martínez Calvo")</f>
        <v>Vicente Martínez Calvo</v>
      </c>
      <c r="K1179" s="6">
        <f ca="1">IFERROR(__xludf.DUMMYFUNCTION("""COMPUTED_VALUE"""),2)</f>
        <v>2</v>
      </c>
      <c r="L1179" s="139">
        <f ca="1">IFERROR(__xludf.DUMMYFUNCTION("""COMPUTED_VALUE"""),2718.18)</f>
        <v>2718.18</v>
      </c>
      <c r="M1179" s="6" t="str">
        <f ca="1">IFERROR(__xludf.DUMMYFUNCTION("""COMPUTED_VALUE"""),"03 ORL")</f>
        <v>03 ORL</v>
      </c>
      <c r="N1179" s="6" t="str">
        <f ca="1">IFERROR(__xludf.DUMMYFUNCTION("""COMPUTED_VALUE"""),"06 ORL")</f>
        <v>06 ORL</v>
      </c>
      <c r="O1179" s="6" t="str">
        <f ca="1">IFERROR(__xludf.DUMMYFUNCTION("""COMPUTED_VALUE"""),"Dra, Mª José Lesmas Navarro")</f>
        <v>Dra, Mª José Lesmas Navarro</v>
      </c>
      <c r="P1179" s="6" t="str">
        <f ca="1">IFERROR(__xludf.DUMMYFUNCTION("""COMPUTED_VALUE"""),"Ramon Ferrando(Valencia)")</f>
        <v>Ramon Ferrando(Valencia)</v>
      </c>
    </row>
    <row r="1180" spans="2:16">
      <c r="B1180" s="6">
        <f ca="1">IFERROR(__xludf.DUMMYFUNCTION("""COMPUTED_VALUE"""),2025)</f>
        <v>2025</v>
      </c>
      <c r="C1180" s="6">
        <f ca="1">IFERROR(__xludf.DUMMYFUNCTION("""COMPUTED_VALUE"""),9)</f>
        <v>9</v>
      </c>
      <c r="D1180" s="6" t="str">
        <f ca="1">IFERROR(__xludf.DUMMYFUNCTION("""COMPUTED_VALUE"""),"NO")</f>
        <v>NO</v>
      </c>
      <c r="E1180" s="6" t="str">
        <f ca="1">IFERROR(__xludf.DUMMYFUNCTION("""COMPUTED_VALUE"""),"Zaragoza- Santander")</f>
        <v>Zaragoza- Santander</v>
      </c>
      <c r="F1180" s="16">
        <f ca="1">IFERROR(__xludf.DUMMYFUNCTION("""COMPUTED_VALUE"""),45904)</f>
        <v>45904</v>
      </c>
      <c r="G1180" s="16">
        <f ca="1">IFERROR(__xludf.DUMMYFUNCTION("""COMPUTED_VALUE"""),45817)</f>
        <v>45817</v>
      </c>
      <c r="H1180" s="6" t="str">
        <f ca="1">IFERROR(__xludf.DUMMYFUNCTION("""COMPUTED_VALUE"""),"Zaragoza- Santander")</f>
        <v>Zaragoza- Santander</v>
      </c>
      <c r="I1180" s="6" t="str">
        <f ca="1">IFERROR(__xludf.DUMMYFUNCTION("""COMPUTED_VALUE"""),"ZRZS-142")</f>
        <v>ZRZS-142</v>
      </c>
      <c r="J1180" s="6" t="str">
        <f ca="1">IFERROR(__xludf.DUMMYFUNCTION("""COMPUTED_VALUE"""),"JOSE LUIS LASHERAS MARCO")</f>
        <v>JOSE LUIS LASHERAS MARCO</v>
      </c>
      <c r="K1180" s="6">
        <f ca="1">IFERROR(__xludf.DUMMYFUNCTION("""COMPUTED_VALUE"""),2)</f>
        <v>2</v>
      </c>
      <c r="L1180" s="139">
        <f ca="1">IFERROR(__xludf.DUMMYFUNCTION("""COMPUTED_VALUE"""),3818.18)</f>
        <v>3818.18</v>
      </c>
      <c r="M1180" s="6" t="str">
        <f ca="1">IFERROR(__xludf.DUMMYFUNCTION("""COMPUTED_VALUE"""),"03 ORL")</f>
        <v>03 ORL</v>
      </c>
      <c r="N1180" s="6" t="str">
        <f ca="1">IFERROR(__xludf.DUMMYFUNCTION("""COMPUTED_VALUE"""),"06 ORL")</f>
        <v>06 ORL</v>
      </c>
      <c r="O1180" s="6" t="str">
        <f ca="1">IFERROR(__xludf.DUMMYFUNCTION("""COMPUTED_VALUE"""),"Dr, José Víctor Tisner Nieto")</f>
        <v>Dr, José Víctor Tisner Nieto</v>
      </c>
      <c r="P1180" s="6" t="str">
        <f ca="1">IFERROR(__xludf.DUMMYFUNCTION("""COMPUTED_VALUE"""),"Ignacio Berdejo (Zaragoza)")</f>
        <v>Ignacio Berdejo (Zaragoza)</v>
      </c>
    </row>
    <row r="1181" spans="2:16">
      <c r="B1181" s="6">
        <f ca="1">IFERROR(__xludf.DUMMYFUNCTION("""COMPUTED_VALUE"""),2025)</f>
        <v>2025</v>
      </c>
      <c r="C1181" s="6">
        <f ca="1">IFERROR(__xludf.DUMMYFUNCTION("""COMPUTED_VALUE"""),9)</f>
        <v>9</v>
      </c>
      <c r="D1181" s="6" t="str">
        <f ca="1">IFERROR(__xludf.DUMMYFUNCTION("""COMPUTED_VALUE"""),"NO")</f>
        <v>NO</v>
      </c>
      <c r="E1181" s="6" t="str">
        <f ca="1">IFERROR(__xludf.DUMMYFUNCTION("""COMPUTED_VALUE"""),"Zaragoza- Santander")</f>
        <v>Zaragoza- Santander</v>
      </c>
      <c r="F1181" s="16">
        <f ca="1">IFERROR(__xludf.DUMMYFUNCTION("""COMPUTED_VALUE"""),45917)</f>
        <v>45917</v>
      </c>
      <c r="G1181" s="16">
        <f ca="1">IFERROR(__xludf.DUMMYFUNCTION("""COMPUTED_VALUE"""),45910)</f>
        <v>45910</v>
      </c>
      <c r="H1181" s="6" t="str">
        <f ca="1">IFERROR(__xludf.DUMMYFUNCTION("""COMPUTED_VALUE"""),"Zaragoza- Santander")</f>
        <v>Zaragoza- Santander</v>
      </c>
      <c r="I1181" s="6" t="str">
        <f ca="1">IFERROR(__xludf.DUMMYFUNCTION("""COMPUTED_VALUE"""),"C2025911105951791")</f>
        <v>C2025911105951791</v>
      </c>
      <c r="J1181" s="6" t="str">
        <f ca="1">IFERROR(__xludf.DUMMYFUNCTION("""COMPUTED_VALUE"""),"JUAN RAMON SOLER SANTALIESTRA")</f>
        <v>JUAN RAMON SOLER SANTALIESTRA</v>
      </c>
      <c r="K1181" s="6">
        <f ca="1">IFERROR(__xludf.DUMMYFUNCTION("""COMPUTED_VALUE"""),2)</f>
        <v>2</v>
      </c>
      <c r="L1181" s="139">
        <f ca="1">IFERROR(__xludf.DUMMYFUNCTION("""COMPUTED_VALUE"""),4000)</f>
        <v>4000</v>
      </c>
      <c r="M1181" s="6" t="str">
        <f ca="1">IFERROR(__xludf.DUMMYFUNCTION("""COMPUTED_VALUE"""),"03 ORL")</f>
        <v>03 ORL</v>
      </c>
      <c r="N1181" s="6" t="str">
        <f ca="1">IFERROR(__xludf.DUMMYFUNCTION("""COMPUTED_VALUE"""),"06 ORL")</f>
        <v>06 ORL</v>
      </c>
      <c r="O1181" s="6" t="str">
        <f ca="1">IFERROR(__xludf.DUMMYFUNCTION("""COMPUTED_VALUE"""),"Dr, Jaime Leache Pueyo")</f>
        <v>Dr, Jaime Leache Pueyo</v>
      </c>
      <c r="P1181" s="6" t="str">
        <f ca="1">IFERROR(__xludf.DUMMYFUNCTION("""COMPUTED_VALUE"""),"Mercè Cabrera (Cataluña Y Baleares)")</f>
        <v>Mercè Cabrera (Cataluña Y Baleares)</v>
      </c>
    </row>
    <row r="1182" spans="2:16">
      <c r="B1182" s="6">
        <f ca="1">IFERROR(__xludf.DUMMYFUNCTION("""COMPUTED_VALUE"""),2025)</f>
        <v>2025</v>
      </c>
      <c r="C1182" s="6">
        <f ca="1">IFERROR(__xludf.DUMMYFUNCTION("""COMPUTED_VALUE"""),9)</f>
        <v>9</v>
      </c>
      <c r="D1182" s="6" t="str">
        <f ca="1">IFERROR(__xludf.DUMMYFUNCTION("""COMPUTED_VALUE"""),"NO")</f>
        <v>NO</v>
      </c>
      <c r="E1182" s="6" t="str">
        <f ca="1">IFERROR(__xludf.DUMMYFUNCTION("""COMPUTED_VALUE"""),"Badajoz")</f>
        <v>Badajoz</v>
      </c>
      <c r="F1182" s="16">
        <f ca="1">IFERROR(__xludf.DUMMYFUNCTION("""COMPUTED_VALUE"""),45902)</f>
        <v>45902</v>
      </c>
      <c r="G1182" s="16">
        <f ca="1">IFERROR(__xludf.DUMMYFUNCTION("""COMPUTED_VALUE"""),45852)</f>
        <v>45852</v>
      </c>
      <c r="H1182" s="6" t="str">
        <f ca="1">IFERROR(__xludf.DUMMYFUNCTION("""COMPUTED_VALUE"""),"Badajoz")</f>
        <v>Badajoz</v>
      </c>
      <c r="I1182" s="6" t="str">
        <f ca="1">IFERROR(__xludf.DUMMYFUNCTION("""COMPUTED_VALUE"""),"BJZE-2506")</f>
        <v>BJZE-2506</v>
      </c>
      <c r="J1182" s="6" t="str">
        <f ca="1">IFERROR(__xludf.DUMMYFUNCTION("""COMPUTED_VALUE"""),"CLOTILDE BALLESTER LAGUNA")</f>
        <v>CLOTILDE BALLESTER LAGUNA</v>
      </c>
      <c r="K1182" s="6">
        <f ca="1">IFERROR(__xludf.DUMMYFUNCTION("""COMPUTED_VALUE"""),2)</f>
        <v>2</v>
      </c>
      <c r="L1182" s="139">
        <f ca="1">IFERROR(__xludf.DUMMYFUNCTION("""COMPUTED_VALUE"""),3181.82)</f>
        <v>3181.82</v>
      </c>
      <c r="M1182" s="6" t="str">
        <f ca="1">IFERROR(__xludf.DUMMYFUNCTION("""COMPUTED_VALUE"""),"03 ORL")</f>
        <v>03 ORL</v>
      </c>
      <c r="N1182" s="6" t="str">
        <f ca="1">IFERROR(__xludf.DUMMYFUNCTION("""COMPUTED_VALUE"""),"06 ORL")</f>
        <v>06 ORL</v>
      </c>
      <c r="O1182" s="6" t="str">
        <f ca="1">IFERROR(__xludf.DUMMYFUNCTION("""COMPUTED_VALUE"""),"Dr, Isidoro Rubio Correa")</f>
        <v>Dr, Isidoro Rubio Correa</v>
      </c>
      <c r="P1182" s="6" t="str">
        <f ca="1">IFERROR(__xludf.DUMMYFUNCTION("""COMPUTED_VALUE"""),"Luis Alberto Rodríguez (Andalucía Y Badajoz)")</f>
        <v>Luis Alberto Rodríguez (Andalucía Y Badajoz)</v>
      </c>
    </row>
    <row r="1183" spans="2:16">
      <c r="B1183" s="6">
        <f ca="1">IFERROR(__xludf.DUMMYFUNCTION("""COMPUTED_VALUE"""),2025)</f>
        <v>2025</v>
      </c>
      <c r="C1183" s="6">
        <f ca="1">IFERROR(__xludf.DUMMYFUNCTION("""COMPUTED_VALUE"""),9)</f>
        <v>9</v>
      </c>
      <c r="D1183" s="6" t="str">
        <f ca="1">IFERROR(__xludf.DUMMYFUNCTION("""COMPUTED_VALUE"""),"NO")</f>
        <v>NO</v>
      </c>
      <c r="E1183" s="6" t="str">
        <f ca="1">IFERROR(__xludf.DUMMYFUNCTION("""COMPUTED_VALUE"""),"Vigo")</f>
        <v>Vigo</v>
      </c>
      <c r="F1183" s="16">
        <f ca="1">IFERROR(__xludf.DUMMYFUNCTION("""COMPUTED_VALUE"""),45903)</f>
        <v>45903</v>
      </c>
      <c r="G1183" s="16">
        <f ca="1">IFERROR(__xludf.DUMMYFUNCTION("""COMPUTED_VALUE"""),45862)</f>
        <v>45862</v>
      </c>
      <c r="H1183" s="6" t="str">
        <f ca="1">IFERROR(__xludf.DUMMYFUNCTION("""COMPUTED_VALUE"""),"Vigo")</f>
        <v>Vigo</v>
      </c>
      <c r="I1183" s="6" t="str">
        <f ca="1">IFERROR(__xludf.DUMMYFUNCTION("""COMPUTED_VALUE"""),"VIG-599")</f>
        <v>VIG-599</v>
      </c>
      <c r="J1183" s="6" t="str">
        <f ca="1">IFERROR(__xludf.DUMMYFUNCTION("""COMPUTED_VALUE"""),"ANTONIO COELLO ALVAREZ")</f>
        <v>ANTONIO COELLO ALVAREZ</v>
      </c>
      <c r="K1183" s="6">
        <f ca="1">IFERROR(__xludf.DUMMYFUNCTION("""COMPUTED_VALUE"""),1)</f>
        <v>1</v>
      </c>
      <c r="L1183" s="139">
        <f ca="1">IFERROR(__xludf.DUMMYFUNCTION("""COMPUTED_VALUE"""),1727.27)</f>
        <v>1727.27</v>
      </c>
      <c r="M1183" s="6" t="str">
        <f ca="1">IFERROR(__xludf.DUMMYFUNCTION("""COMPUTED_VALUE"""),"03 ORL")</f>
        <v>03 ORL</v>
      </c>
      <c r="N1183" s="6" t="str">
        <f ca="1">IFERROR(__xludf.DUMMYFUNCTION("""COMPUTED_VALUE"""),"06 ORL")</f>
        <v>06 ORL</v>
      </c>
      <c r="O1183" s="6" t="str">
        <f ca="1">IFERROR(__xludf.DUMMYFUNCTION("""COMPUTED_VALUE"""),"Dra, Adela Pérez-Caro Ríos")</f>
        <v>Dra, Adela Pérez-Caro Ríos</v>
      </c>
      <c r="P1183" s="6" t="str">
        <f ca="1">IFERROR(__xludf.DUMMYFUNCTION("""COMPUTED_VALUE"""),"Roberto Pereira (Galicia)")</f>
        <v>Roberto Pereira (Galicia)</v>
      </c>
    </row>
    <row r="1184" spans="2:16">
      <c r="B1184" s="6">
        <f ca="1">IFERROR(__xludf.DUMMYFUNCTION("""COMPUTED_VALUE"""),2025)</f>
        <v>2025</v>
      </c>
      <c r="C1184" s="6">
        <f ca="1">IFERROR(__xludf.DUMMYFUNCTION("""COMPUTED_VALUE"""),9)</f>
        <v>9</v>
      </c>
      <c r="D1184" s="6" t="str">
        <f ca="1">IFERROR(__xludf.DUMMYFUNCTION("""COMPUTED_VALUE"""),"NO")</f>
        <v>NO</v>
      </c>
      <c r="E1184" s="6" t="str">
        <f ca="1">IFERROR(__xludf.DUMMYFUNCTION("""COMPUTED_VALUE"""),"Lalín")</f>
        <v>Lalín</v>
      </c>
      <c r="F1184" s="16">
        <f ca="1">IFERROR(__xludf.DUMMYFUNCTION("""COMPUTED_VALUE"""),45904)</f>
        <v>45904</v>
      </c>
      <c r="G1184" s="16">
        <f ca="1">IFERROR(__xludf.DUMMYFUNCTION("""COMPUTED_VALUE"""),45856)</f>
        <v>45856</v>
      </c>
      <c r="H1184" s="6" t="str">
        <f ca="1">IFERROR(__xludf.DUMMYFUNCTION("""COMPUTED_VALUE"""),"Lalín")</f>
        <v>Lalín</v>
      </c>
      <c r="I1184" s="6" t="str">
        <f ca="1">IFERROR(__xludf.DUMMYFUNCTION("""COMPUTED_VALUE"""),"LAL-162")</f>
        <v>LAL-162</v>
      </c>
      <c r="J1184" s="6" t="str">
        <f ca="1">IFERROR(__xludf.DUMMYFUNCTION("""COMPUTED_VALUE"""),"JOSE ANTONIO VILARIÑO ASOREY")</f>
        <v>JOSE ANTONIO VILARIÑO ASOREY</v>
      </c>
      <c r="K1184" s="6">
        <f ca="1">IFERROR(__xludf.DUMMYFUNCTION("""COMPUTED_VALUE"""),2)</f>
        <v>2</v>
      </c>
      <c r="L1184" s="139">
        <f ca="1">IFERROR(__xludf.DUMMYFUNCTION("""COMPUTED_VALUE"""),3050.96)</f>
        <v>3050.96</v>
      </c>
      <c r="M1184" s="6" t="str">
        <f ca="1">IFERROR(__xludf.DUMMYFUNCTION("""COMPUTED_VALUE"""),"03 ORL")</f>
        <v>03 ORL</v>
      </c>
      <c r="N1184" s="6" t="str">
        <f ca="1">IFERROR(__xludf.DUMMYFUNCTION("""COMPUTED_VALUE"""),"06 ORL")</f>
        <v>06 ORL</v>
      </c>
      <c r="O1184" s="6" t="str">
        <f ca="1">IFERROR(__xludf.DUMMYFUNCTION("""COMPUTED_VALUE"""),"Dr, Antonio Gustavo Lirola Delgado")</f>
        <v>Dr, Antonio Gustavo Lirola Delgado</v>
      </c>
      <c r="P1184" s="6" t="str">
        <f ca="1">IFERROR(__xludf.DUMMYFUNCTION("""COMPUTED_VALUE"""),"Roberto Pereira (Galicia)")</f>
        <v>Roberto Pereira (Galicia)</v>
      </c>
    </row>
    <row r="1185" spans="2:16">
      <c r="B1185" s="6">
        <f ca="1">IFERROR(__xludf.DUMMYFUNCTION("""COMPUTED_VALUE"""),2025)</f>
        <v>2025</v>
      </c>
      <c r="C1185" s="6">
        <f ca="1">IFERROR(__xludf.DUMMYFUNCTION("""COMPUTED_VALUE"""),9)</f>
        <v>9</v>
      </c>
      <c r="D1185" s="6" t="str">
        <f ca="1">IFERROR(__xludf.DUMMYFUNCTION("""COMPUTED_VALUE"""),"NO")</f>
        <v>NO</v>
      </c>
      <c r="E1185" s="6" t="str">
        <f ca="1">IFERROR(__xludf.DUMMYFUNCTION("""COMPUTED_VALUE"""),"Salamanca")</f>
        <v>Salamanca</v>
      </c>
      <c r="F1185" s="16">
        <f ca="1">IFERROR(__xludf.DUMMYFUNCTION("""COMPUTED_VALUE"""),45904)</f>
        <v>45904</v>
      </c>
      <c r="G1185" s="16">
        <f ca="1">IFERROR(__xludf.DUMMYFUNCTION("""COMPUTED_VALUE"""),45847)</f>
        <v>45847</v>
      </c>
      <c r="H1185" s="6" t="str">
        <f ca="1">IFERROR(__xludf.DUMMYFUNCTION("""COMPUTED_VALUE"""),"Salamanca")</f>
        <v>Salamanca</v>
      </c>
      <c r="I1185" s="6" t="str">
        <f ca="1">IFERROR(__xludf.DUMMYFUNCTION("""COMPUTED_VALUE"""),"SLM-584")</f>
        <v>SLM-584</v>
      </c>
      <c r="J1185" s="6" t="str">
        <f ca="1">IFERROR(__xludf.DUMMYFUNCTION("""COMPUTED_VALUE"""),"MARIA DEL PILAR ROBLES LOPEZ")</f>
        <v>MARIA DEL PILAR ROBLES LOPEZ</v>
      </c>
      <c r="K1185" s="6">
        <f ca="1">IFERROR(__xludf.DUMMYFUNCTION("""COMPUTED_VALUE"""),1)</f>
        <v>1</v>
      </c>
      <c r="L1185" s="139">
        <f ca="1">IFERROR(__xludf.DUMMYFUNCTION("""COMPUTED_VALUE"""),2471.82)</f>
        <v>2471.8200000000002</v>
      </c>
      <c r="M1185" s="6" t="str">
        <f ca="1">IFERROR(__xludf.DUMMYFUNCTION("""COMPUTED_VALUE"""),"03 ORL")</f>
        <v>03 ORL</v>
      </c>
      <c r="N1185" s="6" t="str">
        <f ca="1">IFERROR(__xludf.DUMMYFUNCTION("""COMPUTED_VALUE"""),"06 ORL")</f>
        <v>06 ORL</v>
      </c>
      <c r="O1185" s="6" t="str">
        <f ca="1">IFERROR(__xludf.DUMMYFUNCTION("""COMPUTED_VALUE"""),"Dr, Ángel Muñoz Herrera")</f>
        <v>Dr, Ángel Muñoz Herrera</v>
      </c>
      <c r="P1185" s="6" t="str">
        <f ca="1">IFERROR(__xludf.DUMMYFUNCTION("""COMPUTED_VALUE"""),"Alberto Moreno (Madrid)")</f>
        <v>Alberto Moreno (Madrid)</v>
      </c>
    </row>
    <row r="1186" spans="2:16">
      <c r="B1186" s="6">
        <f ca="1">IFERROR(__xludf.DUMMYFUNCTION("""COMPUTED_VALUE"""),2025)</f>
        <v>2025</v>
      </c>
      <c r="C1186" s="6">
        <f ca="1">IFERROR(__xludf.DUMMYFUNCTION("""COMPUTED_VALUE"""),9)</f>
        <v>9</v>
      </c>
      <c r="D1186" s="6" t="str">
        <f ca="1">IFERROR(__xludf.DUMMYFUNCTION("""COMPUTED_VALUE"""),"SI")</f>
        <v>SI</v>
      </c>
      <c r="E1186" s="6" t="str">
        <f ca="1">IFERROR(__xludf.DUMMYFUNCTION("""COMPUTED_VALUE"""),"Vigo")</f>
        <v>Vigo</v>
      </c>
      <c r="F1186" s="16">
        <f ca="1">IFERROR(__xludf.DUMMYFUNCTION("""COMPUTED_VALUE"""),45908)</f>
        <v>45908</v>
      </c>
      <c r="G1186" s="16">
        <f ca="1">IFERROR(__xludf.DUMMYFUNCTION("""COMPUTED_VALUE"""),45357)</f>
        <v>45357</v>
      </c>
      <c r="H1186" s="6" t="str">
        <f ca="1">IFERROR(__xludf.DUMMYFUNCTION("""COMPUTED_VALUE"""),"Vigo")</f>
        <v>Vigo</v>
      </c>
      <c r="I1186" s="6" t="str">
        <f ca="1">IFERROR(__xludf.DUMMYFUNCTION("""COMPUTED_VALUE"""),"VIG-400")</f>
        <v>VIG-400</v>
      </c>
      <c r="J1186" s="6" t="str">
        <f ca="1">IFERROR(__xludf.DUMMYFUNCTION("""COMPUTED_VALUE"""),"DELFINA COSTAS VELAZQUEZ")</f>
        <v>DELFINA COSTAS VELAZQUEZ</v>
      </c>
      <c r="K1186" s="6">
        <f ca="1">IFERROR(__xludf.DUMMYFUNCTION("""COMPUTED_VALUE"""),2)</f>
        <v>2</v>
      </c>
      <c r="L1186" s="139">
        <f ca="1">IFERROR(__xludf.DUMMYFUNCTION("""COMPUTED_VALUE"""),1363.64)</f>
        <v>1363.64</v>
      </c>
      <c r="M1186" s="6" t="str">
        <f ca="1">IFERROR(__xludf.DUMMYFUNCTION("""COMPUTED_VALUE"""),"03 ORL")</f>
        <v>03 ORL</v>
      </c>
      <c r="N1186" s="6" t="str">
        <f ca="1">IFERROR(__xludf.DUMMYFUNCTION("""COMPUTED_VALUE"""),"06 ORL")</f>
        <v>06 ORL</v>
      </c>
      <c r="O1186" s="6" t="str">
        <f ca="1">IFERROR(__xludf.DUMMYFUNCTION("""COMPUTED_VALUE"""),"Dra, Pilar Castro Ruiz")</f>
        <v>Dra, Pilar Castro Ruiz</v>
      </c>
      <c r="P1186" s="6" t="str">
        <f ca="1">IFERROR(__xludf.DUMMYFUNCTION("""COMPUTED_VALUE"""),"Roberto Pereira (Galicia)")</f>
        <v>Roberto Pereira (Galicia)</v>
      </c>
    </row>
    <row r="1187" spans="2:16">
      <c r="B1187" s="6">
        <f ca="1">IFERROR(__xludf.DUMMYFUNCTION("""COMPUTED_VALUE"""),2025)</f>
        <v>2025</v>
      </c>
      <c r="C1187" s="6">
        <f ca="1">IFERROR(__xludf.DUMMYFUNCTION("""COMPUTED_VALUE"""),9)</f>
        <v>9</v>
      </c>
      <c r="D1187" s="6" t="str">
        <f ca="1">IFERROR(__xludf.DUMMYFUNCTION("""COMPUTED_VALUE"""),"NO")</f>
        <v>NO</v>
      </c>
      <c r="E1187" s="6" t="str">
        <f ca="1">IFERROR(__xludf.DUMMYFUNCTION("""COMPUTED_VALUE"""),"Badajoz")</f>
        <v>Badajoz</v>
      </c>
      <c r="F1187" s="16">
        <f ca="1">IFERROR(__xludf.DUMMYFUNCTION("""COMPUTED_VALUE"""),45909)</f>
        <v>45909</v>
      </c>
      <c r="G1187" s="16">
        <f ca="1">IFERROR(__xludf.DUMMYFUNCTION("""COMPUTED_VALUE"""),45825)</f>
        <v>45825</v>
      </c>
      <c r="H1187" s="6" t="str">
        <f ca="1">IFERROR(__xludf.DUMMYFUNCTION("""COMPUTED_VALUE"""),"Badajoz")</f>
        <v>Badajoz</v>
      </c>
      <c r="I1187" s="6" t="str">
        <f ca="1">IFERROR(__xludf.DUMMYFUNCTION("""COMPUTED_VALUE"""),"BJZE-2498")</f>
        <v>BJZE-2498</v>
      </c>
      <c r="J1187" s="6" t="str">
        <f ca="1">IFERROR(__xludf.DUMMYFUNCTION("""COMPUTED_VALUE"""),"VICTORIA HERNANDEZ RUBIALES")</f>
        <v>VICTORIA HERNANDEZ RUBIALES</v>
      </c>
      <c r="K1187" s="6">
        <f ca="1">IFERROR(__xludf.DUMMYFUNCTION("""COMPUTED_VALUE"""),2)</f>
        <v>2</v>
      </c>
      <c r="L1187" s="139">
        <f ca="1">IFERROR(__xludf.DUMMYFUNCTION("""COMPUTED_VALUE"""),3090.91)</f>
        <v>3090.91</v>
      </c>
      <c r="M1187" s="6" t="str">
        <f ca="1">IFERROR(__xludf.DUMMYFUNCTION("""COMPUTED_VALUE"""),"03 ORL")</f>
        <v>03 ORL</v>
      </c>
      <c r="N1187" s="6" t="str">
        <f ca="1">IFERROR(__xludf.DUMMYFUNCTION("""COMPUTED_VALUE"""),"06 ORL")</f>
        <v>06 ORL</v>
      </c>
      <c r="O1187" s="6" t="str">
        <f ca="1">IFERROR(__xludf.DUMMYFUNCTION("""COMPUTED_VALUE"""),"Dr, Carlos Montero García")</f>
        <v>Dr, Carlos Montero García</v>
      </c>
      <c r="P1187" s="6" t="str">
        <f ca="1">IFERROR(__xludf.DUMMYFUNCTION("""COMPUTED_VALUE"""),"Luis Alberto Rodríguez (Andalucía Y Badajoz)")</f>
        <v>Luis Alberto Rodríguez (Andalucía Y Badajoz)</v>
      </c>
    </row>
    <row r="1188" spans="2:16">
      <c r="B1188" s="6">
        <f ca="1">IFERROR(__xludf.DUMMYFUNCTION("""COMPUTED_VALUE"""),2025)</f>
        <v>2025</v>
      </c>
      <c r="C1188" s="6">
        <f ca="1">IFERROR(__xludf.DUMMYFUNCTION("""COMPUTED_VALUE"""),9)</f>
        <v>9</v>
      </c>
      <c r="D1188" s="6" t="str">
        <f ca="1">IFERROR(__xludf.DUMMYFUNCTION("""COMPUTED_VALUE"""),"NO")</f>
        <v>NO</v>
      </c>
      <c r="E1188" s="6" t="str">
        <f ca="1">IFERROR(__xludf.DUMMYFUNCTION("""COMPUTED_VALUE"""),"Badajoz")</f>
        <v>Badajoz</v>
      </c>
      <c r="F1188" s="16">
        <f ca="1">IFERROR(__xludf.DUMMYFUNCTION("""COMPUTED_VALUE"""),45910)</f>
        <v>45910</v>
      </c>
      <c r="G1188" s="16">
        <f ca="1">IFERROR(__xludf.DUMMYFUNCTION("""COMPUTED_VALUE"""),45841)</f>
        <v>45841</v>
      </c>
      <c r="H1188" s="6" t="str">
        <f ca="1">IFERROR(__xludf.DUMMYFUNCTION("""COMPUTED_VALUE"""),"Badajoz")</f>
        <v>Badajoz</v>
      </c>
      <c r="I1188" s="6" t="str">
        <f ca="1">IFERROR(__xludf.DUMMYFUNCTION("""COMPUTED_VALUE"""),"BJZE-2502")</f>
        <v>BJZE-2502</v>
      </c>
      <c r="J1188" s="6" t="str">
        <f ca="1">IFERROR(__xludf.DUMMYFUNCTION("""COMPUTED_VALUE"""),"INMACULADA FUENTES GUTIERREZ")</f>
        <v>INMACULADA FUENTES GUTIERREZ</v>
      </c>
      <c r="K1188" s="6">
        <f ca="1">IFERROR(__xludf.DUMMYFUNCTION("""COMPUTED_VALUE"""),2)</f>
        <v>2</v>
      </c>
      <c r="L1188" s="139">
        <f ca="1">IFERROR(__xludf.DUMMYFUNCTION("""COMPUTED_VALUE"""),4038.46)</f>
        <v>4038.46</v>
      </c>
      <c r="M1188" s="6" t="str">
        <f ca="1">IFERROR(__xludf.DUMMYFUNCTION("""COMPUTED_VALUE"""),"03 ORL")</f>
        <v>03 ORL</v>
      </c>
      <c r="N1188" s="6" t="str">
        <f ca="1">IFERROR(__xludf.DUMMYFUNCTION("""COMPUTED_VALUE"""),"06 ORL")</f>
        <v>06 ORL</v>
      </c>
      <c r="O1188" s="6" t="str">
        <f ca="1">IFERROR(__xludf.DUMMYFUNCTION("""COMPUTED_VALUE"""),"Dr, Isidoro Rubio Correa")</f>
        <v>Dr, Isidoro Rubio Correa</v>
      </c>
      <c r="P1188" s="6" t="str">
        <f ca="1">IFERROR(__xludf.DUMMYFUNCTION("""COMPUTED_VALUE"""),"Luis Alberto Rodríguez (Andalucía Y Badajoz)")</f>
        <v>Luis Alberto Rodríguez (Andalucía Y Badajoz)</v>
      </c>
    </row>
    <row r="1189" spans="2:16">
      <c r="B1189" s="6">
        <f ca="1">IFERROR(__xludf.DUMMYFUNCTION("""COMPUTED_VALUE"""),2025)</f>
        <v>2025</v>
      </c>
      <c r="C1189" s="6">
        <f ca="1">IFERROR(__xludf.DUMMYFUNCTION("""COMPUTED_VALUE"""),9)</f>
        <v>9</v>
      </c>
      <c r="D1189" s="6" t="str">
        <f ca="1">IFERROR(__xludf.DUMMYFUNCTION("""COMPUTED_VALUE"""),"NO")</f>
        <v>NO</v>
      </c>
      <c r="E1189" s="6" t="str">
        <f ca="1">IFERROR(__xludf.DUMMYFUNCTION("""COMPUTED_VALUE"""),"Boiro")</f>
        <v>Boiro</v>
      </c>
      <c r="F1189" s="16">
        <f ca="1">IFERROR(__xludf.DUMMYFUNCTION("""COMPUTED_VALUE"""),45910)</f>
        <v>45910</v>
      </c>
      <c r="G1189" s="16">
        <f ca="1">IFERROR(__xludf.DUMMYFUNCTION("""COMPUTED_VALUE"""),45902)</f>
        <v>45902</v>
      </c>
      <c r="H1189" s="6" t="str">
        <f ca="1">IFERROR(__xludf.DUMMYFUNCTION("""COMPUTED_VALUE"""),"Boiro")</f>
        <v>Boiro</v>
      </c>
      <c r="I1189" s="6" t="str">
        <f ca="1">IFERROR(__xludf.DUMMYFUNCTION("""COMPUTED_VALUE"""),"BOI-988")</f>
        <v>BOI-988</v>
      </c>
      <c r="J1189" s="6" t="str">
        <f ca="1">IFERROR(__xludf.DUMMYFUNCTION("""COMPUTED_VALUE"""),"MATILDE DA PALMA SANCHEZ")</f>
        <v>MATILDE DA PALMA SANCHEZ</v>
      </c>
      <c r="K1189" s="6">
        <f ca="1">IFERROR(__xludf.DUMMYFUNCTION("""COMPUTED_VALUE"""),2)</f>
        <v>2</v>
      </c>
      <c r="L1189" s="139">
        <f ca="1">IFERROR(__xludf.DUMMYFUNCTION("""COMPUTED_VALUE"""),3081.82)</f>
        <v>3081.82</v>
      </c>
      <c r="M1189" s="6" t="str">
        <f ca="1">IFERROR(__xludf.DUMMYFUNCTION("""COMPUTED_VALUE"""),"03 ORL")</f>
        <v>03 ORL</v>
      </c>
      <c r="N1189" s="6" t="str">
        <f ca="1">IFERROR(__xludf.DUMMYFUNCTION("""COMPUTED_VALUE"""),"06 ORL")</f>
        <v>06 ORL</v>
      </c>
      <c r="O1189" s="6" t="str">
        <f ca="1">IFERROR(__xludf.DUMMYFUNCTION("""COMPUTED_VALUE"""),"Dr, Carlos Vidal Redondo")</f>
        <v>Dr, Carlos Vidal Redondo</v>
      </c>
      <c r="P1189" s="6" t="str">
        <f ca="1">IFERROR(__xludf.DUMMYFUNCTION("""COMPUTED_VALUE"""),"Roberto Pereira (Galicia)")</f>
        <v>Roberto Pereira (Galicia)</v>
      </c>
    </row>
    <row r="1190" spans="2:16">
      <c r="B1190" s="6">
        <f ca="1">IFERROR(__xludf.DUMMYFUNCTION("""COMPUTED_VALUE"""),2025)</f>
        <v>2025</v>
      </c>
      <c r="C1190" s="6">
        <f ca="1">IFERROR(__xludf.DUMMYFUNCTION("""COMPUTED_VALUE"""),9)</f>
        <v>9</v>
      </c>
      <c r="D1190" s="6" t="str">
        <f ca="1">IFERROR(__xludf.DUMMYFUNCTION("""COMPUTED_VALUE"""),"NO")</f>
        <v>NO</v>
      </c>
      <c r="E1190" s="6" t="str">
        <f ca="1">IFERROR(__xludf.DUMMYFUNCTION("""COMPUTED_VALUE"""),"Ponferrada")</f>
        <v>Ponferrada</v>
      </c>
      <c r="F1190" s="16">
        <f ca="1">IFERROR(__xludf.DUMMYFUNCTION("""COMPUTED_VALUE"""),45910)</f>
        <v>45910</v>
      </c>
      <c r="G1190" s="16">
        <f ca="1">IFERROR(__xludf.DUMMYFUNCTION("""COMPUTED_VALUE"""),45784)</f>
        <v>45784</v>
      </c>
      <c r="H1190" s="6" t="str">
        <f ca="1">IFERROR(__xludf.DUMMYFUNCTION("""COMPUTED_VALUE"""),"Ponferrada")</f>
        <v>Ponferrada</v>
      </c>
      <c r="I1190" s="6" t="str">
        <f ca="1">IFERROR(__xludf.DUMMYFUNCTION("""COMPUTED_VALUE"""),"PON-919")</f>
        <v>PON-919</v>
      </c>
      <c r="J1190" s="6" t="str">
        <f ca="1">IFERROR(__xludf.DUMMYFUNCTION("""COMPUTED_VALUE"""),"ROMAN VENCE JULIAN")</f>
        <v>ROMAN VENCE JULIAN</v>
      </c>
      <c r="K1190" s="6">
        <f ca="1">IFERROR(__xludf.DUMMYFUNCTION("""COMPUTED_VALUE"""),2)</f>
        <v>2</v>
      </c>
      <c r="L1190" s="139">
        <f ca="1">IFERROR(__xludf.DUMMYFUNCTION("""COMPUTED_VALUE"""),3461.54)</f>
        <v>3461.54</v>
      </c>
      <c r="M1190" s="6" t="str">
        <f ca="1">IFERROR(__xludf.DUMMYFUNCTION("""COMPUTED_VALUE"""),"03 ORL")</f>
        <v>03 ORL</v>
      </c>
      <c r="N1190" s="6" t="str">
        <f ca="1">IFERROR(__xludf.DUMMYFUNCTION("""COMPUTED_VALUE"""),"06 ORL")</f>
        <v>06 ORL</v>
      </c>
      <c r="O1190" s="6" t="str">
        <f ca="1">IFERROR(__xludf.DUMMYFUNCTION("""COMPUTED_VALUE"""),"Dra, Xenia Mota Rojas")</f>
        <v>Dra, Xenia Mota Rojas</v>
      </c>
      <c r="P1190" s="6" t="str">
        <f ca="1">IFERROR(__xludf.DUMMYFUNCTION("""COMPUTED_VALUE"""),"Alberto Moreno (Madrid)")</f>
        <v>Alberto Moreno (Madrid)</v>
      </c>
    </row>
    <row r="1191" spans="2:16">
      <c r="B1191" s="6">
        <f ca="1">IFERROR(__xludf.DUMMYFUNCTION("""COMPUTED_VALUE"""),2025)</f>
        <v>2025</v>
      </c>
      <c r="C1191" s="6">
        <f ca="1">IFERROR(__xludf.DUMMYFUNCTION("""COMPUTED_VALUE"""),9)</f>
        <v>9</v>
      </c>
      <c r="D1191" s="6" t="str">
        <f ca="1">IFERROR(__xludf.DUMMYFUNCTION("""COMPUTED_VALUE"""),"NO")</f>
        <v>NO</v>
      </c>
      <c r="E1191" s="6" t="str">
        <f ca="1">IFERROR(__xludf.DUMMYFUNCTION("""COMPUTED_VALUE"""),"Badajoz")</f>
        <v>Badajoz</v>
      </c>
      <c r="F1191" s="16">
        <f ca="1">IFERROR(__xludf.DUMMYFUNCTION("""COMPUTED_VALUE"""),45915)</f>
        <v>45915</v>
      </c>
      <c r="G1191" s="16">
        <f ca="1">IFERROR(__xludf.DUMMYFUNCTION("""COMPUTED_VALUE"""),45826)</f>
        <v>45826</v>
      </c>
      <c r="H1191" s="6" t="str">
        <f ca="1">IFERROR(__xludf.DUMMYFUNCTION("""COMPUTED_VALUE"""),"Badajoz")</f>
        <v>Badajoz</v>
      </c>
      <c r="I1191" s="6" t="str">
        <f ca="1">IFERROR(__xludf.DUMMYFUNCTION("""COMPUTED_VALUE"""),"BJZE-2499")</f>
        <v>BJZE-2499</v>
      </c>
      <c r="J1191" s="6" t="str">
        <f ca="1">IFERROR(__xludf.DUMMYFUNCTION("""COMPUTED_VALUE"""),"PABLO MORALES MARQUEZ")</f>
        <v>PABLO MORALES MARQUEZ</v>
      </c>
      <c r="K1191" s="6">
        <f ca="1">IFERROR(__xludf.DUMMYFUNCTION("""COMPUTED_VALUE"""),1)</f>
        <v>1</v>
      </c>
      <c r="L1191" s="139">
        <f ca="1">IFERROR(__xludf.DUMMYFUNCTION("""COMPUTED_VALUE"""),2163.46)</f>
        <v>2163.46</v>
      </c>
      <c r="M1191" s="6" t="str">
        <f ca="1">IFERROR(__xludf.DUMMYFUNCTION("""COMPUTED_VALUE"""),"03 ORL")</f>
        <v>03 ORL</v>
      </c>
      <c r="N1191" s="6" t="str">
        <f ca="1">IFERROR(__xludf.DUMMYFUNCTION("""COMPUTED_VALUE"""),"06 ORL")</f>
        <v>06 ORL</v>
      </c>
      <c r="O1191" s="6" t="str">
        <f ca="1">IFERROR(__xludf.DUMMYFUNCTION("""COMPUTED_VALUE"""),"Dr, Isidoro Rubio Correa")</f>
        <v>Dr, Isidoro Rubio Correa</v>
      </c>
      <c r="P1191" s="6" t="str">
        <f ca="1">IFERROR(__xludf.DUMMYFUNCTION("""COMPUTED_VALUE"""),"Luis Alberto Rodríguez (Andalucía Y Badajoz)")</f>
        <v>Luis Alberto Rodríguez (Andalucía Y Badajoz)</v>
      </c>
    </row>
    <row r="1192" spans="2:16">
      <c r="B1192" s="6">
        <f ca="1">IFERROR(__xludf.DUMMYFUNCTION("""COMPUTED_VALUE"""),2025)</f>
        <v>2025</v>
      </c>
      <c r="C1192" s="6">
        <f ca="1">IFERROR(__xludf.DUMMYFUNCTION("""COMPUTED_VALUE"""),9)</f>
        <v>9</v>
      </c>
      <c r="D1192" s="6" t="str">
        <f ca="1">IFERROR(__xludf.DUMMYFUNCTION("""COMPUTED_VALUE"""),"NO")</f>
        <v>NO</v>
      </c>
      <c r="E1192" s="6" t="str">
        <f ca="1">IFERROR(__xludf.DUMMYFUNCTION("""COMPUTED_VALUE"""),"Cáceres")</f>
        <v>Cáceres</v>
      </c>
      <c r="F1192" s="16">
        <f ca="1">IFERROR(__xludf.DUMMYFUNCTION("""COMPUTED_VALUE"""),45915)</f>
        <v>45915</v>
      </c>
      <c r="G1192" s="16">
        <f ca="1">IFERROR(__xludf.DUMMYFUNCTION("""COMPUTED_VALUE"""),45860)</f>
        <v>45860</v>
      </c>
      <c r="H1192" s="6" t="str">
        <f ca="1">IFERROR(__xludf.DUMMYFUNCTION("""COMPUTED_VALUE"""),"Cáceres")</f>
        <v>Cáceres</v>
      </c>
      <c r="I1192" s="6" t="str">
        <f ca="1">IFERROR(__xludf.DUMMYFUNCTION("""COMPUTED_VALUE"""),"CAC-354")</f>
        <v>CAC-354</v>
      </c>
      <c r="J1192" s="6" t="str">
        <f ca="1">IFERROR(__xludf.DUMMYFUNCTION("""COMPUTED_VALUE"""),"MARIA DEL CARMEN DIONISIO ACEDO")</f>
        <v>MARIA DEL CARMEN DIONISIO ACEDO</v>
      </c>
      <c r="K1192" s="6">
        <f ca="1">IFERROR(__xludf.DUMMYFUNCTION("""COMPUTED_VALUE"""),2)</f>
        <v>2</v>
      </c>
      <c r="L1192" s="139">
        <f ca="1">IFERROR(__xludf.DUMMYFUNCTION("""COMPUTED_VALUE"""),3940.9)</f>
        <v>3940.9</v>
      </c>
      <c r="M1192" s="6" t="str">
        <f ca="1">IFERROR(__xludf.DUMMYFUNCTION("""COMPUTED_VALUE"""),"03 ORL")</f>
        <v>03 ORL</v>
      </c>
      <c r="N1192" s="6" t="str">
        <f ca="1">IFERROR(__xludf.DUMMYFUNCTION("""COMPUTED_VALUE"""),"06 ORL")</f>
        <v>06 ORL</v>
      </c>
      <c r="O1192" s="6" t="str">
        <f ca="1">IFERROR(__xludf.DUMMYFUNCTION("""COMPUTED_VALUE"""),"Dr, Andrés Paulino Herrera")</f>
        <v>Dr, Andrés Paulino Herrera</v>
      </c>
      <c r="P1192" s="6" t="str">
        <f ca="1">IFERROR(__xludf.DUMMYFUNCTION("""COMPUTED_VALUE"""),"Lisandro Russian (Madrid, Cáceres, Toledo, Talavera Y Logroño)")</f>
        <v>Lisandro Russian (Madrid, Cáceres, Toledo, Talavera Y Logroño)</v>
      </c>
    </row>
    <row r="1193" spans="2:16">
      <c r="B1193" s="6">
        <f ca="1">IFERROR(__xludf.DUMMYFUNCTION("""COMPUTED_VALUE"""),2025)</f>
        <v>2025</v>
      </c>
      <c r="C1193" s="6">
        <f ca="1">IFERROR(__xludf.DUMMYFUNCTION("""COMPUTED_VALUE"""),9)</f>
        <v>9</v>
      </c>
      <c r="D1193" s="6" t="str">
        <f ca="1">IFERROR(__xludf.DUMMYFUNCTION("""COMPUTED_VALUE"""),"NO")</f>
        <v>NO</v>
      </c>
      <c r="E1193" s="6" t="str">
        <f ca="1">IFERROR(__xludf.DUMMYFUNCTION("""COMPUTED_VALUE"""),"Lalín")</f>
        <v>Lalín</v>
      </c>
      <c r="F1193" s="16">
        <f ca="1">IFERROR(__xludf.DUMMYFUNCTION("""COMPUTED_VALUE"""),45916)</f>
        <v>45916</v>
      </c>
      <c r="G1193" s="16">
        <f ca="1">IFERROR(__xludf.DUMMYFUNCTION("""COMPUTED_VALUE"""),45901)</f>
        <v>45901</v>
      </c>
      <c r="H1193" s="6" t="str">
        <f ca="1">IFERROR(__xludf.DUMMYFUNCTION("""COMPUTED_VALUE"""),"Lalín")</f>
        <v>Lalín</v>
      </c>
      <c r="I1193" s="6" t="str">
        <f ca="1">IFERROR(__xludf.DUMMYFUNCTION("""COMPUTED_VALUE"""),"LAL-168")</f>
        <v>LAL-168</v>
      </c>
      <c r="J1193" s="6" t="str">
        <f ca="1">IFERROR(__xludf.DUMMYFUNCTION("""COMPUTED_VALUE"""),"ROSA MARIA SOTO SIMON")</f>
        <v>ROSA MARIA SOTO SIMON</v>
      </c>
      <c r="K1193" s="6">
        <f ca="1">IFERROR(__xludf.DUMMYFUNCTION("""COMPUTED_VALUE"""),1)</f>
        <v>1</v>
      </c>
      <c r="L1193" s="139">
        <f ca="1">IFERROR(__xludf.DUMMYFUNCTION("""COMPUTED_VALUE"""),627.27)</f>
        <v>627.27</v>
      </c>
      <c r="M1193" s="6" t="str">
        <f ca="1">IFERROR(__xludf.DUMMYFUNCTION("""COMPUTED_VALUE"""),"03 ORL")</f>
        <v>03 ORL</v>
      </c>
      <c r="N1193" s="6" t="str">
        <f ca="1">IFERROR(__xludf.DUMMYFUNCTION("""COMPUTED_VALUE"""),"06 ORL")</f>
        <v>06 ORL</v>
      </c>
      <c r="O1193" s="6" t="str">
        <f ca="1">IFERROR(__xludf.DUMMYFUNCTION("""COMPUTED_VALUE"""),"Dr, Isabel Vaamonde Sanchez Andrade")</f>
        <v>Dr, Isabel Vaamonde Sanchez Andrade</v>
      </c>
      <c r="P1193" s="6" t="str">
        <f ca="1">IFERROR(__xludf.DUMMYFUNCTION("""COMPUTED_VALUE"""),"Roberto Pereira (Galicia)")</f>
        <v>Roberto Pereira (Galicia)</v>
      </c>
    </row>
    <row r="1194" spans="2:16">
      <c r="B1194" s="6">
        <f ca="1">IFERROR(__xludf.DUMMYFUNCTION("""COMPUTED_VALUE"""),2025)</f>
        <v>2025</v>
      </c>
      <c r="C1194" s="6">
        <f ca="1">IFERROR(__xludf.DUMMYFUNCTION("""COMPUTED_VALUE"""),9)</f>
        <v>9</v>
      </c>
      <c r="D1194" s="6" t="str">
        <f ca="1">IFERROR(__xludf.DUMMYFUNCTION("""COMPUTED_VALUE"""),"NO")</f>
        <v>NO</v>
      </c>
      <c r="E1194" s="6" t="str">
        <f ca="1">IFERROR(__xludf.DUMMYFUNCTION("""COMPUTED_VALUE"""),"O Barco")</f>
        <v>O Barco</v>
      </c>
      <c r="F1194" s="16">
        <f ca="1">IFERROR(__xludf.DUMMYFUNCTION("""COMPUTED_VALUE"""),45916)</f>
        <v>45916</v>
      </c>
      <c r="G1194" s="16">
        <f ca="1">IFERROR(__xludf.DUMMYFUNCTION("""COMPUTED_VALUE"""),45877)</f>
        <v>45877</v>
      </c>
      <c r="H1194" s="6" t="str">
        <f ca="1">IFERROR(__xludf.DUMMYFUNCTION("""COMPUTED_VALUE"""),"O Barco")</f>
        <v>O Barco</v>
      </c>
      <c r="I1194" s="6" t="str">
        <f ca="1">IFERROR(__xludf.DUMMYFUNCTION("""COMPUTED_VALUE"""),"OBR-72")</f>
        <v>OBR-72</v>
      </c>
      <c r="J1194" s="6" t="str">
        <f ca="1">IFERROR(__xludf.DUMMYFUNCTION("""COMPUTED_VALUE"""),"JOSE LUIS RODRIGUEZ OVIEDO")</f>
        <v>JOSE LUIS RODRIGUEZ OVIEDO</v>
      </c>
      <c r="K1194" s="6">
        <f ca="1">IFERROR(__xludf.DUMMYFUNCTION("""COMPUTED_VALUE"""),2)</f>
        <v>2</v>
      </c>
      <c r="L1194" s="139">
        <f ca="1">IFERROR(__xludf.DUMMYFUNCTION("""COMPUTED_VALUE"""),1908.65)</f>
        <v>1908.65</v>
      </c>
      <c r="M1194" s="6" t="str">
        <f ca="1">IFERROR(__xludf.DUMMYFUNCTION("""COMPUTED_VALUE"""),"03 ORL")</f>
        <v>03 ORL</v>
      </c>
      <c r="N1194" s="6" t="str">
        <f ca="1">IFERROR(__xludf.DUMMYFUNCTION("""COMPUTED_VALUE"""),"06 ORL")</f>
        <v>06 ORL</v>
      </c>
      <c r="O1194" s="6" t="str">
        <f ca="1">IFERROR(__xludf.DUMMYFUNCTION("""COMPUTED_VALUE"""),"No Recuerda Orl")</f>
        <v>No Recuerda Orl</v>
      </c>
      <c r="P1194" s="6" t="str">
        <f ca="1">IFERROR(__xludf.DUMMYFUNCTION("""COMPUTED_VALUE"""),"Alberto Moreno (Madrid)")</f>
        <v>Alberto Moreno (Madrid)</v>
      </c>
    </row>
    <row r="1195" spans="2:16">
      <c r="B1195" s="6">
        <f ca="1">IFERROR(__xludf.DUMMYFUNCTION("""COMPUTED_VALUE"""),2025)</f>
        <v>2025</v>
      </c>
      <c r="C1195" s="6">
        <f ca="1">IFERROR(__xludf.DUMMYFUNCTION("""COMPUTED_VALUE"""),9)</f>
        <v>9</v>
      </c>
      <c r="D1195" s="6" t="str">
        <f ca="1">IFERROR(__xludf.DUMMYFUNCTION("""COMPUTED_VALUE"""),"NO")</f>
        <v>NO</v>
      </c>
      <c r="E1195" s="6" t="str">
        <f ca="1">IFERROR(__xludf.DUMMYFUNCTION("""COMPUTED_VALUE"""),"Cáceres")</f>
        <v>Cáceres</v>
      </c>
      <c r="F1195" s="16">
        <f ca="1">IFERROR(__xludf.DUMMYFUNCTION("""COMPUTED_VALUE"""),45917)</f>
        <v>45917</v>
      </c>
      <c r="G1195" s="16">
        <f ca="1">IFERROR(__xludf.DUMMYFUNCTION("""COMPUTED_VALUE"""),45887)</f>
        <v>45887</v>
      </c>
      <c r="H1195" s="6" t="str">
        <f ca="1">IFERROR(__xludf.DUMMYFUNCTION("""COMPUTED_VALUE"""),"Cáceres")</f>
        <v>Cáceres</v>
      </c>
      <c r="I1195" s="6" t="str">
        <f ca="1">IFERROR(__xludf.DUMMYFUNCTION("""COMPUTED_VALUE"""),"CAC-372")</f>
        <v>CAC-372</v>
      </c>
      <c r="J1195" s="6" t="str">
        <f ca="1">IFERROR(__xludf.DUMMYFUNCTION("""COMPUTED_VALUE"""),"RAFAEL VERDIGUIER CERON")</f>
        <v>RAFAEL VERDIGUIER CERON</v>
      </c>
      <c r="K1195" s="6">
        <f ca="1">IFERROR(__xludf.DUMMYFUNCTION("""COMPUTED_VALUE"""),2)</f>
        <v>2</v>
      </c>
      <c r="L1195" s="139">
        <f ca="1">IFERROR(__xludf.DUMMYFUNCTION("""COMPUTED_VALUE"""),4990.91)</f>
        <v>4990.91</v>
      </c>
      <c r="M1195" s="6" t="str">
        <f ca="1">IFERROR(__xludf.DUMMYFUNCTION("""COMPUTED_VALUE"""),"03 ORL")</f>
        <v>03 ORL</v>
      </c>
      <c r="N1195" s="6" t="str">
        <f ca="1">IFERROR(__xludf.DUMMYFUNCTION("""COMPUTED_VALUE"""),"06 ORL")</f>
        <v>06 ORL</v>
      </c>
      <c r="O1195" s="6" t="str">
        <f ca="1">IFERROR(__xludf.DUMMYFUNCTION("""COMPUTED_VALUE"""),"Dr, Javier García Gómez")</f>
        <v>Dr, Javier García Gómez</v>
      </c>
      <c r="P1195" s="6" t="str">
        <f ca="1">IFERROR(__xludf.DUMMYFUNCTION("""COMPUTED_VALUE"""),"Lisandro Russian (Madrid, Cáceres, Toledo, Talavera Y Logroño)")</f>
        <v>Lisandro Russian (Madrid, Cáceres, Toledo, Talavera Y Logroño)</v>
      </c>
    </row>
    <row r="1196" spans="2:16">
      <c r="B1196" s="6">
        <f ca="1">IFERROR(__xludf.DUMMYFUNCTION("""COMPUTED_VALUE"""),2025)</f>
        <v>2025</v>
      </c>
      <c r="C1196" s="6">
        <f ca="1">IFERROR(__xludf.DUMMYFUNCTION("""COMPUTED_VALUE"""),9)</f>
        <v>9</v>
      </c>
      <c r="D1196" s="6" t="str">
        <f ca="1">IFERROR(__xludf.DUMMYFUNCTION("""COMPUTED_VALUE"""),"NO")</f>
        <v>NO</v>
      </c>
      <c r="E1196" s="6" t="str">
        <f ca="1">IFERROR(__xludf.DUMMYFUNCTION("""COMPUTED_VALUE"""),"León")</f>
        <v>León</v>
      </c>
      <c r="F1196" s="16">
        <f ca="1">IFERROR(__xludf.DUMMYFUNCTION("""COMPUTED_VALUE"""),45917)</f>
        <v>45917</v>
      </c>
      <c r="G1196" s="16">
        <f ca="1">IFERROR(__xludf.DUMMYFUNCTION("""COMPUTED_VALUE"""),45895)</f>
        <v>45895</v>
      </c>
      <c r="H1196" s="6" t="str">
        <f ca="1">IFERROR(__xludf.DUMMYFUNCTION("""COMPUTED_VALUE"""),"León")</f>
        <v>León</v>
      </c>
      <c r="I1196" s="6" t="str">
        <f ca="1">IFERROR(__xludf.DUMMYFUNCTION("""COMPUTED_VALUE"""),"LEO-523")</f>
        <v>LEO-523</v>
      </c>
      <c r="J1196" s="6" t="str">
        <f ca="1">IFERROR(__xludf.DUMMYFUNCTION("""COMPUTED_VALUE"""),"ROSARIO VERDURAS LLAMAZARES")</f>
        <v>ROSARIO VERDURAS LLAMAZARES</v>
      </c>
      <c r="K1196" s="6">
        <f ca="1">IFERROR(__xludf.DUMMYFUNCTION("""COMPUTED_VALUE"""),2)</f>
        <v>2</v>
      </c>
      <c r="L1196" s="139">
        <f ca="1">IFERROR(__xludf.DUMMYFUNCTION("""COMPUTED_VALUE"""),4255.45)</f>
        <v>4255.45</v>
      </c>
      <c r="M1196" s="6" t="str">
        <f ca="1">IFERROR(__xludf.DUMMYFUNCTION("""COMPUTED_VALUE"""),"03 ORL")</f>
        <v>03 ORL</v>
      </c>
      <c r="N1196" s="6" t="str">
        <f ca="1">IFERROR(__xludf.DUMMYFUNCTION("""COMPUTED_VALUE"""),"06 ORL")</f>
        <v>06 ORL</v>
      </c>
      <c r="O1196" s="6" t="str">
        <f ca="1">IFERROR(__xludf.DUMMYFUNCTION("""COMPUTED_VALUE"""),"Dr, Rafael Pérez González")</f>
        <v>Dr, Rafael Pérez González</v>
      </c>
      <c r="P1196" s="6" t="str">
        <f ca="1">IFERROR(__xludf.DUMMYFUNCTION("""COMPUTED_VALUE"""),"Alberto Moreno (Madrid)")</f>
        <v>Alberto Moreno (Madrid)</v>
      </c>
    </row>
    <row r="1197" spans="2:16">
      <c r="B1197" s="6">
        <f ca="1">IFERROR(__xludf.DUMMYFUNCTION("""COMPUTED_VALUE"""),2025)</f>
        <v>2025</v>
      </c>
      <c r="C1197" s="6">
        <f ca="1">IFERROR(__xludf.DUMMYFUNCTION("""COMPUTED_VALUE"""),9)</f>
        <v>9</v>
      </c>
      <c r="D1197" s="6" t="str">
        <f ca="1">IFERROR(__xludf.DUMMYFUNCTION("""COMPUTED_VALUE"""),"NO")</f>
        <v>NO</v>
      </c>
      <c r="E1197" s="6" t="str">
        <f ca="1">IFERROR(__xludf.DUMMYFUNCTION("""COMPUTED_VALUE"""),"Valladolid")</f>
        <v>Valladolid</v>
      </c>
      <c r="F1197" s="16">
        <f ca="1">IFERROR(__xludf.DUMMYFUNCTION("""COMPUTED_VALUE"""),45917)</f>
        <v>45917</v>
      </c>
      <c r="G1197" s="16">
        <f ca="1">IFERROR(__xludf.DUMMYFUNCTION("""COMPUTED_VALUE"""),45853)</f>
        <v>45853</v>
      </c>
      <c r="H1197" s="6" t="str">
        <f ca="1">IFERROR(__xludf.DUMMYFUNCTION("""COMPUTED_VALUE"""),"Valladolid")</f>
        <v>Valladolid</v>
      </c>
      <c r="I1197" s="6" t="str">
        <f ca="1">IFERROR(__xludf.DUMMYFUNCTION("""COMPUTED_VALUE"""),"VLL-424")</f>
        <v>VLL-424</v>
      </c>
      <c r="J1197" s="6" t="str">
        <f ca="1">IFERROR(__xludf.DUMMYFUNCTION("""COMPUTED_VALUE"""),"ANGELA MARTIN MARBAN")</f>
        <v>ANGELA MARTIN MARBAN</v>
      </c>
      <c r="K1197" s="6">
        <f ca="1">IFERROR(__xludf.DUMMYFUNCTION("""COMPUTED_VALUE"""),2)</f>
        <v>2</v>
      </c>
      <c r="L1197" s="139">
        <f ca="1">IFERROR(__xludf.DUMMYFUNCTION("""COMPUTED_VALUE"""),3977.27)</f>
        <v>3977.27</v>
      </c>
      <c r="M1197" s="6" t="str">
        <f ca="1">IFERROR(__xludf.DUMMYFUNCTION("""COMPUTED_VALUE"""),"03 ORL")</f>
        <v>03 ORL</v>
      </c>
      <c r="N1197" s="6" t="str">
        <f ca="1">IFERROR(__xludf.DUMMYFUNCTION("""COMPUTED_VALUE"""),"06 ORL")</f>
        <v>06 ORL</v>
      </c>
      <c r="O1197" s="6" t="str">
        <f ca="1">IFERROR(__xludf.DUMMYFUNCTION("""COMPUTED_VALUE"""),"Dr, Manuel Acuña García")</f>
        <v>Dr, Manuel Acuña García</v>
      </c>
      <c r="P1197" s="6" t="str">
        <f ca="1">IFERROR(__xludf.DUMMYFUNCTION("""COMPUTED_VALUE"""),"Alberto Moreno (Madrid)")</f>
        <v>Alberto Moreno (Madrid)</v>
      </c>
    </row>
    <row r="1198" spans="2:16">
      <c r="B1198" s="6">
        <f ca="1">IFERROR(__xludf.DUMMYFUNCTION("""COMPUTED_VALUE"""),2025)</f>
        <v>2025</v>
      </c>
      <c r="C1198" s="6">
        <f ca="1">IFERROR(__xludf.DUMMYFUNCTION("""COMPUTED_VALUE"""),9)</f>
        <v>9</v>
      </c>
      <c r="D1198" s="6" t="str">
        <f ca="1">IFERROR(__xludf.DUMMYFUNCTION("""COMPUTED_VALUE"""),"NO")</f>
        <v>NO</v>
      </c>
      <c r="E1198" s="6" t="str">
        <f ca="1">IFERROR(__xludf.DUMMYFUNCTION("""COMPUTED_VALUE"""),"Sevilla- Ciencias")</f>
        <v>Sevilla- Ciencias</v>
      </c>
      <c r="F1198" s="16">
        <f ca="1">IFERROR(__xludf.DUMMYFUNCTION("""COMPUTED_VALUE"""),45922)</f>
        <v>45922</v>
      </c>
      <c r="G1198" s="16">
        <f ca="1">IFERROR(__xludf.DUMMYFUNCTION("""COMPUTED_VALUE"""),45880)</f>
        <v>45880</v>
      </c>
      <c r="H1198" s="6" t="str">
        <f ca="1">IFERROR(__xludf.DUMMYFUNCTION("""COMPUTED_VALUE"""),"Sevilla Este")</f>
        <v>Sevilla Este</v>
      </c>
      <c r="I1198" s="6" t="str">
        <f ca="1">IFERROR(__xludf.DUMMYFUNCTION("""COMPUTED_VALUE"""),"SEVE-442")</f>
        <v>SEVE-442</v>
      </c>
      <c r="J1198" s="6" t="str">
        <f ca="1">IFERROR(__xludf.DUMMYFUNCTION("""COMPUTED_VALUE"""),"MARIA ROSARIO GODINO RODRIGUEZ")</f>
        <v>MARIA ROSARIO GODINO RODRIGUEZ</v>
      </c>
      <c r="K1198" s="6">
        <f ca="1">IFERROR(__xludf.DUMMYFUNCTION("""COMPUTED_VALUE"""),2)</f>
        <v>2</v>
      </c>
      <c r="L1198" s="139">
        <f ca="1">IFERROR(__xludf.DUMMYFUNCTION("""COMPUTED_VALUE"""),3914)</f>
        <v>3914</v>
      </c>
      <c r="M1198" s="6" t="str">
        <f ca="1">IFERROR(__xludf.DUMMYFUNCTION("""COMPUTED_VALUE"""),"03 ORL")</f>
        <v>03 ORL</v>
      </c>
      <c r="N1198" s="6" t="str">
        <f ca="1">IFERROR(__xludf.DUMMYFUNCTION("""COMPUTED_VALUE"""),"06 ORL")</f>
        <v>06 ORL</v>
      </c>
      <c r="O1198" s="6" t="str">
        <f ca="1">IFERROR(__xludf.DUMMYFUNCTION("""COMPUTED_VALUE"""),"Dr, Francisco Esteban Ortega")</f>
        <v>Dr, Francisco Esteban Ortega</v>
      </c>
      <c r="P1198" s="6" t="str">
        <f ca="1">IFERROR(__xludf.DUMMYFUNCTION("""COMPUTED_VALUE"""),"Luis Alberto Rodríguez (Andalucía Y Badajoz)")</f>
        <v>Luis Alberto Rodríguez (Andalucía Y Badajoz)</v>
      </c>
    </row>
    <row r="1199" spans="2:16">
      <c r="B1199" s="6">
        <f ca="1">IFERROR(__xludf.DUMMYFUNCTION("""COMPUTED_VALUE"""),2025)</f>
        <v>2025</v>
      </c>
      <c r="C1199" s="6">
        <f ca="1">IFERROR(__xludf.DUMMYFUNCTION("""COMPUTED_VALUE"""),9)</f>
        <v>9</v>
      </c>
      <c r="D1199" s="6" t="str">
        <f ca="1">IFERROR(__xludf.DUMMYFUNCTION("""COMPUTED_VALUE"""),"NO")</f>
        <v>NO</v>
      </c>
      <c r="E1199" s="6" t="str">
        <f ca="1">IFERROR(__xludf.DUMMYFUNCTION("""COMPUTED_VALUE"""),"Cáceres")</f>
        <v>Cáceres</v>
      </c>
      <c r="F1199" s="16">
        <f ca="1">IFERROR(__xludf.DUMMYFUNCTION("""COMPUTED_VALUE"""),45923)</f>
        <v>45923</v>
      </c>
      <c r="G1199" s="16">
        <f ca="1">IFERROR(__xludf.DUMMYFUNCTION("""COMPUTED_VALUE"""),45869)</f>
        <v>45869</v>
      </c>
      <c r="H1199" s="6" t="str">
        <f ca="1">IFERROR(__xludf.DUMMYFUNCTION("""COMPUTED_VALUE"""),"Cáceres")</f>
        <v>Cáceres</v>
      </c>
      <c r="I1199" s="6" t="str">
        <f ca="1">IFERROR(__xludf.DUMMYFUNCTION("""COMPUTED_VALUE"""),"CAC-366")</f>
        <v>CAC-366</v>
      </c>
      <c r="J1199" s="6" t="str">
        <f ca="1">IFERROR(__xludf.DUMMYFUNCTION("""COMPUTED_VALUE"""),"MANUEL RODRIGUEZ ESCUDERO")</f>
        <v>MANUEL RODRIGUEZ ESCUDERO</v>
      </c>
      <c r="K1199" s="6">
        <f ca="1">IFERROR(__xludf.DUMMYFUNCTION("""COMPUTED_VALUE"""),2)</f>
        <v>2</v>
      </c>
      <c r="L1199" s="139">
        <f ca="1">IFERROR(__xludf.DUMMYFUNCTION("""COMPUTED_VALUE"""),4727.27)</f>
        <v>4727.2700000000004</v>
      </c>
      <c r="M1199" s="6" t="str">
        <f ca="1">IFERROR(__xludf.DUMMYFUNCTION("""COMPUTED_VALUE"""),"03 ORL")</f>
        <v>03 ORL</v>
      </c>
      <c r="N1199" s="6" t="str">
        <f ca="1">IFERROR(__xludf.DUMMYFUNCTION("""COMPUTED_VALUE"""),"06 ORL")</f>
        <v>06 ORL</v>
      </c>
      <c r="O1199" s="6" t="str">
        <f ca="1">IFERROR(__xludf.DUMMYFUNCTION("""COMPUTED_VALUE"""),"Dra, Marta García Jiménez")</f>
        <v>Dra, Marta García Jiménez</v>
      </c>
      <c r="P1199" s="6" t="str">
        <f ca="1">IFERROR(__xludf.DUMMYFUNCTION("""COMPUTED_VALUE"""),"Lisandro Russian (Madrid, Cáceres, Toledo, Talavera Y Logroño)")</f>
        <v>Lisandro Russian (Madrid, Cáceres, Toledo, Talavera Y Logroño)</v>
      </c>
    </row>
    <row r="1200" spans="2:16">
      <c r="B1200" s="6">
        <f ca="1">IFERROR(__xludf.DUMMYFUNCTION("""COMPUTED_VALUE"""),2025)</f>
        <v>2025</v>
      </c>
      <c r="C1200" s="6">
        <f ca="1">IFERROR(__xludf.DUMMYFUNCTION("""COMPUTED_VALUE"""),9)</f>
        <v>9</v>
      </c>
      <c r="D1200" s="6" t="str">
        <f ca="1">IFERROR(__xludf.DUMMYFUNCTION("""COMPUTED_VALUE"""),"NO")</f>
        <v>NO</v>
      </c>
      <c r="E1200" s="6" t="str">
        <f ca="1">IFERROR(__xludf.DUMMYFUNCTION("""COMPUTED_VALUE"""),"Cáceres")</f>
        <v>Cáceres</v>
      </c>
      <c r="F1200" s="16">
        <f ca="1">IFERROR(__xludf.DUMMYFUNCTION("""COMPUTED_VALUE"""),45924)</f>
        <v>45924</v>
      </c>
      <c r="G1200" s="16">
        <f ca="1">IFERROR(__xludf.DUMMYFUNCTION("""COMPUTED_VALUE"""),45903)</f>
        <v>45903</v>
      </c>
      <c r="H1200" s="6" t="str">
        <f ca="1">IFERROR(__xludf.DUMMYFUNCTION("""COMPUTED_VALUE"""),"Cáceres")</f>
        <v>Cáceres</v>
      </c>
      <c r="I1200" s="6" t="str">
        <f ca="1">IFERROR(__xludf.DUMMYFUNCTION("""COMPUTED_VALUE"""),"CAC-380")</f>
        <v>CAC-380</v>
      </c>
      <c r="J1200" s="6" t="str">
        <f ca="1">IFERROR(__xludf.DUMMYFUNCTION("""COMPUTED_VALUE"""),"MARIA JESUS PANIAGUA GARCIA")</f>
        <v>MARIA JESUS PANIAGUA GARCIA</v>
      </c>
      <c r="K1200" s="6">
        <f ca="1">IFERROR(__xludf.DUMMYFUNCTION("""COMPUTED_VALUE"""),2)</f>
        <v>2</v>
      </c>
      <c r="L1200" s="139">
        <f ca="1">IFERROR(__xludf.DUMMYFUNCTION("""COMPUTED_VALUE"""),4500)</f>
        <v>4500</v>
      </c>
      <c r="M1200" s="6" t="str">
        <f ca="1">IFERROR(__xludf.DUMMYFUNCTION("""COMPUTED_VALUE"""),"03 ORL")</f>
        <v>03 ORL</v>
      </c>
      <c r="N1200" s="6" t="str">
        <f ca="1">IFERROR(__xludf.DUMMYFUNCTION("""COMPUTED_VALUE"""),"06 ORL")</f>
        <v>06 ORL</v>
      </c>
      <c r="O1200" s="6" t="str">
        <f ca="1">IFERROR(__xludf.DUMMYFUNCTION("""COMPUTED_VALUE"""),"Dra, Daniela Carolina Laguado Bulgheroni")</f>
        <v>Dra, Daniela Carolina Laguado Bulgheroni</v>
      </c>
      <c r="P1200" s="6" t="str">
        <f ca="1">IFERROR(__xludf.DUMMYFUNCTION("""COMPUTED_VALUE"""),"Lisandro Russian (Madrid, Cáceres, Toledo, Talavera Y Logroño)")</f>
        <v>Lisandro Russian (Madrid, Cáceres, Toledo, Talavera Y Logroño)</v>
      </c>
    </row>
    <row r="1201" spans="2:16">
      <c r="B1201" s="6">
        <f ca="1">IFERROR(__xludf.DUMMYFUNCTION("""COMPUTED_VALUE"""),2025)</f>
        <v>2025</v>
      </c>
      <c r="C1201" s="6">
        <f ca="1">IFERROR(__xludf.DUMMYFUNCTION("""COMPUTED_VALUE"""),9)</f>
        <v>9</v>
      </c>
      <c r="D1201" s="6" t="str">
        <f ca="1">IFERROR(__xludf.DUMMYFUNCTION("""COMPUTED_VALUE"""),"NO")</f>
        <v>NO</v>
      </c>
      <c r="E1201" s="6" t="str">
        <f ca="1">IFERROR(__xludf.DUMMYFUNCTION("""COMPUTED_VALUE"""),"Salamanca")</f>
        <v>Salamanca</v>
      </c>
      <c r="F1201" s="16">
        <f ca="1">IFERROR(__xludf.DUMMYFUNCTION("""COMPUTED_VALUE"""),45924)</f>
        <v>45924</v>
      </c>
      <c r="G1201" s="16">
        <f ca="1">IFERROR(__xludf.DUMMYFUNCTION("""COMPUTED_VALUE"""),45870)</f>
        <v>45870</v>
      </c>
      <c r="H1201" s="6" t="str">
        <f ca="1">IFERROR(__xludf.DUMMYFUNCTION("""COMPUTED_VALUE"""),"Salamanca")</f>
        <v>Salamanca</v>
      </c>
      <c r="I1201" s="6" t="str">
        <f ca="1">IFERROR(__xludf.DUMMYFUNCTION("""COMPUTED_VALUE"""),"SLM-597")</f>
        <v>SLM-597</v>
      </c>
      <c r="J1201" s="6" t="str">
        <f ca="1">IFERROR(__xludf.DUMMYFUNCTION("""COMPUTED_VALUE"""),"FERNANDO GARCIA HIDALGO")</f>
        <v>FERNANDO GARCIA HIDALGO</v>
      </c>
      <c r="K1201" s="6">
        <f ca="1">IFERROR(__xludf.DUMMYFUNCTION("""COMPUTED_VALUE"""),2)</f>
        <v>2</v>
      </c>
      <c r="L1201" s="139">
        <f ca="1">IFERROR(__xludf.DUMMYFUNCTION("""COMPUTED_VALUE"""),4120)</f>
        <v>4120</v>
      </c>
      <c r="M1201" s="6" t="str">
        <f ca="1">IFERROR(__xludf.DUMMYFUNCTION("""COMPUTED_VALUE"""),"03 ORL")</f>
        <v>03 ORL</v>
      </c>
      <c r="N1201" s="6" t="str">
        <f ca="1">IFERROR(__xludf.DUMMYFUNCTION("""COMPUTED_VALUE"""),"06 ORL")</f>
        <v>06 ORL</v>
      </c>
      <c r="O1201" s="6" t="str">
        <f ca="1">IFERROR(__xludf.DUMMYFUNCTION("""COMPUTED_VALUE"""),"Dr, Ángel Muñoz Herrera")</f>
        <v>Dr, Ángel Muñoz Herrera</v>
      </c>
      <c r="P1201" s="6" t="str">
        <f ca="1">IFERROR(__xludf.DUMMYFUNCTION("""COMPUTED_VALUE"""),"Alberto Moreno (Madrid)")</f>
        <v>Alberto Moreno (Madrid)</v>
      </c>
    </row>
    <row r="1202" spans="2:16">
      <c r="B1202" s="6">
        <f ca="1">IFERROR(__xludf.DUMMYFUNCTION("""COMPUTED_VALUE"""),2025)</f>
        <v>2025</v>
      </c>
      <c r="C1202" s="6">
        <f ca="1">IFERROR(__xludf.DUMMYFUNCTION("""COMPUTED_VALUE"""),9)</f>
        <v>9</v>
      </c>
      <c r="D1202" s="6" t="str">
        <f ca="1">IFERROR(__xludf.DUMMYFUNCTION("""COMPUTED_VALUE"""),"NO")</f>
        <v>NO</v>
      </c>
      <c r="E1202" s="6" t="str">
        <f ca="1">IFERROR(__xludf.DUMMYFUNCTION("""COMPUTED_VALUE"""),"Salamanca")</f>
        <v>Salamanca</v>
      </c>
      <c r="F1202" s="16">
        <f ca="1">IFERROR(__xludf.DUMMYFUNCTION("""COMPUTED_VALUE"""),45924)</f>
        <v>45924</v>
      </c>
      <c r="G1202" s="16">
        <f ca="1">IFERROR(__xludf.DUMMYFUNCTION("""COMPUTED_VALUE"""),45890)</f>
        <v>45890</v>
      </c>
      <c r="H1202" s="6" t="str">
        <f ca="1">IFERROR(__xludf.DUMMYFUNCTION("""COMPUTED_VALUE"""),"Salamanca")</f>
        <v>Salamanca</v>
      </c>
      <c r="I1202" s="6" t="str">
        <f ca="1">IFERROR(__xludf.DUMMYFUNCTION("""COMPUTED_VALUE"""),"SLM-603")</f>
        <v>SLM-603</v>
      </c>
      <c r="J1202" s="6" t="str">
        <f ca="1">IFERROR(__xludf.DUMMYFUNCTION("""COMPUTED_VALUE"""),"UBALDO LAUDINO DE PEDRO SASTRE")</f>
        <v>UBALDO LAUDINO DE PEDRO SASTRE</v>
      </c>
      <c r="K1202" s="6">
        <f ca="1">IFERROR(__xludf.DUMMYFUNCTION("""COMPUTED_VALUE"""),2)</f>
        <v>2</v>
      </c>
      <c r="L1202" s="139">
        <f ca="1">IFERROR(__xludf.DUMMYFUNCTION("""COMPUTED_VALUE"""),3730)</f>
        <v>3730</v>
      </c>
      <c r="M1202" s="6" t="str">
        <f ca="1">IFERROR(__xludf.DUMMYFUNCTION("""COMPUTED_VALUE"""),"03 ORL")</f>
        <v>03 ORL</v>
      </c>
      <c r="N1202" s="6" t="str">
        <f ca="1">IFERROR(__xludf.DUMMYFUNCTION("""COMPUTED_VALUE"""),"06 ORL")</f>
        <v>06 ORL</v>
      </c>
      <c r="O1202" s="6" t="str">
        <f ca="1">IFERROR(__xludf.DUMMYFUNCTION("""COMPUTED_VALUE"""),"Dr, Luis Miguel Rincón Esteban")</f>
        <v>Dr, Luis Miguel Rincón Esteban</v>
      </c>
      <c r="P1202" s="6" t="str">
        <f ca="1">IFERROR(__xludf.DUMMYFUNCTION("""COMPUTED_VALUE"""),"Alberto Moreno (Madrid)")</f>
        <v>Alberto Moreno (Madrid)</v>
      </c>
    </row>
    <row r="1203" spans="2:16">
      <c r="B1203" s="6">
        <f ca="1">IFERROR(__xludf.DUMMYFUNCTION("""COMPUTED_VALUE"""),2025)</f>
        <v>2025</v>
      </c>
      <c r="C1203" s="6">
        <f ca="1">IFERROR(__xludf.DUMMYFUNCTION("""COMPUTED_VALUE"""),9)</f>
        <v>9</v>
      </c>
      <c r="D1203" s="6" t="str">
        <f ca="1">IFERROR(__xludf.DUMMYFUNCTION("""COMPUTED_VALUE"""),"NO")</f>
        <v>NO</v>
      </c>
      <c r="E1203" s="6" t="str">
        <f ca="1">IFERROR(__xludf.DUMMYFUNCTION("""COMPUTED_VALUE"""),"Ponferrada")</f>
        <v>Ponferrada</v>
      </c>
      <c r="F1203" s="16">
        <f ca="1">IFERROR(__xludf.DUMMYFUNCTION("""COMPUTED_VALUE"""),45925)</f>
        <v>45925</v>
      </c>
      <c r="G1203" s="16">
        <f ca="1">IFERROR(__xludf.DUMMYFUNCTION("""COMPUTED_VALUE"""),45839)</f>
        <v>45839</v>
      </c>
      <c r="H1203" s="6" t="str">
        <f ca="1">IFERROR(__xludf.DUMMYFUNCTION("""COMPUTED_VALUE"""),"Ponferrada")</f>
        <v>Ponferrada</v>
      </c>
      <c r="I1203" s="6" t="str">
        <f ca="1">IFERROR(__xludf.DUMMYFUNCTION("""COMPUTED_VALUE"""),"PON-944")</f>
        <v>PON-944</v>
      </c>
      <c r="J1203" s="6" t="str">
        <f ca="1">IFERROR(__xludf.DUMMYFUNCTION("""COMPUTED_VALUE"""),"TOMAS VICTORINO BECARES POSADA")</f>
        <v>TOMAS VICTORINO BECARES POSADA</v>
      </c>
      <c r="K1203" s="6">
        <f ca="1">IFERROR(__xludf.DUMMYFUNCTION("""COMPUTED_VALUE"""),2)</f>
        <v>2</v>
      </c>
      <c r="L1203" s="139">
        <f ca="1">IFERROR(__xludf.DUMMYFUNCTION("""COMPUTED_VALUE"""),3909.09)</f>
        <v>3909.09</v>
      </c>
      <c r="M1203" s="6" t="str">
        <f ca="1">IFERROR(__xludf.DUMMYFUNCTION("""COMPUTED_VALUE"""),"03 ORL")</f>
        <v>03 ORL</v>
      </c>
      <c r="N1203" s="6" t="str">
        <f ca="1">IFERROR(__xludf.DUMMYFUNCTION("""COMPUTED_VALUE"""),"06 ORL")</f>
        <v>06 ORL</v>
      </c>
      <c r="O1203" s="6" t="str">
        <f ca="1">IFERROR(__xludf.DUMMYFUNCTION("""COMPUTED_VALUE"""),"Dra, Diana Lysbeth Lourido Piedrahita")</f>
        <v>Dra, Diana Lysbeth Lourido Piedrahita</v>
      </c>
      <c r="P1203" s="6" t="str">
        <f ca="1">IFERROR(__xludf.DUMMYFUNCTION("""COMPUTED_VALUE"""),"Alberto Moreno (Madrid)")</f>
        <v>Alberto Moreno (Madrid)</v>
      </c>
    </row>
    <row r="1204" spans="2:16">
      <c r="B1204" s="6">
        <f ca="1">IFERROR(__xludf.DUMMYFUNCTION("""COMPUTED_VALUE"""),2025)</f>
        <v>2025</v>
      </c>
      <c r="C1204" s="6">
        <f ca="1">IFERROR(__xludf.DUMMYFUNCTION("""COMPUTED_VALUE"""),9)</f>
        <v>9</v>
      </c>
      <c r="D1204" s="6" t="str">
        <f ca="1">IFERROR(__xludf.DUMMYFUNCTION("""COMPUTED_VALUE"""),"NO")</f>
        <v>NO</v>
      </c>
      <c r="E1204" s="6" t="str">
        <f ca="1">IFERROR(__xludf.DUMMYFUNCTION("""COMPUTED_VALUE"""),"Cáceres")</f>
        <v>Cáceres</v>
      </c>
      <c r="F1204" s="16">
        <f ca="1">IFERROR(__xludf.DUMMYFUNCTION("""COMPUTED_VALUE"""),45929)</f>
        <v>45929</v>
      </c>
      <c r="G1204" s="16">
        <f ca="1">IFERROR(__xludf.DUMMYFUNCTION("""COMPUTED_VALUE"""),45901)</f>
        <v>45901</v>
      </c>
      <c r="H1204" s="6" t="str">
        <f ca="1">IFERROR(__xludf.DUMMYFUNCTION("""COMPUTED_VALUE"""),"Cáceres")</f>
        <v>Cáceres</v>
      </c>
      <c r="I1204" s="6" t="str">
        <f ca="1">IFERROR(__xludf.DUMMYFUNCTION("""COMPUTED_VALUE"""),"CAC-378")</f>
        <v>CAC-378</v>
      </c>
      <c r="J1204" s="6" t="str">
        <f ca="1">IFERROR(__xludf.DUMMYFUNCTION("""COMPUTED_VALUE"""),"ALFONSO MORGADO CORTES")</f>
        <v>ALFONSO MORGADO CORTES</v>
      </c>
      <c r="K1204" s="6">
        <f ca="1">IFERROR(__xludf.DUMMYFUNCTION("""COMPUTED_VALUE"""),2)</f>
        <v>2</v>
      </c>
      <c r="L1204" s="139">
        <f ca="1">IFERROR(__xludf.DUMMYFUNCTION("""COMPUTED_VALUE"""),4500)</f>
        <v>4500</v>
      </c>
      <c r="M1204" s="6" t="str">
        <f ca="1">IFERROR(__xludf.DUMMYFUNCTION("""COMPUTED_VALUE"""),"03 ORL")</f>
        <v>03 ORL</v>
      </c>
      <c r="N1204" s="6" t="str">
        <f ca="1">IFERROR(__xludf.DUMMYFUNCTION("""COMPUTED_VALUE"""),"06 ORL")</f>
        <v>06 ORL</v>
      </c>
      <c r="O1204" s="6" t="str">
        <f ca="1">IFERROR(__xludf.DUMMYFUNCTION("""COMPUTED_VALUE"""),"Dr, Manuel Cañete Domínguez")</f>
        <v>Dr, Manuel Cañete Domínguez</v>
      </c>
      <c r="P1204" s="6" t="str">
        <f ca="1">IFERROR(__xludf.DUMMYFUNCTION("""COMPUTED_VALUE"""),"Lisandro Russian (Madrid, Cáceres, Toledo, Talavera Y Logroño)")</f>
        <v>Lisandro Russian (Madrid, Cáceres, Toledo, Talavera Y Logroño)</v>
      </c>
    </row>
    <row r="1205" spans="2:16">
      <c r="B1205" s="6">
        <f ca="1">IFERROR(__xludf.DUMMYFUNCTION("""COMPUTED_VALUE"""),2025)</f>
        <v>2025</v>
      </c>
      <c r="C1205" s="6">
        <f ca="1">IFERROR(__xludf.DUMMYFUNCTION("""COMPUTED_VALUE"""),9)</f>
        <v>9</v>
      </c>
      <c r="D1205" s="6" t="str">
        <f ca="1">IFERROR(__xludf.DUMMYFUNCTION("""COMPUTED_VALUE"""),"NO")</f>
        <v>NO</v>
      </c>
      <c r="E1205" s="6" t="str">
        <f ca="1">IFERROR(__xludf.DUMMYFUNCTION("""COMPUTED_VALUE"""),"Valladolid")</f>
        <v>Valladolid</v>
      </c>
      <c r="F1205" s="16">
        <f ca="1">IFERROR(__xludf.DUMMYFUNCTION("""COMPUTED_VALUE"""),45929)</f>
        <v>45929</v>
      </c>
      <c r="G1205" s="16">
        <f ca="1">IFERROR(__xludf.DUMMYFUNCTION("""COMPUTED_VALUE"""),45838)</f>
        <v>45838</v>
      </c>
      <c r="H1205" s="6" t="str">
        <f ca="1">IFERROR(__xludf.DUMMYFUNCTION("""COMPUTED_VALUE"""),"Valladolid")</f>
        <v>Valladolid</v>
      </c>
      <c r="I1205" s="6" t="str">
        <f ca="1">IFERROR(__xludf.DUMMYFUNCTION("""COMPUTED_VALUE"""),"VLL-417")</f>
        <v>VLL-417</v>
      </c>
      <c r="J1205" s="6" t="str">
        <f ca="1">IFERROR(__xludf.DUMMYFUNCTION("""COMPUTED_VALUE"""),"MARIA DEL MAR LEIVA CENTENO")</f>
        <v>MARIA DEL MAR LEIVA CENTENO</v>
      </c>
      <c r="K1205" s="6">
        <f ca="1">IFERROR(__xludf.DUMMYFUNCTION("""COMPUTED_VALUE"""),2)</f>
        <v>2</v>
      </c>
      <c r="L1205" s="139">
        <f ca="1">IFERROR(__xludf.DUMMYFUNCTION("""COMPUTED_VALUE"""),4431.82)</f>
        <v>4431.82</v>
      </c>
      <c r="M1205" s="6" t="str">
        <f ca="1">IFERROR(__xludf.DUMMYFUNCTION("""COMPUTED_VALUE"""),"03 ORL")</f>
        <v>03 ORL</v>
      </c>
      <c r="N1205" s="6" t="str">
        <f ca="1">IFERROR(__xludf.DUMMYFUNCTION("""COMPUTED_VALUE"""),"06 ORL")</f>
        <v>06 ORL</v>
      </c>
      <c r="O1205" s="6" t="str">
        <f ca="1">IFERROR(__xludf.DUMMYFUNCTION("""COMPUTED_VALUE"""),"Dra, Marina Madrigal Revuelta")</f>
        <v>Dra, Marina Madrigal Revuelta</v>
      </c>
      <c r="P1205" s="6" t="str">
        <f ca="1">IFERROR(__xludf.DUMMYFUNCTION("""COMPUTED_VALUE"""),"Alberto Moreno (Madrid)")</f>
        <v>Alberto Moreno (Madrid)</v>
      </c>
    </row>
    <row r="1206" spans="2:16">
      <c r="B1206" s="6">
        <f ca="1">IFERROR(__xludf.DUMMYFUNCTION("""COMPUTED_VALUE"""),2025)</f>
        <v>2025</v>
      </c>
      <c r="C1206" s="6">
        <f ca="1">IFERROR(__xludf.DUMMYFUNCTION("""COMPUTED_VALUE"""),9)</f>
        <v>9</v>
      </c>
      <c r="D1206" s="6" t="str">
        <f ca="1">IFERROR(__xludf.DUMMYFUNCTION("""COMPUTED_VALUE"""),"NO")</f>
        <v>NO</v>
      </c>
      <c r="E1206" s="6" t="str">
        <f ca="1">IFERROR(__xludf.DUMMYFUNCTION("""COMPUTED_VALUE"""),"Vigo")</f>
        <v>Vigo</v>
      </c>
      <c r="F1206" s="16">
        <f ca="1">IFERROR(__xludf.DUMMYFUNCTION("""COMPUTED_VALUE"""),45929)</f>
        <v>45929</v>
      </c>
      <c r="G1206" s="16">
        <f ca="1">IFERROR(__xludf.DUMMYFUNCTION("""COMPUTED_VALUE"""),45923)</f>
        <v>45923</v>
      </c>
      <c r="H1206" s="6" t="str">
        <f ca="1">IFERROR(__xludf.DUMMYFUNCTION("""COMPUTED_VALUE"""),"Vigo")</f>
        <v>Vigo</v>
      </c>
      <c r="I1206" s="6" t="str">
        <f ca="1">IFERROR(__xludf.DUMMYFUNCTION("""COMPUTED_VALUE"""),"VIG-613")</f>
        <v>VIG-613</v>
      </c>
      <c r="J1206" s="6" t="str">
        <f ca="1">IFERROR(__xludf.DUMMYFUNCTION("""COMPUTED_VALUE"""),"GLORIA RIESCO PRIETO")</f>
        <v>GLORIA RIESCO PRIETO</v>
      </c>
      <c r="K1206" s="6">
        <f ca="1">IFERROR(__xludf.DUMMYFUNCTION("""COMPUTED_VALUE"""),1)</f>
        <v>1</v>
      </c>
      <c r="L1206" s="139">
        <f ca="1">IFERROR(__xludf.DUMMYFUNCTION("""COMPUTED_VALUE"""),1772.73)</f>
        <v>1772.73</v>
      </c>
      <c r="M1206" s="6" t="str">
        <f ca="1">IFERROR(__xludf.DUMMYFUNCTION("""COMPUTED_VALUE"""),"03 ORL")</f>
        <v>03 ORL</v>
      </c>
      <c r="N1206" s="6" t="str">
        <f ca="1">IFERROR(__xludf.DUMMYFUNCTION("""COMPUTED_VALUE"""),"06 ORL")</f>
        <v>06 ORL</v>
      </c>
      <c r="O1206" s="6" t="str">
        <f ca="1">IFERROR(__xludf.DUMMYFUNCTION("""COMPUTED_VALUE"""),"Dra, Estrella Pallas Pallas")</f>
        <v>Dra, Estrella Pallas Pallas</v>
      </c>
      <c r="P1206" s="6" t="str">
        <f ca="1">IFERROR(__xludf.DUMMYFUNCTION("""COMPUTED_VALUE"""),"Roberto Pereira (Galicia)")</f>
        <v>Roberto Pereira (Galicia)</v>
      </c>
    </row>
    <row r="1207" spans="2:16">
      <c r="B1207" s="6">
        <f ca="1">IFERROR(__xludf.DUMMYFUNCTION("""COMPUTED_VALUE"""),2025)</f>
        <v>2025</v>
      </c>
      <c r="C1207" s="6">
        <f ca="1">IFERROR(__xludf.DUMMYFUNCTION("""COMPUTED_VALUE"""),9)</f>
        <v>9</v>
      </c>
      <c r="D1207" s="6" t="str">
        <f ca="1">IFERROR(__xludf.DUMMYFUNCTION("""COMPUTED_VALUE"""),"NO")</f>
        <v>NO</v>
      </c>
      <c r="E1207" s="6" t="str">
        <f ca="1">IFERROR(__xludf.DUMMYFUNCTION("""COMPUTED_VALUE"""),"Badajoz")</f>
        <v>Badajoz</v>
      </c>
      <c r="F1207" s="16">
        <f ca="1">IFERROR(__xludf.DUMMYFUNCTION("""COMPUTED_VALUE"""),45930)</f>
        <v>45930</v>
      </c>
      <c r="G1207" s="16">
        <f ca="1">IFERROR(__xludf.DUMMYFUNCTION("""COMPUTED_VALUE"""),45854)</f>
        <v>45854</v>
      </c>
      <c r="H1207" s="6" t="str">
        <f ca="1">IFERROR(__xludf.DUMMYFUNCTION("""COMPUTED_VALUE"""),"Badajoz")</f>
        <v>Badajoz</v>
      </c>
      <c r="I1207" s="6" t="str">
        <f ca="1">IFERROR(__xludf.DUMMYFUNCTION("""COMPUTED_VALUE"""),"BJZE-2507")</f>
        <v>BJZE-2507</v>
      </c>
      <c r="J1207" s="6" t="str">
        <f ca="1">IFERROR(__xludf.DUMMYFUNCTION("""COMPUTED_VALUE"""),"MARIA LUISA PINILLA VACA")</f>
        <v>MARIA LUISA PINILLA VACA</v>
      </c>
      <c r="K1207" s="6">
        <f ca="1">IFERROR(__xludf.DUMMYFUNCTION("""COMPUTED_VALUE"""),2)</f>
        <v>2</v>
      </c>
      <c r="L1207" s="139">
        <f ca="1">IFERROR(__xludf.DUMMYFUNCTION("""COMPUTED_VALUE"""),4531.82)</f>
        <v>4531.82</v>
      </c>
      <c r="M1207" s="6" t="str">
        <f ca="1">IFERROR(__xludf.DUMMYFUNCTION("""COMPUTED_VALUE"""),"03 ORL")</f>
        <v>03 ORL</v>
      </c>
      <c r="N1207" s="6" t="str">
        <f ca="1">IFERROR(__xludf.DUMMYFUNCTION("""COMPUTED_VALUE"""),"06 ORL")</f>
        <v>06 ORL</v>
      </c>
      <c r="O1207" s="6" t="str">
        <f ca="1">IFERROR(__xludf.DUMMYFUNCTION("""COMPUTED_VALUE"""),"Dr, Tomas Mogollon Cano Cortes")</f>
        <v>Dr, Tomas Mogollon Cano Cortes</v>
      </c>
      <c r="P1207" s="6" t="str">
        <f ca="1">IFERROR(__xludf.DUMMYFUNCTION("""COMPUTED_VALUE"""),"Luis Alberto Rodríguez (Andalucía Y Badajoz)")</f>
        <v>Luis Alberto Rodríguez (Andalucía Y Badajoz)</v>
      </c>
    </row>
    <row r="1208" spans="2:16">
      <c r="B1208" s="6">
        <f ca="1">IFERROR(__xludf.DUMMYFUNCTION("""COMPUTED_VALUE"""),2025)</f>
        <v>2025</v>
      </c>
      <c r="C1208" s="6">
        <f ca="1">IFERROR(__xludf.DUMMYFUNCTION("""COMPUTED_VALUE"""),9)</f>
        <v>9</v>
      </c>
      <c r="D1208" s="6" t="str">
        <f ca="1">IFERROR(__xludf.DUMMYFUNCTION("""COMPUTED_VALUE"""),"NO")</f>
        <v>NO</v>
      </c>
      <c r="E1208" s="6" t="str">
        <f ca="1">IFERROR(__xludf.DUMMYFUNCTION("""COMPUTED_VALUE"""),"Ponferrada")</f>
        <v>Ponferrada</v>
      </c>
      <c r="F1208" s="16">
        <f ca="1">IFERROR(__xludf.DUMMYFUNCTION("""COMPUTED_VALUE"""),45930)</f>
        <v>45930</v>
      </c>
      <c r="G1208" s="16">
        <f ca="1">IFERROR(__xludf.DUMMYFUNCTION("""COMPUTED_VALUE"""),45670)</f>
        <v>45670</v>
      </c>
      <c r="H1208" s="6" t="str">
        <f ca="1">IFERROR(__xludf.DUMMYFUNCTION("""COMPUTED_VALUE"""),"Ponferrada")</f>
        <v>Ponferrada</v>
      </c>
      <c r="I1208" s="6" t="str">
        <f ca="1">IFERROR(__xludf.DUMMYFUNCTION("""COMPUTED_VALUE"""),"PON-856")</f>
        <v>PON-856</v>
      </c>
      <c r="J1208" s="6" t="str">
        <f ca="1">IFERROR(__xludf.DUMMYFUNCTION("""COMPUTED_VALUE"""),"FRANCISCO MUÑOZ MERINO")</f>
        <v>FRANCISCO MUÑOZ MERINO</v>
      </c>
      <c r="K1208" s="6">
        <f ca="1">IFERROR(__xludf.DUMMYFUNCTION("""COMPUTED_VALUE"""),1)</f>
        <v>1</v>
      </c>
      <c r="L1208" s="139">
        <f ca="1">IFERROR(__xludf.DUMMYFUNCTION("""COMPUTED_VALUE"""),1363.64)</f>
        <v>1363.64</v>
      </c>
      <c r="M1208" s="6" t="str">
        <f ca="1">IFERROR(__xludf.DUMMYFUNCTION("""COMPUTED_VALUE"""),"03 ORL")</f>
        <v>03 ORL</v>
      </c>
      <c r="N1208" s="6" t="str">
        <f ca="1">IFERROR(__xludf.DUMMYFUNCTION("""COMPUTED_VALUE"""),"06 ORL")</f>
        <v>06 ORL</v>
      </c>
      <c r="O1208" s="6" t="str">
        <f ca="1">IFERROR(__xludf.DUMMYFUNCTION("""COMPUTED_VALUE"""),"Dra, Mónica Granda Rosales")</f>
        <v>Dra, Mónica Granda Rosales</v>
      </c>
      <c r="P1208" s="6" t="str">
        <f ca="1">IFERROR(__xludf.DUMMYFUNCTION("""COMPUTED_VALUE"""),"Alberto Moreno (Madrid)")</f>
        <v>Alberto Moreno (Madrid)</v>
      </c>
    </row>
    <row r="1209" spans="2:16">
      <c r="B1209" s="6">
        <f ca="1">IFERROR(__xludf.DUMMYFUNCTION("""COMPUTED_VALUE"""),2025)</f>
        <v>2025</v>
      </c>
      <c r="C1209" s="6">
        <f ca="1">IFERROR(__xludf.DUMMYFUNCTION("""COMPUTED_VALUE"""),9)</f>
        <v>9</v>
      </c>
      <c r="D1209" s="6" t="str">
        <f ca="1">IFERROR(__xludf.DUMMYFUNCTION("""COMPUTED_VALUE"""),"NO")</f>
        <v>NO</v>
      </c>
      <c r="E1209" s="6" t="str">
        <f ca="1">IFERROR(__xludf.DUMMYFUNCTION("""COMPUTED_VALUE"""),"Vigo")</f>
        <v>Vigo</v>
      </c>
      <c r="F1209" s="16">
        <f ca="1">IFERROR(__xludf.DUMMYFUNCTION("""COMPUTED_VALUE"""),45930)</f>
        <v>45930</v>
      </c>
      <c r="G1209" s="16">
        <f ca="1">IFERROR(__xludf.DUMMYFUNCTION("""COMPUTED_VALUE"""),45895)</f>
        <v>45895</v>
      </c>
      <c r="H1209" s="6" t="str">
        <f ca="1">IFERROR(__xludf.DUMMYFUNCTION("""COMPUTED_VALUE"""),"Vigo")</f>
        <v>Vigo</v>
      </c>
      <c r="I1209" s="6" t="str">
        <f ca="1">IFERROR(__xludf.DUMMYFUNCTION("""COMPUTED_VALUE"""),"VIG-604")</f>
        <v>VIG-604</v>
      </c>
      <c r="J1209" s="6" t="str">
        <f ca="1">IFERROR(__xludf.DUMMYFUNCTION("""COMPUTED_VALUE"""),"PILAR JIMENEZ COSTA")</f>
        <v>PILAR JIMENEZ COSTA</v>
      </c>
      <c r="K1209" s="6">
        <f ca="1">IFERROR(__xludf.DUMMYFUNCTION("""COMPUTED_VALUE"""),2)</f>
        <v>2</v>
      </c>
      <c r="L1209" s="139">
        <f ca="1">IFERROR(__xludf.DUMMYFUNCTION("""COMPUTED_VALUE"""),3000)</f>
        <v>3000</v>
      </c>
      <c r="M1209" s="6" t="str">
        <f ca="1">IFERROR(__xludf.DUMMYFUNCTION("""COMPUTED_VALUE"""),"03 ORL")</f>
        <v>03 ORL</v>
      </c>
      <c r="N1209" s="6" t="str">
        <f ca="1">IFERROR(__xludf.DUMMYFUNCTION("""COMPUTED_VALUE"""),"06 ORL")</f>
        <v>06 ORL</v>
      </c>
      <c r="O1209" s="6" t="str">
        <f ca="1">IFERROR(__xludf.DUMMYFUNCTION("""COMPUTED_VALUE"""),"Dra, Pilar Castro Ruiz")</f>
        <v>Dra, Pilar Castro Ruiz</v>
      </c>
      <c r="P1209" s="6" t="str">
        <f ca="1">IFERROR(__xludf.DUMMYFUNCTION("""COMPUTED_VALUE"""),"Roberto Pereira (Galicia)")</f>
        <v>Roberto Pereira (Galicia)</v>
      </c>
    </row>
    <row r="1210" spans="2:16">
      <c r="B1210" s="6">
        <f ca="1">IFERROR(__xludf.DUMMYFUNCTION("""COMPUTED_VALUE"""),2025)</f>
        <v>2025</v>
      </c>
      <c r="C1210" s="6">
        <f ca="1">IFERROR(__xludf.DUMMYFUNCTION("""COMPUTED_VALUE"""),9)</f>
        <v>9</v>
      </c>
      <c r="D1210" s="6" t="str">
        <f ca="1">IFERROR(__xludf.DUMMYFUNCTION("""COMPUTED_VALUE"""),"NO")</f>
        <v>NO</v>
      </c>
      <c r="E1210" s="6" t="str">
        <f ca="1">IFERROR(__xludf.DUMMYFUNCTION("""COMPUTED_VALUE"""),"Boiro")</f>
        <v>Boiro</v>
      </c>
      <c r="F1210" s="16">
        <f ca="1">IFERROR(__xludf.DUMMYFUNCTION("""COMPUTED_VALUE"""),45925)</f>
        <v>45925</v>
      </c>
      <c r="G1210" s="16">
        <f ca="1">IFERROR(__xludf.DUMMYFUNCTION("""COMPUTED_VALUE"""),45903)</f>
        <v>45903</v>
      </c>
      <c r="H1210" s="6" t="str">
        <f ca="1">IFERROR(__xludf.DUMMYFUNCTION("""COMPUTED_VALUE"""),"Boiro")</f>
        <v>Boiro</v>
      </c>
      <c r="I1210" s="6" t="str">
        <f ca="1">IFERROR(__xludf.DUMMYFUNCTION("""COMPUTED_VALUE"""),"BOI-989")</f>
        <v>BOI-989</v>
      </c>
      <c r="J1210" s="6" t="str">
        <f ca="1">IFERROR(__xludf.DUMMYFUNCTION("""COMPUTED_VALUE"""),"CARMEN DUYOS RIVERA")</f>
        <v>CARMEN DUYOS RIVERA</v>
      </c>
      <c r="K1210" s="6">
        <f ca="1">IFERROR(__xludf.DUMMYFUNCTION("""COMPUTED_VALUE"""),2)</f>
        <v>2</v>
      </c>
      <c r="L1210" s="139">
        <f ca="1">IFERROR(__xludf.DUMMYFUNCTION("""COMPUTED_VALUE"""),3000)</f>
        <v>3000</v>
      </c>
      <c r="M1210" s="6" t="str">
        <f ca="1">IFERROR(__xludf.DUMMYFUNCTION("""COMPUTED_VALUE"""),"03 ORL")</f>
        <v>03 ORL</v>
      </c>
      <c r="N1210" s="6" t="str">
        <f ca="1">IFERROR(__xludf.DUMMYFUNCTION("""COMPUTED_VALUE"""),"06 ORL")</f>
        <v>06 ORL</v>
      </c>
      <c r="O1210" s="6" t="str">
        <f ca="1">IFERROR(__xludf.DUMMYFUNCTION("""COMPUTED_VALUE"""),"Dr, Carlos Vidal Redondo")</f>
        <v>Dr, Carlos Vidal Redondo</v>
      </c>
      <c r="P1210" s="6" t="str">
        <f ca="1">IFERROR(__xludf.DUMMYFUNCTION("""COMPUTED_VALUE"""),"Roberto Pereira (Galicia)")</f>
        <v>Roberto Pereira (Galicia)</v>
      </c>
    </row>
    <row r="1211" spans="2:16">
      <c r="B1211" s="6">
        <f ca="1">IFERROR(__xludf.DUMMYFUNCTION("""COMPUTED_VALUE"""),2025)</f>
        <v>2025</v>
      </c>
      <c r="C1211" s="6">
        <f ca="1">IFERROR(__xludf.DUMMYFUNCTION("""COMPUTED_VALUE"""),10)</f>
        <v>10</v>
      </c>
      <c r="D1211" s="6" t="str">
        <f ca="1">IFERROR(__xludf.DUMMYFUNCTION("""COMPUTED_VALUE"""),"NO")</f>
        <v>NO</v>
      </c>
      <c r="E1211" s="6" t="str">
        <f ca="1">IFERROR(__xludf.DUMMYFUNCTION("""COMPUTED_VALUE"""),"Zaragoza- León XIII")</f>
        <v>Zaragoza- León XIII</v>
      </c>
      <c r="F1211" s="16">
        <f ca="1">IFERROR(__xludf.DUMMYFUNCTION("""COMPUTED_VALUE"""),45931)</f>
        <v>45931</v>
      </c>
      <c r="G1211" s="16">
        <f ca="1">IFERROR(__xludf.DUMMYFUNCTION("""COMPUTED_VALUE"""),45904)</f>
        <v>45904</v>
      </c>
      <c r="H1211" s="6" t="str">
        <f ca="1">IFERROR(__xludf.DUMMYFUNCTION("""COMPUTED_VALUE"""),"Zaragoza")</f>
        <v>Zaragoza</v>
      </c>
      <c r="I1211" s="6" t="str">
        <f ca="1">IFERROR(__xludf.DUMMYFUNCTION("""COMPUTED_VALUE"""),"C202598165521270")</f>
        <v>C202598165521270</v>
      </c>
      <c r="J1211" s="6" t="str">
        <f ca="1">IFERROR(__xludf.DUMMYFUNCTION("""COMPUTED_VALUE"""),"CARMEN PORTA TOVAR")</f>
        <v>CARMEN PORTA TOVAR</v>
      </c>
      <c r="K1211" s="6">
        <f ca="1">IFERROR(__xludf.DUMMYFUNCTION("""COMPUTED_VALUE"""),2)</f>
        <v>2</v>
      </c>
      <c r="L1211" s="139">
        <f ca="1">IFERROR(__xludf.DUMMYFUNCTION("""COMPUTED_VALUE"""),3627.27)</f>
        <v>3627.27</v>
      </c>
      <c r="M1211" s="6" t="str">
        <f ca="1">IFERROR(__xludf.DUMMYFUNCTION("""COMPUTED_VALUE"""),"03 ORL")</f>
        <v>03 ORL</v>
      </c>
      <c r="N1211" s="6" t="str">
        <f ca="1">IFERROR(__xludf.DUMMYFUNCTION("""COMPUTED_VALUE"""),"06 ORL")</f>
        <v>06 ORL</v>
      </c>
      <c r="O1211" s="6" t="str">
        <f ca="1">IFERROR(__xludf.DUMMYFUNCTION("""COMPUTED_VALUE"""),"Dr, José Manuel García Solans-Esteras")</f>
        <v>Dr, José Manuel García Solans-Esteras</v>
      </c>
      <c r="P1211" s="6" t="str">
        <f ca="1">IFERROR(__xludf.DUMMYFUNCTION("""COMPUTED_VALUE"""),"Ignacio Berdejo (Zaragoza)")</f>
        <v>Ignacio Berdejo (Zaragoza)</v>
      </c>
    </row>
    <row r="1212" spans="2:16">
      <c r="B1212" s="6">
        <f ca="1">IFERROR(__xludf.DUMMYFUNCTION("""COMPUTED_VALUE"""),2025)</f>
        <v>2025</v>
      </c>
      <c r="C1212" s="6">
        <f ca="1">IFERROR(__xludf.DUMMYFUNCTION("""COMPUTED_VALUE"""),10)</f>
        <v>10</v>
      </c>
      <c r="D1212" s="6" t="str">
        <f ca="1">IFERROR(__xludf.DUMMYFUNCTION("""COMPUTED_VALUE"""),"NO")</f>
        <v>NO</v>
      </c>
      <c r="E1212" s="6" t="str">
        <f ca="1">IFERROR(__xludf.DUMMYFUNCTION("""COMPUTED_VALUE"""),"Madrid- La Oca")</f>
        <v>Madrid- La Oca</v>
      </c>
      <c r="F1212" s="16">
        <f ca="1">IFERROR(__xludf.DUMMYFUNCTION("""COMPUTED_VALUE"""),45931)</f>
        <v>45931</v>
      </c>
      <c r="G1212" s="16">
        <f ca="1">IFERROR(__xludf.DUMMYFUNCTION("""COMPUTED_VALUE"""),45911)</f>
        <v>45911</v>
      </c>
      <c r="H1212" s="6" t="str">
        <f ca="1">IFERROR(__xludf.DUMMYFUNCTION("""COMPUTED_VALUE"""),"La Oca")</f>
        <v>La Oca</v>
      </c>
      <c r="I1212" s="6" t="str">
        <f ca="1">IFERROR(__xludf.DUMMYFUNCTION("""COMPUTED_VALUE"""),"C2025916155645827")</f>
        <v>C2025916155645827</v>
      </c>
      <c r="J1212" s="6" t="str">
        <f ca="1">IFERROR(__xludf.DUMMYFUNCTION("""COMPUTED_VALUE"""),"MARIA DE LOS REMEDIOS CASTRO MUINELO")</f>
        <v>MARIA DE LOS REMEDIOS CASTRO MUINELO</v>
      </c>
      <c r="K1212" s="6">
        <f ca="1">IFERROR(__xludf.DUMMYFUNCTION("""COMPUTED_VALUE"""),1)</f>
        <v>1</v>
      </c>
      <c r="L1212" s="139">
        <f ca="1">IFERROR(__xludf.DUMMYFUNCTION("""COMPUTED_VALUE"""),1990.91)</f>
        <v>1990.91</v>
      </c>
      <c r="M1212" s="6" t="str">
        <f ca="1">IFERROR(__xludf.DUMMYFUNCTION("""COMPUTED_VALUE"""),"03 ORL")</f>
        <v>03 ORL</v>
      </c>
      <c r="N1212" s="6" t="str">
        <f ca="1">IFERROR(__xludf.DUMMYFUNCTION("""COMPUTED_VALUE"""),"06 ORL")</f>
        <v>06 ORL</v>
      </c>
      <c r="O1212" s="6" t="str">
        <f ca="1">IFERROR(__xludf.DUMMYFUNCTION("""COMPUTED_VALUE"""),"Dr, Félix Rodríguez Paz")</f>
        <v>Dr, Félix Rodríguez Paz</v>
      </c>
      <c r="P1212" s="6" t="str">
        <f ca="1">IFERROR(__xludf.DUMMYFUNCTION("""COMPUTED_VALUE"""),"Maika Blázquez (Madrid)")</f>
        <v>Maika Blázquez (Madrid)</v>
      </c>
    </row>
    <row r="1213" spans="2:16">
      <c r="B1213" s="6">
        <f ca="1">IFERROR(__xludf.DUMMYFUNCTION("""COMPUTED_VALUE"""),2025)</f>
        <v>2025</v>
      </c>
      <c r="C1213" s="6">
        <f ca="1">IFERROR(__xludf.DUMMYFUNCTION("""COMPUTED_VALUE"""),10)</f>
        <v>10</v>
      </c>
      <c r="D1213" s="6" t="str">
        <f ca="1">IFERROR(__xludf.DUMMYFUNCTION("""COMPUTED_VALUE"""),"NO")</f>
        <v>NO</v>
      </c>
      <c r="E1213" s="6" t="str">
        <f ca="1">IFERROR(__xludf.DUMMYFUNCTION("""COMPUTED_VALUE"""),"Ourense")</f>
        <v>Ourense</v>
      </c>
      <c r="F1213" s="16">
        <f ca="1">IFERROR(__xludf.DUMMYFUNCTION("""COMPUTED_VALUE"""),45931)</f>
        <v>45931</v>
      </c>
      <c r="G1213" s="16">
        <f ca="1">IFERROR(__xludf.DUMMYFUNCTION("""COMPUTED_VALUE"""),45909)</f>
        <v>45909</v>
      </c>
      <c r="H1213" s="6" t="str">
        <f ca="1">IFERROR(__xludf.DUMMYFUNCTION("""COMPUTED_VALUE"""),"Orense")</f>
        <v>Orense</v>
      </c>
      <c r="I1213" s="6" t="str">
        <f ca="1">IFERROR(__xludf.DUMMYFUNCTION("""COMPUTED_VALUE"""),"C2025911103935364")</f>
        <v>C2025911103935364</v>
      </c>
      <c r="J1213" s="6" t="str">
        <f ca="1">IFERROR(__xludf.DUMMYFUNCTION("""COMPUTED_VALUE"""),"MARIA AURORA CAMBA LOPEZ")</f>
        <v>MARIA AURORA CAMBA LOPEZ</v>
      </c>
      <c r="K1213" s="6">
        <f ca="1">IFERROR(__xludf.DUMMYFUNCTION("""COMPUTED_VALUE"""),2)</f>
        <v>2</v>
      </c>
      <c r="L1213" s="139">
        <f ca="1">IFERROR(__xludf.DUMMYFUNCTION("""COMPUTED_VALUE"""),2718.18)</f>
        <v>2718.18</v>
      </c>
      <c r="M1213" s="6" t="str">
        <f ca="1">IFERROR(__xludf.DUMMYFUNCTION("""COMPUTED_VALUE"""),"03 ORL")</f>
        <v>03 ORL</v>
      </c>
      <c r="N1213" s="6" t="str">
        <f ca="1">IFERROR(__xludf.DUMMYFUNCTION("""COMPUTED_VALUE"""),"06 ORL")</f>
        <v>06 ORL</v>
      </c>
      <c r="O1213" s="6" t="str">
        <f ca="1">IFERROR(__xludf.DUMMYFUNCTION("""COMPUTED_VALUE"""),"Dra, María Rey Marcos")</f>
        <v>Dra, María Rey Marcos</v>
      </c>
      <c r="P1213" s="6" t="str">
        <f ca="1">IFERROR(__xludf.DUMMYFUNCTION("""COMPUTED_VALUE"""),"Roberto Pereira (Galicia)")</f>
        <v>Roberto Pereira (Galicia)</v>
      </c>
    </row>
    <row r="1214" spans="2:16">
      <c r="B1214" s="6">
        <f ca="1">IFERROR(__xludf.DUMMYFUNCTION("""COMPUTED_VALUE"""),2025)</f>
        <v>2025</v>
      </c>
      <c r="C1214" s="6">
        <f ca="1">IFERROR(__xludf.DUMMYFUNCTION("""COMPUTED_VALUE"""),10)</f>
        <v>10</v>
      </c>
      <c r="D1214" s="6" t="str">
        <f ca="1">IFERROR(__xludf.DUMMYFUNCTION("""COMPUTED_VALUE"""),"NO")</f>
        <v>NO</v>
      </c>
      <c r="E1214" s="6" t="str">
        <f ca="1">IFERROR(__xludf.DUMMYFUNCTION("""COMPUTED_VALUE"""),"Madrid- La Oca")</f>
        <v>Madrid- La Oca</v>
      </c>
      <c r="F1214" s="16">
        <f ca="1">IFERROR(__xludf.DUMMYFUNCTION("""COMPUTED_VALUE"""),45931)</f>
        <v>45931</v>
      </c>
      <c r="G1214" s="16">
        <f ca="1">IFERROR(__xludf.DUMMYFUNCTION("""COMPUTED_VALUE"""),45866)</f>
        <v>45866</v>
      </c>
      <c r="H1214" s="6" t="str">
        <f ca="1">IFERROR(__xludf.DUMMYFUNCTION("""COMPUTED_VALUE"""),"La Oca")</f>
        <v>La Oca</v>
      </c>
      <c r="I1214" s="6" t="str">
        <f ca="1">IFERROR(__xludf.DUMMYFUNCTION("""COMPUTED_VALUE"""),"C202581111719363")</f>
        <v>C202581111719363</v>
      </c>
      <c r="J1214" s="6" t="str">
        <f ca="1">IFERROR(__xludf.DUMMYFUNCTION("""COMPUTED_VALUE"""),"JUANA VICTORIA GAMARRA RICARDO")</f>
        <v>JUANA VICTORIA GAMARRA RICARDO</v>
      </c>
      <c r="K1214" s="6">
        <f ca="1">IFERROR(__xludf.DUMMYFUNCTION("""COMPUTED_VALUE"""),2)</f>
        <v>2</v>
      </c>
      <c r="L1214" s="139">
        <f ca="1">IFERROR(__xludf.DUMMYFUNCTION("""COMPUTED_VALUE"""),2718.18)</f>
        <v>2718.18</v>
      </c>
      <c r="M1214" s="6" t="str">
        <f ca="1">IFERROR(__xludf.DUMMYFUNCTION("""COMPUTED_VALUE"""),"01 MARKETING ON LINE")</f>
        <v>01 MARKETING ON LINE</v>
      </c>
      <c r="N1214" s="6" t="str">
        <f ca="1">IFERROR(__xludf.DUMMYFUNCTION("""COMPUTED_VALUE"""),"04 AUDIFONO,ES")</f>
        <v>04 AUDIFONO,ES</v>
      </c>
      <c r="O1214" s="6" t="str">
        <f ca="1">IFERROR(__xludf.DUMMYFUNCTION("""COMPUTED_VALUE"""),"Dr, Pablo Sarrió Solera")</f>
        <v>Dr, Pablo Sarrió Solera</v>
      </c>
      <c r="P1214" s="6" t="str">
        <f ca="1">IFERROR(__xludf.DUMMYFUNCTION("""COMPUTED_VALUE"""),"Lisandro Russian (Madrid, Cáceres, Toledo, Talavera Y Logroño)")</f>
        <v>Lisandro Russian (Madrid, Cáceres, Toledo, Talavera Y Logroño)</v>
      </c>
    </row>
    <row r="1215" spans="2:16">
      <c r="B1215" s="6">
        <f ca="1">IFERROR(__xludf.DUMMYFUNCTION("""COMPUTED_VALUE"""),2025)</f>
        <v>2025</v>
      </c>
      <c r="C1215" s="6">
        <f ca="1">IFERROR(__xludf.DUMMYFUNCTION("""COMPUTED_VALUE"""),10)</f>
        <v>10</v>
      </c>
      <c r="D1215" s="6" t="str">
        <f ca="1">IFERROR(__xludf.DUMMYFUNCTION("""COMPUTED_VALUE"""),"NO")</f>
        <v>NO</v>
      </c>
      <c r="E1215" s="6" t="str">
        <f ca="1">IFERROR(__xludf.DUMMYFUNCTION("""COMPUTED_VALUE"""),"Toledo")</f>
        <v>Toledo</v>
      </c>
      <c r="F1215" s="16">
        <f ca="1">IFERROR(__xludf.DUMMYFUNCTION("""COMPUTED_VALUE"""),45932)</f>
        <v>45932</v>
      </c>
      <c r="G1215" s="16">
        <f ca="1">IFERROR(__xludf.DUMMYFUNCTION("""COMPUTED_VALUE"""),45894)</f>
        <v>45894</v>
      </c>
      <c r="H1215" s="6" t="str">
        <f ca="1">IFERROR(__xludf.DUMMYFUNCTION("""COMPUTED_VALUE"""),"Toledo")</f>
        <v>Toledo</v>
      </c>
      <c r="I1215" s="6" t="str">
        <f ca="1">IFERROR(__xludf.DUMMYFUNCTION("""COMPUTED_VALUE"""),"C202582995946616")</f>
        <v>C202582995946616</v>
      </c>
      <c r="J1215" s="6" t="str">
        <f ca="1">IFERROR(__xludf.DUMMYFUNCTION("""COMPUTED_VALUE"""),"Felicisima Sanchez Sanchez")</f>
        <v>Felicisima Sanchez Sanchez</v>
      </c>
      <c r="K1215" s="6">
        <f ca="1">IFERROR(__xludf.DUMMYFUNCTION("""COMPUTED_VALUE"""),2)</f>
        <v>2</v>
      </c>
      <c r="L1215" s="139">
        <f ca="1">IFERROR(__xludf.DUMMYFUNCTION("""COMPUTED_VALUE"""),2718.18)</f>
        <v>2718.18</v>
      </c>
      <c r="M1215" s="6" t="str">
        <f ca="1">IFERROR(__xludf.DUMMYFUNCTION("""COMPUTED_VALUE"""),"03 ORL")</f>
        <v>03 ORL</v>
      </c>
      <c r="N1215" s="6" t="str">
        <f ca="1">IFERROR(__xludf.DUMMYFUNCTION("""COMPUTED_VALUE"""),"06 ORL")</f>
        <v>06 ORL</v>
      </c>
      <c r="O1215" s="6" t="str">
        <f ca="1">IFERROR(__xludf.DUMMYFUNCTION("""COMPUTED_VALUE"""),"Dra, Mónica Rueda Vega")</f>
        <v>Dra, Mónica Rueda Vega</v>
      </c>
      <c r="P1215" s="6" t="str">
        <f ca="1">IFERROR(__xludf.DUMMYFUNCTION("""COMPUTED_VALUE"""),"Lisandro Russian (Madrid, Cáceres, Toledo, Talavera Y Logroño)")</f>
        <v>Lisandro Russian (Madrid, Cáceres, Toledo, Talavera Y Logroño)</v>
      </c>
    </row>
    <row r="1216" spans="2:16">
      <c r="B1216" s="6">
        <f ca="1">IFERROR(__xludf.DUMMYFUNCTION("""COMPUTED_VALUE"""),2025)</f>
        <v>2025</v>
      </c>
      <c r="C1216" s="6">
        <f ca="1">IFERROR(__xludf.DUMMYFUNCTION("""COMPUTED_VALUE"""),10)</f>
        <v>10</v>
      </c>
      <c r="D1216" s="6" t="str">
        <f ca="1">IFERROR(__xludf.DUMMYFUNCTION("""COMPUTED_VALUE"""),"NO")</f>
        <v>NO</v>
      </c>
      <c r="E1216" s="6" t="str">
        <f ca="1">IFERROR(__xludf.DUMMYFUNCTION("""COMPUTED_VALUE"""),"Madrid- Juan Bravo")</f>
        <v>Madrid- Juan Bravo</v>
      </c>
      <c r="F1216" s="16">
        <f ca="1">IFERROR(__xludf.DUMMYFUNCTION("""COMPUTED_VALUE"""),45932)</f>
        <v>45932</v>
      </c>
      <c r="G1216" s="16">
        <f ca="1">IFERROR(__xludf.DUMMYFUNCTION("""COMPUTED_VALUE"""),45645)</f>
        <v>45645</v>
      </c>
      <c r="H1216" s="6" t="str">
        <f ca="1">IFERROR(__xludf.DUMMYFUNCTION("""COMPUTED_VALUE"""),"Juan Bravo")</f>
        <v>Juan Bravo</v>
      </c>
      <c r="I1216" s="6" t="str">
        <f ca="1">IFERROR(__xludf.DUMMYFUNCTION("""COMPUTED_VALUE"""),"C2024122616017104")</f>
        <v>C2024122616017104</v>
      </c>
      <c r="J1216" s="6" t="str">
        <f ca="1">IFERROR(__xludf.DUMMYFUNCTION("""COMPUTED_VALUE"""),"MARIA ISABEL URCELAY DEL POZO")</f>
        <v>MARIA ISABEL URCELAY DEL POZO</v>
      </c>
      <c r="K1216" s="6">
        <f ca="1">IFERROR(__xludf.DUMMYFUNCTION("""COMPUTED_VALUE"""),1)</f>
        <v>1</v>
      </c>
      <c r="L1216" s="139">
        <f ca="1">IFERROR(__xludf.DUMMYFUNCTION("""COMPUTED_VALUE"""),2162.73)</f>
        <v>2162.73</v>
      </c>
      <c r="M1216" s="6" t="str">
        <f ca="1">IFERROR(__xludf.DUMMYFUNCTION("""COMPUTED_VALUE"""),"03 ORL")</f>
        <v>03 ORL</v>
      </c>
      <c r="N1216" s="6" t="str">
        <f ca="1">IFERROR(__xludf.DUMMYFUNCTION("""COMPUTED_VALUE"""),"06 ORL")</f>
        <v>06 ORL</v>
      </c>
      <c r="O1216" s="6" t="str">
        <f ca="1">IFERROR(__xludf.DUMMYFUNCTION("""COMPUTED_VALUE"""),"Dr, Joaquín Alacio Casero")</f>
        <v>Dr, Joaquín Alacio Casero</v>
      </c>
      <c r="P1216" s="6" t="str">
        <f ca="1">IFERROR(__xludf.DUMMYFUNCTION("""COMPUTED_VALUE"""),"Maika Blázquez (Madrid)")</f>
        <v>Maika Blázquez (Madrid)</v>
      </c>
    </row>
    <row r="1217" spans="2:16">
      <c r="B1217" s="6">
        <f ca="1">IFERROR(__xludf.DUMMYFUNCTION("""COMPUTED_VALUE"""),2025)</f>
        <v>2025</v>
      </c>
      <c r="C1217" s="6">
        <f ca="1">IFERROR(__xludf.DUMMYFUNCTION("""COMPUTED_VALUE"""),10)</f>
        <v>10</v>
      </c>
      <c r="D1217" s="6" t="str">
        <f ca="1">IFERROR(__xludf.DUMMYFUNCTION("""COMPUTED_VALUE"""),"NO")</f>
        <v>NO</v>
      </c>
      <c r="E1217" s="6" t="str">
        <f ca="1">IFERROR(__xludf.DUMMYFUNCTION("""COMPUTED_VALUE"""),"Sevilla- Montoto")</f>
        <v>Sevilla- Montoto</v>
      </c>
      <c r="F1217" s="16">
        <f ca="1">IFERROR(__xludf.DUMMYFUNCTION("""COMPUTED_VALUE"""),45932)</f>
        <v>45932</v>
      </c>
      <c r="G1217" s="16">
        <f ca="1">IFERROR(__xludf.DUMMYFUNCTION("""COMPUTED_VALUE"""),45910)</f>
        <v>45910</v>
      </c>
      <c r="H1217" s="6" t="str">
        <f ca="1">IFERROR(__xludf.DUMMYFUNCTION("""COMPUTED_VALUE"""),"Montoto")</f>
        <v>Montoto</v>
      </c>
      <c r="I1217" s="6" t="str">
        <f ca="1">IFERROR(__xludf.DUMMYFUNCTION("""COMPUTED_VALUE"""),"C2025915122921595")</f>
        <v>C2025915122921595</v>
      </c>
      <c r="J1217" s="6" t="str">
        <f ca="1">IFERROR(__xludf.DUMMYFUNCTION("""COMPUTED_VALUE"""),"DOLORES MARTINEZ GOMEZ")</f>
        <v>DOLORES MARTINEZ GOMEZ</v>
      </c>
      <c r="K1217" s="6">
        <f ca="1">IFERROR(__xludf.DUMMYFUNCTION("""COMPUTED_VALUE"""),2)</f>
        <v>2</v>
      </c>
      <c r="L1217" s="139">
        <f ca="1">IFERROR(__xludf.DUMMYFUNCTION("""COMPUTED_VALUE"""),4136.36)</f>
        <v>4136.3599999999997</v>
      </c>
      <c r="M1217" s="6" t="str">
        <f ca="1">IFERROR(__xludf.DUMMYFUNCTION("""COMPUTED_VALUE"""),"03 ORL")</f>
        <v>03 ORL</v>
      </c>
      <c r="N1217" s="6" t="str">
        <f ca="1">IFERROR(__xludf.DUMMYFUNCTION("""COMPUTED_VALUE"""),"06 ORL")</f>
        <v>06 ORL</v>
      </c>
      <c r="O1217" s="6" t="str">
        <f ca="1">IFERROR(__xludf.DUMMYFUNCTION("""COMPUTED_VALUE"""),"Dr, Rafael Ruiz Fito")</f>
        <v>Dr, Rafael Ruiz Fito</v>
      </c>
      <c r="P1217" s="6" t="str">
        <f ca="1">IFERROR(__xludf.DUMMYFUNCTION("""COMPUTED_VALUE"""),"Luis Alberto Rodríguez (Andalucía y Badajoz)")</f>
        <v>Luis Alberto Rodríguez (Andalucía y Badajoz)</v>
      </c>
    </row>
    <row r="1218" spans="2:16">
      <c r="B1218" s="6">
        <f ca="1">IFERROR(__xludf.DUMMYFUNCTION("""COMPUTED_VALUE"""),2025)</f>
        <v>2025</v>
      </c>
      <c r="C1218" s="6">
        <f ca="1">IFERROR(__xludf.DUMMYFUNCTION("""COMPUTED_VALUE"""),10)</f>
        <v>10</v>
      </c>
      <c r="D1218" s="6" t="str">
        <f ca="1">IFERROR(__xludf.DUMMYFUNCTION("""COMPUTED_VALUE"""),"NO")</f>
        <v>NO</v>
      </c>
      <c r="E1218" s="6" t="str">
        <f ca="1">IFERROR(__xludf.DUMMYFUNCTION("""COMPUTED_VALUE"""),"Toledo")</f>
        <v>Toledo</v>
      </c>
      <c r="F1218" s="16">
        <f ca="1">IFERROR(__xludf.DUMMYFUNCTION("""COMPUTED_VALUE"""),45933)</f>
        <v>45933</v>
      </c>
      <c r="G1218" s="16">
        <f ca="1">IFERROR(__xludf.DUMMYFUNCTION("""COMPUTED_VALUE"""),45898)</f>
        <v>45898</v>
      </c>
      <c r="H1218" s="6" t="str">
        <f ca="1">IFERROR(__xludf.DUMMYFUNCTION("""COMPUTED_VALUE"""),"Toledo")</f>
        <v>Toledo</v>
      </c>
      <c r="I1218" s="6" t="str">
        <f ca="1">IFERROR(__xludf.DUMMYFUNCTION("""COMPUTED_VALUE"""),"C202582910625215")</f>
        <v>C202582910625215</v>
      </c>
      <c r="J1218" s="6" t="str">
        <f ca="1">IFERROR(__xludf.DUMMYFUNCTION("""COMPUTED_VALUE"""),"DOLORES MARTÍN MARTÍN")</f>
        <v>DOLORES MARTÍN MARTÍN</v>
      </c>
      <c r="K1218" s="6">
        <f ca="1">IFERROR(__xludf.DUMMYFUNCTION("""COMPUTED_VALUE"""),2)</f>
        <v>2</v>
      </c>
      <c r="L1218" s="139">
        <f ca="1">IFERROR(__xludf.DUMMYFUNCTION("""COMPUTED_VALUE"""),2718.18)</f>
        <v>2718.18</v>
      </c>
      <c r="M1218" s="6" t="str">
        <f ca="1">IFERROR(__xludf.DUMMYFUNCTION("""COMPUTED_VALUE"""),"03 ORL")</f>
        <v>03 ORL</v>
      </c>
      <c r="N1218" s="6" t="str">
        <f ca="1">IFERROR(__xludf.DUMMYFUNCTION("""COMPUTED_VALUE"""),"06 ORL")</f>
        <v>06 ORL</v>
      </c>
      <c r="O1218" s="6" t="str">
        <f ca="1">IFERROR(__xludf.DUMMYFUNCTION("""COMPUTED_VALUE"""),"Dra, Eva Ruiz de Gauna")</f>
        <v>Dra, Eva Ruiz de Gauna</v>
      </c>
      <c r="P1218" s="6" t="str">
        <f ca="1">IFERROR(__xludf.DUMMYFUNCTION("""COMPUTED_VALUE"""),"Lisandro Russian (Madrid, Cáceres, Toledo, Talavera Y Logroño)")</f>
        <v>Lisandro Russian (Madrid, Cáceres, Toledo, Talavera Y Logroño)</v>
      </c>
    </row>
    <row r="1219" spans="2:16">
      <c r="B1219" s="6">
        <f ca="1">IFERROR(__xludf.DUMMYFUNCTION("""COMPUTED_VALUE"""),2025)</f>
        <v>2025</v>
      </c>
      <c r="C1219" s="6">
        <f ca="1">IFERROR(__xludf.DUMMYFUNCTION("""COMPUTED_VALUE"""),10)</f>
        <v>10</v>
      </c>
      <c r="D1219" s="6" t="str">
        <f ca="1">IFERROR(__xludf.DUMMYFUNCTION("""COMPUTED_VALUE"""),"NO")</f>
        <v>NO</v>
      </c>
      <c r="E1219" s="6" t="str">
        <f ca="1">IFERROR(__xludf.DUMMYFUNCTION("""COMPUTED_VALUE"""),"Alicante")</f>
        <v>Alicante</v>
      </c>
      <c r="F1219" s="16">
        <f ca="1">IFERROR(__xludf.DUMMYFUNCTION("""COMPUTED_VALUE"""),45933)</f>
        <v>45933</v>
      </c>
      <c r="G1219" s="16">
        <f ca="1">IFERROR(__xludf.DUMMYFUNCTION("""COMPUTED_VALUE"""),45889)</f>
        <v>45889</v>
      </c>
      <c r="H1219" s="6" t="str">
        <f ca="1">IFERROR(__xludf.DUMMYFUNCTION("""COMPUTED_VALUE"""),"Alicante")</f>
        <v>Alicante</v>
      </c>
      <c r="I1219" s="6" t="str">
        <f ca="1">IFERROR(__xludf.DUMMYFUNCTION("""COMPUTED_VALUE"""),"C202582910419307")</f>
        <v>C202582910419307</v>
      </c>
      <c r="J1219" s="6" t="str">
        <f ca="1">IFERROR(__xludf.DUMMYFUNCTION("""COMPUTED_VALUE"""),"MARIA RIANSARES GONZALEZ MARTINEZ")</f>
        <v>MARIA RIANSARES GONZALEZ MARTINEZ</v>
      </c>
      <c r="K1219" s="6">
        <f ca="1">IFERROR(__xludf.DUMMYFUNCTION("""COMPUTED_VALUE"""),2)</f>
        <v>2</v>
      </c>
      <c r="L1219" s="139">
        <f ca="1">IFERROR(__xludf.DUMMYFUNCTION("""COMPUTED_VALUE"""),3631.82)</f>
        <v>3631.82</v>
      </c>
      <c r="M1219" s="6" t="str">
        <f ca="1">IFERROR(__xludf.DUMMYFUNCTION("""COMPUTED_VALUE"""),"03 ORL")</f>
        <v>03 ORL</v>
      </c>
      <c r="N1219" s="6" t="str">
        <f ca="1">IFERROR(__xludf.DUMMYFUNCTION("""COMPUTED_VALUE"""),"06 ORL")</f>
        <v>06 ORL</v>
      </c>
      <c r="O1219" s="6" t="str">
        <f ca="1">IFERROR(__xludf.DUMMYFUNCTION("""COMPUTED_VALUE"""),"Dra, Isabel Menaches Guardiola")</f>
        <v>Dra, Isabel Menaches Guardiola</v>
      </c>
      <c r="P1219" s="6" t="str">
        <f ca="1">IFERROR(__xludf.DUMMYFUNCTION("""COMPUTED_VALUE"""),"Iván Sánchez (Levante Y Albacete)")</f>
        <v>Iván Sánchez (Levante Y Albacete)</v>
      </c>
    </row>
    <row r="1220" spans="2:16">
      <c r="B1220" s="6">
        <f ca="1">IFERROR(__xludf.DUMMYFUNCTION("""COMPUTED_VALUE"""),2025)</f>
        <v>2025</v>
      </c>
      <c r="C1220" s="6">
        <f ca="1">IFERROR(__xludf.DUMMYFUNCTION("""COMPUTED_VALUE"""),10)</f>
        <v>10</v>
      </c>
      <c r="D1220" s="6" t="str">
        <f ca="1">IFERROR(__xludf.DUMMYFUNCTION("""COMPUTED_VALUE"""),"NO")</f>
        <v>NO</v>
      </c>
      <c r="E1220" s="6" t="str">
        <f ca="1">IFERROR(__xludf.DUMMYFUNCTION("""COMPUTED_VALUE"""),"Boiro")</f>
        <v>Boiro</v>
      </c>
      <c r="F1220" s="16">
        <f ca="1">IFERROR(__xludf.DUMMYFUNCTION("""COMPUTED_VALUE"""),45936)</f>
        <v>45936</v>
      </c>
      <c r="G1220" s="16">
        <f ca="1">IFERROR(__xludf.DUMMYFUNCTION("""COMPUTED_VALUE"""),45911)</f>
        <v>45911</v>
      </c>
      <c r="H1220" s="6" t="str">
        <f ca="1">IFERROR(__xludf.DUMMYFUNCTION("""COMPUTED_VALUE"""),"Boiro")</f>
        <v>Boiro</v>
      </c>
      <c r="I1220" s="6" t="str">
        <f ca="1">IFERROR(__xludf.DUMMYFUNCTION("""COMPUTED_VALUE"""),"BOI-991")</f>
        <v>BOI-991</v>
      </c>
      <c r="J1220" s="6" t="str">
        <f ca="1">IFERROR(__xludf.DUMMYFUNCTION("""COMPUTED_VALUE"""),"MATILDE PREGO CORES")</f>
        <v>MATILDE PREGO CORES</v>
      </c>
      <c r="K1220" s="6">
        <f ca="1">IFERROR(__xludf.DUMMYFUNCTION("""COMPUTED_VALUE"""),2)</f>
        <v>2</v>
      </c>
      <c r="L1220" s="139">
        <f ca="1">IFERROR(__xludf.DUMMYFUNCTION("""COMPUTED_VALUE"""),3081.82)</f>
        <v>3081.82</v>
      </c>
      <c r="M1220" s="6" t="str">
        <f ca="1">IFERROR(__xludf.DUMMYFUNCTION("""COMPUTED_VALUE"""),"03 ORL")</f>
        <v>03 ORL</v>
      </c>
      <c r="N1220" s="6" t="str">
        <f ca="1">IFERROR(__xludf.DUMMYFUNCTION("""COMPUTED_VALUE"""),"06 ORL")</f>
        <v>06 ORL</v>
      </c>
      <c r="O1220" s="6" t="str">
        <f ca="1">IFERROR(__xludf.DUMMYFUNCTION("""COMPUTED_VALUE"""),"Dra, Isabel Pensado Banet")</f>
        <v>Dra, Isabel Pensado Banet</v>
      </c>
      <c r="P1220" s="6" t="str">
        <f ca="1">IFERROR(__xludf.DUMMYFUNCTION("""COMPUTED_VALUE"""),"Roberto Pereira (Galicia)")</f>
        <v>Roberto Pereira (Galicia)</v>
      </c>
    </row>
    <row r="1221" spans="2:16">
      <c r="B1221" s="6">
        <f ca="1">IFERROR(__xludf.DUMMYFUNCTION("""COMPUTED_VALUE"""),2025)</f>
        <v>2025</v>
      </c>
      <c r="C1221" s="6">
        <f ca="1">IFERROR(__xludf.DUMMYFUNCTION("""COMPUTED_VALUE"""),10)</f>
        <v>10</v>
      </c>
      <c r="D1221" s="6" t="str">
        <f ca="1">IFERROR(__xludf.DUMMYFUNCTION("""COMPUTED_VALUE"""),"NO")</f>
        <v>NO</v>
      </c>
      <c r="E1221" s="6" t="str">
        <f ca="1">IFERROR(__xludf.DUMMYFUNCTION("""COMPUTED_VALUE"""),"Valencia- Cádiz")</f>
        <v>Valencia- Cádiz</v>
      </c>
      <c r="F1221" s="16">
        <f ca="1">IFERROR(__xludf.DUMMYFUNCTION("""COMPUTED_VALUE"""),45936)</f>
        <v>45936</v>
      </c>
      <c r="G1221" s="16">
        <f ca="1">IFERROR(__xludf.DUMMYFUNCTION("""COMPUTED_VALUE"""),45817)</f>
        <v>45817</v>
      </c>
      <c r="H1221" s="6" t="str">
        <f ca="1">IFERROR(__xludf.DUMMYFUNCTION("""COMPUTED_VALUE"""),"Valencia- Cádiz")</f>
        <v>Valencia- Cádiz</v>
      </c>
      <c r="I1221" s="6" t="str">
        <f ca="1">IFERROR(__xludf.DUMMYFUNCTION("""COMPUTED_VALUE"""),"C202569173634919")</f>
        <v>C202569173634919</v>
      </c>
      <c r="J1221" s="6" t="str">
        <f ca="1">IFERROR(__xludf.DUMMYFUNCTION("""COMPUTED_VALUE"""),"ANA MARIA CENTELLES BARRERA")</f>
        <v>ANA MARIA CENTELLES BARRERA</v>
      </c>
      <c r="K1221" s="6">
        <f ca="1">IFERROR(__xludf.DUMMYFUNCTION("""COMPUTED_VALUE"""),1)</f>
        <v>1</v>
      </c>
      <c r="L1221" s="139">
        <f ca="1">IFERROR(__xludf.DUMMYFUNCTION("""COMPUTED_VALUE"""),2044.55)</f>
        <v>2044.55</v>
      </c>
      <c r="M1221" s="6" t="str">
        <f ca="1">IFERROR(__xludf.DUMMYFUNCTION("""COMPUTED_VALUE"""),"03 ORL")</f>
        <v>03 ORL</v>
      </c>
      <c r="N1221" s="6" t="str">
        <f ca="1">IFERROR(__xludf.DUMMYFUNCTION("""COMPUTED_VALUE"""),"06 ORL")</f>
        <v>06 ORL</v>
      </c>
      <c r="O1221" s="6" t="str">
        <f ca="1">IFERROR(__xludf.DUMMYFUNCTION("""COMPUTED_VALUE"""),"Dr, Manuel Mateos Fernández")</f>
        <v>Dr, Manuel Mateos Fernández</v>
      </c>
      <c r="P1221" s="6" t="str">
        <f ca="1">IFERROR(__xludf.DUMMYFUNCTION("""COMPUTED_VALUE"""),"Ramon Ferrando(Valencia)")</f>
        <v>Ramon Ferrando(Valencia)</v>
      </c>
    </row>
    <row r="1222" spans="2:16">
      <c r="B1222" s="6">
        <f ca="1">IFERROR(__xludf.DUMMYFUNCTION("""COMPUTED_VALUE"""),2025)</f>
        <v>2025</v>
      </c>
      <c r="C1222" s="6">
        <f ca="1">IFERROR(__xludf.DUMMYFUNCTION("""COMPUTED_VALUE"""),10)</f>
        <v>10</v>
      </c>
      <c r="D1222" s="6" t="str">
        <f ca="1">IFERROR(__xludf.DUMMYFUNCTION("""COMPUTED_VALUE"""),"NO")</f>
        <v>NO</v>
      </c>
      <c r="E1222" s="6" t="str">
        <f ca="1">IFERROR(__xludf.DUMMYFUNCTION("""COMPUTED_VALUE"""),"San Javier")</f>
        <v>San Javier</v>
      </c>
      <c r="F1222" s="16">
        <f ca="1">IFERROR(__xludf.DUMMYFUNCTION("""COMPUTED_VALUE"""),45936)</f>
        <v>45936</v>
      </c>
      <c r="G1222" s="16">
        <f ca="1">IFERROR(__xludf.DUMMYFUNCTION("""COMPUTED_VALUE"""),45887)</f>
        <v>45887</v>
      </c>
      <c r="H1222" s="6" t="str">
        <f ca="1">IFERROR(__xludf.DUMMYFUNCTION("""COMPUTED_VALUE"""),"San Javier")</f>
        <v>San Javier</v>
      </c>
      <c r="I1222" s="6" t="str">
        <f ca="1">IFERROR(__xludf.DUMMYFUNCTION("""COMPUTED_VALUE"""),"C202582110315643")</f>
        <v>C202582110315643</v>
      </c>
      <c r="J1222" s="6" t="str">
        <f ca="1">IFERROR(__xludf.DUMMYFUNCTION("""COMPUTED_VALUE"""),"JOSE ENRIQUE MUÑOZ MARTINEZ")</f>
        <v>JOSE ENRIQUE MUÑOZ MARTINEZ</v>
      </c>
      <c r="K1222" s="6">
        <f ca="1">IFERROR(__xludf.DUMMYFUNCTION("""COMPUTED_VALUE"""),2)</f>
        <v>2</v>
      </c>
      <c r="L1222" s="139">
        <f ca="1">IFERROR(__xludf.DUMMYFUNCTION("""COMPUTED_VALUE"""),3631.82)</f>
        <v>3631.82</v>
      </c>
      <c r="M1222" s="6" t="str">
        <f ca="1">IFERROR(__xludf.DUMMYFUNCTION("""COMPUTED_VALUE"""),"03 ORL")</f>
        <v>03 ORL</v>
      </c>
      <c r="N1222" s="6" t="str">
        <f ca="1">IFERROR(__xludf.DUMMYFUNCTION("""COMPUTED_VALUE"""),"06 ORL")</f>
        <v>06 ORL</v>
      </c>
      <c r="O1222" s="6" t="str">
        <f ca="1">IFERROR(__xludf.DUMMYFUNCTION("""COMPUTED_VALUE"""),"Dr, Francisco García Purriños")</f>
        <v>Dr, Francisco García Purriños</v>
      </c>
      <c r="P1222" s="6" t="str">
        <f ca="1">IFERROR(__xludf.DUMMYFUNCTION("""COMPUTED_VALUE"""),"Iván Sánchez (Levante Y Albacete)")</f>
        <v>Iván Sánchez (Levante Y Albacete)</v>
      </c>
    </row>
    <row r="1223" spans="2:16">
      <c r="B1223" s="6">
        <f ca="1">IFERROR(__xludf.DUMMYFUNCTION("""COMPUTED_VALUE"""),2025)</f>
        <v>2025</v>
      </c>
      <c r="C1223" s="6">
        <f ca="1">IFERROR(__xludf.DUMMYFUNCTION("""COMPUTED_VALUE"""),10)</f>
        <v>10</v>
      </c>
      <c r="D1223" s="6" t="str">
        <f ca="1">IFERROR(__xludf.DUMMYFUNCTION("""COMPUTED_VALUE"""),"NO")</f>
        <v>NO</v>
      </c>
      <c r="E1223" s="6" t="str">
        <f ca="1">IFERROR(__xludf.DUMMYFUNCTION("""COMPUTED_VALUE"""),"Alicante")</f>
        <v>Alicante</v>
      </c>
      <c r="F1223" s="16">
        <f ca="1">IFERROR(__xludf.DUMMYFUNCTION("""COMPUTED_VALUE"""),45936)</f>
        <v>45936</v>
      </c>
      <c r="G1223" s="16">
        <f ca="1">IFERROR(__xludf.DUMMYFUNCTION("""COMPUTED_VALUE"""),45917)</f>
        <v>45917</v>
      </c>
      <c r="H1223" s="6" t="str">
        <f ca="1">IFERROR(__xludf.DUMMYFUNCTION("""COMPUTED_VALUE"""),"Alicante")</f>
        <v>Alicante</v>
      </c>
      <c r="I1223" s="6" t="str">
        <f ca="1">IFERROR(__xludf.DUMMYFUNCTION("""COMPUTED_VALUE"""),"C2025918163651776")</f>
        <v>C2025918163651776</v>
      </c>
      <c r="J1223" s="6" t="str">
        <f ca="1">IFERROR(__xludf.DUMMYFUNCTION("""COMPUTED_VALUE"""),"ENCARNACIÓN GUTIERREZ ALBANDOZ")</f>
        <v>ENCARNACIÓN GUTIERREZ ALBANDOZ</v>
      </c>
      <c r="K1223" s="6">
        <f ca="1">IFERROR(__xludf.DUMMYFUNCTION("""COMPUTED_VALUE"""),2)</f>
        <v>2</v>
      </c>
      <c r="L1223" s="139">
        <f ca="1">IFERROR(__xludf.DUMMYFUNCTION("""COMPUTED_VALUE"""),3631.82)</f>
        <v>3631.82</v>
      </c>
      <c r="M1223" s="6" t="str">
        <f ca="1">IFERROR(__xludf.DUMMYFUNCTION("""COMPUTED_VALUE"""),"03 ORL")</f>
        <v>03 ORL</v>
      </c>
      <c r="N1223" s="6" t="str">
        <f ca="1">IFERROR(__xludf.DUMMYFUNCTION("""COMPUTED_VALUE"""),"06 ORL")</f>
        <v>06 ORL</v>
      </c>
      <c r="O1223" s="6" t="str">
        <f ca="1">IFERROR(__xludf.DUMMYFUNCTION("""COMPUTED_VALUE"""),"Dr, Javier Lafarga Vázquez")</f>
        <v>Dr, Javier Lafarga Vázquez</v>
      </c>
      <c r="P1223" s="6" t="str">
        <f ca="1">IFERROR(__xludf.DUMMYFUNCTION("""COMPUTED_VALUE"""),"Iván Sánchez (Levante Y Albacete)")</f>
        <v>Iván Sánchez (Levante Y Albacete)</v>
      </c>
    </row>
    <row r="1224" spans="2:16">
      <c r="B1224" s="6">
        <f ca="1">IFERROR(__xludf.DUMMYFUNCTION("""COMPUTED_VALUE"""),2025)</f>
        <v>2025</v>
      </c>
      <c r="C1224" s="6">
        <f ca="1">IFERROR(__xludf.DUMMYFUNCTION("""COMPUTED_VALUE"""),10)</f>
        <v>10</v>
      </c>
      <c r="D1224" s="6" t="str">
        <f ca="1">IFERROR(__xludf.DUMMYFUNCTION("""COMPUTED_VALUE"""),"NO")</f>
        <v>NO</v>
      </c>
      <c r="E1224" s="6" t="str">
        <f ca="1">IFERROR(__xludf.DUMMYFUNCTION("""COMPUTED_VALUE"""),"Salamanca")</f>
        <v>Salamanca</v>
      </c>
      <c r="F1224" s="16">
        <f ca="1">IFERROR(__xludf.DUMMYFUNCTION("""COMPUTED_VALUE"""),45937)</f>
        <v>45937</v>
      </c>
      <c r="G1224" s="16">
        <f ca="1">IFERROR(__xludf.DUMMYFUNCTION("""COMPUTED_VALUE"""),45897)</f>
        <v>45897</v>
      </c>
      <c r="H1224" s="6" t="str">
        <f ca="1">IFERROR(__xludf.DUMMYFUNCTION("""COMPUTED_VALUE"""),"Salamanca")</f>
        <v>Salamanca</v>
      </c>
      <c r="I1224" s="6" t="str">
        <f ca="1">IFERROR(__xludf.DUMMYFUNCTION("""COMPUTED_VALUE"""),"SLM-607")</f>
        <v>SLM-607</v>
      </c>
      <c r="J1224" s="6" t="str">
        <f ca="1">IFERROR(__xludf.DUMMYFUNCTION("""COMPUTED_VALUE"""),"JUAN MAJADAS GOMEZ")</f>
        <v>JUAN MAJADAS GOMEZ</v>
      </c>
      <c r="K1224" s="6">
        <f ca="1">IFERROR(__xludf.DUMMYFUNCTION("""COMPUTED_VALUE"""),2)</f>
        <v>2</v>
      </c>
      <c r="L1224" s="139">
        <f ca="1">IFERROR(__xludf.DUMMYFUNCTION("""COMPUTED_VALUE"""),3730)</f>
        <v>3730</v>
      </c>
      <c r="M1224" s="6" t="str">
        <f ca="1">IFERROR(__xludf.DUMMYFUNCTION("""COMPUTED_VALUE"""),"03 ORL")</f>
        <v>03 ORL</v>
      </c>
      <c r="N1224" s="6" t="str">
        <f ca="1">IFERROR(__xludf.DUMMYFUNCTION("""COMPUTED_VALUE"""),"06 ORL")</f>
        <v>06 ORL</v>
      </c>
      <c r="O1224" s="6" t="str">
        <f ca="1">IFERROR(__xludf.DUMMYFUNCTION("""COMPUTED_VALUE"""),"No Recuerda Orl")</f>
        <v>No Recuerda Orl</v>
      </c>
      <c r="P1224" s="6" t="str">
        <f ca="1">IFERROR(__xludf.DUMMYFUNCTION("""COMPUTED_VALUE"""),"Alberto Moreno (Madrid)")</f>
        <v>Alberto Moreno (Madrid)</v>
      </c>
    </row>
    <row r="1225" spans="2:16">
      <c r="B1225" s="6">
        <f ca="1">IFERROR(__xludf.DUMMYFUNCTION("""COMPUTED_VALUE"""),2025)</f>
        <v>2025</v>
      </c>
      <c r="C1225" s="6">
        <f ca="1">IFERROR(__xludf.DUMMYFUNCTION("""COMPUTED_VALUE"""),10)</f>
        <v>10</v>
      </c>
      <c r="D1225" s="6" t="str">
        <f ca="1">IFERROR(__xludf.DUMMYFUNCTION("""COMPUTED_VALUE"""),"NO")</f>
        <v>NO</v>
      </c>
      <c r="E1225" s="6" t="str">
        <f ca="1">IFERROR(__xludf.DUMMYFUNCTION("""COMPUTED_VALUE"""),"Barcelona- Córcega")</f>
        <v>Barcelona- Córcega</v>
      </c>
      <c r="F1225" s="16">
        <f ca="1">IFERROR(__xludf.DUMMYFUNCTION("""COMPUTED_VALUE"""),45937)</f>
        <v>45937</v>
      </c>
      <c r="G1225" s="16">
        <f ca="1">IFERROR(__xludf.DUMMYFUNCTION("""COMPUTED_VALUE"""),45897)</f>
        <v>45897</v>
      </c>
      <c r="H1225" s="6" t="str">
        <f ca="1">IFERROR(__xludf.DUMMYFUNCTION("""COMPUTED_VALUE"""),"Córcega")</f>
        <v>Córcega</v>
      </c>
      <c r="I1225" s="6" t="str">
        <f ca="1">IFERROR(__xludf.DUMMYFUNCTION("""COMPUTED_VALUE"""),"C202591164623707")</f>
        <v>C202591164623707</v>
      </c>
      <c r="J1225" s="6" t="str">
        <f ca="1">IFERROR(__xludf.DUMMYFUNCTION("""COMPUTED_VALUE"""),"ALGENIA GUTIERREZ")</f>
        <v>ALGENIA GUTIERREZ</v>
      </c>
      <c r="K1225" s="6">
        <f ca="1">IFERROR(__xludf.DUMMYFUNCTION("""COMPUTED_VALUE"""),2)</f>
        <v>2</v>
      </c>
      <c r="L1225" s="139">
        <f ca="1">IFERROR(__xludf.DUMMYFUNCTION("""COMPUTED_VALUE"""),3631.82)</f>
        <v>3631.82</v>
      </c>
      <c r="M1225" s="6" t="str">
        <f ca="1">IFERROR(__xludf.DUMMYFUNCTION("""COMPUTED_VALUE"""),"03 ORL")</f>
        <v>03 ORL</v>
      </c>
      <c r="N1225" s="6" t="str">
        <f ca="1">IFERROR(__xludf.DUMMYFUNCTION("""COMPUTED_VALUE"""),"06 ORL")</f>
        <v>06 ORL</v>
      </c>
      <c r="O1225" s="6" t="str">
        <f ca="1">IFERROR(__xludf.DUMMYFUNCTION("""COMPUTED_VALUE"""),"Dra, Marta Sandoval Puig")</f>
        <v>Dra, Marta Sandoval Puig</v>
      </c>
      <c r="P1225" s="6" t="str">
        <f ca="1">IFERROR(__xludf.DUMMYFUNCTION("""COMPUTED_VALUE"""),"Mercè Cabrera (Cataluña Y Baleares)")</f>
        <v>Mercè Cabrera (Cataluña Y Baleares)</v>
      </c>
    </row>
    <row r="1226" spans="2:16">
      <c r="B1226" s="6">
        <f ca="1">IFERROR(__xludf.DUMMYFUNCTION("""COMPUTED_VALUE"""),2025)</f>
        <v>2025</v>
      </c>
      <c r="C1226" s="6">
        <f ca="1">IFERROR(__xludf.DUMMYFUNCTION("""COMPUTED_VALUE"""),10)</f>
        <v>10</v>
      </c>
      <c r="D1226" s="6" t="str">
        <f ca="1">IFERROR(__xludf.DUMMYFUNCTION("""COMPUTED_VALUE"""),"NO")</f>
        <v>NO</v>
      </c>
      <c r="E1226" s="6" t="str">
        <f ca="1">IFERROR(__xludf.DUMMYFUNCTION("""COMPUTED_VALUE"""),"Santiago de Compostela")</f>
        <v>Santiago de Compostela</v>
      </c>
      <c r="F1226" s="16">
        <f ca="1">IFERROR(__xludf.DUMMYFUNCTION("""COMPUTED_VALUE"""),45937)</f>
        <v>45937</v>
      </c>
      <c r="G1226" s="16">
        <f ca="1">IFERROR(__xludf.DUMMYFUNCTION("""COMPUTED_VALUE"""),45917)</f>
        <v>45917</v>
      </c>
      <c r="H1226" s="6" t="str">
        <f ca="1">IFERROR(__xludf.DUMMYFUNCTION("""COMPUTED_VALUE"""),"Santiago")</f>
        <v>Santiago</v>
      </c>
      <c r="I1226" s="6" t="str">
        <f ca="1">IFERROR(__xludf.DUMMYFUNCTION("""COMPUTED_VALUE"""),"C202592211274419")</f>
        <v>C202592211274419</v>
      </c>
      <c r="J1226" s="6" t="str">
        <f ca="1">IFERROR(__xludf.DUMMYFUNCTION("""COMPUTED_VALUE"""),"EMILIA GARCIA PENIDO")</f>
        <v>EMILIA GARCIA PENIDO</v>
      </c>
      <c r="K1226" s="6">
        <f ca="1">IFERROR(__xludf.DUMMYFUNCTION("""COMPUTED_VALUE"""),2)</f>
        <v>2</v>
      </c>
      <c r="L1226" s="139">
        <f ca="1">IFERROR(__xludf.DUMMYFUNCTION("""COMPUTED_VALUE"""),2718.18)</f>
        <v>2718.18</v>
      </c>
      <c r="M1226" s="6" t="str">
        <f ca="1">IFERROR(__xludf.DUMMYFUNCTION("""COMPUTED_VALUE"""),"03 ORL")</f>
        <v>03 ORL</v>
      </c>
      <c r="N1226" s="6" t="str">
        <f ca="1">IFERROR(__xludf.DUMMYFUNCTION("""COMPUTED_VALUE"""),"06 ORL")</f>
        <v>06 ORL</v>
      </c>
      <c r="O1226" s="6" t="str">
        <f ca="1">IFERROR(__xludf.DUMMYFUNCTION("""COMPUTED_VALUE"""),"Dr, Antonio Gustavo Lirola Delgado")</f>
        <v>Dr, Antonio Gustavo Lirola Delgado</v>
      </c>
      <c r="P1226" s="6" t="str">
        <f ca="1">IFERROR(__xludf.DUMMYFUNCTION("""COMPUTED_VALUE"""),"Roberto Pereira (Galicia)")</f>
        <v>Roberto Pereira (Galicia)</v>
      </c>
    </row>
    <row r="1227" spans="2:16">
      <c r="B1227" s="6">
        <f ca="1">IFERROR(__xludf.DUMMYFUNCTION("""COMPUTED_VALUE"""),2025)</f>
        <v>2025</v>
      </c>
      <c r="C1227" s="6">
        <f ca="1">IFERROR(__xludf.DUMMYFUNCTION("""COMPUTED_VALUE"""),10)</f>
        <v>10</v>
      </c>
      <c r="D1227" s="6" t="str">
        <f ca="1">IFERROR(__xludf.DUMMYFUNCTION("""COMPUTED_VALUE"""),"NO")</f>
        <v>NO</v>
      </c>
      <c r="E1227" s="6" t="str">
        <f ca="1">IFERROR(__xludf.DUMMYFUNCTION("""COMPUTED_VALUE"""),"El Albir (Benidorm)")</f>
        <v>El Albir (Benidorm)</v>
      </c>
      <c r="F1227" s="16">
        <f ca="1">IFERROR(__xludf.DUMMYFUNCTION("""COMPUTED_VALUE"""),45937)</f>
        <v>45937</v>
      </c>
      <c r="G1227" s="16">
        <f ca="1">IFERROR(__xludf.DUMMYFUNCTION("""COMPUTED_VALUE"""),45903)</f>
        <v>45903</v>
      </c>
      <c r="H1227" s="6" t="str">
        <f ca="1">IFERROR(__xludf.DUMMYFUNCTION("""COMPUTED_VALUE"""),"El Albir (Benidorm)")</f>
        <v>El Albir (Benidorm)</v>
      </c>
      <c r="I1227" s="6" t="str">
        <f ca="1">IFERROR(__xludf.DUMMYFUNCTION("""COMPUTED_VALUE"""),"C20259810350604")</f>
        <v>C20259810350604</v>
      </c>
      <c r="J1227" s="6" t="str">
        <f ca="1">IFERROR(__xludf.DUMMYFUNCTION("""COMPUTED_VALUE"""),"CARMEN BRUNET COMAS")</f>
        <v>CARMEN BRUNET COMAS</v>
      </c>
      <c r="K1227" s="6">
        <f ca="1">IFERROR(__xludf.DUMMYFUNCTION("""COMPUTED_VALUE"""),2)</f>
        <v>2</v>
      </c>
      <c r="L1227" s="139">
        <f ca="1">IFERROR(__xludf.DUMMYFUNCTION("""COMPUTED_VALUE"""),3604.55)</f>
        <v>3604.55</v>
      </c>
      <c r="M1227" s="6" t="str">
        <f ca="1">IFERROR(__xludf.DUMMYFUNCTION("""COMPUTED_VALUE"""),"03 ORL")</f>
        <v>03 ORL</v>
      </c>
      <c r="N1227" s="6" t="str">
        <f ca="1">IFERROR(__xludf.DUMMYFUNCTION("""COMPUTED_VALUE"""),"06 ORL")</f>
        <v>06 ORL</v>
      </c>
      <c r="O1227" s="6" t="str">
        <f ca="1">IFERROR(__xludf.DUMMYFUNCTION("""COMPUTED_VALUE"""),"Dr, Daniel Unigarro Londoño")</f>
        <v>Dr, Daniel Unigarro Londoño</v>
      </c>
      <c r="P1227" s="6" t="str">
        <f ca="1">IFERROR(__xludf.DUMMYFUNCTION("""COMPUTED_VALUE"""),"Ramon Ferrando(Valencia)")</f>
        <v>Ramon Ferrando(Valencia)</v>
      </c>
    </row>
    <row r="1228" spans="2:16">
      <c r="B1228" s="6">
        <f ca="1">IFERROR(__xludf.DUMMYFUNCTION("""COMPUTED_VALUE"""),2025)</f>
        <v>2025</v>
      </c>
      <c r="C1228" s="6">
        <f ca="1">IFERROR(__xludf.DUMMYFUNCTION("""COMPUTED_VALUE"""),10)</f>
        <v>10</v>
      </c>
      <c r="D1228" s="6" t="str">
        <f ca="1">IFERROR(__xludf.DUMMYFUNCTION("""COMPUTED_VALUE"""),"NO")</f>
        <v>NO</v>
      </c>
      <c r="E1228" s="6" t="str">
        <f ca="1">IFERROR(__xludf.DUMMYFUNCTION("""COMPUTED_VALUE"""),"Madrid- Canillas")</f>
        <v>Madrid- Canillas</v>
      </c>
      <c r="F1228" s="16">
        <f ca="1">IFERROR(__xludf.DUMMYFUNCTION("""COMPUTED_VALUE"""),45937)</f>
        <v>45937</v>
      </c>
      <c r="G1228" s="16">
        <f ca="1">IFERROR(__xludf.DUMMYFUNCTION("""COMPUTED_VALUE"""),45870)</f>
        <v>45870</v>
      </c>
      <c r="H1228" s="6" t="str">
        <f ca="1">IFERROR(__xludf.DUMMYFUNCTION("""COMPUTED_VALUE"""),"Canillas")</f>
        <v>Canillas</v>
      </c>
      <c r="I1228" s="6" t="str">
        <f ca="1">IFERROR(__xludf.DUMMYFUNCTION("""COMPUTED_VALUE"""),"C20259161278401")</f>
        <v>C20259161278401</v>
      </c>
      <c r="J1228" s="6" t="str">
        <f ca="1">IFERROR(__xludf.DUMMYFUNCTION("""COMPUTED_VALUE"""),"CARMEN PÉREZ VILA")</f>
        <v>CARMEN PÉREZ VILA</v>
      </c>
      <c r="K1228" s="6">
        <f ca="1">IFERROR(__xludf.DUMMYFUNCTION("""COMPUTED_VALUE"""),2)</f>
        <v>2</v>
      </c>
      <c r="L1228" s="139">
        <f ca="1">IFERROR(__xludf.DUMMYFUNCTION("""COMPUTED_VALUE"""),4136.36)</f>
        <v>4136.3599999999997</v>
      </c>
      <c r="M1228" s="6" t="str">
        <f ca="1">IFERROR(__xludf.DUMMYFUNCTION("""COMPUTED_VALUE"""),"03 ORL")</f>
        <v>03 ORL</v>
      </c>
      <c r="N1228" s="6" t="str">
        <f ca="1">IFERROR(__xludf.DUMMYFUNCTION("""COMPUTED_VALUE"""),"06 ORL")</f>
        <v>06 ORL</v>
      </c>
      <c r="O1228" s="6" t="str">
        <f ca="1">IFERROR(__xludf.DUMMYFUNCTION("""COMPUTED_VALUE"""),"Dr, José Gustavo Barroso Braojos")</f>
        <v>Dr, José Gustavo Barroso Braojos</v>
      </c>
      <c r="P1228" s="6" t="str">
        <f ca="1">IFERROR(__xludf.DUMMYFUNCTION("""COMPUTED_VALUE"""),"Maika Blázquez (Madrid)")</f>
        <v>Maika Blázquez (Madrid)</v>
      </c>
    </row>
    <row r="1229" spans="2:16">
      <c r="B1229" s="6">
        <f ca="1">IFERROR(__xludf.DUMMYFUNCTION("""COMPUTED_VALUE"""),2025)</f>
        <v>2025</v>
      </c>
      <c r="C1229" s="6">
        <f ca="1">IFERROR(__xludf.DUMMYFUNCTION("""COMPUTED_VALUE"""),10)</f>
        <v>10</v>
      </c>
      <c r="D1229" s="6" t="str">
        <f ca="1">IFERROR(__xludf.DUMMYFUNCTION("""COMPUTED_VALUE"""),"NO")</f>
        <v>NO</v>
      </c>
      <c r="E1229" s="6" t="str">
        <f ca="1">IFERROR(__xludf.DUMMYFUNCTION("""COMPUTED_VALUE"""),"Toledo")</f>
        <v>Toledo</v>
      </c>
      <c r="F1229" s="16">
        <f ca="1">IFERROR(__xludf.DUMMYFUNCTION("""COMPUTED_VALUE"""),45937)</f>
        <v>45937</v>
      </c>
      <c r="G1229" s="16">
        <f ca="1">IFERROR(__xludf.DUMMYFUNCTION("""COMPUTED_VALUE"""),45903)</f>
        <v>45903</v>
      </c>
      <c r="H1229" s="6" t="str">
        <f ca="1">IFERROR(__xludf.DUMMYFUNCTION("""COMPUTED_VALUE"""),"Toledo")</f>
        <v>Toledo</v>
      </c>
      <c r="I1229" s="6" t="str">
        <f ca="1">IFERROR(__xludf.DUMMYFUNCTION("""COMPUTED_VALUE"""),"C202595164945328")</f>
        <v>C202595164945328</v>
      </c>
      <c r="J1229" s="6" t="str">
        <f ca="1">IFERROR(__xludf.DUMMYFUNCTION("""COMPUTED_VALUE"""),"Juan Fernando López Carrillo")</f>
        <v>Juan Fernando López Carrillo</v>
      </c>
      <c r="K1229" s="6">
        <f ca="1">IFERROR(__xludf.DUMMYFUNCTION("""COMPUTED_VALUE"""),2)</f>
        <v>2</v>
      </c>
      <c r="L1229" s="139">
        <f ca="1">IFERROR(__xludf.DUMMYFUNCTION("""COMPUTED_VALUE"""),2582.27)</f>
        <v>2582.27</v>
      </c>
      <c r="M1229" s="6" t="str">
        <f ca="1">IFERROR(__xludf.DUMMYFUNCTION("""COMPUTED_VALUE"""),"03 ORL")</f>
        <v>03 ORL</v>
      </c>
      <c r="N1229" s="6" t="str">
        <f ca="1">IFERROR(__xludf.DUMMYFUNCTION("""COMPUTED_VALUE"""),"06 ORL")</f>
        <v>06 ORL</v>
      </c>
      <c r="O1229" s="6" t="str">
        <f ca="1">IFERROR(__xludf.DUMMYFUNCTION("""COMPUTED_VALUE"""),"Dra, Eva Ruiz de Gauna")</f>
        <v>Dra, Eva Ruiz de Gauna</v>
      </c>
      <c r="P1229" s="6" t="str">
        <f ca="1">IFERROR(__xludf.DUMMYFUNCTION("""COMPUTED_VALUE"""),"Lisandro Russian (Madrid, Cáceres, Toledo, Talavera Y Logroño)")</f>
        <v>Lisandro Russian (Madrid, Cáceres, Toledo, Talavera Y Logroño)</v>
      </c>
    </row>
    <row r="1230" spans="2:16">
      <c r="B1230" s="6">
        <f ca="1">IFERROR(__xludf.DUMMYFUNCTION("""COMPUTED_VALUE"""),2025)</f>
        <v>2025</v>
      </c>
      <c r="C1230" s="6">
        <f ca="1">IFERROR(__xludf.DUMMYFUNCTION("""COMPUTED_VALUE"""),10)</f>
        <v>10</v>
      </c>
      <c r="D1230" s="6" t="str">
        <f ca="1">IFERROR(__xludf.DUMMYFUNCTION("""COMPUTED_VALUE"""),"NO")</f>
        <v>NO</v>
      </c>
      <c r="E1230" s="6" t="str">
        <f ca="1">IFERROR(__xludf.DUMMYFUNCTION("""COMPUTED_VALUE"""),"Logroño")</f>
        <v>Logroño</v>
      </c>
      <c r="F1230" s="16">
        <f ca="1">IFERROR(__xludf.DUMMYFUNCTION("""COMPUTED_VALUE"""),45937)</f>
        <v>45937</v>
      </c>
      <c r="G1230" s="16">
        <f ca="1">IFERROR(__xludf.DUMMYFUNCTION("""COMPUTED_VALUE"""),45588)</f>
        <v>45588</v>
      </c>
      <c r="H1230" s="6" t="str">
        <f ca="1">IFERROR(__xludf.DUMMYFUNCTION("""COMPUTED_VALUE"""),"Logroño")</f>
        <v>Logroño</v>
      </c>
      <c r="I1230" s="6" t="str">
        <f ca="1">IFERROR(__xludf.DUMMYFUNCTION("""COMPUTED_VALUE"""),"LOG-1420")</f>
        <v>LOG-1420</v>
      </c>
      <c r="J1230" s="6" t="str">
        <f ca="1">IFERROR(__xludf.DUMMYFUNCTION("""COMPUTED_VALUE"""),"EDUARDO ARISTE AISA")</f>
        <v>EDUARDO ARISTE AISA</v>
      </c>
      <c r="K1230" s="6">
        <f ca="1">IFERROR(__xludf.DUMMYFUNCTION("""COMPUTED_VALUE"""),2)</f>
        <v>2</v>
      </c>
      <c r="L1230" s="139">
        <f ca="1">IFERROR(__xludf.DUMMYFUNCTION("""COMPUTED_VALUE"""),2718.18)</f>
        <v>2718.18</v>
      </c>
      <c r="M1230" s="6" t="str">
        <f ca="1">IFERROR(__xludf.DUMMYFUNCTION("""COMPUTED_VALUE"""),"03 ORL")</f>
        <v>03 ORL</v>
      </c>
      <c r="N1230" s="6" t="str">
        <f ca="1">IFERROR(__xludf.DUMMYFUNCTION("""COMPUTED_VALUE"""),"06 ORL")</f>
        <v>06 ORL</v>
      </c>
      <c r="O1230" s="6" t="str">
        <f ca="1">IFERROR(__xludf.DUMMYFUNCTION("""COMPUTED_VALUE"""),"Dr, Fernando Salazar Barcelona")</f>
        <v>Dr, Fernando Salazar Barcelona</v>
      </c>
      <c r="P1230" s="6" t="str">
        <f ca="1">IFERROR(__xludf.DUMMYFUNCTION("""COMPUTED_VALUE"""),"Lisandro Russian (Madrid, Cáceres, Toledo, Talavera Y Logroño)")</f>
        <v>Lisandro Russian (Madrid, Cáceres, Toledo, Talavera Y Logroño)</v>
      </c>
    </row>
    <row r="1231" spans="2:16">
      <c r="B1231" s="6">
        <f ca="1">IFERROR(__xludf.DUMMYFUNCTION("""COMPUTED_VALUE"""),2025)</f>
        <v>2025</v>
      </c>
      <c r="C1231" s="6">
        <f ca="1">IFERROR(__xludf.DUMMYFUNCTION("""COMPUTED_VALUE"""),10)</f>
        <v>10</v>
      </c>
      <c r="D1231" s="6" t="str">
        <f ca="1">IFERROR(__xludf.DUMMYFUNCTION("""COMPUTED_VALUE"""),"NO")</f>
        <v>NO</v>
      </c>
      <c r="E1231" s="6" t="str">
        <f ca="1">IFERROR(__xludf.DUMMYFUNCTION("""COMPUTED_VALUE"""),"Madrid- Galileo")</f>
        <v>Madrid- Galileo</v>
      </c>
      <c r="F1231" s="16">
        <f ca="1">IFERROR(__xludf.DUMMYFUNCTION("""COMPUTED_VALUE"""),45937)</f>
        <v>45937</v>
      </c>
      <c r="G1231" s="16">
        <f ca="1">IFERROR(__xludf.DUMMYFUNCTION("""COMPUTED_VALUE"""),45897)</f>
        <v>45897</v>
      </c>
      <c r="H1231" s="6" t="str">
        <f ca="1">IFERROR(__xludf.DUMMYFUNCTION("""COMPUTED_VALUE"""),"Moncloa")</f>
        <v>Moncloa</v>
      </c>
      <c r="I1231" s="6" t="str">
        <f ca="1">IFERROR(__xludf.DUMMYFUNCTION("""COMPUTED_VALUE"""),"C202592153017796")</f>
        <v>C202592153017796</v>
      </c>
      <c r="J1231" s="6" t="str">
        <f ca="1">IFERROR(__xludf.DUMMYFUNCTION("""COMPUTED_VALUE"""),"MIGUEL DEL MAZO SALGADO")</f>
        <v>MIGUEL DEL MAZO SALGADO</v>
      </c>
      <c r="K1231" s="6">
        <f ca="1">IFERROR(__xludf.DUMMYFUNCTION("""COMPUTED_VALUE"""),2)</f>
        <v>2</v>
      </c>
      <c r="L1231" s="139">
        <f ca="1">IFERROR(__xludf.DUMMYFUNCTION("""COMPUTED_VALUE"""),3450.23)</f>
        <v>3450.23</v>
      </c>
      <c r="M1231" s="6" t="str">
        <f ca="1">IFERROR(__xludf.DUMMYFUNCTION("""COMPUTED_VALUE"""),"03 ORL")</f>
        <v>03 ORL</v>
      </c>
      <c r="N1231" s="6" t="str">
        <f ca="1">IFERROR(__xludf.DUMMYFUNCTION("""COMPUTED_VALUE"""),"06 ORL")</f>
        <v>06 ORL</v>
      </c>
      <c r="O1231" s="6" t="str">
        <f ca="1">IFERROR(__xludf.DUMMYFUNCTION("""COMPUTED_VALUE"""),"Dr, Esteban Scola Pliego")</f>
        <v>Dr, Esteban Scola Pliego</v>
      </c>
      <c r="P1231" s="6" t="str">
        <f ca="1">IFERROR(__xludf.DUMMYFUNCTION("""COMPUTED_VALUE"""),"Maika Blázquez (Madrid)")</f>
        <v>Maika Blázquez (Madrid)</v>
      </c>
    </row>
    <row r="1232" spans="2:16">
      <c r="B1232" s="6">
        <f ca="1">IFERROR(__xludf.DUMMYFUNCTION("""COMPUTED_VALUE"""),2025)</f>
        <v>2025</v>
      </c>
      <c r="C1232" s="6">
        <f ca="1">IFERROR(__xludf.DUMMYFUNCTION("""COMPUTED_VALUE"""),10)</f>
        <v>10</v>
      </c>
      <c r="D1232" s="6" t="str">
        <f ca="1">IFERROR(__xludf.DUMMYFUNCTION("""COMPUTED_VALUE"""),"NO")</f>
        <v>NO</v>
      </c>
      <c r="E1232" s="6" t="str">
        <f ca="1">IFERROR(__xludf.DUMMYFUNCTION("""COMPUTED_VALUE"""),"Cáceres")</f>
        <v>Cáceres</v>
      </c>
      <c r="F1232" s="16">
        <f ca="1">IFERROR(__xludf.DUMMYFUNCTION("""COMPUTED_VALUE"""),45938)</f>
        <v>45938</v>
      </c>
      <c r="G1232" s="16">
        <f ca="1">IFERROR(__xludf.DUMMYFUNCTION("""COMPUTED_VALUE"""),45909)</f>
        <v>45909</v>
      </c>
      <c r="H1232" s="6" t="str">
        <f ca="1">IFERROR(__xludf.DUMMYFUNCTION("""COMPUTED_VALUE"""),"Cáceres")</f>
        <v>Cáceres</v>
      </c>
      <c r="I1232" s="6" t="str">
        <f ca="1">IFERROR(__xludf.DUMMYFUNCTION("""COMPUTED_VALUE"""),"CAC-383")</f>
        <v>CAC-383</v>
      </c>
      <c r="J1232" s="6" t="str">
        <f ca="1">IFERROR(__xludf.DUMMYFUNCTION("""COMPUTED_VALUE"""),"FRANCISCO JAVIER GONZALEZ GUTIERREZ")</f>
        <v>FRANCISCO JAVIER GONZALEZ GUTIERREZ</v>
      </c>
      <c r="K1232" s="6">
        <f ca="1">IFERROR(__xludf.DUMMYFUNCTION("""COMPUTED_VALUE"""),2)</f>
        <v>2</v>
      </c>
      <c r="L1232" s="139">
        <f ca="1">IFERROR(__xludf.DUMMYFUNCTION("""COMPUTED_VALUE"""),3636.36)</f>
        <v>3636.36</v>
      </c>
      <c r="M1232" s="6" t="str">
        <f ca="1">IFERROR(__xludf.DUMMYFUNCTION("""COMPUTED_VALUE"""),"03 ORL")</f>
        <v>03 ORL</v>
      </c>
      <c r="N1232" s="6" t="str">
        <f ca="1">IFERROR(__xludf.DUMMYFUNCTION("""COMPUTED_VALUE"""),"06 ORL")</f>
        <v>06 ORL</v>
      </c>
      <c r="O1232" s="6" t="str">
        <f ca="1">IFERROR(__xludf.DUMMYFUNCTION("""COMPUTED_VALUE"""),"Dr, Rafael Sanz Trenado")</f>
        <v>Dr, Rafael Sanz Trenado</v>
      </c>
      <c r="P1232" s="6" t="str">
        <f ca="1">IFERROR(__xludf.DUMMYFUNCTION("""COMPUTED_VALUE"""),"Lisandro Russian (Madrid, Cáceres, Toledo, Talavera Y Logroño)")</f>
        <v>Lisandro Russian (Madrid, Cáceres, Toledo, Talavera Y Logroño)</v>
      </c>
    </row>
    <row r="1233" spans="2:16">
      <c r="B1233" s="6">
        <f ca="1">IFERROR(__xludf.DUMMYFUNCTION("""COMPUTED_VALUE"""),2025)</f>
        <v>2025</v>
      </c>
      <c r="C1233" s="6">
        <f ca="1">IFERROR(__xludf.DUMMYFUNCTION("""COMPUTED_VALUE"""),10)</f>
        <v>10</v>
      </c>
      <c r="D1233" s="6" t="str">
        <f ca="1">IFERROR(__xludf.DUMMYFUNCTION("""COMPUTED_VALUE"""),"NO")</f>
        <v>NO</v>
      </c>
      <c r="E1233" s="6" t="str">
        <f ca="1">IFERROR(__xludf.DUMMYFUNCTION("""COMPUTED_VALUE"""),"Salamanca")</f>
        <v>Salamanca</v>
      </c>
      <c r="F1233" s="16">
        <f ca="1">IFERROR(__xludf.DUMMYFUNCTION("""COMPUTED_VALUE"""),45938)</f>
        <v>45938</v>
      </c>
      <c r="G1233" s="16">
        <f ca="1">IFERROR(__xludf.DUMMYFUNCTION("""COMPUTED_VALUE"""),45819)</f>
        <v>45819</v>
      </c>
      <c r="H1233" s="6" t="str">
        <f ca="1">IFERROR(__xludf.DUMMYFUNCTION("""COMPUTED_VALUE"""),"Salamanca")</f>
        <v>Salamanca</v>
      </c>
      <c r="I1233" s="6" t="str">
        <f ca="1">IFERROR(__xludf.DUMMYFUNCTION("""COMPUTED_VALUE"""),"SLM-568")</f>
        <v>SLM-568</v>
      </c>
      <c r="J1233" s="6" t="str">
        <f ca="1">IFERROR(__xludf.DUMMYFUNCTION("""COMPUTED_VALUE"""),"ALBERTO HERNANDEZ SANCHEZ")</f>
        <v>ALBERTO HERNANDEZ SANCHEZ</v>
      </c>
      <c r="K1233" s="6">
        <f ca="1">IFERROR(__xludf.DUMMYFUNCTION("""COMPUTED_VALUE"""),2)</f>
        <v>2</v>
      </c>
      <c r="L1233" s="139">
        <f ca="1">IFERROR(__xludf.DUMMYFUNCTION("""COMPUTED_VALUE"""),3730)</f>
        <v>3730</v>
      </c>
      <c r="M1233" s="6" t="str">
        <f ca="1">IFERROR(__xludf.DUMMYFUNCTION("""COMPUTED_VALUE"""),"03 ORL")</f>
        <v>03 ORL</v>
      </c>
      <c r="N1233" s="6" t="str">
        <f ca="1">IFERROR(__xludf.DUMMYFUNCTION("""COMPUTED_VALUE"""),"06 ORL")</f>
        <v>06 ORL</v>
      </c>
      <c r="O1233" s="6" t="str">
        <f ca="1">IFERROR(__xludf.DUMMYFUNCTION("""COMPUTED_VALUE"""),"Dr, Alejandro Harguindey Antoli-Candela")</f>
        <v>Dr, Alejandro Harguindey Antoli-Candela</v>
      </c>
      <c r="P1233" s="6" t="str">
        <f ca="1">IFERROR(__xludf.DUMMYFUNCTION("""COMPUTED_VALUE"""),"Maika Blázquez (Madrid)")</f>
        <v>Maika Blázquez (Madrid)</v>
      </c>
    </row>
    <row r="1234" spans="2:16">
      <c r="B1234" s="6">
        <f ca="1">IFERROR(__xludf.DUMMYFUNCTION("""COMPUTED_VALUE"""),2025)</f>
        <v>2025</v>
      </c>
      <c r="C1234" s="6">
        <f ca="1">IFERROR(__xludf.DUMMYFUNCTION("""COMPUTED_VALUE"""),10)</f>
        <v>10</v>
      </c>
      <c r="D1234" s="6" t="str">
        <f ca="1">IFERROR(__xludf.DUMMYFUNCTION("""COMPUTED_VALUE"""),"NO")</f>
        <v>NO</v>
      </c>
      <c r="E1234" s="6" t="str">
        <f ca="1">IFERROR(__xludf.DUMMYFUNCTION("""COMPUTED_VALUE"""),"Salamanca")</f>
        <v>Salamanca</v>
      </c>
      <c r="F1234" s="16">
        <f ca="1">IFERROR(__xludf.DUMMYFUNCTION("""COMPUTED_VALUE"""),45938)</f>
        <v>45938</v>
      </c>
      <c r="G1234" s="16">
        <f ca="1">IFERROR(__xludf.DUMMYFUNCTION("""COMPUTED_VALUE"""),45867)</f>
        <v>45867</v>
      </c>
      <c r="H1234" s="6" t="str">
        <f ca="1">IFERROR(__xludf.DUMMYFUNCTION("""COMPUTED_VALUE"""),"Salamanca")</f>
        <v>Salamanca</v>
      </c>
      <c r="I1234" s="6" t="str">
        <f ca="1">IFERROR(__xludf.DUMMYFUNCTION("""COMPUTED_VALUE"""),"SLM-594")</f>
        <v>SLM-594</v>
      </c>
      <c r="J1234" s="6" t="str">
        <f ca="1">IFERROR(__xludf.DUMMYFUNCTION("""COMPUTED_VALUE"""),"LUISA GONZALEZ GOMEZ")</f>
        <v>LUISA GONZALEZ GOMEZ</v>
      </c>
      <c r="K1234" s="6">
        <f ca="1">IFERROR(__xludf.DUMMYFUNCTION("""COMPUTED_VALUE"""),2)</f>
        <v>2</v>
      </c>
      <c r="L1234" s="139">
        <f ca="1">IFERROR(__xludf.DUMMYFUNCTION("""COMPUTED_VALUE"""),2974.55)</f>
        <v>2974.55</v>
      </c>
      <c r="M1234" s="6" t="str">
        <f ca="1">IFERROR(__xludf.DUMMYFUNCTION("""COMPUTED_VALUE"""),"03 ORL")</f>
        <v>03 ORL</v>
      </c>
      <c r="N1234" s="6" t="str">
        <f ca="1">IFERROR(__xludf.DUMMYFUNCTION("""COMPUTED_VALUE"""),"06 ORL")</f>
        <v>06 ORL</v>
      </c>
      <c r="O1234" s="6" t="str">
        <f ca="1">IFERROR(__xludf.DUMMYFUNCTION("""COMPUTED_VALUE"""),"No Recuerda Orl")</f>
        <v>No Recuerda Orl</v>
      </c>
      <c r="P1234" s="6" t="str">
        <f ca="1">IFERROR(__xludf.DUMMYFUNCTION("""COMPUTED_VALUE"""),"Alberto Moreno (Madrid)")</f>
        <v>Alberto Moreno (Madrid)</v>
      </c>
    </row>
    <row r="1235" spans="2:16">
      <c r="B1235" s="6">
        <f ca="1">IFERROR(__xludf.DUMMYFUNCTION("""COMPUTED_VALUE"""),2025)</f>
        <v>2025</v>
      </c>
      <c r="C1235" s="6">
        <f ca="1">IFERROR(__xludf.DUMMYFUNCTION("""COMPUTED_VALUE"""),10)</f>
        <v>10</v>
      </c>
      <c r="D1235" s="6" t="str">
        <f ca="1">IFERROR(__xludf.DUMMYFUNCTION("""COMPUTED_VALUE"""),"NO")</f>
        <v>NO</v>
      </c>
      <c r="E1235" s="6" t="str">
        <f ca="1">IFERROR(__xludf.DUMMYFUNCTION("""COMPUTED_VALUE"""),"Jerez de la Frontera")</f>
        <v>Jerez de la Frontera</v>
      </c>
      <c r="F1235" s="16">
        <f ca="1">IFERROR(__xludf.DUMMYFUNCTION("""COMPUTED_VALUE"""),45938)</f>
        <v>45938</v>
      </c>
      <c r="G1235" s="16">
        <f ca="1">IFERROR(__xludf.DUMMYFUNCTION("""COMPUTED_VALUE"""),45916)</f>
        <v>45916</v>
      </c>
      <c r="H1235" s="6" t="str">
        <f ca="1">IFERROR(__xludf.DUMMYFUNCTION("""COMPUTED_VALUE"""),"Jerez")</f>
        <v>Jerez</v>
      </c>
      <c r="I1235" s="6" t="str">
        <f ca="1">IFERROR(__xludf.DUMMYFUNCTION("""COMPUTED_VALUE"""),"C202591716337772")</f>
        <v>C202591716337772</v>
      </c>
      <c r="J1235" s="6" t="str">
        <f ca="1">IFERROR(__xludf.DUMMYFUNCTION("""COMPUTED_VALUE"""),"DOLORES NAVARRO MONTIJANO")</f>
        <v>DOLORES NAVARRO MONTIJANO</v>
      </c>
      <c r="K1235" s="6">
        <f ca="1">IFERROR(__xludf.DUMMYFUNCTION("""COMPUTED_VALUE"""),1)</f>
        <v>1</v>
      </c>
      <c r="L1235" s="139">
        <f ca="1">IFERROR(__xludf.DUMMYFUNCTION("""COMPUTED_VALUE"""),2481.82)</f>
        <v>2481.8200000000002</v>
      </c>
      <c r="M1235" s="6" t="str">
        <f ca="1">IFERROR(__xludf.DUMMYFUNCTION("""COMPUTED_VALUE"""),"03 ORL")</f>
        <v>03 ORL</v>
      </c>
      <c r="N1235" s="6" t="str">
        <f ca="1">IFERROR(__xludf.DUMMYFUNCTION("""COMPUTED_VALUE"""),"06 ORL")</f>
        <v>06 ORL</v>
      </c>
      <c r="O1235" s="6" t="str">
        <f ca="1">IFERROR(__xludf.DUMMYFUNCTION("""COMPUTED_VALUE"""),"Dr, Manuel Tucciarone")</f>
        <v>Dr, Manuel Tucciarone</v>
      </c>
      <c r="P1235" s="6" t="str">
        <f ca="1">IFERROR(__xludf.DUMMYFUNCTION("""COMPUTED_VALUE"""),"Luis Alberto Rodríguez (Andalucía y Badajoz)")</f>
        <v>Luis Alberto Rodríguez (Andalucía y Badajoz)</v>
      </c>
    </row>
    <row r="1236" spans="2:16">
      <c r="B1236" s="6">
        <f ca="1">IFERROR(__xludf.DUMMYFUNCTION("""COMPUTED_VALUE"""),2025)</f>
        <v>2025</v>
      </c>
      <c r="C1236" s="6">
        <f ca="1">IFERROR(__xludf.DUMMYFUNCTION("""COMPUTED_VALUE"""),10)</f>
        <v>10</v>
      </c>
      <c r="D1236" s="6" t="str">
        <f ca="1">IFERROR(__xludf.DUMMYFUNCTION("""COMPUTED_VALUE"""),"NO")</f>
        <v>NO</v>
      </c>
      <c r="E1236" s="6" t="str">
        <f ca="1">IFERROR(__xludf.DUMMYFUNCTION("""COMPUTED_VALUE"""),"San Javier")</f>
        <v>San Javier</v>
      </c>
      <c r="F1236" s="16">
        <f ca="1">IFERROR(__xludf.DUMMYFUNCTION("""COMPUTED_VALUE"""),45938)</f>
        <v>45938</v>
      </c>
      <c r="G1236" s="16">
        <f ca="1">IFERROR(__xludf.DUMMYFUNCTION("""COMPUTED_VALUE"""),45916)</f>
        <v>45916</v>
      </c>
      <c r="H1236" s="6" t="str">
        <f ca="1">IFERROR(__xludf.DUMMYFUNCTION("""COMPUTED_VALUE"""),"San Javier")</f>
        <v>San Javier</v>
      </c>
      <c r="I1236" s="6" t="str">
        <f ca="1">IFERROR(__xludf.DUMMYFUNCTION("""COMPUTED_VALUE"""),"C2025917173259990")</f>
        <v>C2025917173259990</v>
      </c>
      <c r="J1236" s="6" t="str">
        <f ca="1">IFERROR(__xludf.DUMMYFUNCTION("""COMPUTED_VALUE"""),"VICTOR LAHUTIN")</f>
        <v>VICTOR LAHUTIN</v>
      </c>
      <c r="K1236" s="6">
        <f ca="1">IFERROR(__xludf.DUMMYFUNCTION("""COMPUTED_VALUE"""),2)</f>
        <v>2</v>
      </c>
      <c r="L1236" s="139">
        <f ca="1">IFERROR(__xludf.DUMMYFUNCTION("""COMPUTED_VALUE"""),3631.82)</f>
        <v>3631.82</v>
      </c>
      <c r="M1236" s="6" t="str">
        <f ca="1">IFERROR(__xludf.DUMMYFUNCTION("""COMPUTED_VALUE"""),"03 ORL")</f>
        <v>03 ORL</v>
      </c>
      <c r="N1236" s="6" t="str">
        <f ca="1">IFERROR(__xludf.DUMMYFUNCTION("""COMPUTED_VALUE"""),"06 ORL")</f>
        <v>06 ORL</v>
      </c>
      <c r="O1236" s="6" t="str">
        <f ca="1">IFERROR(__xludf.DUMMYFUNCTION("""COMPUTED_VALUE"""),"Dra, Ana Giribet Fernández-Pacheco")</f>
        <v>Dra, Ana Giribet Fernández-Pacheco</v>
      </c>
      <c r="P1236" s="6" t="str">
        <f ca="1">IFERROR(__xludf.DUMMYFUNCTION("""COMPUTED_VALUE"""),"Iván Sánchez (Levante Y Albacete)")</f>
        <v>Iván Sánchez (Levante Y Albacete)</v>
      </c>
    </row>
    <row r="1237" spans="2:16">
      <c r="B1237" s="6">
        <f ca="1">IFERROR(__xludf.DUMMYFUNCTION("""COMPUTED_VALUE"""),2025)</f>
        <v>2025</v>
      </c>
      <c r="C1237" s="6">
        <f ca="1">IFERROR(__xludf.DUMMYFUNCTION("""COMPUTED_VALUE"""),10)</f>
        <v>10</v>
      </c>
      <c r="D1237" s="6" t="str">
        <f ca="1">IFERROR(__xludf.DUMMYFUNCTION("""COMPUTED_VALUE"""),"NO")</f>
        <v>NO</v>
      </c>
      <c r="E1237" s="6" t="str">
        <f ca="1">IFERROR(__xludf.DUMMYFUNCTION("""COMPUTED_VALUE"""),"Leganés")</f>
        <v>Leganés</v>
      </c>
      <c r="F1237" s="16">
        <f ca="1">IFERROR(__xludf.DUMMYFUNCTION("""COMPUTED_VALUE"""),45938)</f>
        <v>45938</v>
      </c>
      <c r="G1237" s="16">
        <f ca="1">IFERROR(__xludf.DUMMYFUNCTION("""COMPUTED_VALUE"""),45902)</f>
        <v>45902</v>
      </c>
      <c r="H1237" s="6" t="str">
        <f ca="1">IFERROR(__xludf.DUMMYFUNCTION("""COMPUTED_VALUE"""),"Leganés")</f>
        <v>Leganés</v>
      </c>
      <c r="I1237" s="6" t="str">
        <f ca="1">IFERROR(__xludf.DUMMYFUNCTION("""COMPUTED_VALUE"""),"C20259515548421")</f>
        <v>C20259515548421</v>
      </c>
      <c r="J1237" s="6" t="str">
        <f ca="1">IFERROR(__xludf.DUMMYFUNCTION("""COMPUTED_VALUE"""),"CARMEN MARTOS HIDALGO")</f>
        <v>CARMEN MARTOS HIDALGO</v>
      </c>
      <c r="K1237" s="6">
        <f ca="1">IFERROR(__xludf.DUMMYFUNCTION("""COMPUTED_VALUE"""),2)</f>
        <v>2</v>
      </c>
      <c r="L1237" s="139">
        <f ca="1">IFERROR(__xludf.DUMMYFUNCTION("""COMPUTED_VALUE"""),2701.92)</f>
        <v>2701.92</v>
      </c>
      <c r="M1237" s="6" t="str">
        <f ca="1">IFERROR(__xludf.DUMMYFUNCTION("""COMPUTED_VALUE"""),"03 ORL")</f>
        <v>03 ORL</v>
      </c>
      <c r="N1237" s="6" t="str">
        <f ca="1">IFERROR(__xludf.DUMMYFUNCTION("""COMPUTED_VALUE"""),"06 ORL")</f>
        <v>06 ORL</v>
      </c>
      <c r="O1237" s="6" t="str">
        <f ca="1">IFERROR(__xludf.DUMMYFUNCTION("""COMPUTED_VALUE"""),"Dra, Patricia García Vicente")</f>
        <v>Dra, Patricia García Vicente</v>
      </c>
      <c r="P1237" s="6" t="str">
        <f ca="1">IFERROR(__xludf.DUMMYFUNCTION("""COMPUTED_VALUE"""),"Maika Blázquez (Madrid)")</f>
        <v>Maika Blázquez (Madrid)</v>
      </c>
    </row>
    <row r="1238" spans="2:16">
      <c r="B1238" s="6">
        <f ca="1">IFERROR(__xludf.DUMMYFUNCTION("""COMPUTED_VALUE"""),2025)</f>
        <v>2025</v>
      </c>
      <c r="C1238" s="6">
        <f ca="1">IFERROR(__xludf.DUMMYFUNCTION("""COMPUTED_VALUE"""),10)</f>
        <v>10</v>
      </c>
      <c r="D1238" s="6" t="str">
        <f ca="1">IFERROR(__xludf.DUMMYFUNCTION("""COMPUTED_VALUE"""),"NO")</f>
        <v>NO</v>
      </c>
      <c r="E1238" s="6" t="str">
        <f ca="1">IFERROR(__xludf.DUMMYFUNCTION("""COMPUTED_VALUE"""),"Sevilla- Montoto")</f>
        <v>Sevilla- Montoto</v>
      </c>
      <c r="F1238" s="16">
        <f ca="1">IFERROR(__xludf.DUMMYFUNCTION("""COMPUTED_VALUE"""),45938)</f>
        <v>45938</v>
      </c>
      <c r="G1238" s="16">
        <f ca="1">IFERROR(__xludf.DUMMYFUNCTION("""COMPUTED_VALUE"""),45909)</f>
        <v>45909</v>
      </c>
      <c r="H1238" s="6" t="str">
        <f ca="1">IFERROR(__xludf.DUMMYFUNCTION("""COMPUTED_VALUE"""),"Montoto")</f>
        <v>Montoto</v>
      </c>
      <c r="I1238" s="6" t="str">
        <f ca="1">IFERROR(__xludf.DUMMYFUNCTION("""COMPUTED_VALUE"""),"C2025915172115210")</f>
        <v>C2025915172115210</v>
      </c>
      <c r="J1238" s="6" t="str">
        <f ca="1">IFERROR(__xludf.DUMMYFUNCTION("""COMPUTED_VALUE"""),"ROSARIO SEGURA LORCA")</f>
        <v>ROSARIO SEGURA LORCA</v>
      </c>
      <c r="K1238" s="6">
        <f ca="1">IFERROR(__xludf.DUMMYFUNCTION("""COMPUTED_VALUE"""),2)</f>
        <v>2</v>
      </c>
      <c r="L1238" s="139">
        <f ca="1">IFERROR(__xludf.DUMMYFUNCTION("""COMPUTED_VALUE"""),4136.36)</f>
        <v>4136.3599999999997</v>
      </c>
      <c r="M1238" s="6" t="str">
        <f ca="1">IFERROR(__xludf.DUMMYFUNCTION("""COMPUTED_VALUE"""),"03 ORL")</f>
        <v>03 ORL</v>
      </c>
      <c r="N1238" s="6" t="str">
        <f ca="1">IFERROR(__xludf.DUMMYFUNCTION("""COMPUTED_VALUE"""),"06 ORL")</f>
        <v>06 ORL</v>
      </c>
      <c r="O1238" s="6" t="str">
        <f ca="1">IFERROR(__xludf.DUMMYFUNCTION("""COMPUTED_VALUE"""),"Dra, Zoila Peña Rodríguez")</f>
        <v>Dra, Zoila Peña Rodríguez</v>
      </c>
      <c r="P1238" s="6" t="str">
        <f ca="1">IFERROR(__xludf.DUMMYFUNCTION("""COMPUTED_VALUE"""),"Luis Alberto Rodríguez (Andalucía y Badajoz)")</f>
        <v>Luis Alberto Rodríguez (Andalucía y Badajoz)</v>
      </c>
    </row>
    <row r="1239" spans="2:16">
      <c r="B1239" s="6">
        <f ca="1">IFERROR(__xludf.DUMMYFUNCTION("""COMPUTED_VALUE"""),2025)</f>
        <v>2025</v>
      </c>
      <c r="C1239" s="6">
        <f ca="1">IFERROR(__xludf.DUMMYFUNCTION("""COMPUTED_VALUE"""),10)</f>
        <v>10</v>
      </c>
      <c r="D1239" s="6" t="str">
        <f ca="1">IFERROR(__xludf.DUMMYFUNCTION("""COMPUTED_VALUE"""),"NO")</f>
        <v>NO</v>
      </c>
      <c r="E1239" s="6" t="str">
        <f ca="1">IFERROR(__xludf.DUMMYFUNCTION("""COMPUTED_VALUE"""),"Leganés")</f>
        <v>Leganés</v>
      </c>
      <c r="F1239" s="16">
        <f ca="1">IFERROR(__xludf.DUMMYFUNCTION("""COMPUTED_VALUE"""),45938)</f>
        <v>45938</v>
      </c>
      <c r="G1239" s="16">
        <f ca="1">IFERROR(__xludf.DUMMYFUNCTION("""COMPUTED_VALUE"""),45856)</f>
        <v>45856</v>
      </c>
      <c r="H1239" s="6" t="str">
        <f ca="1">IFERROR(__xludf.DUMMYFUNCTION("""COMPUTED_VALUE"""),"Leganés")</f>
        <v>Leganés</v>
      </c>
      <c r="I1239" s="6" t="str">
        <f ca="1">IFERROR(__xludf.DUMMYFUNCTION("""COMPUTED_VALUE"""),"C2025721112918292")</f>
        <v>C2025721112918292</v>
      </c>
      <c r="J1239" s="6" t="str">
        <f ca="1">IFERROR(__xludf.DUMMYFUNCTION("""COMPUTED_VALUE"""),"ANTONIA GUTIERREZ GOMEZ")</f>
        <v>ANTONIA GUTIERREZ GOMEZ</v>
      </c>
      <c r="K1239" s="6">
        <f ca="1">IFERROR(__xludf.DUMMYFUNCTION("""COMPUTED_VALUE"""),2)</f>
        <v>2</v>
      </c>
      <c r="L1239" s="139">
        <f ca="1">IFERROR(__xludf.DUMMYFUNCTION("""COMPUTED_VALUE"""),3631.82)</f>
        <v>3631.82</v>
      </c>
      <c r="M1239" s="6" t="str">
        <f ca="1">IFERROR(__xludf.DUMMYFUNCTION("""COMPUTED_VALUE"""),"03 ORL")</f>
        <v>03 ORL</v>
      </c>
      <c r="N1239" s="6" t="str">
        <f ca="1">IFERROR(__xludf.DUMMYFUNCTION("""COMPUTED_VALUE"""),"06 ORL")</f>
        <v>06 ORL</v>
      </c>
      <c r="O1239" s="6" t="str">
        <f ca="1">IFERROR(__xludf.DUMMYFUNCTION("""COMPUTED_VALUE"""),"Dra, Alba Domínguez Palos")</f>
        <v>Dra, Alba Domínguez Palos</v>
      </c>
      <c r="P1239" s="6" t="str">
        <f ca="1">IFERROR(__xludf.DUMMYFUNCTION("""COMPUTED_VALUE"""),"Maika Blázquez (Madrid)")</f>
        <v>Maika Blázquez (Madrid)</v>
      </c>
    </row>
    <row r="1240" spans="2:16">
      <c r="B1240" s="6">
        <f ca="1">IFERROR(__xludf.DUMMYFUNCTION("""COMPUTED_VALUE"""),2025)</f>
        <v>2025</v>
      </c>
      <c r="C1240" s="6">
        <f ca="1">IFERROR(__xludf.DUMMYFUNCTION("""COMPUTED_VALUE"""),10)</f>
        <v>10</v>
      </c>
      <c r="D1240" s="6" t="str">
        <f ca="1">IFERROR(__xludf.DUMMYFUNCTION("""COMPUTED_VALUE"""),"NO")</f>
        <v>NO</v>
      </c>
      <c r="E1240" s="6" t="str">
        <f ca="1">IFERROR(__xludf.DUMMYFUNCTION("""COMPUTED_VALUE"""),"Ponferrada")</f>
        <v>Ponferrada</v>
      </c>
      <c r="F1240" s="16">
        <f ca="1">IFERROR(__xludf.DUMMYFUNCTION("""COMPUTED_VALUE"""),45939)</f>
        <v>45939</v>
      </c>
      <c r="G1240" s="16">
        <f ca="1">IFERROR(__xludf.DUMMYFUNCTION("""COMPUTED_VALUE"""),45785)</f>
        <v>45785</v>
      </c>
      <c r="H1240" s="6" t="str">
        <f ca="1">IFERROR(__xludf.DUMMYFUNCTION("""COMPUTED_VALUE"""),"Ponferrada")</f>
        <v>Ponferrada</v>
      </c>
      <c r="I1240" s="6" t="str">
        <f ca="1">IFERROR(__xludf.DUMMYFUNCTION("""COMPUTED_VALUE"""),"PON-920")</f>
        <v>PON-920</v>
      </c>
      <c r="J1240" s="6" t="str">
        <f ca="1">IFERROR(__xludf.DUMMYFUNCTION("""COMPUTED_VALUE"""),"FRANCISCO NUÑEZ NUÑEZ")</f>
        <v>FRANCISCO NUÑEZ NUÑEZ</v>
      </c>
      <c r="K1240" s="6">
        <f ca="1">IFERROR(__xludf.DUMMYFUNCTION("""COMPUTED_VALUE"""),2)</f>
        <v>2</v>
      </c>
      <c r="L1240" s="139">
        <f ca="1">IFERROR(__xludf.DUMMYFUNCTION("""COMPUTED_VALUE"""),3181.82)</f>
        <v>3181.82</v>
      </c>
      <c r="M1240" s="6" t="str">
        <f ca="1">IFERROR(__xludf.DUMMYFUNCTION("""COMPUTED_VALUE"""),"03 ORL")</f>
        <v>03 ORL</v>
      </c>
      <c r="N1240" s="6" t="str">
        <f ca="1">IFERROR(__xludf.DUMMYFUNCTION("""COMPUTED_VALUE"""),"06 ORL")</f>
        <v>06 ORL</v>
      </c>
      <c r="O1240" s="6" t="str">
        <f ca="1">IFERROR(__xludf.DUMMYFUNCTION("""COMPUTED_VALUE"""),"Dra, Diana Lysbeth Lourido Piedrahita")</f>
        <v>Dra, Diana Lysbeth Lourido Piedrahita</v>
      </c>
      <c r="P1240" s="6" t="str">
        <f ca="1">IFERROR(__xludf.DUMMYFUNCTION("""COMPUTED_VALUE"""),"Alberto Moreno (Madrid)")</f>
        <v>Alberto Moreno (Madrid)</v>
      </c>
    </row>
    <row r="1241" spans="2:16">
      <c r="B1241" s="6">
        <f ca="1">IFERROR(__xludf.DUMMYFUNCTION("""COMPUTED_VALUE"""),2025)</f>
        <v>2025</v>
      </c>
      <c r="C1241" s="6">
        <f ca="1">IFERROR(__xludf.DUMMYFUNCTION("""COMPUTED_VALUE"""),10)</f>
        <v>10</v>
      </c>
      <c r="D1241" s="6" t="str">
        <f ca="1">IFERROR(__xludf.DUMMYFUNCTION("""COMPUTED_VALUE"""),"NO")</f>
        <v>NO</v>
      </c>
      <c r="E1241" s="6" t="str">
        <f ca="1">IFERROR(__xludf.DUMMYFUNCTION("""COMPUTED_VALUE"""),"Ponferrada")</f>
        <v>Ponferrada</v>
      </c>
      <c r="F1241" s="16">
        <f ca="1">IFERROR(__xludf.DUMMYFUNCTION("""COMPUTED_VALUE"""),45939)</f>
        <v>45939</v>
      </c>
      <c r="G1241" s="16">
        <f ca="1">IFERROR(__xludf.DUMMYFUNCTION("""COMPUTED_VALUE"""),45759)</f>
        <v>45759</v>
      </c>
      <c r="H1241" s="6" t="str">
        <f ca="1">IFERROR(__xludf.DUMMYFUNCTION("""COMPUTED_VALUE"""),"Ponferrada")</f>
        <v>Ponferrada</v>
      </c>
      <c r="I1241" s="6" t="str">
        <f ca="1">IFERROR(__xludf.DUMMYFUNCTION("""COMPUTED_VALUE"""),"PON-907")</f>
        <v>PON-907</v>
      </c>
      <c r="J1241" s="6" t="str">
        <f ca="1">IFERROR(__xludf.DUMMYFUNCTION("""COMPUTED_VALUE"""),"HERIBERTO MOURIZ MOURIZ")</f>
        <v>HERIBERTO MOURIZ MOURIZ</v>
      </c>
      <c r="K1241" s="6">
        <f ca="1">IFERROR(__xludf.DUMMYFUNCTION("""COMPUTED_VALUE"""),2)</f>
        <v>2</v>
      </c>
      <c r="L1241" s="139">
        <f ca="1">IFERROR(__xludf.DUMMYFUNCTION("""COMPUTED_VALUE"""),3909.09)</f>
        <v>3909.09</v>
      </c>
      <c r="M1241" s="6" t="str">
        <f ca="1">IFERROR(__xludf.DUMMYFUNCTION("""COMPUTED_VALUE"""),"03 ORL")</f>
        <v>03 ORL</v>
      </c>
      <c r="N1241" s="6" t="str">
        <f ca="1">IFERROR(__xludf.DUMMYFUNCTION("""COMPUTED_VALUE"""),"06 ORL")</f>
        <v>06 ORL</v>
      </c>
      <c r="O1241" s="6" t="str">
        <f ca="1">IFERROR(__xludf.DUMMYFUNCTION("""COMPUTED_VALUE"""),"Dra, Diana Lysbeth Lourido Piedrahita")</f>
        <v>Dra, Diana Lysbeth Lourido Piedrahita</v>
      </c>
      <c r="P1241" s="6" t="str">
        <f ca="1">IFERROR(__xludf.DUMMYFUNCTION("""COMPUTED_VALUE"""),"Alberto Moreno (Madrid)")</f>
        <v>Alberto Moreno (Madrid)</v>
      </c>
    </row>
    <row r="1242" spans="2:16">
      <c r="B1242" s="6">
        <f ca="1">IFERROR(__xludf.DUMMYFUNCTION("""COMPUTED_VALUE"""),2025)</f>
        <v>2025</v>
      </c>
      <c r="C1242" s="6">
        <f ca="1">IFERROR(__xludf.DUMMYFUNCTION("""COMPUTED_VALUE"""),10)</f>
        <v>10</v>
      </c>
      <c r="D1242" s="6" t="str">
        <f ca="1">IFERROR(__xludf.DUMMYFUNCTION("""COMPUTED_VALUE"""),"NO")</f>
        <v>NO</v>
      </c>
      <c r="E1242" s="6" t="str">
        <f ca="1">IFERROR(__xludf.DUMMYFUNCTION("""COMPUTED_VALUE"""),"Ponferrada")</f>
        <v>Ponferrada</v>
      </c>
      <c r="F1242" s="16">
        <f ca="1">IFERROR(__xludf.DUMMYFUNCTION("""COMPUTED_VALUE"""),45939)</f>
        <v>45939</v>
      </c>
      <c r="G1242" s="16">
        <f ca="1">IFERROR(__xludf.DUMMYFUNCTION("""COMPUTED_VALUE"""),45806)</f>
        <v>45806</v>
      </c>
      <c r="H1242" s="6" t="str">
        <f ca="1">IFERROR(__xludf.DUMMYFUNCTION("""COMPUTED_VALUE"""),"Ponferrada")</f>
        <v>Ponferrada</v>
      </c>
      <c r="I1242" s="6" t="str">
        <f ca="1">IFERROR(__xludf.DUMMYFUNCTION("""COMPUTED_VALUE"""),"PON-933")</f>
        <v>PON-933</v>
      </c>
      <c r="J1242" s="6" t="str">
        <f ca="1">IFERROR(__xludf.DUMMYFUNCTION("""COMPUTED_VALUE"""),"SILVANA HERNANDEZ DE PABLO")</f>
        <v>SILVANA HERNANDEZ DE PABLO</v>
      </c>
      <c r="K1242" s="6">
        <f ca="1">IFERROR(__xludf.DUMMYFUNCTION("""COMPUTED_VALUE"""),2)</f>
        <v>2</v>
      </c>
      <c r="L1242" s="139">
        <f ca="1">IFERROR(__xludf.DUMMYFUNCTION("""COMPUTED_VALUE"""),3909.09)</f>
        <v>3909.09</v>
      </c>
      <c r="M1242" s="6" t="str">
        <f ca="1">IFERROR(__xludf.DUMMYFUNCTION("""COMPUTED_VALUE"""),"03 ORL")</f>
        <v>03 ORL</v>
      </c>
      <c r="N1242" s="6" t="str">
        <f ca="1">IFERROR(__xludf.DUMMYFUNCTION("""COMPUTED_VALUE"""),"06 ORL")</f>
        <v>06 ORL</v>
      </c>
      <c r="O1242" s="6" t="str">
        <f ca="1">IFERROR(__xludf.DUMMYFUNCTION("""COMPUTED_VALUE"""),"Dra, Mónica Granda Rosales")</f>
        <v>Dra, Mónica Granda Rosales</v>
      </c>
      <c r="P1242" s="6" t="str">
        <f ca="1">IFERROR(__xludf.DUMMYFUNCTION("""COMPUTED_VALUE"""),"Alberto Moreno (Madrid)")</f>
        <v>Alberto Moreno (Madrid)</v>
      </c>
    </row>
    <row r="1243" spans="2:16">
      <c r="B1243" s="6">
        <f ca="1">IFERROR(__xludf.DUMMYFUNCTION("""COMPUTED_VALUE"""),2025)</f>
        <v>2025</v>
      </c>
      <c r="C1243" s="6">
        <f ca="1">IFERROR(__xludf.DUMMYFUNCTION("""COMPUTED_VALUE"""),10)</f>
        <v>10</v>
      </c>
      <c r="D1243" s="6" t="str">
        <f ca="1">IFERROR(__xludf.DUMMYFUNCTION("""COMPUTED_VALUE"""),"NO")</f>
        <v>NO</v>
      </c>
      <c r="E1243" s="6" t="str">
        <f ca="1">IFERROR(__xludf.DUMMYFUNCTION("""COMPUTED_VALUE"""),"Sevilla- Ciencias")</f>
        <v>Sevilla- Ciencias</v>
      </c>
      <c r="F1243" s="16">
        <f ca="1">IFERROR(__xludf.DUMMYFUNCTION("""COMPUTED_VALUE"""),45939)</f>
        <v>45939</v>
      </c>
      <c r="G1243" s="16">
        <f ca="1">IFERROR(__xludf.DUMMYFUNCTION("""COMPUTED_VALUE"""),45912)</f>
        <v>45912</v>
      </c>
      <c r="H1243" s="6" t="str">
        <f ca="1">IFERROR(__xludf.DUMMYFUNCTION("""COMPUTED_VALUE"""),"Sevilla Este")</f>
        <v>Sevilla Este</v>
      </c>
      <c r="I1243" s="6" t="str">
        <f ca="1">IFERROR(__xludf.DUMMYFUNCTION("""COMPUTED_VALUE"""),"SEVE-452")</f>
        <v>SEVE-452</v>
      </c>
      <c r="J1243" s="6" t="str">
        <f ca="1">IFERROR(__xludf.DUMMYFUNCTION("""COMPUTED_VALUE"""),"ANA MARIA MERINO PLAZA")</f>
        <v>ANA MARIA MERINO PLAZA</v>
      </c>
      <c r="K1243" s="6">
        <f ca="1">IFERROR(__xludf.DUMMYFUNCTION("""COMPUTED_VALUE"""),2)</f>
        <v>2</v>
      </c>
      <c r="L1243" s="139">
        <f ca="1">IFERROR(__xludf.DUMMYFUNCTION("""COMPUTED_VALUE"""),2974.55)</f>
        <v>2974.55</v>
      </c>
      <c r="M1243" s="6" t="str">
        <f ca="1">IFERROR(__xludf.DUMMYFUNCTION("""COMPUTED_VALUE"""),"03 ORL")</f>
        <v>03 ORL</v>
      </c>
      <c r="N1243" s="6" t="str">
        <f ca="1">IFERROR(__xludf.DUMMYFUNCTION("""COMPUTED_VALUE"""),"06 ORL")</f>
        <v>06 ORL</v>
      </c>
      <c r="O1243" s="6" t="str">
        <f ca="1">IFERROR(__xludf.DUMMYFUNCTION("""COMPUTED_VALUE"""),"Dr, Enrique Gómez Aldaz")</f>
        <v>Dr, Enrique Gómez Aldaz</v>
      </c>
      <c r="P1243" s="6" t="str">
        <f ca="1">IFERROR(__xludf.DUMMYFUNCTION("""COMPUTED_VALUE"""),"Luis Alberto Rodríguez (Andalucía Y Badajoz)")</f>
        <v>Luis Alberto Rodríguez (Andalucía Y Badajoz)</v>
      </c>
    </row>
    <row r="1244" spans="2:16">
      <c r="B1244" s="6">
        <f ca="1">IFERROR(__xludf.DUMMYFUNCTION("""COMPUTED_VALUE"""),2025)</f>
        <v>2025</v>
      </c>
      <c r="C1244" s="6">
        <f ca="1">IFERROR(__xludf.DUMMYFUNCTION("""COMPUTED_VALUE"""),10)</f>
        <v>10</v>
      </c>
      <c r="D1244" s="6" t="str">
        <f ca="1">IFERROR(__xludf.DUMMYFUNCTION("""COMPUTED_VALUE"""),"NO")</f>
        <v>NO</v>
      </c>
      <c r="E1244" s="6" t="str">
        <f ca="1">IFERROR(__xludf.DUMMYFUNCTION("""COMPUTED_VALUE"""),"Huelva")</f>
        <v>Huelva</v>
      </c>
      <c r="F1244" s="16">
        <f ca="1">IFERROR(__xludf.DUMMYFUNCTION("""COMPUTED_VALUE"""),45939)</f>
        <v>45939</v>
      </c>
      <c r="G1244" s="16">
        <f ca="1">IFERROR(__xludf.DUMMYFUNCTION("""COMPUTED_VALUE"""),45889)</f>
        <v>45889</v>
      </c>
      <c r="H1244" s="6" t="str">
        <f ca="1">IFERROR(__xludf.DUMMYFUNCTION("""COMPUTED_VALUE"""),"Huelva")</f>
        <v>Huelva</v>
      </c>
      <c r="I1244" s="6" t="str">
        <f ca="1">IFERROR(__xludf.DUMMYFUNCTION("""COMPUTED_VALUE"""),"C20258219556483")</f>
        <v>C20258219556483</v>
      </c>
      <c r="J1244" s="6" t="str">
        <f ca="1">IFERROR(__xludf.DUMMYFUNCTION("""COMPUTED_VALUE"""),"FRANCISCO AGUILERA SANCHEZ")</f>
        <v>FRANCISCO AGUILERA SANCHEZ</v>
      </c>
      <c r="K1244" s="6">
        <f ca="1">IFERROR(__xludf.DUMMYFUNCTION("""COMPUTED_VALUE"""),2)</f>
        <v>2</v>
      </c>
      <c r="L1244" s="139">
        <f ca="1">IFERROR(__xludf.DUMMYFUNCTION("""COMPUTED_VALUE"""),2718.18)</f>
        <v>2718.18</v>
      </c>
      <c r="M1244" s="6" t="str">
        <f ca="1">IFERROR(__xludf.DUMMYFUNCTION("""COMPUTED_VALUE"""),"03 ORL")</f>
        <v>03 ORL</v>
      </c>
      <c r="N1244" s="6" t="str">
        <f ca="1">IFERROR(__xludf.DUMMYFUNCTION("""COMPUTED_VALUE"""),"06 ORL")</f>
        <v>06 ORL</v>
      </c>
      <c r="O1244" s="6" t="str">
        <f ca="1">IFERROR(__xludf.DUMMYFUNCTION("""COMPUTED_VALUE"""),"Dra, Noelia García García")</f>
        <v>Dra, Noelia García García</v>
      </c>
      <c r="P1244" s="6" t="str">
        <f ca="1">IFERROR(__xludf.DUMMYFUNCTION("""COMPUTED_VALUE"""),"Luis Alberto Rodríguez (Andalucía y Badajoz)")</f>
        <v>Luis Alberto Rodríguez (Andalucía y Badajoz)</v>
      </c>
    </row>
    <row r="1245" spans="2:16">
      <c r="B1245" s="6">
        <f ca="1">IFERROR(__xludf.DUMMYFUNCTION("""COMPUTED_VALUE"""),2025)</f>
        <v>2025</v>
      </c>
      <c r="C1245" s="6">
        <f ca="1">IFERROR(__xludf.DUMMYFUNCTION("""COMPUTED_VALUE"""),10)</f>
        <v>10</v>
      </c>
      <c r="D1245" s="6" t="str">
        <f ca="1">IFERROR(__xludf.DUMMYFUNCTION("""COMPUTED_VALUE"""),"NO")</f>
        <v>NO</v>
      </c>
      <c r="E1245" s="6" t="str">
        <f ca="1">IFERROR(__xludf.DUMMYFUNCTION("""COMPUTED_VALUE"""),"San Javier")</f>
        <v>San Javier</v>
      </c>
      <c r="F1245" s="16">
        <f ca="1">IFERROR(__xludf.DUMMYFUNCTION("""COMPUTED_VALUE"""),45939)</f>
        <v>45939</v>
      </c>
      <c r="G1245" s="16">
        <f ca="1">IFERROR(__xludf.DUMMYFUNCTION("""COMPUTED_VALUE"""),45902)</f>
        <v>45902</v>
      </c>
      <c r="H1245" s="6" t="str">
        <f ca="1">IFERROR(__xludf.DUMMYFUNCTION("""COMPUTED_VALUE"""),"San Javier")</f>
        <v>San Javier</v>
      </c>
      <c r="I1245" s="6" t="str">
        <f ca="1">IFERROR(__xludf.DUMMYFUNCTION("""COMPUTED_VALUE"""),"C202591116392710")</f>
        <v>C202591116392710</v>
      </c>
      <c r="J1245" s="6" t="str">
        <f ca="1">IFERROR(__xludf.DUMMYFUNCTION("""COMPUTED_VALUE"""),"ROSARIO ROS CEGARRA")</f>
        <v>ROSARIO ROS CEGARRA</v>
      </c>
      <c r="K1245" s="6">
        <f ca="1">IFERROR(__xludf.DUMMYFUNCTION("""COMPUTED_VALUE"""),2)</f>
        <v>2</v>
      </c>
      <c r="L1245" s="139">
        <f ca="1">IFERROR(__xludf.DUMMYFUNCTION("""COMPUTED_VALUE"""),2718.18)</f>
        <v>2718.18</v>
      </c>
      <c r="M1245" s="6" t="str">
        <f ca="1">IFERROR(__xludf.DUMMYFUNCTION("""COMPUTED_VALUE"""),"03 ORL")</f>
        <v>03 ORL</v>
      </c>
      <c r="N1245" s="6" t="str">
        <f ca="1">IFERROR(__xludf.DUMMYFUNCTION("""COMPUTED_VALUE"""),"06 ORL")</f>
        <v>06 ORL</v>
      </c>
      <c r="O1245" s="6" t="str">
        <f ca="1">IFERROR(__xludf.DUMMYFUNCTION("""COMPUTED_VALUE"""),"Dra, Laura Espinosa Fernández")</f>
        <v>Dra, Laura Espinosa Fernández</v>
      </c>
      <c r="P1245" s="6" t="str">
        <f ca="1">IFERROR(__xludf.DUMMYFUNCTION("""COMPUTED_VALUE"""),"Iván Sánchez (Levante Y Albacete)")</f>
        <v>Iván Sánchez (Levante Y Albacete)</v>
      </c>
    </row>
    <row r="1246" spans="2:16">
      <c r="B1246" s="6">
        <f ca="1">IFERROR(__xludf.DUMMYFUNCTION("""COMPUTED_VALUE"""),2025)</f>
        <v>2025</v>
      </c>
      <c r="C1246" s="6">
        <f ca="1">IFERROR(__xludf.DUMMYFUNCTION("""COMPUTED_VALUE"""),10)</f>
        <v>10</v>
      </c>
      <c r="D1246" s="6" t="str">
        <f ca="1">IFERROR(__xludf.DUMMYFUNCTION("""COMPUTED_VALUE"""),"NO")</f>
        <v>NO</v>
      </c>
      <c r="E1246" s="6" t="str">
        <f ca="1">IFERROR(__xludf.DUMMYFUNCTION("""COMPUTED_VALUE"""),"San Javier")</f>
        <v>San Javier</v>
      </c>
      <c r="F1246" s="16">
        <f ca="1">IFERROR(__xludf.DUMMYFUNCTION("""COMPUTED_VALUE"""),45939)</f>
        <v>45939</v>
      </c>
      <c r="G1246" s="16">
        <f ca="1">IFERROR(__xludf.DUMMYFUNCTION("""COMPUTED_VALUE"""),45915)</f>
        <v>45915</v>
      </c>
      <c r="H1246" s="6" t="str">
        <f ca="1">IFERROR(__xludf.DUMMYFUNCTION("""COMPUTED_VALUE"""),"San Javier")</f>
        <v>San Javier</v>
      </c>
      <c r="I1246" s="6" t="str">
        <f ca="1">IFERROR(__xludf.DUMMYFUNCTION("""COMPUTED_VALUE"""),"C202591518017464")</f>
        <v>C202591518017464</v>
      </c>
      <c r="J1246" s="6" t="str">
        <f ca="1">IFERROR(__xludf.DUMMYFUNCTION("""COMPUTED_VALUE"""),"ROSA MARIA ISABEL PALOMERO GARCIA")</f>
        <v>ROSA MARIA ISABEL PALOMERO GARCIA</v>
      </c>
      <c r="K1246" s="6">
        <f ca="1">IFERROR(__xludf.DUMMYFUNCTION("""COMPUTED_VALUE"""),2)</f>
        <v>2</v>
      </c>
      <c r="L1246" s="139">
        <f ca="1">IFERROR(__xludf.DUMMYFUNCTION("""COMPUTED_VALUE"""),2718.18)</f>
        <v>2718.18</v>
      </c>
      <c r="M1246" s="6" t="str">
        <f ca="1">IFERROR(__xludf.DUMMYFUNCTION("""COMPUTED_VALUE"""),"03 ORL")</f>
        <v>03 ORL</v>
      </c>
      <c r="N1246" s="6" t="str">
        <f ca="1">IFERROR(__xludf.DUMMYFUNCTION("""COMPUTED_VALUE"""),"06 ORL")</f>
        <v>06 ORL</v>
      </c>
      <c r="O1246" s="6" t="str">
        <f ca="1">IFERROR(__xludf.DUMMYFUNCTION("""COMPUTED_VALUE"""),"Dra, Ana Giribet Fernández-Pacheco")</f>
        <v>Dra, Ana Giribet Fernández-Pacheco</v>
      </c>
      <c r="P1246" s="6" t="str">
        <f ca="1">IFERROR(__xludf.DUMMYFUNCTION("""COMPUTED_VALUE"""),"Iván Sánchez (Levante Y Albacete)")</f>
        <v>Iván Sánchez (Levante Y Albacete)</v>
      </c>
    </row>
    <row r="1247" spans="2:16">
      <c r="B1247" s="6">
        <f ca="1">IFERROR(__xludf.DUMMYFUNCTION("""COMPUTED_VALUE"""),2025)</f>
        <v>2025</v>
      </c>
      <c r="C1247" s="6">
        <f ca="1">IFERROR(__xludf.DUMMYFUNCTION("""COMPUTED_VALUE"""),10)</f>
        <v>10</v>
      </c>
      <c r="D1247" s="6" t="str">
        <f ca="1">IFERROR(__xludf.DUMMYFUNCTION("""COMPUTED_VALUE"""),"NO")</f>
        <v>NO</v>
      </c>
      <c r="E1247" s="6" t="str">
        <f ca="1">IFERROR(__xludf.DUMMYFUNCTION("""COMPUTED_VALUE"""),"Murcia")</f>
        <v>Murcia</v>
      </c>
      <c r="F1247" s="16">
        <f ca="1">IFERROR(__xludf.DUMMYFUNCTION("""COMPUTED_VALUE"""),45939)</f>
        <v>45939</v>
      </c>
      <c r="G1247" s="16">
        <f ca="1">IFERROR(__xludf.DUMMYFUNCTION("""COMPUTED_VALUE"""),45911)</f>
        <v>45911</v>
      </c>
      <c r="H1247" s="6" t="str">
        <f ca="1">IFERROR(__xludf.DUMMYFUNCTION("""COMPUTED_VALUE"""),"Murcia")</f>
        <v>Murcia</v>
      </c>
      <c r="I1247" s="6" t="str">
        <f ca="1">IFERROR(__xludf.DUMMYFUNCTION("""COMPUTED_VALUE"""),"C202591212628201")</f>
        <v>C202591212628201</v>
      </c>
      <c r="J1247" s="6" t="str">
        <f ca="1">IFERROR(__xludf.DUMMYFUNCTION("""COMPUTED_VALUE"""),"MARIA BELEN FUERTES VIVANCOS")</f>
        <v>MARIA BELEN FUERTES VIVANCOS</v>
      </c>
      <c r="K1247" s="6">
        <f ca="1">IFERROR(__xludf.DUMMYFUNCTION("""COMPUTED_VALUE"""),2)</f>
        <v>2</v>
      </c>
      <c r="L1247" s="139">
        <f ca="1">IFERROR(__xludf.DUMMYFUNCTION("""COMPUTED_VALUE"""),3722.73)</f>
        <v>3722.73</v>
      </c>
      <c r="M1247" s="6" t="str">
        <f ca="1">IFERROR(__xludf.DUMMYFUNCTION("""COMPUTED_VALUE"""),"03 ORL")</f>
        <v>03 ORL</v>
      </c>
      <c r="N1247" s="6" t="str">
        <f ca="1">IFERROR(__xludf.DUMMYFUNCTION("""COMPUTED_VALUE"""),"06 ORL")</f>
        <v>06 ORL</v>
      </c>
      <c r="O1247" s="6" t="str">
        <f ca="1">IFERROR(__xludf.DUMMYFUNCTION("""COMPUTED_VALUE"""),"Dra, María Agustina Sevilla García")</f>
        <v>Dra, María Agustina Sevilla García</v>
      </c>
      <c r="P1247" s="6" t="str">
        <f ca="1">IFERROR(__xludf.DUMMYFUNCTION("""COMPUTED_VALUE"""),"Iván Sánchez (Levante Y Albacete)")</f>
        <v>Iván Sánchez (Levante Y Albacete)</v>
      </c>
    </row>
    <row r="1248" spans="2:16">
      <c r="B1248" s="6">
        <f ca="1">IFERROR(__xludf.DUMMYFUNCTION("""COMPUTED_VALUE"""),2025)</f>
        <v>2025</v>
      </c>
      <c r="C1248" s="6">
        <f ca="1">IFERROR(__xludf.DUMMYFUNCTION("""COMPUTED_VALUE"""),10)</f>
        <v>10</v>
      </c>
      <c r="D1248" s="6" t="str">
        <f ca="1">IFERROR(__xludf.DUMMYFUNCTION("""COMPUTED_VALUE"""),"NO")</f>
        <v>NO</v>
      </c>
      <c r="E1248" s="6" t="str">
        <f ca="1">IFERROR(__xludf.DUMMYFUNCTION("""COMPUTED_VALUE"""),"Murcia")</f>
        <v>Murcia</v>
      </c>
      <c r="F1248" s="16">
        <f ca="1">IFERROR(__xludf.DUMMYFUNCTION("""COMPUTED_VALUE"""),45939)</f>
        <v>45939</v>
      </c>
      <c r="G1248" s="16">
        <f ca="1">IFERROR(__xludf.DUMMYFUNCTION("""COMPUTED_VALUE"""),45911)</f>
        <v>45911</v>
      </c>
      <c r="H1248" s="6" t="str">
        <f ca="1">IFERROR(__xludf.DUMMYFUNCTION("""COMPUTED_VALUE"""),"Murcia")</f>
        <v>Murcia</v>
      </c>
      <c r="I1248" s="6" t="str">
        <f ca="1">IFERROR(__xludf.DUMMYFUNCTION("""COMPUTED_VALUE"""),"C202591212423650")</f>
        <v>C202591212423650</v>
      </c>
      <c r="J1248" s="6" t="str">
        <f ca="1">IFERROR(__xludf.DUMMYFUNCTION("""COMPUTED_VALUE"""),"ALFONSO ANTONIO CAJA LOPEZ")</f>
        <v>ALFONSO ANTONIO CAJA LOPEZ</v>
      </c>
      <c r="K1248" s="6">
        <f ca="1">IFERROR(__xludf.DUMMYFUNCTION("""COMPUTED_VALUE"""),2)</f>
        <v>2</v>
      </c>
      <c r="L1248" s="139">
        <f ca="1">IFERROR(__xludf.DUMMYFUNCTION("""COMPUTED_VALUE"""),3722.73)</f>
        <v>3722.73</v>
      </c>
      <c r="M1248" s="6" t="str">
        <f ca="1">IFERROR(__xludf.DUMMYFUNCTION("""COMPUTED_VALUE"""),"03 ORL")</f>
        <v>03 ORL</v>
      </c>
      <c r="N1248" s="6" t="str">
        <f ca="1">IFERROR(__xludf.DUMMYFUNCTION("""COMPUTED_VALUE"""),"06 ORL")</f>
        <v>06 ORL</v>
      </c>
      <c r="O1248" s="6" t="str">
        <f ca="1">IFERROR(__xludf.DUMMYFUNCTION("""COMPUTED_VALUE"""),"Dra, María Agustina Sevilla García")</f>
        <v>Dra, María Agustina Sevilla García</v>
      </c>
      <c r="P1248" s="6" t="str">
        <f ca="1">IFERROR(__xludf.DUMMYFUNCTION("""COMPUTED_VALUE"""),"Iván Sánchez (Levante Y Albacete)")</f>
        <v>Iván Sánchez (Levante Y Albacete)</v>
      </c>
    </row>
    <row r="1249" spans="2:16">
      <c r="B1249" s="6">
        <f ca="1">IFERROR(__xludf.DUMMYFUNCTION("""COMPUTED_VALUE"""),2025)</f>
        <v>2025</v>
      </c>
      <c r="C1249" s="6">
        <f ca="1">IFERROR(__xludf.DUMMYFUNCTION("""COMPUTED_VALUE"""),10)</f>
        <v>10</v>
      </c>
      <c r="D1249" s="6" t="str">
        <f ca="1">IFERROR(__xludf.DUMMYFUNCTION("""COMPUTED_VALUE"""),"NO")</f>
        <v>NO</v>
      </c>
      <c r="E1249" s="6" t="str">
        <f ca="1">IFERROR(__xludf.DUMMYFUNCTION("""COMPUTED_VALUE"""),"Madrid- Moratalaz")</f>
        <v>Madrid- Moratalaz</v>
      </c>
      <c r="F1249" s="16">
        <f ca="1">IFERROR(__xludf.DUMMYFUNCTION("""COMPUTED_VALUE"""),45939)</f>
        <v>45939</v>
      </c>
      <c r="G1249" s="16">
        <f ca="1">IFERROR(__xludf.DUMMYFUNCTION("""COMPUTED_VALUE"""),45870)</f>
        <v>45870</v>
      </c>
      <c r="H1249" s="6" t="str">
        <f ca="1">IFERROR(__xludf.DUMMYFUNCTION("""COMPUTED_VALUE"""),"Moratalaz")</f>
        <v>Moratalaz</v>
      </c>
      <c r="I1249" s="6" t="str">
        <f ca="1">IFERROR(__xludf.DUMMYFUNCTION("""COMPUTED_VALUE"""),"C20258112333433")</f>
        <v>C20258112333433</v>
      </c>
      <c r="J1249" s="6" t="str">
        <f ca="1">IFERROR(__xludf.DUMMYFUNCTION("""COMPUTED_VALUE"""),"ROSALIA GARCIA MARIA")</f>
        <v>ROSALIA GARCIA MARIA</v>
      </c>
      <c r="K1249" s="6">
        <f ca="1">IFERROR(__xludf.DUMMYFUNCTION("""COMPUTED_VALUE"""),2)</f>
        <v>2</v>
      </c>
      <c r="L1249" s="139">
        <f ca="1">IFERROR(__xludf.DUMMYFUNCTION("""COMPUTED_VALUE"""),2454.55)</f>
        <v>2454.5500000000002</v>
      </c>
      <c r="M1249" s="6" t="str">
        <f ca="1">IFERROR(__xludf.DUMMYFUNCTION("""COMPUTED_VALUE"""),"03 ORL")</f>
        <v>03 ORL</v>
      </c>
      <c r="N1249" s="6" t="str">
        <f ca="1">IFERROR(__xludf.DUMMYFUNCTION("""COMPUTED_VALUE"""),"06 ORL")</f>
        <v>06 ORL</v>
      </c>
      <c r="O1249" s="6" t="str">
        <f ca="1">IFERROR(__xludf.DUMMYFUNCTION("""COMPUTED_VALUE"""),"Dr, Antonio Rodríguez Rivero")</f>
        <v>Dr, Antonio Rodríguez Rivero</v>
      </c>
      <c r="P1249" s="6" t="str">
        <f ca="1">IFERROR(__xludf.DUMMYFUNCTION("""COMPUTED_VALUE"""),"Maika Blázquez (Madrid)")</f>
        <v>Maika Blázquez (Madrid)</v>
      </c>
    </row>
    <row r="1250" spans="2:16">
      <c r="B1250" s="6">
        <f ca="1">IFERROR(__xludf.DUMMYFUNCTION("""COMPUTED_VALUE"""),2025)</f>
        <v>2025</v>
      </c>
      <c r="C1250" s="6">
        <f ca="1">IFERROR(__xludf.DUMMYFUNCTION("""COMPUTED_VALUE"""),10)</f>
        <v>10</v>
      </c>
      <c r="D1250" s="6" t="str">
        <f ca="1">IFERROR(__xludf.DUMMYFUNCTION("""COMPUTED_VALUE"""),"NO")</f>
        <v>NO</v>
      </c>
      <c r="E1250" s="6" t="str">
        <f ca="1">IFERROR(__xludf.DUMMYFUNCTION("""COMPUTED_VALUE"""),"Cáceres")</f>
        <v>Cáceres</v>
      </c>
      <c r="F1250" s="16">
        <f ca="1">IFERROR(__xludf.DUMMYFUNCTION("""COMPUTED_VALUE"""),45940)</f>
        <v>45940</v>
      </c>
      <c r="G1250" s="16">
        <f ca="1">IFERROR(__xludf.DUMMYFUNCTION("""COMPUTED_VALUE"""),45910)</f>
        <v>45910</v>
      </c>
      <c r="H1250" s="6" t="str">
        <f ca="1">IFERROR(__xludf.DUMMYFUNCTION("""COMPUTED_VALUE"""),"Cáceres")</f>
        <v>Cáceres</v>
      </c>
      <c r="I1250" s="6" t="str">
        <f ca="1">IFERROR(__xludf.DUMMYFUNCTION("""COMPUTED_VALUE"""),"CAC-385")</f>
        <v>CAC-385</v>
      </c>
      <c r="J1250" s="6" t="str">
        <f ca="1">IFERROR(__xludf.DUMMYFUNCTION("""COMPUTED_VALUE"""),"MANUELA GUTIERREZ AGUDO")</f>
        <v>MANUELA GUTIERREZ AGUDO</v>
      </c>
      <c r="K1250" s="6">
        <f ca="1">IFERROR(__xludf.DUMMYFUNCTION("""COMPUTED_VALUE"""),2)</f>
        <v>2</v>
      </c>
      <c r="L1250" s="139">
        <f ca="1">IFERROR(__xludf.DUMMYFUNCTION("""COMPUTED_VALUE"""),4203.64)</f>
        <v>4203.6400000000003</v>
      </c>
      <c r="M1250" s="6" t="str">
        <f ca="1">IFERROR(__xludf.DUMMYFUNCTION("""COMPUTED_VALUE"""),"03 ORL")</f>
        <v>03 ORL</v>
      </c>
      <c r="N1250" s="6" t="str">
        <f ca="1">IFERROR(__xludf.DUMMYFUNCTION("""COMPUTED_VALUE"""),"06 ORL")</f>
        <v>06 ORL</v>
      </c>
      <c r="O1250" s="6" t="str">
        <f ca="1">IFERROR(__xludf.DUMMYFUNCTION("""COMPUTED_VALUE"""),"Dr, Rafael Sanz Trenado")</f>
        <v>Dr, Rafael Sanz Trenado</v>
      </c>
      <c r="P1250" s="6" t="str">
        <f ca="1">IFERROR(__xludf.DUMMYFUNCTION("""COMPUTED_VALUE"""),"Lisandro Russian (Madrid, Cáceres, Toledo, Talavera Y Logroño)")</f>
        <v>Lisandro Russian (Madrid, Cáceres, Toledo, Talavera Y Logroño)</v>
      </c>
    </row>
    <row r="1251" spans="2:16">
      <c r="B1251" s="6">
        <f ca="1">IFERROR(__xludf.DUMMYFUNCTION("""COMPUTED_VALUE"""),2025)</f>
        <v>2025</v>
      </c>
      <c r="C1251" s="6">
        <f ca="1">IFERROR(__xludf.DUMMYFUNCTION("""COMPUTED_VALUE"""),10)</f>
        <v>10</v>
      </c>
      <c r="D1251" s="6" t="str">
        <f ca="1">IFERROR(__xludf.DUMMYFUNCTION("""COMPUTED_VALUE"""),"NO")</f>
        <v>NO</v>
      </c>
      <c r="E1251" s="6" t="str">
        <f ca="1">IFERROR(__xludf.DUMMYFUNCTION("""COMPUTED_VALUE"""),"Torrejón de Ardoz")</f>
        <v>Torrejón de Ardoz</v>
      </c>
      <c r="F1251" s="16">
        <f ca="1">IFERROR(__xludf.DUMMYFUNCTION("""COMPUTED_VALUE"""),45940)</f>
        <v>45940</v>
      </c>
      <c r="G1251" s="16">
        <f ca="1">IFERROR(__xludf.DUMMYFUNCTION("""COMPUTED_VALUE"""),45909)</f>
        <v>45909</v>
      </c>
      <c r="H1251" s="6" t="str">
        <f ca="1">IFERROR(__xludf.DUMMYFUNCTION("""COMPUTED_VALUE"""),"Torrejón")</f>
        <v>Torrejón</v>
      </c>
      <c r="I1251" s="6" t="str">
        <f ca="1">IFERROR(__xludf.DUMMYFUNCTION("""COMPUTED_VALUE"""),"C2025911111455715")</f>
        <v>C2025911111455715</v>
      </c>
      <c r="J1251" s="6" t="str">
        <f ca="1">IFERROR(__xludf.DUMMYFUNCTION("""COMPUTED_VALUE"""),"FRANCISCA HURTADO IGLESIAS")</f>
        <v>FRANCISCA HURTADO IGLESIAS</v>
      </c>
      <c r="K1251" s="6">
        <f ca="1">IFERROR(__xludf.DUMMYFUNCTION("""COMPUTED_VALUE"""),2)</f>
        <v>2</v>
      </c>
      <c r="L1251" s="139">
        <f ca="1">IFERROR(__xludf.DUMMYFUNCTION("""COMPUTED_VALUE"""),3631.82)</f>
        <v>3631.82</v>
      </c>
      <c r="M1251" s="6" t="str">
        <f ca="1">IFERROR(__xludf.DUMMYFUNCTION("""COMPUTED_VALUE"""),"03 ORL")</f>
        <v>03 ORL</v>
      </c>
      <c r="N1251" s="6" t="str">
        <f ca="1">IFERROR(__xludf.DUMMYFUNCTION("""COMPUTED_VALUE"""),"06 ORL")</f>
        <v>06 ORL</v>
      </c>
      <c r="O1251" s="6" t="str">
        <f ca="1">IFERROR(__xludf.DUMMYFUNCTION("""COMPUTED_VALUE"""),"Dr, Abel Bogoya Castaño")</f>
        <v>Dr, Abel Bogoya Castaño</v>
      </c>
      <c r="P1251" s="6" t="str">
        <f ca="1">IFERROR(__xludf.DUMMYFUNCTION("""COMPUTED_VALUE"""),"Maika Blázquez (Madrid)")</f>
        <v>Maika Blázquez (Madrid)</v>
      </c>
    </row>
    <row r="1252" spans="2:16">
      <c r="B1252" s="6">
        <f ca="1">IFERROR(__xludf.DUMMYFUNCTION("""COMPUTED_VALUE"""),2025)</f>
        <v>2025</v>
      </c>
      <c r="C1252" s="6">
        <f ca="1">IFERROR(__xludf.DUMMYFUNCTION("""COMPUTED_VALUE"""),10)</f>
        <v>10</v>
      </c>
      <c r="D1252" s="6" t="str">
        <f ca="1">IFERROR(__xludf.DUMMYFUNCTION("""COMPUTED_VALUE"""),"NO")</f>
        <v>NO</v>
      </c>
      <c r="E1252" s="6" t="str">
        <f ca="1">IFERROR(__xludf.DUMMYFUNCTION("""COMPUTED_VALUE"""),"Valencia- Parra")</f>
        <v>Valencia- Parra</v>
      </c>
      <c r="F1252" s="16">
        <f ca="1">IFERROR(__xludf.DUMMYFUNCTION("""COMPUTED_VALUE"""),45940)</f>
        <v>45940</v>
      </c>
      <c r="G1252" s="16">
        <f ca="1">IFERROR(__xludf.DUMMYFUNCTION("""COMPUTED_VALUE"""),45797)</f>
        <v>45797</v>
      </c>
      <c r="H1252" s="6" t="str">
        <f ca="1">IFERROR(__xludf.DUMMYFUNCTION("""COMPUTED_VALUE"""),"Valencia- Parra")</f>
        <v>Valencia- Parra</v>
      </c>
      <c r="I1252" s="6" t="str">
        <f ca="1">IFERROR(__xludf.DUMMYFUNCTION("""COMPUTED_VALUE"""),"C2025630165839246")</f>
        <v>C2025630165839246</v>
      </c>
      <c r="J1252" s="6" t="str">
        <f ca="1">IFERROR(__xludf.DUMMYFUNCTION("""COMPUTED_VALUE"""),"GLORIA CABEDO GISBERT")</f>
        <v>GLORIA CABEDO GISBERT</v>
      </c>
      <c r="K1252" s="6">
        <f ca="1">IFERROR(__xludf.DUMMYFUNCTION("""COMPUTED_VALUE"""),2)</f>
        <v>2</v>
      </c>
      <c r="L1252" s="139">
        <f ca="1">IFERROR(__xludf.DUMMYFUNCTION("""COMPUTED_VALUE"""),2718.18)</f>
        <v>2718.18</v>
      </c>
      <c r="M1252" s="6" t="str">
        <f ca="1">IFERROR(__xludf.DUMMYFUNCTION("""COMPUTED_VALUE"""),"03 ORL")</f>
        <v>03 ORL</v>
      </c>
      <c r="N1252" s="6" t="str">
        <f ca="1">IFERROR(__xludf.DUMMYFUNCTION("""COMPUTED_VALUE"""),"06 ORL")</f>
        <v>06 ORL</v>
      </c>
      <c r="O1252" s="6" t="str">
        <f ca="1">IFERROR(__xludf.DUMMYFUNCTION("""COMPUTED_VALUE"""),"Dra, Ainhoa García-Lliberos de Miguel")</f>
        <v>Dra, Ainhoa García-Lliberos de Miguel</v>
      </c>
      <c r="P1252" s="6" t="str">
        <f ca="1">IFERROR(__xludf.DUMMYFUNCTION("""COMPUTED_VALUE"""),"Ramon Ferrando(Valencia)")</f>
        <v>Ramon Ferrando(Valencia)</v>
      </c>
    </row>
    <row r="1253" spans="2:16">
      <c r="B1253" s="6">
        <f ca="1">IFERROR(__xludf.DUMMYFUNCTION("""COMPUTED_VALUE"""),2025)</f>
        <v>2025</v>
      </c>
      <c r="C1253" s="6">
        <f ca="1">IFERROR(__xludf.DUMMYFUNCTION("""COMPUTED_VALUE"""),10)</f>
        <v>10</v>
      </c>
      <c r="D1253" s="6" t="str">
        <f ca="1">IFERROR(__xludf.DUMMYFUNCTION("""COMPUTED_VALUE"""),"NO")</f>
        <v>NO</v>
      </c>
      <c r="E1253" s="6" t="str">
        <f ca="1">IFERROR(__xludf.DUMMYFUNCTION("""COMPUTED_VALUE"""),"Huelva")</f>
        <v>Huelva</v>
      </c>
      <c r="F1253" s="16">
        <f ca="1">IFERROR(__xludf.DUMMYFUNCTION("""COMPUTED_VALUE"""),45940)</f>
        <v>45940</v>
      </c>
      <c r="G1253" s="16">
        <f ca="1">IFERROR(__xludf.DUMMYFUNCTION("""COMPUTED_VALUE"""),45861)</f>
        <v>45861</v>
      </c>
      <c r="H1253" s="6" t="str">
        <f ca="1">IFERROR(__xludf.DUMMYFUNCTION("""COMPUTED_VALUE"""),"Huelva")</f>
        <v>Huelva</v>
      </c>
      <c r="I1253" s="6" t="str">
        <f ca="1">IFERROR(__xludf.DUMMYFUNCTION("""COMPUTED_VALUE"""),"C2025728162656800")</f>
        <v>C2025728162656800</v>
      </c>
      <c r="J1253" s="6" t="str">
        <f ca="1">IFERROR(__xludf.DUMMYFUNCTION("""COMPUTED_VALUE"""),"LETICIA RIVERA CASTILLA")</f>
        <v>LETICIA RIVERA CASTILLA</v>
      </c>
      <c r="K1253" s="6">
        <f ca="1">IFERROR(__xludf.DUMMYFUNCTION("""COMPUTED_VALUE"""),1)</f>
        <v>1</v>
      </c>
      <c r="L1253" s="139">
        <f ca="1">IFERROR(__xludf.DUMMYFUNCTION("""COMPUTED_VALUE"""),2233.64)</f>
        <v>2233.64</v>
      </c>
      <c r="M1253" s="6" t="str">
        <f ca="1">IFERROR(__xludf.DUMMYFUNCTION("""COMPUTED_VALUE"""),"03 ORL")</f>
        <v>03 ORL</v>
      </c>
      <c r="N1253" s="6" t="str">
        <f ca="1">IFERROR(__xludf.DUMMYFUNCTION("""COMPUTED_VALUE"""),"06 ORL")</f>
        <v>06 ORL</v>
      </c>
      <c r="O1253" s="6" t="str">
        <f ca="1">IFERROR(__xludf.DUMMYFUNCTION("""COMPUTED_VALUE"""),"Dra, Maria Teresa Cervilla Martín")</f>
        <v>Dra, Maria Teresa Cervilla Martín</v>
      </c>
      <c r="P1253" s="6" t="str">
        <f ca="1">IFERROR(__xludf.DUMMYFUNCTION("""COMPUTED_VALUE"""),"Luis Alberto Rodríguez (Andalucía y Badajoz)")</f>
        <v>Luis Alberto Rodríguez (Andalucía y Badajoz)</v>
      </c>
    </row>
    <row r="1254" spans="2:16">
      <c r="B1254" s="6">
        <f ca="1">IFERROR(__xludf.DUMMYFUNCTION("""COMPUTED_VALUE"""),2025)</f>
        <v>2025</v>
      </c>
      <c r="C1254" s="6">
        <f ca="1">IFERROR(__xludf.DUMMYFUNCTION("""COMPUTED_VALUE"""),10)</f>
        <v>10</v>
      </c>
      <c r="D1254" s="6" t="str">
        <f ca="1">IFERROR(__xludf.DUMMYFUNCTION("""COMPUTED_VALUE"""),"NO")</f>
        <v>NO</v>
      </c>
      <c r="E1254" s="6" t="str">
        <f ca="1">IFERROR(__xludf.DUMMYFUNCTION("""COMPUTED_VALUE"""),"Hospitalet de Llobregat")</f>
        <v>Hospitalet de Llobregat</v>
      </c>
      <c r="F1254" s="16">
        <f ca="1">IFERROR(__xludf.DUMMYFUNCTION("""COMPUTED_VALUE"""),45940)</f>
        <v>45940</v>
      </c>
      <c r="G1254" s="16">
        <f ca="1">IFERROR(__xludf.DUMMYFUNCTION("""COMPUTED_VALUE"""),45901)</f>
        <v>45901</v>
      </c>
      <c r="H1254" s="6" t="str">
        <f ca="1">IFERROR(__xludf.DUMMYFUNCTION("""COMPUTED_VALUE"""),"Hospitalet")</f>
        <v>Hospitalet</v>
      </c>
      <c r="I1254" s="6" t="str">
        <f ca="1">IFERROR(__xludf.DUMMYFUNCTION("""COMPUTED_VALUE"""),"C202510610250535")</f>
        <v>C202510610250535</v>
      </c>
      <c r="J1254" s="6" t="str">
        <f ca="1">IFERROR(__xludf.DUMMYFUNCTION("""COMPUTED_VALUE"""),"José Costal")</f>
        <v>José Costal</v>
      </c>
      <c r="K1254" s="6">
        <f ca="1">IFERROR(__xludf.DUMMYFUNCTION("""COMPUTED_VALUE"""),2)</f>
        <v>2</v>
      </c>
      <c r="L1254" s="139">
        <f ca="1">IFERROR(__xludf.DUMMYFUNCTION("""COMPUTED_VALUE"""),4136.36)</f>
        <v>4136.3599999999997</v>
      </c>
      <c r="M1254" s="6" t="str">
        <f ca="1">IFERROR(__xludf.DUMMYFUNCTION("""COMPUTED_VALUE"""),"03 ORL")</f>
        <v>03 ORL</v>
      </c>
      <c r="N1254" s="6" t="str">
        <f ca="1">IFERROR(__xludf.DUMMYFUNCTION("""COMPUTED_VALUE"""),"06 ORL")</f>
        <v>06 ORL</v>
      </c>
      <c r="O1254" s="6" t="str">
        <f ca="1">IFERROR(__xludf.DUMMYFUNCTION("""COMPUTED_VALUE"""),"Dr, Camilo Rodríguez Van Strahle")</f>
        <v>Dr, Camilo Rodríguez Van Strahle</v>
      </c>
      <c r="P1254" s="6" t="str">
        <f ca="1">IFERROR(__xludf.DUMMYFUNCTION("""COMPUTED_VALUE"""),"Mercè Cabrera (Cataluña Y Baleares)")</f>
        <v>Mercè Cabrera (Cataluña Y Baleares)</v>
      </c>
    </row>
    <row r="1255" spans="2:16">
      <c r="B1255" s="6">
        <f ca="1">IFERROR(__xludf.DUMMYFUNCTION("""COMPUTED_VALUE"""),2025)</f>
        <v>2025</v>
      </c>
      <c r="C1255" s="6">
        <f ca="1">IFERROR(__xludf.DUMMYFUNCTION("""COMPUTED_VALUE"""),10)</f>
        <v>10</v>
      </c>
      <c r="D1255" s="6" t="str">
        <f ca="1">IFERROR(__xludf.DUMMYFUNCTION("""COMPUTED_VALUE"""),"NO")</f>
        <v>NO</v>
      </c>
      <c r="E1255" s="6" t="str">
        <f ca="1">IFERROR(__xludf.DUMMYFUNCTION("""COMPUTED_VALUE"""),"Madrid- Moratalaz")</f>
        <v>Madrid- Moratalaz</v>
      </c>
      <c r="F1255" s="16">
        <f ca="1">IFERROR(__xludf.DUMMYFUNCTION("""COMPUTED_VALUE"""),45943)</f>
        <v>45943</v>
      </c>
      <c r="G1255" s="16">
        <f ca="1">IFERROR(__xludf.DUMMYFUNCTION("""COMPUTED_VALUE"""),45911)</f>
        <v>45911</v>
      </c>
      <c r="H1255" s="6" t="str">
        <f ca="1">IFERROR(__xludf.DUMMYFUNCTION("""COMPUTED_VALUE"""),"Moratalaz")</f>
        <v>Moratalaz</v>
      </c>
      <c r="I1255" s="6" t="str">
        <f ca="1">IFERROR(__xludf.DUMMYFUNCTION("""COMPUTED_VALUE"""),"C202591817559957")</f>
        <v>C202591817559957</v>
      </c>
      <c r="J1255" s="6" t="str">
        <f ca="1">IFERROR(__xludf.DUMMYFUNCTION("""COMPUTED_VALUE"""),"ANTONIO SILVA DE LA CRUZ")</f>
        <v>ANTONIO SILVA DE LA CRUZ</v>
      </c>
      <c r="K1255" s="6">
        <f ca="1">IFERROR(__xludf.DUMMYFUNCTION("""COMPUTED_VALUE"""),2)</f>
        <v>2</v>
      </c>
      <c r="L1255" s="139">
        <f ca="1">IFERROR(__xludf.DUMMYFUNCTION("""COMPUTED_VALUE"""),2718.18)</f>
        <v>2718.18</v>
      </c>
      <c r="M1255" s="6" t="str">
        <f ca="1">IFERROR(__xludf.DUMMYFUNCTION("""COMPUTED_VALUE"""),"03 ORL")</f>
        <v>03 ORL</v>
      </c>
      <c r="N1255" s="6" t="str">
        <f ca="1">IFERROR(__xludf.DUMMYFUNCTION("""COMPUTED_VALUE"""),"06 ORL")</f>
        <v>06 ORL</v>
      </c>
      <c r="O1255" s="6" t="str">
        <f ca="1">IFERROR(__xludf.DUMMYFUNCTION("""COMPUTED_VALUE"""),"Dr, Julio López Moya")</f>
        <v>Dr, Julio López Moya</v>
      </c>
      <c r="P1255" s="6" t="str">
        <f ca="1">IFERROR(__xludf.DUMMYFUNCTION("""COMPUTED_VALUE"""),"Maika Blázquez (Madrid)")</f>
        <v>Maika Blázquez (Madrid)</v>
      </c>
    </row>
    <row r="1256" spans="2:16">
      <c r="B1256" s="6">
        <f ca="1">IFERROR(__xludf.DUMMYFUNCTION("""COMPUTED_VALUE"""),2025)</f>
        <v>2025</v>
      </c>
      <c r="C1256" s="6">
        <f ca="1">IFERROR(__xludf.DUMMYFUNCTION("""COMPUTED_VALUE"""),10)</f>
        <v>10</v>
      </c>
      <c r="D1256" s="6" t="str">
        <f ca="1">IFERROR(__xludf.DUMMYFUNCTION("""COMPUTED_VALUE"""),"NO")</f>
        <v>NO</v>
      </c>
      <c r="E1256" s="6" t="str">
        <f ca="1">IFERROR(__xludf.DUMMYFUNCTION("""COMPUTED_VALUE"""),"Lalín")</f>
        <v>Lalín</v>
      </c>
      <c r="F1256" s="16">
        <f ca="1">IFERROR(__xludf.DUMMYFUNCTION("""COMPUTED_VALUE"""),45944)</f>
        <v>45944</v>
      </c>
      <c r="G1256" s="16">
        <f ca="1">IFERROR(__xludf.DUMMYFUNCTION("""COMPUTED_VALUE"""),45756)</f>
        <v>45756</v>
      </c>
      <c r="H1256" s="6" t="str">
        <f ca="1">IFERROR(__xludf.DUMMYFUNCTION("""COMPUTED_VALUE"""),"Lalín")</f>
        <v>Lalín</v>
      </c>
      <c r="I1256" s="6" t="str">
        <f ca="1">IFERROR(__xludf.DUMMYFUNCTION("""COMPUTED_VALUE"""),"LAL-142")</f>
        <v>LAL-142</v>
      </c>
      <c r="J1256" s="6" t="str">
        <f ca="1">IFERROR(__xludf.DUMMYFUNCTION("""COMPUTED_VALUE"""),"MARIA TERESA FAILDE GARCIA")</f>
        <v>MARIA TERESA FAILDE GARCIA</v>
      </c>
      <c r="K1256" s="6">
        <f ca="1">IFERROR(__xludf.DUMMYFUNCTION("""COMPUTED_VALUE"""),2)</f>
        <v>2</v>
      </c>
      <c r="L1256" s="139">
        <f ca="1">IFERROR(__xludf.DUMMYFUNCTION("""COMPUTED_VALUE"""),872.73)</f>
        <v>872.73</v>
      </c>
      <c r="M1256" s="6" t="str">
        <f ca="1">IFERROR(__xludf.DUMMYFUNCTION("""COMPUTED_VALUE"""),"03 ORL")</f>
        <v>03 ORL</v>
      </c>
      <c r="N1256" s="6" t="str">
        <f ca="1">IFERROR(__xludf.DUMMYFUNCTION("""COMPUTED_VALUE"""),"06 ORL")</f>
        <v>06 ORL</v>
      </c>
      <c r="O1256" s="6" t="str">
        <f ca="1">IFERROR(__xludf.DUMMYFUNCTION("""COMPUTED_VALUE"""),"Dr, Isabel Vaamonde Sanchez Andrade")</f>
        <v>Dr, Isabel Vaamonde Sanchez Andrade</v>
      </c>
      <c r="P1256" s="6" t="str">
        <f ca="1">IFERROR(__xludf.DUMMYFUNCTION("""COMPUTED_VALUE"""),"Roberto Pereira (Galicia)")</f>
        <v>Roberto Pereira (Galicia)</v>
      </c>
    </row>
    <row r="1257" spans="2:16">
      <c r="B1257" s="6">
        <f ca="1">IFERROR(__xludf.DUMMYFUNCTION("""COMPUTED_VALUE"""),2025)</f>
        <v>2025</v>
      </c>
      <c r="C1257" s="6">
        <f ca="1">IFERROR(__xludf.DUMMYFUNCTION("""COMPUTED_VALUE"""),10)</f>
        <v>10</v>
      </c>
      <c r="D1257" s="6" t="str">
        <f ca="1">IFERROR(__xludf.DUMMYFUNCTION("""COMPUTED_VALUE"""),"NO")</f>
        <v>NO</v>
      </c>
      <c r="E1257" s="6" t="str">
        <f ca="1">IFERROR(__xludf.DUMMYFUNCTION("""COMPUTED_VALUE"""),"Vigo")</f>
        <v>Vigo</v>
      </c>
      <c r="F1257" s="16">
        <f ca="1">IFERROR(__xludf.DUMMYFUNCTION("""COMPUTED_VALUE"""),45944)</f>
        <v>45944</v>
      </c>
      <c r="G1257" s="16">
        <f ca="1">IFERROR(__xludf.DUMMYFUNCTION("""COMPUTED_VALUE"""),45915)</f>
        <v>45915</v>
      </c>
      <c r="H1257" s="6" t="str">
        <f ca="1">IFERROR(__xludf.DUMMYFUNCTION("""COMPUTED_VALUE"""),"Vigo")</f>
        <v>Vigo</v>
      </c>
      <c r="I1257" s="6" t="str">
        <f ca="1">IFERROR(__xludf.DUMMYFUNCTION("""COMPUTED_VALUE"""),"VIG-611")</f>
        <v>VIG-611</v>
      </c>
      <c r="J1257" s="6" t="str">
        <f ca="1">IFERROR(__xludf.DUMMYFUNCTION("""COMPUTED_VALUE"""),"PILAR CONDE HERRERO")</f>
        <v>PILAR CONDE HERRERO</v>
      </c>
      <c r="K1257" s="6">
        <f ca="1">IFERROR(__xludf.DUMMYFUNCTION("""COMPUTED_VALUE"""),2)</f>
        <v>2</v>
      </c>
      <c r="L1257" s="139">
        <f ca="1">IFERROR(__xludf.DUMMYFUNCTION("""COMPUTED_VALUE"""),3545.45)</f>
        <v>3545.45</v>
      </c>
      <c r="M1257" s="6" t="str">
        <f ca="1">IFERROR(__xludf.DUMMYFUNCTION("""COMPUTED_VALUE"""),"03 ORL")</f>
        <v>03 ORL</v>
      </c>
      <c r="N1257" s="6" t="str">
        <f ca="1">IFERROR(__xludf.DUMMYFUNCTION("""COMPUTED_VALUE"""),"06 ORL")</f>
        <v>06 ORL</v>
      </c>
      <c r="O1257" s="6" t="str">
        <f ca="1">IFERROR(__xludf.DUMMYFUNCTION("""COMPUTED_VALUE"""),"Dra, Pilar Castro Ruiz")</f>
        <v>Dra, Pilar Castro Ruiz</v>
      </c>
      <c r="P1257" s="6" t="str">
        <f ca="1">IFERROR(__xludf.DUMMYFUNCTION("""COMPUTED_VALUE"""),"Roberto Pereira (Galicia)")</f>
        <v>Roberto Pereira (Galicia)</v>
      </c>
    </row>
    <row r="1258" spans="2:16">
      <c r="B1258" s="6">
        <f ca="1">IFERROR(__xludf.DUMMYFUNCTION("""COMPUTED_VALUE"""),2025)</f>
        <v>2025</v>
      </c>
      <c r="C1258" s="6">
        <f ca="1">IFERROR(__xludf.DUMMYFUNCTION("""COMPUTED_VALUE"""),10)</f>
        <v>10</v>
      </c>
      <c r="D1258" s="6" t="str">
        <f ca="1">IFERROR(__xludf.DUMMYFUNCTION("""COMPUTED_VALUE"""),"NO")</f>
        <v>NO</v>
      </c>
      <c r="E1258" s="6" t="str">
        <f ca="1">IFERROR(__xludf.DUMMYFUNCTION("""COMPUTED_VALUE"""),"Santiago de Compostela")</f>
        <v>Santiago de Compostela</v>
      </c>
      <c r="F1258" s="16">
        <f ca="1">IFERROR(__xludf.DUMMYFUNCTION("""COMPUTED_VALUE"""),45944)</f>
        <v>45944</v>
      </c>
      <c r="G1258" s="16">
        <f ca="1">IFERROR(__xludf.DUMMYFUNCTION("""COMPUTED_VALUE"""),45912)</f>
        <v>45912</v>
      </c>
      <c r="H1258" s="6" t="str">
        <f ca="1">IFERROR(__xludf.DUMMYFUNCTION("""COMPUTED_VALUE"""),"Santiago")</f>
        <v>Santiago</v>
      </c>
      <c r="I1258" s="6" t="str">
        <f ca="1">IFERROR(__xludf.DUMMYFUNCTION("""COMPUTED_VALUE"""),"C202591811928283")</f>
        <v>C202591811928283</v>
      </c>
      <c r="J1258" s="6" t="str">
        <f ca="1">IFERROR(__xludf.DUMMYFUNCTION("""COMPUTED_VALUE"""),"PILAR MOSQUERA CALDELAS")</f>
        <v>PILAR MOSQUERA CALDELAS</v>
      </c>
      <c r="K1258" s="6">
        <f ca="1">IFERROR(__xludf.DUMMYFUNCTION("""COMPUTED_VALUE"""),2)</f>
        <v>2</v>
      </c>
      <c r="L1258" s="139">
        <f ca="1">IFERROR(__xludf.DUMMYFUNCTION("""COMPUTED_VALUE"""),4136.36)</f>
        <v>4136.3599999999997</v>
      </c>
      <c r="M1258" s="6" t="str">
        <f ca="1">IFERROR(__xludf.DUMMYFUNCTION("""COMPUTED_VALUE"""),"03 ORL")</f>
        <v>03 ORL</v>
      </c>
      <c r="N1258" s="6" t="str">
        <f ca="1">IFERROR(__xludf.DUMMYFUNCTION("""COMPUTED_VALUE"""),"06 ORL")</f>
        <v>06 ORL</v>
      </c>
      <c r="O1258" s="6" t="str">
        <f ca="1">IFERROR(__xludf.DUMMYFUNCTION("""COMPUTED_VALUE"""),"Dr, Gabriel Martínez Capoccini")</f>
        <v>Dr, Gabriel Martínez Capoccini</v>
      </c>
      <c r="P1258" s="6" t="str">
        <f ca="1">IFERROR(__xludf.DUMMYFUNCTION("""COMPUTED_VALUE"""),"Roberto Pereira (Galicia)")</f>
        <v>Roberto Pereira (Galicia)</v>
      </c>
    </row>
    <row r="1259" spans="2:16">
      <c r="B1259" s="6">
        <f ca="1">IFERROR(__xludf.DUMMYFUNCTION("""COMPUTED_VALUE"""),2025)</f>
        <v>2025</v>
      </c>
      <c r="C1259" s="6">
        <f ca="1">IFERROR(__xludf.DUMMYFUNCTION("""COMPUTED_VALUE"""),10)</f>
        <v>10</v>
      </c>
      <c r="D1259" s="6" t="str">
        <f ca="1">IFERROR(__xludf.DUMMYFUNCTION("""COMPUTED_VALUE"""),"NO")</f>
        <v>NO</v>
      </c>
      <c r="E1259" s="6" t="str">
        <f ca="1">IFERROR(__xludf.DUMMYFUNCTION("""COMPUTED_VALUE"""),"Talavera")</f>
        <v>Talavera</v>
      </c>
      <c r="F1259" s="16">
        <f ca="1">IFERROR(__xludf.DUMMYFUNCTION("""COMPUTED_VALUE"""),45944)</f>
        <v>45944</v>
      </c>
      <c r="G1259" s="16">
        <f ca="1">IFERROR(__xludf.DUMMYFUNCTION("""COMPUTED_VALUE"""),45887)</f>
        <v>45887</v>
      </c>
      <c r="H1259" s="6" t="str">
        <f ca="1">IFERROR(__xludf.DUMMYFUNCTION("""COMPUTED_VALUE"""),"Talavera")</f>
        <v>Talavera</v>
      </c>
      <c r="I1259" s="6" t="str">
        <f ca="1">IFERROR(__xludf.DUMMYFUNCTION("""COMPUTED_VALUE"""),"C2025919152854375")</f>
        <v>C2025919152854375</v>
      </c>
      <c r="J1259" s="6" t="str">
        <f ca="1">IFERROR(__xludf.DUMMYFUNCTION("""COMPUTED_VALUE"""),"CRISTINA DIAZ PORTELA")</f>
        <v>CRISTINA DIAZ PORTELA</v>
      </c>
      <c r="K1259" s="6">
        <f ca="1">IFERROR(__xludf.DUMMYFUNCTION("""COMPUTED_VALUE"""),1)</f>
        <v>1</v>
      </c>
      <c r="L1259" s="139">
        <f ca="1">IFERROR(__xludf.DUMMYFUNCTION("""COMPUTED_VALUE"""),2090.91)</f>
        <v>2090.91</v>
      </c>
      <c r="M1259" s="6" t="str">
        <f ca="1">IFERROR(__xludf.DUMMYFUNCTION("""COMPUTED_VALUE"""),"03 ORL")</f>
        <v>03 ORL</v>
      </c>
      <c r="N1259" s="6" t="str">
        <f ca="1">IFERROR(__xludf.DUMMYFUNCTION("""COMPUTED_VALUE"""),"06 ORL")</f>
        <v>06 ORL</v>
      </c>
      <c r="O1259" s="6" t="str">
        <f ca="1">IFERROR(__xludf.DUMMYFUNCTION("""COMPUTED_VALUE"""),"Dr, Carlos Félix Asensio Nieto")</f>
        <v>Dr, Carlos Félix Asensio Nieto</v>
      </c>
      <c r="P1259" s="6" t="str">
        <f ca="1">IFERROR(__xludf.DUMMYFUNCTION("""COMPUTED_VALUE"""),"Lisandro Russian (Madrid, Cáceres, Toledo, Talavera Y Logroño)")</f>
        <v>Lisandro Russian (Madrid, Cáceres, Toledo, Talavera Y Logroño)</v>
      </c>
    </row>
    <row r="1260" spans="2:16">
      <c r="B1260" s="6">
        <f ca="1">IFERROR(__xludf.DUMMYFUNCTION("""COMPUTED_VALUE"""),2025)</f>
        <v>2025</v>
      </c>
      <c r="C1260" s="6">
        <f ca="1">IFERROR(__xludf.DUMMYFUNCTION("""COMPUTED_VALUE"""),10)</f>
        <v>10</v>
      </c>
      <c r="D1260" s="6" t="str">
        <f ca="1">IFERROR(__xludf.DUMMYFUNCTION("""COMPUTED_VALUE"""),"NO")</f>
        <v>NO</v>
      </c>
      <c r="E1260" s="6" t="str">
        <f ca="1">IFERROR(__xludf.DUMMYFUNCTION("""COMPUTED_VALUE"""),"Hospitalet de Llobregat")</f>
        <v>Hospitalet de Llobregat</v>
      </c>
      <c r="F1260" s="16">
        <f ca="1">IFERROR(__xludf.DUMMYFUNCTION("""COMPUTED_VALUE"""),45944)</f>
        <v>45944</v>
      </c>
      <c r="G1260" s="16">
        <f ca="1">IFERROR(__xludf.DUMMYFUNCTION("""COMPUTED_VALUE"""),45904)</f>
        <v>45904</v>
      </c>
      <c r="H1260" s="6" t="str">
        <f ca="1">IFERROR(__xludf.DUMMYFUNCTION("""COMPUTED_VALUE"""),"Hospitalet")</f>
        <v>Hospitalet</v>
      </c>
      <c r="I1260" s="6" t="str">
        <f ca="1">IFERROR(__xludf.DUMMYFUNCTION("""COMPUTED_VALUE"""),"C2025910194422149")</f>
        <v>C2025910194422149</v>
      </c>
      <c r="J1260" s="6" t="str">
        <f ca="1">IFERROR(__xludf.DUMMYFUNCTION("""COMPUTED_VALUE"""),"Alberto Cascales Burrull")</f>
        <v>Alberto Cascales Burrull</v>
      </c>
      <c r="K1260" s="6">
        <f ca="1">IFERROR(__xludf.DUMMYFUNCTION("""COMPUTED_VALUE"""),2)</f>
        <v>2</v>
      </c>
      <c r="L1260" s="139">
        <f ca="1">IFERROR(__xludf.DUMMYFUNCTION("""COMPUTED_VALUE"""),4136.36)</f>
        <v>4136.3599999999997</v>
      </c>
      <c r="M1260" s="6" t="str">
        <f ca="1">IFERROR(__xludf.DUMMYFUNCTION("""COMPUTED_VALUE"""),"03 ORL")</f>
        <v>03 ORL</v>
      </c>
      <c r="N1260" s="6" t="str">
        <f ca="1">IFERROR(__xludf.DUMMYFUNCTION("""COMPUTED_VALUE"""),"06 ORL")</f>
        <v>06 ORL</v>
      </c>
      <c r="O1260" s="6" t="str">
        <f ca="1">IFERROR(__xludf.DUMMYFUNCTION("""COMPUTED_VALUE"""),"Dra, Dolores Romero Panadero")</f>
        <v>Dra, Dolores Romero Panadero</v>
      </c>
      <c r="P1260" s="6" t="str">
        <f ca="1">IFERROR(__xludf.DUMMYFUNCTION("""COMPUTED_VALUE"""),"Mercè Cabrera (Cataluña Y Baleares)")</f>
        <v>Mercè Cabrera (Cataluña Y Baleares)</v>
      </c>
    </row>
    <row r="1261" spans="2:16">
      <c r="B1261" s="6">
        <f ca="1">IFERROR(__xludf.DUMMYFUNCTION("""COMPUTED_VALUE"""),2025)</f>
        <v>2025</v>
      </c>
      <c r="C1261" s="6">
        <f ca="1">IFERROR(__xludf.DUMMYFUNCTION("""COMPUTED_VALUE"""),10)</f>
        <v>10</v>
      </c>
      <c r="D1261" s="6" t="str">
        <f ca="1">IFERROR(__xludf.DUMMYFUNCTION("""COMPUTED_VALUE"""),"NO")</f>
        <v>NO</v>
      </c>
      <c r="E1261" s="6" t="str">
        <f ca="1">IFERROR(__xludf.DUMMYFUNCTION("""COMPUTED_VALUE"""),"San Javier")</f>
        <v>San Javier</v>
      </c>
      <c r="F1261" s="16">
        <f ca="1">IFERROR(__xludf.DUMMYFUNCTION("""COMPUTED_VALUE"""),45944)</f>
        <v>45944</v>
      </c>
      <c r="G1261" s="16">
        <f ca="1">IFERROR(__xludf.DUMMYFUNCTION("""COMPUTED_VALUE"""),45902)</f>
        <v>45902</v>
      </c>
      <c r="H1261" s="6" t="str">
        <f ca="1">IFERROR(__xludf.DUMMYFUNCTION("""COMPUTED_VALUE"""),"San Javier")</f>
        <v>San Javier</v>
      </c>
      <c r="I1261" s="6" t="str">
        <f ca="1">IFERROR(__xludf.DUMMYFUNCTION("""COMPUTED_VALUE"""),"C202591510302812")</f>
        <v>C202591510302812</v>
      </c>
      <c r="J1261" s="6" t="str">
        <f ca="1">IFERROR(__xludf.DUMMYFUNCTION("""COMPUTED_VALUE"""),"ALFONSO NIETO MARTINEZ")</f>
        <v>ALFONSO NIETO MARTINEZ</v>
      </c>
      <c r="K1261" s="6">
        <f ca="1">IFERROR(__xludf.DUMMYFUNCTION("""COMPUTED_VALUE"""),2)</f>
        <v>2</v>
      </c>
      <c r="L1261" s="139">
        <f ca="1">IFERROR(__xludf.DUMMYFUNCTION("""COMPUTED_VALUE"""),3631.81)</f>
        <v>3631.81</v>
      </c>
      <c r="M1261" s="6" t="str">
        <f ca="1">IFERROR(__xludf.DUMMYFUNCTION("""COMPUTED_VALUE"""),"03 ORL")</f>
        <v>03 ORL</v>
      </c>
      <c r="N1261" s="6" t="str">
        <f ca="1">IFERROR(__xludf.DUMMYFUNCTION("""COMPUTED_VALUE"""),"06 ORL")</f>
        <v>06 ORL</v>
      </c>
      <c r="O1261" s="6" t="str">
        <f ca="1">IFERROR(__xludf.DUMMYFUNCTION("""COMPUTED_VALUE"""),"Dr, Alberto Raposo Jiménez")</f>
        <v>Dr, Alberto Raposo Jiménez</v>
      </c>
      <c r="P1261" s="6" t="str">
        <f ca="1">IFERROR(__xludf.DUMMYFUNCTION("""COMPUTED_VALUE"""),"Iván Sánchez (Levante Y Albacete)")</f>
        <v>Iván Sánchez (Levante Y Albacete)</v>
      </c>
    </row>
    <row r="1262" spans="2:16">
      <c r="B1262" s="6">
        <f ca="1">IFERROR(__xludf.DUMMYFUNCTION("""COMPUTED_VALUE"""),2025)</f>
        <v>2025</v>
      </c>
      <c r="C1262" s="6">
        <f ca="1">IFERROR(__xludf.DUMMYFUNCTION("""COMPUTED_VALUE"""),10)</f>
        <v>10</v>
      </c>
      <c r="D1262" s="6" t="str">
        <f ca="1">IFERROR(__xludf.DUMMYFUNCTION("""COMPUTED_VALUE"""),"NO")</f>
        <v>NO</v>
      </c>
      <c r="E1262" s="6" t="str">
        <f ca="1">IFERROR(__xludf.DUMMYFUNCTION("""COMPUTED_VALUE"""),"Madrid- Juan Bravo")</f>
        <v>Madrid- Juan Bravo</v>
      </c>
      <c r="F1262" s="16">
        <f ca="1">IFERROR(__xludf.DUMMYFUNCTION("""COMPUTED_VALUE"""),45944)</f>
        <v>45944</v>
      </c>
      <c r="G1262" s="16">
        <f ca="1">IFERROR(__xludf.DUMMYFUNCTION("""COMPUTED_VALUE"""),45853)</f>
        <v>45853</v>
      </c>
      <c r="H1262" s="6" t="str">
        <f ca="1">IFERROR(__xludf.DUMMYFUNCTION("""COMPUTED_VALUE"""),"Juan Bravo")</f>
        <v>Juan Bravo</v>
      </c>
      <c r="I1262" s="6" t="str">
        <f ca="1">IFERROR(__xludf.DUMMYFUNCTION("""COMPUTED_VALUE"""),"C202594171646705")</f>
        <v>C202594171646705</v>
      </c>
      <c r="J1262" s="6" t="str">
        <f ca="1">IFERROR(__xludf.DUMMYFUNCTION("""COMPUTED_VALUE"""),"ESTEBAN MARTINEZ RODRIGUEZ")</f>
        <v>ESTEBAN MARTINEZ RODRIGUEZ</v>
      </c>
      <c r="K1262" s="6">
        <f ca="1">IFERROR(__xludf.DUMMYFUNCTION("""COMPUTED_VALUE"""),2)</f>
        <v>2</v>
      </c>
      <c r="L1262" s="139">
        <f ca="1">IFERROR(__xludf.DUMMYFUNCTION("""COMPUTED_VALUE"""),4136.36)</f>
        <v>4136.3599999999997</v>
      </c>
      <c r="M1262" s="6" t="str">
        <f ca="1">IFERROR(__xludf.DUMMYFUNCTION("""COMPUTED_VALUE"""),"03 ORL")</f>
        <v>03 ORL</v>
      </c>
      <c r="N1262" s="6" t="str">
        <f ca="1">IFERROR(__xludf.DUMMYFUNCTION("""COMPUTED_VALUE"""),"06 ORL")</f>
        <v>06 ORL</v>
      </c>
      <c r="O1262" s="6" t="str">
        <f ca="1">IFERROR(__xludf.DUMMYFUNCTION("""COMPUTED_VALUE"""),"Dr, Julio López Moya")</f>
        <v>Dr, Julio López Moya</v>
      </c>
      <c r="P1262" s="6" t="str">
        <f ca="1">IFERROR(__xludf.DUMMYFUNCTION("""COMPUTED_VALUE"""),"Maika Blázquez (Madrid)")</f>
        <v>Maika Blázquez (Madrid)</v>
      </c>
    </row>
    <row r="1263" spans="2:16">
      <c r="B1263" s="6">
        <f ca="1">IFERROR(__xludf.DUMMYFUNCTION("""COMPUTED_VALUE"""),2025)</f>
        <v>2025</v>
      </c>
      <c r="C1263" s="6">
        <f ca="1">IFERROR(__xludf.DUMMYFUNCTION("""COMPUTED_VALUE"""),10)</f>
        <v>10</v>
      </c>
      <c r="D1263" s="6" t="str">
        <f ca="1">IFERROR(__xludf.DUMMYFUNCTION("""COMPUTED_VALUE"""),"NO")</f>
        <v>NO</v>
      </c>
      <c r="E1263" s="6" t="str">
        <f ca="1">IFERROR(__xludf.DUMMYFUNCTION("""COMPUTED_VALUE"""),"Madrid- Canillas")</f>
        <v>Madrid- Canillas</v>
      </c>
      <c r="F1263" s="16">
        <f ca="1">IFERROR(__xludf.DUMMYFUNCTION("""COMPUTED_VALUE"""),45944)</f>
        <v>45944</v>
      </c>
      <c r="G1263" s="16">
        <f ca="1">IFERROR(__xludf.DUMMYFUNCTION("""COMPUTED_VALUE"""),45922)</f>
        <v>45922</v>
      </c>
      <c r="H1263" s="6" t="str">
        <f ca="1">IFERROR(__xludf.DUMMYFUNCTION("""COMPUTED_VALUE"""),"Canillas")</f>
        <v>Canillas</v>
      </c>
      <c r="I1263" s="6" t="str">
        <f ca="1">IFERROR(__xludf.DUMMYFUNCTION("""COMPUTED_VALUE"""),"C202592510263486")</f>
        <v>C202592510263486</v>
      </c>
      <c r="J1263" s="6" t="str">
        <f ca="1">IFERROR(__xludf.DUMMYFUNCTION("""COMPUTED_VALUE"""),"ALICIA RANZ CALDERÓN")</f>
        <v>ALICIA RANZ CALDERÓN</v>
      </c>
      <c r="K1263" s="6">
        <f ca="1">IFERROR(__xludf.DUMMYFUNCTION("""COMPUTED_VALUE"""),2)</f>
        <v>2</v>
      </c>
      <c r="L1263" s="139">
        <f ca="1">IFERROR(__xludf.DUMMYFUNCTION("""COMPUTED_VALUE"""),4536.36)</f>
        <v>4536.3599999999997</v>
      </c>
      <c r="M1263" s="6" t="str">
        <f ca="1">IFERROR(__xludf.DUMMYFUNCTION("""COMPUTED_VALUE"""),"03 ORL")</f>
        <v>03 ORL</v>
      </c>
      <c r="N1263" s="6" t="str">
        <f ca="1">IFERROR(__xludf.DUMMYFUNCTION("""COMPUTED_VALUE"""),"06 ORL")</f>
        <v>06 ORL</v>
      </c>
      <c r="O1263" s="6" t="str">
        <f ca="1">IFERROR(__xludf.DUMMYFUNCTION("""COMPUTED_VALUE"""),"Dra, Helena Moreno Pardo")</f>
        <v>Dra, Helena Moreno Pardo</v>
      </c>
      <c r="P1263" s="6" t="str">
        <f ca="1">IFERROR(__xludf.DUMMYFUNCTION("""COMPUTED_VALUE"""),"Maika Blázquez (Madrid)")</f>
        <v>Maika Blázquez (Madrid)</v>
      </c>
    </row>
    <row r="1264" spans="2:16">
      <c r="B1264" s="6">
        <f ca="1">IFERROR(__xludf.DUMMYFUNCTION("""COMPUTED_VALUE"""),2025)</f>
        <v>2025</v>
      </c>
      <c r="C1264" s="6">
        <f ca="1">IFERROR(__xludf.DUMMYFUNCTION("""COMPUTED_VALUE"""),10)</f>
        <v>10</v>
      </c>
      <c r="D1264" s="6" t="str">
        <f ca="1">IFERROR(__xludf.DUMMYFUNCTION("""COMPUTED_VALUE"""),"NO")</f>
        <v>NO</v>
      </c>
      <c r="E1264" s="6" t="str">
        <f ca="1">IFERROR(__xludf.DUMMYFUNCTION("""COMPUTED_VALUE"""),"San Javier")</f>
        <v>San Javier</v>
      </c>
      <c r="F1264" s="16">
        <f ca="1">IFERROR(__xludf.DUMMYFUNCTION("""COMPUTED_VALUE"""),45944)</f>
        <v>45944</v>
      </c>
      <c r="G1264" s="16">
        <f ca="1">IFERROR(__xludf.DUMMYFUNCTION("""COMPUTED_VALUE"""),44634)</f>
        <v>44634</v>
      </c>
      <c r="H1264" s="6" t="str">
        <f ca="1">IFERROR(__xludf.DUMMYFUNCTION("""COMPUTED_VALUE"""),"San Javier")</f>
        <v>San Javier</v>
      </c>
      <c r="I1264" s="6" t="str">
        <f ca="1">IFERROR(__xludf.DUMMYFUNCTION("""COMPUTED_VALUE"""),"MSJ-24")</f>
        <v>MSJ-24</v>
      </c>
      <c r="J1264" s="6" t="str">
        <f ca="1">IFERROR(__xludf.DUMMYFUNCTION("""COMPUTED_VALUE"""),"DOLORES JIMENEZ GARCIA")</f>
        <v>DOLORES JIMENEZ GARCIA</v>
      </c>
      <c r="K1264" s="6">
        <f ca="1">IFERROR(__xludf.DUMMYFUNCTION("""COMPUTED_VALUE"""),2)</f>
        <v>2</v>
      </c>
      <c r="L1264" s="139">
        <f ca="1">IFERROR(__xludf.DUMMYFUNCTION("""COMPUTED_VALUE"""),3631.82)</f>
        <v>3631.82</v>
      </c>
      <c r="M1264" s="6" t="str">
        <f ca="1">IFERROR(__xludf.DUMMYFUNCTION("""COMPUTED_VALUE"""),"01 MARKETING ON LINE")</f>
        <v>01 MARKETING ON LINE</v>
      </c>
      <c r="N1264" s="6" t="str">
        <f ca="1">IFERROR(__xludf.DUMMYFUNCTION("""COMPUTED_VALUE"""),"04 AUDIFONO,ES")</f>
        <v>04 AUDIFONO,ES</v>
      </c>
      <c r="O1264" s="6" t="str">
        <f ca="1">IFERROR(__xludf.DUMMYFUNCTION("""COMPUTED_VALUE"""),"No recuerda ORL")</f>
        <v>No recuerda ORL</v>
      </c>
      <c r="P1264" s="6" t="str">
        <f ca="1">IFERROR(__xludf.DUMMYFUNCTION("""COMPUTED_VALUE"""),"Iván Sánchez (Levante Y Albacete)")</f>
        <v>Iván Sánchez (Levante Y Albacete)</v>
      </c>
    </row>
    <row r="1265" spans="2:16">
      <c r="B1265" s="6">
        <f ca="1">IFERROR(__xludf.DUMMYFUNCTION("""COMPUTED_VALUE"""),2025)</f>
        <v>2025</v>
      </c>
      <c r="C1265" s="6">
        <f ca="1">IFERROR(__xludf.DUMMYFUNCTION("""COMPUTED_VALUE"""),10)</f>
        <v>10</v>
      </c>
      <c r="D1265" s="6" t="str">
        <f ca="1">IFERROR(__xludf.DUMMYFUNCTION("""COMPUTED_VALUE"""),"NO")</f>
        <v>NO</v>
      </c>
      <c r="E1265" s="6" t="str">
        <f ca="1">IFERROR(__xludf.DUMMYFUNCTION("""COMPUTED_VALUE"""),"Ponferrada")</f>
        <v>Ponferrada</v>
      </c>
      <c r="F1265" s="16">
        <f ca="1">IFERROR(__xludf.DUMMYFUNCTION("""COMPUTED_VALUE"""),45945)</f>
        <v>45945</v>
      </c>
      <c r="G1265" s="16">
        <f ca="1">IFERROR(__xludf.DUMMYFUNCTION("""COMPUTED_VALUE"""),44641)</f>
        <v>44641</v>
      </c>
      <c r="H1265" s="6" t="str">
        <f ca="1">IFERROR(__xludf.DUMMYFUNCTION("""COMPUTED_VALUE"""),"Ponferrada")</f>
        <v>Ponferrada</v>
      </c>
      <c r="I1265" s="6" t="str">
        <f ca="1">IFERROR(__xludf.DUMMYFUNCTION("""COMPUTED_VALUE"""),"PON-269")</f>
        <v>PON-269</v>
      </c>
      <c r="J1265" s="6" t="str">
        <f ca="1">IFERROR(__xludf.DUMMYFUNCTION("""COMPUTED_VALUE"""),"ADELA APARICIO TASCON")</f>
        <v>ADELA APARICIO TASCON</v>
      </c>
      <c r="K1265" s="6">
        <f ca="1">IFERROR(__xludf.DUMMYFUNCTION("""COMPUTED_VALUE"""),1)</f>
        <v>1</v>
      </c>
      <c r="L1265" s="139">
        <f ca="1">IFERROR(__xludf.DUMMYFUNCTION("""COMPUTED_VALUE"""),1545.45)</f>
        <v>1545.45</v>
      </c>
      <c r="M1265" s="6" t="str">
        <f ca="1">IFERROR(__xludf.DUMMYFUNCTION("""COMPUTED_VALUE"""),"03 ORL")</f>
        <v>03 ORL</v>
      </c>
      <c r="N1265" s="6" t="str">
        <f ca="1">IFERROR(__xludf.DUMMYFUNCTION("""COMPUTED_VALUE"""),"06 ORL")</f>
        <v>06 ORL</v>
      </c>
      <c r="O1265" s="6" t="str">
        <f ca="1">IFERROR(__xludf.DUMMYFUNCTION("""COMPUTED_VALUE"""),"Dra, Mónica Granda Rosales")</f>
        <v>Dra, Mónica Granda Rosales</v>
      </c>
      <c r="P1265" s="6" t="str">
        <f ca="1">IFERROR(__xludf.DUMMYFUNCTION("""COMPUTED_VALUE"""),"Alberto Moreno (Madrid)")</f>
        <v>Alberto Moreno (Madrid)</v>
      </c>
    </row>
    <row r="1266" spans="2:16">
      <c r="B1266" s="6">
        <f ca="1">IFERROR(__xludf.DUMMYFUNCTION("""COMPUTED_VALUE"""),2025)</f>
        <v>2025</v>
      </c>
      <c r="C1266" s="6">
        <f ca="1">IFERROR(__xludf.DUMMYFUNCTION("""COMPUTED_VALUE"""),10)</f>
        <v>10</v>
      </c>
      <c r="D1266" s="6" t="str">
        <f ca="1">IFERROR(__xludf.DUMMYFUNCTION("""COMPUTED_VALUE"""),"NO")</f>
        <v>NO</v>
      </c>
      <c r="E1266" s="6" t="str">
        <f ca="1">IFERROR(__xludf.DUMMYFUNCTION("""COMPUTED_VALUE"""),"Salamanca")</f>
        <v>Salamanca</v>
      </c>
      <c r="F1266" s="16">
        <f ca="1">IFERROR(__xludf.DUMMYFUNCTION("""COMPUTED_VALUE"""),45945)</f>
        <v>45945</v>
      </c>
      <c r="G1266" s="16">
        <f ca="1">IFERROR(__xludf.DUMMYFUNCTION("""COMPUTED_VALUE"""),45898)</f>
        <v>45898</v>
      </c>
      <c r="H1266" s="6" t="str">
        <f ca="1">IFERROR(__xludf.DUMMYFUNCTION("""COMPUTED_VALUE"""),"Salamanca")</f>
        <v>Salamanca</v>
      </c>
      <c r="I1266" s="6" t="str">
        <f ca="1">IFERROR(__xludf.DUMMYFUNCTION("""COMPUTED_VALUE"""),"SLM-608")</f>
        <v>SLM-608</v>
      </c>
      <c r="J1266" s="6" t="str">
        <f ca="1">IFERROR(__xludf.DUMMYFUNCTION("""COMPUTED_VALUE"""),"ANGELA DE LUIS BARBA")</f>
        <v>ANGELA DE LUIS BARBA</v>
      </c>
      <c r="K1266" s="6">
        <f ca="1">IFERROR(__xludf.DUMMYFUNCTION("""COMPUTED_VALUE"""),2)</f>
        <v>2</v>
      </c>
      <c r="L1266" s="139">
        <f ca="1">IFERROR(__xludf.DUMMYFUNCTION("""COMPUTED_VALUE"""),4120)</f>
        <v>4120</v>
      </c>
      <c r="M1266" s="6" t="str">
        <f ca="1">IFERROR(__xludf.DUMMYFUNCTION("""COMPUTED_VALUE"""),"03 ORL")</f>
        <v>03 ORL</v>
      </c>
      <c r="N1266" s="6" t="str">
        <f ca="1">IFERROR(__xludf.DUMMYFUNCTION("""COMPUTED_VALUE"""),"06 ORL")</f>
        <v>06 ORL</v>
      </c>
      <c r="O1266" s="6" t="str">
        <f ca="1">IFERROR(__xludf.DUMMYFUNCTION("""COMPUTED_VALUE"""),"No Recuerda Orl")</f>
        <v>No Recuerda Orl</v>
      </c>
      <c r="P1266" s="6" t="str">
        <f ca="1">IFERROR(__xludf.DUMMYFUNCTION("""COMPUTED_VALUE"""),"Alberto Moreno (Madrid)")</f>
        <v>Alberto Moreno (Madrid)</v>
      </c>
    </row>
    <row r="1267" spans="2:16">
      <c r="B1267" s="6">
        <f ca="1">IFERROR(__xludf.DUMMYFUNCTION("""COMPUTED_VALUE"""),2025)</f>
        <v>2025</v>
      </c>
      <c r="C1267" s="6">
        <f ca="1">IFERROR(__xludf.DUMMYFUNCTION("""COMPUTED_VALUE"""),10)</f>
        <v>10</v>
      </c>
      <c r="D1267" s="6" t="str">
        <f ca="1">IFERROR(__xludf.DUMMYFUNCTION("""COMPUTED_VALUE"""),"NO")</f>
        <v>NO</v>
      </c>
      <c r="E1267" s="6" t="str">
        <f ca="1">IFERROR(__xludf.DUMMYFUNCTION("""COMPUTED_VALUE"""),"Madrid- La Oca")</f>
        <v>Madrid- La Oca</v>
      </c>
      <c r="F1267" s="16">
        <f ca="1">IFERROR(__xludf.DUMMYFUNCTION("""COMPUTED_VALUE"""),45945)</f>
        <v>45945</v>
      </c>
      <c r="G1267" s="16">
        <f ca="1">IFERROR(__xludf.DUMMYFUNCTION("""COMPUTED_VALUE"""),45917)</f>
        <v>45917</v>
      </c>
      <c r="H1267" s="6" t="str">
        <f ca="1">IFERROR(__xludf.DUMMYFUNCTION("""COMPUTED_VALUE"""),"La Oca")</f>
        <v>La Oca</v>
      </c>
      <c r="I1267" s="6" t="str">
        <f ca="1">IFERROR(__xludf.DUMMYFUNCTION("""COMPUTED_VALUE"""),"C2025918105043295")</f>
        <v>C2025918105043295</v>
      </c>
      <c r="J1267" s="6" t="str">
        <f ca="1">IFERROR(__xludf.DUMMYFUNCTION("""COMPUTED_VALUE"""),"MARIA PILAR RODRIGUEZ PACHECO")</f>
        <v>MARIA PILAR RODRIGUEZ PACHECO</v>
      </c>
      <c r="K1267" s="6">
        <f ca="1">IFERROR(__xludf.DUMMYFUNCTION("""COMPUTED_VALUE"""),2)</f>
        <v>2</v>
      </c>
      <c r="L1267" s="139">
        <f ca="1">IFERROR(__xludf.DUMMYFUNCTION("""COMPUTED_VALUE"""),4136.36)</f>
        <v>4136.3599999999997</v>
      </c>
      <c r="M1267" s="6" t="str">
        <f ca="1">IFERROR(__xludf.DUMMYFUNCTION("""COMPUTED_VALUE"""),"03 ORL")</f>
        <v>03 ORL</v>
      </c>
      <c r="N1267" s="6" t="str">
        <f ca="1">IFERROR(__xludf.DUMMYFUNCTION("""COMPUTED_VALUE"""),"06 ORL")</f>
        <v>06 ORL</v>
      </c>
      <c r="O1267" s="6" t="str">
        <f ca="1">IFERROR(__xludf.DUMMYFUNCTION("""COMPUTED_VALUE"""),"Dr, José Joaquín Gutiérrez Barquín")</f>
        <v>Dr, José Joaquín Gutiérrez Barquín</v>
      </c>
      <c r="P1267" s="6" t="str">
        <f ca="1">IFERROR(__xludf.DUMMYFUNCTION("""COMPUTED_VALUE"""),"Maika Blázquez (Madrid)")</f>
        <v>Maika Blázquez (Madrid)</v>
      </c>
    </row>
    <row r="1268" spans="2:16">
      <c r="B1268" s="6">
        <f ca="1">IFERROR(__xludf.DUMMYFUNCTION("""COMPUTED_VALUE"""),2025)</f>
        <v>2025</v>
      </c>
      <c r="C1268" s="6">
        <f ca="1">IFERROR(__xludf.DUMMYFUNCTION("""COMPUTED_VALUE"""),10)</f>
        <v>10</v>
      </c>
      <c r="D1268" s="6" t="str">
        <f ca="1">IFERROR(__xludf.DUMMYFUNCTION("""COMPUTED_VALUE"""),"NO")</f>
        <v>NO</v>
      </c>
      <c r="E1268" s="6" t="str">
        <f ca="1">IFERROR(__xludf.DUMMYFUNCTION("""COMPUTED_VALUE"""),"Murcia")</f>
        <v>Murcia</v>
      </c>
      <c r="F1268" s="16">
        <f ca="1">IFERROR(__xludf.DUMMYFUNCTION("""COMPUTED_VALUE"""),45945)</f>
        <v>45945</v>
      </c>
      <c r="G1268" s="16">
        <f ca="1">IFERROR(__xludf.DUMMYFUNCTION("""COMPUTED_VALUE"""),45902)</f>
        <v>45902</v>
      </c>
      <c r="H1268" s="6" t="str">
        <f ca="1">IFERROR(__xludf.DUMMYFUNCTION("""COMPUTED_VALUE"""),"Murcia")</f>
        <v>Murcia</v>
      </c>
      <c r="I1268" s="6" t="str">
        <f ca="1">IFERROR(__xludf.DUMMYFUNCTION("""COMPUTED_VALUE"""),"C202594113750263")</f>
        <v>C202594113750263</v>
      </c>
      <c r="J1268" s="6" t="str">
        <f ca="1">IFERROR(__xludf.DUMMYFUNCTION("""COMPUTED_VALUE"""),"MARIA JOSE ROSAS SANCHEZ")</f>
        <v>MARIA JOSE ROSAS SANCHEZ</v>
      </c>
      <c r="K1268" s="6">
        <f ca="1">IFERROR(__xludf.DUMMYFUNCTION("""COMPUTED_VALUE"""),2)</f>
        <v>2</v>
      </c>
      <c r="L1268" s="139">
        <f ca="1">IFERROR(__xludf.DUMMYFUNCTION("""COMPUTED_VALUE"""),4536.36)</f>
        <v>4536.3599999999997</v>
      </c>
      <c r="M1268" s="6" t="str">
        <f ca="1">IFERROR(__xludf.DUMMYFUNCTION("""COMPUTED_VALUE"""),"03 ORL")</f>
        <v>03 ORL</v>
      </c>
      <c r="N1268" s="6" t="str">
        <f ca="1">IFERROR(__xludf.DUMMYFUNCTION("""COMPUTED_VALUE"""),"06 ORL")</f>
        <v>06 ORL</v>
      </c>
      <c r="O1268" s="6" t="str">
        <f ca="1">IFERROR(__xludf.DUMMYFUNCTION("""COMPUTED_VALUE"""),"Dra, Nuria Salas Barrio")</f>
        <v>Dra, Nuria Salas Barrio</v>
      </c>
      <c r="P1268" s="6" t="str">
        <f ca="1">IFERROR(__xludf.DUMMYFUNCTION("""COMPUTED_VALUE"""),"Iván Sánchez (Levante Y Albacete)")</f>
        <v>Iván Sánchez (Levante Y Albacete)</v>
      </c>
    </row>
    <row r="1269" spans="2:16">
      <c r="B1269" s="6">
        <f ca="1">IFERROR(__xludf.DUMMYFUNCTION("""COMPUTED_VALUE"""),2025)</f>
        <v>2025</v>
      </c>
      <c r="C1269" s="6">
        <f ca="1">IFERROR(__xludf.DUMMYFUNCTION("""COMPUTED_VALUE"""),10)</f>
        <v>10</v>
      </c>
      <c r="D1269" s="6" t="str">
        <f ca="1">IFERROR(__xludf.DUMMYFUNCTION("""COMPUTED_VALUE"""),"NO")</f>
        <v>NO</v>
      </c>
      <c r="E1269" s="6" t="str">
        <f ca="1">IFERROR(__xludf.DUMMYFUNCTION("""COMPUTED_VALUE"""),"Madrid- Canillas")</f>
        <v>Madrid- Canillas</v>
      </c>
      <c r="F1269" s="16">
        <f ca="1">IFERROR(__xludf.DUMMYFUNCTION("""COMPUTED_VALUE"""),45945)</f>
        <v>45945</v>
      </c>
      <c r="G1269" s="16">
        <f ca="1">IFERROR(__xludf.DUMMYFUNCTION("""COMPUTED_VALUE"""),45440)</f>
        <v>45440</v>
      </c>
      <c r="H1269" s="6" t="str">
        <f ca="1">IFERROR(__xludf.DUMMYFUNCTION("""COMPUTED_VALUE"""),"Canillas")</f>
        <v>Canillas</v>
      </c>
      <c r="I1269" s="6" t="str">
        <f ca="1">IFERROR(__xludf.DUMMYFUNCTION("""COMPUTED_VALUE"""),"HOR-2217")</f>
        <v>HOR-2217</v>
      </c>
      <c r="J1269" s="6" t="str">
        <f ca="1">IFERROR(__xludf.DUMMYFUNCTION("""COMPUTED_VALUE"""),"GUADALUPE HOLGADO POLO")</f>
        <v>GUADALUPE HOLGADO POLO</v>
      </c>
      <c r="K1269" s="6">
        <f ca="1">IFERROR(__xludf.DUMMYFUNCTION("""COMPUTED_VALUE"""),-2)</f>
        <v>-2</v>
      </c>
      <c r="L1269" s="139">
        <f ca="1">IFERROR(__xludf.DUMMYFUNCTION("""COMPUTED_VALUE"""),-3709.62)</f>
        <v>-3709.62</v>
      </c>
      <c r="M1269" s="6" t="str">
        <f ca="1">IFERROR(__xludf.DUMMYFUNCTION("""COMPUTED_VALUE"""),"03 ORL")</f>
        <v>03 ORL</v>
      </c>
      <c r="N1269" s="6" t="str">
        <f ca="1">IFERROR(__xludf.DUMMYFUNCTION("""COMPUTED_VALUE"""),"06 ORL")</f>
        <v>06 ORL</v>
      </c>
      <c r="O1269" s="6" t="str">
        <f ca="1">IFERROR(__xludf.DUMMYFUNCTION("""COMPUTED_VALUE"""),"Dr, José Gustavo Barroso Braojos")</f>
        <v>Dr, José Gustavo Barroso Braojos</v>
      </c>
      <c r="P1269" s="6" t="str">
        <f ca="1">IFERROR(__xludf.DUMMYFUNCTION("""COMPUTED_VALUE"""),"Maika Blázquez (Madrid)")</f>
        <v>Maika Blázquez (Madrid)</v>
      </c>
    </row>
    <row r="1270" spans="2:16">
      <c r="B1270" s="6">
        <f ca="1">IFERROR(__xludf.DUMMYFUNCTION("""COMPUTED_VALUE"""),2025)</f>
        <v>2025</v>
      </c>
      <c r="C1270" s="6">
        <f ca="1">IFERROR(__xludf.DUMMYFUNCTION("""COMPUTED_VALUE"""),10)</f>
        <v>10</v>
      </c>
      <c r="D1270" s="6" t="str">
        <f ca="1">IFERROR(__xludf.DUMMYFUNCTION("""COMPUTED_VALUE"""),"NO")</f>
        <v>NO</v>
      </c>
      <c r="E1270" s="6" t="str">
        <f ca="1">IFERROR(__xludf.DUMMYFUNCTION("""COMPUTED_VALUE"""),"Almería")</f>
        <v>Almería</v>
      </c>
      <c r="F1270" s="16">
        <f ca="1">IFERROR(__xludf.DUMMYFUNCTION("""COMPUTED_VALUE"""),45945)</f>
        <v>45945</v>
      </c>
      <c r="G1270" s="16">
        <f ca="1">IFERROR(__xludf.DUMMYFUNCTION("""COMPUTED_VALUE"""),45915)</f>
        <v>45915</v>
      </c>
      <c r="H1270" s="6" t="str">
        <f ca="1">IFERROR(__xludf.DUMMYFUNCTION("""COMPUTED_VALUE"""),"Almería")</f>
        <v>Almería</v>
      </c>
      <c r="I1270" s="6" t="str">
        <f ca="1">IFERROR(__xludf.DUMMYFUNCTION("""COMPUTED_VALUE"""),"C202591617956595")</f>
        <v>C202591617956595</v>
      </c>
      <c r="J1270" s="6" t="str">
        <f ca="1">IFERROR(__xludf.DUMMYFUNCTION("""COMPUTED_VALUE"""),"RAFAELA DELIA SEGURA MARTINEZ")</f>
        <v>RAFAELA DELIA SEGURA MARTINEZ</v>
      </c>
      <c r="K1270" s="6">
        <f ca="1">IFERROR(__xludf.DUMMYFUNCTION("""COMPUTED_VALUE"""),2)</f>
        <v>2</v>
      </c>
      <c r="L1270" s="139">
        <f ca="1">IFERROR(__xludf.DUMMYFUNCTION("""COMPUTED_VALUE"""),3631.82)</f>
        <v>3631.82</v>
      </c>
      <c r="M1270" s="6" t="str">
        <f ca="1">IFERROR(__xludf.DUMMYFUNCTION("""COMPUTED_VALUE"""),"03 ORL")</f>
        <v>03 ORL</v>
      </c>
      <c r="N1270" s="6" t="str">
        <f ca="1">IFERROR(__xludf.DUMMYFUNCTION("""COMPUTED_VALUE"""),"06 ORL")</f>
        <v>06 ORL</v>
      </c>
      <c r="O1270" s="6" t="str">
        <f ca="1">IFERROR(__xludf.DUMMYFUNCTION("""COMPUTED_VALUE"""),"Dr, Manuel Segundo Gómez Fiñana")</f>
        <v>Dr, Manuel Segundo Gómez Fiñana</v>
      </c>
      <c r="P1270" s="6" t="str">
        <f ca="1">IFERROR(__xludf.DUMMYFUNCTION("""COMPUTED_VALUE"""),"Ramon Ferrando(Valencia)")</f>
        <v>Ramon Ferrando(Valencia)</v>
      </c>
    </row>
    <row r="1271" spans="2:16">
      <c r="B1271" s="6">
        <f ca="1">IFERROR(__xludf.DUMMYFUNCTION("""COMPUTED_VALUE"""),2025)</f>
        <v>2025</v>
      </c>
      <c r="C1271" s="6">
        <f ca="1">IFERROR(__xludf.DUMMYFUNCTION("""COMPUTED_VALUE"""),10)</f>
        <v>10</v>
      </c>
      <c r="D1271" s="6" t="str">
        <f ca="1">IFERROR(__xludf.DUMMYFUNCTION("""COMPUTED_VALUE"""),"NO")</f>
        <v>NO</v>
      </c>
      <c r="E1271" s="6" t="str">
        <f ca="1">IFERROR(__xludf.DUMMYFUNCTION("""COMPUTED_VALUE"""),"León")</f>
        <v>León</v>
      </c>
      <c r="F1271" s="16">
        <f ca="1">IFERROR(__xludf.DUMMYFUNCTION("""COMPUTED_VALUE"""),45946)</f>
        <v>45946</v>
      </c>
      <c r="G1271" s="16">
        <f ca="1">IFERROR(__xludf.DUMMYFUNCTION("""COMPUTED_VALUE"""),45932)</f>
        <v>45932</v>
      </c>
      <c r="H1271" s="6" t="str">
        <f ca="1">IFERROR(__xludf.DUMMYFUNCTION("""COMPUTED_VALUE"""),"León")</f>
        <v>León</v>
      </c>
      <c r="I1271" s="6" t="str">
        <f ca="1">IFERROR(__xludf.DUMMYFUNCTION("""COMPUTED_VALUE"""),"LEO-546")</f>
        <v>LEO-546</v>
      </c>
      <c r="J1271" s="6" t="str">
        <f ca="1">IFERROR(__xludf.DUMMYFUNCTION("""COMPUTED_VALUE"""),"JAVIER ALEJANDRO CIVERA SANCHEZ")</f>
        <v>JAVIER ALEJANDRO CIVERA SANCHEZ</v>
      </c>
      <c r="K1271" s="6">
        <f ca="1">IFERROR(__xludf.DUMMYFUNCTION("""COMPUTED_VALUE"""),2)</f>
        <v>2</v>
      </c>
      <c r="L1271" s="139">
        <f ca="1">IFERROR(__xludf.DUMMYFUNCTION("""COMPUTED_VALUE"""),4090.91)</f>
        <v>4090.91</v>
      </c>
      <c r="M1271" s="6" t="str">
        <f ca="1">IFERROR(__xludf.DUMMYFUNCTION("""COMPUTED_VALUE"""),"03 ORL")</f>
        <v>03 ORL</v>
      </c>
      <c r="N1271" s="6" t="str">
        <f ca="1">IFERROR(__xludf.DUMMYFUNCTION("""COMPUTED_VALUE"""),"06 ORL")</f>
        <v>06 ORL</v>
      </c>
      <c r="O1271" s="6" t="str">
        <f ca="1">IFERROR(__xludf.DUMMYFUNCTION("""COMPUTED_VALUE"""),"Dr, Rafael Pérez González")</f>
        <v>Dr, Rafael Pérez González</v>
      </c>
      <c r="P1271" s="6" t="str">
        <f ca="1">IFERROR(__xludf.DUMMYFUNCTION("""COMPUTED_VALUE"""),"Alberto Moreno (Madrid)")</f>
        <v>Alberto Moreno (Madrid)</v>
      </c>
    </row>
    <row r="1272" spans="2:16">
      <c r="B1272" s="6">
        <f ca="1">IFERROR(__xludf.DUMMYFUNCTION("""COMPUTED_VALUE"""),2025)</f>
        <v>2025</v>
      </c>
      <c r="C1272" s="6">
        <f ca="1">IFERROR(__xludf.DUMMYFUNCTION("""COMPUTED_VALUE"""),10)</f>
        <v>10</v>
      </c>
      <c r="D1272" s="6" t="str">
        <f ca="1">IFERROR(__xludf.DUMMYFUNCTION("""COMPUTED_VALUE"""),"NO")</f>
        <v>NO</v>
      </c>
      <c r="E1272" s="6" t="str">
        <f ca="1">IFERROR(__xludf.DUMMYFUNCTION("""COMPUTED_VALUE"""),"León")</f>
        <v>León</v>
      </c>
      <c r="F1272" s="16">
        <f ca="1">IFERROR(__xludf.DUMMYFUNCTION("""COMPUTED_VALUE"""),45946)</f>
        <v>45946</v>
      </c>
      <c r="G1272" s="16">
        <f ca="1">IFERROR(__xludf.DUMMYFUNCTION("""COMPUTED_VALUE"""),45917)</f>
        <v>45917</v>
      </c>
      <c r="H1272" s="6" t="str">
        <f ca="1">IFERROR(__xludf.DUMMYFUNCTION("""COMPUTED_VALUE"""),"León")</f>
        <v>León</v>
      </c>
      <c r="I1272" s="6" t="str">
        <f ca="1">IFERROR(__xludf.DUMMYFUNCTION("""COMPUTED_VALUE"""),"LEO-533")</f>
        <v>LEO-533</v>
      </c>
      <c r="J1272" s="6" t="str">
        <f ca="1">IFERROR(__xludf.DUMMYFUNCTION("""COMPUTED_VALUE"""),"MARIA AMPARO CHICO PRESA")</f>
        <v>MARIA AMPARO CHICO PRESA</v>
      </c>
      <c r="K1272" s="6">
        <f ca="1">IFERROR(__xludf.DUMMYFUNCTION("""COMPUTED_VALUE"""),2)</f>
        <v>2</v>
      </c>
      <c r="L1272" s="139">
        <f ca="1">IFERROR(__xludf.DUMMYFUNCTION("""COMPUTED_VALUE"""),2272.73)</f>
        <v>2272.73</v>
      </c>
      <c r="M1272" s="6" t="str">
        <f ca="1">IFERROR(__xludf.DUMMYFUNCTION("""COMPUTED_VALUE"""),"03 ORL")</f>
        <v>03 ORL</v>
      </c>
      <c r="N1272" s="6" t="str">
        <f ca="1">IFERROR(__xludf.DUMMYFUNCTION("""COMPUTED_VALUE"""),"06 ORL")</f>
        <v>06 ORL</v>
      </c>
      <c r="O1272" s="6" t="str">
        <f ca="1">IFERROR(__xludf.DUMMYFUNCTION("""COMPUTED_VALUE"""),"Dr, Rafael Pérez González")</f>
        <v>Dr, Rafael Pérez González</v>
      </c>
      <c r="P1272" s="6" t="str">
        <f ca="1">IFERROR(__xludf.DUMMYFUNCTION("""COMPUTED_VALUE"""),"Alberto Moreno (Madrid)")</f>
        <v>Alberto Moreno (Madrid)</v>
      </c>
    </row>
    <row r="1273" spans="2:16">
      <c r="B1273" s="6">
        <f ca="1">IFERROR(__xludf.DUMMYFUNCTION("""COMPUTED_VALUE"""),2025)</f>
        <v>2025</v>
      </c>
      <c r="C1273" s="6">
        <f ca="1">IFERROR(__xludf.DUMMYFUNCTION("""COMPUTED_VALUE"""),10)</f>
        <v>10</v>
      </c>
      <c r="D1273" s="6" t="str">
        <f ca="1">IFERROR(__xludf.DUMMYFUNCTION("""COMPUTED_VALUE"""),"NO")</f>
        <v>NO</v>
      </c>
      <c r="E1273" s="6" t="str">
        <f ca="1">IFERROR(__xludf.DUMMYFUNCTION("""COMPUTED_VALUE"""),"Madrid- Juan Bravo")</f>
        <v>Madrid- Juan Bravo</v>
      </c>
      <c r="F1273" s="16">
        <f ca="1">IFERROR(__xludf.DUMMYFUNCTION("""COMPUTED_VALUE"""),45946)</f>
        <v>45946</v>
      </c>
      <c r="G1273" s="16">
        <f ca="1">IFERROR(__xludf.DUMMYFUNCTION("""COMPUTED_VALUE"""),45911)</f>
        <v>45911</v>
      </c>
      <c r="H1273" s="6" t="str">
        <f ca="1">IFERROR(__xludf.DUMMYFUNCTION("""COMPUTED_VALUE"""),"Juan Bravo")</f>
        <v>Juan Bravo</v>
      </c>
      <c r="I1273" s="6" t="str">
        <f ca="1">IFERROR(__xludf.DUMMYFUNCTION("""COMPUTED_VALUE"""),"C2025917181115675")</f>
        <v>C2025917181115675</v>
      </c>
      <c r="J1273" s="6" t="str">
        <f ca="1">IFERROR(__xludf.DUMMYFUNCTION("""COMPUTED_VALUE"""),"CIRIACO SANZ NAVIO")</f>
        <v>CIRIACO SANZ NAVIO</v>
      </c>
      <c r="K1273" s="6">
        <f ca="1">IFERROR(__xludf.DUMMYFUNCTION("""COMPUTED_VALUE"""),2)</f>
        <v>2</v>
      </c>
      <c r="L1273" s="139">
        <f ca="1">IFERROR(__xludf.DUMMYFUNCTION("""COMPUTED_VALUE"""),3450.22)</f>
        <v>3450.22</v>
      </c>
      <c r="M1273" s="6" t="str">
        <f ca="1">IFERROR(__xludf.DUMMYFUNCTION("""COMPUTED_VALUE"""),"03 ORL")</f>
        <v>03 ORL</v>
      </c>
      <c r="N1273" s="6" t="str">
        <f ca="1">IFERROR(__xludf.DUMMYFUNCTION("""COMPUTED_VALUE"""),"06 ORL")</f>
        <v>06 ORL</v>
      </c>
      <c r="O1273" s="6" t="str">
        <f ca="1">IFERROR(__xludf.DUMMYFUNCTION("""COMPUTED_VALUE"""),"Dr, Carlos Barajas del Rosal")</f>
        <v>Dr, Carlos Barajas del Rosal</v>
      </c>
      <c r="P1273" s="6" t="str">
        <f ca="1">IFERROR(__xludf.DUMMYFUNCTION("""COMPUTED_VALUE"""),"Lisandro Russian (Madrid, Cáceres, Toledo, Talavera Y Logroño)")</f>
        <v>Lisandro Russian (Madrid, Cáceres, Toledo, Talavera Y Logroño)</v>
      </c>
    </row>
    <row r="1274" spans="2:16">
      <c r="B1274" s="6">
        <f ca="1">IFERROR(__xludf.DUMMYFUNCTION("""COMPUTED_VALUE"""),2025)</f>
        <v>2025</v>
      </c>
      <c r="C1274" s="6">
        <f ca="1">IFERROR(__xludf.DUMMYFUNCTION("""COMPUTED_VALUE"""),10)</f>
        <v>10</v>
      </c>
      <c r="D1274" s="6" t="str">
        <f ca="1">IFERROR(__xludf.DUMMYFUNCTION("""COMPUTED_VALUE"""),"NO")</f>
        <v>NO</v>
      </c>
      <c r="E1274" s="6" t="str">
        <f ca="1">IFERROR(__xludf.DUMMYFUNCTION("""COMPUTED_VALUE"""),"Alcorcón")</f>
        <v>Alcorcón</v>
      </c>
      <c r="F1274" s="16">
        <f ca="1">IFERROR(__xludf.DUMMYFUNCTION("""COMPUTED_VALUE"""),45946)</f>
        <v>45946</v>
      </c>
      <c r="G1274" s="16">
        <f ca="1">IFERROR(__xludf.DUMMYFUNCTION("""COMPUTED_VALUE"""),45910)</f>
        <v>45910</v>
      </c>
      <c r="H1274" s="6" t="str">
        <f ca="1">IFERROR(__xludf.DUMMYFUNCTION("""COMPUTED_VALUE"""),"Alcorcón")</f>
        <v>Alcorcón</v>
      </c>
      <c r="I1274" s="6" t="str">
        <f ca="1">IFERROR(__xludf.DUMMYFUNCTION("""COMPUTED_VALUE"""),"C2025912124743909")</f>
        <v>C2025912124743909</v>
      </c>
      <c r="J1274" s="6" t="str">
        <f ca="1">IFERROR(__xludf.DUMMYFUNCTION("""COMPUTED_VALUE"""),"MARIA CONCEPCION GARROTE HERNANDEZ")</f>
        <v>MARIA CONCEPCION GARROTE HERNANDEZ</v>
      </c>
      <c r="K1274" s="6">
        <f ca="1">IFERROR(__xludf.DUMMYFUNCTION("""COMPUTED_VALUE"""),2)</f>
        <v>2</v>
      </c>
      <c r="L1274" s="139">
        <f ca="1">IFERROR(__xludf.DUMMYFUNCTION("""COMPUTED_VALUE"""),4136.36)</f>
        <v>4136.3599999999997</v>
      </c>
      <c r="M1274" s="6" t="str">
        <f ca="1">IFERROR(__xludf.DUMMYFUNCTION("""COMPUTED_VALUE"""),"03 ORL")</f>
        <v>03 ORL</v>
      </c>
      <c r="N1274" s="6" t="str">
        <f ca="1">IFERROR(__xludf.DUMMYFUNCTION("""COMPUTED_VALUE"""),"06 ORL")</f>
        <v>06 ORL</v>
      </c>
      <c r="O1274" s="6" t="str">
        <f ca="1">IFERROR(__xludf.DUMMYFUNCTION("""COMPUTED_VALUE"""),"Dr, Adolfo Toledano Muñoz")</f>
        <v>Dr, Adolfo Toledano Muñoz</v>
      </c>
      <c r="P1274" s="6" t="str">
        <f ca="1">IFERROR(__xludf.DUMMYFUNCTION("""COMPUTED_VALUE"""),"Maika Blázquez (Madrid)")</f>
        <v>Maika Blázquez (Madrid)</v>
      </c>
    </row>
    <row r="1275" spans="2:16">
      <c r="B1275" s="6">
        <f ca="1">IFERROR(__xludf.DUMMYFUNCTION("""COMPUTED_VALUE"""),2025)</f>
        <v>2025</v>
      </c>
      <c r="C1275" s="6">
        <f ca="1">IFERROR(__xludf.DUMMYFUNCTION("""COMPUTED_VALUE"""),10)</f>
        <v>10</v>
      </c>
      <c r="D1275" s="6" t="str">
        <f ca="1">IFERROR(__xludf.DUMMYFUNCTION("""COMPUTED_VALUE"""),"NO")</f>
        <v>NO</v>
      </c>
      <c r="E1275" s="6" t="str">
        <f ca="1">IFERROR(__xludf.DUMMYFUNCTION("""COMPUTED_VALUE"""),"Murcia")</f>
        <v>Murcia</v>
      </c>
      <c r="F1275" s="16">
        <f ca="1">IFERROR(__xludf.DUMMYFUNCTION("""COMPUTED_VALUE"""),45946)</f>
        <v>45946</v>
      </c>
      <c r="G1275" s="16">
        <f ca="1">IFERROR(__xludf.DUMMYFUNCTION("""COMPUTED_VALUE"""),45930)</f>
        <v>45930</v>
      </c>
      <c r="H1275" s="6" t="str">
        <f ca="1">IFERROR(__xludf.DUMMYFUNCTION("""COMPUTED_VALUE"""),"Murcia")</f>
        <v>Murcia</v>
      </c>
      <c r="I1275" s="6" t="str">
        <f ca="1">IFERROR(__xludf.DUMMYFUNCTION("""COMPUTED_VALUE"""),"C20251039749235")</f>
        <v>C20251039749235</v>
      </c>
      <c r="J1275" s="6" t="str">
        <f ca="1">IFERROR(__xludf.DUMMYFUNCTION("""COMPUTED_VALUE"""),"JOSEFA BELANDO GOMEZ")</f>
        <v>JOSEFA BELANDO GOMEZ</v>
      </c>
      <c r="K1275" s="6">
        <f ca="1">IFERROR(__xludf.DUMMYFUNCTION("""COMPUTED_VALUE"""),2)</f>
        <v>2</v>
      </c>
      <c r="L1275" s="139">
        <f ca="1">IFERROR(__xludf.DUMMYFUNCTION("""COMPUTED_VALUE"""),3631.81)</f>
        <v>3631.81</v>
      </c>
      <c r="M1275" s="6" t="str">
        <f ca="1">IFERROR(__xludf.DUMMYFUNCTION("""COMPUTED_VALUE"""),"03 ORL")</f>
        <v>03 ORL</v>
      </c>
      <c r="N1275" s="6" t="str">
        <f ca="1">IFERROR(__xludf.DUMMYFUNCTION("""COMPUTED_VALUE"""),"06 ORL")</f>
        <v>06 ORL</v>
      </c>
      <c r="O1275" s="6" t="str">
        <f ca="1">IFERROR(__xludf.DUMMYFUNCTION("""COMPUTED_VALUE"""),"Dr, Enrique Viviente Rodríguez")</f>
        <v>Dr, Enrique Viviente Rodríguez</v>
      </c>
      <c r="P1275" s="6" t="str">
        <f ca="1">IFERROR(__xludf.DUMMYFUNCTION("""COMPUTED_VALUE"""),"Iván Sánchez (Levante Y Albacete)")</f>
        <v>Iván Sánchez (Levante Y Albacete)</v>
      </c>
    </row>
    <row r="1276" spans="2:16">
      <c r="B1276" s="6">
        <f ca="1">IFERROR(__xludf.DUMMYFUNCTION("""COMPUTED_VALUE"""),2025)</f>
        <v>2025</v>
      </c>
      <c r="C1276" s="6">
        <f ca="1">IFERROR(__xludf.DUMMYFUNCTION("""COMPUTED_VALUE"""),10)</f>
        <v>10</v>
      </c>
      <c r="D1276" s="6" t="str">
        <f ca="1">IFERROR(__xludf.DUMMYFUNCTION("""COMPUTED_VALUE"""),"NO")</f>
        <v>NO</v>
      </c>
      <c r="E1276" s="6" t="str">
        <f ca="1">IFERROR(__xludf.DUMMYFUNCTION("""COMPUTED_VALUE"""),"Murcia")</f>
        <v>Murcia</v>
      </c>
      <c r="F1276" s="16">
        <f ca="1">IFERROR(__xludf.DUMMYFUNCTION("""COMPUTED_VALUE"""),45946)</f>
        <v>45946</v>
      </c>
      <c r="G1276" s="16">
        <f ca="1">IFERROR(__xludf.DUMMYFUNCTION("""COMPUTED_VALUE"""),45814)</f>
        <v>45814</v>
      </c>
      <c r="H1276" s="6" t="str">
        <f ca="1">IFERROR(__xludf.DUMMYFUNCTION("""COMPUTED_VALUE"""),"Murcia")</f>
        <v>Murcia</v>
      </c>
      <c r="I1276" s="6" t="str">
        <f ca="1">IFERROR(__xludf.DUMMYFUNCTION("""COMPUTED_VALUE"""),"C2025619103136969")</f>
        <v>C2025619103136969</v>
      </c>
      <c r="J1276" s="6" t="str">
        <f ca="1">IFERROR(__xludf.DUMMYFUNCTION("""COMPUTED_VALUE"""),"ISABEL GOMEZ MARTINEZ")</f>
        <v>ISABEL GOMEZ MARTINEZ</v>
      </c>
      <c r="K1276" s="6">
        <f ca="1">IFERROR(__xludf.DUMMYFUNCTION("""COMPUTED_VALUE"""),2)</f>
        <v>2</v>
      </c>
      <c r="L1276" s="139">
        <f ca="1">IFERROR(__xludf.DUMMYFUNCTION("""COMPUTED_VALUE"""),3450)</f>
        <v>3450</v>
      </c>
      <c r="M1276" s="6" t="str">
        <f ca="1">IFERROR(__xludf.DUMMYFUNCTION("""COMPUTED_VALUE"""),"03 ORL")</f>
        <v>03 ORL</v>
      </c>
      <c r="N1276" s="6" t="str">
        <f ca="1">IFERROR(__xludf.DUMMYFUNCTION("""COMPUTED_VALUE"""),"06 ORL")</f>
        <v>06 ORL</v>
      </c>
      <c r="O1276" s="6" t="str">
        <f ca="1">IFERROR(__xludf.DUMMYFUNCTION("""COMPUTED_VALUE"""),"Dra, María Agustina Sevilla García")</f>
        <v>Dra, María Agustina Sevilla García</v>
      </c>
      <c r="P1276" s="6" t="str">
        <f ca="1">IFERROR(__xludf.DUMMYFUNCTION("""COMPUTED_VALUE"""),"Iván Sánchez (Levante Y Albacete)")</f>
        <v>Iván Sánchez (Levante Y Albacete)</v>
      </c>
    </row>
    <row r="1277" spans="2:16">
      <c r="B1277" s="6">
        <f ca="1">IFERROR(__xludf.DUMMYFUNCTION("""COMPUTED_VALUE"""),2025)</f>
        <v>2025</v>
      </c>
      <c r="C1277" s="6">
        <f ca="1">IFERROR(__xludf.DUMMYFUNCTION("""COMPUTED_VALUE"""),10)</f>
        <v>10</v>
      </c>
      <c r="D1277" s="6" t="str">
        <f ca="1">IFERROR(__xludf.DUMMYFUNCTION("""COMPUTED_VALUE"""),"NO")</f>
        <v>NO</v>
      </c>
      <c r="E1277" s="6" t="str">
        <f ca="1">IFERROR(__xludf.DUMMYFUNCTION("""COMPUTED_VALUE"""),"Leganés")</f>
        <v>Leganés</v>
      </c>
      <c r="F1277" s="16">
        <f ca="1">IFERROR(__xludf.DUMMYFUNCTION("""COMPUTED_VALUE"""),45946)</f>
        <v>45946</v>
      </c>
      <c r="G1277" s="16">
        <f ca="1">IFERROR(__xludf.DUMMYFUNCTION("""COMPUTED_VALUE"""),45894)</f>
        <v>45894</v>
      </c>
      <c r="H1277" s="6" t="str">
        <f ca="1">IFERROR(__xludf.DUMMYFUNCTION("""COMPUTED_VALUE"""),"Leganés")</f>
        <v>Leganés</v>
      </c>
      <c r="I1277" s="6" t="str">
        <f ca="1">IFERROR(__xludf.DUMMYFUNCTION("""COMPUTED_VALUE"""),"C202582810465083")</f>
        <v>C202582810465083</v>
      </c>
      <c r="J1277" s="6" t="str">
        <f ca="1">IFERROR(__xludf.DUMMYFUNCTION("""COMPUTED_VALUE"""),"MARIA ISABEL ALMENDRO CRESPO")</f>
        <v>MARIA ISABEL ALMENDRO CRESPO</v>
      </c>
      <c r="K1277" s="6">
        <f ca="1">IFERROR(__xludf.DUMMYFUNCTION("""COMPUTED_VALUE"""),2)</f>
        <v>2</v>
      </c>
      <c r="L1277" s="139">
        <f ca="1">IFERROR(__xludf.DUMMYFUNCTION("""COMPUTED_VALUE"""),4536.36)</f>
        <v>4536.3599999999997</v>
      </c>
      <c r="M1277" s="6" t="str">
        <f ca="1">IFERROR(__xludf.DUMMYFUNCTION("""COMPUTED_VALUE"""),"03 ORL")</f>
        <v>03 ORL</v>
      </c>
      <c r="N1277" s="6" t="str">
        <f ca="1">IFERROR(__xludf.DUMMYFUNCTION("""COMPUTED_VALUE"""),"06 ORL")</f>
        <v>06 ORL</v>
      </c>
      <c r="O1277" s="6" t="str">
        <f ca="1">IFERROR(__xludf.DUMMYFUNCTION("""COMPUTED_VALUE"""),"Dra, Cristina Vaduva")</f>
        <v>Dra, Cristina Vaduva</v>
      </c>
      <c r="P1277" s="6" t="str">
        <f ca="1">IFERROR(__xludf.DUMMYFUNCTION("""COMPUTED_VALUE"""),"Maika Blázquez (Madrid)")</f>
        <v>Maika Blázquez (Madrid)</v>
      </c>
    </row>
    <row r="1278" spans="2:16">
      <c r="B1278" s="6">
        <f ca="1">IFERROR(__xludf.DUMMYFUNCTION("""COMPUTED_VALUE"""),2025)</f>
        <v>2025</v>
      </c>
      <c r="C1278" s="6">
        <f ca="1">IFERROR(__xludf.DUMMYFUNCTION("""COMPUTED_VALUE"""),10)</f>
        <v>10</v>
      </c>
      <c r="D1278" s="6" t="str">
        <f ca="1">IFERROR(__xludf.DUMMYFUNCTION("""COMPUTED_VALUE"""),"NO")</f>
        <v>NO</v>
      </c>
      <c r="E1278" s="6" t="str">
        <f ca="1">IFERROR(__xludf.DUMMYFUNCTION("""COMPUTED_VALUE"""),"Alicante")</f>
        <v>Alicante</v>
      </c>
      <c r="F1278" s="16">
        <f ca="1">IFERROR(__xludf.DUMMYFUNCTION("""COMPUTED_VALUE"""),45946)</f>
        <v>45946</v>
      </c>
      <c r="G1278" s="16">
        <f ca="1">IFERROR(__xludf.DUMMYFUNCTION("""COMPUTED_VALUE"""),45917)</f>
        <v>45917</v>
      </c>
      <c r="H1278" s="6" t="str">
        <f ca="1">IFERROR(__xludf.DUMMYFUNCTION("""COMPUTED_VALUE"""),"Alicante")</f>
        <v>Alicante</v>
      </c>
      <c r="I1278" s="6" t="str">
        <f ca="1">IFERROR(__xludf.DUMMYFUNCTION("""COMPUTED_VALUE"""),"C2025919105522488")</f>
        <v>C2025919105522488</v>
      </c>
      <c r="J1278" s="6" t="str">
        <f ca="1">IFERROR(__xludf.DUMMYFUNCTION("""COMPUTED_VALUE"""),"FRANCO ALBARES MEDRANO")</f>
        <v>FRANCO ALBARES MEDRANO</v>
      </c>
      <c r="K1278" s="6">
        <f ca="1">IFERROR(__xludf.DUMMYFUNCTION("""COMPUTED_VALUE"""),2)</f>
        <v>2</v>
      </c>
      <c r="L1278" s="139">
        <f ca="1">IFERROR(__xludf.DUMMYFUNCTION("""COMPUTED_VALUE"""),4309.55)</f>
        <v>4309.55</v>
      </c>
      <c r="M1278" s="6" t="str">
        <f ca="1">IFERROR(__xludf.DUMMYFUNCTION("""COMPUTED_VALUE"""),"03 ORL")</f>
        <v>03 ORL</v>
      </c>
      <c r="N1278" s="6" t="str">
        <f ca="1">IFERROR(__xludf.DUMMYFUNCTION("""COMPUTED_VALUE"""),"06 ORL")</f>
        <v>06 ORL</v>
      </c>
      <c r="O1278" s="6" t="str">
        <f ca="1">IFERROR(__xludf.DUMMYFUNCTION("""COMPUTED_VALUE"""),"Dr, Atonio Burgos Sánchez")</f>
        <v>Dr, Atonio Burgos Sánchez</v>
      </c>
      <c r="P1278" s="6" t="str">
        <f ca="1">IFERROR(__xludf.DUMMYFUNCTION("""COMPUTED_VALUE"""),"Ramon Ferrando(Valencia)")</f>
        <v>Ramon Ferrando(Valencia)</v>
      </c>
    </row>
    <row r="1279" spans="2:16">
      <c r="B1279" s="6">
        <f ca="1">IFERROR(__xludf.DUMMYFUNCTION("""COMPUTED_VALUE"""),2025)</f>
        <v>2025</v>
      </c>
      <c r="C1279" s="6">
        <f ca="1">IFERROR(__xludf.DUMMYFUNCTION("""COMPUTED_VALUE"""),10)</f>
        <v>10</v>
      </c>
      <c r="D1279" s="6" t="str">
        <f ca="1">IFERROR(__xludf.DUMMYFUNCTION("""COMPUTED_VALUE"""),"NO")</f>
        <v>NO</v>
      </c>
      <c r="E1279" s="6" t="str">
        <f ca="1">IFERROR(__xludf.DUMMYFUNCTION("""COMPUTED_VALUE"""),"Murcia")</f>
        <v>Murcia</v>
      </c>
      <c r="F1279" s="16">
        <f ca="1">IFERROR(__xludf.DUMMYFUNCTION("""COMPUTED_VALUE"""),45946)</f>
        <v>45946</v>
      </c>
      <c r="G1279" s="16">
        <f ca="1">IFERROR(__xludf.DUMMYFUNCTION("""COMPUTED_VALUE"""),45924)</f>
        <v>45924</v>
      </c>
      <c r="H1279" s="6" t="str">
        <f ca="1">IFERROR(__xludf.DUMMYFUNCTION("""COMPUTED_VALUE"""),"Murcia")</f>
        <v>Murcia</v>
      </c>
      <c r="I1279" s="6" t="str">
        <f ca="1">IFERROR(__xludf.DUMMYFUNCTION("""COMPUTED_VALUE"""),"C202592916913786")</f>
        <v>C202592916913786</v>
      </c>
      <c r="J1279" s="6" t="str">
        <f ca="1">IFERROR(__xludf.DUMMYFUNCTION("""COMPUTED_VALUE"""),"FRANCISCO MIGUEL SANCHEZ FERRER")</f>
        <v>FRANCISCO MIGUEL SANCHEZ FERRER</v>
      </c>
      <c r="K1279" s="6">
        <f ca="1">IFERROR(__xludf.DUMMYFUNCTION("""COMPUTED_VALUE"""),2)</f>
        <v>2</v>
      </c>
      <c r="L1279" s="139">
        <f ca="1">IFERROR(__xludf.DUMMYFUNCTION("""COMPUTED_VALUE"""),2718.18)</f>
        <v>2718.18</v>
      </c>
      <c r="M1279" s="6" t="str">
        <f ca="1">IFERROR(__xludf.DUMMYFUNCTION("""COMPUTED_VALUE"""),"03 ORL")</f>
        <v>03 ORL</v>
      </c>
      <c r="N1279" s="6" t="str">
        <f ca="1">IFERROR(__xludf.DUMMYFUNCTION("""COMPUTED_VALUE"""),"06 ORL")</f>
        <v>06 ORL</v>
      </c>
      <c r="O1279" s="6" t="str">
        <f ca="1">IFERROR(__xludf.DUMMYFUNCTION("""COMPUTED_VALUE"""),"Dra, María Agustina Sevilla García")</f>
        <v>Dra, María Agustina Sevilla García</v>
      </c>
      <c r="P1279" s="6" t="str">
        <f ca="1">IFERROR(__xludf.DUMMYFUNCTION("""COMPUTED_VALUE"""),"Iván Sánchez (Levante Y Albacete)")</f>
        <v>Iván Sánchez (Levante Y Albacete)</v>
      </c>
    </row>
    <row r="1280" spans="2:16">
      <c r="B1280" s="6">
        <f ca="1">IFERROR(__xludf.DUMMYFUNCTION("""COMPUTED_VALUE"""),2025)</f>
        <v>2025</v>
      </c>
      <c r="C1280" s="6">
        <f ca="1">IFERROR(__xludf.DUMMYFUNCTION("""COMPUTED_VALUE"""),10)</f>
        <v>10</v>
      </c>
      <c r="D1280" s="6" t="str">
        <f ca="1">IFERROR(__xludf.DUMMYFUNCTION("""COMPUTED_VALUE"""),"SI")</f>
        <v>SI</v>
      </c>
      <c r="E1280" s="6" t="str">
        <f ca="1">IFERROR(__xludf.DUMMYFUNCTION("""COMPUTED_VALUE"""),"Getafe")</f>
        <v>Getafe</v>
      </c>
      <c r="F1280" s="16">
        <f ca="1">IFERROR(__xludf.DUMMYFUNCTION("""COMPUTED_VALUE"""),45946)</f>
        <v>45946</v>
      </c>
      <c r="G1280" s="16">
        <f ca="1">IFERROR(__xludf.DUMMYFUNCTION("""COMPUTED_VALUE"""),45280)</f>
        <v>45280</v>
      </c>
      <c r="H1280" s="6" t="str">
        <f ca="1">IFERROR(__xludf.DUMMYFUNCTION("""COMPUTED_VALUE"""),"Getafe")</f>
        <v>Getafe</v>
      </c>
      <c r="I1280" s="6" t="str">
        <f ca="1">IFERROR(__xludf.DUMMYFUNCTION("""COMPUTED_VALUE"""),"MGE-162")</f>
        <v>MGE-162</v>
      </c>
      <c r="J1280" s="6" t="str">
        <f ca="1">IFERROR(__xludf.DUMMYFUNCTION("""COMPUTED_VALUE"""),"JOSE GARROSA MARTIN")</f>
        <v>JOSE GARROSA MARTIN</v>
      </c>
      <c r="K1280" s="6">
        <f ca="1">IFERROR(__xludf.DUMMYFUNCTION("""COMPUTED_VALUE"""),1)</f>
        <v>1</v>
      </c>
      <c r="L1280" s="139">
        <f ca="1">IFERROR(__xludf.DUMMYFUNCTION("""COMPUTED_VALUE"""),1223.87)</f>
        <v>1223.8699999999999</v>
      </c>
      <c r="M1280" s="6" t="str">
        <f ca="1">IFERROR(__xludf.DUMMYFUNCTION("""COMPUTED_VALUE"""),"04 TIENDA")</f>
        <v>04 TIENDA</v>
      </c>
      <c r="N1280" s="6" t="str">
        <f ca="1">IFERROR(__xludf.DUMMYFUNCTION("""COMPUTED_VALUE"""),"19 CLIENTE RECOMPRA ESPONTANEA")</f>
        <v>19 CLIENTE RECOMPRA ESPONTANEA</v>
      </c>
      <c r="O1280" s="6" t="str">
        <f ca="1">IFERROR(__xludf.DUMMYFUNCTION("""COMPUTED_VALUE"""),"Dr, Daniel Moreno Jimenez")</f>
        <v>Dr, Daniel Moreno Jimenez</v>
      </c>
      <c r="P1280" s="6" t="str">
        <f ca="1">IFERROR(__xludf.DUMMYFUNCTION("""COMPUTED_VALUE"""),"Maika Blázquez (Madrid)")</f>
        <v>Maika Blázquez (Madrid)</v>
      </c>
    </row>
    <row r="1281" spans="2:16">
      <c r="B1281" s="6">
        <f ca="1">IFERROR(__xludf.DUMMYFUNCTION("""COMPUTED_VALUE"""),2025)</f>
        <v>2025</v>
      </c>
      <c r="C1281" s="6">
        <f ca="1">IFERROR(__xludf.DUMMYFUNCTION("""COMPUTED_VALUE"""),10)</f>
        <v>10</v>
      </c>
      <c r="D1281" s="6" t="str">
        <f ca="1">IFERROR(__xludf.DUMMYFUNCTION("""COMPUTED_VALUE"""),"NO")</f>
        <v>NO</v>
      </c>
      <c r="E1281" s="6" t="str">
        <f ca="1">IFERROR(__xludf.DUMMYFUNCTION("""COMPUTED_VALUE"""),"Boiro")</f>
        <v>Boiro</v>
      </c>
      <c r="F1281" s="16">
        <f ca="1">IFERROR(__xludf.DUMMYFUNCTION("""COMPUTED_VALUE"""),45947)</f>
        <v>45947</v>
      </c>
      <c r="G1281" s="16">
        <f ca="1">IFERROR(__xludf.DUMMYFUNCTION("""COMPUTED_VALUE"""),45932)</f>
        <v>45932</v>
      </c>
      <c r="H1281" s="6" t="str">
        <f ca="1">IFERROR(__xludf.DUMMYFUNCTION("""COMPUTED_VALUE"""),"Boiro")</f>
        <v>Boiro</v>
      </c>
      <c r="I1281" s="6" t="str">
        <f ca="1">IFERROR(__xludf.DUMMYFUNCTION("""COMPUTED_VALUE"""),"BOI-999")</f>
        <v>BOI-999</v>
      </c>
      <c r="J1281" s="6" t="str">
        <f ca="1">IFERROR(__xludf.DUMMYFUNCTION("""COMPUTED_VALUE"""),"MARIA ROSA VAZQUEZ PARDAVILA")</f>
        <v>MARIA ROSA VAZQUEZ PARDAVILA</v>
      </c>
      <c r="K1281" s="6">
        <f ca="1">IFERROR(__xludf.DUMMYFUNCTION("""COMPUTED_VALUE"""),2)</f>
        <v>2</v>
      </c>
      <c r="L1281" s="139">
        <f ca="1">IFERROR(__xludf.DUMMYFUNCTION("""COMPUTED_VALUE"""),3000)</f>
        <v>3000</v>
      </c>
      <c r="M1281" s="6" t="str">
        <f ca="1">IFERROR(__xludf.DUMMYFUNCTION("""COMPUTED_VALUE"""),"03 ORL")</f>
        <v>03 ORL</v>
      </c>
      <c r="N1281" s="6" t="str">
        <f ca="1">IFERROR(__xludf.DUMMYFUNCTION("""COMPUTED_VALUE"""),"06 ORL")</f>
        <v>06 ORL</v>
      </c>
      <c r="O1281" s="6" t="str">
        <f ca="1">IFERROR(__xludf.DUMMYFUNCTION("""COMPUTED_VALUE"""),"Dra, Isabel Pensado Banet")</f>
        <v>Dra, Isabel Pensado Banet</v>
      </c>
      <c r="P1281" s="6" t="str">
        <f ca="1">IFERROR(__xludf.DUMMYFUNCTION("""COMPUTED_VALUE"""),"Roberto Pereira (Galicia)")</f>
        <v>Roberto Pereira (Galicia)</v>
      </c>
    </row>
    <row r="1282" spans="2:16">
      <c r="B1282" s="6">
        <f ca="1">IFERROR(__xludf.DUMMYFUNCTION("""COMPUTED_VALUE"""),2025)</f>
        <v>2025</v>
      </c>
      <c r="C1282" s="6">
        <f ca="1">IFERROR(__xludf.DUMMYFUNCTION("""COMPUTED_VALUE"""),10)</f>
        <v>10</v>
      </c>
      <c r="D1282" s="6" t="str">
        <f ca="1">IFERROR(__xludf.DUMMYFUNCTION("""COMPUTED_VALUE"""),"NO")</f>
        <v>NO</v>
      </c>
      <c r="E1282" s="6" t="str">
        <f ca="1">IFERROR(__xludf.DUMMYFUNCTION("""COMPUTED_VALUE"""),"Lalín")</f>
        <v>Lalín</v>
      </c>
      <c r="F1282" s="16">
        <f ca="1">IFERROR(__xludf.DUMMYFUNCTION("""COMPUTED_VALUE"""),45947)</f>
        <v>45947</v>
      </c>
      <c r="G1282" s="16">
        <f ca="1">IFERROR(__xludf.DUMMYFUNCTION("""COMPUTED_VALUE"""),45934)</f>
        <v>45934</v>
      </c>
      <c r="H1282" s="6" t="str">
        <f ca="1">IFERROR(__xludf.DUMMYFUNCTION("""COMPUTED_VALUE"""),"Lalín")</f>
        <v>Lalín</v>
      </c>
      <c r="I1282" s="6" t="str">
        <f ca="1">IFERROR(__xludf.DUMMYFUNCTION("""COMPUTED_VALUE"""),"LAL-171")</f>
        <v>LAL-171</v>
      </c>
      <c r="J1282" s="6" t="str">
        <f ca="1">IFERROR(__xludf.DUMMYFUNCTION("""COMPUTED_VALUE"""),"MANUEL BARROS ROZAS")</f>
        <v>MANUEL BARROS ROZAS</v>
      </c>
      <c r="K1282" s="6">
        <f ca="1">IFERROR(__xludf.DUMMYFUNCTION("""COMPUTED_VALUE"""),2)</f>
        <v>2</v>
      </c>
      <c r="L1282" s="139">
        <f ca="1">IFERROR(__xludf.DUMMYFUNCTION("""COMPUTED_VALUE"""),3000)</f>
        <v>3000</v>
      </c>
      <c r="M1282" s="6" t="str">
        <f ca="1">IFERROR(__xludf.DUMMYFUNCTION("""COMPUTED_VALUE"""),"03 ORL")</f>
        <v>03 ORL</v>
      </c>
      <c r="N1282" s="6" t="str">
        <f ca="1">IFERROR(__xludf.DUMMYFUNCTION("""COMPUTED_VALUE"""),"06 ORL")</f>
        <v>06 ORL</v>
      </c>
      <c r="O1282" s="6" t="str">
        <f ca="1">IFERROR(__xludf.DUMMYFUNCTION("""COMPUTED_VALUE"""),"Dr, Antonio Gustavo Lirola Delgado")</f>
        <v>Dr, Antonio Gustavo Lirola Delgado</v>
      </c>
      <c r="P1282" s="6" t="str">
        <f ca="1">IFERROR(__xludf.DUMMYFUNCTION("""COMPUTED_VALUE"""),"Roberto Pereira (Galicia)")</f>
        <v>Roberto Pereira (Galicia)</v>
      </c>
    </row>
    <row r="1283" spans="2:16">
      <c r="B1283" s="6">
        <f ca="1">IFERROR(__xludf.DUMMYFUNCTION("""COMPUTED_VALUE"""),2025)</f>
        <v>2025</v>
      </c>
      <c r="C1283" s="6">
        <f ca="1">IFERROR(__xludf.DUMMYFUNCTION("""COMPUTED_VALUE"""),10)</f>
        <v>10</v>
      </c>
      <c r="D1283" s="6" t="str">
        <f ca="1">IFERROR(__xludf.DUMMYFUNCTION("""COMPUTED_VALUE"""),"NO")</f>
        <v>NO</v>
      </c>
      <c r="E1283" s="6" t="str">
        <f ca="1">IFERROR(__xludf.DUMMYFUNCTION("""COMPUTED_VALUE"""),"Salamanca")</f>
        <v>Salamanca</v>
      </c>
      <c r="F1283" s="16">
        <f ca="1">IFERROR(__xludf.DUMMYFUNCTION("""COMPUTED_VALUE"""),45947)</f>
        <v>45947</v>
      </c>
      <c r="G1283" s="16">
        <f ca="1">IFERROR(__xludf.DUMMYFUNCTION("""COMPUTED_VALUE"""),45904)</f>
        <v>45904</v>
      </c>
      <c r="H1283" s="6" t="str">
        <f ca="1">IFERROR(__xludf.DUMMYFUNCTION("""COMPUTED_VALUE"""),"Salamanca")</f>
        <v>Salamanca</v>
      </c>
      <c r="I1283" s="6" t="str">
        <f ca="1">IFERROR(__xludf.DUMMYFUNCTION("""COMPUTED_VALUE"""),"SLM-612")</f>
        <v>SLM-612</v>
      </c>
      <c r="J1283" s="6" t="str">
        <f ca="1">IFERROR(__xludf.DUMMYFUNCTION("""COMPUTED_VALUE"""),"FERNANDO JESUS PEREZ CORNEJO")</f>
        <v>FERNANDO JESUS PEREZ CORNEJO</v>
      </c>
      <c r="K1283" s="6">
        <f ca="1">IFERROR(__xludf.DUMMYFUNCTION("""COMPUTED_VALUE"""),2)</f>
        <v>2</v>
      </c>
      <c r="L1283" s="139">
        <f ca="1">IFERROR(__xludf.DUMMYFUNCTION("""COMPUTED_VALUE"""),2974.55)</f>
        <v>2974.55</v>
      </c>
      <c r="M1283" s="6" t="str">
        <f ca="1">IFERROR(__xludf.DUMMYFUNCTION("""COMPUTED_VALUE"""),"03 ORL")</f>
        <v>03 ORL</v>
      </c>
      <c r="N1283" s="6" t="str">
        <f ca="1">IFERROR(__xludf.DUMMYFUNCTION("""COMPUTED_VALUE"""),"06 ORL")</f>
        <v>06 ORL</v>
      </c>
      <c r="O1283" s="6" t="str">
        <f ca="1">IFERROR(__xludf.DUMMYFUNCTION("""COMPUTED_VALUE"""),"Dr, Jose Antonio Sancipriano Hernández")</f>
        <v>Dr, Jose Antonio Sancipriano Hernández</v>
      </c>
      <c r="P1283" s="6" t="str">
        <f ca="1">IFERROR(__xludf.DUMMYFUNCTION("""COMPUTED_VALUE"""),"Alberto Moreno (Madrid)")</f>
        <v>Alberto Moreno (Madrid)</v>
      </c>
    </row>
    <row r="1284" spans="2:16">
      <c r="B1284" s="6">
        <f ca="1">IFERROR(__xludf.DUMMYFUNCTION("""COMPUTED_VALUE"""),2025)</f>
        <v>2025</v>
      </c>
      <c r="C1284" s="6">
        <f ca="1">IFERROR(__xludf.DUMMYFUNCTION("""COMPUTED_VALUE"""),10)</f>
        <v>10</v>
      </c>
      <c r="D1284" s="6" t="str">
        <f ca="1">IFERROR(__xludf.DUMMYFUNCTION("""COMPUTED_VALUE"""),"NO")</f>
        <v>NO</v>
      </c>
      <c r="E1284" s="6" t="str">
        <f ca="1">IFERROR(__xludf.DUMMYFUNCTION("""COMPUTED_VALUE"""),"Madrid- Canillas")</f>
        <v>Madrid- Canillas</v>
      </c>
      <c r="F1284" s="16">
        <f ca="1">IFERROR(__xludf.DUMMYFUNCTION("""COMPUTED_VALUE"""),45947)</f>
        <v>45947</v>
      </c>
      <c r="G1284" s="16">
        <f ca="1">IFERROR(__xludf.DUMMYFUNCTION("""COMPUTED_VALUE"""),45916)</f>
        <v>45916</v>
      </c>
      <c r="H1284" s="6" t="str">
        <f ca="1">IFERROR(__xludf.DUMMYFUNCTION("""COMPUTED_VALUE"""),"Canillas")</f>
        <v>Canillas</v>
      </c>
      <c r="I1284" s="6" t="str">
        <f ca="1">IFERROR(__xludf.DUMMYFUNCTION("""COMPUTED_VALUE"""),"C202592691723568")</f>
        <v>C202592691723568</v>
      </c>
      <c r="J1284" s="6" t="str">
        <f ca="1">IFERROR(__xludf.DUMMYFUNCTION("""COMPUTED_VALUE"""),"NIEVES QUIROGA SOBRADO")</f>
        <v>NIEVES QUIROGA SOBRADO</v>
      </c>
      <c r="K1284" s="6">
        <f ca="1">IFERROR(__xludf.DUMMYFUNCTION("""COMPUTED_VALUE"""),2)</f>
        <v>2</v>
      </c>
      <c r="L1284" s="139">
        <f ca="1">IFERROR(__xludf.DUMMYFUNCTION("""COMPUTED_VALUE"""),4536.36)</f>
        <v>4536.3599999999997</v>
      </c>
      <c r="M1284" s="6" t="str">
        <f ca="1">IFERROR(__xludf.DUMMYFUNCTION("""COMPUTED_VALUE"""),"03 ORL")</f>
        <v>03 ORL</v>
      </c>
      <c r="N1284" s="6" t="str">
        <f ca="1">IFERROR(__xludf.DUMMYFUNCTION("""COMPUTED_VALUE"""),"06 ORL")</f>
        <v>06 ORL</v>
      </c>
      <c r="O1284" s="6" t="str">
        <f ca="1">IFERROR(__xludf.DUMMYFUNCTION("""COMPUTED_VALUE"""),"Dr, José Gustavo Barroso Braojos")</f>
        <v>Dr, José Gustavo Barroso Braojos</v>
      </c>
      <c r="P1284" s="6" t="str">
        <f ca="1">IFERROR(__xludf.DUMMYFUNCTION("""COMPUTED_VALUE"""),"Maika Blázquez (Madrid)")</f>
        <v>Maika Blázquez (Madrid)</v>
      </c>
    </row>
    <row r="1285" spans="2:16">
      <c r="B1285" s="6">
        <f ca="1">IFERROR(__xludf.DUMMYFUNCTION("""COMPUTED_VALUE"""),2025)</f>
        <v>2025</v>
      </c>
      <c r="C1285" s="6">
        <f ca="1">IFERROR(__xludf.DUMMYFUNCTION("""COMPUTED_VALUE"""),10)</f>
        <v>10</v>
      </c>
      <c r="D1285" s="6" t="str">
        <f ca="1">IFERROR(__xludf.DUMMYFUNCTION("""COMPUTED_VALUE"""),"NO")</f>
        <v>NO</v>
      </c>
      <c r="E1285" s="6" t="str">
        <f ca="1">IFERROR(__xludf.DUMMYFUNCTION("""COMPUTED_VALUE"""),"Huelva")</f>
        <v>Huelva</v>
      </c>
      <c r="F1285" s="16">
        <f ca="1">IFERROR(__xludf.DUMMYFUNCTION("""COMPUTED_VALUE"""),45947)</f>
        <v>45947</v>
      </c>
      <c r="G1285" s="16">
        <f ca="1">IFERROR(__xludf.DUMMYFUNCTION("""COMPUTED_VALUE"""),45856)</f>
        <v>45856</v>
      </c>
      <c r="H1285" s="6" t="str">
        <f ca="1">IFERROR(__xludf.DUMMYFUNCTION("""COMPUTED_VALUE"""),"Huelva")</f>
        <v>Huelva</v>
      </c>
      <c r="I1285" s="6" t="str">
        <f ca="1">IFERROR(__xludf.DUMMYFUNCTION("""COMPUTED_VALUE"""),"C202572212207979")</f>
        <v>C202572212207979</v>
      </c>
      <c r="J1285" s="6" t="str">
        <f ca="1">IFERROR(__xludf.DUMMYFUNCTION("""COMPUTED_VALUE"""),"LUCÍA RODRÍGUEZ ANDÚJAR")</f>
        <v>LUCÍA RODRÍGUEZ ANDÚJAR</v>
      </c>
      <c r="K1285" s="6">
        <f ca="1">IFERROR(__xludf.DUMMYFUNCTION("""COMPUTED_VALUE"""),2)</f>
        <v>2</v>
      </c>
      <c r="L1285" s="139">
        <f ca="1">IFERROR(__xludf.DUMMYFUNCTION("""COMPUTED_VALUE"""),2718.18)</f>
        <v>2718.18</v>
      </c>
      <c r="M1285" s="6" t="str">
        <f ca="1">IFERROR(__xludf.DUMMYFUNCTION("""COMPUTED_VALUE"""),"03 ORL")</f>
        <v>03 ORL</v>
      </c>
      <c r="N1285" s="6" t="str">
        <f ca="1">IFERROR(__xludf.DUMMYFUNCTION("""COMPUTED_VALUE"""),"06 ORL")</f>
        <v>06 ORL</v>
      </c>
      <c r="O1285" s="6" t="str">
        <f ca="1">IFERROR(__xludf.DUMMYFUNCTION("""COMPUTED_VALUE"""),"Dra, Estefanía Berrocal Postigo")</f>
        <v>Dra, Estefanía Berrocal Postigo</v>
      </c>
      <c r="P1285" s="6" t="str">
        <f ca="1">IFERROR(__xludf.DUMMYFUNCTION("""COMPUTED_VALUE"""),"Luis Alberto Rodríguez (Andalucía y Badajoz)")</f>
        <v>Luis Alberto Rodríguez (Andalucía y Badajoz)</v>
      </c>
    </row>
    <row r="1286" spans="2:16">
      <c r="B1286" s="6">
        <f ca="1">IFERROR(__xludf.DUMMYFUNCTION("""COMPUTED_VALUE"""),2025)</f>
        <v>2025</v>
      </c>
      <c r="C1286" s="6">
        <f ca="1">IFERROR(__xludf.DUMMYFUNCTION("""COMPUTED_VALUE"""),10)</f>
        <v>10</v>
      </c>
      <c r="D1286" s="6" t="str">
        <f ca="1">IFERROR(__xludf.DUMMYFUNCTION("""COMPUTED_VALUE"""),"NO")</f>
        <v>NO</v>
      </c>
      <c r="E1286" s="6" t="str">
        <f ca="1">IFERROR(__xludf.DUMMYFUNCTION("""COMPUTED_VALUE"""),"Sevilla- Montoto")</f>
        <v>Sevilla- Montoto</v>
      </c>
      <c r="F1286" s="16">
        <f ca="1">IFERROR(__xludf.DUMMYFUNCTION("""COMPUTED_VALUE"""),45947)</f>
        <v>45947</v>
      </c>
      <c r="G1286" s="16">
        <f ca="1">IFERROR(__xludf.DUMMYFUNCTION("""COMPUTED_VALUE"""),45877)</f>
        <v>45877</v>
      </c>
      <c r="H1286" s="6" t="str">
        <f ca="1">IFERROR(__xludf.DUMMYFUNCTION("""COMPUTED_VALUE"""),"Montoto")</f>
        <v>Montoto</v>
      </c>
      <c r="I1286" s="6" t="str">
        <f ca="1">IFERROR(__xludf.DUMMYFUNCTION("""COMPUTED_VALUE"""),"C202591105249542")</f>
        <v>C202591105249542</v>
      </c>
      <c r="J1286" s="6" t="str">
        <f ca="1">IFERROR(__xludf.DUMMYFUNCTION("""COMPUTED_VALUE"""),"TERESA FERNANDEZ RODRIGUEZ")</f>
        <v>TERESA FERNANDEZ RODRIGUEZ</v>
      </c>
      <c r="K1286" s="6">
        <f ca="1">IFERROR(__xludf.DUMMYFUNCTION("""COMPUTED_VALUE"""),2)</f>
        <v>2</v>
      </c>
      <c r="L1286" s="139">
        <f ca="1">IFERROR(__xludf.DUMMYFUNCTION("""COMPUTED_VALUE"""),3929.55)</f>
        <v>3929.55</v>
      </c>
      <c r="M1286" s="6" t="str">
        <f ca="1">IFERROR(__xludf.DUMMYFUNCTION("""COMPUTED_VALUE"""),"03 ORL")</f>
        <v>03 ORL</v>
      </c>
      <c r="N1286" s="6" t="str">
        <f ca="1">IFERROR(__xludf.DUMMYFUNCTION("""COMPUTED_VALUE"""),"06 ORL")</f>
        <v>06 ORL</v>
      </c>
      <c r="O1286" s="6" t="str">
        <f ca="1">IFERROR(__xludf.DUMMYFUNCTION("""COMPUTED_VALUE"""),"Dra, Estefanía Berrocal Postigo")</f>
        <v>Dra, Estefanía Berrocal Postigo</v>
      </c>
      <c r="P1286" s="6" t="str">
        <f ca="1">IFERROR(__xludf.DUMMYFUNCTION("""COMPUTED_VALUE"""),"Luis Alberto Rodríguez (Andalucía y Badajoz)")</f>
        <v>Luis Alberto Rodríguez (Andalucía y Badajoz)</v>
      </c>
    </row>
    <row r="1287" spans="2:16">
      <c r="B1287" s="6">
        <f ca="1">IFERROR(__xludf.DUMMYFUNCTION("""COMPUTED_VALUE"""),2025)</f>
        <v>2025</v>
      </c>
      <c r="C1287" s="6">
        <f ca="1">IFERROR(__xludf.DUMMYFUNCTION("""COMPUTED_VALUE"""),10)</f>
        <v>10</v>
      </c>
      <c r="D1287" s="6" t="str">
        <f ca="1">IFERROR(__xludf.DUMMYFUNCTION("""COMPUTED_VALUE"""),"NO")</f>
        <v>NO</v>
      </c>
      <c r="E1287" s="6" t="str">
        <f ca="1">IFERROR(__xludf.DUMMYFUNCTION("""COMPUTED_VALUE"""),"Fuenlabrada")</f>
        <v>Fuenlabrada</v>
      </c>
      <c r="F1287" s="16">
        <f ca="1">IFERROR(__xludf.DUMMYFUNCTION("""COMPUTED_VALUE"""),45947)</f>
        <v>45947</v>
      </c>
      <c r="G1287" s="16">
        <f ca="1">IFERROR(__xludf.DUMMYFUNCTION("""COMPUTED_VALUE"""),45887)</f>
        <v>45887</v>
      </c>
      <c r="H1287" s="6" t="str">
        <f ca="1">IFERROR(__xludf.DUMMYFUNCTION("""COMPUTED_VALUE"""),"Fuenlabrada")</f>
        <v>Fuenlabrada</v>
      </c>
      <c r="I1287" s="6" t="str">
        <f ca="1">IFERROR(__xludf.DUMMYFUNCTION("""COMPUTED_VALUE"""),"C202582910512653")</f>
        <v>C202582910512653</v>
      </c>
      <c r="J1287" s="6" t="str">
        <f ca="1">IFERROR(__xludf.DUMMYFUNCTION("""COMPUTED_VALUE"""),"JUAN PABLO CORCHERO SANZ")</f>
        <v>JUAN PABLO CORCHERO SANZ</v>
      </c>
      <c r="K1287" s="6">
        <f ca="1">IFERROR(__xludf.DUMMYFUNCTION("""COMPUTED_VALUE"""),1)</f>
        <v>1</v>
      </c>
      <c r="L1287" s="139">
        <f ca="1">IFERROR(__xludf.DUMMYFUNCTION("""COMPUTED_VALUE"""),2180.91)</f>
        <v>2180.91</v>
      </c>
      <c r="M1287" s="6" t="str">
        <f ca="1">IFERROR(__xludf.DUMMYFUNCTION("""COMPUTED_VALUE"""),"03 ORL")</f>
        <v>03 ORL</v>
      </c>
      <c r="N1287" s="6" t="str">
        <f ca="1">IFERROR(__xludf.DUMMYFUNCTION("""COMPUTED_VALUE"""),"06 ORL")</f>
        <v>06 ORL</v>
      </c>
      <c r="O1287" s="6" t="str">
        <f ca="1">IFERROR(__xludf.DUMMYFUNCTION("""COMPUTED_VALUE"""),"Dra, Ithzel Maria Villarreal Patiño")</f>
        <v>Dra, Ithzel Maria Villarreal Patiño</v>
      </c>
      <c r="P1287" s="6" t="str">
        <f ca="1">IFERROR(__xludf.DUMMYFUNCTION("""COMPUTED_VALUE"""),"Maika Blázquez (Madrid)")</f>
        <v>Maika Blázquez (Madrid)</v>
      </c>
    </row>
    <row r="1288" spans="2:16">
      <c r="B1288" s="6">
        <f ca="1">IFERROR(__xludf.DUMMYFUNCTION("""COMPUTED_VALUE"""),2025)</f>
        <v>2025</v>
      </c>
      <c r="C1288" s="6">
        <f ca="1">IFERROR(__xludf.DUMMYFUNCTION("""COMPUTED_VALUE"""),10)</f>
        <v>10</v>
      </c>
      <c r="D1288" s="6" t="str">
        <f ca="1">IFERROR(__xludf.DUMMYFUNCTION("""COMPUTED_VALUE"""),"NO")</f>
        <v>NO</v>
      </c>
      <c r="E1288" s="6" t="str">
        <f ca="1">IFERROR(__xludf.DUMMYFUNCTION("""COMPUTED_VALUE"""),"Madrid- Monforte de Lemos")</f>
        <v>Madrid- Monforte de Lemos</v>
      </c>
      <c r="F1288" s="16">
        <f ca="1">IFERROR(__xludf.DUMMYFUNCTION("""COMPUTED_VALUE"""),45947)</f>
        <v>45947</v>
      </c>
      <c r="G1288" s="16">
        <f ca="1">IFERROR(__xludf.DUMMYFUNCTION("""COMPUTED_VALUE"""),45905)</f>
        <v>45905</v>
      </c>
      <c r="H1288" s="6" t="str">
        <f ca="1">IFERROR(__xludf.DUMMYFUNCTION("""COMPUTED_VALUE"""),"La Vaguada")</f>
        <v>La Vaguada</v>
      </c>
      <c r="I1288" s="6" t="str">
        <f ca="1">IFERROR(__xludf.DUMMYFUNCTION("""COMPUTED_VALUE"""),"C20259812458661")</f>
        <v>C20259812458661</v>
      </c>
      <c r="J1288" s="6" t="str">
        <f ca="1">IFERROR(__xludf.DUMMYFUNCTION("""COMPUTED_VALUE"""),"ENCARNACION GORDO ALMANSA")</f>
        <v>ENCARNACION GORDO ALMANSA</v>
      </c>
      <c r="K1288" s="6">
        <f ca="1">IFERROR(__xludf.DUMMYFUNCTION("""COMPUTED_VALUE"""),1)</f>
        <v>1</v>
      </c>
      <c r="L1288" s="139">
        <f ca="1">IFERROR(__xludf.DUMMYFUNCTION("""COMPUTED_VALUE"""),2136.36)</f>
        <v>2136.36</v>
      </c>
      <c r="M1288" s="6" t="str">
        <f ca="1">IFERROR(__xludf.DUMMYFUNCTION("""COMPUTED_VALUE"""),"03 ORL")</f>
        <v>03 ORL</v>
      </c>
      <c r="N1288" s="6" t="str">
        <f ca="1">IFERROR(__xludf.DUMMYFUNCTION("""COMPUTED_VALUE"""),"06 ORL")</f>
        <v>06 ORL</v>
      </c>
      <c r="O1288" s="6" t="str">
        <f ca="1">IFERROR(__xludf.DUMMYFUNCTION("""COMPUTED_VALUE"""),"Dr, Álvaro Sánchez de Arriba")</f>
        <v>Dr, Álvaro Sánchez de Arriba</v>
      </c>
      <c r="P1288" s="6" t="str">
        <f ca="1">IFERROR(__xludf.DUMMYFUNCTION("""COMPUTED_VALUE"""),"Lisandro Russian (Madrid, Cáceres, Toledo, Talavera Y Logroño)")</f>
        <v>Lisandro Russian (Madrid, Cáceres, Toledo, Talavera Y Logroño)</v>
      </c>
    </row>
    <row r="1289" spans="2:16">
      <c r="B1289" s="6">
        <f ca="1">IFERROR(__xludf.DUMMYFUNCTION("""COMPUTED_VALUE"""),2025)</f>
        <v>2025</v>
      </c>
      <c r="C1289" s="6">
        <f ca="1">IFERROR(__xludf.DUMMYFUNCTION("""COMPUTED_VALUE"""),10)</f>
        <v>10</v>
      </c>
      <c r="D1289" s="6" t="str">
        <f ca="1">IFERROR(__xludf.DUMMYFUNCTION("""COMPUTED_VALUE"""),"NO")</f>
        <v>NO</v>
      </c>
      <c r="E1289" s="6" t="str">
        <f ca="1">IFERROR(__xludf.DUMMYFUNCTION("""COMPUTED_VALUE"""),"Murcia")</f>
        <v>Murcia</v>
      </c>
      <c r="F1289" s="16">
        <f ca="1">IFERROR(__xludf.DUMMYFUNCTION("""COMPUTED_VALUE"""),45947)</f>
        <v>45947</v>
      </c>
      <c r="G1289" s="16">
        <f ca="1">IFERROR(__xludf.DUMMYFUNCTION("""COMPUTED_VALUE"""),45922)</f>
        <v>45922</v>
      </c>
      <c r="H1289" s="6" t="str">
        <f ca="1">IFERROR(__xludf.DUMMYFUNCTION("""COMPUTED_VALUE"""),"Murcia")</f>
        <v>Murcia</v>
      </c>
      <c r="I1289" s="6" t="str">
        <f ca="1">IFERROR(__xludf.DUMMYFUNCTION("""COMPUTED_VALUE"""),"C202592311224670")</f>
        <v>C202592311224670</v>
      </c>
      <c r="J1289" s="6" t="str">
        <f ca="1">IFERROR(__xludf.DUMMYFUNCTION("""COMPUTED_VALUE"""),"FRANCISCO JOSE GUTIERREZ ANGUITA")</f>
        <v>FRANCISCO JOSE GUTIERREZ ANGUITA</v>
      </c>
      <c r="K1289" s="6">
        <f ca="1">IFERROR(__xludf.DUMMYFUNCTION("""COMPUTED_VALUE"""),2)</f>
        <v>2</v>
      </c>
      <c r="L1289" s="139">
        <f ca="1">IFERROR(__xludf.DUMMYFUNCTION("""COMPUTED_VALUE"""),4536.37)</f>
        <v>4536.37</v>
      </c>
      <c r="M1289" s="6" t="str">
        <f ca="1">IFERROR(__xludf.DUMMYFUNCTION("""COMPUTED_VALUE"""),"03 ORL")</f>
        <v>03 ORL</v>
      </c>
      <c r="N1289" s="6" t="str">
        <f ca="1">IFERROR(__xludf.DUMMYFUNCTION("""COMPUTED_VALUE"""),"06 ORL")</f>
        <v>06 ORL</v>
      </c>
      <c r="O1289" s="6" t="str">
        <f ca="1">IFERROR(__xludf.DUMMYFUNCTION("""COMPUTED_VALUE"""),"Dra, María Agustina Sevilla García")</f>
        <v>Dra, María Agustina Sevilla García</v>
      </c>
      <c r="P1289" s="6" t="str">
        <f ca="1">IFERROR(__xludf.DUMMYFUNCTION("""COMPUTED_VALUE"""),"Iván Sánchez (Levante Y Albacete)")</f>
        <v>Iván Sánchez (Levante Y Albacete)</v>
      </c>
    </row>
    <row r="1290" spans="2:16">
      <c r="B1290" s="6">
        <f ca="1">IFERROR(__xludf.DUMMYFUNCTION("""COMPUTED_VALUE"""),2025)</f>
        <v>2025</v>
      </c>
      <c r="C1290" s="6">
        <f ca="1">IFERROR(__xludf.DUMMYFUNCTION("""COMPUTED_VALUE"""),10)</f>
        <v>10</v>
      </c>
      <c r="D1290" s="6" t="str">
        <f ca="1">IFERROR(__xludf.DUMMYFUNCTION("""COMPUTED_VALUE"""),"NO")</f>
        <v>NO</v>
      </c>
      <c r="E1290" s="6" t="str">
        <f ca="1">IFERROR(__xludf.DUMMYFUNCTION("""COMPUTED_VALUE"""),"Cáceres")</f>
        <v>Cáceres</v>
      </c>
      <c r="F1290" s="16">
        <f ca="1">IFERROR(__xludf.DUMMYFUNCTION("""COMPUTED_VALUE"""),45950)</f>
        <v>45950</v>
      </c>
      <c r="G1290" s="16">
        <f ca="1">IFERROR(__xludf.DUMMYFUNCTION("""COMPUTED_VALUE"""),45891)</f>
        <v>45891</v>
      </c>
      <c r="H1290" s="6" t="str">
        <f ca="1">IFERROR(__xludf.DUMMYFUNCTION("""COMPUTED_VALUE"""),"Cáceres")</f>
        <v>Cáceres</v>
      </c>
      <c r="I1290" s="6" t="str">
        <f ca="1">IFERROR(__xludf.DUMMYFUNCTION("""COMPUTED_VALUE"""),"CAC-376")</f>
        <v>CAC-376</v>
      </c>
      <c r="J1290" s="6" t="str">
        <f ca="1">IFERROR(__xludf.DUMMYFUNCTION("""COMPUTED_VALUE"""),"JUANA GUZMAN CARRASCO")</f>
        <v>JUANA GUZMAN CARRASCO</v>
      </c>
      <c r="K1290" s="6">
        <f ca="1">IFERROR(__xludf.DUMMYFUNCTION("""COMPUTED_VALUE"""),2)</f>
        <v>2</v>
      </c>
      <c r="L1290" s="139">
        <f ca="1">IFERROR(__xludf.DUMMYFUNCTION("""COMPUTED_VALUE"""),4045.46)</f>
        <v>4045.46</v>
      </c>
      <c r="M1290" s="6" t="str">
        <f ca="1">IFERROR(__xludf.DUMMYFUNCTION("""COMPUTED_VALUE"""),"03 ORL")</f>
        <v>03 ORL</v>
      </c>
      <c r="N1290" s="6" t="str">
        <f ca="1">IFERROR(__xludf.DUMMYFUNCTION("""COMPUTED_VALUE"""),"06 ORL")</f>
        <v>06 ORL</v>
      </c>
      <c r="O1290" s="6" t="str">
        <f ca="1">IFERROR(__xludf.DUMMYFUNCTION("""COMPUTED_VALUE"""),"Dr, Javier García Gómez")</f>
        <v>Dr, Javier García Gómez</v>
      </c>
      <c r="P1290" s="6" t="str">
        <f ca="1">IFERROR(__xludf.DUMMYFUNCTION("""COMPUTED_VALUE"""),"Lisandro Russian (Madrid, Cáceres, Toledo, Talavera Y Logroño)")</f>
        <v>Lisandro Russian (Madrid, Cáceres, Toledo, Talavera Y Logroño)</v>
      </c>
    </row>
    <row r="1291" spans="2:16">
      <c r="B1291" s="6">
        <f ca="1">IFERROR(__xludf.DUMMYFUNCTION("""COMPUTED_VALUE"""),2025)</f>
        <v>2025</v>
      </c>
      <c r="C1291" s="6">
        <f ca="1">IFERROR(__xludf.DUMMYFUNCTION("""COMPUTED_VALUE"""),10)</f>
        <v>10</v>
      </c>
      <c r="D1291" s="6" t="str">
        <f ca="1">IFERROR(__xludf.DUMMYFUNCTION("""COMPUTED_VALUE"""),"NO")</f>
        <v>NO</v>
      </c>
      <c r="E1291" s="6" t="str">
        <f ca="1">IFERROR(__xludf.DUMMYFUNCTION("""COMPUTED_VALUE"""),"Madrid- La Oca")</f>
        <v>Madrid- La Oca</v>
      </c>
      <c r="F1291" s="16">
        <f ca="1">IFERROR(__xludf.DUMMYFUNCTION("""COMPUTED_VALUE"""),45950)</f>
        <v>45950</v>
      </c>
      <c r="G1291" s="16">
        <f ca="1">IFERROR(__xludf.DUMMYFUNCTION("""COMPUTED_VALUE"""),45908)</f>
        <v>45908</v>
      </c>
      <c r="H1291" s="6" t="str">
        <f ca="1">IFERROR(__xludf.DUMMYFUNCTION("""COMPUTED_VALUE"""),"La Oca")</f>
        <v>La Oca</v>
      </c>
      <c r="I1291" s="6" t="str">
        <f ca="1">IFERROR(__xludf.DUMMYFUNCTION("""COMPUTED_VALUE"""),"C2025910182514884")</f>
        <v>C2025910182514884</v>
      </c>
      <c r="J1291" s="6" t="str">
        <f ca="1">IFERROR(__xludf.DUMMYFUNCTION("""COMPUTED_VALUE"""),"ASUNCION SALVE PARDO")</f>
        <v>ASUNCION SALVE PARDO</v>
      </c>
      <c r="K1291" s="6">
        <f ca="1">IFERROR(__xludf.DUMMYFUNCTION("""COMPUTED_VALUE"""),2)</f>
        <v>2</v>
      </c>
      <c r="L1291" s="139">
        <f ca="1">IFERROR(__xludf.DUMMYFUNCTION("""COMPUTED_VALUE"""),2581.82)</f>
        <v>2581.8200000000002</v>
      </c>
      <c r="M1291" s="6" t="str">
        <f ca="1">IFERROR(__xludf.DUMMYFUNCTION("""COMPUTED_VALUE"""),"03 ORL")</f>
        <v>03 ORL</v>
      </c>
      <c r="N1291" s="6" t="str">
        <f ca="1">IFERROR(__xludf.DUMMYFUNCTION("""COMPUTED_VALUE"""),"06 ORL")</f>
        <v>06 ORL</v>
      </c>
      <c r="O1291" s="6" t="str">
        <f ca="1">IFERROR(__xludf.DUMMYFUNCTION("""COMPUTED_VALUE"""),"Dr, Julio López Moya")</f>
        <v>Dr, Julio López Moya</v>
      </c>
      <c r="P1291" s="6" t="str">
        <f ca="1">IFERROR(__xludf.DUMMYFUNCTION("""COMPUTED_VALUE"""),"Maika Blázquez (Madrid)")</f>
        <v>Maika Blázquez (Madrid)</v>
      </c>
    </row>
    <row r="1292" spans="2:16">
      <c r="B1292" s="6">
        <f ca="1">IFERROR(__xludf.DUMMYFUNCTION("""COMPUTED_VALUE"""),2025)</f>
        <v>2025</v>
      </c>
      <c r="C1292" s="6">
        <f ca="1">IFERROR(__xludf.DUMMYFUNCTION("""COMPUTED_VALUE"""),10)</f>
        <v>10</v>
      </c>
      <c r="D1292" s="6" t="str">
        <f ca="1">IFERROR(__xludf.DUMMYFUNCTION("""COMPUTED_VALUE"""),"NO")</f>
        <v>NO</v>
      </c>
      <c r="E1292" s="6" t="str">
        <f ca="1">IFERROR(__xludf.DUMMYFUNCTION("""COMPUTED_VALUE"""),"Valencia- Cádiz")</f>
        <v>Valencia- Cádiz</v>
      </c>
      <c r="F1292" s="16">
        <f ca="1">IFERROR(__xludf.DUMMYFUNCTION("""COMPUTED_VALUE"""),45950)</f>
        <v>45950</v>
      </c>
      <c r="G1292" s="16">
        <f ca="1">IFERROR(__xludf.DUMMYFUNCTION("""COMPUTED_VALUE"""),45917)</f>
        <v>45917</v>
      </c>
      <c r="H1292" s="6" t="str">
        <f ca="1">IFERROR(__xludf.DUMMYFUNCTION("""COMPUTED_VALUE"""),"Valencia- Cádiz")</f>
        <v>Valencia- Cádiz</v>
      </c>
      <c r="I1292" s="6" t="str">
        <f ca="1">IFERROR(__xludf.DUMMYFUNCTION("""COMPUTED_VALUE"""),"C20259241242675")</f>
        <v>C20259241242675</v>
      </c>
      <c r="J1292" s="6" t="str">
        <f ca="1">IFERROR(__xludf.DUMMYFUNCTION("""COMPUTED_VALUE"""),"PEDRO ANTON GONZALO")</f>
        <v>PEDRO ANTON GONZALO</v>
      </c>
      <c r="K1292" s="6">
        <f ca="1">IFERROR(__xludf.DUMMYFUNCTION("""COMPUTED_VALUE"""),1)</f>
        <v>1</v>
      </c>
      <c r="L1292" s="139">
        <f ca="1">IFERROR(__xludf.DUMMYFUNCTION("""COMPUTED_VALUE"""),2180.91)</f>
        <v>2180.91</v>
      </c>
      <c r="M1292" s="6" t="str">
        <f ca="1">IFERROR(__xludf.DUMMYFUNCTION("""COMPUTED_VALUE"""),"03 ORL")</f>
        <v>03 ORL</v>
      </c>
      <c r="N1292" s="6" t="str">
        <f ca="1">IFERROR(__xludf.DUMMYFUNCTION("""COMPUTED_VALUE"""),"06 ORL")</f>
        <v>06 ORL</v>
      </c>
      <c r="O1292" s="6" t="str">
        <f ca="1">IFERROR(__xludf.DUMMYFUNCTION("""COMPUTED_VALUE"""),"Dr, Abel Guzmán Calvete")</f>
        <v>Dr, Abel Guzmán Calvete</v>
      </c>
      <c r="P1292" s="6" t="str">
        <f ca="1">IFERROR(__xludf.DUMMYFUNCTION("""COMPUTED_VALUE"""),"Ramon Ferrando(Valencia)")</f>
        <v>Ramon Ferrando(Valencia)</v>
      </c>
    </row>
    <row r="1293" spans="2:16">
      <c r="B1293" s="6">
        <f ca="1">IFERROR(__xludf.DUMMYFUNCTION("""COMPUTED_VALUE"""),2025)</f>
        <v>2025</v>
      </c>
      <c r="C1293" s="6">
        <f ca="1">IFERROR(__xludf.DUMMYFUNCTION("""COMPUTED_VALUE"""),10)</f>
        <v>10</v>
      </c>
      <c r="D1293" s="6" t="str">
        <f ca="1">IFERROR(__xludf.DUMMYFUNCTION("""COMPUTED_VALUE"""),"NO")</f>
        <v>NO</v>
      </c>
      <c r="E1293" s="6" t="str">
        <f ca="1">IFERROR(__xludf.DUMMYFUNCTION("""COMPUTED_VALUE"""),"Orihuela")</f>
        <v>Orihuela</v>
      </c>
      <c r="F1293" s="16">
        <f ca="1">IFERROR(__xludf.DUMMYFUNCTION("""COMPUTED_VALUE"""),45950)</f>
        <v>45950</v>
      </c>
      <c r="G1293" s="16">
        <f ca="1">IFERROR(__xludf.DUMMYFUNCTION("""COMPUTED_VALUE"""),45904)</f>
        <v>45904</v>
      </c>
      <c r="H1293" s="6" t="str">
        <f ca="1">IFERROR(__xludf.DUMMYFUNCTION("""COMPUTED_VALUE"""),"La Zenia")</f>
        <v>La Zenia</v>
      </c>
      <c r="I1293" s="6" t="str">
        <f ca="1">IFERROR(__xludf.DUMMYFUNCTION("""COMPUTED_VALUE"""),"C20259121612700")</f>
        <v>C20259121612700</v>
      </c>
      <c r="J1293" s="6" t="str">
        <f ca="1">IFERROR(__xludf.DUMMYFUNCTION("""COMPUTED_VALUE"""),"ANGELIKA ARMELIA TSCHUDIN")</f>
        <v>ANGELIKA ARMELIA TSCHUDIN</v>
      </c>
      <c r="K1293" s="6">
        <f ca="1">IFERROR(__xludf.DUMMYFUNCTION("""COMPUTED_VALUE"""),2)</f>
        <v>2</v>
      </c>
      <c r="L1293" s="139">
        <f ca="1">IFERROR(__xludf.DUMMYFUNCTION("""COMPUTED_VALUE"""),2581.82)</f>
        <v>2581.8200000000002</v>
      </c>
      <c r="M1293" s="6" t="str">
        <f ca="1">IFERROR(__xludf.DUMMYFUNCTION("""COMPUTED_VALUE"""),"03 ORL")</f>
        <v>03 ORL</v>
      </c>
      <c r="N1293" s="6" t="str">
        <f ca="1">IFERROR(__xludf.DUMMYFUNCTION("""COMPUTED_VALUE"""),"06 ORL")</f>
        <v>06 ORL</v>
      </c>
      <c r="O1293" s="6" t="str">
        <f ca="1">IFERROR(__xludf.DUMMYFUNCTION("""COMPUTED_VALUE"""),"Dr, Carlos Velásquez Fermín")</f>
        <v>Dr, Carlos Velásquez Fermín</v>
      </c>
      <c r="P1293" s="6" t="str">
        <f ca="1">IFERROR(__xludf.DUMMYFUNCTION("""COMPUTED_VALUE"""),"Iván Sánchez (Levante Y Albacete)")</f>
        <v>Iván Sánchez (Levante Y Albacete)</v>
      </c>
    </row>
    <row r="1294" spans="2:16">
      <c r="B1294" s="6">
        <f ca="1">IFERROR(__xludf.DUMMYFUNCTION("""COMPUTED_VALUE"""),2025)</f>
        <v>2025</v>
      </c>
      <c r="C1294" s="6">
        <f ca="1">IFERROR(__xludf.DUMMYFUNCTION("""COMPUTED_VALUE"""),10)</f>
        <v>10</v>
      </c>
      <c r="D1294" s="6" t="str">
        <f ca="1">IFERROR(__xludf.DUMMYFUNCTION("""COMPUTED_VALUE"""),"NO")</f>
        <v>NO</v>
      </c>
      <c r="E1294" s="6" t="str">
        <f ca="1">IFERROR(__xludf.DUMMYFUNCTION("""COMPUTED_VALUE"""),"Getafe")</f>
        <v>Getafe</v>
      </c>
      <c r="F1294" s="16">
        <f ca="1">IFERROR(__xludf.DUMMYFUNCTION("""COMPUTED_VALUE"""),45950)</f>
        <v>45950</v>
      </c>
      <c r="G1294" s="16">
        <f ca="1">IFERROR(__xludf.DUMMYFUNCTION("""COMPUTED_VALUE"""),45916)</f>
        <v>45916</v>
      </c>
      <c r="H1294" s="6" t="str">
        <f ca="1">IFERROR(__xludf.DUMMYFUNCTION("""COMPUTED_VALUE"""),"Getafe")</f>
        <v>Getafe</v>
      </c>
      <c r="I1294" s="6" t="str">
        <f ca="1">IFERROR(__xludf.DUMMYFUNCTION("""COMPUTED_VALUE"""),"C202592216530238")</f>
        <v>C202592216530238</v>
      </c>
      <c r="J1294" s="6" t="str">
        <f ca="1">IFERROR(__xludf.DUMMYFUNCTION("""COMPUTED_VALUE"""),"MANUEL FLORES GARCÍA CUEVAS")</f>
        <v>MANUEL FLORES GARCÍA CUEVAS</v>
      </c>
      <c r="K1294" s="6">
        <f ca="1">IFERROR(__xludf.DUMMYFUNCTION("""COMPUTED_VALUE"""),2)</f>
        <v>2</v>
      </c>
      <c r="L1294" s="139">
        <f ca="1">IFERROR(__xludf.DUMMYFUNCTION("""COMPUTED_VALUE"""),2718.19)</f>
        <v>2718.19</v>
      </c>
      <c r="M1294" s="6" t="str">
        <f ca="1">IFERROR(__xludf.DUMMYFUNCTION("""COMPUTED_VALUE"""),"03 ORL")</f>
        <v>03 ORL</v>
      </c>
      <c r="N1294" s="6" t="str">
        <f ca="1">IFERROR(__xludf.DUMMYFUNCTION("""COMPUTED_VALUE"""),"06 ORL")</f>
        <v>06 ORL</v>
      </c>
      <c r="O1294" s="6" t="str">
        <f ca="1">IFERROR(__xludf.DUMMYFUNCTION("""COMPUTED_VALUE"""),"Dra, Irene Mármol Szmobathy")</f>
        <v>Dra, Irene Mármol Szmobathy</v>
      </c>
      <c r="P1294" s="6" t="str">
        <f ca="1">IFERROR(__xludf.DUMMYFUNCTION("""COMPUTED_VALUE"""),"Maika Blázquez (Madrid)")</f>
        <v>Maika Blázquez (Madrid)</v>
      </c>
    </row>
    <row r="1295" spans="2:16">
      <c r="B1295" s="6">
        <f ca="1">IFERROR(__xludf.DUMMYFUNCTION("""COMPUTED_VALUE"""),2025)</f>
        <v>2025</v>
      </c>
      <c r="C1295" s="6">
        <f ca="1">IFERROR(__xludf.DUMMYFUNCTION("""COMPUTED_VALUE"""),10)</f>
        <v>10</v>
      </c>
      <c r="D1295" s="6" t="str">
        <f ca="1">IFERROR(__xludf.DUMMYFUNCTION("""COMPUTED_VALUE"""),"NO")</f>
        <v>NO</v>
      </c>
      <c r="E1295" s="6" t="str">
        <f ca="1">IFERROR(__xludf.DUMMYFUNCTION("""COMPUTED_VALUE"""),"Madrid- Monforte de Lemos")</f>
        <v>Madrid- Monforte de Lemos</v>
      </c>
      <c r="F1295" s="16">
        <f ca="1">IFERROR(__xludf.DUMMYFUNCTION("""COMPUTED_VALUE"""),45950)</f>
        <v>45950</v>
      </c>
      <c r="G1295" s="16">
        <f ca="1">IFERROR(__xludf.DUMMYFUNCTION("""COMPUTED_VALUE"""),45909)</f>
        <v>45909</v>
      </c>
      <c r="H1295" s="6" t="str">
        <f ca="1">IFERROR(__xludf.DUMMYFUNCTION("""COMPUTED_VALUE"""),"La Vaguada")</f>
        <v>La Vaguada</v>
      </c>
      <c r="I1295" s="6" t="str">
        <f ca="1">IFERROR(__xludf.DUMMYFUNCTION("""COMPUTED_VALUE"""),"C2025912134940910")</f>
        <v>C2025912134940910</v>
      </c>
      <c r="J1295" s="6" t="str">
        <f ca="1">IFERROR(__xludf.DUMMYFUNCTION("""COMPUTED_VALUE"""),"JAVIER POOL MAZAS")</f>
        <v>JAVIER POOL MAZAS</v>
      </c>
      <c r="K1295" s="6">
        <f ca="1">IFERROR(__xludf.DUMMYFUNCTION("""COMPUTED_VALUE"""),2)</f>
        <v>2</v>
      </c>
      <c r="L1295" s="139">
        <f ca="1">IFERROR(__xludf.DUMMYFUNCTION("""COMPUTED_VALUE"""),4136.36)</f>
        <v>4136.3599999999997</v>
      </c>
      <c r="M1295" s="6" t="str">
        <f ca="1">IFERROR(__xludf.DUMMYFUNCTION("""COMPUTED_VALUE"""),"04 TIENDA")</f>
        <v>04 TIENDA</v>
      </c>
      <c r="N1295" s="6" t="str">
        <f ca="1">IFERROR(__xludf.DUMMYFUNCTION("""COMPUTED_VALUE"""),"07 BOCA/BOCA")</f>
        <v>07 BOCA/BOCA</v>
      </c>
      <c r="O1295" s="6" t="str">
        <f ca="1">IFERROR(__xludf.DUMMYFUNCTION("""COMPUTED_VALUE"""),"Dr, Antonio Bueno Ríos")</f>
        <v>Dr, Antonio Bueno Ríos</v>
      </c>
      <c r="P1295" s="6" t="str">
        <f ca="1">IFERROR(__xludf.DUMMYFUNCTION("""COMPUTED_VALUE"""),"Lisandro Russian (Madrid, Cáceres, Toledo, Talavera Y Logroño)")</f>
        <v>Lisandro Russian (Madrid, Cáceres, Toledo, Talavera Y Logroño)</v>
      </c>
    </row>
    <row r="1296" spans="2:16">
      <c r="B1296" s="6">
        <f ca="1">IFERROR(__xludf.DUMMYFUNCTION("""COMPUTED_VALUE"""),2025)</f>
        <v>2025</v>
      </c>
      <c r="C1296" s="6">
        <f ca="1">IFERROR(__xludf.DUMMYFUNCTION("""COMPUTED_VALUE"""),10)</f>
        <v>10</v>
      </c>
      <c r="D1296" s="6" t="str">
        <f ca="1">IFERROR(__xludf.DUMMYFUNCTION("""COMPUTED_VALUE"""),"NO")</f>
        <v>NO</v>
      </c>
      <c r="E1296" s="6" t="str">
        <f ca="1">IFERROR(__xludf.DUMMYFUNCTION("""COMPUTED_VALUE"""),"Leganés")</f>
        <v>Leganés</v>
      </c>
      <c r="F1296" s="16">
        <f ca="1">IFERROR(__xludf.DUMMYFUNCTION("""COMPUTED_VALUE"""),45950)</f>
        <v>45950</v>
      </c>
      <c r="G1296" s="16">
        <f ca="1">IFERROR(__xludf.DUMMYFUNCTION("""COMPUTED_VALUE"""),45855)</f>
        <v>45855</v>
      </c>
      <c r="H1296" s="6" t="str">
        <f ca="1">IFERROR(__xludf.DUMMYFUNCTION("""COMPUTED_VALUE"""),"Leganés")</f>
        <v>Leganés</v>
      </c>
      <c r="I1296" s="6" t="str">
        <f ca="1">IFERROR(__xludf.DUMMYFUNCTION("""COMPUTED_VALUE"""),"C202592112646291")</f>
        <v>C202592112646291</v>
      </c>
      <c r="J1296" s="6" t="str">
        <f ca="1">IFERROR(__xludf.DUMMYFUNCTION("""COMPUTED_VALUE"""),"MANUELA PASTOR GIL")</f>
        <v>MANUELA PASTOR GIL</v>
      </c>
      <c r="K1296" s="6">
        <f ca="1">IFERROR(__xludf.DUMMYFUNCTION("""COMPUTED_VALUE"""),2)</f>
        <v>2</v>
      </c>
      <c r="L1296" s="139">
        <f ca="1">IFERROR(__xludf.DUMMYFUNCTION("""COMPUTED_VALUE"""),2718.18)</f>
        <v>2718.18</v>
      </c>
      <c r="M1296" s="6" t="str">
        <f ca="1">IFERROR(__xludf.DUMMYFUNCTION("""COMPUTED_VALUE"""),"03 ORL")</f>
        <v>03 ORL</v>
      </c>
      <c r="N1296" s="6" t="str">
        <f ca="1">IFERROR(__xludf.DUMMYFUNCTION("""COMPUTED_VALUE"""),"06 ORL")</f>
        <v>06 ORL</v>
      </c>
      <c r="O1296" s="6" t="str">
        <f ca="1">IFERROR(__xludf.DUMMYFUNCTION("""COMPUTED_VALUE"""),"Dra, Ana Ruiz Fornells Noreña")</f>
        <v>Dra, Ana Ruiz Fornells Noreña</v>
      </c>
      <c r="P1296" s="6" t="str">
        <f ca="1">IFERROR(__xludf.DUMMYFUNCTION("""COMPUTED_VALUE"""),"Maika Blázquez (Madrid)")</f>
        <v>Maika Blázquez (Madrid)</v>
      </c>
    </row>
    <row r="1297" spans="2:16">
      <c r="B1297" s="6">
        <f ca="1">IFERROR(__xludf.DUMMYFUNCTION("""COMPUTED_VALUE"""),2025)</f>
        <v>2025</v>
      </c>
      <c r="C1297" s="6">
        <f ca="1">IFERROR(__xludf.DUMMYFUNCTION("""COMPUTED_VALUE"""),10)</f>
        <v>10</v>
      </c>
      <c r="D1297" s="6" t="str">
        <f ca="1">IFERROR(__xludf.DUMMYFUNCTION("""COMPUTED_VALUE"""),"NO")</f>
        <v>NO</v>
      </c>
      <c r="E1297" s="6" t="str">
        <f ca="1">IFERROR(__xludf.DUMMYFUNCTION("""COMPUTED_VALUE"""),"Lalín")</f>
        <v>Lalín</v>
      </c>
      <c r="F1297" s="16">
        <f ca="1">IFERROR(__xludf.DUMMYFUNCTION("""COMPUTED_VALUE"""),45951)</f>
        <v>45951</v>
      </c>
      <c r="G1297" s="16">
        <f ca="1">IFERROR(__xludf.DUMMYFUNCTION("""COMPUTED_VALUE"""),45769)</f>
        <v>45769</v>
      </c>
      <c r="H1297" s="6" t="str">
        <f ca="1">IFERROR(__xludf.DUMMYFUNCTION("""COMPUTED_VALUE"""),"Lalín")</f>
        <v>Lalín</v>
      </c>
      <c r="I1297" s="6" t="str">
        <f ca="1">IFERROR(__xludf.DUMMYFUNCTION("""COMPUTED_VALUE"""),"LAL-144")</f>
        <v>LAL-144</v>
      </c>
      <c r="J1297" s="6" t="str">
        <f ca="1">IFERROR(__xludf.DUMMYFUNCTION("""COMPUTED_VALUE"""),"MANUEL GAITEIRO FERNANDEZ")</f>
        <v>MANUEL GAITEIRO FERNANDEZ</v>
      </c>
      <c r="K1297" s="6">
        <f ca="1">IFERROR(__xludf.DUMMYFUNCTION("""COMPUTED_VALUE"""),1)</f>
        <v>1</v>
      </c>
      <c r="L1297" s="139">
        <f ca="1">IFERROR(__xludf.DUMMYFUNCTION("""COMPUTED_VALUE"""),500)</f>
        <v>500</v>
      </c>
      <c r="M1297" s="6" t="str">
        <f ca="1">IFERROR(__xludf.DUMMYFUNCTION("""COMPUTED_VALUE"""),"03 ORL")</f>
        <v>03 ORL</v>
      </c>
      <c r="N1297" s="6" t="str">
        <f ca="1">IFERROR(__xludf.DUMMYFUNCTION("""COMPUTED_VALUE"""),"06 ORL")</f>
        <v>06 ORL</v>
      </c>
      <c r="O1297" s="6" t="str">
        <f ca="1">IFERROR(__xludf.DUMMYFUNCTION("""COMPUTED_VALUE"""),"Dr, Carlos Vidal Redondo")</f>
        <v>Dr, Carlos Vidal Redondo</v>
      </c>
      <c r="P1297" s="6" t="str">
        <f ca="1">IFERROR(__xludf.DUMMYFUNCTION("""COMPUTED_VALUE"""),"Roberto Pereira (Galicia)")</f>
        <v>Roberto Pereira (Galicia)</v>
      </c>
    </row>
    <row r="1298" spans="2:16">
      <c r="B1298" s="6">
        <f ca="1">IFERROR(__xludf.DUMMYFUNCTION("""COMPUTED_VALUE"""),2025)</f>
        <v>2025</v>
      </c>
      <c r="C1298" s="6">
        <f ca="1">IFERROR(__xludf.DUMMYFUNCTION("""COMPUTED_VALUE"""),10)</f>
        <v>10</v>
      </c>
      <c r="D1298" s="6" t="str">
        <f ca="1">IFERROR(__xludf.DUMMYFUNCTION("""COMPUTED_VALUE"""),"NO")</f>
        <v>NO</v>
      </c>
      <c r="E1298" s="6" t="str">
        <f ca="1">IFERROR(__xludf.DUMMYFUNCTION("""COMPUTED_VALUE"""),"Zaragoza- León XIII")</f>
        <v>Zaragoza- León XIII</v>
      </c>
      <c r="F1298" s="16">
        <f ca="1">IFERROR(__xludf.DUMMYFUNCTION("""COMPUTED_VALUE"""),45951)</f>
        <v>45951</v>
      </c>
      <c r="G1298" s="16">
        <f ca="1">IFERROR(__xludf.DUMMYFUNCTION("""COMPUTED_VALUE"""),45537)</f>
        <v>45537</v>
      </c>
      <c r="H1298" s="6" t="str">
        <f ca="1">IFERROR(__xludf.DUMMYFUNCTION("""COMPUTED_VALUE"""),"Zaragoza")</f>
        <v>Zaragoza</v>
      </c>
      <c r="I1298" s="6" t="str">
        <f ca="1">IFERROR(__xludf.DUMMYFUNCTION("""COMPUTED_VALUE"""),"ZRG-451")</f>
        <v>ZRG-451</v>
      </c>
      <c r="J1298" s="6" t="str">
        <f ca="1">IFERROR(__xludf.DUMMYFUNCTION("""COMPUTED_VALUE"""),"MARIA NAVALLAS USÓN")</f>
        <v>MARIA NAVALLAS USÓN</v>
      </c>
      <c r="K1298" s="6">
        <f ca="1">IFERROR(__xludf.DUMMYFUNCTION("""COMPUTED_VALUE"""),1)</f>
        <v>1</v>
      </c>
      <c r="L1298" s="139">
        <f ca="1">IFERROR(__xludf.DUMMYFUNCTION("""COMPUTED_VALUE"""),1732.73)</f>
        <v>1732.73</v>
      </c>
      <c r="M1298" s="6" t="str">
        <f ca="1">IFERROR(__xludf.DUMMYFUNCTION("""COMPUTED_VALUE"""),"03 ORL")</f>
        <v>03 ORL</v>
      </c>
      <c r="N1298" s="6" t="str">
        <f ca="1">IFERROR(__xludf.DUMMYFUNCTION("""COMPUTED_VALUE"""),"06 ORL")</f>
        <v>06 ORL</v>
      </c>
      <c r="O1298" s="6" t="str">
        <f ca="1">IFERROR(__xludf.DUMMYFUNCTION("""COMPUTED_VALUE"""),"Dr, José Manuel García Solans-Esteras")</f>
        <v>Dr, José Manuel García Solans-Esteras</v>
      </c>
      <c r="P1298" s="6" t="str">
        <f ca="1">IFERROR(__xludf.DUMMYFUNCTION("""COMPUTED_VALUE"""),"Ignacio Berdejo (Zaragoza)")</f>
        <v>Ignacio Berdejo (Zaragoza)</v>
      </c>
    </row>
    <row r="1299" spans="2:16">
      <c r="B1299" s="6">
        <f ca="1">IFERROR(__xludf.DUMMYFUNCTION("""COMPUTED_VALUE"""),2025)</f>
        <v>2025</v>
      </c>
      <c r="C1299" s="6">
        <f ca="1">IFERROR(__xludf.DUMMYFUNCTION("""COMPUTED_VALUE"""),10)</f>
        <v>10</v>
      </c>
      <c r="D1299" s="6" t="str">
        <f ca="1">IFERROR(__xludf.DUMMYFUNCTION("""COMPUTED_VALUE"""),"NO")</f>
        <v>NO</v>
      </c>
      <c r="E1299" s="6" t="str">
        <f ca="1">IFERROR(__xludf.DUMMYFUNCTION("""COMPUTED_VALUE"""),"Madrid- Juan Bravo")</f>
        <v>Madrid- Juan Bravo</v>
      </c>
      <c r="F1299" s="16">
        <f ca="1">IFERROR(__xludf.DUMMYFUNCTION("""COMPUTED_VALUE"""),45951)</f>
        <v>45951</v>
      </c>
      <c r="G1299" s="16">
        <f ca="1">IFERROR(__xludf.DUMMYFUNCTION("""COMPUTED_VALUE"""),45918)</f>
        <v>45918</v>
      </c>
      <c r="H1299" s="6" t="str">
        <f ca="1">IFERROR(__xludf.DUMMYFUNCTION("""COMPUTED_VALUE"""),"Juan Bravo")</f>
        <v>Juan Bravo</v>
      </c>
      <c r="I1299" s="6" t="str">
        <f ca="1">IFERROR(__xludf.DUMMYFUNCTION("""COMPUTED_VALUE"""),"C2025925102936960")</f>
        <v>C2025925102936960</v>
      </c>
      <c r="J1299" s="6" t="str">
        <f ca="1">IFERROR(__xludf.DUMMYFUNCTION("""COMPUTED_VALUE"""),"INMACULADA GONZALEZ DE QUEVEDO GONZALEZ DE QUEVEDO")</f>
        <v>INMACULADA GONZALEZ DE QUEVEDO GONZALEZ DE QUEVEDO</v>
      </c>
      <c r="K1299" s="6">
        <f ca="1">IFERROR(__xludf.DUMMYFUNCTION("""COMPUTED_VALUE"""),2)</f>
        <v>2</v>
      </c>
      <c r="L1299" s="139">
        <f ca="1">IFERROR(__xludf.DUMMYFUNCTION("""COMPUTED_VALUE"""),4136.36)</f>
        <v>4136.3599999999997</v>
      </c>
      <c r="M1299" s="6" t="str">
        <f ca="1">IFERROR(__xludf.DUMMYFUNCTION("""COMPUTED_VALUE"""),"03 ORL")</f>
        <v>03 ORL</v>
      </c>
      <c r="N1299" s="6" t="str">
        <f ca="1">IFERROR(__xludf.DUMMYFUNCTION("""COMPUTED_VALUE"""),"06 ORL")</f>
        <v>06 ORL</v>
      </c>
      <c r="O1299" s="6" t="str">
        <f ca="1">IFERROR(__xludf.DUMMYFUNCTION("""COMPUTED_VALUE"""),"No recuerda ORL")</f>
        <v>No recuerda ORL</v>
      </c>
      <c r="P1299" s="6" t="str">
        <f ca="1">IFERROR(__xludf.DUMMYFUNCTION("""COMPUTED_VALUE"""),"Maika Blázquez (Madrid)")</f>
        <v>Maika Blázquez (Madrid)</v>
      </c>
    </row>
    <row r="1300" spans="2:16">
      <c r="B1300" s="6">
        <f ca="1">IFERROR(__xludf.DUMMYFUNCTION("""COMPUTED_VALUE"""),2025)</f>
        <v>2025</v>
      </c>
      <c r="C1300" s="6">
        <f ca="1">IFERROR(__xludf.DUMMYFUNCTION("""COMPUTED_VALUE"""),10)</f>
        <v>10</v>
      </c>
      <c r="D1300" s="6" t="str">
        <f ca="1">IFERROR(__xludf.DUMMYFUNCTION("""COMPUTED_VALUE"""),"NO")</f>
        <v>NO</v>
      </c>
      <c r="E1300" s="6" t="str">
        <f ca="1">IFERROR(__xludf.DUMMYFUNCTION("""COMPUTED_VALUE"""),"Fuenlabrada")</f>
        <v>Fuenlabrada</v>
      </c>
      <c r="F1300" s="16">
        <f ca="1">IFERROR(__xludf.DUMMYFUNCTION("""COMPUTED_VALUE"""),45951)</f>
        <v>45951</v>
      </c>
      <c r="G1300" s="16">
        <f ca="1">IFERROR(__xludf.DUMMYFUNCTION("""COMPUTED_VALUE"""),45926)</f>
        <v>45926</v>
      </c>
      <c r="H1300" s="6" t="str">
        <f ca="1">IFERROR(__xludf.DUMMYFUNCTION("""COMPUTED_VALUE"""),"Fuenlabrada")</f>
        <v>Fuenlabrada</v>
      </c>
      <c r="I1300" s="6" t="str">
        <f ca="1">IFERROR(__xludf.DUMMYFUNCTION("""COMPUTED_VALUE"""),"C202510117552199")</f>
        <v>C202510117552199</v>
      </c>
      <c r="J1300" s="6" t="str">
        <f ca="1">IFERROR(__xludf.DUMMYFUNCTION("""COMPUTED_VALUE"""),"LUISA COLMENERO GARRIDO")</f>
        <v>LUISA COLMENERO GARRIDO</v>
      </c>
      <c r="K1300" s="6">
        <f ca="1">IFERROR(__xludf.DUMMYFUNCTION("""COMPUTED_VALUE"""),2)</f>
        <v>2</v>
      </c>
      <c r="L1300" s="139">
        <f ca="1">IFERROR(__xludf.DUMMYFUNCTION("""COMPUTED_VALUE"""),2718.18)</f>
        <v>2718.18</v>
      </c>
      <c r="M1300" s="6" t="str">
        <f ca="1">IFERROR(__xludf.DUMMYFUNCTION("""COMPUTED_VALUE"""),"03 ORL")</f>
        <v>03 ORL</v>
      </c>
      <c r="N1300" s="6" t="str">
        <f ca="1">IFERROR(__xludf.DUMMYFUNCTION("""COMPUTED_VALUE"""),"06 ORL")</f>
        <v>06 ORL</v>
      </c>
      <c r="O1300" s="6" t="str">
        <f ca="1">IFERROR(__xludf.DUMMYFUNCTION("""COMPUTED_VALUE"""),"Dra, María Teresa Herrera Mera")</f>
        <v>Dra, María Teresa Herrera Mera</v>
      </c>
      <c r="P1300" s="6" t="str">
        <f ca="1">IFERROR(__xludf.DUMMYFUNCTION("""COMPUTED_VALUE"""),"Maika Blázquez (Madrid)")</f>
        <v>Maika Blázquez (Madrid)</v>
      </c>
    </row>
    <row r="1301" spans="2:16">
      <c r="B1301" s="6">
        <f ca="1">IFERROR(__xludf.DUMMYFUNCTION("""COMPUTED_VALUE"""),2025)</f>
        <v>2025</v>
      </c>
      <c r="C1301" s="6">
        <f ca="1">IFERROR(__xludf.DUMMYFUNCTION("""COMPUTED_VALUE"""),10)</f>
        <v>10</v>
      </c>
      <c r="D1301" s="6" t="str">
        <f ca="1">IFERROR(__xludf.DUMMYFUNCTION("""COMPUTED_VALUE"""),"NO")</f>
        <v>NO</v>
      </c>
      <c r="E1301" s="6" t="str">
        <f ca="1">IFERROR(__xludf.DUMMYFUNCTION("""COMPUTED_VALUE"""),"Getafe")</f>
        <v>Getafe</v>
      </c>
      <c r="F1301" s="16">
        <f ca="1">IFERROR(__xludf.DUMMYFUNCTION("""COMPUTED_VALUE"""),45951)</f>
        <v>45951</v>
      </c>
      <c r="G1301" s="16">
        <f ca="1">IFERROR(__xludf.DUMMYFUNCTION("""COMPUTED_VALUE"""),45014)</f>
        <v>45014</v>
      </c>
      <c r="H1301" s="6" t="str">
        <f ca="1">IFERROR(__xludf.DUMMYFUNCTION("""COMPUTED_VALUE"""),"Getafe")</f>
        <v>Getafe</v>
      </c>
      <c r="I1301" s="6" t="str">
        <f ca="1">IFERROR(__xludf.DUMMYFUNCTION("""COMPUTED_VALUE"""),"MGE-49")</f>
        <v>MGE-49</v>
      </c>
      <c r="J1301" s="6" t="str">
        <f ca="1">IFERROR(__xludf.DUMMYFUNCTION("""COMPUTED_VALUE"""),"MARIANA ROMERO MAYORGA")</f>
        <v>MARIANA ROMERO MAYORGA</v>
      </c>
      <c r="K1301" s="6">
        <f ca="1">IFERROR(__xludf.DUMMYFUNCTION("""COMPUTED_VALUE"""),2)</f>
        <v>2</v>
      </c>
      <c r="L1301" s="139">
        <f ca="1">IFERROR(__xludf.DUMMYFUNCTION("""COMPUTED_VALUE"""),3450.24)</f>
        <v>3450.24</v>
      </c>
      <c r="M1301" s="6" t="str">
        <f ca="1">IFERROR(__xludf.DUMMYFUNCTION("""COMPUTED_VALUE"""),"03 ORL")</f>
        <v>03 ORL</v>
      </c>
      <c r="N1301" s="6" t="str">
        <f ca="1">IFERROR(__xludf.DUMMYFUNCTION("""COMPUTED_VALUE"""),"06 ORL")</f>
        <v>06 ORL</v>
      </c>
      <c r="O1301" s="6" t="str">
        <f ca="1">IFERROR(__xludf.DUMMYFUNCTION("""COMPUTED_VALUE"""),"No recuerda ORL")</f>
        <v>No recuerda ORL</v>
      </c>
      <c r="P1301" s="6" t="str">
        <f ca="1">IFERROR(__xludf.DUMMYFUNCTION("""COMPUTED_VALUE"""),"Maika Blázquez (Madrid)")</f>
        <v>Maika Blázquez (Madrid)</v>
      </c>
    </row>
    <row r="1302" spans="2:16">
      <c r="B1302" s="6">
        <f ca="1">IFERROR(__xludf.DUMMYFUNCTION("""COMPUTED_VALUE"""),2025)</f>
        <v>2025</v>
      </c>
      <c r="C1302" s="6">
        <f ca="1">IFERROR(__xludf.DUMMYFUNCTION("""COMPUTED_VALUE"""),10)</f>
        <v>10</v>
      </c>
      <c r="D1302" s="6" t="str">
        <f ca="1">IFERROR(__xludf.DUMMYFUNCTION("""COMPUTED_VALUE"""),"NO")</f>
        <v>NO</v>
      </c>
      <c r="E1302" s="6" t="str">
        <f ca="1">IFERROR(__xludf.DUMMYFUNCTION("""COMPUTED_VALUE"""),"Getafe")</f>
        <v>Getafe</v>
      </c>
      <c r="F1302" s="16">
        <f ca="1">IFERROR(__xludf.DUMMYFUNCTION("""COMPUTED_VALUE"""),45951)</f>
        <v>45951</v>
      </c>
      <c r="G1302" s="16">
        <f ca="1">IFERROR(__xludf.DUMMYFUNCTION("""COMPUTED_VALUE"""),45895)</f>
        <v>45895</v>
      </c>
      <c r="H1302" s="6" t="str">
        <f ca="1">IFERROR(__xludf.DUMMYFUNCTION("""COMPUTED_VALUE"""),"Getafe")</f>
        <v>Getafe</v>
      </c>
      <c r="I1302" s="6" t="str">
        <f ca="1">IFERROR(__xludf.DUMMYFUNCTION("""COMPUTED_VALUE"""),"C2025911182457339")</f>
        <v>C2025911182457339</v>
      </c>
      <c r="J1302" s="6" t="str">
        <f ca="1">IFERROR(__xludf.DUMMYFUNCTION("""COMPUTED_VALUE"""),"JOSE MANUEL IZQUIERDO GRANERO")</f>
        <v>JOSE MANUEL IZQUIERDO GRANERO</v>
      </c>
      <c r="K1302" s="6">
        <f ca="1">IFERROR(__xludf.DUMMYFUNCTION("""COMPUTED_VALUE"""),2)</f>
        <v>2</v>
      </c>
      <c r="L1302" s="139">
        <f ca="1">IFERROR(__xludf.DUMMYFUNCTION("""COMPUTED_VALUE"""),4136.36)</f>
        <v>4136.3599999999997</v>
      </c>
      <c r="M1302" s="6" t="str">
        <f ca="1">IFERROR(__xludf.DUMMYFUNCTION("""COMPUTED_VALUE"""),"03 ORL")</f>
        <v>03 ORL</v>
      </c>
      <c r="N1302" s="6" t="str">
        <f ca="1">IFERROR(__xludf.DUMMYFUNCTION("""COMPUTED_VALUE"""),"06 ORL")</f>
        <v>06 ORL</v>
      </c>
      <c r="O1302" s="6" t="str">
        <f ca="1">IFERROR(__xludf.DUMMYFUNCTION("""COMPUTED_VALUE"""),"Dr, Fernando García Alcántara")</f>
        <v>Dr, Fernando García Alcántara</v>
      </c>
      <c r="P1302" s="6" t="str">
        <f ca="1">IFERROR(__xludf.DUMMYFUNCTION("""COMPUTED_VALUE"""),"Maika Blázquez (Madrid)")</f>
        <v>Maika Blázquez (Madrid)</v>
      </c>
    </row>
    <row r="1303" spans="2:16">
      <c r="B1303" s="6">
        <f ca="1">IFERROR(__xludf.DUMMYFUNCTION("""COMPUTED_VALUE"""),2025)</f>
        <v>2025</v>
      </c>
      <c r="C1303" s="6">
        <f ca="1">IFERROR(__xludf.DUMMYFUNCTION("""COMPUTED_VALUE"""),10)</f>
        <v>10</v>
      </c>
      <c r="D1303" s="6" t="str">
        <f ca="1">IFERROR(__xludf.DUMMYFUNCTION("""COMPUTED_VALUE"""),"NO")</f>
        <v>NO</v>
      </c>
      <c r="E1303" s="6" t="str">
        <f ca="1">IFERROR(__xludf.DUMMYFUNCTION("""COMPUTED_VALUE"""),"Torrejón de Ardoz")</f>
        <v>Torrejón de Ardoz</v>
      </c>
      <c r="F1303" s="16">
        <f ca="1">IFERROR(__xludf.DUMMYFUNCTION("""COMPUTED_VALUE"""),45951)</f>
        <v>45951</v>
      </c>
      <c r="G1303" s="16">
        <f ca="1">IFERROR(__xludf.DUMMYFUNCTION("""COMPUTED_VALUE"""),45839)</f>
        <v>45839</v>
      </c>
      <c r="H1303" s="6" t="str">
        <f ca="1">IFERROR(__xludf.DUMMYFUNCTION("""COMPUTED_VALUE"""),"Torrejón")</f>
        <v>Torrejón</v>
      </c>
      <c r="I1303" s="6" t="str">
        <f ca="1">IFERROR(__xludf.DUMMYFUNCTION("""COMPUTED_VALUE"""),"C20257112515230")</f>
        <v>C20257112515230</v>
      </c>
      <c r="J1303" s="6" t="str">
        <f ca="1">IFERROR(__xludf.DUMMYFUNCTION("""COMPUTED_VALUE"""),"CRISTINA BORREGO MARCOS")</f>
        <v>CRISTINA BORREGO MARCOS</v>
      </c>
      <c r="K1303" s="6">
        <f ca="1">IFERROR(__xludf.DUMMYFUNCTION("""COMPUTED_VALUE"""),2)</f>
        <v>2</v>
      </c>
      <c r="L1303" s="139">
        <f ca="1">IFERROR(__xludf.DUMMYFUNCTION("""COMPUTED_VALUE"""),4000)</f>
        <v>4000</v>
      </c>
      <c r="M1303" s="6" t="str">
        <f ca="1">IFERROR(__xludf.DUMMYFUNCTION("""COMPUTED_VALUE"""),"03 ORL")</f>
        <v>03 ORL</v>
      </c>
      <c r="N1303" s="6" t="str">
        <f ca="1">IFERROR(__xludf.DUMMYFUNCTION("""COMPUTED_VALUE"""),"06 ORL")</f>
        <v>06 ORL</v>
      </c>
      <c r="O1303" s="6" t="str">
        <f ca="1">IFERROR(__xludf.DUMMYFUNCTION("""COMPUTED_VALUE"""),"Dra, Marta Abad Pascual")</f>
        <v>Dra, Marta Abad Pascual</v>
      </c>
      <c r="P1303" s="6" t="str">
        <f ca="1">IFERROR(__xludf.DUMMYFUNCTION("""COMPUTED_VALUE"""),"Maika Blázquez (Madrid)")</f>
        <v>Maika Blázquez (Madrid)</v>
      </c>
    </row>
    <row r="1304" spans="2:16">
      <c r="B1304" s="6">
        <f ca="1">IFERROR(__xludf.DUMMYFUNCTION("""COMPUTED_VALUE"""),2025)</f>
        <v>2025</v>
      </c>
      <c r="C1304" s="6">
        <f ca="1">IFERROR(__xludf.DUMMYFUNCTION("""COMPUTED_VALUE"""),10)</f>
        <v>10</v>
      </c>
      <c r="D1304" s="6" t="str">
        <f ca="1">IFERROR(__xludf.DUMMYFUNCTION("""COMPUTED_VALUE"""),"NO")</f>
        <v>NO</v>
      </c>
      <c r="E1304" s="6" t="str">
        <f ca="1">IFERROR(__xludf.DUMMYFUNCTION("""COMPUTED_VALUE"""),"Leganés")</f>
        <v>Leganés</v>
      </c>
      <c r="F1304" s="16">
        <f ca="1">IFERROR(__xludf.DUMMYFUNCTION("""COMPUTED_VALUE"""),45952)</f>
        <v>45952</v>
      </c>
      <c r="G1304" s="16">
        <f ca="1">IFERROR(__xludf.DUMMYFUNCTION("""COMPUTED_VALUE"""),45916)</f>
        <v>45916</v>
      </c>
      <c r="H1304" s="6" t="str">
        <f ca="1">IFERROR(__xludf.DUMMYFUNCTION("""COMPUTED_VALUE"""),"Leganés")</f>
        <v>Leganés</v>
      </c>
      <c r="I1304" s="6" t="str">
        <f ca="1">IFERROR(__xludf.DUMMYFUNCTION("""COMPUTED_VALUE"""),"C2025922163459800")</f>
        <v>C2025922163459800</v>
      </c>
      <c r="J1304" s="6" t="str">
        <f ca="1">IFERROR(__xludf.DUMMYFUNCTION("""COMPUTED_VALUE"""),"PABLO BENAVENTE RODRIGUEZ")</f>
        <v>PABLO BENAVENTE RODRIGUEZ</v>
      </c>
      <c r="K1304" s="6">
        <f ca="1">IFERROR(__xludf.DUMMYFUNCTION("""COMPUTED_VALUE"""),1)</f>
        <v>1</v>
      </c>
      <c r="L1304" s="139">
        <f ca="1">IFERROR(__xludf.DUMMYFUNCTION("""COMPUTED_VALUE"""),2481.82)</f>
        <v>2481.8200000000002</v>
      </c>
      <c r="M1304" s="6" t="str">
        <f ca="1">IFERROR(__xludf.DUMMYFUNCTION("""COMPUTED_VALUE"""),"03 ORL")</f>
        <v>03 ORL</v>
      </c>
      <c r="N1304" s="6" t="str">
        <f ca="1">IFERROR(__xludf.DUMMYFUNCTION("""COMPUTED_VALUE"""),"06 ORL")</f>
        <v>06 ORL</v>
      </c>
      <c r="O1304" s="6" t="str">
        <f ca="1">IFERROR(__xludf.DUMMYFUNCTION("""COMPUTED_VALUE"""),"Dra, Laura del Toro Gil")</f>
        <v>Dra, Laura del Toro Gil</v>
      </c>
      <c r="P1304" s="6" t="str">
        <f ca="1">IFERROR(__xludf.DUMMYFUNCTION("""COMPUTED_VALUE"""),"Maika Blázquez (Madrid)")</f>
        <v>Maika Blázquez (Madrid)</v>
      </c>
    </row>
    <row r="1305" spans="2:16">
      <c r="B1305" s="6">
        <f ca="1">IFERROR(__xludf.DUMMYFUNCTION("""COMPUTED_VALUE"""),2025)</f>
        <v>2025</v>
      </c>
      <c r="C1305" s="6">
        <f ca="1">IFERROR(__xludf.DUMMYFUNCTION("""COMPUTED_VALUE"""),10)</f>
        <v>10</v>
      </c>
      <c r="D1305" s="6" t="str">
        <f ca="1">IFERROR(__xludf.DUMMYFUNCTION("""COMPUTED_VALUE"""),"NO")</f>
        <v>NO</v>
      </c>
      <c r="E1305" s="6" t="str">
        <f ca="1">IFERROR(__xludf.DUMMYFUNCTION("""COMPUTED_VALUE"""),"Sevilla- Montoto")</f>
        <v>Sevilla- Montoto</v>
      </c>
      <c r="F1305" s="16">
        <f ca="1">IFERROR(__xludf.DUMMYFUNCTION("""COMPUTED_VALUE"""),45952)</f>
        <v>45952</v>
      </c>
      <c r="G1305" s="16">
        <f ca="1">IFERROR(__xludf.DUMMYFUNCTION("""COMPUTED_VALUE"""),45918)</f>
        <v>45918</v>
      </c>
      <c r="H1305" s="6" t="str">
        <f ca="1">IFERROR(__xludf.DUMMYFUNCTION("""COMPUTED_VALUE"""),"Montoto")</f>
        <v>Montoto</v>
      </c>
      <c r="I1305" s="6" t="str">
        <f ca="1">IFERROR(__xludf.DUMMYFUNCTION("""COMPUTED_VALUE"""),"C2025925162621627")</f>
        <v>C2025925162621627</v>
      </c>
      <c r="J1305" s="6" t="str">
        <f ca="1">IFERROR(__xludf.DUMMYFUNCTION("""COMPUTED_VALUE"""),"JOSE BENITEZ POLO")</f>
        <v>JOSE BENITEZ POLO</v>
      </c>
      <c r="K1305" s="6">
        <f ca="1">IFERROR(__xludf.DUMMYFUNCTION("""COMPUTED_VALUE"""),2)</f>
        <v>2</v>
      </c>
      <c r="L1305" s="139">
        <f ca="1">IFERROR(__xludf.DUMMYFUNCTION("""COMPUTED_VALUE"""),2718.18)</f>
        <v>2718.18</v>
      </c>
      <c r="M1305" s="6" t="str">
        <f ca="1">IFERROR(__xludf.DUMMYFUNCTION("""COMPUTED_VALUE"""),"03 ORL")</f>
        <v>03 ORL</v>
      </c>
      <c r="N1305" s="6" t="str">
        <f ca="1">IFERROR(__xludf.DUMMYFUNCTION("""COMPUTED_VALUE"""),"06 ORL")</f>
        <v>06 ORL</v>
      </c>
      <c r="O1305" s="6" t="str">
        <f ca="1">IFERROR(__xludf.DUMMYFUNCTION("""COMPUTED_VALUE"""),"Dra, Lucia Prieto Sánchez de la Puerta")</f>
        <v>Dra, Lucia Prieto Sánchez de la Puerta</v>
      </c>
      <c r="P1305" s="6" t="str">
        <f ca="1">IFERROR(__xludf.DUMMYFUNCTION("""COMPUTED_VALUE"""),"Luis Alberto Rodríguez (Andalucía y Badajoz)")</f>
        <v>Luis Alberto Rodríguez (Andalucía y Badajoz)</v>
      </c>
    </row>
    <row r="1306" spans="2:16">
      <c r="B1306" s="6">
        <f ca="1">IFERROR(__xludf.DUMMYFUNCTION("""COMPUTED_VALUE"""),2025)</f>
        <v>2025</v>
      </c>
      <c r="C1306" s="6">
        <f ca="1">IFERROR(__xludf.DUMMYFUNCTION("""COMPUTED_VALUE"""),10)</f>
        <v>10</v>
      </c>
      <c r="D1306" s="6" t="str">
        <f ca="1">IFERROR(__xludf.DUMMYFUNCTION("""COMPUTED_VALUE"""),"NO")</f>
        <v>NO</v>
      </c>
      <c r="E1306" s="6" t="str">
        <f ca="1">IFERROR(__xludf.DUMMYFUNCTION("""COMPUTED_VALUE"""),"Madrid- Monforte de Lemos")</f>
        <v>Madrid- Monforte de Lemos</v>
      </c>
      <c r="F1306" s="16">
        <f ca="1">IFERROR(__xludf.DUMMYFUNCTION("""COMPUTED_VALUE"""),45952)</f>
        <v>45952</v>
      </c>
      <c r="G1306" s="16">
        <f ca="1">IFERROR(__xludf.DUMMYFUNCTION("""COMPUTED_VALUE"""),45915)</f>
        <v>45915</v>
      </c>
      <c r="H1306" s="6" t="str">
        <f ca="1">IFERROR(__xludf.DUMMYFUNCTION("""COMPUTED_VALUE"""),"La Vaguada")</f>
        <v>La Vaguada</v>
      </c>
      <c r="I1306" s="6" t="str">
        <f ca="1">IFERROR(__xludf.DUMMYFUNCTION("""COMPUTED_VALUE"""),"C2025916183119542")</f>
        <v>C2025916183119542</v>
      </c>
      <c r="J1306" s="6" t="str">
        <f ca="1">IFERROR(__xludf.DUMMYFUNCTION("""COMPUTED_VALUE"""),"VICENTE QUIRALTE CASTAÑEDA")</f>
        <v>VICENTE QUIRALTE CASTAÑEDA</v>
      </c>
      <c r="K1306" s="6">
        <f ca="1">IFERROR(__xludf.DUMMYFUNCTION("""COMPUTED_VALUE"""),2)</f>
        <v>2</v>
      </c>
      <c r="L1306" s="139">
        <f ca="1">IFERROR(__xludf.DUMMYFUNCTION("""COMPUTED_VALUE"""),4136.36)</f>
        <v>4136.3599999999997</v>
      </c>
      <c r="M1306" s="6" t="str">
        <f ca="1">IFERROR(__xludf.DUMMYFUNCTION("""COMPUTED_VALUE"""),"03 ORL")</f>
        <v>03 ORL</v>
      </c>
      <c r="N1306" s="6" t="str">
        <f ca="1">IFERROR(__xludf.DUMMYFUNCTION("""COMPUTED_VALUE"""),"06 ORL")</f>
        <v>06 ORL</v>
      </c>
      <c r="O1306" s="6" t="str">
        <f ca="1">IFERROR(__xludf.DUMMYFUNCTION("""COMPUTED_VALUE"""),"Dra, Belén Clemente Cuartero")</f>
        <v>Dra, Belén Clemente Cuartero</v>
      </c>
      <c r="P1306" s="6" t="str">
        <f ca="1">IFERROR(__xludf.DUMMYFUNCTION("""COMPUTED_VALUE"""),"Maika Blázquez (Madrid)")</f>
        <v>Maika Blázquez (Madrid)</v>
      </c>
    </row>
    <row r="1307" spans="2:16">
      <c r="B1307" s="6">
        <f ca="1">IFERROR(__xludf.DUMMYFUNCTION("""COMPUTED_VALUE"""),2025)</f>
        <v>2025</v>
      </c>
      <c r="C1307" s="6">
        <f ca="1">IFERROR(__xludf.DUMMYFUNCTION("""COMPUTED_VALUE"""),10)</f>
        <v>10</v>
      </c>
      <c r="D1307" s="6" t="str">
        <f ca="1">IFERROR(__xludf.DUMMYFUNCTION("""COMPUTED_VALUE"""),"NO")</f>
        <v>NO</v>
      </c>
      <c r="E1307" s="6" t="str">
        <f ca="1">IFERROR(__xludf.DUMMYFUNCTION("""COMPUTED_VALUE"""),"Fuenlabrada")</f>
        <v>Fuenlabrada</v>
      </c>
      <c r="F1307" s="16">
        <f ca="1">IFERROR(__xludf.DUMMYFUNCTION("""COMPUTED_VALUE"""),45952)</f>
        <v>45952</v>
      </c>
      <c r="G1307" s="16">
        <f ca="1">IFERROR(__xludf.DUMMYFUNCTION("""COMPUTED_VALUE"""),45922)</f>
        <v>45922</v>
      </c>
      <c r="H1307" s="6" t="str">
        <f ca="1">IFERROR(__xludf.DUMMYFUNCTION("""COMPUTED_VALUE"""),"Fuenlabrada")</f>
        <v>Fuenlabrada</v>
      </c>
      <c r="I1307" s="6" t="str">
        <f ca="1">IFERROR(__xludf.DUMMYFUNCTION("""COMPUTED_VALUE"""),"C202592512249786")</f>
        <v>C202592512249786</v>
      </c>
      <c r="J1307" s="6" t="str">
        <f ca="1">IFERROR(__xludf.DUMMYFUNCTION("""COMPUTED_VALUE"""),"CONCEPCION MUROS CORONEL")</f>
        <v>CONCEPCION MUROS CORONEL</v>
      </c>
      <c r="K1307" s="6">
        <f ca="1">IFERROR(__xludf.DUMMYFUNCTION("""COMPUTED_VALUE"""),2)</f>
        <v>2</v>
      </c>
      <c r="L1307" s="139">
        <f ca="1">IFERROR(__xludf.DUMMYFUNCTION("""COMPUTED_VALUE"""),2718.18)</f>
        <v>2718.18</v>
      </c>
      <c r="M1307" s="6" t="str">
        <f ca="1">IFERROR(__xludf.DUMMYFUNCTION("""COMPUTED_VALUE"""),"03 ORL")</f>
        <v>03 ORL</v>
      </c>
      <c r="N1307" s="6" t="str">
        <f ca="1">IFERROR(__xludf.DUMMYFUNCTION("""COMPUTED_VALUE"""),"06 ORL")</f>
        <v>06 ORL</v>
      </c>
      <c r="O1307" s="6" t="str">
        <f ca="1">IFERROR(__xludf.DUMMYFUNCTION("""COMPUTED_VALUE"""),"Dra, Victoria García Peces")</f>
        <v>Dra, Victoria García Peces</v>
      </c>
      <c r="P1307" s="6" t="str">
        <f ca="1">IFERROR(__xludf.DUMMYFUNCTION("""COMPUTED_VALUE"""),"Maika Blázquez (Madrid)")</f>
        <v>Maika Blázquez (Madrid)</v>
      </c>
    </row>
    <row r="1308" spans="2:16">
      <c r="B1308" s="6">
        <f ca="1">IFERROR(__xludf.DUMMYFUNCTION("""COMPUTED_VALUE"""),2025)</f>
        <v>2025</v>
      </c>
      <c r="C1308" s="6">
        <f ca="1">IFERROR(__xludf.DUMMYFUNCTION("""COMPUTED_VALUE"""),10)</f>
        <v>10</v>
      </c>
      <c r="D1308" s="6" t="str">
        <f ca="1">IFERROR(__xludf.DUMMYFUNCTION("""COMPUTED_VALUE"""),"NO")</f>
        <v>NO</v>
      </c>
      <c r="E1308" s="6" t="str">
        <f ca="1">IFERROR(__xludf.DUMMYFUNCTION("""COMPUTED_VALUE"""),"Fuenlabrada")</f>
        <v>Fuenlabrada</v>
      </c>
      <c r="F1308" s="16">
        <f ca="1">IFERROR(__xludf.DUMMYFUNCTION("""COMPUTED_VALUE"""),45952)</f>
        <v>45952</v>
      </c>
      <c r="G1308" s="16">
        <f ca="1">IFERROR(__xludf.DUMMYFUNCTION("""COMPUTED_VALUE"""),45916)</f>
        <v>45916</v>
      </c>
      <c r="H1308" s="6" t="str">
        <f ca="1">IFERROR(__xludf.DUMMYFUNCTION("""COMPUTED_VALUE"""),"Fuenlabrada")</f>
        <v>Fuenlabrada</v>
      </c>
      <c r="I1308" s="6" t="str">
        <f ca="1">IFERROR(__xludf.DUMMYFUNCTION("""COMPUTED_VALUE"""),"C2025917173328714")</f>
        <v>C2025917173328714</v>
      </c>
      <c r="J1308" s="6" t="str">
        <f ca="1">IFERROR(__xludf.DUMMYFUNCTION("""COMPUTED_VALUE"""),"FRANCISCA RODRIGUEZ CALVO")</f>
        <v>FRANCISCA RODRIGUEZ CALVO</v>
      </c>
      <c r="K1308" s="6">
        <f ca="1">IFERROR(__xludf.DUMMYFUNCTION("""COMPUTED_VALUE"""),2)</f>
        <v>2</v>
      </c>
      <c r="L1308" s="139">
        <f ca="1">IFERROR(__xludf.DUMMYFUNCTION("""COMPUTED_VALUE"""),4536.36)</f>
        <v>4536.3599999999997</v>
      </c>
      <c r="M1308" s="6" t="str">
        <f ca="1">IFERROR(__xludf.DUMMYFUNCTION("""COMPUTED_VALUE"""),"03 ORL")</f>
        <v>03 ORL</v>
      </c>
      <c r="N1308" s="6" t="str">
        <f ca="1">IFERROR(__xludf.DUMMYFUNCTION("""COMPUTED_VALUE"""),"06 ORL")</f>
        <v>06 ORL</v>
      </c>
      <c r="O1308" s="1" t="str">
        <f ca="1">IFERROR(__xludf.DUMMYFUNCTION("""COMPUTED_VALUE"""),"Dra, María Teresa Herrera Mera")</f>
        <v>Dra, María Teresa Herrera Mera</v>
      </c>
      <c r="P1308" s="6" t="str">
        <f ca="1">IFERROR(__xludf.DUMMYFUNCTION("""COMPUTED_VALUE"""),"Maika Blázquez (Madrid)")</f>
        <v>Maika Blázquez (Madrid)</v>
      </c>
    </row>
    <row r="1309" spans="2:16">
      <c r="B1309" s="6">
        <f ca="1">IFERROR(__xludf.DUMMYFUNCTION("""COMPUTED_VALUE"""),2025)</f>
        <v>2025</v>
      </c>
      <c r="C1309" s="6">
        <f ca="1">IFERROR(__xludf.DUMMYFUNCTION("""COMPUTED_VALUE"""),10)</f>
        <v>10</v>
      </c>
      <c r="D1309" s="6" t="str">
        <f ca="1">IFERROR(__xludf.DUMMYFUNCTION("""COMPUTED_VALUE"""),"NO")</f>
        <v>NO</v>
      </c>
      <c r="E1309" s="6" t="str">
        <f ca="1">IFERROR(__xludf.DUMMYFUNCTION("""COMPUTED_VALUE"""),"Valencia- Cádiz")</f>
        <v>Valencia- Cádiz</v>
      </c>
      <c r="F1309" s="16">
        <f ca="1">IFERROR(__xludf.DUMMYFUNCTION("""COMPUTED_VALUE"""),45952)</f>
        <v>45952</v>
      </c>
      <c r="G1309" s="16">
        <f ca="1">IFERROR(__xludf.DUMMYFUNCTION("""COMPUTED_VALUE"""),45922)</f>
        <v>45922</v>
      </c>
      <c r="H1309" s="6" t="str">
        <f ca="1">IFERROR(__xludf.DUMMYFUNCTION("""COMPUTED_VALUE"""),"Valencia- Cádiz")</f>
        <v>Valencia- Cádiz</v>
      </c>
      <c r="I1309" s="6" t="str">
        <f ca="1">IFERROR(__xludf.DUMMYFUNCTION("""COMPUTED_VALUE"""),"C2025929151911264")</f>
        <v>C2025929151911264</v>
      </c>
      <c r="J1309" s="6" t="str">
        <f ca="1">IFERROR(__xludf.DUMMYFUNCTION("""COMPUTED_VALUE"""),"FIDEL CUBEL CUBEL")</f>
        <v>FIDEL CUBEL CUBEL</v>
      </c>
      <c r="K1309" s="6">
        <f ca="1">IFERROR(__xludf.DUMMYFUNCTION("""COMPUTED_VALUE"""),2)</f>
        <v>2</v>
      </c>
      <c r="L1309" s="139">
        <f ca="1">IFERROR(__xludf.DUMMYFUNCTION("""COMPUTED_VALUE"""),4136.36)</f>
        <v>4136.3599999999997</v>
      </c>
      <c r="M1309" s="6" t="str">
        <f ca="1">IFERROR(__xludf.DUMMYFUNCTION("""COMPUTED_VALUE"""),"03 ORL")</f>
        <v>03 ORL</v>
      </c>
      <c r="N1309" s="6" t="str">
        <f ca="1">IFERROR(__xludf.DUMMYFUNCTION("""COMPUTED_VALUE"""),"06 ORL")</f>
        <v>06 ORL</v>
      </c>
      <c r="O1309" s="6" t="str">
        <f ca="1">IFERROR(__xludf.DUMMYFUNCTION("""COMPUTED_VALUE"""),"Dr, Abel Guzmán Calvete")</f>
        <v>Dr, Abel Guzmán Calvete</v>
      </c>
      <c r="P1309" s="6" t="str">
        <f ca="1">IFERROR(__xludf.DUMMYFUNCTION("""COMPUTED_VALUE"""),"Ramon Ferrando(Valencia)")</f>
        <v>Ramon Ferrando(Valencia)</v>
      </c>
    </row>
    <row r="1310" spans="2:16">
      <c r="B1310" s="6">
        <f ca="1">IFERROR(__xludf.DUMMYFUNCTION("""COMPUTED_VALUE"""),2025)</f>
        <v>2025</v>
      </c>
      <c r="C1310" s="6">
        <f ca="1">IFERROR(__xludf.DUMMYFUNCTION("""COMPUTED_VALUE"""),10)</f>
        <v>10</v>
      </c>
      <c r="D1310" s="6" t="str">
        <f ca="1">IFERROR(__xludf.DUMMYFUNCTION("""COMPUTED_VALUE"""),"NO")</f>
        <v>NO</v>
      </c>
      <c r="E1310" s="6" t="str">
        <f ca="1">IFERROR(__xludf.DUMMYFUNCTION("""COMPUTED_VALUE"""),"Madrid- Juan Bravo")</f>
        <v>Madrid- Juan Bravo</v>
      </c>
      <c r="F1310" s="16">
        <f ca="1">IFERROR(__xludf.DUMMYFUNCTION("""COMPUTED_VALUE"""),45952)</f>
        <v>45952</v>
      </c>
      <c r="G1310" s="16">
        <f ca="1">IFERROR(__xludf.DUMMYFUNCTION("""COMPUTED_VALUE"""),45909)</f>
        <v>45909</v>
      </c>
      <c r="H1310" s="6" t="str">
        <f ca="1">IFERROR(__xludf.DUMMYFUNCTION("""COMPUTED_VALUE"""),"Juan Bravo")</f>
        <v>Juan Bravo</v>
      </c>
      <c r="I1310" s="6" t="str">
        <f ca="1">IFERROR(__xludf.DUMMYFUNCTION("""COMPUTED_VALUE"""),"C202591116504933")</f>
        <v>C202591116504933</v>
      </c>
      <c r="J1310" s="6" t="str">
        <f ca="1">IFERROR(__xludf.DUMMYFUNCTION("""COMPUTED_VALUE"""),"PILAR RIESCO HERNANDEZ")</f>
        <v>PILAR RIESCO HERNANDEZ</v>
      </c>
      <c r="K1310" s="6">
        <f ca="1">IFERROR(__xludf.DUMMYFUNCTION("""COMPUTED_VALUE"""),2)</f>
        <v>2</v>
      </c>
      <c r="L1310" s="139">
        <f ca="1">IFERROR(__xludf.DUMMYFUNCTION("""COMPUTED_VALUE"""),2718.18)</f>
        <v>2718.18</v>
      </c>
      <c r="M1310" s="6" t="str">
        <f ca="1">IFERROR(__xludf.DUMMYFUNCTION("""COMPUTED_VALUE"""),"03 ORL")</f>
        <v>03 ORL</v>
      </c>
      <c r="N1310" s="6" t="str">
        <f ca="1">IFERROR(__xludf.DUMMYFUNCTION("""COMPUTED_VALUE"""),"06 ORL")</f>
        <v>06 ORL</v>
      </c>
      <c r="O1310" s="6" t="str">
        <f ca="1">IFERROR(__xludf.DUMMYFUNCTION("""COMPUTED_VALUE"""),"Dr, Carlos Barajas del Rosal")</f>
        <v>Dr, Carlos Barajas del Rosal</v>
      </c>
      <c r="P1310" s="6" t="str">
        <f ca="1">IFERROR(__xludf.DUMMYFUNCTION("""COMPUTED_VALUE"""),"Lisandro Russian (Madrid, Cáceres, Toledo, Talavera Y Logroño)")</f>
        <v>Lisandro Russian (Madrid, Cáceres, Toledo, Talavera Y Logroño)</v>
      </c>
    </row>
    <row r="1311" spans="2:16">
      <c r="B1311" s="6">
        <f ca="1">IFERROR(__xludf.DUMMYFUNCTION("""COMPUTED_VALUE"""),2025)</f>
        <v>2025</v>
      </c>
      <c r="C1311" s="6">
        <f ca="1">IFERROR(__xludf.DUMMYFUNCTION("""COMPUTED_VALUE"""),10)</f>
        <v>10</v>
      </c>
      <c r="D1311" s="6" t="str">
        <f ca="1">IFERROR(__xludf.DUMMYFUNCTION("""COMPUTED_VALUE"""),"NO")</f>
        <v>NO</v>
      </c>
      <c r="E1311" s="6" t="str">
        <f ca="1">IFERROR(__xludf.DUMMYFUNCTION("""COMPUTED_VALUE"""),"Sevilla- Montoto")</f>
        <v>Sevilla- Montoto</v>
      </c>
      <c r="F1311" s="16">
        <f ca="1">IFERROR(__xludf.DUMMYFUNCTION("""COMPUTED_VALUE"""),45952)</f>
        <v>45952</v>
      </c>
      <c r="G1311" s="16">
        <f ca="1">IFERROR(__xludf.DUMMYFUNCTION("""COMPUTED_VALUE"""),45915)</f>
        <v>45915</v>
      </c>
      <c r="H1311" s="6" t="str">
        <f ca="1">IFERROR(__xludf.DUMMYFUNCTION("""COMPUTED_VALUE"""),"Montoto")</f>
        <v>Montoto</v>
      </c>
      <c r="I1311" s="6" t="str">
        <f ca="1">IFERROR(__xludf.DUMMYFUNCTION("""COMPUTED_VALUE"""),"C202591917455784")</f>
        <v>C202591917455784</v>
      </c>
      <c r="J1311" s="6" t="str">
        <f ca="1">IFERROR(__xludf.DUMMYFUNCTION("""COMPUTED_VALUE"""),"JOSE ANTONIO ALASCIO RUIZ")</f>
        <v>JOSE ANTONIO ALASCIO RUIZ</v>
      </c>
      <c r="K1311" s="6">
        <f ca="1">IFERROR(__xludf.DUMMYFUNCTION("""COMPUTED_VALUE"""),2)</f>
        <v>2</v>
      </c>
      <c r="L1311" s="139">
        <f ca="1">IFERROR(__xludf.DUMMYFUNCTION("""COMPUTED_VALUE"""),4309.54)</f>
        <v>4309.54</v>
      </c>
      <c r="M1311" s="6" t="str">
        <f ca="1">IFERROR(__xludf.DUMMYFUNCTION("""COMPUTED_VALUE"""),"03 ORL")</f>
        <v>03 ORL</v>
      </c>
      <c r="N1311" s="6" t="str">
        <f ca="1">IFERROR(__xludf.DUMMYFUNCTION("""COMPUTED_VALUE"""),"06 ORL")</f>
        <v>06 ORL</v>
      </c>
      <c r="O1311" s="6" t="str">
        <f ca="1">IFERROR(__xludf.DUMMYFUNCTION("""COMPUTED_VALUE"""),"Dr, Jesús Crovato Rojas")</f>
        <v>Dr, Jesús Crovato Rojas</v>
      </c>
      <c r="P1311" s="6" t="str">
        <f ca="1">IFERROR(__xludf.DUMMYFUNCTION("""COMPUTED_VALUE"""),"Luis Alberto Rodríguez (Andalucía y Badajoz)")</f>
        <v>Luis Alberto Rodríguez (Andalucía y Badajoz)</v>
      </c>
    </row>
    <row r="1312" spans="2:16">
      <c r="B1312" s="6">
        <f ca="1">IFERROR(__xludf.DUMMYFUNCTION("""COMPUTED_VALUE"""),2025)</f>
        <v>2025</v>
      </c>
      <c r="C1312" s="6">
        <f ca="1">IFERROR(__xludf.DUMMYFUNCTION("""COMPUTED_VALUE"""),10)</f>
        <v>10</v>
      </c>
      <c r="D1312" s="6" t="str">
        <f ca="1">IFERROR(__xludf.DUMMYFUNCTION("""COMPUTED_VALUE"""),"NO")</f>
        <v>NO</v>
      </c>
      <c r="E1312" s="6" t="str">
        <f ca="1">IFERROR(__xludf.DUMMYFUNCTION("""COMPUTED_VALUE"""),"Cáceres")</f>
        <v>Cáceres</v>
      </c>
      <c r="F1312" s="16">
        <f ca="1">IFERROR(__xludf.DUMMYFUNCTION("""COMPUTED_VALUE"""),45953)</f>
        <v>45953</v>
      </c>
      <c r="G1312" s="16">
        <f ca="1">IFERROR(__xludf.DUMMYFUNCTION("""COMPUTED_VALUE"""),45917)</f>
        <v>45917</v>
      </c>
      <c r="H1312" s="6" t="str">
        <f ca="1">IFERROR(__xludf.DUMMYFUNCTION("""COMPUTED_VALUE"""),"Cáceres")</f>
        <v>Cáceres</v>
      </c>
      <c r="I1312" s="6" t="str">
        <f ca="1">IFERROR(__xludf.DUMMYFUNCTION("""COMPUTED_VALUE"""),"CAC-389")</f>
        <v>CAC-389</v>
      </c>
      <c r="J1312" s="6" t="str">
        <f ca="1">IFERROR(__xludf.DUMMYFUNCTION("""COMPUTED_VALUE"""),"JUANA SOBRADO MARTIN")</f>
        <v>JUANA SOBRADO MARTIN</v>
      </c>
      <c r="K1312" s="6">
        <f ca="1">IFERROR(__xludf.DUMMYFUNCTION("""COMPUTED_VALUE"""),2)</f>
        <v>2</v>
      </c>
      <c r="L1312" s="139">
        <f ca="1">IFERROR(__xludf.DUMMYFUNCTION("""COMPUTED_VALUE"""),4500)</f>
        <v>4500</v>
      </c>
      <c r="M1312" s="6" t="str">
        <f ca="1">IFERROR(__xludf.DUMMYFUNCTION("""COMPUTED_VALUE"""),"03 ORL")</f>
        <v>03 ORL</v>
      </c>
      <c r="N1312" s="6" t="str">
        <f ca="1">IFERROR(__xludf.DUMMYFUNCTION("""COMPUTED_VALUE"""),"06 ORL")</f>
        <v>06 ORL</v>
      </c>
      <c r="O1312" s="6" t="str">
        <f ca="1">IFERROR(__xludf.DUMMYFUNCTION("""COMPUTED_VALUE"""),"Dra, Marta García Jiménez")</f>
        <v>Dra, Marta García Jiménez</v>
      </c>
      <c r="P1312" s="6" t="str">
        <f ca="1">IFERROR(__xludf.DUMMYFUNCTION("""COMPUTED_VALUE"""),"Lisandro Russian (Madrid, Cáceres, Toledo, Talavera Y Logroño)")</f>
        <v>Lisandro Russian (Madrid, Cáceres, Toledo, Talavera Y Logroño)</v>
      </c>
    </row>
    <row r="1313" spans="2:16">
      <c r="B1313" s="6">
        <f ca="1">IFERROR(__xludf.DUMMYFUNCTION("""COMPUTED_VALUE"""),2025)</f>
        <v>2025</v>
      </c>
      <c r="C1313" s="6">
        <f ca="1">IFERROR(__xludf.DUMMYFUNCTION("""COMPUTED_VALUE"""),10)</f>
        <v>10</v>
      </c>
      <c r="D1313" s="6" t="str">
        <f ca="1">IFERROR(__xludf.DUMMYFUNCTION("""COMPUTED_VALUE"""),"NO")</f>
        <v>NO</v>
      </c>
      <c r="E1313" s="6" t="str">
        <f ca="1">IFERROR(__xludf.DUMMYFUNCTION("""COMPUTED_VALUE"""),"León")</f>
        <v>León</v>
      </c>
      <c r="F1313" s="16">
        <f ca="1">IFERROR(__xludf.DUMMYFUNCTION("""COMPUTED_VALUE"""),45953)</f>
        <v>45953</v>
      </c>
      <c r="G1313" s="16">
        <f ca="1">IFERROR(__xludf.DUMMYFUNCTION("""COMPUTED_VALUE"""),45933)</f>
        <v>45933</v>
      </c>
      <c r="H1313" s="6" t="str">
        <f ca="1">IFERROR(__xludf.DUMMYFUNCTION("""COMPUTED_VALUE"""),"León")</f>
        <v>León</v>
      </c>
      <c r="I1313" s="6" t="str">
        <f ca="1">IFERROR(__xludf.DUMMYFUNCTION("""COMPUTED_VALUE"""),"LEO-547")</f>
        <v>LEO-547</v>
      </c>
      <c r="J1313" s="6" t="str">
        <f ca="1">IFERROR(__xludf.DUMMYFUNCTION("""COMPUTED_VALUE"""),"ALEJANDRO MAYORAL FERNANDEZ")</f>
        <v>ALEJANDRO MAYORAL FERNANDEZ</v>
      </c>
      <c r="K1313" s="6">
        <f ca="1">IFERROR(__xludf.DUMMYFUNCTION("""COMPUTED_VALUE"""),2)</f>
        <v>2</v>
      </c>
      <c r="L1313" s="139">
        <f ca="1">IFERROR(__xludf.DUMMYFUNCTION("""COMPUTED_VALUE"""),5000)</f>
        <v>5000</v>
      </c>
      <c r="M1313" s="6" t="str">
        <f ca="1">IFERROR(__xludf.DUMMYFUNCTION("""COMPUTED_VALUE"""),"03 ORL")</f>
        <v>03 ORL</v>
      </c>
      <c r="N1313" s="6" t="str">
        <f ca="1">IFERROR(__xludf.DUMMYFUNCTION("""COMPUTED_VALUE"""),"06 ORL")</f>
        <v>06 ORL</v>
      </c>
      <c r="O1313" s="6" t="str">
        <f ca="1">IFERROR(__xludf.DUMMYFUNCTION("""COMPUTED_VALUE"""),"Dr, Rafael Pérez González")</f>
        <v>Dr, Rafael Pérez González</v>
      </c>
      <c r="P1313" s="6" t="str">
        <f ca="1">IFERROR(__xludf.DUMMYFUNCTION("""COMPUTED_VALUE"""),"Alberto Moreno (Madrid)")</f>
        <v>Alberto Moreno (Madrid)</v>
      </c>
    </row>
    <row r="1314" spans="2:16">
      <c r="B1314" s="6">
        <f ca="1">IFERROR(__xludf.DUMMYFUNCTION("""COMPUTED_VALUE"""),2025)</f>
        <v>2025</v>
      </c>
      <c r="C1314" s="6">
        <f ca="1">IFERROR(__xludf.DUMMYFUNCTION("""COMPUTED_VALUE"""),10)</f>
        <v>10</v>
      </c>
      <c r="D1314" s="6" t="str">
        <f ca="1">IFERROR(__xludf.DUMMYFUNCTION("""COMPUTED_VALUE"""),"NO")</f>
        <v>NO</v>
      </c>
      <c r="E1314" s="6" t="str">
        <f ca="1">IFERROR(__xludf.DUMMYFUNCTION("""COMPUTED_VALUE"""),"Zaragoza- León XIII")</f>
        <v>Zaragoza- León XIII</v>
      </c>
      <c r="F1314" s="16">
        <f ca="1">IFERROR(__xludf.DUMMYFUNCTION("""COMPUTED_VALUE"""),45953)</f>
        <v>45953</v>
      </c>
      <c r="G1314" s="16">
        <f ca="1">IFERROR(__xludf.DUMMYFUNCTION("""COMPUTED_VALUE"""),45894)</f>
        <v>45894</v>
      </c>
      <c r="H1314" s="6" t="str">
        <f ca="1">IFERROR(__xludf.DUMMYFUNCTION("""COMPUTED_VALUE"""),"Zaragoza")</f>
        <v>Zaragoza</v>
      </c>
      <c r="I1314" s="6" t="str">
        <f ca="1">IFERROR(__xludf.DUMMYFUNCTION("""COMPUTED_VALUE"""),"C20259210010546")</f>
        <v>C20259210010546</v>
      </c>
      <c r="J1314" s="6" t="str">
        <f ca="1">IFERROR(__xludf.DUMMYFUNCTION("""COMPUTED_VALUE"""),"JOSE LUIS HERNANDEZ ALONSO")</f>
        <v>JOSE LUIS HERNANDEZ ALONSO</v>
      </c>
      <c r="K1314" s="6">
        <f ca="1">IFERROR(__xludf.DUMMYFUNCTION("""COMPUTED_VALUE"""),2)</f>
        <v>2</v>
      </c>
      <c r="L1314" s="139">
        <f ca="1">IFERROR(__xludf.DUMMYFUNCTION("""COMPUTED_VALUE"""),3627.27)</f>
        <v>3627.27</v>
      </c>
      <c r="M1314" s="6" t="str">
        <f ca="1">IFERROR(__xludf.DUMMYFUNCTION("""COMPUTED_VALUE"""),"03 ORL")</f>
        <v>03 ORL</v>
      </c>
      <c r="N1314" s="6" t="str">
        <f ca="1">IFERROR(__xludf.DUMMYFUNCTION("""COMPUTED_VALUE"""),"06 ORL")</f>
        <v>06 ORL</v>
      </c>
      <c r="O1314" s="6" t="str">
        <f ca="1">IFERROR(__xludf.DUMMYFUNCTION("""COMPUTED_VALUE"""),"Dr, Jorge Damborenea Tajada")</f>
        <v>Dr, Jorge Damborenea Tajada</v>
      </c>
      <c r="P1314" s="6" t="str">
        <f ca="1">IFERROR(__xludf.DUMMYFUNCTION("""COMPUTED_VALUE"""),"Ignacio Berdejo (Zaragoza)")</f>
        <v>Ignacio Berdejo (Zaragoza)</v>
      </c>
    </row>
    <row r="1315" spans="2:16">
      <c r="B1315" s="6">
        <f ca="1">IFERROR(__xludf.DUMMYFUNCTION("""COMPUTED_VALUE"""),2025)</f>
        <v>2025</v>
      </c>
      <c r="C1315" s="6">
        <f ca="1">IFERROR(__xludf.DUMMYFUNCTION("""COMPUTED_VALUE"""),10)</f>
        <v>10</v>
      </c>
      <c r="D1315" s="6" t="str">
        <f ca="1">IFERROR(__xludf.DUMMYFUNCTION("""COMPUTED_VALUE"""),"NO")</f>
        <v>NO</v>
      </c>
      <c r="E1315" s="6" t="str">
        <f ca="1">IFERROR(__xludf.DUMMYFUNCTION("""COMPUTED_VALUE"""),"Leganés")</f>
        <v>Leganés</v>
      </c>
      <c r="F1315" s="16">
        <f ca="1">IFERROR(__xludf.DUMMYFUNCTION("""COMPUTED_VALUE"""),45953)</f>
        <v>45953</v>
      </c>
      <c r="G1315" s="16">
        <f ca="1">IFERROR(__xludf.DUMMYFUNCTION("""COMPUTED_VALUE"""),45876)</f>
        <v>45876</v>
      </c>
      <c r="H1315" s="6" t="str">
        <f ca="1">IFERROR(__xludf.DUMMYFUNCTION("""COMPUTED_VALUE"""),"Leganés")</f>
        <v>Leganés</v>
      </c>
      <c r="I1315" s="6" t="str">
        <f ca="1">IFERROR(__xludf.DUMMYFUNCTION("""COMPUTED_VALUE"""),"C202591018414159")</f>
        <v>C202591018414159</v>
      </c>
      <c r="J1315" s="6" t="str">
        <f ca="1">IFERROR(__xludf.DUMMYFUNCTION("""COMPUTED_VALUE"""),"PEDRO DEL CASTILLO FERNANDEZ")</f>
        <v>PEDRO DEL CASTILLO FERNANDEZ</v>
      </c>
      <c r="K1315" s="6">
        <f ca="1">IFERROR(__xludf.DUMMYFUNCTION("""COMPUTED_VALUE"""),1)</f>
        <v>1</v>
      </c>
      <c r="L1315" s="139">
        <f ca="1">IFERROR(__xludf.DUMMYFUNCTION("""COMPUTED_VALUE"""),2481.82)</f>
        <v>2481.8200000000002</v>
      </c>
      <c r="M1315" s="6" t="str">
        <f ca="1">IFERROR(__xludf.DUMMYFUNCTION("""COMPUTED_VALUE"""),"03 ORL")</f>
        <v>03 ORL</v>
      </c>
      <c r="N1315" s="6" t="str">
        <f ca="1">IFERROR(__xludf.DUMMYFUNCTION("""COMPUTED_VALUE"""),"06 ORL")</f>
        <v>06 ORL</v>
      </c>
      <c r="O1315" s="6" t="str">
        <f ca="1">IFERROR(__xludf.DUMMYFUNCTION("""COMPUTED_VALUE"""),"Dra, Laura del Toro Gil")</f>
        <v>Dra, Laura del Toro Gil</v>
      </c>
      <c r="P1315" s="6" t="str">
        <f ca="1">IFERROR(__xludf.DUMMYFUNCTION("""COMPUTED_VALUE"""),"Maika Blázquez (Madrid)")</f>
        <v>Maika Blázquez (Madrid)</v>
      </c>
    </row>
    <row r="1316" spans="2:16">
      <c r="B1316" s="6">
        <f ca="1">IFERROR(__xludf.DUMMYFUNCTION("""COMPUTED_VALUE"""),2025)</f>
        <v>2025</v>
      </c>
      <c r="C1316" s="6">
        <f ca="1">IFERROR(__xludf.DUMMYFUNCTION("""COMPUTED_VALUE"""),10)</f>
        <v>10</v>
      </c>
      <c r="D1316" s="6" t="str">
        <f ca="1">IFERROR(__xludf.DUMMYFUNCTION("""COMPUTED_VALUE"""),"NO")</f>
        <v>NO</v>
      </c>
      <c r="E1316" s="6" t="str">
        <f ca="1">IFERROR(__xludf.DUMMYFUNCTION("""COMPUTED_VALUE"""),"Alcorcón")</f>
        <v>Alcorcón</v>
      </c>
      <c r="F1316" s="16">
        <f ca="1">IFERROR(__xludf.DUMMYFUNCTION("""COMPUTED_VALUE"""),45953)</f>
        <v>45953</v>
      </c>
      <c r="G1316" s="16">
        <f ca="1">IFERROR(__xludf.DUMMYFUNCTION("""COMPUTED_VALUE"""),45917)</f>
        <v>45917</v>
      </c>
      <c r="H1316" s="6" t="str">
        <f ca="1">IFERROR(__xludf.DUMMYFUNCTION("""COMPUTED_VALUE"""),"Alcorcón")</f>
        <v>Alcorcón</v>
      </c>
      <c r="I1316" s="6" t="str">
        <f ca="1">IFERROR(__xludf.DUMMYFUNCTION("""COMPUTED_VALUE"""),"C202592316319853")</f>
        <v>C202592316319853</v>
      </c>
      <c r="J1316" s="6" t="str">
        <f ca="1">IFERROR(__xludf.DUMMYFUNCTION("""COMPUTED_VALUE"""),"ISABEL FLORES MARTINEZ")</f>
        <v>ISABEL FLORES MARTINEZ</v>
      </c>
      <c r="K1316" s="6">
        <f ca="1">IFERROR(__xludf.DUMMYFUNCTION("""COMPUTED_VALUE"""),2)</f>
        <v>2</v>
      </c>
      <c r="L1316" s="139">
        <f ca="1">IFERROR(__xludf.DUMMYFUNCTION("""COMPUTED_VALUE"""),4136.36)</f>
        <v>4136.3599999999997</v>
      </c>
      <c r="M1316" s="6" t="str">
        <f ca="1">IFERROR(__xludf.DUMMYFUNCTION("""COMPUTED_VALUE"""),"03 ORL")</f>
        <v>03 ORL</v>
      </c>
      <c r="N1316" s="6" t="str">
        <f ca="1">IFERROR(__xludf.DUMMYFUNCTION("""COMPUTED_VALUE"""),"06 ORL")</f>
        <v>06 ORL</v>
      </c>
      <c r="O1316" s="6" t="str">
        <f ca="1">IFERROR(__xludf.DUMMYFUNCTION("""COMPUTED_VALUE"""),"No recuerda ORL")</f>
        <v>No recuerda ORL</v>
      </c>
      <c r="P1316" s="6" t="str">
        <f ca="1">IFERROR(__xludf.DUMMYFUNCTION("""COMPUTED_VALUE"""),"Maika Blázquez (Madrid)")</f>
        <v>Maika Blázquez (Madrid)</v>
      </c>
    </row>
    <row r="1317" spans="2:16">
      <c r="B1317" s="6">
        <f ca="1">IFERROR(__xludf.DUMMYFUNCTION("""COMPUTED_VALUE"""),2025)</f>
        <v>2025</v>
      </c>
      <c r="C1317" s="6">
        <f ca="1">IFERROR(__xludf.DUMMYFUNCTION("""COMPUTED_VALUE"""),10)</f>
        <v>10</v>
      </c>
      <c r="D1317" s="6" t="str">
        <f ca="1">IFERROR(__xludf.DUMMYFUNCTION("""COMPUTED_VALUE"""),"NO")</f>
        <v>NO</v>
      </c>
      <c r="E1317" s="6" t="str">
        <f ca="1">IFERROR(__xludf.DUMMYFUNCTION("""COMPUTED_VALUE"""),"Logroño")</f>
        <v>Logroño</v>
      </c>
      <c r="F1317" s="16">
        <f ca="1">IFERROR(__xludf.DUMMYFUNCTION("""COMPUTED_VALUE"""),45953)</f>
        <v>45953</v>
      </c>
      <c r="G1317" s="16">
        <f ca="1">IFERROR(__xludf.DUMMYFUNCTION("""COMPUTED_VALUE"""),45897)</f>
        <v>45897</v>
      </c>
      <c r="H1317" s="6" t="str">
        <f ca="1">IFERROR(__xludf.DUMMYFUNCTION("""COMPUTED_VALUE"""),"Logroño")</f>
        <v>Logroño</v>
      </c>
      <c r="I1317" s="6" t="str">
        <f ca="1">IFERROR(__xludf.DUMMYFUNCTION("""COMPUTED_VALUE"""),"C202591718138788")</f>
        <v>C202591718138788</v>
      </c>
      <c r="J1317" s="6" t="str">
        <f ca="1">IFERROR(__xludf.DUMMYFUNCTION("""COMPUTED_VALUE"""),"CASILDA RUIZ BARCINA")</f>
        <v>CASILDA RUIZ BARCINA</v>
      </c>
      <c r="K1317" s="6">
        <f ca="1">IFERROR(__xludf.DUMMYFUNCTION("""COMPUTED_VALUE"""),1)</f>
        <v>1</v>
      </c>
      <c r="L1317" s="139">
        <f ca="1">IFERROR(__xludf.DUMMYFUNCTION("""COMPUTED_VALUE"""),2180.91)</f>
        <v>2180.91</v>
      </c>
      <c r="M1317" s="6" t="str">
        <f ca="1">IFERROR(__xludf.DUMMYFUNCTION("""COMPUTED_VALUE"""),"03 ORL")</f>
        <v>03 ORL</v>
      </c>
      <c r="N1317" s="6" t="str">
        <f ca="1">IFERROR(__xludf.DUMMYFUNCTION("""COMPUTED_VALUE"""),"06 ORL")</f>
        <v>06 ORL</v>
      </c>
      <c r="O1317" s="6" t="str">
        <f ca="1">IFERROR(__xludf.DUMMYFUNCTION("""COMPUTED_VALUE"""),"Dr, Garikoitz Calzada Uriondo")</f>
        <v>Dr, Garikoitz Calzada Uriondo</v>
      </c>
      <c r="P1317" s="6" t="str">
        <f ca="1">IFERROR(__xludf.DUMMYFUNCTION("""COMPUTED_VALUE"""),"Lisandro Russian (Madrid, Cáceres, Toledo, Talavera Y Logroño)")</f>
        <v>Lisandro Russian (Madrid, Cáceres, Toledo, Talavera Y Logroño)</v>
      </c>
    </row>
    <row r="1318" spans="2:16">
      <c r="B1318" s="6">
        <f ca="1">IFERROR(__xludf.DUMMYFUNCTION("""COMPUTED_VALUE"""),2025)</f>
        <v>2025</v>
      </c>
      <c r="C1318" s="6">
        <f ca="1">IFERROR(__xludf.DUMMYFUNCTION("""COMPUTED_VALUE"""),10)</f>
        <v>10</v>
      </c>
      <c r="D1318" s="6" t="str">
        <f ca="1">IFERROR(__xludf.DUMMYFUNCTION("""COMPUTED_VALUE"""),"NO")</f>
        <v>NO</v>
      </c>
      <c r="E1318" s="6" t="str">
        <f ca="1">IFERROR(__xludf.DUMMYFUNCTION("""COMPUTED_VALUE"""),"Albacete")</f>
        <v>Albacete</v>
      </c>
      <c r="F1318" s="16">
        <f ca="1">IFERROR(__xludf.DUMMYFUNCTION("""COMPUTED_VALUE"""),45953)</f>
        <v>45953</v>
      </c>
      <c r="G1318" s="16">
        <f ca="1">IFERROR(__xludf.DUMMYFUNCTION("""COMPUTED_VALUE"""),45877)</f>
        <v>45877</v>
      </c>
      <c r="H1318" s="6" t="str">
        <f ca="1">IFERROR(__xludf.DUMMYFUNCTION("""COMPUTED_VALUE"""),"Albacete")</f>
        <v>Albacete</v>
      </c>
      <c r="I1318" s="6" t="str">
        <f ca="1">IFERROR(__xludf.DUMMYFUNCTION("""COMPUTED_VALUE"""),"C2025881363715")</f>
        <v>C2025881363715</v>
      </c>
      <c r="J1318" s="6" t="str">
        <f ca="1">IFERROR(__xludf.DUMMYFUNCTION("""COMPUTED_VALUE"""),"LAUDELINA GONZALEZ RODRÍGUEZ")</f>
        <v>LAUDELINA GONZALEZ RODRÍGUEZ</v>
      </c>
      <c r="K1318" s="6">
        <f ca="1">IFERROR(__xludf.DUMMYFUNCTION("""COMPUTED_VALUE"""),2)</f>
        <v>2</v>
      </c>
      <c r="L1318" s="139">
        <f ca="1">IFERROR(__xludf.DUMMYFUNCTION("""COMPUTED_VALUE"""),3604.55)</f>
        <v>3604.55</v>
      </c>
      <c r="M1318" s="6" t="str">
        <f ca="1">IFERROR(__xludf.DUMMYFUNCTION("""COMPUTED_VALUE"""),"03 ORL")</f>
        <v>03 ORL</v>
      </c>
      <c r="N1318" s="6" t="str">
        <f ca="1">IFERROR(__xludf.DUMMYFUNCTION("""COMPUTED_VALUE"""),"06 ORL")</f>
        <v>06 ORL</v>
      </c>
      <c r="O1318" s="6" t="str">
        <f ca="1">IFERROR(__xludf.DUMMYFUNCTION("""COMPUTED_VALUE"""),"Dr, Javier García-Dueñas González")</f>
        <v>Dr, Javier García-Dueñas González</v>
      </c>
      <c r="P1318" s="6" t="str">
        <f ca="1">IFERROR(__xludf.DUMMYFUNCTION("""COMPUTED_VALUE"""),"Iván Sánchez (Levante Y Albacete)")</f>
        <v>Iván Sánchez (Levante Y Albacete)</v>
      </c>
    </row>
    <row r="1319" spans="2:16">
      <c r="B1319" s="6">
        <f ca="1">IFERROR(__xludf.DUMMYFUNCTION("""COMPUTED_VALUE"""),2025)</f>
        <v>2025</v>
      </c>
      <c r="C1319" s="6">
        <f ca="1">IFERROR(__xludf.DUMMYFUNCTION("""COMPUTED_VALUE"""),10)</f>
        <v>10</v>
      </c>
      <c r="D1319" s="6" t="str">
        <f ca="1">IFERROR(__xludf.DUMMYFUNCTION("""COMPUTED_VALUE"""),"NO")</f>
        <v>NO</v>
      </c>
      <c r="E1319" s="6" t="str">
        <f ca="1">IFERROR(__xludf.DUMMYFUNCTION("""COMPUTED_VALUE"""),"Alicante")</f>
        <v>Alicante</v>
      </c>
      <c r="F1319" s="16">
        <f ca="1">IFERROR(__xludf.DUMMYFUNCTION("""COMPUTED_VALUE"""),45953)</f>
        <v>45953</v>
      </c>
      <c r="G1319" s="16">
        <f ca="1">IFERROR(__xludf.DUMMYFUNCTION("""COMPUTED_VALUE"""),45917)</f>
        <v>45917</v>
      </c>
      <c r="H1319" s="6" t="str">
        <f ca="1">IFERROR(__xludf.DUMMYFUNCTION("""COMPUTED_VALUE"""),"Alicante")</f>
        <v>Alicante</v>
      </c>
      <c r="I1319" s="6" t="str">
        <f ca="1">IFERROR(__xludf.DUMMYFUNCTION("""COMPUTED_VALUE"""),"C202592493128600")</f>
        <v>C202592493128600</v>
      </c>
      <c r="J1319" s="6" t="str">
        <f ca="1">IFERROR(__xludf.DUMMYFUNCTION("""COMPUTED_VALUE"""),"MARIA JOSE GARCIA AGRAMUNT")</f>
        <v>MARIA JOSE GARCIA AGRAMUNT</v>
      </c>
      <c r="K1319" s="6">
        <f ca="1">IFERROR(__xludf.DUMMYFUNCTION("""COMPUTED_VALUE"""),2)</f>
        <v>2</v>
      </c>
      <c r="L1319" s="139">
        <f ca="1">IFERROR(__xludf.DUMMYFUNCTION("""COMPUTED_VALUE"""),2718.18)</f>
        <v>2718.18</v>
      </c>
      <c r="M1319" s="6" t="str">
        <f ca="1">IFERROR(__xludf.DUMMYFUNCTION("""COMPUTED_VALUE"""),"03 ORL")</f>
        <v>03 ORL</v>
      </c>
      <c r="N1319" s="6" t="str">
        <f ca="1">IFERROR(__xludf.DUMMYFUNCTION("""COMPUTED_VALUE"""),"06 ORL")</f>
        <v>06 ORL</v>
      </c>
      <c r="O1319" s="6" t="str">
        <f ca="1">IFERROR(__xludf.DUMMYFUNCTION("""COMPUTED_VALUE"""),"Dra, Cristina Muñoz Pinto")</f>
        <v>Dra, Cristina Muñoz Pinto</v>
      </c>
      <c r="P1319" s="6" t="str">
        <f ca="1">IFERROR(__xludf.DUMMYFUNCTION("""COMPUTED_VALUE"""),"Iván Sánchez (Levante Y Albacete)")</f>
        <v>Iván Sánchez (Levante Y Albacete)</v>
      </c>
    </row>
    <row r="1320" spans="2:16">
      <c r="B1320" s="6">
        <f ca="1">IFERROR(__xludf.DUMMYFUNCTION("""COMPUTED_VALUE"""),2025)</f>
        <v>2025</v>
      </c>
      <c r="C1320" s="6">
        <f ca="1">IFERROR(__xludf.DUMMYFUNCTION("""COMPUTED_VALUE"""),10)</f>
        <v>10</v>
      </c>
      <c r="D1320" s="6" t="str">
        <f ca="1">IFERROR(__xludf.DUMMYFUNCTION("""COMPUTED_VALUE"""),"NO")</f>
        <v>NO</v>
      </c>
      <c r="E1320" s="6" t="str">
        <f ca="1">IFERROR(__xludf.DUMMYFUNCTION("""COMPUTED_VALUE"""),"Madrid- Monforte de Lemos")</f>
        <v>Madrid- Monforte de Lemos</v>
      </c>
      <c r="F1320" s="16">
        <f ca="1">IFERROR(__xludf.DUMMYFUNCTION("""COMPUTED_VALUE"""),45953)</f>
        <v>45953</v>
      </c>
      <c r="G1320" s="16">
        <f ca="1">IFERROR(__xludf.DUMMYFUNCTION("""COMPUTED_VALUE"""),45932)</f>
        <v>45932</v>
      </c>
      <c r="H1320" s="6" t="str">
        <f ca="1">IFERROR(__xludf.DUMMYFUNCTION("""COMPUTED_VALUE"""),"La Vaguada")</f>
        <v>La Vaguada</v>
      </c>
      <c r="I1320" s="6" t="str">
        <f ca="1">IFERROR(__xludf.DUMMYFUNCTION("""COMPUTED_VALUE"""),"VGA-13185")</f>
        <v>VGA-13185</v>
      </c>
      <c r="J1320" s="6" t="str">
        <f ca="1">IFERROR(__xludf.DUMMYFUNCTION("""COMPUTED_VALUE"""),"AURORA FIGUERAS MUÑOZ")</f>
        <v>AURORA FIGUERAS MUÑOZ</v>
      </c>
      <c r="K1320" s="6">
        <f ca="1">IFERROR(__xludf.DUMMYFUNCTION("""COMPUTED_VALUE"""),1)</f>
        <v>1</v>
      </c>
      <c r="L1320" s="139">
        <f ca="1">IFERROR(__xludf.DUMMYFUNCTION("""COMPUTED_VALUE"""),2180.91)</f>
        <v>2180.91</v>
      </c>
      <c r="M1320" s="6" t="str">
        <f ca="1">IFERROR(__xludf.DUMMYFUNCTION("""COMPUTED_VALUE"""),"03 ORL")</f>
        <v>03 ORL</v>
      </c>
      <c r="N1320" s="6" t="str">
        <f ca="1">IFERROR(__xludf.DUMMYFUNCTION("""COMPUTED_VALUE"""),"06 ORL")</f>
        <v>06 ORL</v>
      </c>
      <c r="O1320" s="6" t="str">
        <f ca="1">IFERROR(__xludf.DUMMYFUNCTION("""COMPUTED_VALUE"""),"Dr, Carlos Félix Asensio Nieto")</f>
        <v>Dr, Carlos Félix Asensio Nieto</v>
      </c>
      <c r="P1320" s="6" t="str">
        <f ca="1">IFERROR(__xludf.DUMMYFUNCTION("""COMPUTED_VALUE"""),"Lisandro Russian (Madrid, Cáceres, Toledo, Talavera Y Logroño)")</f>
        <v>Lisandro Russian (Madrid, Cáceres, Toledo, Talavera Y Logroño)</v>
      </c>
    </row>
    <row r="1321" spans="2:16">
      <c r="B1321" s="6">
        <f ca="1">IFERROR(__xludf.DUMMYFUNCTION("""COMPUTED_VALUE"""),2025)</f>
        <v>2025</v>
      </c>
      <c r="C1321" s="6">
        <f ca="1">IFERROR(__xludf.DUMMYFUNCTION("""COMPUTED_VALUE"""),10)</f>
        <v>10</v>
      </c>
      <c r="D1321" s="6" t="str">
        <f ca="1">IFERROR(__xludf.DUMMYFUNCTION("""COMPUTED_VALUE"""),"NO")</f>
        <v>NO</v>
      </c>
      <c r="E1321" s="6" t="str">
        <f ca="1">IFERROR(__xludf.DUMMYFUNCTION("""COMPUTED_VALUE"""),"Sevilla- Montoto")</f>
        <v>Sevilla- Montoto</v>
      </c>
      <c r="F1321" s="16">
        <f ca="1">IFERROR(__xludf.DUMMYFUNCTION("""COMPUTED_VALUE"""),45953)</f>
        <v>45953</v>
      </c>
      <c r="G1321" s="16">
        <f ca="1">IFERROR(__xludf.DUMMYFUNCTION("""COMPUTED_VALUE"""),45911)</f>
        <v>45911</v>
      </c>
      <c r="H1321" s="6" t="str">
        <f ca="1">IFERROR(__xludf.DUMMYFUNCTION("""COMPUTED_VALUE"""),"Montoto")</f>
        <v>Montoto</v>
      </c>
      <c r="I1321" s="6" t="str">
        <f ca="1">IFERROR(__xludf.DUMMYFUNCTION("""COMPUTED_VALUE"""),"C202591214835324")</f>
        <v>C202591214835324</v>
      </c>
      <c r="J1321" s="6" t="str">
        <f ca="1">IFERROR(__xludf.DUMMYFUNCTION("""COMPUTED_VALUE"""),"CONCEPCION QUINTERO MORENO")</f>
        <v>CONCEPCION QUINTERO MORENO</v>
      </c>
      <c r="K1321" s="6">
        <f ca="1">IFERROR(__xludf.DUMMYFUNCTION("""COMPUTED_VALUE"""),2)</f>
        <v>2</v>
      </c>
      <c r="L1321" s="139">
        <f ca="1">IFERROR(__xludf.DUMMYFUNCTION("""COMPUTED_VALUE"""),3631.82)</f>
        <v>3631.82</v>
      </c>
      <c r="M1321" s="6" t="str">
        <f ca="1">IFERROR(__xludf.DUMMYFUNCTION("""COMPUTED_VALUE"""),"04 TIENDA")</f>
        <v>04 TIENDA</v>
      </c>
      <c r="N1321" s="6" t="str">
        <f ca="1">IFERROR(__xludf.DUMMYFUNCTION("""COMPUTED_VALUE"""),"07 BOCA/BOCA")</f>
        <v>07 BOCA/BOCA</v>
      </c>
      <c r="O1321" s="6" t="str">
        <f ca="1">IFERROR(__xludf.DUMMYFUNCTION("""COMPUTED_VALUE"""),"Dr, José María Hernández Hernández")</f>
        <v>Dr, José María Hernández Hernández</v>
      </c>
      <c r="P1321" s="6" t="str">
        <f ca="1">IFERROR(__xludf.DUMMYFUNCTION("""COMPUTED_VALUE"""),"Luis Alberto Rodríguez (Andalucía y Badajoz)")</f>
        <v>Luis Alberto Rodríguez (Andalucía y Badajoz)</v>
      </c>
    </row>
    <row r="1322" spans="2:16">
      <c r="B1322" s="6">
        <f ca="1">IFERROR(__xludf.DUMMYFUNCTION("""COMPUTED_VALUE"""),2025)</f>
        <v>2025</v>
      </c>
      <c r="C1322" s="6">
        <f ca="1">IFERROR(__xludf.DUMMYFUNCTION("""COMPUTED_VALUE"""),10)</f>
        <v>10</v>
      </c>
      <c r="D1322" s="6" t="str">
        <f ca="1">IFERROR(__xludf.DUMMYFUNCTION("""COMPUTED_VALUE"""),"NO")</f>
        <v>NO</v>
      </c>
      <c r="E1322" s="6" t="str">
        <f ca="1">IFERROR(__xludf.DUMMYFUNCTION("""COMPUTED_VALUE"""),"Madrid- Costa Rica")</f>
        <v>Madrid- Costa Rica</v>
      </c>
      <c r="F1322" s="16">
        <f ca="1">IFERROR(__xludf.DUMMYFUNCTION("""COMPUTED_VALUE"""),45954)</f>
        <v>45954</v>
      </c>
      <c r="G1322" s="16">
        <f ca="1">IFERROR(__xludf.DUMMYFUNCTION("""COMPUTED_VALUE"""),45923)</f>
        <v>45923</v>
      </c>
      <c r="H1322" s="6" t="str">
        <f ca="1">IFERROR(__xludf.DUMMYFUNCTION("""COMPUTED_VALUE"""),"Costa Rica")</f>
        <v>Costa Rica</v>
      </c>
      <c r="I1322" s="6" t="str">
        <f ca="1">IFERROR(__xludf.DUMMYFUNCTION("""COMPUTED_VALUE"""),"C2025925181819564")</f>
        <v>C2025925181819564</v>
      </c>
      <c r="J1322" s="6" t="str">
        <f ca="1">IFERROR(__xludf.DUMMYFUNCTION("""COMPUTED_VALUE"""),"DOLORES GONZALEZ DURO")</f>
        <v>DOLORES GONZALEZ DURO</v>
      </c>
      <c r="K1322" s="6">
        <f ca="1">IFERROR(__xludf.DUMMYFUNCTION("""COMPUTED_VALUE"""),2)</f>
        <v>2</v>
      </c>
      <c r="L1322" s="139">
        <f ca="1">IFERROR(__xludf.DUMMYFUNCTION("""COMPUTED_VALUE"""),3631.82)</f>
        <v>3631.82</v>
      </c>
      <c r="M1322" s="6" t="str">
        <f ca="1">IFERROR(__xludf.DUMMYFUNCTION("""COMPUTED_VALUE"""),"03 ORL")</f>
        <v>03 ORL</v>
      </c>
      <c r="N1322" s="6" t="str">
        <f ca="1">IFERROR(__xludf.DUMMYFUNCTION("""COMPUTED_VALUE"""),"06 ORL")</f>
        <v>06 ORL</v>
      </c>
      <c r="O1322" s="6" t="str">
        <f ca="1">IFERROR(__xludf.DUMMYFUNCTION("""COMPUTED_VALUE"""),"Dr, Antonio Bueno Ríos")</f>
        <v>Dr, Antonio Bueno Ríos</v>
      </c>
      <c r="P1322" s="6" t="str">
        <f ca="1">IFERROR(__xludf.DUMMYFUNCTION("""COMPUTED_VALUE"""),"Lisandro Russian (Madrid, Cáceres, Toledo, Talavera Y Logroño)")</f>
        <v>Lisandro Russian (Madrid, Cáceres, Toledo, Talavera Y Logroño)</v>
      </c>
    </row>
    <row r="1323" spans="2:16">
      <c r="B1323" s="6">
        <f ca="1">IFERROR(__xludf.DUMMYFUNCTION("""COMPUTED_VALUE"""),2025)</f>
        <v>2025</v>
      </c>
      <c r="C1323" s="6">
        <f ca="1">IFERROR(__xludf.DUMMYFUNCTION("""COMPUTED_VALUE"""),10)</f>
        <v>10</v>
      </c>
      <c r="D1323" s="6" t="str">
        <f ca="1">IFERROR(__xludf.DUMMYFUNCTION("""COMPUTED_VALUE"""),"NO")</f>
        <v>NO</v>
      </c>
      <c r="E1323" s="6" t="str">
        <f ca="1">IFERROR(__xludf.DUMMYFUNCTION("""COMPUTED_VALUE"""),"Ourense")</f>
        <v>Ourense</v>
      </c>
      <c r="F1323" s="16">
        <f ca="1">IFERROR(__xludf.DUMMYFUNCTION("""COMPUTED_VALUE"""),45954)</f>
        <v>45954</v>
      </c>
      <c r="G1323" s="16">
        <f ca="1">IFERROR(__xludf.DUMMYFUNCTION("""COMPUTED_VALUE"""),45912)</f>
        <v>45912</v>
      </c>
      <c r="H1323" s="6" t="str">
        <f ca="1">IFERROR(__xludf.DUMMYFUNCTION("""COMPUTED_VALUE"""),"Orense")</f>
        <v>Orense</v>
      </c>
      <c r="I1323" s="6" t="str">
        <f ca="1">IFERROR(__xludf.DUMMYFUNCTION("""COMPUTED_VALUE"""),"C202591816163459")</f>
        <v>C202591816163459</v>
      </c>
      <c r="J1323" s="6" t="str">
        <f ca="1">IFERROR(__xludf.DUMMYFUNCTION("""COMPUTED_VALUE"""),"OLGA FERNANDEZ MARTINEZ")</f>
        <v>OLGA FERNANDEZ MARTINEZ</v>
      </c>
      <c r="K1323" s="6">
        <f ca="1">IFERROR(__xludf.DUMMYFUNCTION("""COMPUTED_VALUE"""),2)</f>
        <v>2</v>
      </c>
      <c r="L1323" s="139">
        <f ca="1">IFERROR(__xludf.DUMMYFUNCTION("""COMPUTED_VALUE"""),4136.36)</f>
        <v>4136.3599999999997</v>
      </c>
      <c r="M1323" s="6" t="str">
        <f ca="1">IFERROR(__xludf.DUMMYFUNCTION("""COMPUTED_VALUE"""),"03 ORL")</f>
        <v>03 ORL</v>
      </c>
      <c r="N1323" s="6" t="str">
        <f ca="1">IFERROR(__xludf.DUMMYFUNCTION("""COMPUTED_VALUE"""),"06 ORL")</f>
        <v>06 ORL</v>
      </c>
      <c r="O1323" s="6" t="str">
        <f ca="1">IFERROR(__xludf.DUMMYFUNCTION("""COMPUTED_VALUE"""),"Dra, María Rey Marcos")</f>
        <v>Dra, María Rey Marcos</v>
      </c>
      <c r="P1323" s="6" t="str">
        <f ca="1">IFERROR(__xludf.DUMMYFUNCTION("""COMPUTED_VALUE"""),"Roberto Pereira (Galicia)")</f>
        <v>Roberto Pereira (Galicia)</v>
      </c>
    </row>
    <row r="1324" spans="2:16">
      <c r="B1324" s="6">
        <f ca="1">IFERROR(__xludf.DUMMYFUNCTION("""COMPUTED_VALUE"""),2025)</f>
        <v>2025</v>
      </c>
      <c r="C1324" s="6">
        <f ca="1">IFERROR(__xludf.DUMMYFUNCTION("""COMPUTED_VALUE"""),10)</f>
        <v>10</v>
      </c>
      <c r="D1324" s="6" t="str">
        <f ca="1">IFERROR(__xludf.DUMMYFUNCTION("""COMPUTED_VALUE"""),"NO")</f>
        <v>NO</v>
      </c>
      <c r="E1324" s="6" t="str">
        <f ca="1">IFERROR(__xludf.DUMMYFUNCTION("""COMPUTED_VALUE"""),"Madrid- La Oca")</f>
        <v>Madrid- La Oca</v>
      </c>
      <c r="F1324" s="16">
        <f ca="1">IFERROR(__xludf.DUMMYFUNCTION("""COMPUTED_VALUE"""),45954)</f>
        <v>45954</v>
      </c>
      <c r="G1324" s="16">
        <f ca="1">IFERROR(__xludf.DUMMYFUNCTION("""COMPUTED_VALUE"""),45930)</f>
        <v>45930</v>
      </c>
      <c r="H1324" s="6" t="str">
        <f ca="1">IFERROR(__xludf.DUMMYFUNCTION("""COMPUTED_VALUE"""),"La Oca")</f>
        <v>La Oca</v>
      </c>
      <c r="I1324" s="6" t="str">
        <f ca="1">IFERROR(__xludf.DUMMYFUNCTION("""COMPUTED_VALUE"""),"C202510317027550")</f>
        <v>C202510317027550</v>
      </c>
      <c r="J1324" s="6" t="str">
        <f ca="1">IFERROR(__xludf.DUMMYFUNCTION("""COMPUTED_VALUE"""),"JOSEFA MARIA ALVAREZ GARCIA")</f>
        <v>JOSEFA MARIA ALVAREZ GARCIA</v>
      </c>
      <c r="K1324" s="6">
        <f ca="1">IFERROR(__xludf.DUMMYFUNCTION("""COMPUTED_VALUE"""),2)</f>
        <v>2</v>
      </c>
      <c r="L1324" s="139">
        <f ca="1">IFERROR(__xludf.DUMMYFUNCTION("""COMPUTED_VALUE"""),3631.82)</f>
        <v>3631.82</v>
      </c>
      <c r="M1324" s="6" t="str">
        <f ca="1">IFERROR(__xludf.DUMMYFUNCTION("""COMPUTED_VALUE"""),"03 ORL")</f>
        <v>03 ORL</v>
      </c>
      <c r="N1324" s="6" t="str">
        <f ca="1">IFERROR(__xludf.DUMMYFUNCTION("""COMPUTED_VALUE"""),"06 ORL")</f>
        <v>06 ORL</v>
      </c>
      <c r="O1324" s="6" t="str">
        <f ca="1">IFERROR(__xludf.DUMMYFUNCTION("""COMPUTED_VALUE"""),"Dr, José Joaquín Gutiérrez Barquín")</f>
        <v>Dr, José Joaquín Gutiérrez Barquín</v>
      </c>
      <c r="P1324" s="6" t="str">
        <f ca="1">IFERROR(__xludf.DUMMYFUNCTION("""COMPUTED_VALUE"""),"Maika Blázquez (Madrid)")</f>
        <v>Maika Blázquez (Madrid)</v>
      </c>
    </row>
    <row r="1325" spans="2:16">
      <c r="B1325" s="6">
        <f ca="1">IFERROR(__xludf.DUMMYFUNCTION("""COMPUTED_VALUE"""),2025)</f>
        <v>2025</v>
      </c>
      <c r="C1325" s="6">
        <f ca="1">IFERROR(__xludf.DUMMYFUNCTION("""COMPUTED_VALUE"""),10)</f>
        <v>10</v>
      </c>
      <c r="D1325" s="6" t="str">
        <f ca="1">IFERROR(__xludf.DUMMYFUNCTION("""COMPUTED_VALUE"""),"NO")</f>
        <v>NO</v>
      </c>
      <c r="E1325" s="6" t="str">
        <f ca="1">IFERROR(__xludf.DUMMYFUNCTION("""COMPUTED_VALUE"""),"Albacete")</f>
        <v>Albacete</v>
      </c>
      <c r="F1325" s="16">
        <f ca="1">IFERROR(__xludf.DUMMYFUNCTION("""COMPUTED_VALUE"""),45954)</f>
        <v>45954</v>
      </c>
      <c r="G1325" s="16">
        <f ca="1">IFERROR(__xludf.DUMMYFUNCTION("""COMPUTED_VALUE"""),45904)</f>
        <v>45904</v>
      </c>
      <c r="H1325" s="6" t="str">
        <f ca="1">IFERROR(__xludf.DUMMYFUNCTION("""COMPUTED_VALUE"""),"Albacete")</f>
        <v>Albacete</v>
      </c>
      <c r="I1325" s="6" t="str">
        <f ca="1">IFERROR(__xludf.DUMMYFUNCTION("""COMPUTED_VALUE"""),"C2025915103439346")</f>
        <v>C2025915103439346</v>
      </c>
      <c r="J1325" s="6" t="str">
        <f ca="1">IFERROR(__xludf.DUMMYFUNCTION("""COMPUTED_VALUE"""),"CATALINA GARCIA CANTOS")</f>
        <v>CATALINA GARCIA CANTOS</v>
      </c>
      <c r="K1325" s="6">
        <f ca="1">IFERROR(__xludf.DUMMYFUNCTION("""COMPUTED_VALUE"""),2)</f>
        <v>2</v>
      </c>
      <c r="L1325" s="139">
        <f ca="1">IFERROR(__xludf.DUMMYFUNCTION("""COMPUTED_VALUE"""),2692.31)</f>
        <v>2692.31</v>
      </c>
      <c r="M1325" s="6" t="str">
        <f ca="1">IFERROR(__xludf.DUMMYFUNCTION("""COMPUTED_VALUE"""),"03 ORL")</f>
        <v>03 ORL</v>
      </c>
      <c r="N1325" s="6" t="str">
        <f ca="1">IFERROR(__xludf.DUMMYFUNCTION("""COMPUTED_VALUE"""),"22 AUDIOMETRIA CLINICA")</f>
        <v>22 AUDIOMETRIA CLINICA</v>
      </c>
      <c r="O1325" s="6" t="str">
        <f ca="1">IFERROR(__xludf.DUMMYFUNCTION("""COMPUTED_VALUE"""),"Dr, Máximo Rafael García Rodríguez")</f>
        <v>Dr, Máximo Rafael García Rodríguez</v>
      </c>
      <c r="P1325" s="6" t="str">
        <f ca="1">IFERROR(__xludf.DUMMYFUNCTION("""COMPUTED_VALUE"""),"Iván Sánchez (Levante Y Albacete)")</f>
        <v>Iván Sánchez (Levante Y Albacete)</v>
      </c>
    </row>
    <row r="1326" spans="2:16">
      <c r="B1326" s="6">
        <f ca="1">IFERROR(__xludf.DUMMYFUNCTION("""COMPUTED_VALUE"""),2025)</f>
        <v>2025</v>
      </c>
      <c r="C1326" s="6">
        <f ca="1">IFERROR(__xludf.DUMMYFUNCTION("""COMPUTED_VALUE"""),10)</f>
        <v>10</v>
      </c>
      <c r="D1326" s="6" t="str">
        <f ca="1">IFERROR(__xludf.DUMMYFUNCTION("""COMPUTED_VALUE"""),"NO")</f>
        <v>NO</v>
      </c>
      <c r="E1326" s="6" t="str">
        <f ca="1">IFERROR(__xludf.DUMMYFUNCTION("""COMPUTED_VALUE"""),"Madrid- Juan Bravo")</f>
        <v>Madrid- Juan Bravo</v>
      </c>
      <c r="F1326" s="16">
        <f ca="1">IFERROR(__xludf.DUMMYFUNCTION("""COMPUTED_VALUE"""),45954)</f>
        <v>45954</v>
      </c>
      <c r="G1326" s="16">
        <f ca="1">IFERROR(__xludf.DUMMYFUNCTION("""COMPUTED_VALUE"""),45939)</f>
        <v>45939</v>
      </c>
      <c r="H1326" s="6" t="str">
        <f ca="1">IFERROR(__xludf.DUMMYFUNCTION("""COMPUTED_VALUE"""),"Juan Bravo")</f>
        <v>Juan Bravo</v>
      </c>
      <c r="I1326" s="6" t="str">
        <f ca="1">IFERROR(__xludf.DUMMYFUNCTION("""COMPUTED_VALUE"""),"C2025101013615270")</f>
        <v>C2025101013615270</v>
      </c>
      <c r="J1326" s="6" t="str">
        <f ca="1">IFERROR(__xludf.DUMMYFUNCTION("""COMPUTED_VALUE"""),"ANGEL BOIXADOS RUIZ")</f>
        <v>ANGEL BOIXADOS RUIZ</v>
      </c>
      <c r="K1326" s="6">
        <f ca="1">IFERROR(__xludf.DUMMYFUNCTION("""COMPUTED_VALUE"""),2)</f>
        <v>2</v>
      </c>
      <c r="L1326" s="139">
        <f ca="1">IFERROR(__xludf.DUMMYFUNCTION("""COMPUTED_VALUE"""),4136.36)</f>
        <v>4136.3599999999997</v>
      </c>
      <c r="M1326" s="6" t="str">
        <f ca="1">IFERROR(__xludf.DUMMYFUNCTION("""COMPUTED_VALUE"""),"03 ORL")</f>
        <v>03 ORL</v>
      </c>
      <c r="N1326" s="6" t="str">
        <f ca="1">IFERROR(__xludf.DUMMYFUNCTION("""COMPUTED_VALUE"""),"06 ORL")</f>
        <v>06 ORL</v>
      </c>
      <c r="O1326" s="6" t="str">
        <f ca="1">IFERROR(__xludf.DUMMYFUNCTION("""COMPUTED_VALUE"""),"Dr, Carlos Barajas del Rosal")</f>
        <v>Dr, Carlos Barajas del Rosal</v>
      </c>
      <c r="P1326" s="6" t="str">
        <f ca="1">IFERROR(__xludf.DUMMYFUNCTION("""COMPUTED_VALUE"""),"Lisandro Russian (Madrid, Cáceres, Toledo, Talavera Y Logroño)")</f>
        <v>Lisandro Russian (Madrid, Cáceres, Toledo, Talavera Y Logroño)</v>
      </c>
    </row>
    <row r="1327" spans="2:16">
      <c r="B1327" s="6">
        <f ca="1">IFERROR(__xludf.DUMMYFUNCTION("""COMPUTED_VALUE"""),2025)</f>
        <v>2025</v>
      </c>
      <c r="C1327" s="6">
        <f ca="1">IFERROR(__xludf.DUMMYFUNCTION("""COMPUTED_VALUE"""),10)</f>
        <v>10</v>
      </c>
      <c r="D1327" s="6" t="str">
        <f ca="1">IFERROR(__xludf.DUMMYFUNCTION("""COMPUTED_VALUE"""),"NO")</f>
        <v>NO</v>
      </c>
      <c r="E1327" s="6" t="str">
        <f ca="1">IFERROR(__xludf.DUMMYFUNCTION("""COMPUTED_VALUE"""),"Lugo")</f>
        <v>Lugo</v>
      </c>
      <c r="F1327" s="16">
        <f ca="1">IFERROR(__xludf.DUMMYFUNCTION("""COMPUTED_VALUE"""),45954)</f>
        <v>45954</v>
      </c>
      <c r="G1327" s="16">
        <f ca="1">IFERROR(__xludf.DUMMYFUNCTION("""COMPUTED_VALUE"""),45924)</f>
        <v>45924</v>
      </c>
      <c r="H1327" s="6" t="str">
        <f ca="1">IFERROR(__xludf.DUMMYFUNCTION("""COMPUTED_VALUE"""),"Lugo")</f>
        <v>Lugo</v>
      </c>
      <c r="I1327" s="6" t="str">
        <f ca="1">IFERROR(__xludf.DUMMYFUNCTION("""COMPUTED_VALUE"""),"C2025929105149920")</f>
        <v>C2025929105149920</v>
      </c>
      <c r="J1327" s="6" t="str">
        <f ca="1">IFERROR(__xludf.DUMMYFUNCTION("""COMPUTED_VALUE"""),"MARIA ANGELES GARCIA DIAZ")</f>
        <v>MARIA ANGELES GARCIA DIAZ</v>
      </c>
      <c r="K1327" s="6">
        <f ca="1">IFERROR(__xludf.DUMMYFUNCTION("""COMPUTED_VALUE"""),2)</f>
        <v>2</v>
      </c>
      <c r="L1327" s="139">
        <f ca="1">IFERROR(__xludf.DUMMYFUNCTION("""COMPUTED_VALUE"""),4136.36)</f>
        <v>4136.3599999999997</v>
      </c>
      <c r="M1327" s="6" t="str">
        <f ca="1">IFERROR(__xludf.DUMMYFUNCTION("""COMPUTED_VALUE"""),"03 ORL")</f>
        <v>03 ORL</v>
      </c>
      <c r="N1327" s="6" t="str">
        <f ca="1">IFERROR(__xludf.DUMMYFUNCTION("""COMPUTED_VALUE"""),"06 ORL")</f>
        <v>06 ORL</v>
      </c>
      <c r="O1327" s="6" t="str">
        <f ca="1">IFERROR(__xludf.DUMMYFUNCTION("""COMPUTED_VALUE"""),"Dr, Pedro Juiz López")</f>
        <v>Dr, Pedro Juiz López</v>
      </c>
      <c r="P1327" s="6" t="str">
        <f ca="1">IFERROR(__xludf.DUMMYFUNCTION("""COMPUTED_VALUE"""),"Roberto Pereira (Galicia)")</f>
        <v>Roberto Pereira (Galicia)</v>
      </c>
    </row>
    <row r="1328" spans="2:16">
      <c r="B1328" s="6">
        <f ca="1">IFERROR(__xludf.DUMMYFUNCTION("""COMPUTED_VALUE"""),2025)</f>
        <v>2025</v>
      </c>
      <c r="C1328" s="6">
        <f ca="1">IFERROR(__xludf.DUMMYFUNCTION("""COMPUTED_VALUE"""),10)</f>
        <v>10</v>
      </c>
      <c r="D1328" s="6" t="str">
        <f ca="1">IFERROR(__xludf.DUMMYFUNCTION("""COMPUTED_VALUE"""),"NO")</f>
        <v>NO</v>
      </c>
      <c r="E1328" s="6" t="str">
        <f ca="1">IFERROR(__xludf.DUMMYFUNCTION("""COMPUTED_VALUE"""),"Fuenlabrada")</f>
        <v>Fuenlabrada</v>
      </c>
      <c r="F1328" s="16">
        <f ca="1">IFERROR(__xludf.DUMMYFUNCTION("""COMPUTED_VALUE"""),45954)</f>
        <v>45954</v>
      </c>
      <c r="G1328" s="16">
        <f ca="1">IFERROR(__xludf.DUMMYFUNCTION("""COMPUTED_VALUE"""),45925)</f>
        <v>45925</v>
      </c>
      <c r="H1328" s="6" t="str">
        <f ca="1">IFERROR(__xludf.DUMMYFUNCTION("""COMPUTED_VALUE"""),"Fuenlabrada")</f>
        <v>Fuenlabrada</v>
      </c>
      <c r="I1328" s="6" t="str">
        <f ca="1">IFERROR(__xludf.DUMMYFUNCTION("""COMPUTED_VALUE"""),"C2025930175639710")</f>
        <v>C2025930175639710</v>
      </c>
      <c r="J1328" s="6" t="str">
        <f ca="1">IFERROR(__xludf.DUMMYFUNCTION("""COMPUTED_VALUE"""),"JUAN ANTONIO MARTIN GARCIA")</f>
        <v>JUAN ANTONIO MARTIN GARCIA</v>
      </c>
      <c r="K1328" s="6">
        <f ca="1">IFERROR(__xludf.DUMMYFUNCTION("""COMPUTED_VALUE"""),1)</f>
        <v>1</v>
      </c>
      <c r="L1328" s="139">
        <f ca="1">IFERROR(__xludf.DUMMYFUNCTION("""COMPUTED_VALUE"""),2180.91)</f>
        <v>2180.91</v>
      </c>
      <c r="M1328" s="6" t="str">
        <f ca="1">IFERROR(__xludf.DUMMYFUNCTION("""COMPUTED_VALUE"""),"03 ORL")</f>
        <v>03 ORL</v>
      </c>
      <c r="N1328" s="6" t="str">
        <f ca="1">IFERROR(__xludf.DUMMYFUNCTION("""COMPUTED_VALUE"""),"06 ORL")</f>
        <v>06 ORL</v>
      </c>
      <c r="O1328" s="6" t="str">
        <f ca="1">IFERROR(__xludf.DUMMYFUNCTION("""COMPUTED_VALUE"""),"Dra, Estefania Miranda Sánchez")</f>
        <v>Dra, Estefania Miranda Sánchez</v>
      </c>
      <c r="P1328" s="6" t="str">
        <f ca="1">IFERROR(__xludf.DUMMYFUNCTION("""COMPUTED_VALUE"""),"Maika Blázquez (Madrid)")</f>
        <v>Maika Blázquez (Madrid)</v>
      </c>
    </row>
    <row r="1329" spans="2:16">
      <c r="B1329" s="6">
        <f ca="1">IFERROR(__xludf.DUMMYFUNCTION("""COMPUTED_VALUE"""),2025)</f>
        <v>2025</v>
      </c>
      <c r="C1329" s="6">
        <f ca="1">IFERROR(__xludf.DUMMYFUNCTION("""COMPUTED_VALUE"""),10)</f>
        <v>10</v>
      </c>
      <c r="D1329" s="6" t="str">
        <f ca="1">IFERROR(__xludf.DUMMYFUNCTION("""COMPUTED_VALUE"""),"NO")</f>
        <v>NO</v>
      </c>
      <c r="E1329" s="6" t="str">
        <f ca="1">IFERROR(__xludf.DUMMYFUNCTION("""COMPUTED_VALUE"""),"Madrid- Canillas")</f>
        <v>Madrid- Canillas</v>
      </c>
      <c r="F1329" s="16">
        <f ca="1">IFERROR(__xludf.DUMMYFUNCTION("""COMPUTED_VALUE"""),45954)</f>
        <v>45954</v>
      </c>
      <c r="G1329" s="16">
        <f ca="1">IFERROR(__xludf.DUMMYFUNCTION("""COMPUTED_VALUE"""),45936)</f>
        <v>45936</v>
      </c>
      <c r="H1329" s="6" t="str">
        <f ca="1">IFERROR(__xludf.DUMMYFUNCTION("""COMPUTED_VALUE"""),"Canillas")</f>
        <v>Canillas</v>
      </c>
      <c r="I1329" s="6" t="str">
        <f ca="1">IFERROR(__xludf.DUMMYFUNCTION("""COMPUTED_VALUE"""),"C202510816030138")</f>
        <v>C202510816030138</v>
      </c>
      <c r="J1329" s="6" t="str">
        <f ca="1">IFERROR(__xludf.DUMMYFUNCTION("""COMPUTED_VALUE"""),"MARÍA DEL CARMEN MUÑOZ ROMERO")</f>
        <v>MARÍA DEL CARMEN MUÑOZ ROMERO</v>
      </c>
      <c r="K1329" s="6">
        <f ca="1">IFERROR(__xludf.DUMMYFUNCTION("""COMPUTED_VALUE"""),2)</f>
        <v>2</v>
      </c>
      <c r="L1329" s="139">
        <f ca="1">IFERROR(__xludf.DUMMYFUNCTION("""COMPUTED_VALUE"""),3631.82)</f>
        <v>3631.82</v>
      </c>
      <c r="M1329" s="6" t="str">
        <f ca="1">IFERROR(__xludf.DUMMYFUNCTION("""COMPUTED_VALUE"""),"03 ORL")</f>
        <v>03 ORL</v>
      </c>
      <c r="N1329" s="6" t="str">
        <f ca="1">IFERROR(__xludf.DUMMYFUNCTION("""COMPUTED_VALUE"""),"06 ORL")</f>
        <v>06 ORL</v>
      </c>
      <c r="O1329" s="6" t="str">
        <f ca="1">IFERROR(__xludf.DUMMYFUNCTION("""COMPUTED_VALUE"""),"Dra, Laura Yeguas Ramírez")</f>
        <v>Dra, Laura Yeguas Ramírez</v>
      </c>
      <c r="P1329" s="6" t="str">
        <f ca="1">IFERROR(__xludf.DUMMYFUNCTION("""COMPUTED_VALUE"""),"Maika Blázquez (Madrid)")</f>
        <v>Maika Blázquez (Madrid)</v>
      </c>
    </row>
    <row r="1330" spans="2:16">
      <c r="B1330" s="6">
        <f ca="1">IFERROR(__xludf.DUMMYFUNCTION("""COMPUTED_VALUE"""),2025)</f>
        <v>2025</v>
      </c>
      <c r="C1330" s="6">
        <f ca="1">IFERROR(__xludf.DUMMYFUNCTION("""COMPUTED_VALUE"""),10)</f>
        <v>10</v>
      </c>
      <c r="D1330" s="6" t="str">
        <f ca="1">IFERROR(__xludf.DUMMYFUNCTION("""COMPUTED_VALUE"""),"NO")</f>
        <v>NO</v>
      </c>
      <c r="E1330" s="6" t="str">
        <f ca="1">IFERROR(__xludf.DUMMYFUNCTION("""COMPUTED_VALUE"""),"Valencia- Cádiz")</f>
        <v>Valencia- Cádiz</v>
      </c>
      <c r="F1330" s="16">
        <f ca="1">IFERROR(__xludf.DUMMYFUNCTION("""COMPUTED_VALUE"""),45954)</f>
        <v>45954</v>
      </c>
      <c r="G1330" s="16">
        <f ca="1">IFERROR(__xludf.DUMMYFUNCTION("""COMPUTED_VALUE"""),45918)</f>
        <v>45918</v>
      </c>
      <c r="H1330" s="6" t="str">
        <f ca="1">IFERROR(__xludf.DUMMYFUNCTION("""COMPUTED_VALUE"""),"Valencia- Cádiz")</f>
        <v>Valencia- Cádiz</v>
      </c>
      <c r="I1330" s="6" t="str">
        <f ca="1">IFERROR(__xludf.DUMMYFUNCTION("""COMPUTED_VALUE"""),"C2025924162717423")</f>
        <v>C2025924162717423</v>
      </c>
      <c r="J1330" s="6" t="str">
        <f ca="1">IFERROR(__xludf.DUMMYFUNCTION("""COMPUTED_VALUE"""),"JOSE NAVARRETE GIL")</f>
        <v>JOSE NAVARRETE GIL</v>
      </c>
      <c r="K1330" s="6">
        <f ca="1">IFERROR(__xludf.DUMMYFUNCTION("""COMPUTED_VALUE"""),2)</f>
        <v>2</v>
      </c>
      <c r="L1330" s="139">
        <f ca="1">IFERROR(__xludf.DUMMYFUNCTION("""COMPUTED_VALUE"""),4136.36)</f>
        <v>4136.3599999999997</v>
      </c>
      <c r="M1330" s="6" t="str">
        <f ca="1">IFERROR(__xludf.DUMMYFUNCTION("""COMPUTED_VALUE"""),"03 ORL")</f>
        <v>03 ORL</v>
      </c>
      <c r="N1330" s="6" t="str">
        <f ca="1">IFERROR(__xludf.DUMMYFUNCTION("""COMPUTED_VALUE"""),"06 ORL")</f>
        <v>06 ORL</v>
      </c>
      <c r="O1330" s="6" t="str">
        <f ca="1">IFERROR(__xludf.DUMMYFUNCTION("""COMPUTED_VALUE"""),"Dra Mª Soledad Frías Moya-Angeler")</f>
        <v>Dra Mª Soledad Frías Moya-Angeler</v>
      </c>
      <c r="P1330" s="6" t="str">
        <f ca="1">IFERROR(__xludf.DUMMYFUNCTION("""COMPUTED_VALUE"""),"Ramon Ferrando(Valencia)")</f>
        <v>Ramon Ferrando(Valencia)</v>
      </c>
    </row>
    <row r="1331" spans="2:16">
      <c r="B1331" s="6">
        <f ca="1">IFERROR(__xludf.DUMMYFUNCTION("""COMPUTED_VALUE"""),2025)</f>
        <v>2025</v>
      </c>
      <c r="C1331" s="6">
        <f ca="1">IFERROR(__xludf.DUMMYFUNCTION("""COMPUTED_VALUE"""),10)</f>
        <v>10</v>
      </c>
      <c r="D1331" s="6" t="str">
        <f ca="1">IFERROR(__xludf.DUMMYFUNCTION("""COMPUTED_VALUE"""),"NO")</f>
        <v>NO</v>
      </c>
      <c r="E1331" s="6" t="str">
        <f ca="1">IFERROR(__xludf.DUMMYFUNCTION("""COMPUTED_VALUE"""),"Albacete")</f>
        <v>Albacete</v>
      </c>
      <c r="F1331" s="16">
        <f ca="1">IFERROR(__xludf.DUMMYFUNCTION("""COMPUTED_VALUE"""),45954)</f>
        <v>45954</v>
      </c>
      <c r="G1331" s="16">
        <f ca="1">IFERROR(__xludf.DUMMYFUNCTION("""COMPUTED_VALUE"""),45937)</f>
        <v>45937</v>
      </c>
      <c r="H1331" s="6" t="str">
        <f ca="1">IFERROR(__xludf.DUMMYFUNCTION("""COMPUTED_VALUE"""),"Albacete")</f>
        <v>Albacete</v>
      </c>
      <c r="I1331" s="6" t="str">
        <f ca="1">IFERROR(__xludf.DUMMYFUNCTION("""COMPUTED_VALUE"""),"C20251071845263")</f>
        <v>C20251071845263</v>
      </c>
      <c r="J1331" s="6" t="str">
        <f ca="1">IFERROR(__xludf.DUMMYFUNCTION("""COMPUTED_VALUE"""),"MARIA LUZ TORNERO MARTÍNEZ")</f>
        <v>MARIA LUZ TORNERO MARTÍNEZ</v>
      </c>
      <c r="K1331" s="6">
        <f ca="1">IFERROR(__xludf.DUMMYFUNCTION("""COMPUTED_VALUE"""),2)</f>
        <v>2</v>
      </c>
      <c r="L1331" s="139">
        <f ca="1">IFERROR(__xludf.DUMMYFUNCTION("""COMPUTED_VALUE"""),3631.82)</f>
        <v>3631.82</v>
      </c>
      <c r="M1331" s="6" t="str">
        <f ca="1">IFERROR(__xludf.DUMMYFUNCTION("""COMPUTED_VALUE"""),"03 ORL")</f>
        <v>03 ORL</v>
      </c>
      <c r="N1331" s="6" t="str">
        <f ca="1">IFERROR(__xludf.DUMMYFUNCTION("""COMPUTED_VALUE"""),"06 ORL")</f>
        <v>06 ORL</v>
      </c>
      <c r="O1331" s="6" t="str">
        <f ca="1">IFERROR(__xludf.DUMMYFUNCTION("""COMPUTED_VALUE"""),"Dr, Pedro Seguí Moya")</f>
        <v>Dr, Pedro Seguí Moya</v>
      </c>
      <c r="P1331" s="6" t="str">
        <f ca="1">IFERROR(__xludf.DUMMYFUNCTION("""COMPUTED_VALUE"""),"Iván Sánchez (Levante Y Albacete)")</f>
        <v>Iván Sánchez (Levante Y Albacete)</v>
      </c>
    </row>
    <row r="1332" spans="2:16">
      <c r="B1332" s="6">
        <f ca="1">IFERROR(__xludf.DUMMYFUNCTION("""COMPUTED_VALUE"""),2025)</f>
        <v>2025</v>
      </c>
      <c r="C1332" s="6">
        <f ca="1">IFERROR(__xludf.DUMMYFUNCTION("""COMPUTED_VALUE"""),10)</f>
        <v>10</v>
      </c>
      <c r="D1332" s="6" t="str">
        <f ca="1">IFERROR(__xludf.DUMMYFUNCTION("""COMPUTED_VALUE"""),"NO")</f>
        <v>NO</v>
      </c>
      <c r="E1332" s="6" t="str">
        <f ca="1">IFERROR(__xludf.DUMMYFUNCTION("""COMPUTED_VALUE"""),"Madrid- Canillas")</f>
        <v>Madrid- Canillas</v>
      </c>
      <c r="F1332" s="16">
        <f ca="1">IFERROR(__xludf.DUMMYFUNCTION("""COMPUTED_VALUE"""),45954)</f>
        <v>45954</v>
      </c>
      <c r="G1332" s="16">
        <f ca="1">IFERROR(__xludf.DUMMYFUNCTION("""COMPUTED_VALUE"""),45931)</f>
        <v>45931</v>
      </c>
      <c r="H1332" s="6" t="str">
        <f ca="1">IFERROR(__xludf.DUMMYFUNCTION("""COMPUTED_VALUE"""),"Canillas")</f>
        <v>Canillas</v>
      </c>
      <c r="I1332" s="6" t="str">
        <f ca="1">IFERROR(__xludf.DUMMYFUNCTION("""COMPUTED_VALUE"""),"C2025108114926102")</f>
        <v>C2025108114926102</v>
      </c>
      <c r="J1332" s="6" t="str">
        <f ca="1">IFERROR(__xludf.DUMMYFUNCTION("""COMPUTED_VALUE"""),"PEDRO CALLEJA DE LA SEDA")</f>
        <v>PEDRO CALLEJA DE LA SEDA</v>
      </c>
      <c r="K1332" s="6">
        <f ca="1">IFERROR(__xludf.DUMMYFUNCTION("""COMPUTED_VALUE"""),2)</f>
        <v>2</v>
      </c>
      <c r="L1332" s="139">
        <f ca="1">IFERROR(__xludf.DUMMYFUNCTION("""COMPUTED_VALUE"""),3631.82)</f>
        <v>3631.82</v>
      </c>
      <c r="M1332" s="6" t="str">
        <f ca="1">IFERROR(__xludf.DUMMYFUNCTION("""COMPUTED_VALUE"""),"03 ORL")</f>
        <v>03 ORL</v>
      </c>
      <c r="N1332" s="6" t="str">
        <f ca="1">IFERROR(__xludf.DUMMYFUNCTION("""COMPUTED_VALUE"""),"06 ORL")</f>
        <v>06 ORL</v>
      </c>
      <c r="O1332" s="6" t="str">
        <f ca="1">IFERROR(__xludf.DUMMYFUNCTION("""COMPUTED_VALUE"""),"No recuerda ORL")</f>
        <v>No recuerda ORL</v>
      </c>
      <c r="P1332" s="6" t="str">
        <f ca="1">IFERROR(__xludf.DUMMYFUNCTION("""COMPUTED_VALUE"""),"Maika Blázquez (Madrid)")</f>
        <v>Maika Blázquez (Madrid)</v>
      </c>
    </row>
    <row r="1333" spans="2:16">
      <c r="B1333" s="6">
        <f ca="1">IFERROR(__xludf.DUMMYFUNCTION("""COMPUTED_VALUE"""),2025)</f>
        <v>2025</v>
      </c>
      <c r="C1333" s="6">
        <f ca="1">IFERROR(__xludf.DUMMYFUNCTION("""COMPUTED_VALUE"""),10)</f>
        <v>10</v>
      </c>
      <c r="D1333" s="6" t="str">
        <f ca="1">IFERROR(__xludf.DUMMYFUNCTION("""COMPUTED_VALUE"""),"NO")</f>
        <v>NO</v>
      </c>
      <c r="E1333" s="6" t="str">
        <f ca="1">IFERROR(__xludf.DUMMYFUNCTION("""COMPUTED_VALUE"""),"Madrid- Canillas")</f>
        <v>Madrid- Canillas</v>
      </c>
      <c r="F1333" s="16">
        <f ca="1">IFERROR(__xludf.DUMMYFUNCTION("""COMPUTED_VALUE"""),45954)</f>
        <v>45954</v>
      </c>
      <c r="G1333" s="16">
        <f ca="1">IFERROR(__xludf.DUMMYFUNCTION("""COMPUTED_VALUE"""),45911)</f>
        <v>45911</v>
      </c>
      <c r="H1333" s="6" t="str">
        <f ca="1">IFERROR(__xludf.DUMMYFUNCTION("""COMPUTED_VALUE"""),"Canillas")</f>
        <v>Canillas</v>
      </c>
      <c r="I1333" s="6" t="str">
        <f ca="1">IFERROR(__xludf.DUMMYFUNCTION("""COMPUTED_VALUE"""),"C20251021105244267")</f>
        <v>C20251021105244267</v>
      </c>
      <c r="J1333" s="6" t="str">
        <f ca="1">IFERROR(__xludf.DUMMYFUNCTION("""COMPUTED_VALUE"""),"JOSE MARÍA PELÁEZ SASTRE")</f>
        <v>JOSE MARÍA PELÁEZ SASTRE</v>
      </c>
      <c r="K1333" s="6">
        <f ca="1">IFERROR(__xludf.DUMMYFUNCTION("""COMPUTED_VALUE"""),1)</f>
        <v>1</v>
      </c>
      <c r="L1333" s="139">
        <f ca="1">IFERROR(__xludf.DUMMYFUNCTION("""COMPUTED_VALUE"""),2481.82)</f>
        <v>2481.8200000000002</v>
      </c>
      <c r="M1333" s="6" t="str">
        <f ca="1">IFERROR(__xludf.DUMMYFUNCTION("""COMPUTED_VALUE"""),"03 ORL")</f>
        <v>03 ORL</v>
      </c>
      <c r="N1333" s="6" t="str">
        <f ca="1">IFERROR(__xludf.DUMMYFUNCTION("""COMPUTED_VALUE"""),"06 ORL")</f>
        <v>06 ORL</v>
      </c>
      <c r="O1333" s="6" t="str">
        <f ca="1">IFERROR(__xludf.DUMMYFUNCTION("""COMPUTED_VALUE"""),"No recuerda ORL")</f>
        <v>No recuerda ORL</v>
      </c>
      <c r="P1333" s="6" t="str">
        <f ca="1">IFERROR(__xludf.DUMMYFUNCTION("""COMPUTED_VALUE"""),"Maika Blázquez (Madrid)")</f>
        <v>Maika Blázquez (Madrid)</v>
      </c>
    </row>
    <row r="1334" spans="2:16">
      <c r="B1334" s="6">
        <f ca="1">IFERROR(__xludf.DUMMYFUNCTION("""COMPUTED_VALUE"""),2025)</f>
        <v>2025</v>
      </c>
      <c r="C1334" s="6">
        <f ca="1">IFERROR(__xludf.DUMMYFUNCTION("""COMPUTED_VALUE"""),10)</f>
        <v>10</v>
      </c>
      <c r="D1334" s="6" t="str">
        <f ca="1">IFERROR(__xludf.DUMMYFUNCTION("""COMPUTED_VALUE"""),"NO")</f>
        <v>NO</v>
      </c>
      <c r="E1334" s="6" t="str">
        <f ca="1">IFERROR(__xludf.DUMMYFUNCTION("""COMPUTED_VALUE"""),"Valencia- Parra")</f>
        <v>Valencia- Parra</v>
      </c>
      <c r="F1334" s="16">
        <f ca="1">IFERROR(__xludf.DUMMYFUNCTION("""COMPUTED_VALUE"""),45954)</f>
        <v>45954</v>
      </c>
      <c r="G1334" s="16">
        <f ca="1">IFERROR(__xludf.DUMMYFUNCTION("""COMPUTED_VALUE"""),45915)</f>
        <v>45915</v>
      </c>
      <c r="H1334" s="6" t="str">
        <f ca="1">IFERROR(__xludf.DUMMYFUNCTION("""COMPUTED_VALUE"""),"Valencia- Parra")</f>
        <v>Valencia- Parra</v>
      </c>
      <c r="I1334" s="6" t="str">
        <f ca="1">IFERROR(__xludf.DUMMYFUNCTION("""COMPUTED_VALUE"""),"C202591993714591")</f>
        <v>C202591993714591</v>
      </c>
      <c r="J1334" s="6" t="str">
        <f ca="1">IFERROR(__xludf.DUMMYFUNCTION("""COMPUTED_VALUE"""),"JOSE LUIS CUELLAR MUÑOZ")</f>
        <v>JOSE LUIS CUELLAR MUÑOZ</v>
      </c>
      <c r="K1334" s="6">
        <f ca="1">IFERROR(__xludf.DUMMYFUNCTION("""COMPUTED_VALUE"""),2)</f>
        <v>2</v>
      </c>
      <c r="L1334" s="139">
        <f ca="1">IFERROR(__xludf.DUMMYFUNCTION("""COMPUTED_VALUE"""),2718.18)</f>
        <v>2718.18</v>
      </c>
      <c r="M1334" s="6" t="str">
        <f ca="1">IFERROR(__xludf.DUMMYFUNCTION("""COMPUTED_VALUE"""),"03 ORL")</f>
        <v>03 ORL</v>
      </c>
      <c r="N1334" s="6" t="str">
        <f ca="1">IFERROR(__xludf.DUMMYFUNCTION("""COMPUTED_VALUE"""),"06 ORL")</f>
        <v>06 ORL</v>
      </c>
      <c r="O1334" s="6" t="str">
        <f ca="1">IFERROR(__xludf.DUMMYFUNCTION("""COMPUTED_VALUE"""),"Dr, Ignacio Llopez Carratalá")</f>
        <v>Dr, Ignacio Llopez Carratalá</v>
      </c>
      <c r="P1334" s="6" t="str">
        <f ca="1">IFERROR(__xludf.DUMMYFUNCTION("""COMPUTED_VALUE"""),"Ramon Ferrando(Valencia)")</f>
        <v>Ramon Ferrando(Valencia)</v>
      </c>
    </row>
    <row r="1335" spans="2:16">
      <c r="B1335" s="6">
        <f ca="1">IFERROR(__xludf.DUMMYFUNCTION("""COMPUTED_VALUE"""),2025)</f>
        <v>2025</v>
      </c>
      <c r="C1335" s="6">
        <f ca="1">IFERROR(__xludf.DUMMYFUNCTION("""COMPUTED_VALUE"""),10)</f>
        <v>10</v>
      </c>
      <c r="D1335" s="6" t="str">
        <f ca="1">IFERROR(__xludf.DUMMYFUNCTION("""COMPUTED_VALUE"""),"NO")</f>
        <v>NO</v>
      </c>
      <c r="E1335" s="6" t="str">
        <f ca="1">IFERROR(__xludf.DUMMYFUNCTION("""COMPUTED_VALUE"""),"Alcorcón")</f>
        <v>Alcorcón</v>
      </c>
      <c r="F1335" s="16">
        <f ca="1">IFERROR(__xludf.DUMMYFUNCTION("""COMPUTED_VALUE"""),45957)</f>
        <v>45957</v>
      </c>
      <c r="G1335" s="16">
        <f ca="1">IFERROR(__xludf.DUMMYFUNCTION("""COMPUTED_VALUE"""),45887)</f>
        <v>45887</v>
      </c>
      <c r="H1335" s="6" t="str">
        <f ca="1">IFERROR(__xludf.DUMMYFUNCTION("""COMPUTED_VALUE"""),"Alcorcón")</f>
        <v>Alcorcón</v>
      </c>
      <c r="I1335" s="6" t="str">
        <f ca="1">IFERROR(__xludf.DUMMYFUNCTION("""COMPUTED_VALUE"""),"C2025822121047405")</f>
        <v>C2025822121047405</v>
      </c>
      <c r="J1335" s="6" t="str">
        <f ca="1">IFERROR(__xludf.DUMMYFUNCTION("""COMPUTED_VALUE"""),"ANTONIO DURAN GARCIA")</f>
        <v>ANTONIO DURAN GARCIA</v>
      </c>
      <c r="K1335" s="6">
        <f ca="1">IFERROR(__xludf.DUMMYFUNCTION("""COMPUTED_VALUE"""),-1)</f>
        <v>-1</v>
      </c>
      <c r="L1335" s="139">
        <f ca="1">IFERROR(__xludf.DUMMYFUNCTION("""COMPUTED_VALUE"""),-1631.82)</f>
        <v>-1631.82</v>
      </c>
      <c r="M1335" s="6" t="str">
        <f ca="1">IFERROR(__xludf.DUMMYFUNCTION("""COMPUTED_VALUE"""),"03 ORL")</f>
        <v>03 ORL</v>
      </c>
      <c r="N1335" s="6" t="str">
        <f ca="1">IFERROR(__xludf.DUMMYFUNCTION("""COMPUTED_VALUE"""),"06 ORL")</f>
        <v>06 ORL</v>
      </c>
      <c r="O1335" s="6" t="str">
        <f ca="1">IFERROR(__xludf.DUMMYFUNCTION("""COMPUTED_VALUE"""),"Dra, María Sol Marcos Salazar")</f>
        <v>Dra, María Sol Marcos Salazar</v>
      </c>
      <c r="P1335" s="6" t="str">
        <f ca="1">IFERROR(__xludf.DUMMYFUNCTION("""COMPUTED_VALUE"""),"Lisandro Russian (Madrid, Cáceres, Toledo, Talavera Y Logroño)")</f>
        <v>Lisandro Russian (Madrid, Cáceres, Toledo, Talavera Y Logroño)</v>
      </c>
    </row>
    <row r="1336" spans="2:16">
      <c r="B1336" s="6">
        <f ca="1">IFERROR(__xludf.DUMMYFUNCTION("""COMPUTED_VALUE"""),2025)</f>
        <v>2025</v>
      </c>
      <c r="C1336" s="6">
        <f ca="1">IFERROR(__xludf.DUMMYFUNCTION("""COMPUTED_VALUE"""),10)</f>
        <v>10</v>
      </c>
      <c r="D1336" s="6" t="str">
        <f ca="1">IFERROR(__xludf.DUMMYFUNCTION("""COMPUTED_VALUE"""),"NO")</f>
        <v>NO</v>
      </c>
      <c r="E1336" s="6" t="str">
        <f ca="1">IFERROR(__xludf.DUMMYFUNCTION("""COMPUTED_VALUE"""),"Cáceres")</f>
        <v>Cáceres</v>
      </c>
      <c r="F1336" s="16">
        <f ca="1">IFERROR(__xludf.DUMMYFUNCTION("""COMPUTED_VALUE"""),45957)</f>
        <v>45957</v>
      </c>
      <c r="G1336" s="16">
        <f ca="1">IFERROR(__xludf.DUMMYFUNCTION("""COMPUTED_VALUE"""),45923)</f>
        <v>45923</v>
      </c>
      <c r="H1336" s="6" t="str">
        <f ca="1">IFERROR(__xludf.DUMMYFUNCTION("""COMPUTED_VALUE"""),"Cáceres")</f>
        <v>Cáceres</v>
      </c>
      <c r="I1336" s="6" t="str">
        <f ca="1">IFERROR(__xludf.DUMMYFUNCTION("""COMPUTED_VALUE"""),"CAC-393")</f>
        <v>CAC-393</v>
      </c>
      <c r="J1336" s="6" t="str">
        <f ca="1">IFERROR(__xludf.DUMMYFUNCTION("""COMPUTED_VALUE"""),"FLORENTINO VELAZ DOMINGUEZ")</f>
        <v>FLORENTINO VELAZ DOMINGUEZ</v>
      </c>
      <c r="K1336" s="6">
        <f ca="1">IFERROR(__xludf.DUMMYFUNCTION("""COMPUTED_VALUE"""),2)</f>
        <v>2</v>
      </c>
      <c r="L1336" s="139">
        <f ca="1">IFERROR(__xludf.DUMMYFUNCTION("""COMPUTED_VALUE"""),4272.73)</f>
        <v>4272.7299999999996</v>
      </c>
      <c r="M1336" s="6" t="str">
        <f ca="1">IFERROR(__xludf.DUMMYFUNCTION("""COMPUTED_VALUE"""),"03 ORL")</f>
        <v>03 ORL</v>
      </c>
      <c r="N1336" s="6" t="str">
        <f ca="1">IFERROR(__xludf.DUMMYFUNCTION("""COMPUTED_VALUE"""),"06 ORL")</f>
        <v>06 ORL</v>
      </c>
      <c r="O1336" s="6" t="str">
        <f ca="1">IFERROR(__xludf.DUMMYFUNCTION("""COMPUTED_VALUE"""),"Dr, Manuel Cañete Domínguez")</f>
        <v>Dr, Manuel Cañete Domínguez</v>
      </c>
      <c r="P1336" s="6" t="str">
        <f ca="1">IFERROR(__xludf.DUMMYFUNCTION("""COMPUTED_VALUE"""),"Lisandro Russian (Madrid, Cáceres, Toledo, Talavera Y Logroño)")</f>
        <v>Lisandro Russian (Madrid, Cáceres, Toledo, Talavera Y Logroño)</v>
      </c>
    </row>
    <row r="1337" spans="2:16">
      <c r="B1337" s="6">
        <f ca="1">IFERROR(__xludf.DUMMYFUNCTION("""COMPUTED_VALUE"""),2025)</f>
        <v>2025</v>
      </c>
      <c r="C1337" s="6">
        <f ca="1">IFERROR(__xludf.DUMMYFUNCTION("""COMPUTED_VALUE"""),10)</f>
        <v>10</v>
      </c>
      <c r="D1337" s="6" t="str">
        <f ca="1">IFERROR(__xludf.DUMMYFUNCTION("""COMPUTED_VALUE"""),"NO")</f>
        <v>NO</v>
      </c>
      <c r="E1337" s="6" t="str">
        <f ca="1">IFERROR(__xludf.DUMMYFUNCTION("""COMPUTED_VALUE"""),"Getafe")</f>
        <v>Getafe</v>
      </c>
      <c r="F1337" s="16">
        <f ca="1">IFERROR(__xludf.DUMMYFUNCTION("""COMPUTED_VALUE"""),45957)</f>
        <v>45957</v>
      </c>
      <c r="G1337" s="16">
        <f ca="1">IFERROR(__xludf.DUMMYFUNCTION("""COMPUTED_VALUE"""),45922)</f>
        <v>45922</v>
      </c>
      <c r="H1337" s="6" t="str">
        <f ca="1">IFERROR(__xludf.DUMMYFUNCTION("""COMPUTED_VALUE"""),"Getafe")</f>
        <v>Getafe</v>
      </c>
      <c r="I1337" s="6" t="str">
        <f ca="1">IFERROR(__xludf.DUMMYFUNCTION("""COMPUTED_VALUE"""),"C20259259564667")</f>
        <v>C20259259564667</v>
      </c>
      <c r="J1337" s="6" t="str">
        <f ca="1">IFERROR(__xludf.DUMMYFUNCTION("""COMPUTED_VALUE"""),"JUAN DIEGO PINO RUBIO")</f>
        <v>JUAN DIEGO PINO RUBIO</v>
      </c>
      <c r="K1337" s="6">
        <f ca="1">IFERROR(__xludf.DUMMYFUNCTION("""COMPUTED_VALUE"""),1)</f>
        <v>1</v>
      </c>
      <c r="L1337" s="139">
        <f ca="1">IFERROR(__xludf.DUMMYFUNCTION("""COMPUTED_VALUE"""),2481.82)</f>
        <v>2481.8200000000002</v>
      </c>
      <c r="M1337" s="6" t="str">
        <f ca="1">IFERROR(__xludf.DUMMYFUNCTION("""COMPUTED_VALUE"""),"03 ORL")</f>
        <v>03 ORL</v>
      </c>
      <c r="N1337" s="6" t="str">
        <f ca="1">IFERROR(__xludf.DUMMYFUNCTION("""COMPUTED_VALUE"""),"06 ORL")</f>
        <v>06 ORL</v>
      </c>
      <c r="O1337" s="6" t="str">
        <f ca="1">IFERROR(__xludf.DUMMYFUNCTION("""COMPUTED_VALUE"""),"Dra, Paula Morales Chacchi")</f>
        <v>Dra, Paula Morales Chacchi</v>
      </c>
      <c r="P1337" s="6" t="str">
        <f ca="1">IFERROR(__xludf.DUMMYFUNCTION("""COMPUTED_VALUE"""),"Maika Blázquez (Madrid)")</f>
        <v>Maika Blázquez (Madrid)</v>
      </c>
    </row>
    <row r="1338" spans="2:16">
      <c r="B1338" s="6">
        <f ca="1">IFERROR(__xludf.DUMMYFUNCTION("""COMPUTED_VALUE"""),2025)</f>
        <v>2025</v>
      </c>
      <c r="C1338" s="6">
        <f ca="1">IFERROR(__xludf.DUMMYFUNCTION("""COMPUTED_VALUE"""),10)</f>
        <v>10</v>
      </c>
      <c r="D1338" s="6" t="str">
        <f ca="1">IFERROR(__xludf.DUMMYFUNCTION("""COMPUTED_VALUE"""),"NO")</f>
        <v>NO</v>
      </c>
      <c r="E1338" s="6" t="str">
        <f ca="1">IFERROR(__xludf.DUMMYFUNCTION("""COMPUTED_VALUE"""),"Valencia- Cádiz")</f>
        <v>Valencia- Cádiz</v>
      </c>
      <c r="F1338" s="16">
        <f ca="1">IFERROR(__xludf.DUMMYFUNCTION("""COMPUTED_VALUE"""),45957)</f>
        <v>45957</v>
      </c>
      <c r="G1338" s="16">
        <f ca="1">IFERROR(__xludf.DUMMYFUNCTION("""COMPUTED_VALUE"""),45896)</f>
        <v>45896</v>
      </c>
      <c r="H1338" s="6" t="str">
        <f ca="1">IFERROR(__xludf.DUMMYFUNCTION("""COMPUTED_VALUE"""),"Valencia- Cádiz")</f>
        <v>Valencia- Cádiz</v>
      </c>
      <c r="I1338" s="6" t="str">
        <f ca="1">IFERROR(__xludf.DUMMYFUNCTION("""COMPUTED_VALUE"""),"C2025917171514931")</f>
        <v>C2025917171514931</v>
      </c>
      <c r="J1338" s="6" t="str">
        <f ca="1">IFERROR(__xludf.DUMMYFUNCTION("""COMPUTED_VALUE"""),"ANTONIA HERNANDEZ GUERRERO")</f>
        <v>ANTONIA HERNANDEZ GUERRERO</v>
      </c>
      <c r="K1338" s="6">
        <f ca="1">IFERROR(__xludf.DUMMYFUNCTION("""COMPUTED_VALUE"""),2)</f>
        <v>2</v>
      </c>
      <c r="L1338" s="139">
        <f ca="1">IFERROR(__xludf.DUMMYFUNCTION("""COMPUTED_VALUE"""),2718.18)</f>
        <v>2718.18</v>
      </c>
      <c r="M1338" s="6" t="str">
        <f ca="1">IFERROR(__xludf.DUMMYFUNCTION("""COMPUTED_VALUE"""),"03 ORL")</f>
        <v>03 ORL</v>
      </c>
      <c r="N1338" s="6" t="str">
        <f ca="1">IFERROR(__xludf.DUMMYFUNCTION("""COMPUTED_VALUE"""),"06 ORL")</f>
        <v>06 ORL</v>
      </c>
      <c r="O1338" s="6" t="str">
        <f ca="1">IFERROR(__xludf.DUMMYFUNCTION("""COMPUTED_VALUE"""),"Dr, Jean Franco Intraprendente Martini")</f>
        <v>Dr, Jean Franco Intraprendente Martini</v>
      </c>
      <c r="P1338" s="6" t="str">
        <f ca="1">IFERROR(__xludf.DUMMYFUNCTION("""COMPUTED_VALUE"""),"Ramon Ferrando(Valencia)")</f>
        <v>Ramon Ferrando(Valencia)</v>
      </c>
    </row>
    <row r="1339" spans="2:16">
      <c r="B1339" s="6">
        <f ca="1">IFERROR(__xludf.DUMMYFUNCTION("""COMPUTED_VALUE"""),2025)</f>
        <v>2025</v>
      </c>
      <c r="C1339" s="6">
        <f ca="1">IFERROR(__xludf.DUMMYFUNCTION("""COMPUTED_VALUE"""),10)</f>
        <v>10</v>
      </c>
      <c r="D1339" s="6" t="str">
        <f ca="1">IFERROR(__xludf.DUMMYFUNCTION("""COMPUTED_VALUE"""),"NO")</f>
        <v>NO</v>
      </c>
      <c r="E1339" s="6" t="str">
        <f ca="1">IFERROR(__xludf.DUMMYFUNCTION("""COMPUTED_VALUE"""),"San Javier")</f>
        <v>San Javier</v>
      </c>
      <c r="F1339" s="16">
        <f ca="1">IFERROR(__xludf.DUMMYFUNCTION("""COMPUTED_VALUE"""),45957)</f>
        <v>45957</v>
      </c>
      <c r="G1339" s="16">
        <f ca="1">IFERROR(__xludf.DUMMYFUNCTION("""COMPUTED_VALUE"""),45925)</f>
        <v>45925</v>
      </c>
      <c r="H1339" s="6" t="str">
        <f ca="1">IFERROR(__xludf.DUMMYFUNCTION("""COMPUTED_VALUE"""),"San Javier")</f>
        <v>San Javier</v>
      </c>
      <c r="I1339" s="6" t="str">
        <f ca="1">IFERROR(__xludf.DUMMYFUNCTION("""COMPUTED_VALUE"""),"C202510710262263")</f>
        <v>C202510710262263</v>
      </c>
      <c r="J1339" s="6" t="str">
        <f ca="1">IFERROR(__xludf.DUMMYFUNCTION("""COMPUTED_VALUE"""),"JOSEFA MARTINEZ HERNANDEZ")</f>
        <v>JOSEFA MARTINEZ HERNANDEZ</v>
      </c>
      <c r="K1339" s="6">
        <f ca="1">IFERROR(__xludf.DUMMYFUNCTION("""COMPUTED_VALUE"""),2)</f>
        <v>2</v>
      </c>
      <c r="L1339" s="139">
        <f ca="1">IFERROR(__xludf.DUMMYFUNCTION("""COMPUTED_VALUE"""),2718.18)</f>
        <v>2718.18</v>
      </c>
      <c r="M1339" s="6" t="str">
        <f ca="1">IFERROR(__xludf.DUMMYFUNCTION("""COMPUTED_VALUE"""),"03 ORL")</f>
        <v>03 ORL</v>
      </c>
      <c r="N1339" s="6" t="str">
        <f ca="1">IFERROR(__xludf.DUMMYFUNCTION("""COMPUTED_VALUE"""),"06 ORL")</f>
        <v>06 ORL</v>
      </c>
      <c r="O1339" s="6" t="str">
        <f ca="1">IFERROR(__xludf.DUMMYFUNCTION("""COMPUTED_VALUE"""),"Dr, Andrés Barrios Recio")</f>
        <v>Dr, Andrés Barrios Recio</v>
      </c>
      <c r="P1339" s="6" t="str">
        <f ca="1">IFERROR(__xludf.DUMMYFUNCTION("""COMPUTED_VALUE"""),"Iván Sánchez (Levante Y Albacete)")</f>
        <v>Iván Sánchez (Levante Y Albacete)</v>
      </c>
    </row>
    <row r="1340" spans="2:16">
      <c r="B1340" s="6">
        <f ca="1">IFERROR(__xludf.DUMMYFUNCTION("""COMPUTED_VALUE"""),2025)</f>
        <v>2025</v>
      </c>
      <c r="C1340" s="6">
        <f ca="1">IFERROR(__xludf.DUMMYFUNCTION("""COMPUTED_VALUE"""),10)</f>
        <v>10</v>
      </c>
      <c r="D1340" s="6" t="str">
        <f ca="1">IFERROR(__xludf.DUMMYFUNCTION("""COMPUTED_VALUE"""),"NO")</f>
        <v>NO</v>
      </c>
      <c r="E1340" s="6" t="str">
        <f ca="1">IFERROR(__xludf.DUMMYFUNCTION("""COMPUTED_VALUE"""),"Valencia- Cádiz")</f>
        <v>Valencia- Cádiz</v>
      </c>
      <c r="F1340" s="16">
        <f ca="1">IFERROR(__xludf.DUMMYFUNCTION("""COMPUTED_VALUE"""),45957)</f>
        <v>45957</v>
      </c>
      <c r="G1340" s="16">
        <f ca="1">IFERROR(__xludf.DUMMYFUNCTION("""COMPUTED_VALUE"""),45846)</f>
        <v>45846</v>
      </c>
      <c r="H1340" s="6" t="str">
        <f ca="1">IFERROR(__xludf.DUMMYFUNCTION("""COMPUTED_VALUE"""),"Valencia- Cádiz")</f>
        <v>Valencia- Cádiz</v>
      </c>
      <c r="I1340" s="6" t="str">
        <f ca="1">IFERROR(__xludf.DUMMYFUNCTION("""COMPUTED_VALUE"""),"C20257159434173")</f>
        <v>C20257159434173</v>
      </c>
      <c r="J1340" s="6" t="str">
        <f ca="1">IFERROR(__xludf.DUMMYFUNCTION("""COMPUTED_VALUE"""),"MARIA JOSE PEIDRO TORRES")</f>
        <v>MARIA JOSE PEIDRO TORRES</v>
      </c>
      <c r="K1340" s="6">
        <f ca="1">IFERROR(__xludf.DUMMYFUNCTION("""COMPUTED_VALUE"""),2)</f>
        <v>2</v>
      </c>
      <c r="L1340" s="139">
        <f ca="1">IFERROR(__xludf.DUMMYFUNCTION("""COMPUTED_VALUE"""),3631.82)</f>
        <v>3631.82</v>
      </c>
      <c r="M1340" s="6" t="str">
        <f ca="1">IFERROR(__xludf.DUMMYFUNCTION("""COMPUTED_VALUE"""),"03 ORL")</f>
        <v>03 ORL</v>
      </c>
      <c r="N1340" s="6" t="str">
        <f ca="1">IFERROR(__xludf.DUMMYFUNCTION("""COMPUTED_VALUE"""),"06 ORL")</f>
        <v>06 ORL</v>
      </c>
      <c r="O1340" s="6" t="str">
        <f ca="1">IFERROR(__xludf.DUMMYFUNCTION("""COMPUTED_VALUE"""),"Dr, Raimon García Chillerón")</f>
        <v>Dr, Raimon García Chillerón</v>
      </c>
      <c r="P1340" s="6" t="str">
        <f ca="1">IFERROR(__xludf.DUMMYFUNCTION("""COMPUTED_VALUE"""),"Ramon Ferrando(Valencia)")</f>
        <v>Ramon Ferrando(Valencia)</v>
      </c>
    </row>
    <row r="1341" spans="2:16">
      <c r="B1341" s="6">
        <f ca="1">IFERROR(__xludf.DUMMYFUNCTION("""COMPUTED_VALUE"""),2025)</f>
        <v>2025</v>
      </c>
      <c r="C1341" s="6">
        <f ca="1">IFERROR(__xludf.DUMMYFUNCTION("""COMPUTED_VALUE"""),10)</f>
        <v>10</v>
      </c>
      <c r="D1341" s="6" t="str">
        <f ca="1">IFERROR(__xludf.DUMMYFUNCTION("""COMPUTED_VALUE"""),"NO")</f>
        <v>NO</v>
      </c>
      <c r="E1341" s="6" t="str">
        <f ca="1">IFERROR(__xludf.DUMMYFUNCTION("""COMPUTED_VALUE"""),"Madrid- Moratalaz")</f>
        <v>Madrid- Moratalaz</v>
      </c>
      <c r="F1341" s="16">
        <f ca="1">IFERROR(__xludf.DUMMYFUNCTION("""COMPUTED_VALUE"""),45957)</f>
        <v>45957</v>
      </c>
      <c r="G1341" s="16">
        <f ca="1">IFERROR(__xludf.DUMMYFUNCTION("""COMPUTED_VALUE"""),45926)</f>
        <v>45926</v>
      </c>
      <c r="H1341" s="6" t="str">
        <f ca="1">IFERROR(__xludf.DUMMYFUNCTION("""COMPUTED_VALUE"""),"Moratalaz")</f>
        <v>Moratalaz</v>
      </c>
      <c r="I1341" s="6" t="str">
        <f ca="1">IFERROR(__xludf.DUMMYFUNCTION("""COMPUTED_VALUE"""),"C2025102114545394")</f>
        <v>C2025102114545394</v>
      </c>
      <c r="J1341" s="6" t="str">
        <f ca="1">IFERROR(__xludf.DUMMYFUNCTION("""COMPUTED_VALUE"""),"JOSEFA SILVA ESTEBAN")</f>
        <v>JOSEFA SILVA ESTEBAN</v>
      </c>
      <c r="K1341" s="6">
        <f ca="1">IFERROR(__xludf.DUMMYFUNCTION("""COMPUTED_VALUE"""),1)</f>
        <v>1</v>
      </c>
      <c r="L1341" s="139">
        <f ca="1">IFERROR(__xludf.DUMMYFUNCTION("""COMPUTED_VALUE"""),2271.82)</f>
        <v>2271.8200000000002</v>
      </c>
      <c r="M1341" s="6" t="str">
        <f ca="1">IFERROR(__xludf.DUMMYFUNCTION("""COMPUTED_VALUE"""),"03 ORL")</f>
        <v>03 ORL</v>
      </c>
      <c r="N1341" s="6" t="str">
        <f ca="1">IFERROR(__xludf.DUMMYFUNCTION("""COMPUTED_VALUE"""),"06 ORL")</f>
        <v>06 ORL</v>
      </c>
      <c r="O1341" s="6" t="str">
        <f ca="1">IFERROR(__xludf.DUMMYFUNCTION("""COMPUTED_VALUE"""),"Dr, Manuel Gutiérrez Triguero")</f>
        <v>Dr, Manuel Gutiérrez Triguero</v>
      </c>
      <c r="P1341" s="6" t="str">
        <f ca="1">IFERROR(__xludf.DUMMYFUNCTION("""COMPUTED_VALUE"""),"Maika Blázquez (Madrid)")</f>
        <v>Maika Blázquez (Madrid)</v>
      </c>
    </row>
    <row r="1342" spans="2:16">
      <c r="B1342" s="6">
        <f ca="1">IFERROR(__xludf.DUMMYFUNCTION("""COMPUTED_VALUE"""),2025)</f>
        <v>2025</v>
      </c>
      <c r="C1342" s="6">
        <f ca="1">IFERROR(__xludf.DUMMYFUNCTION("""COMPUTED_VALUE"""),10)</f>
        <v>10</v>
      </c>
      <c r="D1342" s="6" t="str">
        <f ca="1">IFERROR(__xludf.DUMMYFUNCTION("""COMPUTED_VALUE"""),"NO")</f>
        <v>NO</v>
      </c>
      <c r="E1342" s="6" t="str">
        <f ca="1">IFERROR(__xludf.DUMMYFUNCTION("""COMPUTED_VALUE"""),"Valencia- Cádiz")</f>
        <v>Valencia- Cádiz</v>
      </c>
      <c r="F1342" s="16">
        <f ca="1">IFERROR(__xludf.DUMMYFUNCTION("""COMPUTED_VALUE"""),45957)</f>
        <v>45957</v>
      </c>
      <c r="G1342" s="16">
        <f ca="1">IFERROR(__xludf.DUMMYFUNCTION("""COMPUTED_VALUE"""),45916)</f>
        <v>45916</v>
      </c>
      <c r="H1342" s="6" t="str">
        <f ca="1">IFERROR(__xludf.DUMMYFUNCTION("""COMPUTED_VALUE"""),"Valencia- Cádiz")</f>
        <v>Valencia- Cádiz</v>
      </c>
      <c r="I1342" s="6" t="str">
        <f ca="1">IFERROR(__xludf.DUMMYFUNCTION("""COMPUTED_VALUE"""),"C2025918172023374")</f>
        <v>C2025918172023374</v>
      </c>
      <c r="J1342" s="6" t="str">
        <f ca="1">IFERROR(__xludf.DUMMYFUNCTION("""COMPUTED_VALUE"""),"GRACIELA CERON CORTAZAR")</f>
        <v>GRACIELA CERON CORTAZAR</v>
      </c>
      <c r="K1342" s="6">
        <f ca="1">IFERROR(__xludf.DUMMYFUNCTION("""COMPUTED_VALUE"""),1)</f>
        <v>1</v>
      </c>
      <c r="L1342" s="139">
        <f ca="1">IFERROR(__xludf.DUMMYFUNCTION("""COMPUTED_VALUE"""),2180.91)</f>
        <v>2180.91</v>
      </c>
      <c r="M1342" s="6" t="str">
        <f ca="1">IFERROR(__xludf.DUMMYFUNCTION("""COMPUTED_VALUE"""),"03 ORL")</f>
        <v>03 ORL</v>
      </c>
      <c r="N1342" s="6" t="str">
        <f ca="1">IFERROR(__xludf.DUMMYFUNCTION("""COMPUTED_VALUE"""),"06 ORL")</f>
        <v>06 ORL</v>
      </c>
      <c r="O1342" s="6" t="str">
        <f ca="1">IFERROR(__xludf.DUMMYFUNCTION("""COMPUTED_VALUE"""),"Dr, Ignacio Pla Gil")</f>
        <v>Dr, Ignacio Pla Gil</v>
      </c>
      <c r="P1342" s="6" t="str">
        <f ca="1">IFERROR(__xludf.DUMMYFUNCTION("""COMPUTED_VALUE"""),"Ramon Ferrando(Valencia)")</f>
        <v>Ramon Ferrando(Valencia)</v>
      </c>
    </row>
    <row r="1343" spans="2:16">
      <c r="B1343" s="6">
        <f ca="1">IFERROR(__xludf.DUMMYFUNCTION("""COMPUTED_VALUE"""),2025)</f>
        <v>2025</v>
      </c>
      <c r="C1343" s="6">
        <f ca="1">IFERROR(__xludf.DUMMYFUNCTION("""COMPUTED_VALUE"""),10)</f>
        <v>10</v>
      </c>
      <c r="D1343" s="6" t="str">
        <f ca="1">IFERROR(__xludf.DUMMYFUNCTION("""COMPUTED_VALUE"""),"NO")</f>
        <v>NO</v>
      </c>
      <c r="E1343" s="6" t="str">
        <f ca="1">IFERROR(__xludf.DUMMYFUNCTION("""COMPUTED_VALUE"""),"Orihuela")</f>
        <v>Orihuela</v>
      </c>
      <c r="F1343" s="16">
        <f ca="1">IFERROR(__xludf.DUMMYFUNCTION("""COMPUTED_VALUE"""),45957)</f>
        <v>45957</v>
      </c>
      <c r="G1343" s="16">
        <f ca="1">IFERROR(__xludf.DUMMYFUNCTION("""COMPUTED_VALUE"""),45917)</f>
        <v>45917</v>
      </c>
      <c r="H1343" s="6" t="str">
        <f ca="1">IFERROR(__xludf.DUMMYFUNCTION("""COMPUTED_VALUE"""),"La Zenia")</f>
        <v>La Zenia</v>
      </c>
      <c r="I1343" s="6" t="str">
        <f ca="1">IFERROR(__xludf.DUMMYFUNCTION("""COMPUTED_VALUE"""),"C202591914955411")</f>
        <v>C202591914955411</v>
      </c>
      <c r="J1343" s="6" t="str">
        <f ca="1">IFERROR(__xludf.DUMMYFUNCTION("""COMPUTED_VALUE"""),"ROBERT CHARLES MELROSE")</f>
        <v>ROBERT CHARLES MELROSE</v>
      </c>
      <c r="K1343" s="6">
        <f ca="1">IFERROR(__xludf.DUMMYFUNCTION("""COMPUTED_VALUE"""),1)</f>
        <v>1</v>
      </c>
      <c r="L1343" s="139">
        <f ca="1">IFERROR(__xludf.DUMMYFUNCTION("""COMPUTED_VALUE"""),2180.91)</f>
        <v>2180.91</v>
      </c>
      <c r="M1343" s="6" t="str">
        <f ca="1">IFERROR(__xludf.DUMMYFUNCTION("""COMPUTED_VALUE"""),"03 ORL")</f>
        <v>03 ORL</v>
      </c>
      <c r="N1343" s="6" t="str">
        <f ca="1">IFERROR(__xludf.DUMMYFUNCTION("""COMPUTED_VALUE"""),"06 ORL")</f>
        <v>06 ORL</v>
      </c>
      <c r="O1343" s="6" t="str">
        <f ca="1">IFERROR(__xludf.DUMMYFUNCTION("""COMPUTED_VALUE"""),"No recuerda ORL")</f>
        <v>No recuerda ORL</v>
      </c>
      <c r="P1343" s="6" t="str">
        <f ca="1">IFERROR(__xludf.DUMMYFUNCTION("""COMPUTED_VALUE"""),"Iván Sánchez (Levante Y Albacete)")</f>
        <v>Iván Sánchez (Levante Y Albacete)</v>
      </c>
    </row>
    <row r="1344" spans="2:16">
      <c r="B1344" s="6">
        <f ca="1">IFERROR(__xludf.DUMMYFUNCTION("""COMPUTED_VALUE"""),2025)</f>
        <v>2025</v>
      </c>
      <c r="C1344" s="6">
        <f ca="1">IFERROR(__xludf.DUMMYFUNCTION("""COMPUTED_VALUE"""),10)</f>
        <v>10</v>
      </c>
      <c r="D1344" s="6" t="str">
        <f ca="1">IFERROR(__xludf.DUMMYFUNCTION("""COMPUTED_VALUE"""),"NO")</f>
        <v>NO</v>
      </c>
      <c r="E1344" s="6" t="str">
        <f ca="1">IFERROR(__xludf.DUMMYFUNCTION("""COMPUTED_VALUE"""),"Valencia- Parra")</f>
        <v>Valencia- Parra</v>
      </c>
      <c r="F1344" s="16">
        <f ca="1">IFERROR(__xludf.DUMMYFUNCTION("""COMPUTED_VALUE"""),45957)</f>
        <v>45957</v>
      </c>
      <c r="G1344" s="16">
        <f ca="1">IFERROR(__xludf.DUMMYFUNCTION("""COMPUTED_VALUE"""),45904)</f>
        <v>45904</v>
      </c>
      <c r="H1344" s="6" t="str">
        <f ca="1">IFERROR(__xludf.DUMMYFUNCTION("""COMPUTED_VALUE"""),"Valencia- Parra")</f>
        <v>Valencia- Parra</v>
      </c>
      <c r="I1344" s="6" t="str">
        <f ca="1">IFERROR(__xludf.DUMMYFUNCTION("""COMPUTED_VALUE"""),"C20259161630766")</f>
        <v>C20259161630766</v>
      </c>
      <c r="J1344" s="6" t="str">
        <f ca="1">IFERROR(__xludf.DUMMYFUNCTION("""COMPUTED_VALUE"""),"MIREILLE CORNETTE")</f>
        <v>MIREILLE CORNETTE</v>
      </c>
      <c r="K1344" s="6">
        <f ca="1">IFERROR(__xludf.DUMMYFUNCTION("""COMPUTED_VALUE"""),2)</f>
        <v>2</v>
      </c>
      <c r="L1344" s="139">
        <f ca="1">IFERROR(__xludf.DUMMYFUNCTION("""COMPUTED_VALUE"""),4136.36)</f>
        <v>4136.3599999999997</v>
      </c>
      <c r="M1344" s="6" t="str">
        <f ca="1">IFERROR(__xludf.DUMMYFUNCTION("""COMPUTED_VALUE"""),"03 ORL")</f>
        <v>03 ORL</v>
      </c>
      <c r="N1344" s="6" t="str">
        <f ca="1">IFERROR(__xludf.DUMMYFUNCTION("""COMPUTED_VALUE"""),"06 ORL")</f>
        <v>06 ORL</v>
      </c>
      <c r="O1344" s="6" t="str">
        <f ca="1">IFERROR(__xludf.DUMMYFUNCTION("""COMPUTED_VALUE"""),"Dra, Vicky Galstyan Minasosa")</f>
        <v>Dra, Vicky Galstyan Minasosa</v>
      </c>
      <c r="P1344" s="6" t="str">
        <f ca="1">IFERROR(__xludf.DUMMYFUNCTION("""COMPUTED_VALUE"""),"Ramon Ferrando(Valencia)")</f>
        <v>Ramon Ferrando(Valencia)</v>
      </c>
    </row>
    <row r="1345" spans="2:16">
      <c r="B1345" s="6">
        <f ca="1">IFERROR(__xludf.DUMMYFUNCTION("""COMPUTED_VALUE"""),2025)</f>
        <v>2025</v>
      </c>
      <c r="C1345" s="6">
        <f ca="1">IFERROR(__xludf.DUMMYFUNCTION("""COMPUTED_VALUE"""),10)</f>
        <v>10</v>
      </c>
      <c r="D1345" s="6" t="str">
        <f ca="1">IFERROR(__xludf.DUMMYFUNCTION("""COMPUTED_VALUE"""),"NO")</f>
        <v>NO</v>
      </c>
      <c r="E1345" s="6" t="str">
        <f ca="1">IFERROR(__xludf.DUMMYFUNCTION("""COMPUTED_VALUE"""),"Palencia")</f>
        <v>Palencia</v>
      </c>
      <c r="F1345" s="16">
        <f ca="1">IFERROR(__xludf.DUMMYFUNCTION("""COMPUTED_VALUE"""),45957)</f>
        <v>45957</v>
      </c>
      <c r="G1345" s="16">
        <f ca="1">IFERROR(__xludf.DUMMYFUNCTION("""COMPUTED_VALUE"""),45891)</f>
        <v>45891</v>
      </c>
      <c r="H1345" s="6" t="str">
        <f ca="1">IFERROR(__xludf.DUMMYFUNCTION("""COMPUTED_VALUE"""),"Palencia")</f>
        <v>Palencia</v>
      </c>
      <c r="I1345" s="6" t="str">
        <f ca="1">IFERROR(__xludf.DUMMYFUNCTION("""COMPUTED_VALUE"""),"C20258221006806")</f>
        <v>C20258221006806</v>
      </c>
      <c r="J1345" s="6" t="str">
        <f ca="1">IFERROR(__xludf.DUMMYFUNCTION("""COMPUTED_VALUE"""),"JOSE LUIS QUINTANO MENESES")</f>
        <v>JOSE LUIS QUINTANO MENESES</v>
      </c>
      <c r="K1345" s="6">
        <f ca="1">IFERROR(__xludf.DUMMYFUNCTION("""COMPUTED_VALUE"""),2)</f>
        <v>2</v>
      </c>
      <c r="L1345" s="139">
        <f ca="1">IFERROR(__xludf.DUMMYFUNCTION("""COMPUTED_VALUE"""),2718.18)</f>
        <v>2718.18</v>
      </c>
      <c r="M1345" s="6" t="str">
        <f ca="1">IFERROR(__xludf.DUMMYFUNCTION("""COMPUTED_VALUE"""),"03 ORL")</f>
        <v>03 ORL</v>
      </c>
      <c r="N1345" s="6" t="str">
        <f ca="1">IFERROR(__xludf.DUMMYFUNCTION("""COMPUTED_VALUE"""),"06 ORL")</f>
        <v>06 ORL</v>
      </c>
      <c r="O1345" s="6" t="str">
        <f ca="1">IFERROR(__xludf.DUMMYFUNCTION("""COMPUTED_VALUE"""),"DR, Manuel Acuña García")</f>
        <v>DR, Manuel Acuña García</v>
      </c>
      <c r="P1345" s="6" t="str">
        <f ca="1">IFERROR(__xludf.DUMMYFUNCTION("""COMPUTED_VALUE"""),"Alberto Moreno (Madrid)")</f>
        <v>Alberto Moreno (Madrid)</v>
      </c>
    </row>
    <row r="1346" spans="2:16">
      <c r="B1346" s="6">
        <f ca="1">IFERROR(__xludf.DUMMYFUNCTION("""COMPUTED_VALUE"""),2025)</f>
        <v>2025</v>
      </c>
      <c r="C1346" s="6">
        <f ca="1">IFERROR(__xludf.DUMMYFUNCTION("""COMPUTED_VALUE"""),10)</f>
        <v>10</v>
      </c>
      <c r="D1346" s="6" t="str">
        <f ca="1">IFERROR(__xludf.DUMMYFUNCTION("""COMPUTED_VALUE"""),"NO")</f>
        <v>NO</v>
      </c>
      <c r="E1346" s="6" t="str">
        <f ca="1">IFERROR(__xludf.DUMMYFUNCTION("""COMPUTED_VALUE"""),"Cáceres")</f>
        <v>Cáceres</v>
      </c>
      <c r="F1346" s="16">
        <f ca="1">IFERROR(__xludf.DUMMYFUNCTION("""COMPUTED_VALUE"""),45958)</f>
        <v>45958</v>
      </c>
      <c r="G1346" s="16">
        <f ca="1">IFERROR(__xludf.DUMMYFUNCTION("""COMPUTED_VALUE"""),45923)</f>
        <v>45923</v>
      </c>
      <c r="H1346" s="6" t="str">
        <f ca="1">IFERROR(__xludf.DUMMYFUNCTION("""COMPUTED_VALUE"""),"Cáceres")</f>
        <v>Cáceres</v>
      </c>
      <c r="I1346" s="6" t="str">
        <f ca="1">IFERROR(__xludf.DUMMYFUNCTION("""COMPUTED_VALUE"""),"CAC-395")</f>
        <v>CAC-395</v>
      </c>
      <c r="J1346" s="6" t="str">
        <f ca="1">IFERROR(__xludf.DUMMYFUNCTION("""COMPUTED_VALUE"""),"ISAIAS GONZALO REMEDIOS")</f>
        <v>ISAIAS GONZALO REMEDIOS</v>
      </c>
      <c r="K1346" s="6">
        <f ca="1">IFERROR(__xludf.DUMMYFUNCTION("""COMPUTED_VALUE"""),2)</f>
        <v>2</v>
      </c>
      <c r="L1346" s="139">
        <f ca="1">IFERROR(__xludf.DUMMYFUNCTION("""COMPUTED_VALUE"""),3136.36)</f>
        <v>3136.36</v>
      </c>
      <c r="M1346" s="6" t="str">
        <f ca="1">IFERROR(__xludf.DUMMYFUNCTION("""COMPUTED_VALUE"""),"03 ORL")</f>
        <v>03 ORL</v>
      </c>
      <c r="N1346" s="6" t="str">
        <f ca="1">IFERROR(__xludf.DUMMYFUNCTION("""COMPUTED_VALUE"""),"06 ORL")</f>
        <v>06 ORL</v>
      </c>
      <c r="O1346" s="6" t="str">
        <f ca="1">IFERROR(__xludf.DUMMYFUNCTION("""COMPUTED_VALUE"""),"Dr, Javier García Gómez")</f>
        <v>Dr, Javier García Gómez</v>
      </c>
      <c r="P1346" s="6" t="str">
        <f ca="1">IFERROR(__xludf.DUMMYFUNCTION("""COMPUTED_VALUE"""),"Lisandro Russian (Madrid, Cáceres, Toledo, Talavera Y Logroño)")</f>
        <v>Lisandro Russian (Madrid, Cáceres, Toledo, Talavera Y Logroño)</v>
      </c>
    </row>
    <row r="1347" spans="2:16">
      <c r="B1347" s="6">
        <f ca="1">IFERROR(__xludf.DUMMYFUNCTION("""COMPUTED_VALUE"""),2025)</f>
        <v>2025</v>
      </c>
      <c r="C1347" s="6">
        <f ca="1">IFERROR(__xludf.DUMMYFUNCTION("""COMPUTED_VALUE"""),10)</f>
        <v>10</v>
      </c>
      <c r="D1347" s="6" t="str">
        <f ca="1">IFERROR(__xludf.DUMMYFUNCTION("""COMPUTED_VALUE"""),"NO")</f>
        <v>NO</v>
      </c>
      <c r="E1347" s="6" t="str">
        <f ca="1">IFERROR(__xludf.DUMMYFUNCTION("""COMPUTED_VALUE"""),"Vigo")</f>
        <v>Vigo</v>
      </c>
      <c r="F1347" s="16">
        <f ca="1">IFERROR(__xludf.DUMMYFUNCTION("""COMPUTED_VALUE"""),45958)</f>
        <v>45958</v>
      </c>
      <c r="G1347" s="16">
        <f ca="1">IFERROR(__xludf.DUMMYFUNCTION("""COMPUTED_VALUE"""),45936)</f>
        <v>45936</v>
      </c>
      <c r="H1347" s="6" t="str">
        <f ca="1">IFERROR(__xludf.DUMMYFUNCTION("""COMPUTED_VALUE"""),"Vigo")</f>
        <v>Vigo</v>
      </c>
      <c r="I1347" s="6" t="str">
        <f ca="1">IFERROR(__xludf.DUMMYFUNCTION("""COMPUTED_VALUE"""),"VIG-622")</f>
        <v>VIG-622</v>
      </c>
      <c r="J1347" s="6" t="str">
        <f ca="1">IFERROR(__xludf.DUMMYFUNCTION("""COMPUTED_VALUE"""),"ALICIA MOREIRA MIRAS")</f>
        <v>ALICIA MOREIRA MIRAS</v>
      </c>
      <c r="K1347" s="6">
        <f ca="1">IFERROR(__xludf.DUMMYFUNCTION("""COMPUTED_VALUE"""),2)</f>
        <v>2</v>
      </c>
      <c r="L1347" s="139">
        <f ca="1">IFERROR(__xludf.DUMMYFUNCTION("""COMPUTED_VALUE"""),3590.91)</f>
        <v>3590.91</v>
      </c>
      <c r="M1347" s="6" t="str">
        <f ca="1">IFERROR(__xludf.DUMMYFUNCTION("""COMPUTED_VALUE"""),"03 ORL")</f>
        <v>03 ORL</v>
      </c>
      <c r="N1347" s="6" t="str">
        <f ca="1">IFERROR(__xludf.DUMMYFUNCTION("""COMPUTED_VALUE"""),"06 ORL")</f>
        <v>06 ORL</v>
      </c>
      <c r="O1347" s="6" t="str">
        <f ca="1">IFERROR(__xludf.DUMMYFUNCTION("""COMPUTED_VALUE"""),"Dra, María Del Rosario De Saa Álvarez")</f>
        <v>Dra, María Del Rosario De Saa Álvarez</v>
      </c>
      <c r="P1347" s="6" t="str">
        <f ca="1">IFERROR(__xludf.DUMMYFUNCTION("""COMPUTED_VALUE"""),"Roberto Pereira (Galicia)")</f>
        <v>Roberto Pereira (Galicia)</v>
      </c>
    </row>
    <row r="1348" spans="2:16">
      <c r="B1348" s="6">
        <f ca="1">IFERROR(__xludf.DUMMYFUNCTION("""COMPUTED_VALUE"""),2025)</f>
        <v>2025</v>
      </c>
      <c r="C1348" s="6">
        <f ca="1">IFERROR(__xludf.DUMMYFUNCTION("""COMPUTED_VALUE"""),10)</f>
        <v>10</v>
      </c>
      <c r="D1348" s="6" t="str">
        <f ca="1">IFERROR(__xludf.DUMMYFUNCTION("""COMPUTED_VALUE"""),"NO")</f>
        <v>NO</v>
      </c>
      <c r="E1348" s="6" t="str">
        <f ca="1">IFERROR(__xludf.DUMMYFUNCTION("""COMPUTED_VALUE"""),"Zaragoza- León XIII")</f>
        <v>Zaragoza- León XIII</v>
      </c>
      <c r="F1348" s="16">
        <f ca="1">IFERROR(__xludf.DUMMYFUNCTION("""COMPUTED_VALUE"""),45958)</f>
        <v>45958</v>
      </c>
      <c r="G1348" s="16">
        <f ca="1">IFERROR(__xludf.DUMMYFUNCTION("""COMPUTED_VALUE"""),45910)</f>
        <v>45910</v>
      </c>
      <c r="H1348" s="6" t="str">
        <f ca="1">IFERROR(__xludf.DUMMYFUNCTION("""COMPUTED_VALUE"""),"Zaragoza")</f>
        <v>Zaragoza</v>
      </c>
      <c r="I1348" s="6" t="str">
        <f ca="1">IFERROR(__xludf.DUMMYFUNCTION("""COMPUTED_VALUE"""),"C2025925175046499")</f>
        <v>C2025925175046499</v>
      </c>
      <c r="J1348" s="6" t="str">
        <f ca="1">IFERROR(__xludf.DUMMYFUNCTION("""COMPUTED_VALUE"""),"OSCAR LARA REMON")</f>
        <v>OSCAR LARA REMON</v>
      </c>
      <c r="K1348" s="6">
        <f ca="1">IFERROR(__xludf.DUMMYFUNCTION("""COMPUTED_VALUE"""),2)</f>
        <v>2</v>
      </c>
      <c r="L1348" s="139">
        <f ca="1">IFERROR(__xludf.DUMMYFUNCTION("""COMPUTED_VALUE"""),3818.18)</f>
        <v>3818.18</v>
      </c>
      <c r="M1348" s="6" t="str">
        <f ca="1">IFERROR(__xludf.DUMMYFUNCTION("""COMPUTED_VALUE"""),"03 ORL")</f>
        <v>03 ORL</v>
      </c>
      <c r="N1348" s="6" t="str">
        <f ca="1">IFERROR(__xludf.DUMMYFUNCTION("""COMPUTED_VALUE"""),"06 ORL")</f>
        <v>06 ORL</v>
      </c>
      <c r="O1348" s="6" t="str">
        <f ca="1">IFERROR(__xludf.DUMMYFUNCTION("""COMPUTED_VALUE"""),"Dr, José Manuel García Solans-Esteras")</f>
        <v>Dr, José Manuel García Solans-Esteras</v>
      </c>
      <c r="P1348" s="6" t="str">
        <f ca="1">IFERROR(__xludf.DUMMYFUNCTION("""COMPUTED_VALUE"""),"Ignacio Berdejo (Zaragoza)")</f>
        <v>Ignacio Berdejo (Zaragoza)</v>
      </c>
    </row>
    <row r="1349" spans="2:16">
      <c r="B1349" s="6">
        <f ca="1">IFERROR(__xludf.DUMMYFUNCTION("""COMPUTED_VALUE"""),2025)</f>
        <v>2025</v>
      </c>
      <c r="C1349" s="6">
        <f ca="1">IFERROR(__xludf.DUMMYFUNCTION("""COMPUTED_VALUE"""),10)</f>
        <v>10</v>
      </c>
      <c r="D1349" s="6" t="str">
        <f ca="1">IFERROR(__xludf.DUMMYFUNCTION("""COMPUTED_VALUE"""),"NO")</f>
        <v>NO</v>
      </c>
      <c r="E1349" s="6" t="str">
        <f ca="1">IFERROR(__xludf.DUMMYFUNCTION("""COMPUTED_VALUE"""),"Valencia- Parra")</f>
        <v>Valencia- Parra</v>
      </c>
      <c r="F1349" s="16">
        <f ca="1">IFERROR(__xludf.DUMMYFUNCTION("""COMPUTED_VALUE"""),45958)</f>
        <v>45958</v>
      </c>
      <c r="G1349" s="16">
        <f ca="1">IFERROR(__xludf.DUMMYFUNCTION("""COMPUTED_VALUE"""),45915)</f>
        <v>45915</v>
      </c>
      <c r="H1349" s="6" t="str">
        <f ca="1">IFERROR(__xludf.DUMMYFUNCTION("""COMPUTED_VALUE"""),"Valencia- Parra")</f>
        <v>Valencia- Parra</v>
      </c>
      <c r="I1349" s="6" t="str">
        <f ca="1">IFERROR(__xludf.DUMMYFUNCTION("""COMPUTED_VALUE"""),"C2025923163058224")</f>
        <v>C2025923163058224</v>
      </c>
      <c r="J1349" s="6" t="str">
        <f ca="1">IFERROR(__xludf.DUMMYFUNCTION("""COMPUTED_VALUE"""),"FRANCISCO MARTINEZ RAMIREZ")</f>
        <v>FRANCISCO MARTINEZ RAMIREZ</v>
      </c>
      <c r="K1349" s="6">
        <f ca="1">IFERROR(__xludf.DUMMYFUNCTION("""COMPUTED_VALUE"""),2)</f>
        <v>2</v>
      </c>
      <c r="L1349" s="139">
        <f ca="1">IFERROR(__xludf.DUMMYFUNCTION("""COMPUTED_VALUE"""),4000)</f>
        <v>4000</v>
      </c>
      <c r="M1349" s="6" t="str">
        <f ca="1">IFERROR(__xludf.DUMMYFUNCTION("""COMPUTED_VALUE"""),"03 ORL")</f>
        <v>03 ORL</v>
      </c>
      <c r="N1349" s="6" t="str">
        <f ca="1">IFERROR(__xludf.DUMMYFUNCTION("""COMPUTED_VALUE"""),"06 ORL")</f>
        <v>06 ORL</v>
      </c>
      <c r="O1349" s="6" t="str">
        <f ca="1">IFERROR(__xludf.DUMMYFUNCTION("""COMPUTED_VALUE"""),"Dra, Virginia Barrios Crispi")</f>
        <v>Dra, Virginia Barrios Crispi</v>
      </c>
      <c r="P1349" s="6" t="str">
        <f ca="1">IFERROR(__xludf.DUMMYFUNCTION("""COMPUTED_VALUE"""),"Ramon Ferrando(Valencia)")</f>
        <v>Ramon Ferrando(Valencia)</v>
      </c>
    </row>
    <row r="1350" spans="2:16">
      <c r="B1350" s="6">
        <f ca="1">IFERROR(__xludf.DUMMYFUNCTION("""COMPUTED_VALUE"""),2025)</f>
        <v>2025</v>
      </c>
      <c r="C1350" s="6">
        <f ca="1">IFERROR(__xludf.DUMMYFUNCTION("""COMPUTED_VALUE"""),10)</f>
        <v>10</v>
      </c>
      <c r="D1350" s="6" t="str">
        <f ca="1">IFERROR(__xludf.DUMMYFUNCTION("""COMPUTED_VALUE"""),"NO")</f>
        <v>NO</v>
      </c>
      <c r="E1350" s="6" t="str">
        <f ca="1">IFERROR(__xludf.DUMMYFUNCTION("""COMPUTED_VALUE"""),"Leganés")</f>
        <v>Leganés</v>
      </c>
      <c r="F1350" s="16">
        <f ca="1">IFERROR(__xludf.DUMMYFUNCTION("""COMPUTED_VALUE"""),45958)</f>
        <v>45958</v>
      </c>
      <c r="G1350" s="16">
        <f ca="1">IFERROR(__xludf.DUMMYFUNCTION("""COMPUTED_VALUE"""),45783)</f>
        <v>45783</v>
      </c>
      <c r="H1350" s="6" t="str">
        <f ca="1">IFERROR(__xludf.DUMMYFUNCTION("""COMPUTED_VALUE"""),"Leganés")</f>
        <v>Leganés</v>
      </c>
      <c r="I1350" s="6" t="str">
        <f ca="1">IFERROR(__xludf.DUMMYFUNCTION("""COMPUTED_VALUE"""),"C2025512104845211")</f>
        <v>C2025512104845211</v>
      </c>
      <c r="J1350" s="6" t="str">
        <f ca="1">IFERROR(__xludf.DUMMYFUNCTION("""COMPUTED_VALUE"""),"MANUEL FLORES COLLAZOS")</f>
        <v>MANUEL FLORES COLLAZOS</v>
      </c>
      <c r="K1350" s="6">
        <f ca="1">IFERROR(__xludf.DUMMYFUNCTION("""COMPUTED_VALUE"""),-1)</f>
        <v>-1</v>
      </c>
      <c r="L1350" s="139">
        <f ca="1">IFERROR(__xludf.DUMMYFUNCTION("""COMPUTED_VALUE"""),-2162.73)</f>
        <v>-2162.73</v>
      </c>
      <c r="M1350" s="6" t="str">
        <f ca="1">IFERROR(__xludf.DUMMYFUNCTION("""COMPUTED_VALUE"""),"03 ORL")</f>
        <v>03 ORL</v>
      </c>
      <c r="N1350" s="6" t="str">
        <f ca="1">IFERROR(__xludf.DUMMYFUNCTION("""COMPUTED_VALUE"""),"06 ORL")</f>
        <v>06 ORL</v>
      </c>
      <c r="O1350" s="6" t="str">
        <f ca="1">IFERROR(__xludf.DUMMYFUNCTION("""COMPUTED_VALUE"""),"Dr, Carles Heredia Llinás")</f>
        <v>Dr, Carles Heredia Llinás</v>
      </c>
      <c r="P1350" s="6" t="str">
        <f ca="1">IFERROR(__xludf.DUMMYFUNCTION("""COMPUTED_VALUE"""),"Maika Blázquez (Madrid)")</f>
        <v>Maika Blázquez (Madrid)</v>
      </c>
    </row>
    <row r="1351" spans="2:16">
      <c r="B1351" s="6">
        <f ca="1">IFERROR(__xludf.DUMMYFUNCTION("""COMPUTED_VALUE"""),2025)</f>
        <v>2025</v>
      </c>
      <c r="C1351" s="6">
        <f ca="1">IFERROR(__xludf.DUMMYFUNCTION("""COMPUTED_VALUE"""),10)</f>
        <v>10</v>
      </c>
      <c r="D1351" s="6" t="str">
        <f ca="1">IFERROR(__xludf.DUMMYFUNCTION("""COMPUTED_VALUE"""),"NO")</f>
        <v>NO</v>
      </c>
      <c r="E1351" s="6" t="str">
        <f ca="1">IFERROR(__xludf.DUMMYFUNCTION("""COMPUTED_VALUE"""),"Fuenlabrada")</f>
        <v>Fuenlabrada</v>
      </c>
      <c r="F1351" s="16">
        <f ca="1">IFERROR(__xludf.DUMMYFUNCTION("""COMPUTED_VALUE"""),45958)</f>
        <v>45958</v>
      </c>
      <c r="G1351" s="16">
        <f ca="1">IFERROR(__xludf.DUMMYFUNCTION("""COMPUTED_VALUE"""),45902)</f>
        <v>45902</v>
      </c>
      <c r="H1351" s="6" t="str">
        <f ca="1">IFERROR(__xludf.DUMMYFUNCTION("""COMPUTED_VALUE"""),"Fuenlabrada")</f>
        <v>Fuenlabrada</v>
      </c>
      <c r="I1351" s="6" t="str">
        <f ca="1">IFERROR(__xludf.DUMMYFUNCTION("""COMPUTED_VALUE"""),"C202591110728521")</f>
        <v>C202591110728521</v>
      </c>
      <c r="J1351" s="6" t="str">
        <f ca="1">IFERROR(__xludf.DUMMYFUNCTION("""COMPUTED_VALUE"""),"MARIA DEL CARMEN PENSADO LEIS")</f>
        <v>MARIA DEL CARMEN PENSADO LEIS</v>
      </c>
      <c r="K1351" s="6">
        <f ca="1">IFERROR(__xludf.DUMMYFUNCTION("""COMPUTED_VALUE"""),1)</f>
        <v>1</v>
      </c>
      <c r="L1351" s="139">
        <f ca="1">IFERROR(__xludf.DUMMYFUNCTION("""COMPUTED_VALUE"""),2481.82)</f>
        <v>2481.8200000000002</v>
      </c>
      <c r="M1351" s="6" t="str">
        <f ca="1">IFERROR(__xludf.DUMMYFUNCTION("""COMPUTED_VALUE"""),"03 ORL")</f>
        <v>03 ORL</v>
      </c>
      <c r="N1351" s="6" t="str">
        <f ca="1">IFERROR(__xludf.DUMMYFUNCTION("""COMPUTED_VALUE"""),"06 ORL")</f>
        <v>06 ORL</v>
      </c>
      <c r="O1351" s="6" t="str">
        <f ca="1">IFERROR(__xludf.DUMMYFUNCTION("""COMPUTED_VALUE"""),"Dra, Estefania Miranda Sánchez")</f>
        <v>Dra, Estefania Miranda Sánchez</v>
      </c>
      <c r="P1351" s="6" t="str">
        <f ca="1">IFERROR(__xludf.DUMMYFUNCTION("""COMPUTED_VALUE"""),"Maika Blázquez (Madrid)")</f>
        <v>Maika Blázquez (Madrid)</v>
      </c>
    </row>
    <row r="1352" spans="2:16">
      <c r="B1352" s="6">
        <f ca="1">IFERROR(__xludf.DUMMYFUNCTION("""COMPUTED_VALUE"""),2025)</f>
        <v>2025</v>
      </c>
      <c r="C1352" s="6">
        <f ca="1">IFERROR(__xludf.DUMMYFUNCTION("""COMPUTED_VALUE"""),10)</f>
        <v>10</v>
      </c>
      <c r="D1352" s="6" t="str">
        <f ca="1">IFERROR(__xludf.DUMMYFUNCTION("""COMPUTED_VALUE"""),"NO")</f>
        <v>NO</v>
      </c>
      <c r="E1352" s="6" t="str">
        <f ca="1">IFERROR(__xludf.DUMMYFUNCTION("""COMPUTED_VALUE"""),"Sevilla- Montoto")</f>
        <v>Sevilla- Montoto</v>
      </c>
      <c r="F1352" s="16">
        <f ca="1">IFERROR(__xludf.DUMMYFUNCTION("""COMPUTED_VALUE"""),45958)</f>
        <v>45958</v>
      </c>
      <c r="G1352" s="16">
        <f ca="1">IFERROR(__xludf.DUMMYFUNCTION("""COMPUTED_VALUE"""),45938)</f>
        <v>45938</v>
      </c>
      <c r="H1352" s="6" t="str">
        <f ca="1">IFERROR(__xludf.DUMMYFUNCTION("""COMPUTED_VALUE"""),"Montoto")</f>
        <v>Montoto</v>
      </c>
      <c r="I1352" s="6" t="str">
        <f ca="1">IFERROR(__xludf.DUMMYFUNCTION("""COMPUTED_VALUE"""),"C2025101018148692")</f>
        <v>C2025101018148692</v>
      </c>
      <c r="J1352" s="6" t="str">
        <f ca="1">IFERROR(__xludf.DUMMYFUNCTION("""COMPUTED_VALUE"""),"ISABEL VARGAS CASTRO")</f>
        <v>ISABEL VARGAS CASTRO</v>
      </c>
      <c r="K1352" s="6">
        <f ca="1">IFERROR(__xludf.DUMMYFUNCTION("""COMPUTED_VALUE"""),1)</f>
        <v>1</v>
      </c>
      <c r="L1352" s="139">
        <f ca="1">IFERROR(__xludf.DUMMYFUNCTION("""COMPUTED_VALUE"""),2481.82)</f>
        <v>2481.8200000000002</v>
      </c>
      <c r="M1352" s="6" t="str">
        <f ca="1">IFERROR(__xludf.DUMMYFUNCTION("""COMPUTED_VALUE"""),"03 ORL")</f>
        <v>03 ORL</v>
      </c>
      <c r="N1352" s="6" t="str">
        <f ca="1">IFERROR(__xludf.DUMMYFUNCTION("""COMPUTED_VALUE"""),"06 ORL")</f>
        <v>06 ORL</v>
      </c>
      <c r="O1352" s="6" t="str">
        <f ca="1">IFERROR(__xludf.DUMMYFUNCTION("""COMPUTED_VALUE"""),"Dr, Mercedes Ceballos Cauto")</f>
        <v>Dr, Mercedes Ceballos Cauto</v>
      </c>
      <c r="P1352" s="6" t="str">
        <f ca="1">IFERROR(__xludf.DUMMYFUNCTION("""COMPUTED_VALUE"""),"Luis Alberto Rodríguez (Andalucía y Badajoz)")</f>
        <v>Luis Alberto Rodríguez (Andalucía y Badajoz)</v>
      </c>
    </row>
    <row r="1353" spans="2:16">
      <c r="B1353" s="6">
        <f ca="1">IFERROR(__xludf.DUMMYFUNCTION("""COMPUTED_VALUE"""),2025)</f>
        <v>2025</v>
      </c>
      <c r="C1353" s="6">
        <f ca="1">IFERROR(__xludf.DUMMYFUNCTION("""COMPUTED_VALUE"""),10)</f>
        <v>10</v>
      </c>
      <c r="D1353" s="6" t="str">
        <f ca="1">IFERROR(__xludf.DUMMYFUNCTION("""COMPUTED_VALUE"""),"NO")</f>
        <v>NO</v>
      </c>
      <c r="E1353" s="6" t="str">
        <f ca="1">IFERROR(__xludf.DUMMYFUNCTION("""COMPUTED_VALUE"""),"Boiro")</f>
        <v>Boiro</v>
      </c>
      <c r="F1353" s="16">
        <f ca="1">IFERROR(__xludf.DUMMYFUNCTION("""COMPUTED_VALUE"""),45959)</f>
        <v>45959</v>
      </c>
      <c r="G1353" s="16">
        <f ca="1">IFERROR(__xludf.DUMMYFUNCTION("""COMPUTED_VALUE"""),45939)</f>
        <v>45939</v>
      </c>
      <c r="H1353" s="6" t="str">
        <f ca="1">IFERROR(__xludf.DUMMYFUNCTION("""COMPUTED_VALUE"""),"Boiro")</f>
        <v>Boiro</v>
      </c>
      <c r="I1353" s="6" t="str">
        <f ca="1">IFERROR(__xludf.DUMMYFUNCTION("""COMPUTED_VALUE"""),"BOI-1003")</f>
        <v>BOI-1003</v>
      </c>
      <c r="J1353" s="6" t="str">
        <f ca="1">IFERROR(__xludf.DUMMYFUNCTION("""COMPUTED_VALUE"""),"JUAN RAMON FERNANDEZ SUAREZ")</f>
        <v>JUAN RAMON FERNANDEZ SUAREZ</v>
      </c>
      <c r="K1353" s="6">
        <f ca="1">IFERROR(__xludf.DUMMYFUNCTION("""COMPUTED_VALUE"""),2)</f>
        <v>2</v>
      </c>
      <c r="L1353" s="139">
        <f ca="1">IFERROR(__xludf.DUMMYFUNCTION("""COMPUTED_VALUE"""),3172.73)</f>
        <v>3172.73</v>
      </c>
      <c r="M1353" s="6" t="str">
        <f ca="1">IFERROR(__xludf.DUMMYFUNCTION("""COMPUTED_VALUE"""),"03 ORL")</f>
        <v>03 ORL</v>
      </c>
      <c r="N1353" s="6" t="str">
        <f ca="1">IFERROR(__xludf.DUMMYFUNCTION("""COMPUTED_VALUE"""),"06 ORL")</f>
        <v>06 ORL</v>
      </c>
      <c r="O1353" s="6" t="str">
        <f ca="1">IFERROR(__xludf.DUMMYFUNCTION("""COMPUTED_VALUE"""),"Dr, Ernesto Varela Martínez")</f>
        <v>Dr, Ernesto Varela Martínez</v>
      </c>
      <c r="P1353" s="6" t="str">
        <f ca="1">IFERROR(__xludf.DUMMYFUNCTION("""COMPUTED_VALUE"""),"Roberto Pereira (Galicia)")</f>
        <v>Roberto Pereira (Galicia)</v>
      </c>
    </row>
    <row r="1354" spans="2:16">
      <c r="B1354" s="6">
        <f ca="1">IFERROR(__xludf.DUMMYFUNCTION("""COMPUTED_VALUE"""),2025)</f>
        <v>2025</v>
      </c>
      <c r="C1354" s="6">
        <f ca="1">IFERROR(__xludf.DUMMYFUNCTION("""COMPUTED_VALUE"""),10)</f>
        <v>10</v>
      </c>
      <c r="D1354" s="6" t="str">
        <f ca="1">IFERROR(__xludf.DUMMYFUNCTION("""COMPUTED_VALUE"""),"NO")</f>
        <v>NO</v>
      </c>
      <c r="E1354" s="6" t="str">
        <f ca="1">IFERROR(__xludf.DUMMYFUNCTION("""COMPUTED_VALUE"""),"Cáceres")</f>
        <v>Cáceres</v>
      </c>
      <c r="F1354" s="16">
        <f ca="1">IFERROR(__xludf.DUMMYFUNCTION("""COMPUTED_VALUE"""),45959)</f>
        <v>45959</v>
      </c>
      <c r="G1354" s="16">
        <f ca="1">IFERROR(__xludf.DUMMYFUNCTION("""COMPUTED_VALUE"""),45925)</f>
        <v>45925</v>
      </c>
      <c r="H1354" s="6" t="str">
        <f ca="1">IFERROR(__xludf.DUMMYFUNCTION("""COMPUTED_VALUE"""),"Cáceres")</f>
        <v>Cáceres</v>
      </c>
      <c r="I1354" s="6" t="str">
        <f ca="1">IFERROR(__xludf.DUMMYFUNCTION("""COMPUTED_VALUE"""),"CAC-399")</f>
        <v>CAC-399</v>
      </c>
      <c r="J1354" s="6" t="str">
        <f ca="1">IFERROR(__xludf.DUMMYFUNCTION("""COMPUTED_VALUE"""),"ANTONIO ROSA GOMEZ")</f>
        <v>ANTONIO ROSA GOMEZ</v>
      </c>
      <c r="K1354" s="6">
        <f ca="1">IFERROR(__xludf.DUMMYFUNCTION("""COMPUTED_VALUE"""),2)</f>
        <v>2</v>
      </c>
      <c r="L1354" s="139">
        <f ca="1">IFERROR(__xludf.DUMMYFUNCTION("""COMPUTED_VALUE"""),3536.36)</f>
        <v>3536.36</v>
      </c>
      <c r="M1354" s="6" t="str">
        <f ca="1">IFERROR(__xludf.DUMMYFUNCTION("""COMPUTED_VALUE"""),"03 ORL")</f>
        <v>03 ORL</v>
      </c>
      <c r="N1354" s="6" t="str">
        <f ca="1">IFERROR(__xludf.DUMMYFUNCTION("""COMPUTED_VALUE"""),"06 ORL")</f>
        <v>06 ORL</v>
      </c>
      <c r="O1354" s="6" t="str">
        <f ca="1">IFERROR(__xludf.DUMMYFUNCTION("""COMPUTED_VALUE"""),"Dr, Manuel Cañete Domínguez")</f>
        <v>Dr, Manuel Cañete Domínguez</v>
      </c>
      <c r="P1354" s="6" t="str">
        <f ca="1">IFERROR(__xludf.DUMMYFUNCTION("""COMPUTED_VALUE"""),"Lisandro Russian (Madrid, Cáceres, Toledo, Talavera Y Logroño)")</f>
        <v>Lisandro Russian (Madrid, Cáceres, Toledo, Talavera Y Logroño)</v>
      </c>
    </row>
    <row r="1355" spans="2:16">
      <c r="B1355" s="6">
        <f ca="1">IFERROR(__xludf.DUMMYFUNCTION("""COMPUTED_VALUE"""),2025)</f>
        <v>2025</v>
      </c>
      <c r="C1355" s="6">
        <f ca="1">IFERROR(__xludf.DUMMYFUNCTION("""COMPUTED_VALUE"""),10)</f>
        <v>10</v>
      </c>
      <c r="D1355" s="6" t="str">
        <f ca="1">IFERROR(__xludf.DUMMYFUNCTION("""COMPUTED_VALUE"""),"NO")</f>
        <v>NO</v>
      </c>
      <c r="E1355" s="6" t="str">
        <f ca="1">IFERROR(__xludf.DUMMYFUNCTION("""COMPUTED_VALUE"""),"Cáceres")</f>
        <v>Cáceres</v>
      </c>
      <c r="F1355" s="16">
        <f ca="1">IFERROR(__xludf.DUMMYFUNCTION("""COMPUTED_VALUE"""),45959)</f>
        <v>45959</v>
      </c>
      <c r="G1355" s="16">
        <f ca="1">IFERROR(__xludf.DUMMYFUNCTION("""COMPUTED_VALUE"""),45929)</f>
        <v>45929</v>
      </c>
      <c r="H1355" s="6" t="str">
        <f ca="1">IFERROR(__xludf.DUMMYFUNCTION("""COMPUTED_VALUE"""),"Cáceres")</f>
        <v>Cáceres</v>
      </c>
      <c r="I1355" s="6" t="str">
        <f ca="1">IFERROR(__xludf.DUMMYFUNCTION("""COMPUTED_VALUE"""),"CAC-401")</f>
        <v>CAC-401</v>
      </c>
      <c r="J1355" s="6" t="str">
        <f ca="1">IFERROR(__xludf.DUMMYFUNCTION("""COMPUTED_VALUE"""),"JULIA ESPADA REY")</f>
        <v>JULIA ESPADA REY</v>
      </c>
      <c r="K1355" s="6">
        <f ca="1">IFERROR(__xludf.DUMMYFUNCTION("""COMPUTED_VALUE"""),1)</f>
        <v>1</v>
      </c>
      <c r="L1355" s="139">
        <f ca="1">IFERROR(__xludf.DUMMYFUNCTION("""COMPUTED_VALUE"""),2250)</f>
        <v>2250</v>
      </c>
      <c r="M1355" s="6" t="str">
        <f ca="1">IFERROR(__xludf.DUMMYFUNCTION("""COMPUTED_VALUE"""),"03 ORL")</f>
        <v>03 ORL</v>
      </c>
      <c r="N1355" s="6" t="str">
        <f ca="1">IFERROR(__xludf.DUMMYFUNCTION("""COMPUTED_VALUE"""),"06 ORL")</f>
        <v>06 ORL</v>
      </c>
      <c r="O1355" s="6" t="str">
        <f ca="1">IFERROR(__xludf.DUMMYFUNCTION("""COMPUTED_VALUE"""),"Dra, Marta García Jiménez")</f>
        <v>Dra, Marta García Jiménez</v>
      </c>
      <c r="P1355" s="6" t="str">
        <f ca="1">IFERROR(__xludf.DUMMYFUNCTION("""COMPUTED_VALUE"""),"Lisandro Russian (Madrid, Cáceres, Toledo, Talavera Y Logroño)")</f>
        <v>Lisandro Russian (Madrid, Cáceres, Toledo, Talavera Y Logroño)</v>
      </c>
    </row>
    <row r="1356" spans="2:16">
      <c r="B1356" s="6">
        <f ca="1">IFERROR(__xludf.DUMMYFUNCTION("""COMPUTED_VALUE"""),2025)</f>
        <v>2025</v>
      </c>
      <c r="C1356" s="6">
        <f ca="1">IFERROR(__xludf.DUMMYFUNCTION("""COMPUTED_VALUE"""),10)</f>
        <v>10</v>
      </c>
      <c r="D1356" s="6" t="str">
        <f ca="1">IFERROR(__xludf.DUMMYFUNCTION("""COMPUTED_VALUE"""),"NO")</f>
        <v>NO</v>
      </c>
      <c r="E1356" s="6" t="str">
        <f ca="1">IFERROR(__xludf.DUMMYFUNCTION("""COMPUTED_VALUE"""),"León")</f>
        <v>León</v>
      </c>
      <c r="F1356" s="16">
        <f ca="1">IFERROR(__xludf.DUMMYFUNCTION("""COMPUTED_VALUE"""),45959)</f>
        <v>45959</v>
      </c>
      <c r="G1356" s="16">
        <f ca="1">IFERROR(__xludf.DUMMYFUNCTION("""COMPUTED_VALUE"""),45937)</f>
        <v>45937</v>
      </c>
      <c r="H1356" s="6" t="str">
        <f ca="1">IFERROR(__xludf.DUMMYFUNCTION("""COMPUTED_VALUE"""),"León")</f>
        <v>León</v>
      </c>
      <c r="I1356" s="6" t="str">
        <f ca="1">IFERROR(__xludf.DUMMYFUNCTION("""COMPUTED_VALUE"""),"LEO-551")</f>
        <v>LEO-551</v>
      </c>
      <c r="J1356" s="6" t="str">
        <f ca="1">IFERROR(__xludf.DUMMYFUNCTION("""COMPUTED_VALUE"""),"JOSE LUIS FERNANDEZ PEREZ")</f>
        <v>JOSE LUIS FERNANDEZ PEREZ</v>
      </c>
      <c r="K1356" s="6">
        <f ca="1">IFERROR(__xludf.DUMMYFUNCTION("""COMPUTED_VALUE"""),2)</f>
        <v>2</v>
      </c>
      <c r="L1356" s="139">
        <f ca="1">IFERROR(__xludf.DUMMYFUNCTION("""COMPUTED_VALUE"""),3181.82)</f>
        <v>3181.82</v>
      </c>
      <c r="M1356" s="6" t="str">
        <f ca="1">IFERROR(__xludf.DUMMYFUNCTION("""COMPUTED_VALUE"""),"03 ORL")</f>
        <v>03 ORL</v>
      </c>
      <c r="N1356" s="6" t="str">
        <f ca="1">IFERROR(__xludf.DUMMYFUNCTION("""COMPUTED_VALUE"""),"06 ORL")</f>
        <v>06 ORL</v>
      </c>
      <c r="O1356" s="6" t="str">
        <f ca="1">IFERROR(__xludf.DUMMYFUNCTION("""COMPUTED_VALUE"""),"Dra, Mónica Granda Rosales")</f>
        <v>Dra, Mónica Granda Rosales</v>
      </c>
      <c r="P1356" s="6" t="str">
        <f ca="1">IFERROR(__xludf.DUMMYFUNCTION("""COMPUTED_VALUE"""),"Alberto Moreno (Madrid)")</f>
        <v>Alberto Moreno (Madrid)</v>
      </c>
    </row>
    <row r="1357" spans="2:16">
      <c r="B1357" s="6">
        <f ca="1">IFERROR(__xludf.DUMMYFUNCTION("""COMPUTED_VALUE"""),2025)</f>
        <v>2025</v>
      </c>
      <c r="C1357" s="6">
        <f ca="1">IFERROR(__xludf.DUMMYFUNCTION("""COMPUTED_VALUE"""),10)</f>
        <v>10</v>
      </c>
      <c r="D1357" s="6" t="str">
        <f ca="1">IFERROR(__xludf.DUMMYFUNCTION("""COMPUTED_VALUE"""),"NO")</f>
        <v>NO</v>
      </c>
      <c r="E1357" s="6" t="str">
        <f ca="1">IFERROR(__xludf.DUMMYFUNCTION("""COMPUTED_VALUE"""),"Alicante")</f>
        <v>Alicante</v>
      </c>
      <c r="F1357" s="16">
        <f ca="1">IFERROR(__xludf.DUMMYFUNCTION("""COMPUTED_VALUE"""),45959)</f>
        <v>45959</v>
      </c>
      <c r="G1357" s="16">
        <f ca="1">IFERROR(__xludf.DUMMYFUNCTION("""COMPUTED_VALUE"""),45922)</f>
        <v>45922</v>
      </c>
      <c r="H1357" s="6" t="str">
        <f ca="1">IFERROR(__xludf.DUMMYFUNCTION("""COMPUTED_VALUE"""),"Alicante")</f>
        <v>Alicante</v>
      </c>
      <c r="I1357" s="6" t="str">
        <f ca="1">IFERROR(__xludf.DUMMYFUNCTION("""COMPUTED_VALUE"""),"C2025923172918699")</f>
        <v>C2025923172918699</v>
      </c>
      <c r="J1357" s="6" t="str">
        <f ca="1">IFERROR(__xludf.DUMMYFUNCTION("""COMPUTED_VALUE"""),"ELIA MORENO MORENO")</f>
        <v>ELIA MORENO MORENO</v>
      </c>
      <c r="K1357" s="6">
        <f ca="1">IFERROR(__xludf.DUMMYFUNCTION("""COMPUTED_VALUE"""),1)</f>
        <v>1</v>
      </c>
      <c r="L1357" s="139">
        <f ca="1">IFERROR(__xludf.DUMMYFUNCTION("""COMPUTED_VALUE"""),1631.82)</f>
        <v>1631.82</v>
      </c>
      <c r="M1357" s="6" t="str">
        <f ca="1">IFERROR(__xludf.DUMMYFUNCTION("""COMPUTED_VALUE"""),"03 ORL")</f>
        <v>03 ORL</v>
      </c>
      <c r="N1357" s="6" t="str">
        <f ca="1">IFERROR(__xludf.DUMMYFUNCTION("""COMPUTED_VALUE"""),"06 ORL")</f>
        <v>06 ORL</v>
      </c>
      <c r="O1357" s="6" t="str">
        <f ca="1">IFERROR(__xludf.DUMMYFUNCTION("""COMPUTED_VALUE"""),"Dr, Félix Ruíz de la Cuesta Juste")</f>
        <v>Dr, Félix Ruíz de la Cuesta Juste</v>
      </c>
      <c r="P1357" s="6" t="str">
        <f ca="1">IFERROR(__xludf.DUMMYFUNCTION("""COMPUTED_VALUE"""),"Iván Sánchez (Levante Y Albacete)")</f>
        <v>Iván Sánchez (Levante Y Albacete)</v>
      </c>
    </row>
    <row r="1358" spans="2:16">
      <c r="B1358" s="6">
        <f ca="1">IFERROR(__xludf.DUMMYFUNCTION("""COMPUTED_VALUE"""),2025)</f>
        <v>2025</v>
      </c>
      <c r="C1358" s="6">
        <f ca="1">IFERROR(__xludf.DUMMYFUNCTION("""COMPUTED_VALUE"""),10)</f>
        <v>10</v>
      </c>
      <c r="D1358" s="6" t="str">
        <f ca="1">IFERROR(__xludf.DUMMYFUNCTION("""COMPUTED_VALUE"""),"NO")</f>
        <v>NO</v>
      </c>
      <c r="E1358" s="6" t="str">
        <f ca="1">IFERROR(__xludf.DUMMYFUNCTION("""COMPUTED_VALUE"""),"San Javier")</f>
        <v>San Javier</v>
      </c>
      <c r="F1358" s="16">
        <f ca="1">IFERROR(__xludf.DUMMYFUNCTION("""COMPUTED_VALUE"""),45959)</f>
        <v>45959</v>
      </c>
      <c r="G1358" s="16">
        <f ca="1">IFERROR(__xludf.DUMMYFUNCTION("""COMPUTED_VALUE"""),45930)</f>
        <v>45930</v>
      </c>
      <c r="H1358" s="6" t="str">
        <f ca="1">IFERROR(__xludf.DUMMYFUNCTION("""COMPUTED_VALUE"""),"San Javier")</f>
        <v>San Javier</v>
      </c>
      <c r="I1358" s="6" t="str">
        <f ca="1">IFERROR(__xludf.DUMMYFUNCTION("""COMPUTED_VALUE"""),"C2025106155740814")</f>
        <v>C2025106155740814</v>
      </c>
      <c r="J1358" s="6" t="str">
        <f ca="1">IFERROR(__xludf.DUMMYFUNCTION("""COMPUTED_VALUE"""),"ROSAMUND REGINA MONICA CHESHIRE")</f>
        <v>ROSAMUND REGINA MONICA CHESHIRE</v>
      </c>
      <c r="K1358" s="6">
        <f ca="1">IFERROR(__xludf.DUMMYFUNCTION("""COMPUTED_VALUE"""),2)</f>
        <v>2</v>
      </c>
      <c r="L1358" s="139">
        <f ca="1">IFERROR(__xludf.DUMMYFUNCTION("""COMPUTED_VALUE"""),4536.36)</f>
        <v>4536.3599999999997</v>
      </c>
      <c r="M1358" s="6" t="str">
        <f ca="1">IFERROR(__xludf.DUMMYFUNCTION("""COMPUTED_VALUE"""),"03 ORL")</f>
        <v>03 ORL</v>
      </c>
      <c r="N1358" s="6" t="str">
        <f ca="1">IFERROR(__xludf.DUMMYFUNCTION("""COMPUTED_VALUE"""),"06 ORL")</f>
        <v>06 ORL</v>
      </c>
      <c r="O1358" s="6" t="str">
        <f ca="1">IFERROR(__xludf.DUMMYFUNCTION("""COMPUTED_VALUE"""),"Dra, María Teresa Almela Rojo")</f>
        <v>Dra, María Teresa Almela Rojo</v>
      </c>
      <c r="P1358" s="6" t="str">
        <f ca="1">IFERROR(__xludf.DUMMYFUNCTION("""COMPUTED_VALUE"""),"Iván Sánchez (Levante Y Albacete)")</f>
        <v>Iván Sánchez (Levante Y Albacete)</v>
      </c>
    </row>
    <row r="1359" spans="2:16">
      <c r="B1359" s="6">
        <f ca="1">IFERROR(__xludf.DUMMYFUNCTION("""COMPUTED_VALUE"""),2025)</f>
        <v>2025</v>
      </c>
      <c r="C1359" s="6">
        <f ca="1">IFERROR(__xludf.DUMMYFUNCTION("""COMPUTED_VALUE"""),10)</f>
        <v>10</v>
      </c>
      <c r="D1359" s="6" t="str">
        <f ca="1">IFERROR(__xludf.DUMMYFUNCTION("""COMPUTED_VALUE"""),"NO")</f>
        <v>NO</v>
      </c>
      <c r="E1359" s="6" t="str">
        <f ca="1">IFERROR(__xludf.DUMMYFUNCTION("""COMPUTED_VALUE"""),"Leganés")</f>
        <v>Leganés</v>
      </c>
      <c r="F1359" s="16">
        <f ca="1">IFERROR(__xludf.DUMMYFUNCTION("""COMPUTED_VALUE"""),45959)</f>
        <v>45959</v>
      </c>
      <c r="G1359" s="16">
        <f ca="1">IFERROR(__xludf.DUMMYFUNCTION("""COMPUTED_VALUE"""),45805)</f>
        <v>45805</v>
      </c>
      <c r="H1359" s="6" t="str">
        <f ca="1">IFERROR(__xludf.DUMMYFUNCTION("""COMPUTED_VALUE"""),"Leganés")</f>
        <v>Leganés</v>
      </c>
      <c r="I1359" s="6" t="str">
        <f ca="1">IFERROR(__xludf.DUMMYFUNCTION("""COMPUTED_VALUE"""),"C202563162936488")</f>
        <v>C202563162936488</v>
      </c>
      <c r="J1359" s="6" t="str">
        <f ca="1">IFERROR(__xludf.DUMMYFUNCTION("""COMPUTED_VALUE"""),"ROSA MARIA VICO DIAZ-PARREÑO")</f>
        <v>ROSA MARIA VICO DIAZ-PARREÑO</v>
      </c>
      <c r="K1359" s="6">
        <f ca="1">IFERROR(__xludf.DUMMYFUNCTION("""COMPUTED_VALUE"""),1)</f>
        <v>1</v>
      </c>
      <c r="L1359" s="139">
        <f ca="1">IFERROR(__xludf.DUMMYFUNCTION("""COMPUTED_VALUE"""),2450)</f>
        <v>2450</v>
      </c>
      <c r="M1359" s="6" t="str">
        <f ca="1">IFERROR(__xludf.DUMMYFUNCTION("""COMPUTED_VALUE"""),"03 ORL")</f>
        <v>03 ORL</v>
      </c>
      <c r="N1359" s="6" t="str">
        <f ca="1">IFERROR(__xludf.DUMMYFUNCTION("""COMPUTED_VALUE"""),"06 ORL")</f>
        <v>06 ORL</v>
      </c>
      <c r="O1359" s="6" t="str">
        <f ca="1">IFERROR(__xludf.DUMMYFUNCTION("""COMPUTED_VALUE"""),"Dra, Ana Ruiz Fornells Noreña")</f>
        <v>Dra, Ana Ruiz Fornells Noreña</v>
      </c>
      <c r="P1359" s="6" t="str">
        <f ca="1">IFERROR(__xludf.DUMMYFUNCTION("""COMPUTED_VALUE"""),"Maika Blázquez (Madrid)")</f>
        <v>Maika Blázquez (Madrid)</v>
      </c>
    </row>
    <row r="1360" spans="2:16">
      <c r="B1360" s="6">
        <f ca="1">IFERROR(__xludf.DUMMYFUNCTION("""COMPUTED_VALUE"""),2025)</f>
        <v>2025</v>
      </c>
      <c r="C1360" s="6">
        <f ca="1">IFERROR(__xludf.DUMMYFUNCTION("""COMPUTED_VALUE"""),10)</f>
        <v>10</v>
      </c>
      <c r="D1360" s="6" t="str">
        <f ca="1">IFERROR(__xludf.DUMMYFUNCTION("""COMPUTED_VALUE"""),"NO")</f>
        <v>NO</v>
      </c>
      <c r="E1360" s="6" t="str">
        <f ca="1">IFERROR(__xludf.DUMMYFUNCTION("""COMPUTED_VALUE"""),"Zaragoza- León XIII")</f>
        <v>Zaragoza- León XIII</v>
      </c>
      <c r="F1360" s="16">
        <f ca="1">IFERROR(__xludf.DUMMYFUNCTION("""COMPUTED_VALUE"""),45959)</f>
        <v>45959</v>
      </c>
      <c r="G1360" s="16">
        <f ca="1">IFERROR(__xludf.DUMMYFUNCTION("""COMPUTED_VALUE"""),45810)</f>
        <v>45810</v>
      </c>
      <c r="H1360" s="6" t="str">
        <f ca="1">IFERROR(__xludf.DUMMYFUNCTION("""COMPUTED_VALUE"""),"Zaragoza")</f>
        <v>Zaragoza</v>
      </c>
      <c r="I1360" s="6" t="str">
        <f ca="1">IFERROR(__xludf.DUMMYFUNCTION("""COMPUTED_VALUE"""),"ZRG-649")</f>
        <v>ZRG-649</v>
      </c>
      <c r="J1360" s="6" t="str">
        <f ca="1">IFERROR(__xludf.DUMMYFUNCTION("""COMPUTED_VALUE"""),"AURORA MAÑEZ BAQUERO")</f>
        <v>AURORA MAÑEZ BAQUERO</v>
      </c>
      <c r="K1360" s="6">
        <f ca="1">IFERROR(__xludf.DUMMYFUNCTION("""COMPUTED_VALUE"""),2)</f>
        <v>2</v>
      </c>
      <c r="L1360" s="139">
        <f ca="1">IFERROR(__xludf.DUMMYFUNCTION("""COMPUTED_VALUE"""),2932.69)</f>
        <v>2932.69</v>
      </c>
      <c r="M1360" s="6" t="str">
        <f ca="1">IFERROR(__xludf.DUMMYFUNCTION("""COMPUTED_VALUE"""),"03 ORL")</f>
        <v>03 ORL</v>
      </c>
      <c r="N1360" s="6" t="str">
        <f ca="1">IFERROR(__xludf.DUMMYFUNCTION("""COMPUTED_VALUE"""),"06 ORL")</f>
        <v>06 ORL</v>
      </c>
      <c r="O1360" s="6" t="str">
        <f ca="1">IFERROR(__xludf.DUMMYFUNCTION("""COMPUTED_VALUE"""),"Dr, Jaime Leache Pueyo")</f>
        <v>Dr, Jaime Leache Pueyo</v>
      </c>
      <c r="P1360" s="6" t="str">
        <f ca="1">IFERROR(__xludf.DUMMYFUNCTION("""COMPUTED_VALUE"""),"Ignacio Berdejo (Zaragoza)")</f>
        <v>Ignacio Berdejo (Zaragoza)</v>
      </c>
    </row>
    <row r="1361" spans="2:16">
      <c r="B1361" s="6">
        <f ca="1">IFERROR(__xludf.DUMMYFUNCTION("""COMPUTED_VALUE"""),2025)</f>
        <v>2025</v>
      </c>
      <c r="C1361" s="6">
        <f ca="1">IFERROR(__xludf.DUMMYFUNCTION("""COMPUTED_VALUE"""),10)</f>
        <v>10</v>
      </c>
      <c r="D1361" s="6" t="str">
        <f ca="1">IFERROR(__xludf.DUMMYFUNCTION("""COMPUTED_VALUE"""),"NO")</f>
        <v>NO</v>
      </c>
      <c r="E1361" s="6" t="str">
        <f ca="1">IFERROR(__xludf.DUMMYFUNCTION("""COMPUTED_VALUE"""),"Lugo")</f>
        <v>Lugo</v>
      </c>
      <c r="F1361" s="16">
        <f ca="1">IFERROR(__xludf.DUMMYFUNCTION("""COMPUTED_VALUE"""),45959)</f>
        <v>45959</v>
      </c>
      <c r="G1361" s="16">
        <f ca="1">IFERROR(__xludf.DUMMYFUNCTION("""COMPUTED_VALUE"""),45932)</f>
        <v>45932</v>
      </c>
      <c r="H1361" s="6" t="str">
        <f ca="1">IFERROR(__xludf.DUMMYFUNCTION("""COMPUTED_VALUE"""),"Lugo")</f>
        <v>Lugo</v>
      </c>
      <c r="I1361" s="6" t="str">
        <f ca="1">IFERROR(__xludf.DUMMYFUNCTION("""COMPUTED_VALUE"""),"C202510218947419")</f>
        <v>C202510218947419</v>
      </c>
      <c r="J1361" s="6" t="str">
        <f ca="1">IFERROR(__xludf.DUMMYFUNCTION("""COMPUTED_VALUE"""),"EMILIO PULPEIRO FERNANDEZ")</f>
        <v>EMILIO PULPEIRO FERNANDEZ</v>
      </c>
      <c r="K1361" s="6">
        <f ca="1">IFERROR(__xludf.DUMMYFUNCTION("""COMPUTED_VALUE"""),1)</f>
        <v>1</v>
      </c>
      <c r="L1361" s="139">
        <f ca="1">IFERROR(__xludf.DUMMYFUNCTION("""COMPUTED_VALUE"""),2180.91)</f>
        <v>2180.91</v>
      </c>
      <c r="M1361" s="6" t="str">
        <f ca="1">IFERROR(__xludf.DUMMYFUNCTION("""COMPUTED_VALUE"""),"03 ORL")</f>
        <v>03 ORL</v>
      </c>
      <c r="N1361" s="6" t="str">
        <f ca="1">IFERROR(__xludf.DUMMYFUNCTION("""COMPUTED_VALUE"""),"06 ORL")</f>
        <v>06 ORL</v>
      </c>
      <c r="O1361" s="6" t="str">
        <f ca="1">IFERROR(__xludf.DUMMYFUNCTION("""COMPUTED_VALUE"""),"Dra, Paula Rodríguez Rivas")</f>
        <v>Dra, Paula Rodríguez Rivas</v>
      </c>
      <c r="P1361" s="6" t="str">
        <f ca="1">IFERROR(__xludf.DUMMYFUNCTION("""COMPUTED_VALUE"""),"Roberto Pereira (Galicia)")</f>
        <v>Roberto Pereira (Galicia)</v>
      </c>
    </row>
    <row r="1362" spans="2:16">
      <c r="B1362" s="6">
        <f ca="1">IFERROR(__xludf.DUMMYFUNCTION("""COMPUTED_VALUE"""),2025)</f>
        <v>2025</v>
      </c>
      <c r="C1362" s="6">
        <f ca="1">IFERROR(__xludf.DUMMYFUNCTION("""COMPUTED_VALUE"""),10)</f>
        <v>10</v>
      </c>
      <c r="D1362" s="6" t="str">
        <f ca="1">IFERROR(__xludf.DUMMYFUNCTION("""COMPUTED_VALUE"""),"NO")</f>
        <v>NO</v>
      </c>
      <c r="E1362" s="6" t="str">
        <f ca="1">IFERROR(__xludf.DUMMYFUNCTION("""COMPUTED_VALUE"""),"Palencia")</f>
        <v>Palencia</v>
      </c>
      <c r="F1362" s="16">
        <f ca="1">IFERROR(__xludf.DUMMYFUNCTION("""COMPUTED_VALUE"""),45959)</f>
        <v>45959</v>
      </c>
      <c r="G1362" s="16">
        <f ca="1">IFERROR(__xludf.DUMMYFUNCTION("""COMPUTED_VALUE"""),45922)</f>
        <v>45922</v>
      </c>
      <c r="H1362" s="6" t="str">
        <f ca="1">IFERROR(__xludf.DUMMYFUNCTION("""COMPUTED_VALUE"""),"Palencia")</f>
        <v>Palencia</v>
      </c>
      <c r="I1362" s="6" t="str">
        <f ca="1">IFERROR(__xludf.DUMMYFUNCTION("""COMPUTED_VALUE"""),"C202510616458945")</f>
        <v>C202510616458945</v>
      </c>
      <c r="J1362" s="6" t="str">
        <f ca="1">IFERROR(__xludf.DUMMYFUNCTION("""COMPUTED_VALUE"""),"VALENTINA CALLEJA DE LAS HERAS [MARIA TERESA LOZANO CALLEJA]")</f>
        <v>VALENTINA CALLEJA DE LAS HERAS [MARIA TERESA LOZANO CALLEJA]</v>
      </c>
      <c r="K1362" s="6">
        <f ca="1">IFERROR(__xludf.DUMMYFUNCTION("""COMPUTED_VALUE"""),2)</f>
        <v>2</v>
      </c>
      <c r="L1362" s="139">
        <f ca="1">IFERROR(__xludf.DUMMYFUNCTION("""COMPUTED_VALUE"""),4136.36)</f>
        <v>4136.3599999999997</v>
      </c>
      <c r="M1362" s="6" t="str">
        <f ca="1">IFERROR(__xludf.DUMMYFUNCTION("""COMPUTED_VALUE"""),"03 ORL")</f>
        <v>03 ORL</v>
      </c>
      <c r="N1362" s="6" t="str">
        <f ca="1">IFERROR(__xludf.DUMMYFUNCTION("""COMPUTED_VALUE"""),"06 ORL")</f>
        <v>06 ORL</v>
      </c>
      <c r="O1362" s="6" t="str">
        <f ca="1">IFERROR(__xludf.DUMMYFUNCTION("""COMPUTED_VALUE"""),"Dr, Fernando Martín Peña")</f>
        <v>Dr, Fernando Martín Peña</v>
      </c>
      <c r="P1362" s="6" t="str">
        <f ca="1">IFERROR(__xludf.DUMMYFUNCTION("""COMPUTED_VALUE"""),"Alberto Moreno (Madrid)")</f>
        <v>Alberto Moreno (Madrid)</v>
      </c>
    </row>
    <row r="1363" spans="2:16">
      <c r="B1363" s="6">
        <f ca="1">IFERROR(__xludf.DUMMYFUNCTION("""COMPUTED_VALUE"""),2025)</f>
        <v>2025</v>
      </c>
      <c r="C1363" s="6">
        <f ca="1">IFERROR(__xludf.DUMMYFUNCTION("""COMPUTED_VALUE"""),10)</f>
        <v>10</v>
      </c>
      <c r="D1363" s="6" t="str">
        <f ca="1">IFERROR(__xludf.DUMMYFUNCTION("""COMPUTED_VALUE"""),"NO")</f>
        <v>NO</v>
      </c>
      <c r="E1363" s="6" t="str">
        <f ca="1">IFERROR(__xludf.DUMMYFUNCTION("""COMPUTED_VALUE"""),"Talavera")</f>
        <v>Talavera</v>
      </c>
      <c r="F1363" s="16">
        <f ca="1">IFERROR(__xludf.DUMMYFUNCTION("""COMPUTED_VALUE"""),45959)</f>
        <v>45959</v>
      </c>
      <c r="G1363" s="16">
        <f ca="1">IFERROR(__xludf.DUMMYFUNCTION("""COMPUTED_VALUE"""),45751)</f>
        <v>45751</v>
      </c>
      <c r="H1363" s="6" t="str">
        <f ca="1">IFERROR(__xludf.DUMMYFUNCTION("""COMPUTED_VALUE"""),"Talavera")</f>
        <v>Talavera</v>
      </c>
      <c r="I1363" s="6" t="str">
        <f ca="1">IFERROR(__xludf.DUMMYFUNCTION("""COMPUTED_VALUE"""),"C20254410337582")</f>
        <v>C20254410337582</v>
      </c>
      <c r="J1363" s="6" t="str">
        <f ca="1">IFERROR(__xludf.DUMMYFUNCTION("""COMPUTED_VALUE"""),"MARIA CARMEN RAMOS RAMOS")</f>
        <v>MARIA CARMEN RAMOS RAMOS</v>
      </c>
      <c r="K1363" s="6">
        <f ca="1">IFERROR(__xludf.DUMMYFUNCTION("""COMPUTED_VALUE"""),2)</f>
        <v>2</v>
      </c>
      <c r="L1363" s="139">
        <f ca="1">IFERROR(__xludf.DUMMYFUNCTION("""COMPUTED_VALUE"""),2582.28)</f>
        <v>2582.2800000000002</v>
      </c>
      <c r="M1363" s="6" t="str">
        <f ca="1">IFERROR(__xludf.DUMMYFUNCTION("""COMPUTED_VALUE"""),"03 ORL")</f>
        <v>03 ORL</v>
      </c>
      <c r="N1363" s="6" t="str">
        <f ca="1">IFERROR(__xludf.DUMMYFUNCTION("""COMPUTED_VALUE"""),"06 ORL")</f>
        <v>06 ORL</v>
      </c>
      <c r="O1363" s="6" t="str">
        <f ca="1">IFERROR(__xludf.DUMMYFUNCTION("""COMPUTED_VALUE"""),"Dra, María Del Rocío Lobato Pérez")</f>
        <v>Dra, María Del Rocío Lobato Pérez</v>
      </c>
      <c r="P1363" s="6" t="str">
        <f ca="1">IFERROR(__xludf.DUMMYFUNCTION("""COMPUTED_VALUE"""),"Lisandro Russian (Madrid, Cáceres, Toledo, Talavera Y Logroño)")</f>
        <v>Lisandro Russian (Madrid, Cáceres, Toledo, Talavera Y Logroño)</v>
      </c>
    </row>
    <row r="1364" spans="2:16">
      <c r="B1364" s="6">
        <f ca="1">IFERROR(__xludf.DUMMYFUNCTION("""COMPUTED_VALUE"""),2025)</f>
        <v>2025</v>
      </c>
      <c r="C1364" s="6">
        <f ca="1">IFERROR(__xludf.DUMMYFUNCTION("""COMPUTED_VALUE"""),10)</f>
        <v>10</v>
      </c>
      <c r="D1364" s="6" t="str">
        <f ca="1">IFERROR(__xludf.DUMMYFUNCTION("""COMPUTED_VALUE"""),"NO")</f>
        <v>NO</v>
      </c>
      <c r="E1364" s="6" t="str">
        <f ca="1">IFERROR(__xludf.DUMMYFUNCTION("""COMPUTED_VALUE"""),"Murcia")</f>
        <v>Murcia</v>
      </c>
      <c r="F1364" s="16">
        <f ca="1">IFERROR(__xludf.DUMMYFUNCTION("""COMPUTED_VALUE"""),45959)</f>
        <v>45959</v>
      </c>
      <c r="G1364" s="16">
        <f ca="1">IFERROR(__xludf.DUMMYFUNCTION("""COMPUTED_VALUE"""),45888)</f>
        <v>45888</v>
      </c>
      <c r="H1364" s="6" t="str">
        <f ca="1">IFERROR(__xludf.DUMMYFUNCTION("""COMPUTED_VALUE"""),"Murcia")</f>
        <v>Murcia</v>
      </c>
      <c r="I1364" s="6" t="str">
        <f ca="1">IFERROR(__xludf.DUMMYFUNCTION("""COMPUTED_VALUE"""),"C202582111928956")</f>
        <v>C202582111928956</v>
      </c>
      <c r="J1364" s="6" t="str">
        <f ca="1">IFERROR(__xludf.DUMMYFUNCTION("""COMPUTED_VALUE"""),"MARITZA ARENAS MUÑOZ")</f>
        <v>MARITZA ARENAS MUÑOZ</v>
      </c>
      <c r="K1364" s="6">
        <f ca="1">IFERROR(__xludf.DUMMYFUNCTION("""COMPUTED_VALUE"""),-2)</f>
        <v>-2</v>
      </c>
      <c r="L1364" s="139">
        <f ca="1">IFERROR(__xludf.DUMMYFUNCTION("""COMPUTED_VALUE"""),-3631.81)</f>
        <v>-3631.81</v>
      </c>
      <c r="M1364" s="6" t="str">
        <f ca="1">IFERROR(__xludf.DUMMYFUNCTION("""COMPUTED_VALUE"""),"03 ORL")</f>
        <v>03 ORL</v>
      </c>
      <c r="N1364" s="6" t="str">
        <f ca="1">IFERROR(__xludf.DUMMYFUNCTION("""COMPUTED_VALUE"""),"06 ORL")</f>
        <v>06 ORL</v>
      </c>
      <c r="O1364" s="6" t="str">
        <f ca="1">IFERROR(__xludf.DUMMYFUNCTION("""COMPUTED_VALUE"""),"Dra, Beatriz Rodríguez González Herrero")</f>
        <v>Dra, Beatriz Rodríguez González Herrero</v>
      </c>
      <c r="P1364" s="6" t="str">
        <f ca="1">IFERROR(__xludf.DUMMYFUNCTION("""COMPUTED_VALUE"""),"Iván Sánchez (Levante Y Albacete)")</f>
        <v>Iván Sánchez (Levante Y Albacete)</v>
      </c>
    </row>
    <row r="1365" spans="2:16">
      <c r="B1365" s="6">
        <f ca="1">IFERROR(__xludf.DUMMYFUNCTION("""COMPUTED_VALUE"""),2025)</f>
        <v>2025</v>
      </c>
      <c r="C1365" s="6">
        <f ca="1">IFERROR(__xludf.DUMMYFUNCTION("""COMPUTED_VALUE"""),10)</f>
        <v>10</v>
      </c>
      <c r="D1365" s="6" t="str">
        <f ca="1">IFERROR(__xludf.DUMMYFUNCTION("""COMPUTED_VALUE"""),"NO")</f>
        <v>NO</v>
      </c>
      <c r="E1365" s="6" t="str">
        <f ca="1">IFERROR(__xludf.DUMMYFUNCTION("""COMPUTED_VALUE"""),"Madrid- Moratalaz")</f>
        <v>Madrid- Moratalaz</v>
      </c>
      <c r="F1365" s="16">
        <f ca="1">IFERROR(__xludf.DUMMYFUNCTION("""COMPUTED_VALUE"""),45959)</f>
        <v>45959</v>
      </c>
      <c r="G1365" s="16">
        <f ca="1">IFERROR(__xludf.DUMMYFUNCTION("""COMPUTED_VALUE"""),45951)</f>
        <v>45951</v>
      </c>
      <c r="H1365" s="6" t="str">
        <f ca="1">IFERROR(__xludf.DUMMYFUNCTION("""COMPUTED_VALUE"""),"Moratalaz")</f>
        <v>Moratalaz</v>
      </c>
      <c r="I1365" s="6" t="str">
        <f ca="1">IFERROR(__xludf.DUMMYFUNCTION("""COMPUTED_VALUE"""),"C202510218472605070")</f>
        <v>C202510218472605070</v>
      </c>
      <c r="J1365" s="6" t="str">
        <f ca="1">IFERROR(__xludf.DUMMYFUNCTION("""COMPUTED_VALUE"""),"ANA MARIA REBOLLO HEREDIA")</f>
        <v>ANA MARIA REBOLLO HEREDIA</v>
      </c>
      <c r="K1365" s="6">
        <f ca="1">IFERROR(__xludf.DUMMYFUNCTION("""COMPUTED_VALUE"""),2)</f>
        <v>2</v>
      </c>
      <c r="L1365" s="139">
        <f ca="1">IFERROR(__xludf.DUMMYFUNCTION("""COMPUTED_VALUE"""),3929.55)</f>
        <v>3929.55</v>
      </c>
      <c r="M1365" s="6" t="str">
        <f ca="1">IFERROR(__xludf.DUMMYFUNCTION("""COMPUTED_VALUE"""),"03 ORL")</f>
        <v>03 ORL</v>
      </c>
      <c r="N1365" s="6" t="str">
        <f ca="1">IFERROR(__xludf.DUMMYFUNCTION("""COMPUTED_VALUE"""),"06 ORL")</f>
        <v>06 ORL</v>
      </c>
      <c r="O1365" s="6" t="str">
        <f ca="1">IFERROR(__xludf.DUMMYFUNCTION("""COMPUTED_VALUE"""),"No recuerda ORL")</f>
        <v>No recuerda ORL</v>
      </c>
      <c r="P1365" s="6" t="str">
        <f ca="1">IFERROR(__xludf.DUMMYFUNCTION("""COMPUTED_VALUE"""),"Maika Blázquez (Madrid)")</f>
        <v>Maika Blázquez (Madrid)</v>
      </c>
    </row>
    <row r="1366" spans="2:16">
      <c r="B1366" s="6">
        <f ca="1">IFERROR(__xludf.DUMMYFUNCTION("""COMPUTED_VALUE"""),2025)</f>
        <v>2025</v>
      </c>
      <c r="C1366" s="6">
        <f ca="1">IFERROR(__xludf.DUMMYFUNCTION("""COMPUTED_VALUE"""),10)</f>
        <v>10</v>
      </c>
      <c r="D1366" s="6" t="str">
        <f ca="1">IFERROR(__xludf.DUMMYFUNCTION("""COMPUTED_VALUE"""),"NO")</f>
        <v>NO</v>
      </c>
      <c r="E1366" s="6" t="str">
        <f ca="1">IFERROR(__xludf.DUMMYFUNCTION("""COMPUTED_VALUE"""),"Alicante")</f>
        <v>Alicante</v>
      </c>
      <c r="F1366" s="16">
        <f ca="1">IFERROR(__xludf.DUMMYFUNCTION("""COMPUTED_VALUE"""),45959)</f>
        <v>45959</v>
      </c>
      <c r="G1366" s="16">
        <f ca="1">IFERROR(__xludf.DUMMYFUNCTION("""COMPUTED_VALUE"""),45930)</f>
        <v>45930</v>
      </c>
      <c r="H1366" s="6" t="str">
        <f ca="1">IFERROR(__xludf.DUMMYFUNCTION("""COMPUTED_VALUE"""),"Alicante")</f>
        <v>Alicante</v>
      </c>
      <c r="I1366" s="6" t="str">
        <f ca="1">IFERROR(__xludf.DUMMYFUNCTION("""COMPUTED_VALUE"""),"C202510311292191")</f>
        <v>C202510311292191</v>
      </c>
      <c r="J1366" s="6" t="str">
        <f ca="1">IFERROR(__xludf.DUMMYFUNCTION("""COMPUTED_VALUE"""),"FERNANDO CATALAN NAVARRO")</f>
        <v>FERNANDO CATALAN NAVARRO</v>
      </c>
      <c r="K1366" s="6">
        <f ca="1">IFERROR(__xludf.DUMMYFUNCTION("""COMPUTED_VALUE"""),2)</f>
        <v>2</v>
      </c>
      <c r="L1366" s="139">
        <f ca="1">IFERROR(__xludf.DUMMYFUNCTION("""COMPUTED_VALUE"""),4536.36)</f>
        <v>4536.3599999999997</v>
      </c>
      <c r="M1366" s="6" t="str">
        <f ca="1">IFERROR(__xludf.DUMMYFUNCTION("""COMPUTED_VALUE"""),"03 ORL")</f>
        <v>03 ORL</v>
      </c>
      <c r="N1366" s="6" t="str">
        <f ca="1">IFERROR(__xludf.DUMMYFUNCTION("""COMPUTED_VALUE"""),"06 ORL")</f>
        <v>06 ORL</v>
      </c>
      <c r="O1366" s="6" t="str">
        <f ca="1">IFERROR(__xludf.DUMMYFUNCTION("""COMPUTED_VALUE"""),"Dra, Luisa Payá Pérez")</f>
        <v>Dra, Luisa Payá Pérez</v>
      </c>
      <c r="P1366" s="6" t="str">
        <f ca="1">IFERROR(__xludf.DUMMYFUNCTION("""COMPUTED_VALUE"""),"Iván Sánchez (Levante Y Albacete)")</f>
        <v>Iván Sánchez (Levante Y Albacete)</v>
      </c>
    </row>
    <row r="1367" spans="2:16">
      <c r="B1367" s="6">
        <f ca="1">IFERROR(__xludf.DUMMYFUNCTION("""COMPUTED_VALUE"""),2025)</f>
        <v>2025</v>
      </c>
      <c r="C1367" s="6">
        <f ca="1">IFERROR(__xludf.DUMMYFUNCTION("""COMPUTED_VALUE"""),10)</f>
        <v>10</v>
      </c>
      <c r="D1367" s="6" t="str">
        <f ca="1">IFERROR(__xludf.DUMMYFUNCTION("""COMPUTED_VALUE"""),"NO")</f>
        <v>NO</v>
      </c>
      <c r="E1367" s="6" t="str">
        <f ca="1">IFERROR(__xludf.DUMMYFUNCTION("""COMPUTED_VALUE"""),"Murcia")</f>
        <v>Murcia</v>
      </c>
      <c r="F1367" s="16">
        <f ca="1">IFERROR(__xludf.DUMMYFUNCTION("""COMPUTED_VALUE"""),45959)</f>
        <v>45959</v>
      </c>
      <c r="G1367" s="16">
        <f ca="1">IFERROR(__xludf.DUMMYFUNCTION("""COMPUTED_VALUE"""),45854)</f>
        <v>45854</v>
      </c>
      <c r="H1367" s="6" t="str">
        <f ca="1">IFERROR(__xludf.DUMMYFUNCTION("""COMPUTED_VALUE"""),"Murcia")</f>
        <v>Murcia</v>
      </c>
      <c r="I1367" s="6" t="str">
        <f ca="1">IFERROR(__xludf.DUMMYFUNCTION("""COMPUTED_VALUE"""),"C2025717121059278")</f>
        <v>C2025717121059278</v>
      </c>
      <c r="J1367" s="6" t="str">
        <f ca="1">IFERROR(__xludf.DUMMYFUNCTION("""COMPUTED_VALUE"""),"KAS BOUCHRA")</f>
        <v>KAS BOUCHRA</v>
      </c>
      <c r="K1367" s="6">
        <f ca="1">IFERROR(__xludf.DUMMYFUNCTION("""COMPUTED_VALUE"""),2)</f>
        <v>2</v>
      </c>
      <c r="L1367" s="139">
        <f ca="1">IFERROR(__xludf.DUMMYFUNCTION("""COMPUTED_VALUE"""),2718.18)</f>
        <v>2718.18</v>
      </c>
      <c r="M1367" s="6" t="str">
        <f ca="1">IFERROR(__xludf.DUMMYFUNCTION("""COMPUTED_VALUE"""),"03 ORL")</f>
        <v>03 ORL</v>
      </c>
      <c r="N1367" s="6" t="str">
        <f ca="1">IFERROR(__xludf.DUMMYFUNCTION("""COMPUTED_VALUE"""),"06 ORL")</f>
        <v>06 ORL</v>
      </c>
      <c r="O1367" s="6" t="str">
        <f ca="1">IFERROR(__xludf.DUMMYFUNCTION("""COMPUTED_VALUE"""),"Dra, Cristina Esther Torregrosa Carrasquer")</f>
        <v>Dra, Cristina Esther Torregrosa Carrasquer</v>
      </c>
      <c r="P1367" s="6" t="str">
        <f ca="1">IFERROR(__xludf.DUMMYFUNCTION("""COMPUTED_VALUE"""),"Iván Sánchez (Levante Y Albacete)")</f>
        <v>Iván Sánchez (Levante Y Albacete)</v>
      </c>
    </row>
    <row r="1368" spans="2:16">
      <c r="B1368" s="6">
        <f ca="1">IFERROR(__xludf.DUMMYFUNCTION("""COMPUTED_VALUE"""),2025)</f>
        <v>2025</v>
      </c>
      <c r="C1368" s="6">
        <f ca="1">IFERROR(__xludf.DUMMYFUNCTION("""COMPUTED_VALUE"""),10)</f>
        <v>10</v>
      </c>
      <c r="D1368" s="6" t="str">
        <f ca="1">IFERROR(__xludf.DUMMYFUNCTION("""COMPUTED_VALUE"""),"NO")</f>
        <v>NO</v>
      </c>
      <c r="E1368" s="6" t="str">
        <f ca="1">IFERROR(__xludf.DUMMYFUNCTION("""COMPUTED_VALUE"""),"Getafe")</f>
        <v>Getafe</v>
      </c>
      <c r="F1368" s="16">
        <f ca="1">IFERROR(__xludf.DUMMYFUNCTION("""COMPUTED_VALUE"""),45959)</f>
        <v>45959</v>
      </c>
      <c r="G1368" s="16">
        <f ca="1">IFERROR(__xludf.DUMMYFUNCTION("""COMPUTED_VALUE"""),45910)</f>
        <v>45910</v>
      </c>
      <c r="H1368" s="6" t="str">
        <f ca="1">IFERROR(__xludf.DUMMYFUNCTION("""COMPUTED_VALUE"""),"Getafe")</f>
        <v>Getafe</v>
      </c>
      <c r="I1368" s="6" t="str">
        <f ca="1">IFERROR(__xludf.DUMMYFUNCTION("""COMPUTED_VALUE"""),"C2025925164752459")</f>
        <v>C2025925164752459</v>
      </c>
      <c r="J1368" s="6" t="str">
        <f ca="1">IFERROR(__xludf.DUMMYFUNCTION("""COMPUTED_VALUE"""),"ASCENSION JIMENEZ RECUERO")</f>
        <v>ASCENSION JIMENEZ RECUERO</v>
      </c>
      <c r="K1368" s="6">
        <f ca="1">IFERROR(__xludf.DUMMYFUNCTION("""COMPUTED_VALUE"""),2)</f>
        <v>2</v>
      </c>
      <c r="L1368" s="139">
        <f ca="1">IFERROR(__xludf.DUMMYFUNCTION("""COMPUTED_VALUE"""),2718.18)</f>
        <v>2718.18</v>
      </c>
      <c r="M1368" s="6" t="str">
        <f ca="1">IFERROR(__xludf.DUMMYFUNCTION("""COMPUTED_VALUE"""),"03 ORL")</f>
        <v>03 ORL</v>
      </c>
      <c r="N1368" s="6" t="str">
        <f ca="1">IFERROR(__xludf.DUMMYFUNCTION("""COMPUTED_VALUE"""),"06 ORL")</f>
        <v>06 ORL</v>
      </c>
      <c r="O1368" s="6" t="str">
        <f ca="1">IFERROR(__xludf.DUMMYFUNCTION("""COMPUTED_VALUE"""),"No recuerda ORL")</f>
        <v>No recuerda ORL</v>
      </c>
      <c r="P1368" s="6" t="str">
        <f ca="1">IFERROR(__xludf.DUMMYFUNCTION("""COMPUTED_VALUE"""),"Maika Blázquez (Madrid)")</f>
        <v>Maika Blázquez (Madrid)</v>
      </c>
    </row>
    <row r="1369" spans="2:16">
      <c r="B1369" s="6">
        <f ca="1">IFERROR(__xludf.DUMMYFUNCTION("""COMPUTED_VALUE"""),2025)</f>
        <v>2025</v>
      </c>
      <c r="C1369" s="6">
        <f ca="1">IFERROR(__xludf.DUMMYFUNCTION("""COMPUTED_VALUE"""),10)</f>
        <v>10</v>
      </c>
      <c r="D1369" s="6" t="str">
        <f ca="1">IFERROR(__xludf.DUMMYFUNCTION("""COMPUTED_VALUE"""),"NO")</f>
        <v>NO</v>
      </c>
      <c r="E1369" s="6" t="str">
        <f ca="1">IFERROR(__xludf.DUMMYFUNCTION("""COMPUTED_VALUE"""),"El Albir (Benidorm)")</f>
        <v>El Albir (Benidorm)</v>
      </c>
      <c r="F1369" s="16">
        <f ca="1">IFERROR(__xludf.DUMMYFUNCTION("""COMPUTED_VALUE"""),45960)</f>
        <v>45960</v>
      </c>
      <c r="G1369" s="16">
        <f ca="1">IFERROR(__xludf.DUMMYFUNCTION("""COMPUTED_VALUE"""),45901)</f>
        <v>45901</v>
      </c>
      <c r="H1369" s="6" t="str">
        <f ca="1">IFERROR(__xludf.DUMMYFUNCTION("""COMPUTED_VALUE"""),"El Albir (Benidorm)")</f>
        <v>El Albir (Benidorm)</v>
      </c>
      <c r="I1369" s="6" t="str">
        <f ca="1">IFERROR(__xludf.DUMMYFUNCTION("""COMPUTED_VALUE"""),"C20259211932215")</f>
        <v>C20259211932215</v>
      </c>
      <c r="J1369" s="6" t="str">
        <f ca="1">IFERROR(__xludf.DUMMYFUNCTION("""COMPUTED_VALUE"""),"JAVIER GARCIA FERNANDEZ")</f>
        <v>JAVIER GARCIA FERNANDEZ</v>
      </c>
      <c r="K1369" s="6">
        <f ca="1">IFERROR(__xludf.DUMMYFUNCTION("""COMPUTED_VALUE"""),1)</f>
        <v>1</v>
      </c>
      <c r="L1369" s="139">
        <f ca="1">IFERROR(__xludf.DUMMYFUNCTION("""COMPUTED_VALUE"""),2640)</f>
        <v>2640</v>
      </c>
      <c r="M1369" s="6" t="str">
        <f ca="1">IFERROR(__xludf.DUMMYFUNCTION("""COMPUTED_VALUE"""),"03 ORL")</f>
        <v>03 ORL</v>
      </c>
      <c r="N1369" s="6" t="str">
        <f ca="1">IFERROR(__xludf.DUMMYFUNCTION("""COMPUTED_VALUE"""),"06 ORL")</f>
        <v>06 ORL</v>
      </c>
      <c r="O1369" s="6" t="str">
        <f ca="1">IFERROR(__xludf.DUMMYFUNCTION("""COMPUTED_VALUE"""),"Dra, Isabel Polo Tomás")</f>
        <v>Dra, Isabel Polo Tomás</v>
      </c>
      <c r="P1369" s="6" t="str">
        <f ca="1">IFERROR(__xludf.DUMMYFUNCTION("""COMPUTED_VALUE"""),"Ramon Ferrando(Valencia)")</f>
        <v>Ramon Ferrando(Valencia)</v>
      </c>
    </row>
    <row r="1370" spans="2:16">
      <c r="B1370" s="6">
        <f ca="1">IFERROR(__xludf.DUMMYFUNCTION("""COMPUTED_VALUE"""),2025)</f>
        <v>2025</v>
      </c>
      <c r="C1370" s="6">
        <f ca="1">IFERROR(__xludf.DUMMYFUNCTION("""COMPUTED_VALUE"""),10)</f>
        <v>10</v>
      </c>
      <c r="D1370" s="6" t="str">
        <f ca="1">IFERROR(__xludf.DUMMYFUNCTION("""COMPUTED_VALUE"""),"NO")</f>
        <v>NO</v>
      </c>
      <c r="E1370" s="6" t="str">
        <f ca="1">IFERROR(__xludf.DUMMYFUNCTION("""COMPUTED_VALUE"""),"Madrid- Juan Bravo")</f>
        <v>Madrid- Juan Bravo</v>
      </c>
      <c r="F1370" s="16">
        <f ca="1">IFERROR(__xludf.DUMMYFUNCTION("""COMPUTED_VALUE"""),45960)</f>
        <v>45960</v>
      </c>
      <c r="G1370" s="16">
        <f ca="1">IFERROR(__xludf.DUMMYFUNCTION("""COMPUTED_VALUE"""),45902)</f>
        <v>45902</v>
      </c>
      <c r="H1370" s="6" t="str">
        <f ca="1">IFERROR(__xludf.DUMMYFUNCTION("""COMPUTED_VALUE"""),"Juan Bravo")</f>
        <v>Juan Bravo</v>
      </c>
      <c r="I1370" s="6" t="str">
        <f ca="1">IFERROR(__xludf.DUMMYFUNCTION("""COMPUTED_VALUE"""),"C202599183419957")</f>
        <v>C202599183419957</v>
      </c>
      <c r="J1370" s="6" t="str">
        <f ca="1">IFERROR(__xludf.DUMMYFUNCTION("""COMPUTED_VALUE"""),"ALEJANDRO SAINZ ALCALA")</f>
        <v>ALEJANDRO SAINZ ALCALA</v>
      </c>
      <c r="K1370" s="6">
        <f ca="1">IFERROR(__xludf.DUMMYFUNCTION("""COMPUTED_VALUE"""),2)</f>
        <v>2</v>
      </c>
      <c r="L1370" s="139">
        <f ca="1">IFERROR(__xludf.DUMMYFUNCTION("""COMPUTED_VALUE"""),3929.55)</f>
        <v>3929.55</v>
      </c>
      <c r="M1370" s="6" t="str">
        <f ca="1">IFERROR(__xludf.DUMMYFUNCTION("""COMPUTED_VALUE"""),"03 ORL")</f>
        <v>03 ORL</v>
      </c>
      <c r="N1370" s="6" t="str">
        <f ca="1">IFERROR(__xludf.DUMMYFUNCTION("""COMPUTED_VALUE"""),"06 ORL")</f>
        <v>06 ORL</v>
      </c>
      <c r="O1370" s="6" t="str">
        <f ca="1">IFERROR(__xludf.DUMMYFUNCTION("""COMPUTED_VALUE"""),"Dra, Alicia Suárez Calvo")</f>
        <v>Dra, Alicia Suárez Calvo</v>
      </c>
      <c r="P1370" s="6" t="str">
        <f ca="1">IFERROR(__xludf.DUMMYFUNCTION("""COMPUTED_VALUE"""),"Lisandro Russian (Madrid, Cáceres, Toledo, Talavera Y Logroño)")</f>
        <v>Lisandro Russian (Madrid, Cáceres, Toledo, Talavera Y Logroño)</v>
      </c>
    </row>
    <row r="1371" spans="2:16">
      <c r="B1371" s="6">
        <f ca="1">IFERROR(__xludf.DUMMYFUNCTION("""COMPUTED_VALUE"""),2025)</f>
        <v>2025</v>
      </c>
      <c r="C1371" s="6">
        <f ca="1">IFERROR(__xludf.DUMMYFUNCTION("""COMPUTED_VALUE"""),10)</f>
        <v>10</v>
      </c>
      <c r="D1371" s="6" t="str">
        <f ca="1">IFERROR(__xludf.DUMMYFUNCTION("""COMPUTED_VALUE"""),"NO")</f>
        <v>NO</v>
      </c>
      <c r="E1371" s="6" t="str">
        <f ca="1">IFERROR(__xludf.DUMMYFUNCTION("""COMPUTED_VALUE"""),"Talavera")</f>
        <v>Talavera</v>
      </c>
      <c r="F1371" s="16">
        <f ca="1">IFERROR(__xludf.DUMMYFUNCTION("""COMPUTED_VALUE"""),45960)</f>
        <v>45960</v>
      </c>
      <c r="G1371" s="16">
        <f ca="1">IFERROR(__xludf.DUMMYFUNCTION("""COMPUTED_VALUE"""),45945)</f>
        <v>45945</v>
      </c>
      <c r="H1371" s="6" t="str">
        <f ca="1">IFERROR(__xludf.DUMMYFUNCTION("""COMPUTED_VALUE"""),"Talavera")</f>
        <v>Talavera</v>
      </c>
      <c r="I1371" s="6" t="str">
        <f ca="1">IFERROR(__xludf.DUMMYFUNCTION("""COMPUTED_VALUE"""),"C202510151038291262")</f>
        <v>C202510151038291262</v>
      </c>
      <c r="J1371" s="6" t="str">
        <f ca="1">IFERROR(__xludf.DUMMYFUNCTION("""COMPUTED_VALUE"""),"ENRIQUE IBAÑEZ MORA")</f>
        <v>ENRIQUE IBAÑEZ MORA</v>
      </c>
      <c r="K1371" s="6">
        <f ca="1">IFERROR(__xludf.DUMMYFUNCTION("""COMPUTED_VALUE"""),1)</f>
        <v>1</v>
      </c>
      <c r="L1371" s="139">
        <f ca="1">IFERROR(__xludf.DUMMYFUNCTION("""COMPUTED_VALUE"""),2233.64)</f>
        <v>2233.64</v>
      </c>
      <c r="M1371" s="6" t="str">
        <f ca="1">IFERROR(__xludf.DUMMYFUNCTION("""COMPUTED_VALUE"""),"03 ORL")</f>
        <v>03 ORL</v>
      </c>
      <c r="N1371" s="6" t="str">
        <f ca="1">IFERROR(__xludf.DUMMYFUNCTION("""COMPUTED_VALUE"""),"06 ORL")</f>
        <v>06 ORL</v>
      </c>
      <c r="O1371" s="6" t="str">
        <f ca="1">IFERROR(__xludf.DUMMYFUNCTION("""COMPUTED_VALUE"""),"Dr, Carlos Félix Asensio Nieto")</f>
        <v>Dr, Carlos Félix Asensio Nieto</v>
      </c>
      <c r="P1371" s="6" t="str">
        <f ca="1">IFERROR(__xludf.DUMMYFUNCTION("""COMPUTED_VALUE"""),"Lisandro Russian (Madrid, Cáceres, Toledo, Talavera Y Logroño)")</f>
        <v>Lisandro Russian (Madrid, Cáceres, Toledo, Talavera Y Logroño)</v>
      </c>
    </row>
    <row r="1372" spans="2:16">
      <c r="B1372" s="6">
        <f ca="1">IFERROR(__xludf.DUMMYFUNCTION("""COMPUTED_VALUE"""),2025)</f>
        <v>2025</v>
      </c>
      <c r="C1372" s="6">
        <f ca="1">IFERROR(__xludf.DUMMYFUNCTION("""COMPUTED_VALUE"""),10)</f>
        <v>10</v>
      </c>
      <c r="D1372" s="6" t="str">
        <f ca="1">IFERROR(__xludf.DUMMYFUNCTION("""COMPUTED_VALUE"""),"NO")</f>
        <v>NO</v>
      </c>
      <c r="E1372" s="6" t="str">
        <f ca="1">IFERROR(__xludf.DUMMYFUNCTION("""COMPUTED_VALUE"""),"Valencia- Cádiz")</f>
        <v>Valencia- Cádiz</v>
      </c>
      <c r="F1372" s="16">
        <f ca="1">IFERROR(__xludf.DUMMYFUNCTION("""COMPUTED_VALUE"""),45960)</f>
        <v>45960</v>
      </c>
      <c r="G1372" s="16">
        <f ca="1">IFERROR(__xludf.DUMMYFUNCTION("""COMPUTED_VALUE"""),45937)</f>
        <v>45937</v>
      </c>
      <c r="H1372" s="6" t="str">
        <f ca="1">IFERROR(__xludf.DUMMYFUNCTION("""COMPUTED_VALUE"""),"Valencia- Cádiz")</f>
        <v>Valencia- Cádiz</v>
      </c>
      <c r="I1372" s="6" t="str">
        <f ca="1">IFERROR(__xludf.DUMMYFUNCTION("""COMPUTED_VALUE"""),"C20251015104339905")</f>
        <v>C20251015104339905</v>
      </c>
      <c r="J1372" s="1" t="str">
        <f ca="1">IFERROR(__xludf.DUMMYFUNCTION("""COMPUTED_VALUE"""),"MARIA DEL CARMEN VILLANUEVA PEREZ")</f>
        <v>MARIA DEL CARMEN VILLANUEVA PEREZ</v>
      </c>
      <c r="K1372" s="6">
        <f ca="1">IFERROR(__xludf.DUMMYFUNCTION("""COMPUTED_VALUE"""),2)</f>
        <v>2</v>
      </c>
      <c r="L1372" s="139">
        <f ca="1">IFERROR(__xludf.DUMMYFUNCTION("""COMPUTED_VALUE"""),4136.36)</f>
        <v>4136.3599999999997</v>
      </c>
      <c r="M1372" s="6" t="str">
        <f ca="1">IFERROR(__xludf.DUMMYFUNCTION("""COMPUTED_VALUE"""),"03 ORL")</f>
        <v>03 ORL</v>
      </c>
      <c r="N1372" s="6" t="str">
        <f ca="1">IFERROR(__xludf.DUMMYFUNCTION("""COMPUTED_VALUE"""),"06 ORL")</f>
        <v>06 ORL</v>
      </c>
      <c r="O1372" s="6" t="str">
        <f ca="1">IFERROR(__xludf.DUMMYFUNCTION("""COMPUTED_VALUE"""),"Dra, Paula Martínez-Ruiz De Apocada")</f>
        <v>Dra, Paula Martínez-Ruiz De Apocada</v>
      </c>
      <c r="P1372" s="6" t="str">
        <f ca="1">IFERROR(__xludf.DUMMYFUNCTION("""COMPUTED_VALUE"""),"Ramon Ferrando(Valencia)")</f>
        <v>Ramon Ferrando(Valencia)</v>
      </c>
    </row>
    <row r="1373" spans="2:16">
      <c r="B1373" s="6">
        <f ca="1">IFERROR(__xludf.DUMMYFUNCTION("""COMPUTED_VALUE"""),2025)</f>
        <v>2025</v>
      </c>
      <c r="C1373" s="6">
        <f ca="1">IFERROR(__xludf.DUMMYFUNCTION("""COMPUTED_VALUE"""),10)</f>
        <v>10</v>
      </c>
      <c r="D1373" s="6" t="str">
        <f ca="1">IFERROR(__xludf.DUMMYFUNCTION("""COMPUTED_VALUE"""),"NO")</f>
        <v>NO</v>
      </c>
      <c r="E1373" s="6" t="str">
        <f ca="1">IFERROR(__xludf.DUMMYFUNCTION("""COMPUTED_VALUE"""),"Jerez de la Frontera")</f>
        <v>Jerez de la Frontera</v>
      </c>
      <c r="F1373" s="16">
        <f ca="1">IFERROR(__xludf.DUMMYFUNCTION("""COMPUTED_VALUE"""),45960)</f>
        <v>45960</v>
      </c>
      <c r="G1373" s="16">
        <f ca="1">IFERROR(__xludf.DUMMYFUNCTION("""COMPUTED_VALUE"""),45930)</f>
        <v>45930</v>
      </c>
      <c r="H1373" s="6" t="str">
        <f ca="1">IFERROR(__xludf.DUMMYFUNCTION("""COMPUTED_VALUE"""),"Jerez")</f>
        <v>Jerez</v>
      </c>
      <c r="I1373" s="6" t="str">
        <f ca="1">IFERROR(__xludf.DUMMYFUNCTION("""COMPUTED_VALUE"""),"C2025103112349194")</f>
        <v>C2025103112349194</v>
      </c>
      <c r="J1373" s="6" t="str">
        <f ca="1">IFERROR(__xludf.DUMMYFUNCTION("""COMPUTED_VALUE"""),"MARIA ARIAS TENA")</f>
        <v>MARIA ARIAS TENA</v>
      </c>
      <c r="K1373" s="6">
        <f ca="1">IFERROR(__xludf.DUMMYFUNCTION("""COMPUTED_VALUE"""),2)</f>
        <v>2</v>
      </c>
      <c r="L1373" s="139">
        <f ca="1">IFERROR(__xludf.DUMMYFUNCTION("""COMPUTED_VALUE"""),2718.18)</f>
        <v>2718.18</v>
      </c>
      <c r="M1373" s="6" t="str">
        <f ca="1">IFERROR(__xludf.DUMMYFUNCTION("""COMPUTED_VALUE"""),"03 ORL")</f>
        <v>03 ORL</v>
      </c>
      <c r="N1373" s="6" t="str">
        <f ca="1">IFERROR(__xludf.DUMMYFUNCTION("""COMPUTED_VALUE"""),"06 ORL")</f>
        <v>06 ORL</v>
      </c>
      <c r="O1373" s="6" t="str">
        <f ca="1">IFERROR(__xludf.DUMMYFUNCTION("""COMPUTED_VALUE"""),"Dr, Vicente Mira Escartí")</f>
        <v>Dr, Vicente Mira Escartí</v>
      </c>
      <c r="P1373" s="6" t="str">
        <f ca="1">IFERROR(__xludf.DUMMYFUNCTION("""COMPUTED_VALUE"""),"Luis Alberto Rodríguez (Andalucía y Badajoz)")</f>
        <v>Luis Alberto Rodríguez (Andalucía y Badajoz)</v>
      </c>
    </row>
    <row r="1374" spans="2:16">
      <c r="B1374" s="6">
        <f ca="1">IFERROR(__xludf.DUMMYFUNCTION("""COMPUTED_VALUE"""),2025)</f>
        <v>2025</v>
      </c>
      <c r="C1374" s="6">
        <f ca="1">IFERROR(__xludf.DUMMYFUNCTION("""COMPUTED_VALUE"""),10)</f>
        <v>10</v>
      </c>
      <c r="D1374" s="6" t="str">
        <f ca="1">IFERROR(__xludf.DUMMYFUNCTION("""COMPUTED_VALUE"""),"NO")</f>
        <v>NO</v>
      </c>
      <c r="E1374" s="6" t="str">
        <f ca="1">IFERROR(__xludf.DUMMYFUNCTION("""COMPUTED_VALUE"""),"Orihuela")</f>
        <v>Orihuela</v>
      </c>
      <c r="F1374" s="16">
        <f ca="1">IFERROR(__xludf.DUMMYFUNCTION("""COMPUTED_VALUE"""),45960)</f>
        <v>45960</v>
      </c>
      <c r="G1374" s="16">
        <f ca="1">IFERROR(__xludf.DUMMYFUNCTION("""COMPUTED_VALUE"""),45932)</f>
        <v>45932</v>
      </c>
      <c r="H1374" s="6" t="str">
        <f ca="1">IFERROR(__xludf.DUMMYFUNCTION("""COMPUTED_VALUE"""),"La Zenia")</f>
        <v>La Zenia</v>
      </c>
      <c r="I1374" s="6" t="str">
        <f ca="1">IFERROR(__xludf.DUMMYFUNCTION("""COMPUTED_VALUE"""),"C2025108175142863")</f>
        <v>C2025108175142863</v>
      </c>
      <c r="J1374" s="6" t="str">
        <f ca="1">IFERROR(__xludf.DUMMYFUNCTION("""COMPUTED_VALUE"""),"JOHAN FREDERIK KLARIS")</f>
        <v>JOHAN FREDERIK KLARIS</v>
      </c>
      <c r="K1374" s="6">
        <f ca="1">IFERROR(__xludf.DUMMYFUNCTION("""COMPUTED_VALUE"""),2)</f>
        <v>2</v>
      </c>
      <c r="L1374" s="139">
        <f ca="1">IFERROR(__xludf.DUMMYFUNCTION("""COMPUTED_VALUE"""),3631.82)</f>
        <v>3631.82</v>
      </c>
      <c r="M1374" s="6" t="str">
        <f ca="1">IFERROR(__xludf.DUMMYFUNCTION("""COMPUTED_VALUE"""),"03 ORL")</f>
        <v>03 ORL</v>
      </c>
      <c r="N1374" s="6" t="str">
        <f ca="1">IFERROR(__xludf.DUMMYFUNCTION("""COMPUTED_VALUE"""),"06 ORL")</f>
        <v>06 ORL</v>
      </c>
      <c r="O1374" s="6" t="str">
        <f ca="1">IFERROR(__xludf.DUMMYFUNCTION("""COMPUTED_VALUE"""),"Dr, Juan Javier Álvarez López")</f>
        <v>Dr, Juan Javier Álvarez López</v>
      </c>
      <c r="P1374" s="6" t="str">
        <f ca="1">IFERROR(__xludf.DUMMYFUNCTION("""COMPUTED_VALUE"""),"Iván Sánchez (Levante Y Albacete)")</f>
        <v>Iván Sánchez (Levante Y Albacete)</v>
      </c>
    </row>
    <row r="1375" spans="2:16">
      <c r="B1375" s="6">
        <f ca="1">IFERROR(__xludf.DUMMYFUNCTION("""COMPUTED_VALUE"""),2025)</f>
        <v>2025</v>
      </c>
      <c r="C1375" s="6">
        <f ca="1">IFERROR(__xludf.DUMMYFUNCTION("""COMPUTED_VALUE"""),10)</f>
        <v>10</v>
      </c>
      <c r="D1375" s="6" t="str">
        <f ca="1">IFERROR(__xludf.DUMMYFUNCTION("""COMPUTED_VALUE"""),"NO")</f>
        <v>NO</v>
      </c>
      <c r="E1375" s="6" t="str">
        <f ca="1">IFERROR(__xludf.DUMMYFUNCTION("""COMPUTED_VALUE"""),"Orihuela")</f>
        <v>Orihuela</v>
      </c>
      <c r="F1375" s="16">
        <f ca="1">IFERROR(__xludf.DUMMYFUNCTION("""COMPUTED_VALUE"""),45960)</f>
        <v>45960</v>
      </c>
      <c r="G1375" s="16">
        <f ca="1">IFERROR(__xludf.DUMMYFUNCTION("""COMPUTED_VALUE"""),45896)</f>
        <v>45896</v>
      </c>
      <c r="H1375" s="6" t="str">
        <f ca="1">IFERROR(__xludf.DUMMYFUNCTION("""COMPUTED_VALUE"""),"La Zenia")</f>
        <v>La Zenia</v>
      </c>
      <c r="I1375" s="6" t="str">
        <f ca="1">IFERROR(__xludf.DUMMYFUNCTION("""COMPUTED_VALUE"""),"C202591213249279")</f>
        <v>C202591213249279</v>
      </c>
      <c r="J1375" s="6" t="str">
        <f ca="1">IFERROR(__xludf.DUMMYFUNCTION("""COMPUTED_VALUE"""),"MARIA MORIANA GUERRERO")</f>
        <v>MARIA MORIANA GUERRERO</v>
      </c>
      <c r="K1375" s="6">
        <f ca="1">IFERROR(__xludf.DUMMYFUNCTION("""COMPUTED_VALUE"""),1)</f>
        <v>1</v>
      </c>
      <c r="L1375" s="139">
        <f ca="1">IFERROR(__xludf.DUMMYFUNCTION("""COMPUTED_VALUE"""),2180.91)</f>
        <v>2180.91</v>
      </c>
      <c r="M1375" s="6" t="str">
        <f ca="1">IFERROR(__xludf.DUMMYFUNCTION("""COMPUTED_VALUE"""),"01 MARKETING ON LINE")</f>
        <v>01 MARKETING ON LINE</v>
      </c>
      <c r="N1375" s="6" t="str">
        <f ca="1">IFERROR(__xludf.DUMMYFUNCTION("""COMPUTED_VALUE"""),"04 AUDIFONO,ES")</f>
        <v>04 AUDIFONO,ES</v>
      </c>
      <c r="O1375" s="6" t="str">
        <f ca="1">IFERROR(__xludf.DUMMYFUNCTION("""COMPUTED_VALUE"""),"Dr, Juan Javier Álvarez López")</f>
        <v>Dr, Juan Javier Álvarez López</v>
      </c>
      <c r="P1375" s="6" t="str">
        <f ca="1">IFERROR(__xludf.DUMMYFUNCTION("""COMPUTED_VALUE"""),"Iván Sánchez (Levante Y Albacete)")</f>
        <v>Iván Sánchez (Levante Y Albacete)</v>
      </c>
    </row>
    <row r="1376" spans="2:16">
      <c r="B1376" s="6">
        <f ca="1">IFERROR(__xludf.DUMMYFUNCTION("""COMPUTED_VALUE"""),2025)</f>
        <v>2025</v>
      </c>
      <c r="C1376" s="6">
        <f ca="1">IFERROR(__xludf.DUMMYFUNCTION("""COMPUTED_VALUE"""),10)</f>
        <v>10</v>
      </c>
      <c r="D1376" s="6" t="str">
        <f ca="1">IFERROR(__xludf.DUMMYFUNCTION("""COMPUTED_VALUE"""),"NO")</f>
        <v>NO</v>
      </c>
      <c r="E1376" s="6" t="str">
        <f ca="1">IFERROR(__xludf.DUMMYFUNCTION("""COMPUTED_VALUE"""),"Lugo")</f>
        <v>Lugo</v>
      </c>
      <c r="F1376" s="16">
        <f ca="1">IFERROR(__xludf.DUMMYFUNCTION("""COMPUTED_VALUE"""),45960)</f>
        <v>45960</v>
      </c>
      <c r="G1376" s="16">
        <f ca="1">IFERROR(__xludf.DUMMYFUNCTION("""COMPUTED_VALUE"""),45931)</f>
        <v>45931</v>
      </c>
      <c r="H1376" s="6" t="str">
        <f ca="1">IFERROR(__xludf.DUMMYFUNCTION("""COMPUTED_VALUE"""),"Lugo")</f>
        <v>Lugo</v>
      </c>
      <c r="I1376" s="6" t="str">
        <f ca="1">IFERROR(__xludf.DUMMYFUNCTION("""COMPUTED_VALUE"""),"C2025107114733713")</f>
        <v>C2025107114733713</v>
      </c>
      <c r="J1376" s="6" t="str">
        <f ca="1">IFERROR(__xludf.DUMMYFUNCTION("""COMPUTED_VALUE"""),"JESUS ANGEL VARELA PENA")</f>
        <v>JESUS ANGEL VARELA PENA</v>
      </c>
      <c r="K1376" s="6">
        <f ca="1">IFERROR(__xludf.DUMMYFUNCTION("""COMPUTED_VALUE"""),2)</f>
        <v>2</v>
      </c>
      <c r="L1376" s="139">
        <f ca="1">IFERROR(__xludf.DUMMYFUNCTION("""COMPUTED_VALUE"""),4136.36)</f>
        <v>4136.3599999999997</v>
      </c>
      <c r="M1376" s="6" t="str">
        <f ca="1">IFERROR(__xludf.DUMMYFUNCTION("""COMPUTED_VALUE"""),"03 ORL")</f>
        <v>03 ORL</v>
      </c>
      <c r="N1376" s="6" t="str">
        <f ca="1">IFERROR(__xludf.DUMMYFUNCTION("""COMPUTED_VALUE"""),"06 ORL")</f>
        <v>06 ORL</v>
      </c>
      <c r="O1376" s="6" t="str">
        <f ca="1">IFERROR(__xludf.DUMMYFUNCTION("""COMPUTED_VALUE"""),"Dr, Pedro Juiz López")</f>
        <v>Dr, Pedro Juiz López</v>
      </c>
      <c r="P1376" s="6" t="str">
        <f ca="1">IFERROR(__xludf.DUMMYFUNCTION("""COMPUTED_VALUE"""),"Roberto Pereira (Galicia)")</f>
        <v>Roberto Pereira (Galicia)</v>
      </c>
    </row>
    <row r="1377" spans="2:16">
      <c r="B1377" s="6">
        <f ca="1">IFERROR(__xludf.DUMMYFUNCTION("""COMPUTED_VALUE"""),2025)</f>
        <v>2025</v>
      </c>
      <c r="C1377" s="6">
        <f ca="1">IFERROR(__xludf.DUMMYFUNCTION("""COMPUTED_VALUE"""),10)</f>
        <v>10</v>
      </c>
      <c r="D1377" s="6" t="str">
        <f ca="1">IFERROR(__xludf.DUMMYFUNCTION("""COMPUTED_VALUE"""),"NO")</f>
        <v>NO</v>
      </c>
      <c r="E1377" s="6" t="str">
        <f ca="1">IFERROR(__xludf.DUMMYFUNCTION("""COMPUTED_VALUE"""),"Jerez de la Frontera")</f>
        <v>Jerez de la Frontera</v>
      </c>
      <c r="F1377" s="16">
        <f ca="1">IFERROR(__xludf.DUMMYFUNCTION("""COMPUTED_VALUE"""),45960)</f>
        <v>45960</v>
      </c>
      <c r="G1377" s="16">
        <f ca="1">IFERROR(__xludf.DUMMYFUNCTION("""COMPUTED_VALUE"""),45896)</f>
        <v>45896</v>
      </c>
      <c r="H1377" s="6" t="str">
        <f ca="1">IFERROR(__xludf.DUMMYFUNCTION("""COMPUTED_VALUE"""),"Jerez")</f>
        <v>Jerez</v>
      </c>
      <c r="I1377" s="6" t="str">
        <f ca="1">IFERROR(__xludf.DUMMYFUNCTION("""COMPUTED_VALUE"""),"C202592115921573")</f>
        <v>C202592115921573</v>
      </c>
      <c r="J1377" s="6" t="str">
        <f ca="1">IFERROR(__xludf.DUMMYFUNCTION("""COMPUTED_VALUE"""),"ANGEL MADROÑAL FERNANDEZ")</f>
        <v>ANGEL MADROÑAL FERNANDEZ</v>
      </c>
      <c r="K1377" s="6">
        <f ca="1">IFERROR(__xludf.DUMMYFUNCTION("""COMPUTED_VALUE"""),2)</f>
        <v>2</v>
      </c>
      <c r="L1377" s="139">
        <f ca="1">IFERROR(__xludf.DUMMYFUNCTION("""COMPUTED_VALUE"""),4136.36)</f>
        <v>4136.3599999999997</v>
      </c>
      <c r="M1377" s="6" t="str">
        <f ca="1">IFERROR(__xludf.DUMMYFUNCTION("""COMPUTED_VALUE"""),"03 ORL")</f>
        <v>03 ORL</v>
      </c>
      <c r="N1377" s="6" t="str">
        <f ca="1">IFERROR(__xludf.DUMMYFUNCTION("""COMPUTED_VALUE"""),"06 ORL")</f>
        <v>06 ORL</v>
      </c>
      <c r="O1377" s="6" t="str">
        <f ca="1">IFERROR(__xludf.DUMMYFUNCTION("""COMPUTED_VALUE"""),"Dr, Vicente Mira Escartí")</f>
        <v>Dr, Vicente Mira Escartí</v>
      </c>
      <c r="P1377" s="6" t="str">
        <f ca="1">IFERROR(__xludf.DUMMYFUNCTION("""COMPUTED_VALUE"""),"Luis Alberto Rodríguez (Andalucía y Badajoz)")</f>
        <v>Luis Alberto Rodríguez (Andalucía y Badajoz)</v>
      </c>
    </row>
    <row r="1378" spans="2:16">
      <c r="B1378" s="6">
        <f ca="1">IFERROR(__xludf.DUMMYFUNCTION("""COMPUTED_VALUE"""),2025)</f>
        <v>2025</v>
      </c>
      <c r="C1378" s="6">
        <f ca="1">IFERROR(__xludf.DUMMYFUNCTION("""COMPUTED_VALUE"""),10)</f>
        <v>10</v>
      </c>
      <c r="D1378" s="6" t="str">
        <f ca="1">IFERROR(__xludf.DUMMYFUNCTION("""COMPUTED_VALUE"""),"NO")</f>
        <v>NO</v>
      </c>
      <c r="E1378" s="6" t="str">
        <f ca="1">IFERROR(__xludf.DUMMYFUNCTION("""COMPUTED_VALUE"""),"Orihuela")</f>
        <v>Orihuela</v>
      </c>
      <c r="F1378" s="16">
        <f ca="1">IFERROR(__xludf.DUMMYFUNCTION("""COMPUTED_VALUE"""),45960)</f>
        <v>45960</v>
      </c>
      <c r="G1378" s="16">
        <f ca="1">IFERROR(__xludf.DUMMYFUNCTION("""COMPUTED_VALUE"""),45944)</f>
        <v>45944</v>
      </c>
      <c r="H1378" s="6" t="str">
        <f ca="1">IFERROR(__xludf.DUMMYFUNCTION("""COMPUTED_VALUE"""),"La Zenia")</f>
        <v>La Zenia</v>
      </c>
      <c r="I1378" s="6" t="str">
        <f ca="1">IFERROR(__xludf.DUMMYFUNCTION("""COMPUTED_VALUE"""),"C202510141410168949")</f>
        <v>C202510141410168949</v>
      </c>
      <c r="J1378" s="6" t="str">
        <f ca="1">IFERROR(__xludf.DUMMYFUNCTION("""COMPUTED_VALUE"""),"MARTHA OSPINA JIMÉNEZ")</f>
        <v>MARTHA OSPINA JIMÉNEZ</v>
      </c>
      <c r="K1378" s="6">
        <f ca="1">IFERROR(__xludf.DUMMYFUNCTION("""COMPUTED_VALUE"""),2)</f>
        <v>2</v>
      </c>
      <c r="L1378" s="139">
        <f ca="1">IFERROR(__xludf.DUMMYFUNCTION("""COMPUTED_VALUE"""),2581.82)</f>
        <v>2581.8200000000002</v>
      </c>
      <c r="M1378" s="6" t="str">
        <f ca="1">IFERROR(__xludf.DUMMYFUNCTION("""COMPUTED_VALUE"""),"03 ORL")</f>
        <v>03 ORL</v>
      </c>
      <c r="N1378" s="6" t="str">
        <f ca="1">IFERROR(__xludf.DUMMYFUNCTION("""COMPUTED_VALUE"""),"06 ORL")</f>
        <v>06 ORL</v>
      </c>
      <c r="O1378" s="6" t="str">
        <f ca="1">IFERROR(__xludf.DUMMYFUNCTION("""COMPUTED_VALUE"""),"Dr, Carlos Velásquez Fermín")</f>
        <v>Dr, Carlos Velásquez Fermín</v>
      </c>
      <c r="P1378" s="6" t="str">
        <f ca="1">IFERROR(__xludf.DUMMYFUNCTION("""COMPUTED_VALUE"""),"Iván Sánchez (Levante Y Albacete)")</f>
        <v>Iván Sánchez (Levante Y Albacete)</v>
      </c>
    </row>
    <row r="1379" spans="2:16">
      <c r="B1379" s="6">
        <f ca="1">IFERROR(__xludf.DUMMYFUNCTION("""COMPUTED_VALUE"""),2025)</f>
        <v>2025</v>
      </c>
      <c r="C1379" s="6">
        <f ca="1">IFERROR(__xludf.DUMMYFUNCTION("""COMPUTED_VALUE"""),10)</f>
        <v>10</v>
      </c>
      <c r="D1379" s="6" t="str">
        <f ca="1">IFERROR(__xludf.DUMMYFUNCTION("""COMPUTED_VALUE"""),"NO")</f>
        <v>NO</v>
      </c>
      <c r="E1379" s="6" t="str">
        <f ca="1">IFERROR(__xludf.DUMMYFUNCTION("""COMPUTED_VALUE"""),"Madrid- La Oca")</f>
        <v>Madrid- La Oca</v>
      </c>
      <c r="F1379" s="16">
        <f ca="1">IFERROR(__xludf.DUMMYFUNCTION("""COMPUTED_VALUE"""),45960)</f>
        <v>45960</v>
      </c>
      <c r="G1379" s="16">
        <f ca="1">IFERROR(__xludf.DUMMYFUNCTION("""COMPUTED_VALUE"""),45929)</f>
        <v>45929</v>
      </c>
      <c r="H1379" s="6" t="str">
        <f ca="1">IFERROR(__xludf.DUMMYFUNCTION("""COMPUTED_VALUE"""),"La Oca")</f>
        <v>La Oca</v>
      </c>
      <c r="I1379" s="6" t="str">
        <f ca="1">IFERROR(__xludf.DUMMYFUNCTION("""COMPUTED_VALUE"""),"C202510217111554")</f>
        <v>C202510217111554</v>
      </c>
      <c r="J1379" s="6" t="str">
        <f ca="1">IFERROR(__xludf.DUMMYFUNCTION("""COMPUTED_VALUE"""),"NIEVES MONEO NIETO")</f>
        <v>NIEVES MONEO NIETO</v>
      </c>
      <c r="K1379" s="6">
        <f ca="1">IFERROR(__xludf.DUMMYFUNCTION("""COMPUTED_VALUE"""),2)</f>
        <v>2</v>
      </c>
      <c r="L1379" s="139">
        <f ca="1">IFERROR(__xludf.DUMMYFUNCTION("""COMPUTED_VALUE"""),3631.82)</f>
        <v>3631.82</v>
      </c>
      <c r="M1379" s="6" t="str">
        <f ca="1">IFERROR(__xludf.DUMMYFUNCTION("""COMPUTED_VALUE"""),"03 ORL")</f>
        <v>03 ORL</v>
      </c>
      <c r="N1379" s="6" t="str">
        <f ca="1">IFERROR(__xludf.DUMMYFUNCTION("""COMPUTED_VALUE"""),"06 ORL")</f>
        <v>06 ORL</v>
      </c>
      <c r="O1379" s="6" t="str">
        <f ca="1">IFERROR(__xludf.DUMMYFUNCTION("""COMPUTED_VALUE"""),"Dr, Félix Rodríguez Paz")</f>
        <v>Dr, Félix Rodríguez Paz</v>
      </c>
      <c r="P1379" s="6" t="str">
        <f ca="1">IFERROR(__xludf.DUMMYFUNCTION("""COMPUTED_VALUE"""),"Maika Blázquez (Madrid)")</f>
        <v>Maika Blázquez (Madrid)</v>
      </c>
    </row>
    <row r="1380" spans="2:16">
      <c r="B1380" s="6">
        <f ca="1">IFERROR(__xludf.DUMMYFUNCTION("""COMPUTED_VALUE"""),2025)</f>
        <v>2025</v>
      </c>
      <c r="C1380" s="6">
        <f ca="1">IFERROR(__xludf.DUMMYFUNCTION("""COMPUTED_VALUE"""),10)</f>
        <v>10</v>
      </c>
      <c r="D1380" s="6" t="str">
        <f ca="1">IFERROR(__xludf.DUMMYFUNCTION("""COMPUTED_VALUE"""),"NO")</f>
        <v>NO</v>
      </c>
      <c r="E1380" s="6" t="str">
        <f ca="1">IFERROR(__xludf.DUMMYFUNCTION("""COMPUTED_VALUE"""),"Ponferrada")</f>
        <v>Ponferrada</v>
      </c>
      <c r="F1380" s="16">
        <f ca="1">IFERROR(__xludf.DUMMYFUNCTION("""COMPUTED_VALUE"""),45961)</f>
        <v>45961</v>
      </c>
      <c r="G1380" s="16">
        <f ca="1">IFERROR(__xludf.DUMMYFUNCTION("""COMPUTED_VALUE"""),45769)</f>
        <v>45769</v>
      </c>
      <c r="H1380" s="6" t="str">
        <f ca="1">IFERROR(__xludf.DUMMYFUNCTION("""COMPUTED_VALUE"""),"Ponferrada")</f>
        <v>Ponferrada</v>
      </c>
      <c r="I1380" s="6" t="str">
        <f ca="1">IFERROR(__xludf.DUMMYFUNCTION("""COMPUTED_VALUE"""),"PON-911")</f>
        <v>PON-911</v>
      </c>
      <c r="J1380" s="6" t="str">
        <f ca="1">IFERROR(__xludf.DUMMYFUNCTION("""COMPUTED_VALUE"""),"JOSEFA GUTIERREZ SANCHEZ")</f>
        <v>JOSEFA GUTIERREZ SANCHEZ</v>
      </c>
      <c r="K1380" s="6">
        <f ca="1">IFERROR(__xludf.DUMMYFUNCTION("""COMPUTED_VALUE"""),2)</f>
        <v>2</v>
      </c>
      <c r="L1380" s="139">
        <f ca="1">IFERROR(__xludf.DUMMYFUNCTION("""COMPUTED_VALUE"""),3181.82)</f>
        <v>3181.82</v>
      </c>
      <c r="M1380" s="6" t="str">
        <f ca="1">IFERROR(__xludf.DUMMYFUNCTION("""COMPUTED_VALUE"""),"03 ORL")</f>
        <v>03 ORL</v>
      </c>
      <c r="N1380" s="6" t="str">
        <f ca="1">IFERROR(__xludf.DUMMYFUNCTION("""COMPUTED_VALUE"""),"06 ORL")</f>
        <v>06 ORL</v>
      </c>
      <c r="O1380" s="6" t="str">
        <f ca="1">IFERROR(__xludf.DUMMYFUNCTION("""COMPUTED_VALUE"""),"Dra, Mónica Granda Rosales")</f>
        <v>Dra, Mónica Granda Rosales</v>
      </c>
      <c r="P1380" s="6" t="str">
        <f ca="1">IFERROR(__xludf.DUMMYFUNCTION("""COMPUTED_VALUE"""),"Alberto Moreno (Madrid)")</f>
        <v>Alberto Moreno (Madrid)</v>
      </c>
    </row>
    <row r="1381" spans="2:16">
      <c r="B1381" s="6">
        <f ca="1">IFERROR(__xludf.DUMMYFUNCTION("""COMPUTED_VALUE"""),2025)</f>
        <v>2025</v>
      </c>
      <c r="C1381" s="6">
        <f ca="1">IFERROR(__xludf.DUMMYFUNCTION("""COMPUTED_VALUE"""),10)</f>
        <v>10</v>
      </c>
      <c r="D1381" s="6" t="str">
        <f ca="1">IFERROR(__xludf.DUMMYFUNCTION("""COMPUTED_VALUE"""),"NO")</f>
        <v>NO</v>
      </c>
      <c r="E1381" s="6" t="str">
        <f ca="1">IFERROR(__xludf.DUMMYFUNCTION("""COMPUTED_VALUE"""),"Murcia")</f>
        <v>Murcia</v>
      </c>
      <c r="F1381" s="16">
        <f ca="1">IFERROR(__xludf.DUMMYFUNCTION("""COMPUTED_VALUE"""),45961)</f>
        <v>45961</v>
      </c>
      <c r="G1381" s="16">
        <f ca="1">IFERROR(__xludf.DUMMYFUNCTION("""COMPUTED_VALUE"""),45922)</f>
        <v>45922</v>
      </c>
      <c r="H1381" s="6" t="str">
        <f ca="1">IFERROR(__xludf.DUMMYFUNCTION("""COMPUTED_VALUE"""),"Murcia")</f>
        <v>Murcia</v>
      </c>
      <c r="I1381" s="6" t="str">
        <f ca="1">IFERROR(__xludf.DUMMYFUNCTION("""COMPUTED_VALUE"""),"C2025930175643116")</f>
        <v>C2025930175643116</v>
      </c>
      <c r="J1381" s="6" t="str">
        <f ca="1">IFERROR(__xludf.DUMMYFUNCTION("""COMPUTED_VALUE"""),"MERCEDES HERNANDEZ BARROSO")</f>
        <v>MERCEDES HERNANDEZ BARROSO</v>
      </c>
      <c r="K1381" s="6">
        <f ca="1">IFERROR(__xludf.DUMMYFUNCTION("""COMPUTED_VALUE"""),1)</f>
        <v>1</v>
      </c>
      <c r="L1381" s="139">
        <f ca="1">IFERROR(__xludf.DUMMYFUNCTION("""COMPUTED_VALUE"""),2180.91)</f>
        <v>2180.91</v>
      </c>
      <c r="M1381" s="6" t="str">
        <f ca="1">IFERROR(__xludf.DUMMYFUNCTION("""COMPUTED_VALUE"""),"03 ORL")</f>
        <v>03 ORL</v>
      </c>
      <c r="N1381" s="6" t="str">
        <f ca="1">IFERROR(__xludf.DUMMYFUNCTION("""COMPUTED_VALUE"""),"06 ORL")</f>
        <v>06 ORL</v>
      </c>
      <c r="O1381" s="6" t="str">
        <f ca="1">IFERROR(__xludf.DUMMYFUNCTION("""COMPUTED_VALUE"""),"Dr, Jesús Miguel Iniesta Turpín")</f>
        <v>Dr, Jesús Miguel Iniesta Turpín</v>
      </c>
      <c r="P1381" s="6" t="str">
        <f ca="1">IFERROR(__xludf.DUMMYFUNCTION("""COMPUTED_VALUE"""),"Iván Sánchez (Levante Y Albacete)")</f>
        <v>Iván Sánchez (Levante Y Albacete)</v>
      </c>
    </row>
    <row r="1382" spans="2:16">
      <c r="B1382" s="6">
        <f ca="1">IFERROR(__xludf.DUMMYFUNCTION("""COMPUTED_VALUE"""),2025)</f>
        <v>2025</v>
      </c>
      <c r="C1382" s="6">
        <f ca="1">IFERROR(__xludf.DUMMYFUNCTION("""COMPUTED_VALUE"""),10)</f>
        <v>10</v>
      </c>
      <c r="D1382" s="6" t="str">
        <f ca="1">IFERROR(__xludf.DUMMYFUNCTION("""COMPUTED_VALUE"""),"NO")</f>
        <v>NO</v>
      </c>
      <c r="E1382" s="6" t="str">
        <f ca="1">IFERROR(__xludf.DUMMYFUNCTION("""COMPUTED_VALUE"""),"Leganés")</f>
        <v>Leganés</v>
      </c>
      <c r="F1382" s="16">
        <f ca="1">IFERROR(__xludf.DUMMYFUNCTION("""COMPUTED_VALUE"""),45961)</f>
        <v>45961</v>
      </c>
      <c r="G1382" s="16">
        <f ca="1">IFERROR(__xludf.DUMMYFUNCTION("""COMPUTED_VALUE"""),45926)</f>
        <v>45926</v>
      </c>
      <c r="H1382" s="6" t="str">
        <f ca="1">IFERROR(__xludf.DUMMYFUNCTION("""COMPUTED_VALUE"""),"Leganés")</f>
        <v>Leganés</v>
      </c>
      <c r="I1382" s="6" t="str">
        <f ca="1">IFERROR(__xludf.DUMMYFUNCTION("""COMPUTED_VALUE"""),"C2025106124831899")</f>
        <v>C2025106124831899</v>
      </c>
      <c r="J1382" s="6" t="str">
        <f ca="1">IFERROR(__xludf.DUMMYFUNCTION("""COMPUTED_VALUE"""),"MARIA JOSE BLANCO BLANCO")</f>
        <v>MARIA JOSE BLANCO BLANCO</v>
      </c>
      <c r="K1382" s="6">
        <f ca="1">IFERROR(__xludf.DUMMYFUNCTION("""COMPUTED_VALUE"""),2)</f>
        <v>2</v>
      </c>
      <c r="L1382" s="139">
        <f ca="1">IFERROR(__xludf.DUMMYFUNCTION("""COMPUTED_VALUE"""),4136.36)</f>
        <v>4136.3599999999997</v>
      </c>
      <c r="M1382" s="6" t="str">
        <f ca="1">IFERROR(__xludf.DUMMYFUNCTION("""COMPUTED_VALUE"""),"03 ORL")</f>
        <v>03 ORL</v>
      </c>
      <c r="N1382" s="6" t="str">
        <f ca="1">IFERROR(__xludf.DUMMYFUNCTION("""COMPUTED_VALUE"""),"06 ORL")</f>
        <v>06 ORL</v>
      </c>
      <c r="O1382" s="6" t="str">
        <f ca="1">IFERROR(__xludf.DUMMYFUNCTION("""COMPUTED_VALUE"""),"Dra, Ana Ruiz Fornells Noreña")</f>
        <v>Dra, Ana Ruiz Fornells Noreña</v>
      </c>
      <c r="P1382" s="6" t="str">
        <f ca="1">IFERROR(__xludf.DUMMYFUNCTION("""COMPUTED_VALUE"""),"Maika Blázquez (Madrid)")</f>
        <v>Maika Blázquez (Madrid)</v>
      </c>
    </row>
    <row r="1383" spans="2:16">
      <c r="B1383" s="6">
        <f ca="1">IFERROR(__xludf.DUMMYFUNCTION("""COMPUTED_VALUE"""),2025)</f>
        <v>2025</v>
      </c>
      <c r="C1383" s="6">
        <f ca="1">IFERROR(__xludf.DUMMYFUNCTION("""COMPUTED_VALUE"""),10)</f>
        <v>10</v>
      </c>
      <c r="D1383" s="6" t="str">
        <f ca="1">IFERROR(__xludf.DUMMYFUNCTION("""COMPUTED_VALUE"""),"NO")</f>
        <v>NO</v>
      </c>
      <c r="E1383" s="6" t="str">
        <f ca="1">IFERROR(__xludf.DUMMYFUNCTION("""COMPUTED_VALUE"""),"Orihuela")</f>
        <v>Orihuela</v>
      </c>
      <c r="F1383" s="16">
        <f ca="1">IFERROR(__xludf.DUMMYFUNCTION("""COMPUTED_VALUE"""),45961)</f>
        <v>45961</v>
      </c>
      <c r="G1383" s="16">
        <f ca="1">IFERROR(__xludf.DUMMYFUNCTION("""COMPUTED_VALUE"""),45944)</f>
        <v>45944</v>
      </c>
      <c r="H1383" s="6" t="str">
        <f ca="1">IFERROR(__xludf.DUMMYFUNCTION("""COMPUTED_VALUE"""),"La Zenia")</f>
        <v>La Zenia</v>
      </c>
      <c r="I1383" s="6" t="str">
        <f ca="1">IFERROR(__xludf.DUMMYFUNCTION("""COMPUTED_VALUE"""),"C202510149101284255")</f>
        <v>C202510149101284255</v>
      </c>
      <c r="J1383" s="6" t="str">
        <f ca="1">IFERROR(__xludf.DUMMYFUNCTION("""COMPUTED_VALUE"""),"JACINTO JIMENEZ GOMEZ")</f>
        <v>JACINTO JIMENEZ GOMEZ</v>
      </c>
      <c r="K1383" s="6">
        <f ca="1">IFERROR(__xludf.DUMMYFUNCTION("""COMPUTED_VALUE"""),2)</f>
        <v>2</v>
      </c>
      <c r="L1383" s="139">
        <f ca="1">IFERROR(__xludf.DUMMYFUNCTION("""COMPUTED_VALUE"""),4136.36)</f>
        <v>4136.3599999999997</v>
      </c>
      <c r="M1383" s="6" t="str">
        <f ca="1">IFERROR(__xludf.DUMMYFUNCTION("""COMPUTED_VALUE"""),"03 ORL")</f>
        <v>03 ORL</v>
      </c>
      <c r="N1383" s="6" t="str">
        <f ca="1">IFERROR(__xludf.DUMMYFUNCTION("""COMPUTED_VALUE"""),"06 ORL")</f>
        <v>06 ORL</v>
      </c>
      <c r="O1383" s="6" t="str">
        <f ca="1">IFERROR(__xludf.DUMMYFUNCTION("""COMPUTED_VALUE"""),"Dr, Carlos Velásquez Fermín")</f>
        <v>Dr, Carlos Velásquez Fermín</v>
      </c>
      <c r="P1383" s="6" t="str">
        <f ca="1">IFERROR(__xludf.DUMMYFUNCTION("""COMPUTED_VALUE"""),"Iván Sánchez (Levante Y Albacete)")</f>
        <v>Iván Sánchez (Levante Y Albacete)</v>
      </c>
    </row>
    <row r="1384" spans="2:16">
      <c r="B1384" s="6">
        <f ca="1">IFERROR(__xludf.DUMMYFUNCTION("""COMPUTED_VALUE"""),2025)</f>
        <v>2025</v>
      </c>
      <c r="C1384" s="6">
        <f ca="1">IFERROR(__xludf.DUMMYFUNCTION("""COMPUTED_VALUE"""),10)</f>
        <v>10</v>
      </c>
      <c r="D1384" s="6" t="str">
        <f ca="1">IFERROR(__xludf.DUMMYFUNCTION("""COMPUTED_VALUE"""),"NO")</f>
        <v>NO</v>
      </c>
      <c r="E1384" s="6" t="str">
        <f ca="1">IFERROR(__xludf.DUMMYFUNCTION("""COMPUTED_VALUE"""),"Toledo")</f>
        <v>Toledo</v>
      </c>
      <c r="F1384" s="16">
        <f ca="1">IFERROR(__xludf.DUMMYFUNCTION("""COMPUTED_VALUE"""),45961)</f>
        <v>45961</v>
      </c>
      <c r="G1384" s="16">
        <f ca="1">IFERROR(__xludf.DUMMYFUNCTION("""COMPUTED_VALUE"""),45930)</f>
        <v>45930</v>
      </c>
      <c r="H1384" s="6" t="str">
        <f ca="1">IFERROR(__xludf.DUMMYFUNCTION("""COMPUTED_VALUE"""),"Toledo")</f>
        <v>Toledo</v>
      </c>
      <c r="I1384" s="6" t="str">
        <f ca="1">IFERROR(__xludf.DUMMYFUNCTION("""COMPUTED_VALUE"""),"C20259301395798")</f>
        <v>C20259301395798</v>
      </c>
      <c r="J1384" s="6" t="str">
        <f ca="1">IFERROR(__xludf.DUMMYFUNCTION("""COMPUTED_VALUE"""),"Secundino Álvaro Moreno")</f>
        <v>Secundino Álvaro Moreno</v>
      </c>
      <c r="K1384" s="6">
        <f ca="1">IFERROR(__xludf.DUMMYFUNCTION("""COMPUTED_VALUE"""),2)</f>
        <v>2</v>
      </c>
      <c r="L1384" s="139">
        <f ca="1">IFERROR(__xludf.DUMMYFUNCTION("""COMPUTED_VALUE"""),2718.18)</f>
        <v>2718.18</v>
      </c>
      <c r="M1384" s="6" t="str">
        <f ca="1">IFERROR(__xludf.DUMMYFUNCTION("""COMPUTED_VALUE"""),"03 ORL")</f>
        <v>03 ORL</v>
      </c>
      <c r="N1384" s="6" t="str">
        <f ca="1">IFERROR(__xludf.DUMMYFUNCTION("""COMPUTED_VALUE"""),"06 ORL")</f>
        <v>06 ORL</v>
      </c>
      <c r="O1384" s="6" t="str">
        <f ca="1">IFERROR(__xludf.DUMMYFUNCTION("""COMPUTED_VALUE"""),"Dra, María Garrote Garrote")</f>
        <v>Dra, María Garrote Garrote</v>
      </c>
      <c r="P1384" s="6" t="str">
        <f ca="1">IFERROR(__xludf.DUMMYFUNCTION("""COMPUTED_VALUE"""),"Maika Blázquez (Madrid)")</f>
        <v>Maika Blázquez (Madrid)</v>
      </c>
    </row>
    <row r="1385" spans="2:16">
      <c r="B1385" s="6">
        <f ca="1">IFERROR(__xludf.DUMMYFUNCTION("""COMPUTED_VALUE"""),2025)</f>
        <v>2025</v>
      </c>
      <c r="C1385" s="6">
        <f ca="1">IFERROR(__xludf.DUMMYFUNCTION("""COMPUTED_VALUE"""),10)</f>
        <v>10</v>
      </c>
      <c r="D1385" s="6" t="str">
        <f ca="1">IFERROR(__xludf.DUMMYFUNCTION("""COMPUTED_VALUE"""),"NO")</f>
        <v>NO</v>
      </c>
      <c r="E1385" s="6" t="str">
        <f ca="1">IFERROR(__xludf.DUMMYFUNCTION("""COMPUTED_VALUE"""),"Sevilla- Montoto")</f>
        <v>Sevilla- Montoto</v>
      </c>
      <c r="F1385" s="16">
        <f ca="1">IFERROR(__xludf.DUMMYFUNCTION("""COMPUTED_VALUE"""),45961)</f>
        <v>45961</v>
      </c>
      <c r="G1385" s="16">
        <f ca="1">IFERROR(__xludf.DUMMYFUNCTION("""COMPUTED_VALUE"""),45929)</f>
        <v>45929</v>
      </c>
      <c r="H1385" s="6" t="str">
        <f ca="1">IFERROR(__xludf.DUMMYFUNCTION("""COMPUTED_VALUE"""),"Montoto")</f>
        <v>Montoto</v>
      </c>
      <c r="I1385" s="6" t="str">
        <f ca="1">IFERROR(__xludf.DUMMYFUNCTION("""COMPUTED_VALUE"""),"C2025102105317309")</f>
        <v>C2025102105317309</v>
      </c>
      <c r="J1385" s="6" t="str">
        <f ca="1">IFERROR(__xludf.DUMMYFUNCTION("""COMPUTED_VALUE"""),"ASUNTA DE LOS ANGELES REINA PEREZ")</f>
        <v>ASUNTA DE LOS ANGELES REINA PEREZ</v>
      </c>
      <c r="K1385" s="6">
        <f ca="1">IFERROR(__xludf.DUMMYFUNCTION("""COMPUTED_VALUE"""),2)</f>
        <v>2</v>
      </c>
      <c r="L1385" s="139">
        <f ca="1">IFERROR(__xludf.DUMMYFUNCTION("""COMPUTED_VALUE"""),3631.82)</f>
        <v>3631.82</v>
      </c>
      <c r="M1385" s="6" t="str">
        <f ca="1">IFERROR(__xludf.DUMMYFUNCTION("""COMPUTED_VALUE"""),"03 ORL")</f>
        <v>03 ORL</v>
      </c>
      <c r="N1385" s="6" t="str">
        <f ca="1">IFERROR(__xludf.DUMMYFUNCTION("""COMPUTED_VALUE"""),"06 ORL")</f>
        <v>06 ORL</v>
      </c>
      <c r="O1385" s="6" t="str">
        <f ca="1">IFERROR(__xludf.DUMMYFUNCTION("""COMPUTED_VALUE"""),"Dr, Miguel Alberto Rodríguez Pérez")</f>
        <v>Dr, Miguel Alberto Rodríguez Pérez</v>
      </c>
      <c r="P1385" s="6" t="str">
        <f ca="1">IFERROR(__xludf.DUMMYFUNCTION("""COMPUTED_VALUE"""),"Luis Alberto Rodríguez (Andalucía y Badajoz)")</f>
        <v>Luis Alberto Rodríguez (Andalucía y Badajoz)</v>
      </c>
    </row>
    <row r="1386" spans="2:16">
      <c r="B1386" s="6">
        <f ca="1">IFERROR(__xludf.DUMMYFUNCTION("""COMPUTED_VALUE"""),2025)</f>
        <v>2025</v>
      </c>
      <c r="C1386" s="6">
        <f ca="1">IFERROR(__xludf.DUMMYFUNCTION("""COMPUTED_VALUE"""),10)</f>
        <v>10</v>
      </c>
      <c r="D1386" s="6" t="str">
        <f ca="1">IFERROR(__xludf.DUMMYFUNCTION("""COMPUTED_VALUE"""),"NO")</f>
        <v>NO</v>
      </c>
      <c r="E1386" s="6" t="str">
        <f ca="1">IFERROR(__xludf.DUMMYFUNCTION("""COMPUTED_VALUE"""),"Madrid- Monforte de Lemos")</f>
        <v>Madrid- Monforte de Lemos</v>
      </c>
      <c r="F1386" s="16">
        <f ca="1">IFERROR(__xludf.DUMMYFUNCTION("""COMPUTED_VALUE"""),45961)</f>
        <v>45961</v>
      </c>
      <c r="G1386" s="16">
        <f ca="1">IFERROR(__xludf.DUMMYFUNCTION("""COMPUTED_VALUE"""),45832)</f>
        <v>45832</v>
      </c>
      <c r="H1386" s="6" t="str">
        <f ca="1">IFERROR(__xludf.DUMMYFUNCTION("""COMPUTED_VALUE"""),"La Vaguada")</f>
        <v>La Vaguada</v>
      </c>
      <c r="I1386" s="6" t="str">
        <f ca="1">IFERROR(__xludf.DUMMYFUNCTION("""COMPUTED_VALUE"""),"C2025624182020941")</f>
        <v>C2025624182020941</v>
      </c>
      <c r="J1386" s="6" t="str">
        <f ca="1">IFERROR(__xludf.DUMMYFUNCTION("""COMPUTED_VALUE"""),"JOSE PELAEZ CABEZAS")</f>
        <v>JOSE PELAEZ CABEZAS</v>
      </c>
      <c r="K1386" s="6">
        <f ca="1">IFERROR(__xludf.DUMMYFUNCTION("""COMPUTED_VALUE"""),2)</f>
        <v>2</v>
      </c>
      <c r="L1386" s="139">
        <f ca="1">IFERROR(__xludf.DUMMYFUNCTION("""COMPUTED_VALUE"""),3631.82)</f>
        <v>3631.82</v>
      </c>
      <c r="M1386" s="6" t="str">
        <f ca="1">IFERROR(__xludf.DUMMYFUNCTION("""COMPUTED_VALUE"""),"03 ORL")</f>
        <v>03 ORL</v>
      </c>
      <c r="N1386" s="6" t="str">
        <f ca="1">IFERROR(__xludf.DUMMYFUNCTION("""COMPUTED_VALUE"""),"06 ORL")</f>
        <v>06 ORL</v>
      </c>
      <c r="O1386" s="6" t="str">
        <f ca="1">IFERROR(__xludf.DUMMYFUNCTION("""COMPUTED_VALUE"""),"Dr, José Manuel Morales Puebla")</f>
        <v>Dr, José Manuel Morales Puebla</v>
      </c>
      <c r="P1386" s="6" t="str">
        <f ca="1">IFERROR(__xludf.DUMMYFUNCTION("""COMPUTED_VALUE"""),"Lisandro Russian (Madrid, Cáceres, Toledo, Talavera Y Logroño)")</f>
        <v>Lisandro Russian (Madrid, Cáceres, Toledo, Talavera Y Logroño)</v>
      </c>
    </row>
    <row r="1387" spans="2:16">
      <c r="B1387" s="6">
        <f ca="1">IFERROR(__xludf.DUMMYFUNCTION("""COMPUTED_VALUE"""),2025)</f>
        <v>2025</v>
      </c>
      <c r="C1387" s="6">
        <f ca="1">IFERROR(__xludf.DUMMYFUNCTION("""COMPUTED_VALUE"""),10)</f>
        <v>10</v>
      </c>
      <c r="D1387" s="6" t="str">
        <f ca="1">IFERROR(__xludf.DUMMYFUNCTION("""COMPUTED_VALUE"""),"NO")</f>
        <v>NO</v>
      </c>
      <c r="E1387" s="6" t="str">
        <f ca="1">IFERROR(__xludf.DUMMYFUNCTION("""COMPUTED_VALUE"""),"Valencia- Parra")</f>
        <v>Valencia- Parra</v>
      </c>
      <c r="F1387" s="16">
        <f ca="1">IFERROR(__xludf.DUMMYFUNCTION("""COMPUTED_VALUE"""),45961)</f>
        <v>45961</v>
      </c>
      <c r="G1387" s="16">
        <f ca="1">IFERROR(__xludf.DUMMYFUNCTION("""COMPUTED_VALUE"""),45924)</f>
        <v>45924</v>
      </c>
      <c r="H1387" s="6" t="str">
        <f ca="1">IFERROR(__xludf.DUMMYFUNCTION("""COMPUTED_VALUE"""),"Valencia- Parra")</f>
        <v>Valencia- Parra</v>
      </c>
      <c r="I1387" s="6" t="str">
        <f ca="1">IFERROR(__xludf.DUMMYFUNCTION("""COMPUTED_VALUE"""),"C2025924135530812")</f>
        <v>C2025924135530812</v>
      </c>
      <c r="J1387" s="6" t="str">
        <f ca="1">IFERROR(__xludf.DUMMYFUNCTION("""COMPUTED_VALUE"""),"MARIA DOLORS CAPDEVILA CULLELL")</f>
        <v>MARIA DOLORS CAPDEVILA CULLELL</v>
      </c>
      <c r="K1387" s="6">
        <f ca="1">IFERROR(__xludf.DUMMYFUNCTION("""COMPUTED_VALUE"""),2)</f>
        <v>2</v>
      </c>
      <c r="L1387" s="139">
        <f ca="1">IFERROR(__xludf.DUMMYFUNCTION("""COMPUTED_VALUE"""),2718.18)</f>
        <v>2718.18</v>
      </c>
      <c r="M1387" s="6" t="str">
        <f ca="1">IFERROR(__xludf.DUMMYFUNCTION("""COMPUTED_VALUE"""),"03 ORL")</f>
        <v>03 ORL</v>
      </c>
      <c r="N1387" s="6" t="str">
        <f ca="1">IFERROR(__xludf.DUMMYFUNCTION("""COMPUTED_VALUE"""),"06 ORL")</f>
        <v>06 ORL</v>
      </c>
      <c r="O1387" s="6" t="str">
        <f ca="1">IFERROR(__xludf.DUMMYFUNCTION("""COMPUTED_VALUE"""),"No recuerda ORL")</f>
        <v>No recuerda ORL</v>
      </c>
      <c r="P1387" s="6" t="str">
        <f ca="1">IFERROR(__xludf.DUMMYFUNCTION("""COMPUTED_VALUE"""),"Ramon Ferrando(Valencia)")</f>
        <v>Ramon Ferrando(Valencia)</v>
      </c>
    </row>
    <row r="1388" spans="2:16">
      <c r="B1388" s="6">
        <f ca="1">IFERROR(__xludf.DUMMYFUNCTION("""COMPUTED_VALUE"""),2025)</f>
        <v>2025</v>
      </c>
      <c r="C1388" s="6">
        <f ca="1">IFERROR(__xludf.DUMMYFUNCTION("""COMPUTED_VALUE"""),10)</f>
        <v>10</v>
      </c>
      <c r="D1388" s="6" t="str">
        <f ca="1">IFERROR(__xludf.DUMMYFUNCTION("""COMPUTED_VALUE"""),"NO")</f>
        <v>NO</v>
      </c>
      <c r="E1388" s="6" t="str">
        <f ca="1">IFERROR(__xludf.DUMMYFUNCTION("""COMPUTED_VALUE"""),"Madrid- Juan Bravo")</f>
        <v>Madrid- Juan Bravo</v>
      </c>
      <c r="F1388" s="16">
        <f ca="1">IFERROR(__xludf.DUMMYFUNCTION("""COMPUTED_VALUE"""),45961)</f>
        <v>45961</v>
      </c>
      <c r="G1388" s="16">
        <f ca="1">IFERROR(__xludf.DUMMYFUNCTION("""COMPUTED_VALUE"""),45924)</f>
        <v>45924</v>
      </c>
      <c r="H1388" s="6" t="str">
        <f ca="1">IFERROR(__xludf.DUMMYFUNCTION("""COMPUTED_VALUE"""),"Juan Bravo")</f>
        <v>Juan Bravo</v>
      </c>
      <c r="I1388" s="6" t="str">
        <f ca="1">IFERROR(__xludf.DUMMYFUNCTION("""COMPUTED_VALUE"""),"C202592911277510")</f>
        <v>C202592911277510</v>
      </c>
      <c r="J1388" s="6" t="str">
        <f ca="1">IFERROR(__xludf.DUMMYFUNCTION("""COMPUTED_VALUE"""),"MARIA CARMEN MARTIN PRECIADOS")</f>
        <v>MARIA CARMEN MARTIN PRECIADOS</v>
      </c>
      <c r="K1388" s="6">
        <f ca="1">IFERROR(__xludf.DUMMYFUNCTION("""COMPUTED_VALUE"""),2)</f>
        <v>2</v>
      </c>
      <c r="L1388" s="139">
        <f ca="1">IFERROR(__xludf.DUMMYFUNCTION("""COMPUTED_VALUE"""),2718.18)</f>
        <v>2718.18</v>
      </c>
      <c r="M1388" s="6" t="str">
        <f ca="1">IFERROR(__xludf.DUMMYFUNCTION("""COMPUTED_VALUE"""),"03 ORL")</f>
        <v>03 ORL</v>
      </c>
      <c r="N1388" s="6" t="str">
        <f ca="1">IFERROR(__xludf.DUMMYFUNCTION("""COMPUTED_VALUE"""),"06 ORL")</f>
        <v>06 ORL</v>
      </c>
      <c r="O1388" s="6" t="str">
        <f ca="1">IFERROR(__xludf.DUMMYFUNCTION("""COMPUTED_VALUE"""),"Dr, Carlos Barajas del Rosal")</f>
        <v>Dr, Carlos Barajas del Rosal</v>
      </c>
      <c r="P1388" s="6" t="str">
        <f ca="1">IFERROR(__xludf.DUMMYFUNCTION("""COMPUTED_VALUE"""),"Lisandro Russian (Madrid, Cáceres, Toledo, Talavera Y Logroño)")</f>
        <v>Lisandro Russian (Madrid, Cáceres, Toledo, Talavera Y Logroño)</v>
      </c>
    </row>
    <row r="1389" spans="2:16">
      <c r="B1389" s="6">
        <f ca="1">IFERROR(__xludf.DUMMYFUNCTION("""COMPUTED_VALUE"""),2025)</f>
        <v>2025</v>
      </c>
      <c r="C1389" s="6">
        <f ca="1">IFERROR(__xludf.DUMMYFUNCTION("""COMPUTED_VALUE"""),10)</f>
        <v>10</v>
      </c>
      <c r="D1389" s="6" t="str">
        <f ca="1">IFERROR(__xludf.DUMMYFUNCTION("""COMPUTED_VALUE"""),"NO")</f>
        <v>NO</v>
      </c>
      <c r="E1389" s="6" t="str">
        <f ca="1">IFERROR(__xludf.DUMMYFUNCTION("""COMPUTED_VALUE"""),"Torrejón de Ardoz")</f>
        <v>Torrejón de Ardoz</v>
      </c>
      <c r="F1389" s="16">
        <f ca="1">IFERROR(__xludf.DUMMYFUNCTION("""COMPUTED_VALUE"""),45961)</f>
        <v>45961</v>
      </c>
      <c r="G1389" s="16">
        <f ca="1">IFERROR(__xludf.DUMMYFUNCTION("""COMPUTED_VALUE"""),45936)</f>
        <v>45936</v>
      </c>
      <c r="H1389" s="6" t="str">
        <f ca="1">IFERROR(__xludf.DUMMYFUNCTION("""COMPUTED_VALUE"""),"Torrejón")</f>
        <v>Torrejón</v>
      </c>
      <c r="I1389" s="6" t="str">
        <f ca="1">IFERROR(__xludf.DUMMYFUNCTION("""COMPUTED_VALUE"""),"C202510716931656")</f>
        <v>C202510716931656</v>
      </c>
      <c r="J1389" s="6" t="str">
        <f ca="1">IFERROR(__xludf.DUMMYFUNCTION("""COMPUTED_VALUE"""),"JOSE DOMINGO MARTINEZ RUIZ")</f>
        <v>JOSE DOMINGO MARTINEZ RUIZ</v>
      </c>
      <c r="K1389" s="6">
        <f ca="1">IFERROR(__xludf.DUMMYFUNCTION("""COMPUTED_VALUE"""),2)</f>
        <v>2</v>
      </c>
      <c r="L1389" s="139">
        <f ca="1">IFERROR(__xludf.DUMMYFUNCTION("""COMPUTED_VALUE"""),2718.18)</f>
        <v>2718.18</v>
      </c>
      <c r="M1389" s="6" t="str">
        <f ca="1">IFERROR(__xludf.DUMMYFUNCTION("""COMPUTED_VALUE"""),"03 ORL")</f>
        <v>03 ORL</v>
      </c>
      <c r="N1389" s="6" t="str">
        <f ca="1">IFERROR(__xludf.DUMMYFUNCTION("""COMPUTED_VALUE"""),"06 ORL")</f>
        <v>06 ORL</v>
      </c>
      <c r="O1389" s="6" t="str">
        <f ca="1">IFERROR(__xludf.DUMMYFUNCTION("""COMPUTED_VALUE"""),"Dra, María Garrote Garrote")</f>
        <v>Dra, María Garrote Garrote</v>
      </c>
      <c r="P1389" s="6" t="str">
        <f ca="1">IFERROR(__xludf.DUMMYFUNCTION("""COMPUTED_VALUE"""),"Maika Blázquez (Madrid)")</f>
        <v>Maika Blázquez (Madrid)</v>
      </c>
    </row>
    <row r="1390" spans="2:16">
      <c r="B1390" s="6">
        <f ca="1">IFERROR(__xludf.DUMMYFUNCTION("""COMPUTED_VALUE"""),2025)</f>
        <v>2025</v>
      </c>
      <c r="C1390" s="6">
        <f ca="1">IFERROR(__xludf.DUMMYFUNCTION("""COMPUTED_VALUE"""),10)</f>
        <v>10</v>
      </c>
      <c r="D1390" s="6" t="str">
        <f ca="1">IFERROR(__xludf.DUMMYFUNCTION("""COMPUTED_VALUE"""),"NO")</f>
        <v>NO</v>
      </c>
      <c r="E1390" s="6" t="str">
        <f ca="1">IFERROR(__xludf.DUMMYFUNCTION("""COMPUTED_VALUE"""),"Madrid- Costa Rica")</f>
        <v>Madrid- Costa Rica</v>
      </c>
      <c r="F1390" s="16">
        <f ca="1">IFERROR(__xludf.DUMMYFUNCTION("""COMPUTED_VALUE"""),45961)</f>
        <v>45961</v>
      </c>
      <c r="G1390" s="16">
        <f ca="1">IFERROR(__xludf.DUMMYFUNCTION("""COMPUTED_VALUE"""),45932)</f>
        <v>45932</v>
      </c>
      <c r="H1390" s="6" t="str">
        <f ca="1">IFERROR(__xludf.DUMMYFUNCTION("""COMPUTED_VALUE"""),"Costa Rica")</f>
        <v>Costa Rica</v>
      </c>
      <c r="I1390" s="6" t="str">
        <f ca="1">IFERROR(__xludf.DUMMYFUNCTION("""COMPUTED_VALUE"""),"C2025107115520153")</f>
        <v>C2025107115520153</v>
      </c>
      <c r="J1390" s="6" t="str">
        <f ca="1">IFERROR(__xludf.DUMMYFUNCTION("""COMPUTED_VALUE"""),"CARMEN GARCIA CASELAS [JESUS SAINZ GARCIA ]")</f>
        <v>CARMEN GARCIA CASELAS [JESUS SAINZ GARCIA ]</v>
      </c>
      <c r="K1390" s="6">
        <f ca="1">IFERROR(__xludf.DUMMYFUNCTION("""COMPUTED_VALUE"""),2)</f>
        <v>2</v>
      </c>
      <c r="L1390" s="139">
        <f ca="1">IFERROR(__xludf.DUMMYFUNCTION("""COMPUTED_VALUE"""),3631.82)</f>
        <v>3631.82</v>
      </c>
      <c r="M1390" s="6" t="str">
        <f ca="1">IFERROR(__xludf.DUMMYFUNCTION("""COMPUTED_VALUE"""),"03 ORL")</f>
        <v>03 ORL</v>
      </c>
      <c r="N1390" s="6" t="str">
        <f ca="1">IFERROR(__xludf.DUMMYFUNCTION("""COMPUTED_VALUE"""),"06 ORL")</f>
        <v>06 ORL</v>
      </c>
      <c r="O1390" s="6" t="str">
        <f ca="1">IFERROR(__xludf.DUMMYFUNCTION("""COMPUTED_VALUE"""),"Dra, María Cecilia Scola Torres")</f>
        <v>Dra, María Cecilia Scola Torres</v>
      </c>
      <c r="P1390" s="6" t="str">
        <f ca="1">IFERROR(__xludf.DUMMYFUNCTION("""COMPUTED_VALUE"""),"Maika Blázquez (Madrid)")</f>
        <v>Maika Blázquez (Madrid)</v>
      </c>
    </row>
    <row r="1391" spans="2:16">
      <c r="B1391" s="6">
        <f ca="1">IFERROR(__xludf.DUMMYFUNCTION("""COMPUTED_VALUE"""),2025)</f>
        <v>2025</v>
      </c>
      <c r="C1391" s="6">
        <f ca="1">IFERROR(__xludf.DUMMYFUNCTION("""COMPUTED_VALUE"""),10)</f>
        <v>10</v>
      </c>
      <c r="D1391" s="6" t="str">
        <f ca="1">IFERROR(__xludf.DUMMYFUNCTION("""COMPUTED_VALUE"""),"NO")</f>
        <v>NO</v>
      </c>
      <c r="E1391" s="6" t="str">
        <f ca="1">IFERROR(__xludf.DUMMYFUNCTION("""COMPUTED_VALUE"""),"Madrid- Canillas")</f>
        <v>Madrid- Canillas</v>
      </c>
      <c r="F1391" s="16">
        <f ca="1">IFERROR(__xludf.DUMMYFUNCTION("""COMPUTED_VALUE"""),45961)</f>
        <v>45961</v>
      </c>
      <c r="G1391" s="16">
        <f ca="1">IFERROR(__xludf.DUMMYFUNCTION("""COMPUTED_VALUE"""),45938)</f>
        <v>45938</v>
      </c>
      <c r="H1391" s="6" t="str">
        <f ca="1">IFERROR(__xludf.DUMMYFUNCTION("""COMPUTED_VALUE"""),"Canillas")</f>
        <v>Canillas</v>
      </c>
      <c r="I1391" s="6" t="str">
        <f ca="1">IFERROR(__xludf.DUMMYFUNCTION("""COMPUTED_VALUE"""),"C2025101518319286")</f>
        <v>C2025101518319286</v>
      </c>
      <c r="J1391" s="6" t="str">
        <f ca="1">IFERROR(__xludf.DUMMYFUNCTION("""COMPUTED_VALUE"""),"LELIA RAMONA VELEA")</f>
        <v>LELIA RAMONA VELEA</v>
      </c>
      <c r="K1391" s="6">
        <f ca="1">IFERROR(__xludf.DUMMYFUNCTION("""COMPUTED_VALUE"""),2)</f>
        <v>2</v>
      </c>
      <c r="L1391" s="139">
        <f ca="1">IFERROR(__xludf.DUMMYFUNCTION("""COMPUTED_VALUE"""),2718.27)</f>
        <v>2718.27</v>
      </c>
      <c r="M1391" s="6" t="str">
        <f ca="1">IFERROR(__xludf.DUMMYFUNCTION("""COMPUTED_VALUE"""),"03 ORL")</f>
        <v>03 ORL</v>
      </c>
      <c r="N1391" s="6" t="str">
        <f ca="1">IFERROR(__xludf.DUMMYFUNCTION("""COMPUTED_VALUE"""),"06 ORL")</f>
        <v>06 ORL</v>
      </c>
      <c r="O1391" s="6" t="str">
        <f ca="1">IFERROR(__xludf.DUMMYFUNCTION("""COMPUTED_VALUE"""),"Dra, Manuela Calderón Sánchez")</f>
        <v>Dra, Manuela Calderón Sánchez</v>
      </c>
      <c r="P1391" s="6" t="str">
        <f ca="1">IFERROR(__xludf.DUMMYFUNCTION("""COMPUTED_VALUE"""),"Maika Blázquez (Madrid)")</f>
        <v>Maika Blázquez (Madrid)</v>
      </c>
    </row>
    <row r="1392" spans="2:16">
      <c r="B1392" s="6">
        <f ca="1">IFERROR(__xludf.DUMMYFUNCTION("""COMPUTED_VALUE"""),2025)</f>
        <v>2025</v>
      </c>
      <c r="C1392" s="6">
        <f ca="1">IFERROR(__xludf.DUMMYFUNCTION("""COMPUTED_VALUE"""),10)</f>
        <v>10</v>
      </c>
      <c r="D1392" s="6" t="str">
        <f ca="1">IFERROR(__xludf.DUMMYFUNCTION("""COMPUTED_VALUE"""),"NO")</f>
        <v>NO</v>
      </c>
      <c r="E1392" s="6" t="str">
        <f ca="1">IFERROR(__xludf.DUMMYFUNCTION("""COMPUTED_VALUE"""),"Móstoles")</f>
        <v>Móstoles</v>
      </c>
      <c r="F1392" s="16">
        <f ca="1">IFERROR(__xludf.DUMMYFUNCTION("""COMPUTED_VALUE"""),45961)</f>
        <v>45961</v>
      </c>
      <c r="G1392" s="16">
        <f ca="1">IFERROR(__xludf.DUMMYFUNCTION("""COMPUTED_VALUE"""),45925)</f>
        <v>45925</v>
      </c>
      <c r="H1392" s="6" t="str">
        <f ca="1">IFERROR(__xludf.DUMMYFUNCTION("""COMPUTED_VALUE"""),"Móstoles")</f>
        <v>Móstoles</v>
      </c>
      <c r="I1392" s="6" t="str">
        <f ca="1">IFERROR(__xludf.DUMMYFUNCTION("""COMPUTED_VALUE"""),"C2025102172122903")</f>
        <v>C2025102172122903</v>
      </c>
      <c r="J1392" s="6" t="str">
        <f ca="1">IFERROR(__xludf.DUMMYFUNCTION("""COMPUTED_VALUE"""),"ISABEL SANCHEZ PALOMINO")</f>
        <v>ISABEL SANCHEZ PALOMINO</v>
      </c>
      <c r="K1392" s="6">
        <f ca="1">IFERROR(__xludf.DUMMYFUNCTION("""COMPUTED_VALUE"""),1)</f>
        <v>1</v>
      </c>
      <c r="L1392" s="139">
        <f ca="1">IFERROR(__xludf.DUMMYFUNCTION("""COMPUTED_VALUE"""),2481.82)</f>
        <v>2481.8200000000002</v>
      </c>
      <c r="M1392" s="6" t="str">
        <f ca="1">IFERROR(__xludf.DUMMYFUNCTION("""COMPUTED_VALUE"""),"03 ORL")</f>
        <v>03 ORL</v>
      </c>
      <c r="N1392" s="6" t="str">
        <f ca="1">IFERROR(__xludf.DUMMYFUNCTION("""COMPUTED_VALUE"""),"06 ORL")</f>
        <v>06 ORL</v>
      </c>
      <c r="O1392" s="6" t="str">
        <f ca="1">IFERROR(__xludf.DUMMYFUNCTION("""COMPUTED_VALUE"""),"No recuerda ORL")</f>
        <v>No recuerda ORL</v>
      </c>
      <c r="P1392" s="6" t="str">
        <f ca="1">IFERROR(__xludf.DUMMYFUNCTION("""COMPUTED_VALUE"""),"Maika Blázquez (Madrid)")</f>
        <v>Maika Blázquez (Madrid)</v>
      </c>
    </row>
    <row r="1393" spans="2:16">
      <c r="B1393" s="6">
        <f ca="1">IFERROR(__xludf.DUMMYFUNCTION("""COMPUTED_VALUE"""),2025)</f>
        <v>2025</v>
      </c>
      <c r="C1393" s="6">
        <f ca="1">IFERROR(__xludf.DUMMYFUNCTION("""COMPUTED_VALUE"""),10)</f>
        <v>10</v>
      </c>
      <c r="D1393" s="6" t="str">
        <f ca="1">IFERROR(__xludf.DUMMYFUNCTION("""COMPUTED_VALUE"""),"NO")</f>
        <v>NO</v>
      </c>
      <c r="E1393" s="6" t="str">
        <f ca="1">IFERROR(__xludf.DUMMYFUNCTION("""COMPUTED_VALUE"""),"Murcia")</f>
        <v>Murcia</v>
      </c>
      <c r="F1393" s="16">
        <f ca="1">IFERROR(__xludf.DUMMYFUNCTION("""COMPUTED_VALUE"""),45961)</f>
        <v>45961</v>
      </c>
      <c r="G1393" s="16">
        <f ca="1">IFERROR(__xludf.DUMMYFUNCTION("""COMPUTED_VALUE"""),45919)</f>
        <v>45919</v>
      </c>
      <c r="H1393" s="6" t="str">
        <f ca="1">IFERROR(__xludf.DUMMYFUNCTION("""COMPUTED_VALUE"""),"Murcia")</f>
        <v>Murcia</v>
      </c>
      <c r="I1393" s="6" t="str">
        <f ca="1">IFERROR(__xludf.DUMMYFUNCTION("""COMPUTED_VALUE"""),"C202592518556702")</f>
        <v>C202592518556702</v>
      </c>
      <c r="J1393" s="6" t="str">
        <f ca="1">IFERROR(__xludf.DUMMYFUNCTION("""COMPUTED_VALUE"""),"ANA MARIA SANTIAGO FERNANDEZ")</f>
        <v>ANA MARIA SANTIAGO FERNANDEZ</v>
      </c>
      <c r="K1393" s="6">
        <f ca="1">IFERROR(__xludf.DUMMYFUNCTION("""COMPUTED_VALUE"""),2)</f>
        <v>2</v>
      </c>
      <c r="L1393" s="139">
        <f ca="1">IFERROR(__xludf.DUMMYFUNCTION("""COMPUTED_VALUE"""),2718.18)</f>
        <v>2718.18</v>
      </c>
      <c r="M1393" s="6" t="str">
        <f ca="1">IFERROR(__xludf.DUMMYFUNCTION("""COMPUTED_VALUE"""),"03 ORL")</f>
        <v>03 ORL</v>
      </c>
      <c r="N1393" s="6" t="str">
        <f ca="1">IFERROR(__xludf.DUMMYFUNCTION("""COMPUTED_VALUE"""),"06 ORL")</f>
        <v>06 ORL</v>
      </c>
      <c r="O1393" s="6" t="str">
        <f ca="1">IFERROR(__xludf.DUMMYFUNCTION("""COMPUTED_VALUE"""),"No recuerda ORL")</f>
        <v>No recuerda ORL</v>
      </c>
      <c r="P1393" s="6" t="str">
        <f ca="1">IFERROR(__xludf.DUMMYFUNCTION("""COMPUTED_VALUE"""),"Iván Sánchez (Levante Y Albacete)")</f>
        <v>Iván Sánchez (Levante Y Albacete)</v>
      </c>
    </row>
    <row r="1394" spans="2:16">
      <c r="B1394" s="6">
        <f ca="1">IFERROR(__xludf.DUMMYFUNCTION("""COMPUTED_VALUE"""),2025)</f>
        <v>2025</v>
      </c>
      <c r="C1394" s="6">
        <f ca="1">IFERROR(__xludf.DUMMYFUNCTION("""COMPUTED_VALUE"""),10)</f>
        <v>10</v>
      </c>
      <c r="D1394" s="6" t="str">
        <f ca="1">IFERROR(__xludf.DUMMYFUNCTION("""COMPUTED_VALUE"""),"NO")</f>
        <v>NO</v>
      </c>
      <c r="E1394" s="6" t="str">
        <f ca="1">IFERROR(__xludf.DUMMYFUNCTION("""COMPUTED_VALUE"""),"Murcia")</f>
        <v>Murcia</v>
      </c>
      <c r="F1394" s="16">
        <f ca="1">IFERROR(__xludf.DUMMYFUNCTION("""COMPUTED_VALUE"""),45961)</f>
        <v>45961</v>
      </c>
      <c r="G1394" s="16">
        <f ca="1">IFERROR(__xludf.DUMMYFUNCTION("""COMPUTED_VALUE"""),45923)</f>
        <v>45923</v>
      </c>
      <c r="H1394" s="6" t="str">
        <f ca="1">IFERROR(__xludf.DUMMYFUNCTION("""COMPUTED_VALUE"""),"Murcia")</f>
        <v>Murcia</v>
      </c>
      <c r="I1394" s="6" t="str">
        <f ca="1">IFERROR(__xludf.DUMMYFUNCTION("""COMPUTED_VALUE"""),"C202592694846329")</f>
        <v>C202592694846329</v>
      </c>
      <c r="J1394" s="6" t="str">
        <f ca="1">IFERROR(__xludf.DUMMYFUNCTION("""COMPUTED_VALUE"""),"ILDEFONSO PALENCIA ABELLAN")</f>
        <v>ILDEFONSO PALENCIA ABELLAN</v>
      </c>
      <c r="K1394" s="6">
        <f ca="1">IFERROR(__xludf.DUMMYFUNCTION("""COMPUTED_VALUE"""),2)</f>
        <v>2</v>
      </c>
      <c r="L1394" s="139">
        <f ca="1">IFERROR(__xludf.DUMMYFUNCTION("""COMPUTED_VALUE"""),3450)</f>
        <v>3450</v>
      </c>
      <c r="M1394" s="6" t="str">
        <f ca="1">IFERROR(__xludf.DUMMYFUNCTION("""COMPUTED_VALUE"""),"03 ORL")</f>
        <v>03 ORL</v>
      </c>
      <c r="N1394" s="6" t="str">
        <f ca="1">IFERROR(__xludf.DUMMYFUNCTION("""COMPUTED_VALUE"""),"06 ORL")</f>
        <v>06 ORL</v>
      </c>
      <c r="O1394" s="6" t="str">
        <f ca="1">IFERROR(__xludf.DUMMYFUNCTION("""COMPUTED_VALUE"""),"Dra, María Agustina Sevilla García")</f>
        <v>Dra, María Agustina Sevilla García</v>
      </c>
      <c r="P1394" s="6" t="str">
        <f ca="1">IFERROR(__xludf.DUMMYFUNCTION("""COMPUTED_VALUE"""),"Iván Sánchez (Levante Y Albacete)")</f>
        <v>Iván Sánchez (Levante Y Albacete)</v>
      </c>
    </row>
    <row r="1395" spans="2:16">
      <c r="B1395" s="6">
        <f ca="1">IFERROR(__xludf.DUMMYFUNCTION("""COMPUTED_VALUE"""),2025)</f>
        <v>2025</v>
      </c>
      <c r="C1395" s="6">
        <f ca="1">IFERROR(__xludf.DUMMYFUNCTION("""COMPUTED_VALUE"""),11)</f>
        <v>11</v>
      </c>
      <c r="D1395" s="6" t="str">
        <f ca="1">IFERROR(__xludf.DUMMYFUNCTION("""COMPUTED_VALUE"""),"NO")</f>
        <v>NO</v>
      </c>
      <c r="E1395" s="6" t="str">
        <f ca="1">IFERROR(__xludf.DUMMYFUNCTION("""COMPUTED_VALUE"""),"Badajoz")</f>
        <v>Badajoz</v>
      </c>
      <c r="F1395" s="16">
        <f ca="1">IFERROR(__xludf.DUMMYFUNCTION("""COMPUTED_VALUE"""),45964)</f>
        <v>45964</v>
      </c>
      <c r="G1395" s="16">
        <f ca="1">IFERROR(__xludf.DUMMYFUNCTION("""COMPUTED_VALUE"""),45544)</f>
        <v>45544</v>
      </c>
      <c r="H1395" s="6" t="str">
        <f ca="1">IFERROR(__xludf.DUMMYFUNCTION("""COMPUTED_VALUE"""),"Badajoz")</f>
        <v>Badajoz</v>
      </c>
      <c r="I1395" s="6" t="str">
        <f ca="1">IFERROR(__xludf.DUMMYFUNCTION("""COMPUTED_VALUE"""),"BJZE-2401")</f>
        <v>BJZE-2401</v>
      </c>
      <c r="J1395" s="6" t="str">
        <f ca="1">IFERROR(__xludf.DUMMYFUNCTION("""COMPUTED_VALUE"""),"JOSE CORCHADO DOMINGUEZ")</f>
        <v>JOSE CORCHADO DOMINGUEZ</v>
      </c>
      <c r="K1395" s="6">
        <f ca="1">IFERROR(__xludf.DUMMYFUNCTION("""COMPUTED_VALUE"""),2)</f>
        <v>2</v>
      </c>
      <c r="L1395" s="139">
        <f ca="1">IFERROR(__xludf.DUMMYFUNCTION("""COMPUTED_VALUE"""),4318.18)</f>
        <v>4318.18</v>
      </c>
      <c r="M1395" s="6" t="str">
        <f ca="1">IFERROR(__xludf.DUMMYFUNCTION("""COMPUTED_VALUE"""),"03 ORL")</f>
        <v>03 ORL</v>
      </c>
      <c r="N1395" s="6" t="str">
        <f ca="1">IFERROR(__xludf.DUMMYFUNCTION("""COMPUTED_VALUE"""),"06 ORL")</f>
        <v>06 ORL</v>
      </c>
      <c r="O1395" s="6" t="str">
        <f ca="1">IFERROR(__xludf.DUMMYFUNCTION("""COMPUTED_VALUE"""),"Dr, Isidoro Rubio Correa")</f>
        <v>Dr, Isidoro Rubio Correa</v>
      </c>
      <c r="P1395" s="6" t="str">
        <f ca="1">IFERROR(__xludf.DUMMYFUNCTION("""COMPUTED_VALUE"""),"Luis Alberto Rodríguez (Andalucía Y Badajoz)")</f>
        <v>Luis Alberto Rodríguez (Andalucía Y Badajoz)</v>
      </c>
    </row>
    <row r="1396" spans="2:16">
      <c r="B1396" s="6">
        <f ca="1">IFERROR(__xludf.DUMMYFUNCTION("""COMPUTED_VALUE"""),2025)</f>
        <v>2025</v>
      </c>
      <c r="C1396" s="6">
        <f ca="1">IFERROR(__xludf.DUMMYFUNCTION("""COMPUTED_VALUE"""),11)</f>
        <v>11</v>
      </c>
      <c r="D1396" s="6" t="str">
        <f ca="1">IFERROR(__xludf.DUMMYFUNCTION("""COMPUTED_VALUE"""),"NO")</f>
        <v>NO</v>
      </c>
      <c r="E1396" s="6" t="str">
        <f ca="1">IFERROR(__xludf.DUMMYFUNCTION("""COMPUTED_VALUE"""),"Badajoz")</f>
        <v>Badajoz</v>
      </c>
      <c r="F1396" s="16">
        <f ca="1">IFERROR(__xludf.DUMMYFUNCTION("""COMPUTED_VALUE"""),45964)</f>
        <v>45964</v>
      </c>
      <c r="G1396" s="16">
        <f ca="1">IFERROR(__xludf.DUMMYFUNCTION("""COMPUTED_VALUE"""),45925)</f>
        <v>45925</v>
      </c>
      <c r="H1396" s="6" t="str">
        <f ca="1">IFERROR(__xludf.DUMMYFUNCTION("""COMPUTED_VALUE"""),"Badajoz")</f>
        <v>Badajoz</v>
      </c>
      <c r="I1396" s="6" t="str">
        <f ca="1">IFERROR(__xludf.DUMMYFUNCTION("""COMPUTED_VALUE"""),"BJZE-2529")</f>
        <v>BJZE-2529</v>
      </c>
      <c r="J1396" s="6" t="str">
        <f ca="1">IFERROR(__xludf.DUMMYFUNCTION("""COMPUTED_VALUE"""),"ANA FERNANDEZ NAHARRO")</f>
        <v>ANA FERNANDEZ NAHARRO</v>
      </c>
      <c r="K1396" s="6">
        <f ca="1">IFERROR(__xludf.DUMMYFUNCTION("""COMPUTED_VALUE"""),2)</f>
        <v>2</v>
      </c>
      <c r="L1396" s="139">
        <f ca="1">IFERROR(__xludf.DUMMYFUNCTION("""COMPUTED_VALUE"""),3181.82)</f>
        <v>3181.82</v>
      </c>
      <c r="M1396" s="6" t="str">
        <f ca="1">IFERROR(__xludf.DUMMYFUNCTION("""COMPUTED_VALUE"""),"03 ORL")</f>
        <v>03 ORL</v>
      </c>
      <c r="N1396" s="6" t="str">
        <f ca="1">IFERROR(__xludf.DUMMYFUNCTION("""COMPUTED_VALUE"""),"06 ORL")</f>
        <v>06 ORL</v>
      </c>
      <c r="O1396" s="6" t="str">
        <f ca="1">IFERROR(__xludf.DUMMYFUNCTION("""COMPUTED_VALUE"""),"Dr, Isidoro Rubio Correa")</f>
        <v>Dr, Isidoro Rubio Correa</v>
      </c>
      <c r="P1396" s="6" t="str">
        <f ca="1">IFERROR(__xludf.DUMMYFUNCTION("""COMPUTED_VALUE"""),"Luis Alberto Rodríguez (Andalucía Y Badajoz)")</f>
        <v>Luis Alberto Rodríguez (Andalucía Y Badajoz)</v>
      </c>
    </row>
    <row r="1397" spans="2:16">
      <c r="B1397" s="6">
        <f ca="1">IFERROR(__xludf.DUMMYFUNCTION("""COMPUTED_VALUE"""),2025)</f>
        <v>2025</v>
      </c>
      <c r="C1397" s="6">
        <f ca="1">IFERROR(__xludf.DUMMYFUNCTION("""COMPUTED_VALUE"""),11)</f>
        <v>11</v>
      </c>
      <c r="D1397" s="6" t="str">
        <f ca="1">IFERROR(__xludf.DUMMYFUNCTION("""COMPUTED_VALUE"""),"NO")</f>
        <v>NO</v>
      </c>
      <c r="E1397" s="6" t="str">
        <f ca="1">IFERROR(__xludf.DUMMYFUNCTION("""COMPUTED_VALUE"""),"León")</f>
        <v>León</v>
      </c>
      <c r="F1397" s="16">
        <f ca="1">IFERROR(__xludf.DUMMYFUNCTION("""COMPUTED_VALUE"""),45964)</f>
        <v>45964</v>
      </c>
      <c r="G1397" s="16">
        <f ca="1">IFERROR(__xludf.DUMMYFUNCTION("""COMPUTED_VALUE"""),45939)</f>
        <v>45939</v>
      </c>
      <c r="H1397" s="6" t="str">
        <f ca="1">IFERROR(__xludf.DUMMYFUNCTION("""COMPUTED_VALUE"""),"León")</f>
        <v>León</v>
      </c>
      <c r="I1397" s="6" t="str">
        <f ca="1">IFERROR(__xludf.DUMMYFUNCTION("""COMPUTED_VALUE"""),"LEO-553")</f>
        <v>LEO-553</v>
      </c>
      <c r="J1397" s="6" t="str">
        <f ca="1">IFERROR(__xludf.DUMMYFUNCTION("""COMPUTED_VALUE"""),"VICENTA FRESNO ALVAREZ")</f>
        <v>VICENTA FRESNO ALVAREZ</v>
      </c>
      <c r="K1397" s="6">
        <f ca="1">IFERROR(__xludf.DUMMYFUNCTION("""COMPUTED_VALUE"""),2)</f>
        <v>2</v>
      </c>
      <c r="L1397" s="139">
        <f ca="1">IFERROR(__xludf.DUMMYFUNCTION("""COMPUTED_VALUE"""),4255.33)</f>
        <v>4255.33</v>
      </c>
      <c r="M1397" s="6" t="str">
        <f ca="1">IFERROR(__xludf.DUMMYFUNCTION("""COMPUTED_VALUE"""),"03 ORL")</f>
        <v>03 ORL</v>
      </c>
      <c r="N1397" s="6" t="str">
        <f ca="1">IFERROR(__xludf.DUMMYFUNCTION("""COMPUTED_VALUE"""),"06 ORL")</f>
        <v>06 ORL</v>
      </c>
      <c r="O1397" s="6" t="str">
        <f ca="1">IFERROR(__xludf.DUMMYFUNCTION("""COMPUTED_VALUE"""),"Dra, Carmen Fernández-Cedrón Bermejo")</f>
        <v>Dra, Carmen Fernández-Cedrón Bermejo</v>
      </c>
      <c r="P1397" s="6" t="str">
        <f ca="1">IFERROR(__xludf.DUMMYFUNCTION("""COMPUTED_VALUE"""),"Alberto Moreno (Madrid)")</f>
        <v>Alberto Moreno (Madrid)</v>
      </c>
    </row>
    <row r="1398" spans="2:16">
      <c r="B1398" s="6">
        <f ca="1">IFERROR(__xludf.DUMMYFUNCTION("""COMPUTED_VALUE"""),2025)</f>
        <v>2025</v>
      </c>
      <c r="C1398" s="6">
        <f ca="1">IFERROR(__xludf.DUMMYFUNCTION("""COMPUTED_VALUE"""),11)</f>
        <v>11</v>
      </c>
      <c r="D1398" s="6" t="str">
        <f ca="1">IFERROR(__xludf.DUMMYFUNCTION("""COMPUTED_VALUE"""),"NO")</f>
        <v>NO</v>
      </c>
      <c r="E1398" s="6" t="str">
        <f ca="1">IFERROR(__xludf.DUMMYFUNCTION("""COMPUTED_VALUE"""),"Barcelona- Fabra i Puig")</f>
        <v>Barcelona- Fabra i Puig</v>
      </c>
      <c r="F1398" s="16">
        <f ca="1">IFERROR(__xludf.DUMMYFUNCTION("""COMPUTED_VALUE"""),45964)</f>
        <v>45964</v>
      </c>
      <c r="G1398" s="16">
        <f ca="1">IFERROR(__xludf.DUMMYFUNCTION("""COMPUTED_VALUE"""),45866)</f>
        <v>45866</v>
      </c>
      <c r="H1398" s="6" t="str">
        <f ca="1">IFERROR(__xludf.DUMMYFUNCTION("""COMPUTED_VALUE"""),"Fabra")</f>
        <v>Fabra</v>
      </c>
      <c r="I1398" s="6" t="str">
        <f ca="1">IFERROR(__xludf.DUMMYFUNCTION("""COMPUTED_VALUE"""),"C2025731172833667")</f>
        <v>C2025731172833667</v>
      </c>
      <c r="J1398" s="6" t="str">
        <f ca="1">IFERROR(__xludf.DUMMYFUNCTION("""COMPUTED_VALUE"""),"Sebastia Vives Mas")</f>
        <v>Sebastia Vives Mas</v>
      </c>
      <c r="K1398" s="6">
        <f ca="1">IFERROR(__xludf.DUMMYFUNCTION("""COMPUTED_VALUE"""),2)</f>
        <v>2</v>
      </c>
      <c r="L1398" s="139">
        <f ca="1">IFERROR(__xludf.DUMMYFUNCTION("""COMPUTED_VALUE"""),4536.36)</f>
        <v>4536.3599999999997</v>
      </c>
      <c r="M1398" s="6" t="str">
        <f ca="1">IFERROR(__xludf.DUMMYFUNCTION("""COMPUTED_VALUE"""),"03 ORL")</f>
        <v>03 ORL</v>
      </c>
      <c r="N1398" s="6" t="str">
        <f ca="1">IFERROR(__xludf.DUMMYFUNCTION("""COMPUTED_VALUE"""),"06 ORL")</f>
        <v>06 ORL</v>
      </c>
      <c r="O1398" s="6" t="str">
        <f ca="1">IFERROR(__xludf.DUMMYFUNCTION("""COMPUTED_VALUE"""),"Dr, Darío Agudelo García")</f>
        <v>Dr, Darío Agudelo García</v>
      </c>
      <c r="P1398" s="6" t="str">
        <f ca="1">IFERROR(__xludf.DUMMYFUNCTION("""COMPUTED_VALUE"""),"Mercè Cabrera (Cataluña Y Baleares)")</f>
        <v>Mercè Cabrera (Cataluña Y Baleares)</v>
      </c>
    </row>
    <row r="1399" spans="2:16">
      <c r="B1399" s="6">
        <f ca="1">IFERROR(__xludf.DUMMYFUNCTION("""COMPUTED_VALUE"""),2025)</f>
        <v>2025</v>
      </c>
      <c r="C1399" s="6">
        <f ca="1">IFERROR(__xludf.DUMMYFUNCTION("""COMPUTED_VALUE"""),11)</f>
        <v>11</v>
      </c>
      <c r="D1399" s="6" t="str">
        <f ca="1">IFERROR(__xludf.DUMMYFUNCTION("""COMPUTED_VALUE"""),"NO")</f>
        <v>NO</v>
      </c>
      <c r="E1399" s="6" t="str">
        <f ca="1">IFERROR(__xludf.DUMMYFUNCTION("""COMPUTED_VALUE"""),"Madrid- Juan Bravo")</f>
        <v>Madrid- Juan Bravo</v>
      </c>
      <c r="F1399" s="16">
        <f ca="1">IFERROR(__xludf.DUMMYFUNCTION("""COMPUTED_VALUE"""),45964)</f>
        <v>45964</v>
      </c>
      <c r="G1399" s="16">
        <f ca="1">IFERROR(__xludf.DUMMYFUNCTION("""COMPUTED_VALUE"""),45924)</f>
        <v>45924</v>
      </c>
      <c r="H1399" s="6" t="str">
        <f ca="1">IFERROR(__xludf.DUMMYFUNCTION("""COMPUTED_VALUE"""),"Juan Bravo")</f>
        <v>Juan Bravo</v>
      </c>
      <c r="I1399" s="6" t="str">
        <f ca="1">IFERROR(__xludf.DUMMYFUNCTION("""COMPUTED_VALUE"""),"C2025930155910191")</f>
        <v>C2025930155910191</v>
      </c>
      <c r="J1399" s="6" t="str">
        <f ca="1">IFERROR(__xludf.DUMMYFUNCTION("""COMPUTED_VALUE"""),"CARIDAD ALCALA BERLANGA")</f>
        <v>CARIDAD ALCALA BERLANGA</v>
      </c>
      <c r="K1399" s="6">
        <f ca="1">IFERROR(__xludf.DUMMYFUNCTION("""COMPUTED_VALUE"""),2)</f>
        <v>2</v>
      </c>
      <c r="L1399" s="139">
        <f ca="1">IFERROR(__xludf.DUMMYFUNCTION("""COMPUTED_VALUE"""),2718.18)</f>
        <v>2718.18</v>
      </c>
      <c r="M1399" s="6" t="str">
        <f ca="1">IFERROR(__xludf.DUMMYFUNCTION("""COMPUTED_VALUE"""),"03 ORL")</f>
        <v>03 ORL</v>
      </c>
      <c r="N1399" s="6" t="str">
        <f ca="1">IFERROR(__xludf.DUMMYFUNCTION("""COMPUTED_VALUE"""),"06 ORL")</f>
        <v>06 ORL</v>
      </c>
      <c r="O1399" s="6" t="str">
        <f ca="1">IFERROR(__xludf.DUMMYFUNCTION("""COMPUTED_VALUE"""),"Dra, Karla Natali Montaño Rueda")</f>
        <v>Dra, Karla Natali Montaño Rueda</v>
      </c>
      <c r="P1399" s="6" t="str">
        <f ca="1">IFERROR(__xludf.DUMMYFUNCTION("""COMPUTED_VALUE"""),"Maika Blázquez (Madrid)")</f>
        <v>Maika Blázquez (Madrid)</v>
      </c>
    </row>
    <row r="1400" spans="2:16">
      <c r="B1400" s="6">
        <f ca="1">IFERROR(__xludf.DUMMYFUNCTION("""COMPUTED_VALUE"""),2025)</f>
        <v>2025</v>
      </c>
      <c r="C1400" s="6">
        <f ca="1">IFERROR(__xludf.DUMMYFUNCTION("""COMPUTED_VALUE"""),11)</f>
        <v>11</v>
      </c>
      <c r="D1400" s="6" t="str">
        <f ca="1">IFERROR(__xludf.DUMMYFUNCTION("""COMPUTED_VALUE"""),"NO")</f>
        <v>NO</v>
      </c>
      <c r="E1400" s="6" t="str">
        <f ca="1">IFERROR(__xludf.DUMMYFUNCTION("""COMPUTED_VALUE"""),"Alcorcón")</f>
        <v>Alcorcón</v>
      </c>
      <c r="F1400" s="16">
        <f ca="1">IFERROR(__xludf.DUMMYFUNCTION("""COMPUTED_VALUE"""),45964)</f>
        <v>45964</v>
      </c>
      <c r="G1400" s="16">
        <f ca="1">IFERROR(__xludf.DUMMYFUNCTION("""COMPUTED_VALUE"""),45938)</f>
        <v>45938</v>
      </c>
      <c r="H1400" s="6" t="str">
        <f ca="1">IFERROR(__xludf.DUMMYFUNCTION("""COMPUTED_VALUE"""),"Alcorcón")</f>
        <v>Alcorcón</v>
      </c>
      <c r="I1400" s="6" t="str">
        <f ca="1">IFERROR(__xludf.DUMMYFUNCTION("""COMPUTED_VALUE"""),"C20251010155528467")</f>
        <v>C20251010155528467</v>
      </c>
      <c r="J1400" s="6" t="str">
        <f ca="1">IFERROR(__xludf.DUMMYFUNCTION("""COMPUTED_VALUE"""),"ANTONIA ALVAREZ MATUTE")</f>
        <v>ANTONIA ALVAREZ MATUTE</v>
      </c>
      <c r="K1400" s="6">
        <f ca="1">IFERROR(__xludf.DUMMYFUNCTION("""COMPUTED_VALUE"""),2)</f>
        <v>2</v>
      </c>
      <c r="L1400" s="139">
        <f ca="1">IFERROR(__xludf.DUMMYFUNCTION("""COMPUTED_VALUE"""),2582.27)</f>
        <v>2582.27</v>
      </c>
      <c r="M1400" s="6" t="str">
        <f ca="1">IFERROR(__xludf.DUMMYFUNCTION("""COMPUTED_VALUE"""),"03 ORL")</f>
        <v>03 ORL</v>
      </c>
      <c r="N1400" s="6" t="str">
        <f ca="1">IFERROR(__xludf.DUMMYFUNCTION("""COMPUTED_VALUE"""),"06 ORL")</f>
        <v>06 ORL</v>
      </c>
      <c r="O1400" s="6" t="str">
        <f ca="1">IFERROR(__xludf.DUMMYFUNCTION("""COMPUTED_VALUE"""),"Dra, María Sol Marcos Salazar")</f>
        <v>Dra, María Sol Marcos Salazar</v>
      </c>
      <c r="P1400" s="6" t="str">
        <f ca="1">IFERROR(__xludf.DUMMYFUNCTION("""COMPUTED_VALUE"""),"Lisandro Russian (Madrid, Cáceres, Toledo, Talavera Y Logroño)")</f>
        <v>Lisandro Russian (Madrid, Cáceres, Toledo, Talavera Y Logroño)</v>
      </c>
    </row>
    <row r="1401" spans="2:16">
      <c r="B1401" s="6">
        <f ca="1">IFERROR(__xludf.DUMMYFUNCTION("""COMPUTED_VALUE"""),2025)</f>
        <v>2025</v>
      </c>
      <c r="C1401" s="6">
        <f ca="1">IFERROR(__xludf.DUMMYFUNCTION("""COMPUTED_VALUE"""),11)</f>
        <v>11</v>
      </c>
      <c r="D1401" s="6" t="str">
        <f ca="1">IFERROR(__xludf.DUMMYFUNCTION("""COMPUTED_VALUE"""),"NO")</f>
        <v>NO</v>
      </c>
      <c r="E1401" s="6" t="str">
        <f ca="1">IFERROR(__xludf.DUMMYFUNCTION("""COMPUTED_VALUE"""),"Talavera")</f>
        <v>Talavera</v>
      </c>
      <c r="F1401" s="16">
        <f ca="1">IFERROR(__xludf.DUMMYFUNCTION("""COMPUTED_VALUE"""),45964)</f>
        <v>45964</v>
      </c>
      <c r="G1401" s="16">
        <f ca="1">IFERROR(__xludf.DUMMYFUNCTION("""COMPUTED_VALUE"""),45943)</f>
        <v>45943</v>
      </c>
      <c r="H1401" s="6" t="str">
        <f ca="1">IFERROR(__xludf.DUMMYFUNCTION("""COMPUTED_VALUE"""),"Talavera")</f>
        <v>Talavera</v>
      </c>
      <c r="I1401" s="6" t="str">
        <f ca="1">IFERROR(__xludf.DUMMYFUNCTION("""COMPUTED_VALUE"""),"C202510131540317444")</f>
        <v>C202510131540317444</v>
      </c>
      <c r="J1401" s="6" t="str">
        <f ca="1">IFERROR(__xludf.DUMMYFUNCTION("""COMPUTED_VALUE"""),"RICARDO UDAQUIOLA FITTIPALDI")</f>
        <v>RICARDO UDAQUIOLA FITTIPALDI</v>
      </c>
      <c r="K1401" s="6">
        <f ca="1">IFERROR(__xludf.DUMMYFUNCTION("""COMPUTED_VALUE"""),2)</f>
        <v>2</v>
      </c>
      <c r="L1401" s="139">
        <f ca="1">IFERROR(__xludf.DUMMYFUNCTION("""COMPUTED_VALUE"""),3086.82)</f>
        <v>3086.82</v>
      </c>
      <c r="M1401" s="6" t="str">
        <f ca="1">IFERROR(__xludf.DUMMYFUNCTION("""COMPUTED_VALUE"""),"03 ORL")</f>
        <v>03 ORL</v>
      </c>
      <c r="N1401" s="6" t="str">
        <f ca="1">IFERROR(__xludf.DUMMYFUNCTION("""COMPUTED_VALUE"""),"06 ORL")</f>
        <v>06 ORL</v>
      </c>
      <c r="O1401" s="6" t="str">
        <f ca="1">IFERROR(__xludf.DUMMYFUNCTION("""COMPUTED_VALUE"""),"Dr, Carlos Félix Asensio Nieto")</f>
        <v>Dr, Carlos Félix Asensio Nieto</v>
      </c>
      <c r="P1401" s="6" t="str">
        <f ca="1">IFERROR(__xludf.DUMMYFUNCTION("""COMPUTED_VALUE"""),"Lisandro Russian (Madrid, Cáceres, Toledo, Talavera Y Logroño)")</f>
        <v>Lisandro Russian (Madrid, Cáceres, Toledo, Talavera Y Logroño)</v>
      </c>
    </row>
    <row r="1402" spans="2:16">
      <c r="B1402" s="6">
        <f ca="1">IFERROR(__xludf.DUMMYFUNCTION("""COMPUTED_VALUE"""),2025)</f>
        <v>2025</v>
      </c>
      <c r="C1402" s="6">
        <f ca="1">IFERROR(__xludf.DUMMYFUNCTION("""COMPUTED_VALUE"""),11)</f>
        <v>11</v>
      </c>
      <c r="D1402" s="6" t="str">
        <f ca="1">IFERROR(__xludf.DUMMYFUNCTION("""COMPUTED_VALUE"""),"NO")</f>
        <v>NO</v>
      </c>
      <c r="E1402" s="6" t="str">
        <f ca="1">IFERROR(__xludf.DUMMYFUNCTION("""COMPUTED_VALUE"""),"Sevilla- Montoto")</f>
        <v>Sevilla- Montoto</v>
      </c>
      <c r="F1402" s="16">
        <f ca="1">IFERROR(__xludf.DUMMYFUNCTION("""COMPUTED_VALUE"""),45964)</f>
        <v>45964</v>
      </c>
      <c r="G1402" s="16">
        <f ca="1">IFERROR(__xludf.DUMMYFUNCTION("""COMPUTED_VALUE"""),45944)</f>
        <v>45944</v>
      </c>
      <c r="H1402" s="6" t="str">
        <f ca="1">IFERROR(__xludf.DUMMYFUNCTION("""COMPUTED_VALUE"""),"Montoto")</f>
        <v>Montoto</v>
      </c>
      <c r="I1402" s="6" t="str">
        <f ca="1">IFERROR(__xludf.DUMMYFUNCTION("""COMPUTED_VALUE"""),"C202510141014400608")</f>
        <v>C202510141014400608</v>
      </c>
      <c r="J1402" s="6" t="str">
        <f ca="1">IFERROR(__xludf.DUMMYFUNCTION("""COMPUTED_VALUE"""),"FRANCISCA MARTIN VICENTE")</f>
        <v>FRANCISCA MARTIN VICENTE</v>
      </c>
      <c r="K1402" s="6">
        <f ca="1">IFERROR(__xludf.DUMMYFUNCTION("""COMPUTED_VALUE"""),2)</f>
        <v>2</v>
      </c>
      <c r="L1402" s="139">
        <f ca="1">IFERROR(__xludf.DUMMYFUNCTION("""COMPUTED_VALUE"""),2718.18)</f>
        <v>2718.18</v>
      </c>
      <c r="M1402" s="6" t="str">
        <f ca="1">IFERROR(__xludf.DUMMYFUNCTION("""COMPUTED_VALUE"""),"03 ORL")</f>
        <v>03 ORL</v>
      </c>
      <c r="N1402" s="6" t="str">
        <f ca="1">IFERROR(__xludf.DUMMYFUNCTION("""COMPUTED_VALUE"""),"06 ORL")</f>
        <v>06 ORL</v>
      </c>
      <c r="O1402" s="6" t="str">
        <f ca="1">IFERROR(__xludf.DUMMYFUNCTION("""COMPUTED_VALUE"""),"Dr, Gustavo Benavente Bermudo")</f>
        <v>Dr, Gustavo Benavente Bermudo</v>
      </c>
      <c r="P1402" s="6" t="str">
        <f ca="1">IFERROR(__xludf.DUMMYFUNCTION("""COMPUTED_VALUE"""),"Luis Alberto Rodríguez (Andalucía y Badajoz)")</f>
        <v>Luis Alberto Rodríguez (Andalucía y Badajoz)</v>
      </c>
    </row>
    <row r="1403" spans="2:16">
      <c r="B1403" s="6">
        <f ca="1">IFERROR(__xludf.DUMMYFUNCTION("""COMPUTED_VALUE"""),2025)</f>
        <v>2025</v>
      </c>
      <c r="C1403" s="6">
        <f ca="1">IFERROR(__xludf.DUMMYFUNCTION("""COMPUTED_VALUE"""),11)</f>
        <v>11</v>
      </c>
      <c r="D1403" s="6" t="str">
        <f ca="1">IFERROR(__xludf.DUMMYFUNCTION("""COMPUTED_VALUE"""),"NO")</f>
        <v>NO</v>
      </c>
      <c r="E1403" s="6" t="str">
        <f ca="1">IFERROR(__xludf.DUMMYFUNCTION("""COMPUTED_VALUE"""),"Madrid- La Oca")</f>
        <v>Madrid- La Oca</v>
      </c>
      <c r="F1403" s="16">
        <f ca="1">IFERROR(__xludf.DUMMYFUNCTION("""COMPUTED_VALUE"""),45964)</f>
        <v>45964</v>
      </c>
      <c r="G1403" s="16">
        <f ca="1">IFERROR(__xludf.DUMMYFUNCTION("""COMPUTED_VALUE"""),45936)</f>
        <v>45936</v>
      </c>
      <c r="H1403" s="6" t="str">
        <f ca="1">IFERROR(__xludf.DUMMYFUNCTION("""COMPUTED_VALUE"""),"La Oca")</f>
        <v>La Oca</v>
      </c>
      <c r="I1403" s="6" t="str">
        <f ca="1">IFERROR(__xludf.DUMMYFUNCTION("""COMPUTED_VALUE"""),"C20251017103253713")</f>
        <v>C20251017103253713</v>
      </c>
      <c r="J1403" s="6" t="str">
        <f ca="1">IFERROR(__xludf.DUMMYFUNCTION("""COMPUTED_VALUE"""),"EVA PATRICIA BUENO HERAS")</f>
        <v>EVA PATRICIA BUENO HERAS</v>
      </c>
      <c r="K1403" s="6">
        <f ca="1">IFERROR(__xludf.DUMMYFUNCTION("""COMPUTED_VALUE"""),2)</f>
        <v>2</v>
      </c>
      <c r="L1403" s="139">
        <f ca="1">IFERROR(__xludf.DUMMYFUNCTION("""COMPUTED_VALUE"""),2718.18)</f>
        <v>2718.18</v>
      </c>
      <c r="M1403" s="6" t="str">
        <f ca="1">IFERROR(__xludf.DUMMYFUNCTION("""COMPUTED_VALUE"""),"03 ORL")</f>
        <v>03 ORL</v>
      </c>
      <c r="N1403" s="6" t="str">
        <f ca="1">IFERROR(__xludf.DUMMYFUNCTION("""COMPUTED_VALUE"""),"06 ORL")</f>
        <v>06 ORL</v>
      </c>
      <c r="O1403" s="6" t="str">
        <f ca="1">IFERROR(__xludf.DUMMYFUNCTION("""COMPUTED_VALUE"""),"Dra, Inmaculada Giraldo Mata")</f>
        <v>Dra, Inmaculada Giraldo Mata</v>
      </c>
      <c r="P1403" s="6" t="str">
        <f ca="1">IFERROR(__xludf.DUMMYFUNCTION("""COMPUTED_VALUE"""),"Maika Blázquez (Madrid)")</f>
        <v>Maika Blázquez (Madrid)</v>
      </c>
    </row>
    <row r="1404" spans="2:16">
      <c r="B1404" s="6">
        <f ca="1">IFERROR(__xludf.DUMMYFUNCTION("""COMPUTED_VALUE"""),2025)</f>
        <v>2025</v>
      </c>
      <c r="C1404" s="6">
        <f ca="1">IFERROR(__xludf.DUMMYFUNCTION("""COMPUTED_VALUE"""),11)</f>
        <v>11</v>
      </c>
      <c r="D1404" s="6" t="str">
        <f ca="1">IFERROR(__xludf.DUMMYFUNCTION("""COMPUTED_VALUE"""),"NO")</f>
        <v>NO</v>
      </c>
      <c r="E1404" s="6" t="str">
        <f ca="1">IFERROR(__xludf.DUMMYFUNCTION("""COMPUTED_VALUE"""),"Fuenlabrada")</f>
        <v>Fuenlabrada</v>
      </c>
      <c r="F1404" s="16">
        <f ca="1">IFERROR(__xludf.DUMMYFUNCTION("""COMPUTED_VALUE"""),45964)</f>
        <v>45964</v>
      </c>
      <c r="G1404" s="16">
        <f ca="1">IFERROR(__xludf.DUMMYFUNCTION("""COMPUTED_VALUE"""),45930)</f>
        <v>45930</v>
      </c>
      <c r="H1404" s="6" t="str">
        <f ca="1">IFERROR(__xludf.DUMMYFUNCTION("""COMPUTED_VALUE"""),"Fuenlabrada")</f>
        <v>Fuenlabrada</v>
      </c>
      <c r="I1404" s="6" t="str">
        <f ca="1">IFERROR(__xludf.DUMMYFUNCTION("""COMPUTED_VALUE"""),"C202510295134679")</f>
        <v>C202510295134679</v>
      </c>
      <c r="J1404" s="6" t="str">
        <f ca="1">IFERROR(__xludf.DUMMYFUNCTION("""COMPUTED_VALUE"""),"ALFREDO GUIJARRO OLIVARES")</f>
        <v>ALFREDO GUIJARRO OLIVARES</v>
      </c>
      <c r="K1404" s="6">
        <f ca="1">IFERROR(__xludf.DUMMYFUNCTION("""COMPUTED_VALUE"""),2)</f>
        <v>2</v>
      </c>
      <c r="L1404" s="139">
        <f ca="1">IFERROR(__xludf.DUMMYFUNCTION("""COMPUTED_VALUE"""),3631.82)</f>
        <v>3631.82</v>
      </c>
      <c r="M1404" s="6" t="str">
        <f ca="1">IFERROR(__xludf.DUMMYFUNCTION("""COMPUTED_VALUE"""),"03 ORL")</f>
        <v>03 ORL</v>
      </c>
      <c r="N1404" s="6" t="str">
        <f ca="1">IFERROR(__xludf.DUMMYFUNCTION("""COMPUTED_VALUE"""),"06 ORL")</f>
        <v>06 ORL</v>
      </c>
      <c r="O1404" s="6" t="str">
        <f ca="1">IFERROR(__xludf.DUMMYFUNCTION("""COMPUTED_VALUE"""),"Dra, Victoria García Peces")</f>
        <v>Dra, Victoria García Peces</v>
      </c>
      <c r="P1404" s="6" t="str">
        <f ca="1">IFERROR(__xludf.DUMMYFUNCTION("""COMPUTED_VALUE"""),"Maika Blázquez (Madrid)")</f>
        <v>Maika Blázquez (Madrid)</v>
      </c>
    </row>
    <row r="1405" spans="2:16">
      <c r="B1405" s="6">
        <f ca="1">IFERROR(__xludf.DUMMYFUNCTION("""COMPUTED_VALUE"""),2025)</f>
        <v>2025</v>
      </c>
      <c r="C1405" s="6">
        <f ca="1">IFERROR(__xludf.DUMMYFUNCTION("""COMPUTED_VALUE"""),11)</f>
        <v>11</v>
      </c>
      <c r="D1405" s="6" t="str">
        <f ca="1">IFERROR(__xludf.DUMMYFUNCTION("""COMPUTED_VALUE"""),"NO")</f>
        <v>NO</v>
      </c>
      <c r="E1405" s="6" t="str">
        <f ca="1">IFERROR(__xludf.DUMMYFUNCTION("""COMPUTED_VALUE"""),"Cáceres")</f>
        <v>Cáceres</v>
      </c>
      <c r="F1405" s="16">
        <f ca="1">IFERROR(__xludf.DUMMYFUNCTION("""COMPUTED_VALUE"""),45965)</f>
        <v>45965</v>
      </c>
      <c r="G1405" s="16">
        <f ca="1">IFERROR(__xludf.DUMMYFUNCTION("""COMPUTED_VALUE"""),45929)</f>
        <v>45929</v>
      </c>
      <c r="H1405" s="6" t="str">
        <f ca="1">IFERROR(__xludf.DUMMYFUNCTION("""COMPUTED_VALUE"""),"Cáceres")</f>
        <v>Cáceres</v>
      </c>
      <c r="I1405" s="6" t="str">
        <f ca="1">IFERROR(__xludf.DUMMYFUNCTION("""COMPUTED_VALUE"""),"CAC-403")</f>
        <v>CAC-403</v>
      </c>
      <c r="J1405" s="6" t="str">
        <f ca="1">IFERROR(__xludf.DUMMYFUNCTION("""COMPUTED_VALUE"""),"CONCEPCION CORTES GONZALEZ")</f>
        <v>CONCEPCION CORTES GONZALEZ</v>
      </c>
      <c r="K1405" s="6">
        <f ca="1">IFERROR(__xludf.DUMMYFUNCTION("""COMPUTED_VALUE"""),2)</f>
        <v>2</v>
      </c>
      <c r="L1405" s="139">
        <f ca="1">IFERROR(__xludf.DUMMYFUNCTION("""COMPUTED_VALUE"""),4990.91)</f>
        <v>4990.91</v>
      </c>
      <c r="M1405" s="6" t="str">
        <f ca="1">IFERROR(__xludf.DUMMYFUNCTION("""COMPUTED_VALUE"""),"03 ORL")</f>
        <v>03 ORL</v>
      </c>
      <c r="N1405" s="6" t="str">
        <f ca="1">IFERROR(__xludf.DUMMYFUNCTION("""COMPUTED_VALUE"""),"06 ORL")</f>
        <v>06 ORL</v>
      </c>
      <c r="O1405" s="6" t="str">
        <f ca="1">IFERROR(__xludf.DUMMYFUNCTION("""COMPUTED_VALUE"""),"Dr, Francisco Ramos Puerto")</f>
        <v>Dr, Francisco Ramos Puerto</v>
      </c>
      <c r="P1405" s="6" t="str">
        <f ca="1">IFERROR(__xludf.DUMMYFUNCTION("""COMPUTED_VALUE"""),"Lisandro Russian (Madrid, Cáceres, Toledo, Talavera Y Logroño)")</f>
        <v>Lisandro Russian (Madrid, Cáceres, Toledo, Talavera Y Logroño)</v>
      </c>
    </row>
    <row r="1406" spans="2:16">
      <c r="B1406" s="6">
        <f ca="1">IFERROR(__xludf.DUMMYFUNCTION("""COMPUTED_VALUE"""),2025)</f>
        <v>2025</v>
      </c>
      <c r="C1406" s="6">
        <f ca="1">IFERROR(__xludf.DUMMYFUNCTION("""COMPUTED_VALUE"""),11)</f>
        <v>11</v>
      </c>
      <c r="D1406" s="6" t="str">
        <f ca="1">IFERROR(__xludf.DUMMYFUNCTION("""COMPUTED_VALUE"""),"NO")</f>
        <v>NO</v>
      </c>
      <c r="E1406" s="6" t="str">
        <f ca="1">IFERROR(__xludf.DUMMYFUNCTION("""COMPUTED_VALUE"""),"Salamanca")</f>
        <v>Salamanca</v>
      </c>
      <c r="F1406" s="16">
        <f ca="1">IFERROR(__xludf.DUMMYFUNCTION("""COMPUTED_VALUE"""),45965)</f>
        <v>45965</v>
      </c>
      <c r="G1406" s="16">
        <f ca="1">IFERROR(__xludf.DUMMYFUNCTION("""COMPUTED_VALUE"""),45924)</f>
        <v>45924</v>
      </c>
      <c r="H1406" s="6" t="str">
        <f ca="1">IFERROR(__xludf.DUMMYFUNCTION("""COMPUTED_VALUE"""),"Salamanca")</f>
        <v>Salamanca</v>
      </c>
      <c r="I1406" s="6" t="str">
        <f ca="1">IFERROR(__xludf.DUMMYFUNCTION("""COMPUTED_VALUE"""),"SLM-622")</f>
        <v>SLM-622</v>
      </c>
      <c r="J1406" s="6" t="str">
        <f ca="1">IFERROR(__xludf.DUMMYFUNCTION("""COMPUTED_VALUE"""),"ANA MARIA SANCHEZ RIVERO")</f>
        <v>ANA MARIA SANCHEZ RIVERO</v>
      </c>
      <c r="K1406" s="6">
        <f ca="1">IFERROR(__xludf.DUMMYFUNCTION("""COMPUTED_VALUE"""),1)</f>
        <v>1</v>
      </c>
      <c r="L1406" s="139">
        <f ca="1">IFERROR(__xludf.DUMMYFUNCTION("""COMPUTED_VALUE"""),2292.73)</f>
        <v>2292.73</v>
      </c>
      <c r="M1406" s="6" t="str">
        <f ca="1">IFERROR(__xludf.DUMMYFUNCTION("""COMPUTED_VALUE"""),"03 ORL")</f>
        <v>03 ORL</v>
      </c>
      <c r="N1406" s="6" t="str">
        <f ca="1">IFERROR(__xludf.DUMMYFUNCTION("""COMPUTED_VALUE"""),"06 ORL")</f>
        <v>06 ORL</v>
      </c>
      <c r="O1406" s="6" t="str">
        <f ca="1">IFERROR(__xludf.DUMMYFUNCTION("""COMPUTED_VALUE"""),"Dr, Enrique González Sánchez")</f>
        <v>Dr, Enrique González Sánchez</v>
      </c>
      <c r="P1406" s="6" t="str">
        <f ca="1">IFERROR(__xludf.DUMMYFUNCTION("""COMPUTED_VALUE"""),"Alberto Moreno (Madrid)")</f>
        <v>Alberto Moreno (Madrid)</v>
      </c>
    </row>
    <row r="1407" spans="2:16">
      <c r="B1407" s="6">
        <f ca="1">IFERROR(__xludf.DUMMYFUNCTION("""COMPUTED_VALUE"""),2025)</f>
        <v>2025</v>
      </c>
      <c r="C1407" s="6">
        <f ca="1">IFERROR(__xludf.DUMMYFUNCTION("""COMPUTED_VALUE"""),11)</f>
        <v>11</v>
      </c>
      <c r="D1407" s="6" t="str">
        <f ca="1">IFERROR(__xludf.DUMMYFUNCTION("""COMPUTED_VALUE"""),"NO")</f>
        <v>NO</v>
      </c>
      <c r="E1407" s="6" t="str">
        <f ca="1">IFERROR(__xludf.DUMMYFUNCTION("""COMPUTED_VALUE"""),"Vilagacía De Arousa")</f>
        <v>Vilagacía De Arousa</v>
      </c>
      <c r="F1407" s="16">
        <f ca="1">IFERROR(__xludf.DUMMYFUNCTION("""COMPUTED_VALUE"""),45965)</f>
        <v>45965</v>
      </c>
      <c r="G1407" s="16">
        <f ca="1">IFERROR(__xludf.DUMMYFUNCTION("""COMPUTED_VALUE"""),45916)</f>
        <v>45916</v>
      </c>
      <c r="H1407" s="6" t="str">
        <f ca="1">IFERROR(__xludf.DUMMYFUNCTION("""COMPUTED_VALUE"""),"Vilagarcía")</f>
        <v>Vilagarcía</v>
      </c>
      <c r="I1407" s="6" t="str">
        <f ca="1">IFERROR(__xludf.DUMMYFUNCTION("""COMPUTED_VALUE"""),"VLG-159")</f>
        <v>VLG-159</v>
      </c>
      <c r="J1407" s="6" t="str">
        <f ca="1">IFERROR(__xludf.DUMMYFUNCTION("""COMPUTED_VALUE"""),"MARIA JOSE PAZ PAZ")</f>
        <v>MARIA JOSE PAZ PAZ</v>
      </c>
      <c r="K1407" s="6">
        <f ca="1">IFERROR(__xludf.DUMMYFUNCTION("""COMPUTED_VALUE"""),2)</f>
        <v>2</v>
      </c>
      <c r="L1407" s="139">
        <f ca="1">IFERROR(__xludf.DUMMYFUNCTION("""COMPUTED_VALUE"""),2990.91)</f>
        <v>2990.91</v>
      </c>
      <c r="M1407" s="6" t="str">
        <f ca="1">IFERROR(__xludf.DUMMYFUNCTION("""COMPUTED_VALUE"""),"03 ORL")</f>
        <v>03 ORL</v>
      </c>
      <c r="N1407" s="6" t="str">
        <f ca="1">IFERROR(__xludf.DUMMYFUNCTION("""COMPUTED_VALUE"""),"06 ORL")</f>
        <v>06 ORL</v>
      </c>
      <c r="O1407" s="6" t="str">
        <f ca="1">IFERROR(__xludf.DUMMYFUNCTION("""COMPUTED_VALUE"""),"Dr, Joaquín Pérez Villar")</f>
        <v>Dr, Joaquín Pérez Villar</v>
      </c>
      <c r="P1407" s="6" t="str">
        <f ca="1">IFERROR(__xludf.DUMMYFUNCTION("""COMPUTED_VALUE"""),"Roberto Pereira (Galicia)")</f>
        <v>Roberto Pereira (Galicia)</v>
      </c>
    </row>
    <row r="1408" spans="2:16">
      <c r="B1408" s="6">
        <f ca="1">IFERROR(__xludf.DUMMYFUNCTION("""COMPUTED_VALUE"""),2025)</f>
        <v>2025</v>
      </c>
      <c r="C1408" s="6">
        <f ca="1">IFERROR(__xludf.DUMMYFUNCTION("""COMPUTED_VALUE"""),11)</f>
        <v>11</v>
      </c>
      <c r="D1408" s="6" t="str">
        <f ca="1">IFERROR(__xludf.DUMMYFUNCTION("""COMPUTED_VALUE"""),"NO")</f>
        <v>NO</v>
      </c>
      <c r="E1408" s="6" t="str">
        <f ca="1">IFERROR(__xludf.DUMMYFUNCTION("""COMPUTED_VALUE"""),"Lugo")</f>
        <v>Lugo</v>
      </c>
      <c r="F1408" s="16">
        <f ca="1">IFERROR(__xludf.DUMMYFUNCTION("""COMPUTED_VALUE"""),45965)</f>
        <v>45965</v>
      </c>
      <c r="G1408" s="16">
        <f ca="1">IFERROR(__xludf.DUMMYFUNCTION("""COMPUTED_VALUE"""),45915)</f>
        <v>45915</v>
      </c>
      <c r="H1408" s="6" t="str">
        <f ca="1">IFERROR(__xludf.DUMMYFUNCTION("""COMPUTED_VALUE"""),"Lugo")</f>
        <v>Lugo</v>
      </c>
      <c r="I1408" s="6" t="str">
        <f ca="1">IFERROR(__xludf.DUMMYFUNCTION("""COMPUTED_VALUE"""),"C2025918182451403")</f>
        <v>C2025918182451403</v>
      </c>
      <c r="J1408" s="6" t="str">
        <f ca="1">IFERROR(__xludf.DUMMYFUNCTION("""COMPUTED_VALUE"""),"ILDEFONSO VAZQUEZ CAGIDE")</f>
        <v>ILDEFONSO VAZQUEZ CAGIDE</v>
      </c>
      <c r="K1408" s="6">
        <f ca="1">IFERROR(__xludf.DUMMYFUNCTION("""COMPUTED_VALUE"""),2)</f>
        <v>2</v>
      </c>
      <c r="L1408" s="139">
        <f ca="1">IFERROR(__xludf.DUMMYFUNCTION("""COMPUTED_VALUE"""),3631.82)</f>
        <v>3631.82</v>
      </c>
      <c r="M1408" s="6" t="str">
        <f ca="1">IFERROR(__xludf.DUMMYFUNCTION("""COMPUTED_VALUE"""),"03 ORL")</f>
        <v>03 ORL</v>
      </c>
      <c r="N1408" s="6" t="str">
        <f ca="1">IFERROR(__xludf.DUMMYFUNCTION("""COMPUTED_VALUE"""),"06 ORL")</f>
        <v>06 ORL</v>
      </c>
      <c r="O1408" s="6" t="str">
        <f ca="1">IFERROR(__xludf.DUMMYFUNCTION("""COMPUTED_VALUE"""),"Dr, Pedro Juiz López")</f>
        <v>Dr, Pedro Juiz López</v>
      </c>
      <c r="P1408" s="6" t="str">
        <f ca="1">IFERROR(__xludf.DUMMYFUNCTION("""COMPUTED_VALUE"""),"Roberto Pereira (Galicia)")</f>
        <v>Roberto Pereira (Galicia)</v>
      </c>
    </row>
    <row r="1409" spans="2:16">
      <c r="B1409" s="6">
        <f ca="1">IFERROR(__xludf.DUMMYFUNCTION("""COMPUTED_VALUE"""),2025)</f>
        <v>2025</v>
      </c>
      <c r="C1409" s="6">
        <f ca="1">IFERROR(__xludf.DUMMYFUNCTION("""COMPUTED_VALUE"""),11)</f>
        <v>11</v>
      </c>
      <c r="D1409" s="6" t="str">
        <f ca="1">IFERROR(__xludf.DUMMYFUNCTION("""COMPUTED_VALUE"""),"NO")</f>
        <v>NO</v>
      </c>
      <c r="E1409" s="6" t="str">
        <f ca="1">IFERROR(__xludf.DUMMYFUNCTION("""COMPUTED_VALUE"""),"Leganés")</f>
        <v>Leganés</v>
      </c>
      <c r="F1409" s="16">
        <f ca="1">IFERROR(__xludf.DUMMYFUNCTION("""COMPUTED_VALUE"""),45965)</f>
        <v>45965</v>
      </c>
      <c r="G1409" s="16">
        <f ca="1">IFERROR(__xludf.DUMMYFUNCTION("""COMPUTED_VALUE"""),45939)</f>
        <v>45939</v>
      </c>
      <c r="H1409" s="6" t="str">
        <f ca="1">IFERROR(__xludf.DUMMYFUNCTION("""COMPUTED_VALUE"""),"Leganés")</f>
        <v>Leganés</v>
      </c>
      <c r="I1409" s="6" t="str">
        <f ca="1">IFERROR(__xludf.DUMMYFUNCTION("""COMPUTED_VALUE"""),"C2025101517118286")</f>
        <v>C2025101517118286</v>
      </c>
      <c r="J1409" s="6" t="str">
        <f ca="1">IFERROR(__xludf.DUMMYFUNCTION("""COMPUTED_VALUE"""),"FELISA GONZALEZ BLANCO")</f>
        <v>FELISA GONZALEZ BLANCO</v>
      </c>
      <c r="K1409" s="6">
        <f ca="1">IFERROR(__xludf.DUMMYFUNCTION("""COMPUTED_VALUE"""),2)</f>
        <v>2</v>
      </c>
      <c r="L1409" s="139">
        <f ca="1">IFERROR(__xludf.DUMMYFUNCTION("""COMPUTED_VALUE"""),4136.36)</f>
        <v>4136.3599999999997</v>
      </c>
      <c r="M1409" s="6" t="str">
        <f ca="1">IFERROR(__xludf.DUMMYFUNCTION("""COMPUTED_VALUE"""),"03 ORL")</f>
        <v>03 ORL</v>
      </c>
      <c r="N1409" s="6" t="str">
        <f ca="1">IFERROR(__xludf.DUMMYFUNCTION("""COMPUTED_VALUE"""),"06 ORL")</f>
        <v>06 ORL</v>
      </c>
      <c r="O1409" s="6" t="str">
        <f ca="1">IFERROR(__xludf.DUMMYFUNCTION("""COMPUTED_VALUE"""),"Dr, Ricardo González-Orus")</f>
        <v>Dr, Ricardo González-Orus</v>
      </c>
      <c r="P1409" s="6" t="str">
        <f ca="1">IFERROR(__xludf.DUMMYFUNCTION("""COMPUTED_VALUE"""),"Maika Blázquez (Madrid)")</f>
        <v>Maika Blázquez (Madrid)</v>
      </c>
    </row>
    <row r="1410" spans="2:16">
      <c r="B1410" s="6">
        <f ca="1">IFERROR(__xludf.DUMMYFUNCTION("""COMPUTED_VALUE"""),2025)</f>
        <v>2025</v>
      </c>
      <c r="C1410" s="6">
        <f ca="1">IFERROR(__xludf.DUMMYFUNCTION("""COMPUTED_VALUE"""),11)</f>
        <v>11</v>
      </c>
      <c r="D1410" s="6" t="str">
        <f ca="1">IFERROR(__xludf.DUMMYFUNCTION("""COMPUTED_VALUE"""),"NO")</f>
        <v>NO</v>
      </c>
      <c r="E1410" s="6" t="str">
        <f ca="1">IFERROR(__xludf.DUMMYFUNCTION("""COMPUTED_VALUE"""),"Murcia")</f>
        <v>Murcia</v>
      </c>
      <c r="F1410" s="16">
        <f ca="1">IFERROR(__xludf.DUMMYFUNCTION("""COMPUTED_VALUE"""),45965)</f>
        <v>45965</v>
      </c>
      <c r="G1410" s="16">
        <f ca="1">IFERROR(__xludf.DUMMYFUNCTION("""COMPUTED_VALUE"""),45924)</f>
        <v>45924</v>
      </c>
      <c r="H1410" s="6" t="str">
        <f ca="1">IFERROR(__xludf.DUMMYFUNCTION("""COMPUTED_VALUE"""),"Murcia")</f>
        <v>Murcia</v>
      </c>
      <c r="I1410" s="6" t="str">
        <f ca="1">IFERROR(__xludf.DUMMYFUNCTION("""COMPUTED_VALUE"""),"C202592612243182")</f>
        <v>C202592612243182</v>
      </c>
      <c r="J1410" s="6" t="str">
        <f ca="1">IFERROR(__xludf.DUMMYFUNCTION("""COMPUTED_VALUE"""),"JUAN GARCIA SALMERON")</f>
        <v>JUAN GARCIA SALMERON</v>
      </c>
      <c r="K1410" s="6">
        <f ca="1">IFERROR(__xludf.DUMMYFUNCTION("""COMPUTED_VALUE"""),2)</f>
        <v>2</v>
      </c>
      <c r="L1410" s="139">
        <f ca="1">IFERROR(__xludf.DUMMYFUNCTION("""COMPUTED_VALUE"""),4536.37)</f>
        <v>4536.37</v>
      </c>
      <c r="M1410" s="6" t="str">
        <f ca="1">IFERROR(__xludf.DUMMYFUNCTION("""COMPUTED_VALUE"""),"03 ORL")</f>
        <v>03 ORL</v>
      </c>
      <c r="N1410" s="6" t="str">
        <f ca="1">IFERROR(__xludf.DUMMYFUNCTION("""COMPUTED_VALUE"""),"06 ORL")</f>
        <v>06 ORL</v>
      </c>
      <c r="O1410" s="6" t="str">
        <f ca="1">IFERROR(__xludf.DUMMYFUNCTION("""COMPUTED_VALUE"""),"Dra, María Agustina Sevilla García")</f>
        <v>Dra, María Agustina Sevilla García</v>
      </c>
      <c r="P1410" s="6" t="str">
        <f ca="1">IFERROR(__xludf.DUMMYFUNCTION("""COMPUTED_VALUE"""),"Iván Sánchez (Levante Y Albacete)")</f>
        <v>Iván Sánchez (Levante Y Albacete)</v>
      </c>
    </row>
    <row r="1411" spans="2:16">
      <c r="B1411" s="6">
        <f ca="1">IFERROR(__xludf.DUMMYFUNCTION("""COMPUTED_VALUE"""),2025)</f>
        <v>2025</v>
      </c>
      <c r="C1411" s="6">
        <f ca="1">IFERROR(__xludf.DUMMYFUNCTION("""COMPUTED_VALUE"""),11)</f>
        <v>11</v>
      </c>
      <c r="D1411" s="6" t="str">
        <f ca="1">IFERROR(__xludf.DUMMYFUNCTION("""COMPUTED_VALUE"""),"NO")</f>
        <v>NO</v>
      </c>
      <c r="E1411" s="6" t="str">
        <f ca="1">IFERROR(__xludf.DUMMYFUNCTION("""COMPUTED_VALUE"""),"Sevilla- Montoto")</f>
        <v>Sevilla- Montoto</v>
      </c>
      <c r="F1411" s="16">
        <f ca="1">IFERROR(__xludf.DUMMYFUNCTION("""COMPUTED_VALUE"""),45965)</f>
        <v>45965</v>
      </c>
      <c r="G1411" s="16">
        <f ca="1">IFERROR(__xludf.DUMMYFUNCTION("""COMPUTED_VALUE"""),45820)</f>
        <v>45820</v>
      </c>
      <c r="H1411" s="6" t="str">
        <f ca="1">IFERROR(__xludf.DUMMYFUNCTION("""COMPUTED_VALUE"""),"Montoto")</f>
        <v>Montoto</v>
      </c>
      <c r="I1411" s="6" t="str">
        <f ca="1">IFERROR(__xludf.DUMMYFUNCTION("""COMPUTED_VALUE"""),"C20258810652376")</f>
        <v>C20258810652376</v>
      </c>
      <c r="J1411" s="6" t="str">
        <f ca="1">IFERROR(__xludf.DUMMYFUNCTION("""COMPUTED_VALUE"""),"MARIA ELOISA RODRIGUEZ VICENTE")</f>
        <v>MARIA ELOISA RODRIGUEZ VICENTE</v>
      </c>
      <c r="K1411" s="6">
        <f ca="1">IFERROR(__xludf.DUMMYFUNCTION("""COMPUTED_VALUE"""),1)</f>
        <v>1</v>
      </c>
      <c r="L1411" s="139">
        <f ca="1">IFERROR(__xludf.DUMMYFUNCTION("""COMPUTED_VALUE"""),2071.86)</f>
        <v>2071.86</v>
      </c>
      <c r="M1411" s="6" t="str">
        <f ca="1">IFERROR(__xludf.DUMMYFUNCTION("""COMPUTED_VALUE"""),"03 ORL")</f>
        <v>03 ORL</v>
      </c>
      <c r="N1411" s="6" t="str">
        <f ca="1">IFERROR(__xludf.DUMMYFUNCTION("""COMPUTED_VALUE"""),"06 ORL")</f>
        <v>06 ORL</v>
      </c>
      <c r="O1411" s="6" t="str">
        <f ca="1">IFERROR(__xludf.DUMMYFUNCTION("""COMPUTED_VALUE"""),"Dr, Enrique Gómez Aldaz")</f>
        <v>Dr, Enrique Gómez Aldaz</v>
      </c>
      <c r="P1411" s="6" t="str">
        <f ca="1">IFERROR(__xludf.DUMMYFUNCTION("""COMPUTED_VALUE"""),"Luis Alberto Rodríguez (Andalucía y Badajoz)")</f>
        <v>Luis Alberto Rodríguez (Andalucía y Badajoz)</v>
      </c>
    </row>
    <row r="1412" spans="2:16">
      <c r="B1412" s="6">
        <f ca="1">IFERROR(__xludf.DUMMYFUNCTION("""COMPUTED_VALUE"""),2025)</f>
        <v>2025</v>
      </c>
      <c r="C1412" s="6">
        <f ca="1">IFERROR(__xludf.DUMMYFUNCTION("""COMPUTED_VALUE"""),11)</f>
        <v>11</v>
      </c>
      <c r="D1412" s="6" t="str">
        <f ca="1">IFERROR(__xludf.DUMMYFUNCTION("""COMPUTED_VALUE"""),"NO")</f>
        <v>NO</v>
      </c>
      <c r="E1412" s="6" t="str">
        <f ca="1">IFERROR(__xludf.DUMMYFUNCTION("""COMPUTED_VALUE"""),"Ponferrada")</f>
        <v>Ponferrada</v>
      </c>
      <c r="F1412" s="16">
        <f ca="1">IFERROR(__xludf.DUMMYFUNCTION("""COMPUTED_VALUE"""),45966)</f>
        <v>45966</v>
      </c>
      <c r="G1412" s="16">
        <f ca="1">IFERROR(__xludf.DUMMYFUNCTION("""COMPUTED_VALUE"""),45834)</f>
        <v>45834</v>
      </c>
      <c r="H1412" s="6" t="str">
        <f ca="1">IFERROR(__xludf.DUMMYFUNCTION("""COMPUTED_VALUE"""),"Ponferrada")</f>
        <v>Ponferrada</v>
      </c>
      <c r="I1412" s="6" t="str">
        <f ca="1">IFERROR(__xludf.DUMMYFUNCTION("""COMPUTED_VALUE"""),"PON-942")</f>
        <v>PON-942</v>
      </c>
      <c r="J1412" s="6" t="str">
        <f ca="1">IFERROR(__xludf.DUMMYFUNCTION("""COMPUTED_VALUE"""),"JOSE BARREDO ALVAREZ")</f>
        <v>JOSE BARREDO ALVAREZ</v>
      </c>
      <c r="K1412" s="6">
        <f ca="1">IFERROR(__xludf.DUMMYFUNCTION("""COMPUTED_VALUE"""),2)</f>
        <v>2</v>
      </c>
      <c r="L1412" s="139">
        <f ca="1">IFERROR(__xludf.DUMMYFUNCTION("""COMPUTED_VALUE"""),3909.09)</f>
        <v>3909.09</v>
      </c>
      <c r="M1412" s="6" t="str">
        <f ca="1">IFERROR(__xludf.DUMMYFUNCTION("""COMPUTED_VALUE"""),"03 ORL")</f>
        <v>03 ORL</v>
      </c>
      <c r="N1412" s="6" t="str">
        <f ca="1">IFERROR(__xludf.DUMMYFUNCTION("""COMPUTED_VALUE"""),"06 ORL")</f>
        <v>06 ORL</v>
      </c>
      <c r="O1412" s="6" t="str">
        <f ca="1">IFERROR(__xludf.DUMMYFUNCTION("""COMPUTED_VALUE"""),"No Recuerda Orl")</f>
        <v>No Recuerda Orl</v>
      </c>
      <c r="P1412" s="6" t="str">
        <f ca="1">IFERROR(__xludf.DUMMYFUNCTION("""COMPUTED_VALUE"""),"Alberto Moreno (Madrid)")</f>
        <v>Alberto Moreno (Madrid)</v>
      </c>
    </row>
    <row r="1413" spans="2:16">
      <c r="B1413" s="6">
        <f ca="1">IFERROR(__xludf.DUMMYFUNCTION("""COMPUTED_VALUE"""),2025)</f>
        <v>2025</v>
      </c>
      <c r="C1413" s="6">
        <f ca="1">IFERROR(__xludf.DUMMYFUNCTION("""COMPUTED_VALUE"""),11)</f>
        <v>11</v>
      </c>
      <c r="D1413" s="6" t="str">
        <f ca="1">IFERROR(__xludf.DUMMYFUNCTION("""COMPUTED_VALUE"""),"NO")</f>
        <v>NO</v>
      </c>
      <c r="E1413" s="6" t="str">
        <f ca="1">IFERROR(__xludf.DUMMYFUNCTION("""COMPUTED_VALUE"""),"Murcia")</f>
        <v>Murcia</v>
      </c>
      <c r="F1413" s="16">
        <f ca="1">IFERROR(__xludf.DUMMYFUNCTION("""COMPUTED_VALUE"""),45966)</f>
        <v>45966</v>
      </c>
      <c r="G1413" s="16">
        <f ca="1">IFERROR(__xludf.DUMMYFUNCTION("""COMPUTED_VALUE"""),45931)</f>
        <v>45931</v>
      </c>
      <c r="H1413" s="6" t="str">
        <f ca="1">IFERROR(__xludf.DUMMYFUNCTION("""COMPUTED_VALUE"""),"Murcia")</f>
        <v>Murcia</v>
      </c>
      <c r="I1413" s="6" t="str">
        <f ca="1">IFERROR(__xludf.DUMMYFUNCTION("""COMPUTED_VALUE"""),"C202510110121273")</f>
        <v>C202510110121273</v>
      </c>
      <c r="J1413" s="6" t="str">
        <f ca="1">IFERROR(__xludf.DUMMYFUNCTION("""COMPUTED_VALUE"""),"MIGUEL LA TORRE SANCHEZ")</f>
        <v>MIGUEL LA TORRE SANCHEZ</v>
      </c>
      <c r="K1413" s="6">
        <f ca="1">IFERROR(__xludf.DUMMYFUNCTION("""COMPUTED_VALUE"""),2)</f>
        <v>2</v>
      </c>
      <c r="L1413" s="139">
        <f ca="1">IFERROR(__xludf.DUMMYFUNCTION("""COMPUTED_VALUE"""),3631.82)</f>
        <v>3631.82</v>
      </c>
      <c r="M1413" s="6" t="str">
        <f ca="1">IFERROR(__xludf.DUMMYFUNCTION("""COMPUTED_VALUE"""),"03 ORL")</f>
        <v>03 ORL</v>
      </c>
      <c r="N1413" s="6" t="str">
        <f ca="1">IFERROR(__xludf.DUMMYFUNCTION("""COMPUTED_VALUE"""),"06 ORL")</f>
        <v>06 ORL</v>
      </c>
      <c r="O1413" s="6" t="str">
        <f ca="1">IFERROR(__xludf.DUMMYFUNCTION("""COMPUTED_VALUE"""),"Dr, Enrique López Meseguer")</f>
        <v>Dr, Enrique López Meseguer</v>
      </c>
      <c r="P1413" s="6" t="str">
        <f ca="1">IFERROR(__xludf.DUMMYFUNCTION("""COMPUTED_VALUE"""),"Iván Sánchez (Levante Y Albacete)")</f>
        <v>Iván Sánchez (Levante Y Albacete)</v>
      </c>
    </row>
    <row r="1414" spans="2:16">
      <c r="B1414" s="6">
        <f ca="1">IFERROR(__xludf.DUMMYFUNCTION("""COMPUTED_VALUE"""),2025)</f>
        <v>2025</v>
      </c>
      <c r="C1414" s="6">
        <f ca="1">IFERROR(__xludf.DUMMYFUNCTION("""COMPUTED_VALUE"""),11)</f>
        <v>11</v>
      </c>
      <c r="D1414" s="6" t="str">
        <f ca="1">IFERROR(__xludf.DUMMYFUNCTION("""COMPUTED_VALUE"""),"NO")</f>
        <v>NO</v>
      </c>
      <c r="E1414" s="6" t="str">
        <f ca="1">IFERROR(__xludf.DUMMYFUNCTION("""COMPUTED_VALUE"""),"Alicante")</f>
        <v>Alicante</v>
      </c>
      <c r="F1414" s="16">
        <f ca="1">IFERROR(__xludf.DUMMYFUNCTION("""COMPUTED_VALUE"""),45966)</f>
        <v>45966</v>
      </c>
      <c r="G1414" s="16">
        <f ca="1">IFERROR(__xludf.DUMMYFUNCTION("""COMPUTED_VALUE"""),45924)</f>
        <v>45924</v>
      </c>
      <c r="H1414" s="6" t="str">
        <f ca="1">IFERROR(__xludf.DUMMYFUNCTION("""COMPUTED_VALUE"""),"Alicante")</f>
        <v>Alicante</v>
      </c>
      <c r="I1414" s="6" t="str">
        <f ca="1">IFERROR(__xludf.DUMMYFUNCTION("""COMPUTED_VALUE"""),"C2025925112445880")</f>
        <v>C2025925112445880</v>
      </c>
      <c r="J1414" s="6" t="str">
        <f ca="1">IFERROR(__xludf.DUMMYFUNCTION("""COMPUTED_VALUE"""),"GRISEL PEREZ CABEZA")</f>
        <v>GRISEL PEREZ CABEZA</v>
      </c>
      <c r="K1414" s="6">
        <f ca="1">IFERROR(__xludf.DUMMYFUNCTION("""COMPUTED_VALUE"""),2)</f>
        <v>2</v>
      </c>
      <c r="L1414" s="139">
        <f ca="1">IFERROR(__xludf.DUMMYFUNCTION("""COMPUTED_VALUE"""),3450.23)</f>
        <v>3450.23</v>
      </c>
      <c r="M1414" s="6" t="str">
        <f ca="1">IFERROR(__xludf.DUMMYFUNCTION("""COMPUTED_VALUE"""),"03 ORL")</f>
        <v>03 ORL</v>
      </c>
      <c r="N1414" s="6" t="str">
        <f ca="1">IFERROR(__xludf.DUMMYFUNCTION("""COMPUTED_VALUE"""),"06 ORL")</f>
        <v>06 ORL</v>
      </c>
      <c r="O1414" s="6" t="str">
        <f ca="1">IFERROR(__xludf.DUMMYFUNCTION("""COMPUTED_VALUE"""),"Dra, Cristina Muñoz Pinto")</f>
        <v>Dra, Cristina Muñoz Pinto</v>
      </c>
      <c r="P1414" s="6" t="str">
        <f ca="1">IFERROR(__xludf.DUMMYFUNCTION("""COMPUTED_VALUE"""),"Iván Sánchez (Levante Y Albacete)")</f>
        <v>Iván Sánchez (Levante Y Albacete)</v>
      </c>
    </row>
    <row r="1415" spans="2:16">
      <c r="B1415" s="6">
        <f ca="1">IFERROR(__xludf.DUMMYFUNCTION("""COMPUTED_VALUE"""),2025)</f>
        <v>2025</v>
      </c>
      <c r="C1415" s="6">
        <f ca="1">IFERROR(__xludf.DUMMYFUNCTION("""COMPUTED_VALUE"""),11)</f>
        <v>11</v>
      </c>
      <c r="D1415" s="6" t="str">
        <f ca="1">IFERROR(__xludf.DUMMYFUNCTION("""COMPUTED_VALUE"""),"NO")</f>
        <v>NO</v>
      </c>
      <c r="E1415" s="6" t="str">
        <f ca="1">IFERROR(__xludf.DUMMYFUNCTION("""COMPUTED_VALUE"""),"Alicante")</f>
        <v>Alicante</v>
      </c>
      <c r="F1415" s="16">
        <f ca="1">IFERROR(__xludf.DUMMYFUNCTION("""COMPUTED_VALUE"""),45966)</f>
        <v>45966</v>
      </c>
      <c r="G1415" s="16">
        <f ca="1">IFERROR(__xludf.DUMMYFUNCTION("""COMPUTED_VALUE"""),45937)</f>
        <v>45937</v>
      </c>
      <c r="H1415" s="6" t="str">
        <f ca="1">IFERROR(__xludf.DUMMYFUNCTION("""COMPUTED_VALUE"""),"Alicante")</f>
        <v>Alicante</v>
      </c>
      <c r="I1415" s="6" t="str">
        <f ca="1">IFERROR(__xludf.DUMMYFUNCTION("""COMPUTED_VALUE"""),"C20251014123042219")</f>
        <v>C20251014123042219</v>
      </c>
      <c r="J1415" s="6" t="str">
        <f ca="1">IFERROR(__xludf.DUMMYFUNCTION("""COMPUTED_VALUE"""),"PEDRO SORIANO MOLL")</f>
        <v>PEDRO SORIANO MOLL</v>
      </c>
      <c r="K1415" s="6">
        <f ca="1">IFERROR(__xludf.DUMMYFUNCTION("""COMPUTED_VALUE"""),2)</f>
        <v>2</v>
      </c>
      <c r="L1415" s="139">
        <f ca="1">IFERROR(__xludf.DUMMYFUNCTION("""COMPUTED_VALUE"""),2718.18)</f>
        <v>2718.18</v>
      </c>
      <c r="M1415" s="6" t="str">
        <f ca="1">IFERROR(__xludf.DUMMYFUNCTION("""COMPUTED_VALUE"""),"03 ORL")</f>
        <v>03 ORL</v>
      </c>
      <c r="N1415" s="6" t="str">
        <f ca="1">IFERROR(__xludf.DUMMYFUNCTION("""COMPUTED_VALUE"""),"06 ORL")</f>
        <v>06 ORL</v>
      </c>
      <c r="O1415" s="6" t="str">
        <f ca="1">IFERROR(__xludf.DUMMYFUNCTION("""COMPUTED_VALUE"""),"Dr, Alfonso Rodríguez Fabio")</f>
        <v>Dr, Alfonso Rodríguez Fabio</v>
      </c>
      <c r="P1415" s="6" t="str">
        <f ca="1">IFERROR(__xludf.DUMMYFUNCTION("""COMPUTED_VALUE"""),"Iván Sánchez (Levante Y Albacete)")</f>
        <v>Iván Sánchez (Levante Y Albacete)</v>
      </c>
    </row>
    <row r="1416" spans="2:16">
      <c r="B1416" s="6">
        <f ca="1">IFERROR(__xludf.DUMMYFUNCTION("""COMPUTED_VALUE"""),2025)</f>
        <v>2025</v>
      </c>
      <c r="C1416" s="6">
        <f ca="1">IFERROR(__xludf.DUMMYFUNCTION("""COMPUTED_VALUE"""),11)</f>
        <v>11</v>
      </c>
      <c r="D1416" s="6" t="str">
        <f ca="1">IFERROR(__xludf.DUMMYFUNCTION("""COMPUTED_VALUE"""),"NO")</f>
        <v>NO</v>
      </c>
      <c r="E1416" s="6" t="str">
        <f ca="1">IFERROR(__xludf.DUMMYFUNCTION("""COMPUTED_VALUE"""),"Madrid- La Oca")</f>
        <v>Madrid- La Oca</v>
      </c>
      <c r="F1416" s="16">
        <f ca="1">IFERROR(__xludf.DUMMYFUNCTION("""COMPUTED_VALUE"""),45966)</f>
        <v>45966</v>
      </c>
      <c r="G1416" s="16">
        <f ca="1">IFERROR(__xludf.DUMMYFUNCTION("""COMPUTED_VALUE"""),45847)</f>
        <v>45847</v>
      </c>
      <c r="H1416" s="6" t="str">
        <f ca="1">IFERROR(__xludf.DUMMYFUNCTION("""COMPUTED_VALUE"""),"La Oca")</f>
        <v>La Oca</v>
      </c>
      <c r="I1416" s="6" t="str">
        <f ca="1">IFERROR(__xludf.DUMMYFUNCTION("""COMPUTED_VALUE"""),"C20258812352613")</f>
        <v>C20258812352613</v>
      </c>
      <c r="J1416" s="6" t="str">
        <f ca="1">IFERROR(__xludf.DUMMYFUNCTION("""COMPUTED_VALUE"""),"GERTRUDIS LUNA ESTEVEZ")</f>
        <v>GERTRUDIS LUNA ESTEVEZ</v>
      </c>
      <c r="K1416" s="6">
        <f ca="1">IFERROR(__xludf.DUMMYFUNCTION("""COMPUTED_VALUE"""),2)</f>
        <v>2</v>
      </c>
      <c r="L1416" s="139">
        <f ca="1">IFERROR(__xludf.DUMMYFUNCTION("""COMPUTED_VALUE"""),3631.82)</f>
        <v>3631.82</v>
      </c>
      <c r="M1416" s="6" t="str">
        <f ca="1">IFERROR(__xludf.DUMMYFUNCTION("""COMPUTED_VALUE"""),"03 ORL")</f>
        <v>03 ORL</v>
      </c>
      <c r="N1416" s="6" t="str">
        <f ca="1">IFERROR(__xludf.DUMMYFUNCTION("""COMPUTED_VALUE"""),"06 ORL")</f>
        <v>06 ORL</v>
      </c>
      <c r="O1416" s="6" t="str">
        <f ca="1">IFERROR(__xludf.DUMMYFUNCTION("""COMPUTED_VALUE"""),"Dra, Diana Hernán Pérez")</f>
        <v>Dra, Diana Hernán Pérez</v>
      </c>
      <c r="P1416" s="6" t="str">
        <f ca="1">IFERROR(__xludf.DUMMYFUNCTION("""COMPUTED_VALUE"""),"Lisandro Russian (Madrid, Cáceres, Toledo, Talavera Y Logroño)")</f>
        <v>Lisandro Russian (Madrid, Cáceres, Toledo, Talavera Y Logroño)</v>
      </c>
    </row>
    <row r="1417" spans="2:16">
      <c r="B1417" s="6">
        <f ca="1">IFERROR(__xludf.DUMMYFUNCTION("""COMPUTED_VALUE"""),2025)</f>
        <v>2025</v>
      </c>
      <c r="C1417" s="6">
        <f ca="1">IFERROR(__xludf.DUMMYFUNCTION("""COMPUTED_VALUE"""),11)</f>
        <v>11</v>
      </c>
      <c r="D1417" s="6" t="str">
        <f ca="1">IFERROR(__xludf.DUMMYFUNCTION("""COMPUTED_VALUE"""),"NO")</f>
        <v>NO</v>
      </c>
      <c r="E1417" s="6" t="str">
        <f ca="1">IFERROR(__xludf.DUMMYFUNCTION("""COMPUTED_VALUE"""),"Toledo")</f>
        <v>Toledo</v>
      </c>
      <c r="F1417" s="16">
        <f ca="1">IFERROR(__xludf.DUMMYFUNCTION("""COMPUTED_VALUE"""),45967)</f>
        <v>45967</v>
      </c>
      <c r="G1417" s="16">
        <f ca="1">IFERROR(__xludf.DUMMYFUNCTION("""COMPUTED_VALUE"""),45951)</f>
        <v>45951</v>
      </c>
      <c r="H1417" s="6" t="str">
        <f ca="1">IFERROR(__xludf.DUMMYFUNCTION("""COMPUTED_VALUE"""),"Toledo")</f>
        <v>Toledo</v>
      </c>
      <c r="I1417" s="6" t="str">
        <f ca="1">IFERROR(__xludf.DUMMYFUNCTION("""COMPUTED_VALUE"""),"C202510217364940013")</f>
        <v>C202510217364940013</v>
      </c>
      <c r="J1417" s="6" t="str">
        <f ca="1">IFERROR(__xludf.DUMMYFUNCTION("""COMPUTED_VALUE"""),"VALENTÍN GARCIA PORTELA")</f>
        <v>VALENTÍN GARCIA PORTELA</v>
      </c>
      <c r="K1417" s="6">
        <f ca="1">IFERROR(__xludf.DUMMYFUNCTION("""COMPUTED_VALUE"""),1)</f>
        <v>1</v>
      </c>
      <c r="L1417" s="139">
        <f ca="1">IFERROR(__xludf.DUMMYFUNCTION("""COMPUTED_VALUE"""),2211.54)</f>
        <v>2211.54</v>
      </c>
      <c r="M1417" s="6" t="str">
        <f ca="1">IFERROR(__xludf.DUMMYFUNCTION("""COMPUTED_VALUE"""),"03 ORL")</f>
        <v>03 ORL</v>
      </c>
      <c r="N1417" s="6" t="str">
        <f ca="1">IFERROR(__xludf.DUMMYFUNCTION("""COMPUTED_VALUE"""),"06 ORL")</f>
        <v>06 ORL</v>
      </c>
      <c r="O1417" s="6" t="str">
        <f ca="1">IFERROR(__xludf.DUMMYFUNCTION("""COMPUTED_VALUE"""),"Dra, María Rosario Ruiz Gómez")</f>
        <v>Dra, María Rosario Ruiz Gómez</v>
      </c>
      <c r="P1417" s="6" t="str">
        <f ca="1">IFERROR(__xludf.DUMMYFUNCTION("""COMPUTED_VALUE"""),"Lisandro Russian (Madrid, Cáceres, Toledo, Talavera Y Logroño)")</f>
        <v>Lisandro Russian (Madrid, Cáceres, Toledo, Talavera Y Logroño)</v>
      </c>
    </row>
    <row r="1418" spans="2:16">
      <c r="B1418" s="6">
        <f ca="1">IFERROR(__xludf.DUMMYFUNCTION("""COMPUTED_VALUE"""),2025)</f>
        <v>2025</v>
      </c>
      <c r="C1418" s="6">
        <f ca="1">IFERROR(__xludf.DUMMYFUNCTION("""COMPUTED_VALUE"""),11)</f>
        <v>11</v>
      </c>
      <c r="D1418" s="6" t="str">
        <f ca="1">IFERROR(__xludf.DUMMYFUNCTION("""COMPUTED_VALUE"""),"NO")</f>
        <v>NO</v>
      </c>
      <c r="E1418" s="6" t="str">
        <f ca="1">IFERROR(__xludf.DUMMYFUNCTION("""COMPUTED_VALUE"""),"Talavera")</f>
        <v>Talavera</v>
      </c>
      <c r="F1418" s="16">
        <f ca="1">IFERROR(__xludf.DUMMYFUNCTION("""COMPUTED_VALUE"""),45967)</f>
        <v>45967</v>
      </c>
      <c r="G1418" s="16">
        <f ca="1">IFERROR(__xludf.DUMMYFUNCTION("""COMPUTED_VALUE"""),45932)</f>
        <v>45932</v>
      </c>
      <c r="H1418" s="6" t="str">
        <f ca="1">IFERROR(__xludf.DUMMYFUNCTION("""COMPUTED_VALUE"""),"Talavera")</f>
        <v>Talavera</v>
      </c>
      <c r="I1418" s="6" t="str">
        <f ca="1">IFERROR(__xludf.DUMMYFUNCTION("""COMPUTED_VALUE"""),"C2025102104823441")</f>
        <v>C2025102104823441</v>
      </c>
      <c r="J1418" s="6" t="str">
        <f ca="1">IFERROR(__xludf.DUMMYFUNCTION("""COMPUTED_VALUE"""),"ANGELA PEREZ MATEOS")</f>
        <v>ANGELA PEREZ MATEOS</v>
      </c>
      <c r="K1418" s="6">
        <f ca="1">IFERROR(__xludf.DUMMYFUNCTION("""COMPUTED_VALUE"""),2)</f>
        <v>2</v>
      </c>
      <c r="L1418" s="139">
        <f ca="1">IFERROR(__xludf.DUMMYFUNCTION("""COMPUTED_VALUE"""),2718.18)</f>
        <v>2718.18</v>
      </c>
      <c r="M1418" s="6" t="str">
        <f ca="1">IFERROR(__xludf.DUMMYFUNCTION("""COMPUTED_VALUE"""),"03 ORL")</f>
        <v>03 ORL</v>
      </c>
      <c r="N1418" s="6" t="str">
        <f ca="1">IFERROR(__xludf.DUMMYFUNCTION("""COMPUTED_VALUE"""),"06 ORL")</f>
        <v>06 ORL</v>
      </c>
      <c r="O1418" s="6" t="str">
        <f ca="1">IFERROR(__xludf.DUMMYFUNCTION("""COMPUTED_VALUE"""),"Dr, Carlos Félix Asensio Nieto")</f>
        <v>Dr, Carlos Félix Asensio Nieto</v>
      </c>
      <c r="P1418" s="6" t="str">
        <f ca="1">IFERROR(__xludf.DUMMYFUNCTION("""COMPUTED_VALUE"""),"Lisandro Russian (Madrid, Cáceres, Toledo, Talavera Y Logroño)")</f>
        <v>Lisandro Russian (Madrid, Cáceres, Toledo, Talavera Y Logroño)</v>
      </c>
    </row>
    <row r="1419" spans="2:16">
      <c r="B1419" s="6">
        <f ca="1">IFERROR(__xludf.DUMMYFUNCTION("""COMPUTED_VALUE"""),2025)</f>
        <v>2025</v>
      </c>
      <c r="C1419" s="6">
        <f ca="1">IFERROR(__xludf.DUMMYFUNCTION("""COMPUTED_VALUE"""),11)</f>
        <v>11</v>
      </c>
      <c r="D1419" s="6" t="str">
        <f ca="1">IFERROR(__xludf.DUMMYFUNCTION("""COMPUTED_VALUE"""),"NO")</f>
        <v>NO</v>
      </c>
      <c r="E1419" s="6" t="str">
        <f ca="1">IFERROR(__xludf.DUMMYFUNCTION("""COMPUTED_VALUE"""),"Sevilla- Montoto")</f>
        <v>Sevilla- Montoto</v>
      </c>
      <c r="F1419" s="16">
        <f ca="1">IFERROR(__xludf.DUMMYFUNCTION("""COMPUTED_VALUE"""),45967)</f>
        <v>45967</v>
      </c>
      <c r="G1419" s="16">
        <f ca="1">IFERROR(__xludf.DUMMYFUNCTION("""COMPUTED_VALUE"""),45938)</f>
        <v>45938</v>
      </c>
      <c r="H1419" s="6" t="str">
        <f ca="1">IFERROR(__xludf.DUMMYFUNCTION("""COMPUTED_VALUE"""),"Montoto")</f>
        <v>Montoto</v>
      </c>
      <c r="I1419" s="6" t="str">
        <f ca="1">IFERROR(__xludf.DUMMYFUNCTION("""COMPUTED_VALUE"""),"C20251016122337200")</f>
        <v>C20251016122337200</v>
      </c>
      <c r="J1419" s="6" t="str">
        <f ca="1">IFERROR(__xludf.DUMMYFUNCTION("""COMPUTED_VALUE"""),"FRANCISCO VILLENA DIAZ")</f>
        <v>FRANCISCO VILLENA DIAZ</v>
      </c>
      <c r="K1419" s="6">
        <f ca="1">IFERROR(__xludf.DUMMYFUNCTION("""COMPUTED_VALUE"""),1)</f>
        <v>1</v>
      </c>
      <c r="L1419" s="139">
        <f ca="1">IFERROR(__xludf.DUMMYFUNCTION("""COMPUTED_VALUE"""),2586.54)</f>
        <v>2586.54</v>
      </c>
      <c r="M1419" s="6" t="str">
        <f ca="1">IFERROR(__xludf.DUMMYFUNCTION("""COMPUTED_VALUE"""),"03 ORL")</f>
        <v>03 ORL</v>
      </c>
      <c r="N1419" s="6" t="str">
        <f ca="1">IFERROR(__xludf.DUMMYFUNCTION("""COMPUTED_VALUE"""),"06 ORL")</f>
        <v>06 ORL</v>
      </c>
      <c r="O1419" s="6" t="str">
        <f ca="1">IFERROR(__xludf.DUMMYFUNCTION("""COMPUTED_VALUE"""),"Dra, Noelia García García")</f>
        <v>Dra, Noelia García García</v>
      </c>
      <c r="P1419" s="6" t="str">
        <f ca="1">IFERROR(__xludf.DUMMYFUNCTION("""COMPUTED_VALUE"""),"Luis Alberto Rodríguez (Andalucía y Badajoz)")</f>
        <v>Luis Alberto Rodríguez (Andalucía y Badajoz)</v>
      </c>
    </row>
    <row r="1420" spans="2:16">
      <c r="B1420" s="6">
        <f ca="1">IFERROR(__xludf.DUMMYFUNCTION("""COMPUTED_VALUE"""),2025)</f>
        <v>2025</v>
      </c>
      <c r="C1420" s="6">
        <f ca="1">IFERROR(__xludf.DUMMYFUNCTION("""COMPUTED_VALUE"""),11)</f>
        <v>11</v>
      </c>
      <c r="D1420" s="6" t="str">
        <f ca="1">IFERROR(__xludf.DUMMYFUNCTION("""COMPUTED_VALUE"""),"NO")</f>
        <v>NO</v>
      </c>
      <c r="E1420" s="6" t="str">
        <f ca="1">IFERROR(__xludf.DUMMYFUNCTION("""COMPUTED_VALUE"""),"Madrid- Monforte de Lemos")</f>
        <v>Madrid- Monforte de Lemos</v>
      </c>
      <c r="F1420" s="16">
        <f ca="1">IFERROR(__xludf.DUMMYFUNCTION("""COMPUTED_VALUE"""),45967)</f>
        <v>45967</v>
      </c>
      <c r="G1420" s="16">
        <f ca="1">IFERROR(__xludf.DUMMYFUNCTION("""COMPUTED_VALUE"""),45953)</f>
        <v>45953</v>
      </c>
      <c r="H1420" s="6" t="str">
        <f ca="1">IFERROR(__xludf.DUMMYFUNCTION("""COMPUTED_VALUE"""),"La Vaguada")</f>
        <v>La Vaguada</v>
      </c>
      <c r="I1420" s="6" t="str">
        <f ca="1">IFERROR(__xludf.DUMMYFUNCTION("""COMPUTED_VALUE"""),"C202510231017253878")</f>
        <v>C202510231017253878</v>
      </c>
      <c r="J1420" s="6" t="str">
        <f ca="1">IFERROR(__xludf.DUMMYFUNCTION("""COMPUTED_VALUE"""),"PILAR LASAGABASTER LASAGABASTER")</f>
        <v>PILAR LASAGABASTER LASAGABASTER</v>
      </c>
      <c r="K1420" s="6">
        <f ca="1">IFERROR(__xludf.DUMMYFUNCTION("""COMPUTED_VALUE"""),1)</f>
        <v>1</v>
      </c>
      <c r="L1420" s="139">
        <f ca="1">IFERROR(__xludf.DUMMYFUNCTION("""COMPUTED_VALUE"""),2481.82)</f>
        <v>2481.8200000000002</v>
      </c>
      <c r="M1420" s="6" t="str">
        <f ca="1">IFERROR(__xludf.DUMMYFUNCTION("""COMPUTED_VALUE"""),"03 ORL")</f>
        <v>03 ORL</v>
      </c>
      <c r="N1420" s="6" t="str">
        <f ca="1">IFERROR(__xludf.DUMMYFUNCTION("""COMPUTED_VALUE"""),"06 ORL")</f>
        <v>06 ORL</v>
      </c>
      <c r="O1420" s="6" t="str">
        <f ca="1">IFERROR(__xludf.DUMMYFUNCTION("""COMPUTED_VALUE"""),"Dr, José Montojo Woodeson")</f>
        <v>Dr, José Montojo Woodeson</v>
      </c>
      <c r="P1420" s="6" t="str">
        <f ca="1">IFERROR(__xludf.DUMMYFUNCTION("""COMPUTED_VALUE"""),"Maika Blázquez (Madrid)")</f>
        <v>Maika Blázquez (Madrid)</v>
      </c>
    </row>
    <row r="1421" spans="2:16">
      <c r="B1421" s="6">
        <f ca="1">IFERROR(__xludf.DUMMYFUNCTION("""COMPUTED_VALUE"""),2025)</f>
        <v>2025</v>
      </c>
      <c r="C1421" s="6">
        <f ca="1">IFERROR(__xludf.DUMMYFUNCTION("""COMPUTED_VALUE"""),11)</f>
        <v>11</v>
      </c>
      <c r="D1421" s="6" t="str">
        <f ca="1">IFERROR(__xludf.DUMMYFUNCTION("""COMPUTED_VALUE"""),"NO")</f>
        <v>NO</v>
      </c>
      <c r="E1421" s="6" t="str">
        <f ca="1">IFERROR(__xludf.DUMMYFUNCTION("""COMPUTED_VALUE"""),"Cáceres")</f>
        <v>Cáceres</v>
      </c>
      <c r="F1421" s="16">
        <f ca="1">IFERROR(__xludf.DUMMYFUNCTION("""COMPUTED_VALUE"""),45968)</f>
        <v>45968</v>
      </c>
      <c r="G1421" s="16">
        <f ca="1">IFERROR(__xludf.DUMMYFUNCTION("""COMPUTED_VALUE"""),45931)</f>
        <v>45931</v>
      </c>
      <c r="H1421" s="6" t="str">
        <f ca="1">IFERROR(__xludf.DUMMYFUNCTION("""COMPUTED_VALUE"""),"Cáceres")</f>
        <v>Cáceres</v>
      </c>
      <c r="I1421" s="6" t="str">
        <f ca="1">IFERROR(__xludf.DUMMYFUNCTION("""COMPUTED_VALUE"""),"CAC-405")</f>
        <v>CAC-405</v>
      </c>
      <c r="J1421" s="6" t="str">
        <f ca="1">IFERROR(__xludf.DUMMYFUNCTION("""COMPUTED_VALUE"""),"MARIA VIRGINIA ALCANTARA VILA")</f>
        <v>MARIA VIRGINIA ALCANTARA VILA</v>
      </c>
      <c r="K1421" s="6">
        <f ca="1">IFERROR(__xludf.DUMMYFUNCTION("""COMPUTED_VALUE"""),2)</f>
        <v>2</v>
      </c>
      <c r="L1421" s="139">
        <f ca="1">IFERROR(__xludf.DUMMYFUNCTION("""COMPUTED_VALUE"""),4741.36)</f>
        <v>4741.3599999999997</v>
      </c>
      <c r="M1421" s="6" t="str">
        <f ca="1">IFERROR(__xludf.DUMMYFUNCTION("""COMPUTED_VALUE"""),"03 ORL")</f>
        <v>03 ORL</v>
      </c>
      <c r="N1421" s="6" t="str">
        <f ca="1">IFERROR(__xludf.DUMMYFUNCTION("""COMPUTED_VALUE"""),"06 ORL")</f>
        <v>06 ORL</v>
      </c>
      <c r="O1421" s="6" t="str">
        <f ca="1">IFERROR(__xludf.DUMMYFUNCTION("""COMPUTED_VALUE"""),"Dra, Viviana Andrea")</f>
        <v>Dra, Viviana Andrea</v>
      </c>
      <c r="P1421" s="6" t="str">
        <f ca="1">IFERROR(__xludf.DUMMYFUNCTION("""COMPUTED_VALUE"""),"Lisandro Russian (Madrid, Cáceres, Toledo, Talavera Y Logroño)")</f>
        <v>Lisandro Russian (Madrid, Cáceres, Toledo, Talavera Y Logroño)</v>
      </c>
    </row>
    <row r="1422" spans="2:16">
      <c r="B1422" s="6">
        <f ca="1">IFERROR(__xludf.DUMMYFUNCTION("""COMPUTED_VALUE"""),2025)</f>
        <v>2025</v>
      </c>
      <c r="C1422" s="6">
        <f ca="1">IFERROR(__xludf.DUMMYFUNCTION("""COMPUTED_VALUE"""),11)</f>
        <v>11</v>
      </c>
      <c r="D1422" s="6" t="str">
        <f ca="1">IFERROR(__xludf.DUMMYFUNCTION("""COMPUTED_VALUE"""),"NO")</f>
        <v>NO</v>
      </c>
      <c r="E1422" s="6" t="str">
        <f ca="1">IFERROR(__xludf.DUMMYFUNCTION("""COMPUTED_VALUE"""),"Madrid- Canillas")</f>
        <v>Madrid- Canillas</v>
      </c>
      <c r="F1422" s="16">
        <f ca="1">IFERROR(__xludf.DUMMYFUNCTION("""COMPUTED_VALUE"""),45968)</f>
        <v>45968</v>
      </c>
      <c r="G1422" s="16">
        <f ca="1">IFERROR(__xludf.DUMMYFUNCTION("""COMPUTED_VALUE"""),45944)</f>
        <v>45944</v>
      </c>
      <c r="H1422" s="6" t="str">
        <f ca="1">IFERROR(__xludf.DUMMYFUNCTION("""COMPUTED_VALUE"""),"Canillas")</f>
        <v>Canillas</v>
      </c>
      <c r="I1422" s="6" t="str">
        <f ca="1">IFERROR(__xludf.DUMMYFUNCTION("""COMPUTED_VALUE"""),"C202510148479597999")</f>
        <v>C202510148479597999</v>
      </c>
      <c r="J1422" s="6" t="str">
        <f ca="1">IFERROR(__xludf.DUMMYFUNCTION("""COMPUTED_VALUE"""),"MERCEDES TAPIA TORRECUADRADA")</f>
        <v>MERCEDES TAPIA TORRECUADRADA</v>
      </c>
      <c r="K1422" s="6">
        <f ca="1">IFERROR(__xludf.DUMMYFUNCTION("""COMPUTED_VALUE"""),2)</f>
        <v>2</v>
      </c>
      <c r="L1422" s="139">
        <f ca="1">IFERROR(__xludf.DUMMYFUNCTION("""COMPUTED_VALUE"""),4136.36)</f>
        <v>4136.3599999999997</v>
      </c>
      <c r="M1422" s="6" t="str">
        <f ca="1">IFERROR(__xludf.DUMMYFUNCTION("""COMPUTED_VALUE"""),"03 ORL")</f>
        <v>03 ORL</v>
      </c>
      <c r="N1422" s="6" t="str">
        <f ca="1">IFERROR(__xludf.DUMMYFUNCTION("""COMPUTED_VALUE"""),"06 ORL")</f>
        <v>06 ORL</v>
      </c>
      <c r="O1422" s="6" t="str">
        <f ca="1">IFERROR(__xludf.DUMMYFUNCTION("""COMPUTED_VALUE"""),"No recuerda ORL")</f>
        <v>No recuerda ORL</v>
      </c>
      <c r="P1422" s="6" t="str">
        <f ca="1">IFERROR(__xludf.DUMMYFUNCTION("""COMPUTED_VALUE"""),"Maika Blázquez (Madrid)")</f>
        <v>Maika Blázquez (Madrid)</v>
      </c>
    </row>
    <row r="1423" spans="2:16">
      <c r="B1423" s="6">
        <f ca="1">IFERROR(__xludf.DUMMYFUNCTION("""COMPUTED_VALUE"""),2025)</f>
        <v>2025</v>
      </c>
      <c r="C1423" s="6">
        <f ca="1">IFERROR(__xludf.DUMMYFUNCTION("""COMPUTED_VALUE"""),11)</f>
        <v>11</v>
      </c>
      <c r="D1423" s="6" t="str">
        <f ca="1">IFERROR(__xludf.DUMMYFUNCTION("""COMPUTED_VALUE"""),"NO")</f>
        <v>NO</v>
      </c>
      <c r="E1423" s="6" t="str">
        <f ca="1">IFERROR(__xludf.DUMMYFUNCTION("""COMPUTED_VALUE"""),"Madrid- Juan Bravo")</f>
        <v>Madrid- Juan Bravo</v>
      </c>
      <c r="F1423" s="16">
        <f ca="1">IFERROR(__xludf.DUMMYFUNCTION("""COMPUTED_VALUE"""),45968)</f>
        <v>45968</v>
      </c>
      <c r="G1423" s="16">
        <f ca="1">IFERROR(__xludf.DUMMYFUNCTION("""COMPUTED_VALUE"""),45924)</f>
        <v>45924</v>
      </c>
      <c r="H1423" s="6" t="str">
        <f ca="1">IFERROR(__xludf.DUMMYFUNCTION("""COMPUTED_VALUE"""),"Juan Bravo")</f>
        <v>Juan Bravo</v>
      </c>
      <c r="I1423" s="6" t="str">
        <f ca="1">IFERROR(__xludf.DUMMYFUNCTION("""COMPUTED_VALUE"""),"C2025929113117679")</f>
        <v>C2025929113117679</v>
      </c>
      <c r="J1423" s="6" t="str">
        <f ca="1">IFERROR(__xludf.DUMMYFUNCTION("""COMPUTED_VALUE"""),"MARGARITA MARTIN PRECIADO")</f>
        <v>MARGARITA MARTIN PRECIADO</v>
      </c>
      <c r="K1423" s="6">
        <f ca="1">IFERROR(__xludf.DUMMYFUNCTION("""COMPUTED_VALUE"""),2)</f>
        <v>2</v>
      </c>
      <c r="L1423" s="139">
        <f ca="1">IFERROR(__xludf.DUMMYFUNCTION("""COMPUTED_VALUE"""),2718.18)</f>
        <v>2718.18</v>
      </c>
      <c r="M1423" s="6" t="str">
        <f ca="1">IFERROR(__xludf.DUMMYFUNCTION("""COMPUTED_VALUE"""),"03 ORL")</f>
        <v>03 ORL</v>
      </c>
      <c r="N1423" s="6" t="str">
        <f ca="1">IFERROR(__xludf.DUMMYFUNCTION("""COMPUTED_VALUE"""),"06 ORL")</f>
        <v>06 ORL</v>
      </c>
      <c r="O1423" s="6" t="str">
        <f ca="1">IFERROR(__xludf.DUMMYFUNCTION("""COMPUTED_VALUE"""),"Dr, Carlos Barajas del Rosal")</f>
        <v>Dr, Carlos Barajas del Rosal</v>
      </c>
      <c r="P1423" s="6" t="str">
        <f ca="1">IFERROR(__xludf.DUMMYFUNCTION("""COMPUTED_VALUE"""),"Lisandro Russian (Madrid, Cáceres, Toledo, Talavera Y Logroño)")</f>
        <v>Lisandro Russian (Madrid, Cáceres, Toledo, Talavera Y Logroño)</v>
      </c>
    </row>
    <row r="1424" spans="2:16">
      <c r="B1424" s="6">
        <f ca="1">IFERROR(__xludf.DUMMYFUNCTION("""COMPUTED_VALUE"""),2025)</f>
        <v>2025</v>
      </c>
      <c r="C1424" s="6">
        <f ca="1">IFERROR(__xludf.DUMMYFUNCTION("""COMPUTED_VALUE"""),11)</f>
        <v>11</v>
      </c>
      <c r="D1424" s="6" t="str">
        <f ca="1">IFERROR(__xludf.DUMMYFUNCTION("""COMPUTED_VALUE"""),"NO")</f>
        <v>NO</v>
      </c>
      <c r="E1424" s="6" t="str">
        <f ca="1">IFERROR(__xludf.DUMMYFUNCTION("""COMPUTED_VALUE"""),"Madrid- Moratalaz")</f>
        <v>Madrid- Moratalaz</v>
      </c>
      <c r="F1424" s="16">
        <f ca="1">IFERROR(__xludf.DUMMYFUNCTION("""COMPUTED_VALUE"""),45968)</f>
        <v>45968</v>
      </c>
      <c r="G1424" s="16">
        <f ca="1">IFERROR(__xludf.DUMMYFUNCTION("""COMPUTED_VALUE"""),45945)</f>
        <v>45945</v>
      </c>
      <c r="H1424" s="6" t="str">
        <f ca="1">IFERROR(__xludf.DUMMYFUNCTION("""COMPUTED_VALUE"""),"Moratalaz")</f>
        <v>Moratalaz</v>
      </c>
      <c r="I1424" s="6" t="str">
        <f ca="1">IFERROR(__xludf.DUMMYFUNCTION("""COMPUTED_VALUE"""),"C202510151756131283")</f>
        <v>C202510151756131283</v>
      </c>
      <c r="J1424" s="6" t="str">
        <f ca="1">IFERROR(__xludf.DUMMYFUNCTION("""COMPUTED_VALUE"""),"ANGELES CALVO BARAHONA")</f>
        <v>ANGELES CALVO BARAHONA</v>
      </c>
      <c r="K1424" s="6">
        <f ca="1">IFERROR(__xludf.DUMMYFUNCTION("""COMPUTED_VALUE"""),1)</f>
        <v>1</v>
      </c>
      <c r="L1424" s="139">
        <f ca="1">IFERROR(__xludf.DUMMYFUNCTION("""COMPUTED_VALUE"""),2180.91)</f>
        <v>2180.91</v>
      </c>
      <c r="M1424" s="6" t="str">
        <f ca="1">IFERROR(__xludf.DUMMYFUNCTION("""COMPUTED_VALUE"""),"03 ORL")</f>
        <v>03 ORL</v>
      </c>
      <c r="N1424" s="6" t="str">
        <f ca="1">IFERROR(__xludf.DUMMYFUNCTION("""COMPUTED_VALUE"""),"06 ORL")</f>
        <v>06 ORL</v>
      </c>
      <c r="O1424" s="6" t="str">
        <f ca="1">IFERROR(__xludf.DUMMYFUNCTION("""COMPUTED_VALUE"""),"No recuerda ORL")</f>
        <v>No recuerda ORL</v>
      </c>
      <c r="P1424" s="6" t="str">
        <f ca="1">IFERROR(__xludf.DUMMYFUNCTION("""COMPUTED_VALUE"""),"Maika Blázquez (Madrid)")</f>
        <v>Maika Blázquez (Madrid)</v>
      </c>
    </row>
    <row r="1425" spans="2:16">
      <c r="B1425" s="6">
        <f ca="1">IFERROR(__xludf.DUMMYFUNCTION("""COMPUTED_VALUE"""),2025)</f>
        <v>2025</v>
      </c>
      <c r="C1425" s="6">
        <f ca="1">IFERROR(__xludf.DUMMYFUNCTION("""COMPUTED_VALUE"""),11)</f>
        <v>11</v>
      </c>
      <c r="D1425" s="6" t="str">
        <f ca="1">IFERROR(__xludf.DUMMYFUNCTION("""COMPUTED_VALUE"""),"NO")</f>
        <v>NO</v>
      </c>
      <c r="E1425" s="6" t="str">
        <f ca="1">IFERROR(__xludf.DUMMYFUNCTION("""COMPUTED_VALUE"""),"Boiro")</f>
        <v>Boiro</v>
      </c>
      <c r="F1425" s="16">
        <f ca="1">IFERROR(__xludf.DUMMYFUNCTION("""COMPUTED_VALUE"""),45971)</f>
        <v>45971</v>
      </c>
      <c r="G1425" s="16">
        <f ca="1">IFERROR(__xludf.DUMMYFUNCTION("""COMPUTED_VALUE"""),44987)</f>
        <v>44987</v>
      </c>
      <c r="H1425" s="6" t="str">
        <f ca="1">IFERROR(__xludf.DUMMYFUNCTION("""COMPUTED_VALUE"""),"Boiro")</f>
        <v>Boiro</v>
      </c>
      <c r="I1425" s="6" t="str">
        <f ca="1">IFERROR(__xludf.DUMMYFUNCTION("""COMPUTED_VALUE"""),"BOI-715")</f>
        <v>BOI-715</v>
      </c>
      <c r="J1425" s="6" t="str">
        <f ca="1">IFERROR(__xludf.DUMMYFUNCTION("""COMPUTED_VALUE"""),"MANUEL JOAO GONCALVES SALGADO")</f>
        <v>MANUEL JOAO GONCALVES SALGADO</v>
      </c>
      <c r="K1425" s="6">
        <f ca="1">IFERROR(__xludf.DUMMYFUNCTION("""COMPUTED_VALUE"""),1)</f>
        <v>1</v>
      </c>
      <c r="L1425" s="139">
        <f ca="1">IFERROR(__xludf.DUMMYFUNCTION("""COMPUTED_VALUE"""),863.64)</f>
        <v>863.64</v>
      </c>
      <c r="M1425" s="6" t="str">
        <f ca="1">IFERROR(__xludf.DUMMYFUNCTION("""COMPUTED_VALUE"""),"03 ORL")</f>
        <v>03 ORL</v>
      </c>
      <c r="N1425" s="6" t="str">
        <f ca="1">IFERROR(__xludf.DUMMYFUNCTION("""COMPUTED_VALUE"""),"06 ORL")</f>
        <v>06 ORL</v>
      </c>
      <c r="O1425" s="6" t="str">
        <f ca="1">IFERROR(__xludf.DUMMYFUNCTION("""COMPUTED_VALUE"""),"Dr, Ernesto Varela Martínez")</f>
        <v>Dr, Ernesto Varela Martínez</v>
      </c>
      <c r="P1425" s="6" t="str">
        <f ca="1">IFERROR(__xludf.DUMMYFUNCTION("""COMPUTED_VALUE"""),"Roberto Pereira (Galicia)")</f>
        <v>Roberto Pereira (Galicia)</v>
      </c>
    </row>
    <row r="1426" spans="2:16">
      <c r="B1426" s="6">
        <f ca="1">IFERROR(__xludf.DUMMYFUNCTION("""COMPUTED_VALUE"""),2025)</f>
        <v>2025</v>
      </c>
      <c r="C1426" s="6">
        <f ca="1">IFERROR(__xludf.DUMMYFUNCTION("""COMPUTED_VALUE"""),11)</f>
        <v>11</v>
      </c>
      <c r="D1426" s="6" t="str">
        <f ca="1">IFERROR(__xludf.DUMMYFUNCTION("""COMPUTED_VALUE"""),"NO")</f>
        <v>NO</v>
      </c>
      <c r="E1426" s="6" t="str">
        <f ca="1">IFERROR(__xludf.DUMMYFUNCTION("""COMPUTED_VALUE"""),"Cáceres")</f>
        <v>Cáceres</v>
      </c>
      <c r="F1426" s="16">
        <f ca="1">IFERROR(__xludf.DUMMYFUNCTION("""COMPUTED_VALUE"""),45971)</f>
        <v>45971</v>
      </c>
      <c r="G1426" s="16">
        <f ca="1">IFERROR(__xludf.DUMMYFUNCTION("""COMPUTED_VALUE"""),45961)</f>
        <v>45961</v>
      </c>
      <c r="H1426" s="6" t="str">
        <f ca="1">IFERROR(__xludf.DUMMYFUNCTION("""COMPUTED_VALUE"""),"Cáceres")</f>
        <v>Cáceres</v>
      </c>
      <c r="I1426" s="6" t="str">
        <f ca="1">IFERROR(__xludf.DUMMYFUNCTION("""COMPUTED_VALUE"""),"CAC-436")</f>
        <v>CAC-436</v>
      </c>
      <c r="J1426" s="6" t="str">
        <f ca="1">IFERROR(__xludf.DUMMYFUNCTION("""COMPUTED_VALUE"""),"MARIA FRANCISCA MANCEBO BECERRO")</f>
        <v>MARIA FRANCISCA MANCEBO BECERRO</v>
      </c>
      <c r="K1426" s="6">
        <f ca="1">IFERROR(__xludf.DUMMYFUNCTION("""COMPUTED_VALUE"""),2)</f>
        <v>2</v>
      </c>
      <c r="L1426" s="139">
        <f ca="1">IFERROR(__xludf.DUMMYFUNCTION("""COMPUTED_VALUE"""),3583.64)</f>
        <v>3583.64</v>
      </c>
      <c r="M1426" s="6" t="str">
        <f ca="1">IFERROR(__xludf.DUMMYFUNCTION("""COMPUTED_VALUE"""),"03 ORL")</f>
        <v>03 ORL</v>
      </c>
      <c r="N1426" s="6" t="str">
        <f ca="1">IFERROR(__xludf.DUMMYFUNCTION("""COMPUTED_VALUE"""),"06 ORL")</f>
        <v>06 ORL</v>
      </c>
      <c r="O1426" s="6" t="str">
        <f ca="1">IFERROR(__xludf.DUMMYFUNCTION("""COMPUTED_VALUE"""),"Dra, Marta García Jiménez")</f>
        <v>Dra, Marta García Jiménez</v>
      </c>
      <c r="P1426" s="6" t="str">
        <f ca="1">IFERROR(__xludf.DUMMYFUNCTION("""COMPUTED_VALUE"""),"Lisandro Russian (Madrid, Cáceres, Toledo, Talavera Y Logroño)")</f>
        <v>Lisandro Russian (Madrid, Cáceres, Toledo, Talavera Y Logroño)</v>
      </c>
    </row>
    <row r="1427" spans="2:16">
      <c r="B1427" s="6">
        <f ca="1">IFERROR(__xludf.DUMMYFUNCTION("""COMPUTED_VALUE"""),2025)</f>
        <v>2025</v>
      </c>
      <c r="C1427" s="6">
        <f ca="1">IFERROR(__xludf.DUMMYFUNCTION("""COMPUTED_VALUE"""),11)</f>
        <v>11</v>
      </c>
      <c r="D1427" s="6" t="str">
        <f ca="1">IFERROR(__xludf.DUMMYFUNCTION("""COMPUTED_VALUE"""),"NO")</f>
        <v>NO</v>
      </c>
      <c r="E1427" s="6" t="str">
        <f ca="1">IFERROR(__xludf.DUMMYFUNCTION("""COMPUTED_VALUE"""),"Jerez de la Frontera")</f>
        <v>Jerez de la Frontera</v>
      </c>
      <c r="F1427" s="16">
        <f ca="1">IFERROR(__xludf.DUMMYFUNCTION("""COMPUTED_VALUE"""),45971)</f>
        <v>45971</v>
      </c>
      <c r="G1427" s="16">
        <f ca="1">IFERROR(__xludf.DUMMYFUNCTION("""COMPUTED_VALUE"""),45846)</f>
        <v>45846</v>
      </c>
      <c r="H1427" s="6" t="str">
        <f ca="1">IFERROR(__xludf.DUMMYFUNCTION("""COMPUTED_VALUE"""),"Jerez")</f>
        <v>Jerez</v>
      </c>
      <c r="I1427" s="6" t="str">
        <f ca="1">IFERROR(__xludf.DUMMYFUNCTION("""COMPUTED_VALUE"""),"C202579125431219")</f>
        <v>C202579125431219</v>
      </c>
      <c r="J1427" s="6" t="str">
        <f ca="1">IFERROR(__xludf.DUMMYFUNCTION("""COMPUTED_VALUE"""),"MARIA JESUS VALLEJO GALVEZ")</f>
        <v>MARIA JESUS VALLEJO GALVEZ</v>
      </c>
      <c r="K1427" s="6">
        <f ca="1">IFERROR(__xludf.DUMMYFUNCTION("""COMPUTED_VALUE"""),2)</f>
        <v>2</v>
      </c>
      <c r="L1427" s="139">
        <f ca="1">IFERROR(__xludf.DUMMYFUNCTION("""COMPUTED_VALUE"""),4000)</f>
        <v>4000</v>
      </c>
      <c r="M1427" s="6" t="str">
        <f ca="1">IFERROR(__xludf.DUMMYFUNCTION("""COMPUTED_VALUE"""),"03 ORL")</f>
        <v>03 ORL</v>
      </c>
      <c r="N1427" s="6" t="str">
        <f ca="1">IFERROR(__xludf.DUMMYFUNCTION("""COMPUTED_VALUE"""),"06 ORL")</f>
        <v>06 ORL</v>
      </c>
      <c r="O1427" s="6" t="str">
        <f ca="1">IFERROR(__xludf.DUMMYFUNCTION("""COMPUTED_VALUE"""),"Dra, Maria Del Carmen Salom Coveñas")</f>
        <v>Dra, Maria Del Carmen Salom Coveñas</v>
      </c>
      <c r="P1427" s="6" t="str">
        <f ca="1">IFERROR(__xludf.DUMMYFUNCTION("""COMPUTED_VALUE"""),"Luis Alberto Rodríguez (Andalucía y Badajoz)")</f>
        <v>Luis Alberto Rodríguez (Andalucía y Badajoz)</v>
      </c>
    </row>
    <row r="1428" spans="2:16">
      <c r="B1428" s="6">
        <f ca="1">IFERROR(__xludf.DUMMYFUNCTION("""COMPUTED_VALUE"""),2025)</f>
        <v>2025</v>
      </c>
      <c r="C1428" s="6">
        <f ca="1">IFERROR(__xludf.DUMMYFUNCTION("""COMPUTED_VALUE"""),11)</f>
        <v>11</v>
      </c>
      <c r="D1428" s="6" t="str">
        <f ca="1">IFERROR(__xludf.DUMMYFUNCTION("""COMPUTED_VALUE"""),"NO")</f>
        <v>NO</v>
      </c>
      <c r="E1428" s="6" t="str">
        <f ca="1">IFERROR(__xludf.DUMMYFUNCTION("""COMPUTED_VALUE"""),"Valencia- Cádiz")</f>
        <v>Valencia- Cádiz</v>
      </c>
      <c r="F1428" s="16">
        <f ca="1">IFERROR(__xludf.DUMMYFUNCTION("""COMPUTED_VALUE"""),45971)</f>
        <v>45971</v>
      </c>
      <c r="G1428" s="16">
        <f ca="1">IFERROR(__xludf.DUMMYFUNCTION("""COMPUTED_VALUE"""),45937)</f>
        <v>45937</v>
      </c>
      <c r="H1428" s="6" t="str">
        <f ca="1">IFERROR(__xludf.DUMMYFUNCTION("""COMPUTED_VALUE"""),"Valencia- Cádiz")</f>
        <v>Valencia- Cádiz</v>
      </c>
      <c r="I1428" s="6" t="str">
        <f ca="1">IFERROR(__xludf.DUMMYFUNCTION("""COMPUTED_VALUE"""),"C2025102012109252")</f>
        <v>C2025102012109252</v>
      </c>
      <c r="J1428" s="6" t="str">
        <f ca="1">IFERROR(__xludf.DUMMYFUNCTION("""COMPUTED_VALUE"""),"MATILDE ALAMAR ORTIZ")</f>
        <v>MATILDE ALAMAR ORTIZ</v>
      </c>
      <c r="K1428" s="6">
        <f ca="1">IFERROR(__xludf.DUMMYFUNCTION("""COMPUTED_VALUE"""),2)</f>
        <v>2</v>
      </c>
      <c r="L1428" s="139">
        <f ca="1">IFERROR(__xludf.DUMMYFUNCTION("""COMPUTED_VALUE"""),3631.82)</f>
        <v>3631.82</v>
      </c>
      <c r="M1428" s="6" t="str">
        <f ca="1">IFERROR(__xludf.DUMMYFUNCTION("""COMPUTED_VALUE"""),"03 ORL")</f>
        <v>03 ORL</v>
      </c>
      <c r="N1428" s="6" t="str">
        <f ca="1">IFERROR(__xludf.DUMMYFUNCTION("""COMPUTED_VALUE"""),"06 ORL")</f>
        <v>06 ORL</v>
      </c>
      <c r="O1428" s="6" t="str">
        <f ca="1">IFERROR(__xludf.DUMMYFUNCTION("""COMPUTED_VALUE"""),"Dra, Celia López Molla")</f>
        <v>Dra, Celia López Molla</v>
      </c>
      <c r="P1428" s="6" t="str">
        <f ca="1">IFERROR(__xludf.DUMMYFUNCTION("""COMPUTED_VALUE"""),"Ramon Ferrando(Valencia)")</f>
        <v>Ramon Ferrando(Valencia)</v>
      </c>
    </row>
    <row r="1429" spans="2:16">
      <c r="B1429" s="6">
        <f ca="1">IFERROR(__xludf.DUMMYFUNCTION("""COMPUTED_VALUE"""),2025)</f>
        <v>2025</v>
      </c>
      <c r="C1429" s="6">
        <f ca="1">IFERROR(__xludf.DUMMYFUNCTION("""COMPUTED_VALUE"""),11)</f>
        <v>11</v>
      </c>
      <c r="D1429" s="6" t="str">
        <f ca="1">IFERROR(__xludf.DUMMYFUNCTION("""COMPUTED_VALUE"""),"NO")</f>
        <v>NO</v>
      </c>
      <c r="E1429" s="6" t="str">
        <f ca="1">IFERROR(__xludf.DUMMYFUNCTION("""COMPUTED_VALUE"""),"San Javier")</f>
        <v>San Javier</v>
      </c>
      <c r="F1429" s="16">
        <f ca="1">IFERROR(__xludf.DUMMYFUNCTION("""COMPUTED_VALUE"""),45971)</f>
        <v>45971</v>
      </c>
      <c r="G1429" s="16">
        <f ca="1">IFERROR(__xludf.DUMMYFUNCTION("""COMPUTED_VALUE"""),45950)</f>
        <v>45950</v>
      </c>
      <c r="H1429" s="6" t="str">
        <f ca="1">IFERROR(__xludf.DUMMYFUNCTION("""COMPUTED_VALUE"""),"San Javier")</f>
        <v>San Javier</v>
      </c>
      <c r="I1429" s="6" t="str">
        <f ca="1">IFERROR(__xludf.DUMMYFUNCTION("""COMPUTED_VALUE"""),"C202510209125258710")</f>
        <v>C202510209125258710</v>
      </c>
      <c r="J1429" s="6" t="str">
        <f ca="1">IFERROR(__xludf.DUMMYFUNCTION("""COMPUTED_VALUE"""),"ERNESTA MARTINEZ MEROÑO")</f>
        <v>ERNESTA MARTINEZ MEROÑO</v>
      </c>
      <c r="K1429" s="6">
        <f ca="1">IFERROR(__xludf.DUMMYFUNCTION("""COMPUTED_VALUE"""),2)</f>
        <v>2</v>
      </c>
      <c r="L1429" s="139">
        <f ca="1">IFERROR(__xludf.DUMMYFUNCTION("""COMPUTED_VALUE"""),2718.18)</f>
        <v>2718.18</v>
      </c>
      <c r="M1429" s="6" t="str">
        <f ca="1">IFERROR(__xludf.DUMMYFUNCTION("""COMPUTED_VALUE"""),"03 ORL")</f>
        <v>03 ORL</v>
      </c>
      <c r="N1429" s="6" t="str">
        <f ca="1">IFERROR(__xludf.DUMMYFUNCTION("""COMPUTED_VALUE"""),"06 ORL")</f>
        <v>06 ORL</v>
      </c>
      <c r="O1429" s="6" t="str">
        <f ca="1">IFERROR(__xludf.DUMMYFUNCTION("""COMPUTED_VALUE"""),"Dra, Ana Giribet Fernández-Pacheco")</f>
        <v>Dra, Ana Giribet Fernández-Pacheco</v>
      </c>
      <c r="P1429" s="6" t="str">
        <f ca="1">IFERROR(__xludf.DUMMYFUNCTION("""COMPUTED_VALUE"""),"Iván Sánchez (Levante Y Albacete)")</f>
        <v>Iván Sánchez (Levante Y Albacete)</v>
      </c>
    </row>
    <row r="1430" spans="2:16">
      <c r="B1430" s="6">
        <f ca="1">IFERROR(__xludf.DUMMYFUNCTION("""COMPUTED_VALUE"""),2025)</f>
        <v>2025</v>
      </c>
      <c r="C1430" s="6">
        <f ca="1">IFERROR(__xludf.DUMMYFUNCTION("""COMPUTED_VALUE"""),11)</f>
        <v>11</v>
      </c>
      <c r="D1430" s="6" t="str">
        <f ca="1">IFERROR(__xludf.DUMMYFUNCTION("""COMPUTED_VALUE"""),"NO")</f>
        <v>NO</v>
      </c>
      <c r="E1430" s="6" t="str">
        <f ca="1">IFERROR(__xludf.DUMMYFUNCTION("""COMPUTED_VALUE"""),"Getafe")</f>
        <v>Getafe</v>
      </c>
      <c r="F1430" s="16">
        <f ca="1">IFERROR(__xludf.DUMMYFUNCTION("""COMPUTED_VALUE"""),45971)</f>
        <v>45971</v>
      </c>
      <c r="G1430" s="16">
        <f ca="1">IFERROR(__xludf.DUMMYFUNCTION("""COMPUTED_VALUE"""),45933)</f>
        <v>45933</v>
      </c>
      <c r="H1430" s="6" t="str">
        <f ca="1">IFERROR(__xludf.DUMMYFUNCTION("""COMPUTED_VALUE"""),"Getafe")</f>
        <v>Getafe</v>
      </c>
      <c r="I1430" s="6" t="str">
        <f ca="1">IFERROR(__xludf.DUMMYFUNCTION("""COMPUTED_VALUE"""),"C2025103124219231")</f>
        <v>C2025103124219231</v>
      </c>
      <c r="J1430" s="6" t="str">
        <f ca="1">IFERROR(__xludf.DUMMYFUNCTION("""COMPUTED_VALUE"""),"AUGUSTO REGIDOR MARTÍN")</f>
        <v>AUGUSTO REGIDOR MARTÍN</v>
      </c>
      <c r="K1430" s="6">
        <f ca="1">IFERROR(__xludf.DUMMYFUNCTION("""COMPUTED_VALUE"""),2)</f>
        <v>2</v>
      </c>
      <c r="L1430" s="139">
        <f ca="1">IFERROR(__xludf.DUMMYFUNCTION("""COMPUTED_VALUE"""),2627.27)</f>
        <v>2627.27</v>
      </c>
      <c r="M1430" s="6" t="str">
        <f ca="1">IFERROR(__xludf.DUMMYFUNCTION("""COMPUTED_VALUE"""),"03 ORL")</f>
        <v>03 ORL</v>
      </c>
      <c r="N1430" s="6" t="str">
        <f ca="1">IFERROR(__xludf.DUMMYFUNCTION("""COMPUTED_VALUE"""),"06 ORL")</f>
        <v>06 ORL</v>
      </c>
      <c r="O1430" s="6" t="str">
        <f ca="1">IFERROR(__xludf.DUMMYFUNCTION("""COMPUTED_VALUE"""),"Dr, Daniel Moreno Jimenez")</f>
        <v>Dr, Daniel Moreno Jimenez</v>
      </c>
      <c r="P1430" s="6" t="str">
        <f ca="1">IFERROR(__xludf.DUMMYFUNCTION("""COMPUTED_VALUE"""),"Maika Blázquez (Madrid)")</f>
        <v>Maika Blázquez (Madrid)</v>
      </c>
    </row>
    <row r="1431" spans="2:16">
      <c r="B1431" s="6">
        <f ca="1">IFERROR(__xludf.DUMMYFUNCTION("""COMPUTED_VALUE"""),2025)</f>
        <v>2025</v>
      </c>
      <c r="C1431" s="6">
        <f ca="1">IFERROR(__xludf.DUMMYFUNCTION("""COMPUTED_VALUE"""),11)</f>
        <v>11</v>
      </c>
      <c r="D1431" s="6" t="str">
        <f ca="1">IFERROR(__xludf.DUMMYFUNCTION("""COMPUTED_VALUE"""),"NO")</f>
        <v>NO</v>
      </c>
      <c r="E1431" s="6" t="str">
        <f ca="1">IFERROR(__xludf.DUMMYFUNCTION("""COMPUTED_VALUE"""),"Valencia- Cádiz")</f>
        <v>Valencia- Cádiz</v>
      </c>
      <c r="F1431" s="16">
        <f ca="1">IFERROR(__xludf.DUMMYFUNCTION("""COMPUTED_VALUE"""),45971)</f>
        <v>45971</v>
      </c>
      <c r="G1431" s="16">
        <f ca="1">IFERROR(__xludf.DUMMYFUNCTION("""COMPUTED_VALUE"""),45793)</f>
        <v>45793</v>
      </c>
      <c r="H1431" s="6" t="str">
        <f ca="1">IFERROR(__xludf.DUMMYFUNCTION("""COMPUTED_VALUE"""),"Valencia- Cádiz")</f>
        <v>Valencia- Cádiz</v>
      </c>
      <c r="I1431" s="6" t="str">
        <f ca="1">IFERROR(__xludf.DUMMYFUNCTION("""COMPUTED_VALUE"""),"C202564122949333")</f>
        <v>C202564122949333</v>
      </c>
      <c r="J1431" s="6" t="str">
        <f ca="1">IFERROR(__xludf.DUMMYFUNCTION("""COMPUTED_VALUE"""),"JULIAN GARCIA BERNAT")</f>
        <v>JULIAN GARCIA BERNAT</v>
      </c>
      <c r="K1431" s="6">
        <f ca="1">IFERROR(__xludf.DUMMYFUNCTION("""COMPUTED_VALUE"""),2)</f>
        <v>2</v>
      </c>
      <c r="L1431" s="139">
        <f ca="1">IFERROR(__xludf.DUMMYFUNCTION("""COMPUTED_VALUE"""),2718.18)</f>
        <v>2718.18</v>
      </c>
      <c r="M1431" s="6" t="str">
        <f ca="1">IFERROR(__xludf.DUMMYFUNCTION("""COMPUTED_VALUE"""),"03 ORL")</f>
        <v>03 ORL</v>
      </c>
      <c r="N1431" s="6" t="str">
        <f ca="1">IFERROR(__xludf.DUMMYFUNCTION("""COMPUTED_VALUE"""),"06 ORL")</f>
        <v>06 ORL</v>
      </c>
      <c r="O1431" s="6" t="str">
        <f ca="1">IFERROR(__xludf.DUMMYFUNCTION("""COMPUTED_VALUE"""),"Dr, Raimon García Chillerón")</f>
        <v>Dr, Raimon García Chillerón</v>
      </c>
      <c r="P1431" s="6" t="str">
        <f ca="1">IFERROR(__xludf.DUMMYFUNCTION("""COMPUTED_VALUE"""),"Ramon Ferrando(Valencia)")</f>
        <v>Ramon Ferrando(Valencia)</v>
      </c>
    </row>
    <row r="1432" spans="2:16">
      <c r="B1432" s="6">
        <f ca="1">IFERROR(__xludf.DUMMYFUNCTION("""COMPUTED_VALUE"""),2025)</f>
        <v>2025</v>
      </c>
      <c r="C1432" s="6">
        <f ca="1">IFERROR(__xludf.DUMMYFUNCTION("""COMPUTED_VALUE"""),11)</f>
        <v>11</v>
      </c>
      <c r="D1432" s="6" t="str">
        <f ca="1">IFERROR(__xludf.DUMMYFUNCTION("""COMPUTED_VALUE"""),"NO")</f>
        <v>NO</v>
      </c>
      <c r="E1432" s="6" t="str">
        <f ca="1">IFERROR(__xludf.DUMMYFUNCTION("""COMPUTED_VALUE"""),"Fuenlabrada")</f>
        <v>Fuenlabrada</v>
      </c>
      <c r="F1432" s="16">
        <f ca="1">IFERROR(__xludf.DUMMYFUNCTION("""COMPUTED_VALUE"""),45971)</f>
        <v>45971</v>
      </c>
      <c r="G1432" s="16">
        <f ca="1">IFERROR(__xludf.DUMMYFUNCTION("""COMPUTED_VALUE"""),45950)</f>
        <v>45950</v>
      </c>
      <c r="H1432" s="6" t="str">
        <f ca="1">IFERROR(__xludf.DUMMYFUNCTION("""COMPUTED_VALUE"""),"Fuenlabrada")</f>
        <v>Fuenlabrada</v>
      </c>
      <c r="I1432" s="6" t="str">
        <f ca="1">IFERROR(__xludf.DUMMYFUNCTION("""COMPUTED_VALUE"""),"C202510201028554839")</f>
        <v>C202510201028554839</v>
      </c>
      <c r="J1432" s="6" t="str">
        <f ca="1">IFERROR(__xludf.DUMMYFUNCTION("""COMPUTED_VALUE"""),"AMELIA PEREZ GOMEZ")</f>
        <v>AMELIA PEREZ GOMEZ</v>
      </c>
      <c r="K1432" s="6">
        <f ca="1">IFERROR(__xludf.DUMMYFUNCTION("""COMPUTED_VALUE"""),1)</f>
        <v>1</v>
      </c>
      <c r="L1432" s="139">
        <f ca="1">IFERROR(__xludf.DUMMYFUNCTION("""COMPUTED_VALUE"""),2400)</f>
        <v>2400</v>
      </c>
      <c r="M1432" s="6" t="str">
        <f ca="1">IFERROR(__xludf.DUMMYFUNCTION("""COMPUTED_VALUE"""),"01 MARKETING ON LINE")</f>
        <v>01 MARKETING ON LINE</v>
      </c>
      <c r="N1432" s="6" t="str">
        <f ca="1">IFERROR(__xludf.DUMMYFUNCTION("""COMPUTED_VALUE"""),"04 AUDIFONO,ES")</f>
        <v>04 AUDIFONO,ES</v>
      </c>
      <c r="O1432" s="6" t="str">
        <f ca="1">IFERROR(__xludf.DUMMYFUNCTION("""COMPUTED_VALUE"""),"Dra, María Teresa Herrera Mera")</f>
        <v>Dra, María Teresa Herrera Mera</v>
      </c>
      <c r="P1432" s="6" t="str">
        <f ca="1">IFERROR(__xludf.DUMMYFUNCTION("""COMPUTED_VALUE"""),"Maika Blázquez (Madrid)")</f>
        <v>Maika Blázquez (Madrid)</v>
      </c>
    </row>
    <row r="1433" spans="2:16">
      <c r="B1433" s="6">
        <f ca="1">IFERROR(__xludf.DUMMYFUNCTION("""COMPUTED_VALUE"""),2025)</f>
        <v>2025</v>
      </c>
      <c r="C1433" s="6">
        <f ca="1">IFERROR(__xludf.DUMMYFUNCTION("""COMPUTED_VALUE"""),11)</f>
        <v>11</v>
      </c>
      <c r="D1433" s="6" t="str">
        <f ca="1">IFERROR(__xludf.DUMMYFUNCTION("""COMPUTED_VALUE"""),"NO")</f>
        <v>NO</v>
      </c>
      <c r="E1433" s="6" t="str">
        <f ca="1">IFERROR(__xludf.DUMMYFUNCTION("""COMPUTED_VALUE"""),"Alicante")</f>
        <v>Alicante</v>
      </c>
      <c r="F1433" s="16">
        <f ca="1">IFERROR(__xludf.DUMMYFUNCTION("""COMPUTED_VALUE"""),45971)</f>
        <v>45971</v>
      </c>
      <c r="G1433" s="16">
        <f ca="1">IFERROR(__xludf.DUMMYFUNCTION("""COMPUTED_VALUE"""),45938)</f>
        <v>45938</v>
      </c>
      <c r="H1433" s="6" t="str">
        <f ca="1">IFERROR(__xludf.DUMMYFUNCTION("""COMPUTED_VALUE"""),"Alicante")</f>
        <v>Alicante</v>
      </c>
      <c r="I1433" s="6" t="str">
        <f ca="1">IFERROR(__xludf.DUMMYFUNCTION("""COMPUTED_VALUE"""),"C20251015155830172")</f>
        <v>C20251015155830172</v>
      </c>
      <c r="J1433" s="6" t="str">
        <f ca="1">IFERROR(__xludf.DUMMYFUNCTION("""COMPUTED_VALUE"""),"ARMANDO CAMPOS MATAIX")</f>
        <v>ARMANDO CAMPOS MATAIX</v>
      </c>
      <c r="K1433" s="6">
        <f ca="1">IFERROR(__xludf.DUMMYFUNCTION("""COMPUTED_VALUE"""),2)</f>
        <v>2</v>
      </c>
      <c r="L1433" s="139">
        <f ca="1">IFERROR(__xludf.DUMMYFUNCTION("""COMPUTED_VALUE"""),3450.23)</f>
        <v>3450.23</v>
      </c>
      <c r="M1433" s="6" t="str">
        <f ca="1">IFERROR(__xludf.DUMMYFUNCTION("""COMPUTED_VALUE"""),"03 ORL")</f>
        <v>03 ORL</v>
      </c>
      <c r="N1433" s="6" t="str">
        <f ca="1">IFERROR(__xludf.DUMMYFUNCTION("""COMPUTED_VALUE"""),"06 ORL")</f>
        <v>06 ORL</v>
      </c>
      <c r="O1433" s="6" t="str">
        <f ca="1">IFERROR(__xludf.DUMMYFUNCTION("""COMPUTED_VALUE"""),"Dr, Alfonso Aracil Montesinos")</f>
        <v>Dr, Alfonso Aracil Montesinos</v>
      </c>
      <c r="P1433" s="6" t="str">
        <f ca="1">IFERROR(__xludf.DUMMYFUNCTION("""COMPUTED_VALUE"""),"Iván Sánchez (Levante Y Albacete)")</f>
        <v>Iván Sánchez (Levante Y Albacete)</v>
      </c>
    </row>
    <row r="1434" spans="2:16">
      <c r="B1434" s="6">
        <f ca="1">IFERROR(__xludf.DUMMYFUNCTION("""COMPUTED_VALUE"""),2025)</f>
        <v>2025</v>
      </c>
      <c r="C1434" s="6">
        <f ca="1">IFERROR(__xludf.DUMMYFUNCTION("""COMPUTED_VALUE"""),11)</f>
        <v>11</v>
      </c>
      <c r="D1434" s="6" t="str">
        <f ca="1">IFERROR(__xludf.DUMMYFUNCTION("""COMPUTED_VALUE"""),"NO")</f>
        <v>NO</v>
      </c>
      <c r="E1434" s="6" t="str">
        <f ca="1">IFERROR(__xludf.DUMMYFUNCTION("""COMPUTED_VALUE"""),"Cáceres")</f>
        <v>Cáceres</v>
      </c>
      <c r="F1434" s="16">
        <f ca="1">IFERROR(__xludf.DUMMYFUNCTION("""COMPUTED_VALUE"""),45972)</f>
        <v>45972</v>
      </c>
      <c r="G1434" s="16">
        <f ca="1">IFERROR(__xludf.DUMMYFUNCTION("""COMPUTED_VALUE"""),45931)</f>
        <v>45931</v>
      </c>
      <c r="H1434" s="6" t="str">
        <f ca="1">IFERROR(__xludf.DUMMYFUNCTION("""COMPUTED_VALUE"""),"Cáceres")</f>
        <v>Cáceres</v>
      </c>
      <c r="I1434" s="6" t="str">
        <f ca="1">IFERROR(__xludf.DUMMYFUNCTION("""COMPUTED_VALUE"""),"CAC-407")</f>
        <v>CAC-407</v>
      </c>
      <c r="J1434" s="6" t="str">
        <f ca="1">IFERROR(__xludf.DUMMYFUNCTION("""COMPUTED_VALUE"""),"RUFINA NAVAS FARIÑA")</f>
        <v>RUFINA NAVAS FARIÑA</v>
      </c>
      <c r="K1434" s="6">
        <f ca="1">IFERROR(__xludf.DUMMYFUNCTION("""COMPUTED_VALUE"""),2)</f>
        <v>2</v>
      </c>
      <c r="L1434" s="139">
        <f ca="1">IFERROR(__xludf.DUMMYFUNCTION("""COMPUTED_VALUE"""),4045.45)</f>
        <v>4045.45</v>
      </c>
      <c r="M1434" s="6" t="str">
        <f ca="1">IFERROR(__xludf.DUMMYFUNCTION("""COMPUTED_VALUE"""),"03 ORL")</f>
        <v>03 ORL</v>
      </c>
      <c r="N1434" s="6" t="str">
        <f ca="1">IFERROR(__xludf.DUMMYFUNCTION("""COMPUTED_VALUE"""),"06 ORL")</f>
        <v>06 ORL</v>
      </c>
      <c r="O1434" s="6" t="str">
        <f ca="1">IFERROR(__xludf.DUMMYFUNCTION("""COMPUTED_VALUE"""),"Dr, Rafael Sanz Trenado")</f>
        <v>Dr, Rafael Sanz Trenado</v>
      </c>
      <c r="P1434" s="6" t="str">
        <f ca="1">IFERROR(__xludf.DUMMYFUNCTION("""COMPUTED_VALUE"""),"Lisandro Russian (Madrid, Cáceres, Toledo, Talavera Y Logroño)")</f>
        <v>Lisandro Russian (Madrid, Cáceres, Toledo, Talavera Y Logroño)</v>
      </c>
    </row>
    <row r="1435" spans="2:16">
      <c r="B1435" s="6">
        <f ca="1">IFERROR(__xludf.DUMMYFUNCTION("""COMPUTED_VALUE"""),2025)</f>
        <v>2025</v>
      </c>
      <c r="C1435" s="6">
        <f ca="1">IFERROR(__xludf.DUMMYFUNCTION("""COMPUTED_VALUE"""),11)</f>
        <v>11</v>
      </c>
      <c r="D1435" s="6" t="str">
        <f ca="1">IFERROR(__xludf.DUMMYFUNCTION("""COMPUTED_VALUE"""),"NO")</f>
        <v>NO</v>
      </c>
      <c r="E1435" s="6" t="str">
        <f ca="1">IFERROR(__xludf.DUMMYFUNCTION("""COMPUTED_VALUE"""),"Fuenlabrada")</f>
        <v>Fuenlabrada</v>
      </c>
      <c r="F1435" s="16">
        <f ca="1">IFERROR(__xludf.DUMMYFUNCTION("""COMPUTED_VALUE"""),45972)</f>
        <v>45972</v>
      </c>
      <c r="G1435" s="16">
        <f ca="1">IFERROR(__xludf.DUMMYFUNCTION("""COMPUTED_VALUE"""),45940)</f>
        <v>45940</v>
      </c>
      <c r="H1435" s="6" t="str">
        <f ca="1">IFERROR(__xludf.DUMMYFUNCTION("""COMPUTED_VALUE"""),"Fuenlabrada")</f>
        <v>Fuenlabrada</v>
      </c>
      <c r="I1435" s="6" t="str">
        <f ca="1">IFERROR(__xludf.DUMMYFUNCTION("""COMPUTED_VALUE"""),"C202510101237434996")</f>
        <v>C202510101237434996</v>
      </c>
      <c r="J1435" s="6" t="str">
        <f ca="1">IFERROR(__xludf.DUMMYFUNCTION("""COMPUTED_VALUE"""),"ANTONIO RAFAEL RUBIO-IGLESIAS TELLEZ")</f>
        <v>ANTONIO RAFAEL RUBIO-IGLESIAS TELLEZ</v>
      </c>
      <c r="K1435" s="6">
        <f ca="1">IFERROR(__xludf.DUMMYFUNCTION("""COMPUTED_VALUE"""),1)</f>
        <v>1</v>
      </c>
      <c r="L1435" s="139">
        <f ca="1">IFERROR(__xludf.DUMMYFUNCTION("""COMPUTED_VALUE"""),1631.82)</f>
        <v>1631.82</v>
      </c>
      <c r="M1435" s="6" t="str">
        <f ca="1">IFERROR(__xludf.DUMMYFUNCTION("""COMPUTED_VALUE"""),"03 ORL")</f>
        <v>03 ORL</v>
      </c>
      <c r="N1435" s="6" t="str">
        <f ca="1">IFERROR(__xludf.DUMMYFUNCTION("""COMPUTED_VALUE"""),"06 ORL")</f>
        <v>06 ORL</v>
      </c>
      <c r="O1435" s="6" t="str">
        <f ca="1">IFERROR(__xludf.DUMMYFUNCTION("""COMPUTED_VALUE"""),"Dra, Cristina García García")</f>
        <v>Dra, Cristina García García</v>
      </c>
      <c r="P1435" s="6" t="str">
        <f ca="1">IFERROR(__xludf.DUMMYFUNCTION("""COMPUTED_VALUE"""),"Maika Blázquez (Madrid)")</f>
        <v>Maika Blázquez (Madrid)</v>
      </c>
    </row>
    <row r="1436" spans="2:16">
      <c r="B1436" s="6">
        <f ca="1">IFERROR(__xludf.DUMMYFUNCTION("""COMPUTED_VALUE"""),2025)</f>
        <v>2025</v>
      </c>
      <c r="C1436" s="6">
        <f ca="1">IFERROR(__xludf.DUMMYFUNCTION("""COMPUTED_VALUE"""),11)</f>
        <v>11</v>
      </c>
      <c r="D1436" s="6" t="str">
        <f ca="1">IFERROR(__xludf.DUMMYFUNCTION("""COMPUTED_VALUE"""),"NO")</f>
        <v>NO</v>
      </c>
      <c r="E1436" s="6" t="str">
        <f ca="1">IFERROR(__xludf.DUMMYFUNCTION("""COMPUTED_VALUE"""),"Alcorcón")</f>
        <v>Alcorcón</v>
      </c>
      <c r="F1436" s="16">
        <f ca="1">IFERROR(__xludf.DUMMYFUNCTION("""COMPUTED_VALUE"""),45972)</f>
        <v>45972</v>
      </c>
      <c r="G1436" s="16">
        <f ca="1">IFERROR(__xludf.DUMMYFUNCTION("""COMPUTED_VALUE"""),45834)</f>
        <v>45834</v>
      </c>
      <c r="H1436" s="6" t="str">
        <f ca="1">IFERROR(__xludf.DUMMYFUNCTION("""COMPUTED_VALUE"""),"Alcorcón")</f>
        <v>Alcorcón</v>
      </c>
      <c r="I1436" s="6" t="str">
        <f ca="1">IFERROR(__xludf.DUMMYFUNCTION("""COMPUTED_VALUE"""),"C20257810516852")</f>
        <v>C20257810516852</v>
      </c>
      <c r="J1436" s="6" t="str">
        <f ca="1">IFERROR(__xludf.DUMMYFUNCTION("""COMPUTED_VALUE"""),"ALICIA FERNANDEZ FERNANDEZ")</f>
        <v>ALICIA FERNANDEZ FERNANDEZ</v>
      </c>
      <c r="K1436" s="6">
        <f ca="1">IFERROR(__xludf.DUMMYFUNCTION("""COMPUTED_VALUE"""),2)</f>
        <v>2</v>
      </c>
      <c r="L1436" s="139">
        <f ca="1">IFERROR(__xludf.DUMMYFUNCTION("""COMPUTED_VALUE"""),3929.55)</f>
        <v>3929.55</v>
      </c>
      <c r="M1436" s="6" t="str">
        <f ca="1">IFERROR(__xludf.DUMMYFUNCTION("""COMPUTED_VALUE"""),"02 MARKETING OFF LINE")</f>
        <v>02 MARKETING OFF LINE</v>
      </c>
      <c r="N1436" s="6" t="str">
        <f ca="1">IFERROR(__xludf.DUMMYFUNCTION("""COMPUTED_VALUE"""),"18 ESCAPARATE")</f>
        <v>18 ESCAPARATE</v>
      </c>
      <c r="O1436" s="6" t="str">
        <f ca="1">IFERROR(__xludf.DUMMYFUNCTION("""COMPUTED_VALUE"""),"No recuerda ORL")</f>
        <v>No recuerda ORL</v>
      </c>
      <c r="P1436" s="6" t="str">
        <f ca="1">IFERROR(__xludf.DUMMYFUNCTION("""COMPUTED_VALUE"""),"Maika Blázquez (Madrid)")</f>
        <v>Maika Blázquez (Madrid)</v>
      </c>
    </row>
    <row r="1437" spans="2:16">
      <c r="B1437" s="6">
        <f ca="1">IFERROR(__xludf.DUMMYFUNCTION("""COMPUTED_VALUE"""),2025)</f>
        <v>2025</v>
      </c>
      <c r="C1437" s="6">
        <f ca="1">IFERROR(__xludf.DUMMYFUNCTION("""COMPUTED_VALUE"""),11)</f>
        <v>11</v>
      </c>
      <c r="D1437" s="6" t="str">
        <f ca="1">IFERROR(__xludf.DUMMYFUNCTION("""COMPUTED_VALUE"""),"NO")</f>
        <v>NO</v>
      </c>
      <c r="E1437" s="6" t="str">
        <f ca="1">IFERROR(__xludf.DUMMYFUNCTION("""COMPUTED_VALUE"""),"Fuenlabrada")</f>
        <v>Fuenlabrada</v>
      </c>
      <c r="F1437" s="16">
        <f ca="1">IFERROR(__xludf.DUMMYFUNCTION("""COMPUTED_VALUE"""),45972)</f>
        <v>45972</v>
      </c>
      <c r="G1437" s="16">
        <f ca="1">IFERROR(__xludf.DUMMYFUNCTION("""COMPUTED_VALUE"""),45940)</f>
        <v>45940</v>
      </c>
      <c r="H1437" s="6" t="str">
        <f ca="1">IFERROR(__xludf.DUMMYFUNCTION("""COMPUTED_VALUE"""),"Fuenlabrada")</f>
        <v>Fuenlabrada</v>
      </c>
      <c r="I1437" s="6" t="str">
        <f ca="1">IFERROR(__xludf.DUMMYFUNCTION("""COMPUTED_VALUE"""),"C202510101150611649")</f>
        <v>C202510101150611649</v>
      </c>
      <c r="J1437" s="6" t="str">
        <f ca="1">IFERROR(__xludf.DUMMYFUNCTION("""COMPUTED_VALUE"""),"JUAN CARLOS ANILLO RIOS")</f>
        <v>JUAN CARLOS ANILLO RIOS</v>
      </c>
      <c r="K1437" s="6">
        <f ca="1">IFERROR(__xludf.DUMMYFUNCTION("""COMPUTED_VALUE"""),2)</f>
        <v>2</v>
      </c>
      <c r="L1437" s="139">
        <f ca="1">IFERROR(__xludf.DUMMYFUNCTION("""COMPUTED_VALUE"""),4136.36)</f>
        <v>4136.3599999999997</v>
      </c>
      <c r="M1437" s="6" t="str">
        <f ca="1">IFERROR(__xludf.DUMMYFUNCTION("""COMPUTED_VALUE"""),"03 ORL")</f>
        <v>03 ORL</v>
      </c>
      <c r="N1437" s="6" t="str">
        <f ca="1">IFERROR(__xludf.DUMMYFUNCTION("""COMPUTED_VALUE"""),"06 ORL")</f>
        <v>06 ORL</v>
      </c>
      <c r="O1437" s="6" t="str">
        <f ca="1">IFERROR(__xludf.DUMMYFUNCTION("""COMPUTED_VALUE"""),"Dr, Raimundo Andres Navarro Mediano")</f>
        <v>Dr, Raimundo Andres Navarro Mediano</v>
      </c>
      <c r="P1437" s="6" t="str">
        <f ca="1">IFERROR(__xludf.DUMMYFUNCTION("""COMPUTED_VALUE"""),"Maika Blázquez (Madrid)")</f>
        <v>Maika Blázquez (Madrid)</v>
      </c>
    </row>
    <row r="1438" spans="2:16">
      <c r="B1438" s="6">
        <f ca="1">IFERROR(__xludf.DUMMYFUNCTION("""COMPUTED_VALUE"""),2025)</f>
        <v>2025</v>
      </c>
      <c r="C1438" s="6">
        <f ca="1">IFERROR(__xludf.DUMMYFUNCTION("""COMPUTED_VALUE"""),11)</f>
        <v>11</v>
      </c>
      <c r="D1438" s="6" t="str">
        <f ca="1">IFERROR(__xludf.DUMMYFUNCTION("""COMPUTED_VALUE"""),"NO")</f>
        <v>NO</v>
      </c>
      <c r="E1438" s="6" t="str">
        <f ca="1">IFERROR(__xludf.DUMMYFUNCTION("""COMPUTED_VALUE"""),"Valencia- Cádiz")</f>
        <v>Valencia- Cádiz</v>
      </c>
      <c r="F1438" s="16">
        <f ca="1">IFERROR(__xludf.DUMMYFUNCTION("""COMPUTED_VALUE"""),45972)</f>
        <v>45972</v>
      </c>
      <c r="G1438" s="16">
        <f ca="1">IFERROR(__xludf.DUMMYFUNCTION("""COMPUTED_VALUE"""),45915)</f>
        <v>45915</v>
      </c>
      <c r="H1438" s="6" t="str">
        <f ca="1">IFERROR(__xludf.DUMMYFUNCTION("""COMPUTED_VALUE"""),"Valencia- Cádiz")</f>
        <v>Valencia- Cádiz</v>
      </c>
      <c r="I1438" s="6" t="str">
        <f ca="1">IFERROR(__xludf.DUMMYFUNCTION("""COMPUTED_VALUE"""),"C202592616346179")</f>
        <v>C202592616346179</v>
      </c>
      <c r="J1438" s="6" t="str">
        <f ca="1">IFERROR(__xludf.DUMMYFUNCTION("""COMPUTED_VALUE"""),"ANTONIO MARIN SIBAJAS")</f>
        <v>ANTONIO MARIN SIBAJAS</v>
      </c>
      <c r="K1438" s="6">
        <f ca="1">IFERROR(__xludf.DUMMYFUNCTION("""COMPUTED_VALUE"""),1)</f>
        <v>1</v>
      </c>
      <c r="L1438" s="139">
        <f ca="1">IFERROR(__xludf.DUMMYFUNCTION("""COMPUTED_VALUE"""),2180.91)</f>
        <v>2180.91</v>
      </c>
      <c r="M1438" s="6" t="str">
        <f ca="1">IFERROR(__xludf.DUMMYFUNCTION("""COMPUTED_VALUE"""),"03 ORL")</f>
        <v>03 ORL</v>
      </c>
      <c r="N1438" s="6" t="str">
        <f ca="1">IFERROR(__xludf.DUMMYFUNCTION("""COMPUTED_VALUE"""),"06 ORL")</f>
        <v>06 ORL</v>
      </c>
      <c r="O1438" s="6" t="str">
        <f ca="1">IFERROR(__xludf.DUMMYFUNCTION("""COMPUTED_VALUE"""),"Dr, José Ramiro de León Lima")</f>
        <v>Dr, José Ramiro de León Lima</v>
      </c>
      <c r="P1438" s="6" t="str">
        <f ca="1">IFERROR(__xludf.DUMMYFUNCTION("""COMPUTED_VALUE"""),"Ramon Ferrando(Valencia)")</f>
        <v>Ramon Ferrando(Valencia)</v>
      </c>
    </row>
    <row r="1439" spans="2:16">
      <c r="B1439" s="6">
        <f ca="1">IFERROR(__xludf.DUMMYFUNCTION("""COMPUTED_VALUE"""),2025)</f>
        <v>2025</v>
      </c>
      <c r="C1439" s="6">
        <f ca="1">IFERROR(__xludf.DUMMYFUNCTION("""COMPUTED_VALUE"""),11)</f>
        <v>11</v>
      </c>
      <c r="D1439" s="6" t="str">
        <f ca="1">IFERROR(__xludf.DUMMYFUNCTION("""COMPUTED_VALUE"""),"NO")</f>
        <v>NO</v>
      </c>
      <c r="E1439" s="6" t="str">
        <f ca="1">IFERROR(__xludf.DUMMYFUNCTION("""COMPUTED_VALUE"""),"Cáceres")</f>
        <v>Cáceres</v>
      </c>
      <c r="F1439" s="16">
        <f ca="1">IFERROR(__xludf.DUMMYFUNCTION("""COMPUTED_VALUE"""),45973)</f>
        <v>45973</v>
      </c>
      <c r="G1439" s="16">
        <f ca="1">IFERROR(__xludf.DUMMYFUNCTION("""COMPUTED_VALUE"""),45933)</f>
        <v>45933</v>
      </c>
      <c r="H1439" s="6" t="str">
        <f ca="1">IFERROR(__xludf.DUMMYFUNCTION("""COMPUTED_VALUE"""),"Cáceres")</f>
        <v>Cáceres</v>
      </c>
      <c r="I1439" s="6" t="str">
        <f ca="1">IFERROR(__xludf.DUMMYFUNCTION("""COMPUTED_VALUE"""),"CAC-410")</f>
        <v>CAC-410</v>
      </c>
      <c r="J1439" s="6" t="str">
        <f ca="1">IFERROR(__xludf.DUMMYFUNCTION("""COMPUTED_VALUE"""),"JOSE CARRERO ROMAN")</f>
        <v>JOSE CARRERO ROMAN</v>
      </c>
      <c r="K1439" s="6">
        <f ca="1">IFERROR(__xludf.DUMMYFUNCTION("""COMPUTED_VALUE"""),2)</f>
        <v>2</v>
      </c>
      <c r="L1439" s="139">
        <f ca="1">IFERROR(__xludf.DUMMYFUNCTION("""COMPUTED_VALUE"""),4203.64)</f>
        <v>4203.6400000000003</v>
      </c>
      <c r="M1439" s="6" t="str">
        <f ca="1">IFERROR(__xludf.DUMMYFUNCTION("""COMPUTED_VALUE"""),"03 ORL")</f>
        <v>03 ORL</v>
      </c>
      <c r="N1439" s="6" t="str">
        <f ca="1">IFERROR(__xludf.DUMMYFUNCTION("""COMPUTED_VALUE"""),"06 ORL")</f>
        <v>06 ORL</v>
      </c>
      <c r="O1439" s="6" t="str">
        <f ca="1">IFERROR(__xludf.DUMMYFUNCTION("""COMPUTED_VALUE"""),"Dra, Marta García Jiménez")</f>
        <v>Dra, Marta García Jiménez</v>
      </c>
      <c r="P1439" s="6" t="str">
        <f ca="1">IFERROR(__xludf.DUMMYFUNCTION("""COMPUTED_VALUE"""),"Lisandro Russian (Madrid, Cáceres, Toledo, Talavera Y Logroño)")</f>
        <v>Lisandro Russian (Madrid, Cáceres, Toledo, Talavera Y Logroño)</v>
      </c>
    </row>
    <row r="1440" spans="2:16">
      <c r="B1440" s="6">
        <f ca="1">IFERROR(__xludf.DUMMYFUNCTION("""COMPUTED_VALUE"""),2025)</f>
        <v>2025</v>
      </c>
      <c r="C1440" s="6">
        <f ca="1">IFERROR(__xludf.DUMMYFUNCTION("""COMPUTED_VALUE"""),11)</f>
        <v>11</v>
      </c>
      <c r="D1440" s="6" t="str">
        <f ca="1">IFERROR(__xludf.DUMMYFUNCTION("""COMPUTED_VALUE"""),"NO")</f>
        <v>NO</v>
      </c>
      <c r="E1440" s="6" t="str">
        <f ca="1">IFERROR(__xludf.DUMMYFUNCTION("""COMPUTED_VALUE"""),"Palencia")</f>
        <v>Palencia</v>
      </c>
      <c r="F1440" s="16">
        <f ca="1">IFERROR(__xludf.DUMMYFUNCTION("""COMPUTED_VALUE"""),45973)</f>
        <v>45973</v>
      </c>
      <c r="G1440" s="16">
        <f ca="1">IFERROR(__xludf.DUMMYFUNCTION("""COMPUTED_VALUE"""),45917)</f>
        <v>45917</v>
      </c>
      <c r="H1440" s="6" t="str">
        <f ca="1">IFERROR(__xludf.DUMMYFUNCTION("""COMPUTED_VALUE"""),"Palencia")</f>
        <v>Palencia</v>
      </c>
      <c r="I1440" s="6" t="str">
        <f ca="1">IFERROR(__xludf.DUMMYFUNCTION("""COMPUTED_VALUE"""),"C2025917115836615")</f>
        <v>C2025917115836615</v>
      </c>
      <c r="J1440" s="6" t="str">
        <f ca="1">IFERROR(__xludf.DUMMYFUNCTION("""COMPUTED_VALUE"""),"LUCINIO MORATE LASO")</f>
        <v>LUCINIO MORATE LASO</v>
      </c>
      <c r="K1440" s="6">
        <f ca="1">IFERROR(__xludf.DUMMYFUNCTION("""COMPUTED_VALUE"""),2)</f>
        <v>2</v>
      </c>
      <c r="L1440" s="139">
        <f ca="1">IFERROR(__xludf.DUMMYFUNCTION("""COMPUTED_VALUE"""),3631.81)</f>
        <v>3631.81</v>
      </c>
      <c r="M1440" s="6" t="str">
        <f ca="1">IFERROR(__xludf.DUMMYFUNCTION("""COMPUTED_VALUE"""),"03 ORL")</f>
        <v>03 ORL</v>
      </c>
      <c r="N1440" s="6" t="str">
        <f ca="1">IFERROR(__xludf.DUMMYFUNCTION("""COMPUTED_VALUE"""),"06 ORL")</f>
        <v>06 ORL</v>
      </c>
      <c r="O1440" s="6" t="str">
        <f ca="1">IFERROR(__xludf.DUMMYFUNCTION("""COMPUTED_VALUE"""),"Dr, Carlos Miguel Salvador Martínez")</f>
        <v>Dr, Carlos Miguel Salvador Martínez</v>
      </c>
      <c r="P1440" s="6" t="str">
        <f ca="1">IFERROR(__xludf.DUMMYFUNCTION("""COMPUTED_VALUE"""),"Alberto Moreno (Madrid)")</f>
        <v>Alberto Moreno (Madrid)</v>
      </c>
    </row>
    <row r="1441" spans="2:16">
      <c r="B1441" s="6">
        <f ca="1">IFERROR(__xludf.DUMMYFUNCTION("""COMPUTED_VALUE"""),2025)</f>
        <v>2025</v>
      </c>
      <c r="C1441" s="6">
        <f ca="1">IFERROR(__xludf.DUMMYFUNCTION("""COMPUTED_VALUE"""),11)</f>
        <v>11</v>
      </c>
      <c r="D1441" s="6" t="str">
        <f ca="1">IFERROR(__xludf.DUMMYFUNCTION("""COMPUTED_VALUE"""),"NO")</f>
        <v>NO</v>
      </c>
      <c r="E1441" s="6" t="str">
        <f ca="1">IFERROR(__xludf.DUMMYFUNCTION("""COMPUTED_VALUE"""),"Alcorcón")</f>
        <v>Alcorcón</v>
      </c>
      <c r="F1441" s="16">
        <f ca="1">IFERROR(__xludf.DUMMYFUNCTION("""COMPUTED_VALUE"""),45973)</f>
        <v>45973</v>
      </c>
      <c r="G1441" s="16">
        <f ca="1">IFERROR(__xludf.DUMMYFUNCTION("""COMPUTED_VALUE"""),45915)</f>
        <v>45915</v>
      </c>
      <c r="H1441" s="6" t="str">
        <f ca="1">IFERROR(__xludf.DUMMYFUNCTION("""COMPUTED_VALUE"""),"Alcorcón")</f>
        <v>Alcorcón</v>
      </c>
      <c r="I1441" s="6" t="str">
        <f ca="1">IFERROR(__xludf.DUMMYFUNCTION("""COMPUTED_VALUE"""),"C2025922152058569")</f>
        <v>C2025922152058569</v>
      </c>
      <c r="J1441" s="6" t="str">
        <f ca="1">IFERROR(__xludf.DUMMYFUNCTION("""COMPUTED_VALUE"""),"VALENTIN  SIMON GONZALEZ")</f>
        <v>VALENTIN  SIMON GONZALEZ</v>
      </c>
      <c r="K1441" s="6">
        <f ca="1">IFERROR(__xludf.DUMMYFUNCTION("""COMPUTED_VALUE"""),2)</f>
        <v>2</v>
      </c>
      <c r="L1441" s="139">
        <f ca="1">IFERROR(__xludf.DUMMYFUNCTION("""COMPUTED_VALUE"""),3631.82)</f>
        <v>3631.82</v>
      </c>
      <c r="M1441" s="6" t="str">
        <f ca="1">IFERROR(__xludf.DUMMYFUNCTION("""COMPUTED_VALUE"""),"03 ORL")</f>
        <v>03 ORL</v>
      </c>
      <c r="N1441" s="6" t="str">
        <f ca="1">IFERROR(__xludf.DUMMYFUNCTION("""COMPUTED_VALUE"""),"06 ORL")</f>
        <v>06 ORL</v>
      </c>
      <c r="O1441" s="6" t="str">
        <f ca="1">IFERROR(__xludf.DUMMYFUNCTION("""COMPUTED_VALUE"""),"Dr, Álvaro Sánchez Álvarez")</f>
        <v>Dr, Álvaro Sánchez Álvarez</v>
      </c>
      <c r="P1441" s="6" t="str">
        <f ca="1">IFERROR(__xludf.DUMMYFUNCTION("""COMPUTED_VALUE"""),"Lisandro Russian (Madrid, Cáceres, Toledo, Talavera Y Logroño)")</f>
        <v>Lisandro Russian (Madrid, Cáceres, Toledo, Talavera Y Logroño)</v>
      </c>
    </row>
    <row r="1442" spans="2:16">
      <c r="B1442" s="6">
        <f ca="1">IFERROR(__xludf.DUMMYFUNCTION("""COMPUTED_VALUE"""),2025)</f>
        <v>2025</v>
      </c>
      <c r="C1442" s="6">
        <f ca="1">IFERROR(__xludf.DUMMYFUNCTION("""COMPUTED_VALUE"""),11)</f>
        <v>11</v>
      </c>
      <c r="D1442" s="6" t="str">
        <f ca="1">IFERROR(__xludf.DUMMYFUNCTION("""COMPUTED_VALUE"""),"NO")</f>
        <v>NO</v>
      </c>
      <c r="E1442" s="6" t="str">
        <f ca="1">IFERROR(__xludf.DUMMYFUNCTION("""COMPUTED_VALUE"""),"San Javier")</f>
        <v>San Javier</v>
      </c>
      <c r="F1442" s="16">
        <f ca="1">IFERROR(__xludf.DUMMYFUNCTION("""COMPUTED_VALUE"""),45973)</f>
        <v>45973</v>
      </c>
      <c r="G1442" s="16">
        <f ca="1">IFERROR(__xludf.DUMMYFUNCTION("""COMPUTED_VALUE"""),45943)</f>
        <v>45943</v>
      </c>
      <c r="H1442" s="6" t="str">
        <f ca="1">IFERROR(__xludf.DUMMYFUNCTION("""COMPUTED_VALUE"""),"San Javier")</f>
        <v>San Javier</v>
      </c>
      <c r="I1442" s="6" t="str">
        <f ca="1">IFERROR(__xludf.DUMMYFUNCTION("""COMPUTED_VALUE"""),"C202510139173038944")</f>
        <v>C202510139173038944</v>
      </c>
      <c r="J1442" s="6" t="str">
        <f ca="1">IFERROR(__xludf.DUMMYFUNCTION("""COMPUTED_VALUE"""),"ANNE CHRISTINE MILLS")</f>
        <v>ANNE CHRISTINE MILLS</v>
      </c>
      <c r="K1442" s="6">
        <f ca="1">IFERROR(__xludf.DUMMYFUNCTION("""COMPUTED_VALUE"""),1)</f>
        <v>1</v>
      </c>
      <c r="L1442" s="139">
        <f ca="1">IFERROR(__xludf.DUMMYFUNCTION("""COMPUTED_VALUE"""),2180.91)</f>
        <v>2180.91</v>
      </c>
      <c r="M1442" s="6" t="str">
        <f ca="1">IFERROR(__xludf.DUMMYFUNCTION("""COMPUTED_VALUE"""),"03 ORL")</f>
        <v>03 ORL</v>
      </c>
      <c r="N1442" s="6" t="str">
        <f ca="1">IFERROR(__xludf.DUMMYFUNCTION("""COMPUTED_VALUE"""),"06 ORL")</f>
        <v>06 ORL</v>
      </c>
      <c r="O1442" s="6" t="str">
        <f ca="1">IFERROR(__xludf.DUMMYFUNCTION("""COMPUTED_VALUE"""),"Dr, Antonio Galindo Fernández")</f>
        <v>Dr, Antonio Galindo Fernández</v>
      </c>
      <c r="P1442" s="6" t="str">
        <f ca="1">IFERROR(__xludf.DUMMYFUNCTION("""COMPUTED_VALUE"""),"Iván Sánchez (Levante Y Albacete)")</f>
        <v>Iván Sánchez (Levante Y Albacete)</v>
      </c>
    </row>
    <row r="1443" spans="2:16">
      <c r="B1443" s="6">
        <f ca="1">IFERROR(__xludf.DUMMYFUNCTION("""COMPUTED_VALUE"""),2025)</f>
        <v>2025</v>
      </c>
      <c r="C1443" s="6">
        <f ca="1">IFERROR(__xludf.DUMMYFUNCTION("""COMPUTED_VALUE"""),11)</f>
        <v>11</v>
      </c>
      <c r="D1443" s="6" t="str">
        <f ca="1">IFERROR(__xludf.DUMMYFUNCTION("""COMPUTED_VALUE"""),"NO")</f>
        <v>NO</v>
      </c>
      <c r="E1443" s="6" t="str">
        <f ca="1">IFERROR(__xludf.DUMMYFUNCTION("""COMPUTED_VALUE"""),"Sevilla- Montoto")</f>
        <v>Sevilla- Montoto</v>
      </c>
      <c r="F1443" s="16">
        <f ca="1">IFERROR(__xludf.DUMMYFUNCTION("""COMPUTED_VALUE"""),45973)</f>
        <v>45973</v>
      </c>
      <c r="G1443" s="16">
        <f ca="1">IFERROR(__xludf.DUMMYFUNCTION("""COMPUTED_VALUE"""),45925)</f>
        <v>45925</v>
      </c>
      <c r="H1443" s="6" t="str">
        <f ca="1">IFERROR(__xludf.DUMMYFUNCTION("""COMPUTED_VALUE"""),"Montoto")</f>
        <v>Montoto</v>
      </c>
      <c r="I1443" s="6" t="str">
        <f ca="1">IFERROR(__xludf.DUMMYFUNCTION("""COMPUTED_VALUE"""),"C2025930165440612")</f>
        <v>C2025930165440612</v>
      </c>
      <c r="J1443" s="6" t="str">
        <f ca="1">IFERROR(__xludf.DUMMYFUNCTION("""COMPUTED_VALUE"""),"CAROLINA HEREDIA ROMERO")</f>
        <v>CAROLINA HEREDIA ROMERO</v>
      </c>
      <c r="K1443" s="6">
        <f ca="1">IFERROR(__xludf.DUMMYFUNCTION("""COMPUTED_VALUE"""),1)</f>
        <v>1</v>
      </c>
      <c r="L1443" s="139">
        <f ca="1">IFERROR(__xludf.DUMMYFUNCTION("""COMPUTED_VALUE"""),1631.82)</f>
        <v>1631.82</v>
      </c>
      <c r="M1443" s="6" t="str">
        <f ca="1">IFERROR(__xludf.DUMMYFUNCTION("""COMPUTED_VALUE"""),"03 ORL")</f>
        <v>03 ORL</v>
      </c>
      <c r="N1443" s="6" t="str">
        <f ca="1">IFERROR(__xludf.DUMMYFUNCTION("""COMPUTED_VALUE"""),"06 ORL")</f>
        <v>06 ORL</v>
      </c>
      <c r="O1443" s="6" t="str">
        <f ca="1">IFERROR(__xludf.DUMMYFUNCTION("""COMPUTED_VALUE"""),"Dr, Francisco Javier Aguilar Vera")</f>
        <v>Dr, Francisco Javier Aguilar Vera</v>
      </c>
      <c r="P1443" s="6" t="str">
        <f ca="1">IFERROR(__xludf.DUMMYFUNCTION("""COMPUTED_VALUE"""),"Luis Alberto Rodríguez (Andalucía y Badajoz)")</f>
        <v>Luis Alberto Rodríguez (Andalucía y Badajoz)</v>
      </c>
    </row>
    <row r="1444" spans="2:16">
      <c r="B1444" s="6">
        <f ca="1">IFERROR(__xludf.DUMMYFUNCTION("""COMPUTED_VALUE"""),2025)</f>
        <v>2025</v>
      </c>
      <c r="C1444" s="6">
        <f ca="1">IFERROR(__xludf.DUMMYFUNCTION("""COMPUTED_VALUE"""),11)</f>
        <v>11</v>
      </c>
      <c r="D1444" s="6" t="str">
        <f ca="1">IFERROR(__xludf.DUMMYFUNCTION("""COMPUTED_VALUE"""),"NO")</f>
        <v>NO</v>
      </c>
      <c r="E1444" s="6" t="str">
        <f ca="1">IFERROR(__xludf.DUMMYFUNCTION("""COMPUTED_VALUE"""),"Orihuela")</f>
        <v>Orihuela</v>
      </c>
      <c r="F1444" s="16">
        <f ca="1">IFERROR(__xludf.DUMMYFUNCTION("""COMPUTED_VALUE"""),45973)</f>
        <v>45973</v>
      </c>
      <c r="G1444" s="16">
        <f ca="1">IFERROR(__xludf.DUMMYFUNCTION("""COMPUTED_VALUE"""),45918)</f>
        <v>45918</v>
      </c>
      <c r="H1444" s="6" t="str">
        <f ca="1">IFERROR(__xludf.DUMMYFUNCTION("""COMPUTED_VALUE"""),"La Zenia")</f>
        <v>La Zenia</v>
      </c>
      <c r="I1444" s="6" t="str">
        <f ca="1">IFERROR(__xludf.DUMMYFUNCTION("""COMPUTED_VALUE"""),"C202593018018131")</f>
        <v>C202593018018131</v>
      </c>
      <c r="J1444" s="6" t="str">
        <f ca="1">IFERROR(__xludf.DUMMYFUNCTION("""COMPUTED_VALUE"""),"ANTONIO RUIZ SUSARTE")</f>
        <v>ANTONIO RUIZ SUSARTE</v>
      </c>
      <c r="K1444" s="6">
        <f ca="1">IFERROR(__xludf.DUMMYFUNCTION("""COMPUTED_VALUE"""),2)</f>
        <v>2</v>
      </c>
      <c r="L1444" s="139">
        <f ca="1">IFERROR(__xludf.DUMMYFUNCTION("""COMPUTED_VALUE"""),3631.82)</f>
        <v>3631.82</v>
      </c>
      <c r="M1444" s="6" t="str">
        <f ca="1">IFERROR(__xludf.DUMMYFUNCTION("""COMPUTED_VALUE"""),"03 ORL")</f>
        <v>03 ORL</v>
      </c>
      <c r="N1444" s="6" t="str">
        <f ca="1">IFERROR(__xludf.DUMMYFUNCTION("""COMPUTED_VALUE"""),"06 ORL")</f>
        <v>06 ORL</v>
      </c>
      <c r="O1444" s="6" t="str">
        <f ca="1">IFERROR(__xludf.DUMMYFUNCTION("""COMPUTED_VALUE"""),"Dra, Oreana Carolina Camacaro González")</f>
        <v>Dra, Oreana Carolina Camacaro González</v>
      </c>
      <c r="P1444" s="6" t="str">
        <f ca="1">IFERROR(__xludf.DUMMYFUNCTION("""COMPUTED_VALUE"""),"Iván Sánchez (Levante Y Albacete)")</f>
        <v>Iván Sánchez (Levante Y Albacete)</v>
      </c>
    </row>
    <row r="1445" spans="2:16">
      <c r="B1445" s="6">
        <f ca="1">IFERROR(__xludf.DUMMYFUNCTION("""COMPUTED_VALUE"""),2025)</f>
        <v>2025</v>
      </c>
      <c r="C1445" s="6">
        <f ca="1">IFERROR(__xludf.DUMMYFUNCTION("""COMPUTED_VALUE"""),11)</f>
        <v>11</v>
      </c>
      <c r="D1445" s="6" t="str">
        <f ca="1">IFERROR(__xludf.DUMMYFUNCTION("""COMPUTED_VALUE"""),"NO")</f>
        <v>NO</v>
      </c>
      <c r="E1445" s="6" t="str">
        <f ca="1">IFERROR(__xludf.DUMMYFUNCTION("""COMPUTED_VALUE"""),"Ourense")</f>
        <v>Ourense</v>
      </c>
      <c r="F1445" s="16">
        <f ca="1">IFERROR(__xludf.DUMMYFUNCTION("""COMPUTED_VALUE"""),45973)</f>
        <v>45973</v>
      </c>
      <c r="G1445" s="16">
        <f ca="1">IFERROR(__xludf.DUMMYFUNCTION("""COMPUTED_VALUE"""),45936)</f>
        <v>45936</v>
      </c>
      <c r="H1445" s="6" t="str">
        <f ca="1">IFERROR(__xludf.DUMMYFUNCTION("""COMPUTED_VALUE"""),"Orense")</f>
        <v>Orense</v>
      </c>
      <c r="I1445" s="6" t="str">
        <f ca="1">IFERROR(__xludf.DUMMYFUNCTION("""COMPUTED_VALUE"""),"C20251010121825")</f>
        <v>C20251010121825</v>
      </c>
      <c r="J1445" s="6" t="str">
        <f ca="1">IFERROR(__xludf.DUMMYFUNCTION("""COMPUTED_VALUE"""),"NEREA GARCIA VAZ")</f>
        <v>NEREA GARCIA VAZ</v>
      </c>
      <c r="K1445" s="6">
        <f ca="1">IFERROR(__xludf.DUMMYFUNCTION("""COMPUTED_VALUE"""),2)</f>
        <v>2</v>
      </c>
      <c r="L1445" s="139">
        <f ca="1">IFERROR(__xludf.DUMMYFUNCTION("""COMPUTED_VALUE"""),4536.36)</f>
        <v>4536.3599999999997</v>
      </c>
      <c r="M1445" s="6" t="str">
        <f ca="1">IFERROR(__xludf.DUMMYFUNCTION("""COMPUTED_VALUE"""),"03 ORL")</f>
        <v>03 ORL</v>
      </c>
      <c r="N1445" s="6" t="str">
        <f ca="1">IFERROR(__xludf.DUMMYFUNCTION("""COMPUTED_VALUE"""),"06 ORL")</f>
        <v>06 ORL</v>
      </c>
      <c r="O1445" s="6" t="str">
        <f ca="1">IFERROR(__xludf.DUMMYFUNCTION("""COMPUTED_VALUE"""),"Dra, María Rey Marcos")</f>
        <v>Dra, María Rey Marcos</v>
      </c>
      <c r="P1445" s="6" t="str">
        <f ca="1">IFERROR(__xludf.DUMMYFUNCTION("""COMPUTED_VALUE"""),"Roberto Pereira (Galicia)")</f>
        <v>Roberto Pereira (Galicia)</v>
      </c>
    </row>
    <row r="1446" spans="2:16">
      <c r="B1446" s="6">
        <f ca="1">IFERROR(__xludf.DUMMYFUNCTION("""COMPUTED_VALUE"""),2025)</f>
        <v>2025</v>
      </c>
      <c r="C1446" s="6">
        <f ca="1">IFERROR(__xludf.DUMMYFUNCTION("""COMPUTED_VALUE"""),11)</f>
        <v>11</v>
      </c>
      <c r="D1446" s="6" t="str">
        <f ca="1">IFERROR(__xludf.DUMMYFUNCTION("""COMPUTED_VALUE"""),"NO")</f>
        <v>NO</v>
      </c>
      <c r="E1446" s="6" t="str">
        <f ca="1">IFERROR(__xludf.DUMMYFUNCTION("""COMPUTED_VALUE"""),"Alicante")</f>
        <v>Alicante</v>
      </c>
      <c r="F1446" s="16">
        <f ca="1">IFERROR(__xludf.DUMMYFUNCTION("""COMPUTED_VALUE"""),45973)</f>
        <v>45973</v>
      </c>
      <c r="G1446" s="16">
        <f ca="1">IFERROR(__xludf.DUMMYFUNCTION("""COMPUTED_VALUE"""),45763)</f>
        <v>45763</v>
      </c>
      <c r="H1446" s="6" t="str">
        <f ca="1">IFERROR(__xludf.DUMMYFUNCTION("""COMPUTED_VALUE"""),"Alicante")</f>
        <v>Alicante</v>
      </c>
      <c r="I1446" s="6" t="str">
        <f ca="1">IFERROR(__xludf.DUMMYFUNCTION("""COMPUTED_VALUE"""),"C2025520162413995")</f>
        <v>C2025520162413995</v>
      </c>
      <c r="J1446" s="6" t="str">
        <f ca="1">IFERROR(__xludf.DUMMYFUNCTION("""COMPUTED_VALUE"""),"FERNANDO MILLAN ECHEVARRIA")</f>
        <v>FERNANDO MILLAN ECHEVARRIA</v>
      </c>
      <c r="K1446" s="6">
        <f ca="1">IFERROR(__xludf.DUMMYFUNCTION("""COMPUTED_VALUE"""),2)</f>
        <v>2</v>
      </c>
      <c r="L1446" s="139">
        <f ca="1">IFERROR(__xludf.DUMMYFUNCTION("""COMPUTED_VALUE"""),2582.27)</f>
        <v>2582.27</v>
      </c>
      <c r="M1446" s="6" t="str">
        <f ca="1">IFERROR(__xludf.DUMMYFUNCTION("""COMPUTED_VALUE"""),"03 ORL")</f>
        <v>03 ORL</v>
      </c>
      <c r="N1446" s="6" t="str">
        <f ca="1">IFERROR(__xludf.DUMMYFUNCTION("""COMPUTED_VALUE"""),"06 ORL")</f>
        <v>06 ORL</v>
      </c>
      <c r="O1446" s="6" t="str">
        <f ca="1">IFERROR(__xludf.DUMMYFUNCTION("""COMPUTED_VALUE"""),"Dra, Cristina Muñoz Pinto")</f>
        <v>Dra, Cristina Muñoz Pinto</v>
      </c>
      <c r="P1446" s="6" t="str">
        <f ca="1">IFERROR(__xludf.DUMMYFUNCTION("""COMPUTED_VALUE"""),"Iván Sánchez (Levante Y Albacete)")</f>
        <v>Iván Sánchez (Levante Y Albacete)</v>
      </c>
    </row>
    <row r="1447" spans="2:16">
      <c r="B1447" s="6">
        <f ca="1">IFERROR(__xludf.DUMMYFUNCTION("""COMPUTED_VALUE"""),2025)</f>
        <v>2025</v>
      </c>
      <c r="C1447" s="6">
        <f ca="1">IFERROR(__xludf.DUMMYFUNCTION("""COMPUTED_VALUE"""),11)</f>
        <v>11</v>
      </c>
      <c r="D1447" s="6" t="str">
        <f ca="1">IFERROR(__xludf.DUMMYFUNCTION("""COMPUTED_VALUE"""),"NO")</f>
        <v>NO</v>
      </c>
      <c r="E1447" s="6" t="str">
        <f ca="1">IFERROR(__xludf.DUMMYFUNCTION("""COMPUTED_VALUE"""),"Boiro")</f>
        <v>Boiro</v>
      </c>
      <c r="F1447" s="16">
        <f ca="1">IFERROR(__xludf.DUMMYFUNCTION("""COMPUTED_VALUE"""),45974)</f>
        <v>45974</v>
      </c>
      <c r="G1447" s="16">
        <f ca="1">IFERROR(__xludf.DUMMYFUNCTION("""COMPUTED_VALUE"""),45937)</f>
        <v>45937</v>
      </c>
      <c r="H1447" s="6" t="str">
        <f ca="1">IFERROR(__xludf.DUMMYFUNCTION("""COMPUTED_VALUE"""),"Boiro")</f>
        <v>Boiro</v>
      </c>
      <c r="I1447" s="6" t="str">
        <f ca="1">IFERROR(__xludf.DUMMYFUNCTION("""COMPUTED_VALUE"""),"BOI-1002")</f>
        <v>BOI-1002</v>
      </c>
      <c r="J1447" s="6" t="str">
        <f ca="1">IFERROR(__xludf.DUMMYFUNCTION("""COMPUTED_VALUE"""),"GERMAN MUÑIZ SIEIRA")</f>
        <v>GERMAN MUÑIZ SIEIRA</v>
      </c>
      <c r="K1447" s="6">
        <f ca="1">IFERROR(__xludf.DUMMYFUNCTION("""COMPUTED_VALUE"""),3)</f>
        <v>3</v>
      </c>
      <c r="L1447" s="139">
        <f ca="1">IFERROR(__xludf.DUMMYFUNCTION("""COMPUTED_VALUE"""),3436.36)</f>
        <v>3436.36</v>
      </c>
      <c r="M1447" s="6" t="str">
        <f ca="1">IFERROR(__xludf.DUMMYFUNCTION("""COMPUTED_VALUE"""),"03 ORL")</f>
        <v>03 ORL</v>
      </c>
      <c r="N1447" s="6" t="str">
        <f ca="1">IFERROR(__xludf.DUMMYFUNCTION("""COMPUTED_VALUE"""),"06 ORL")</f>
        <v>06 ORL</v>
      </c>
      <c r="O1447" s="6" t="str">
        <f ca="1">IFERROR(__xludf.DUMMYFUNCTION("""COMPUTED_VALUE"""),"Dr, Ernesto Varela Martínez")</f>
        <v>Dr, Ernesto Varela Martínez</v>
      </c>
      <c r="P1447" s="6" t="str">
        <f ca="1">IFERROR(__xludf.DUMMYFUNCTION("""COMPUTED_VALUE"""),"Roberto Pereira (Galicia)")</f>
        <v>Roberto Pereira (Galicia)</v>
      </c>
    </row>
    <row r="1448" spans="2:16">
      <c r="B1448" s="6">
        <f ca="1">IFERROR(__xludf.DUMMYFUNCTION("""COMPUTED_VALUE"""),2025)</f>
        <v>2025</v>
      </c>
      <c r="C1448" s="6">
        <f ca="1">IFERROR(__xludf.DUMMYFUNCTION("""COMPUTED_VALUE"""),11)</f>
        <v>11</v>
      </c>
      <c r="D1448" s="6" t="str">
        <f ca="1">IFERROR(__xludf.DUMMYFUNCTION("""COMPUTED_VALUE"""),"NO")</f>
        <v>NO</v>
      </c>
      <c r="E1448" s="6" t="str">
        <f ca="1">IFERROR(__xludf.DUMMYFUNCTION("""COMPUTED_VALUE"""),"Móstoles")</f>
        <v>Móstoles</v>
      </c>
      <c r="F1448" s="16">
        <f ca="1">IFERROR(__xludf.DUMMYFUNCTION("""COMPUTED_VALUE"""),45974)</f>
        <v>45974</v>
      </c>
      <c r="G1448" s="16">
        <f ca="1">IFERROR(__xludf.DUMMYFUNCTION("""COMPUTED_VALUE"""),45919)</f>
        <v>45919</v>
      </c>
      <c r="H1448" s="6" t="str">
        <f ca="1">IFERROR(__xludf.DUMMYFUNCTION("""COMPUTED_VALUE"""),"Móstoles")</f>
        <v>Móstoles</v>
      </c>
      <c r="I1448" s="6" t="str">
        <f ca="1">IFERROR(__xludf.DUMMYFUNCTION("""COMPUTED_VALUE"""),"C202593011223980")</f>
        <v>C202593011223980</v>
      </c>
      <c r="J1448" s="6" t="str">
        <f ca="1">IFERROR(__xludf.DUMMYFUNCTION("""COMPUTED_VALUE"""),"LUISA NOVO VIVERO")</f>
        <v>LUISA NOVO VIVERO</v>
      </c>
      <c r="K1448" s="6">
        <f ca="1">IFERROR(__xludf.DUMMYFUNCTION("""COMPUTED_VALUE"""),2)</f>
        <v>2</v>
      </c>
      <c r="L1448" s="139">
        <f ca="1">IFERROR(__xludf.DUMMYFUNCTION("""COMPUTED_VALUE"""),3631.82)</f>
        <v>3631.82</v>
      </c>
      <c r="M1448" s="6" t="str">
        <f ca="1">IFERROR(__xludf.DUMMYFUNCTION("""COMPUTED_VALUE"""),"03 ORL")</f>
        <v>03 ORL</v>
      </c>
      <c r="N1448" s="6" t="str">
        <f ca="1">IFERROR(__xludf.DUMMYFUNCTION("""COMPUTED_VALUE"""),"06 ORL")</f>
        <v>06 ORL</v>
      </c>
      <c r="O1448" s="6" t="str">
        <f ca="1">IFERROR(__xludf.DUMMYFUNCTION("""COMPUTED_VALUE"""),"Dra, Elvylins Vargas Yglesia")</f>
        <v>Dra, Elvylins Vargas Yglesia</v>
      </c>
      <c r="P1448" s="6" t="str">
        <f ca="1">IFERROR(__xludf.DUMMYFUNCTION("""COMPUTED_VALUE"""),"Maika Blázquez (Madrid)")</f>
        <v>Maika Blázquez (Madrid)</v>
      </c>
    </row>
    <row r="1449" spans="2:16">
      <c r="B1449" s="6">
        <f ca="1">IFERROR(__xludf.DUMMYFUNCTION("""COMPUTED_VALUE"""),2025)</f>
        <v>2025</v>
      </c>
      <c r="C1449" s="6">
        <f ca="1">IFERROR(__xludf.DUMMYFUNCTION("""COMPUTED_VALUE"""),11)</f>
        <v>11</v>
      </c>
      <c r="D1449" s="6" t="str">
        <f ca="1">IFERROR(__xludf.DUMMYFUNCTION("""COMPUTED_VALUE"""),"NO")</f>
        <v>NO</v>
      </c>
      <c r="E1449" s="6" t="str">
        <f ca="1">IFERROR(__xludf.DUMMYFUNCTION("""COMPUTED_VALUE"""),"Orihuela")</f>
        <v>Orihuela</v>
      </c>
      <c r="F1449" s="16">
        <f ca="1">IFERROR(__xludf.DUMMYFUNCTION("""COMPUTED_VALUE"""),45974)</f>
        <v>45974</v>
      </c>
      <c r="G1449" s="16">
        <f ca="1">IFERROR(__xludf.DUMMYFUNCTION("""COMPUTED_VALUE"""),45931)</f>
        <v>45931</v>
      </c>
      <c r="H1449" s="6" t="str">
        <f ca="1">IFERROR(__xludf.DUMMYFUNCTION("""COMPUTED_VALUE"""),"La Zenia")</f>
        <v>La Zenia</v>
      </c>
      <c r="I1449" s="6" t="str">
        <f ca="1">IFERROR(__xludf.DUMMYFUNCTION("""COMPUTED_VALUE"""),"C2025102116047305")</f>
        <v>C2025102116047305</v>
      </c>
      <c r="J1449" s="6" t="str">
        <f ca="1">IFERROR(__xludf.DUMMYFUNCTION("""COMPUTED_VALUE"""),"BARBARA ROLLETT")</f>
        <v>BARBARA ROLLETT</v>
      </c>
      <c r="K1449" s="6">
        <f ca="1">IFERROR(__xludf.DUMMYFUNCTION("""COMPUTED_VALUE"""),1)</f>
        <v>1</v>
      </c>
      <c r="L1449" s="139">
        <f ca="1">IFERROR(__xludf.DUMMYFUNCTION("""COMPUTED_VALUE"""),2180.91)</f>
        <v>2180.91</v>
      </c>
      <c r="M1449" s="6" t="str">
        <f ca="1">IFERROR(__xludf.DUMMYFUNCTION("""COMPUTED_VALUE"""),"03 ORL")</f>
        <v>03 ORL</v>
      </c>
      <c r="N1449" s="6" t="str">
        <f ca="1">IFERROR(__xludf.DUMMYFUNCTION("""COMPUTED_VALUE"""),"06 ORL")</f>
        <v>06 ORL</v>
      </c>
      <c r="O1449" s="6" t="str">
        <f ca="1">IFERROR(__xludf.DUMMYFUNCTION("""COMPUTED_VALUE"""),"Dra, María Agustina Sevilla García")</f>
        <v>Dra, María Agustina Sevilla García</v>
      </c>
      <c r="P1449" s="6" t="str">
        <f ca="1">IFERROR(__xludf.DUMMYFUNCTION("""COMPUTED_VALUE"""),"Iván Sánchez (Levante Y Albacete)")</f>
        <v>Iván Sánchez (Levante Y Albacete)</v>
      </c>
    </row>
    <row r="1450" spans="2:16">
      <c r="B1450" s="6">
        <f ca="1">IFERROR(__xludf.DUMMYFUNCTION("""COMPUTED_VALUE"""),2025)</f>
        <v>2025</v>
      </c>
      <c r="C1450" s="6">
        <f ca="1">IFERROR(__xludf.DUMMYFUNCTION("""COMPUTED_VALUE"""),11)</f>
        <v>11</v>
      </c>
      <c r="D1450" s="6" t="str">
        <f ca="1">IFERROR(__xludf.DUMMYFUNCTION("""COMPUTED_VALUE"""),"NO")</f>
        <v>NO</v>
      </c>
      <c r="E1450" s="6" t="str">
        <f ca="1">IFERROR(__xludf.DUMMYFUNCTION("""COMPUTED_VALUE"""),"Santiago de Compostela")</f>
        <v>Santiago de Compostela</v>
      </c>
      <c r="F1450" s="16">
        <f ca="1">IFERROR(__xludf.DUMMYFUNCTION("""COMPUTED_VALUE"""),45974)</f>
        <v>45974</v>
      </c>
      <c r="G1450" s="16">
        <f ca="1">IFERROR(__xludf.DUMMYFUNCTION("""COMPUTED_VALUE"""),45947)</f>
        <v>45947</v>
      </c>
      <c r="H1450" s="6" t="str">
        <f ca="1">IFERROR(__xludf.DUMMYFUNCTION("""COMPUTED_VALUE"""),"Santiago")</f>
        <v>Santiago</v>
      </c>
      <c r="I1450" s="6" t="str">
        <f ca="1">IFERROR(__xludf.DUMMYFUNCTION("""COMPUTED_VALUE"""),"C202510179114967503")</f>
        <v>C202510179114967503</v>
      </c>
      <c r="J1450" s="6" t="str">
        <f ca="1">IFERROR(__xludf.DUMMYFUNCTION("""COMPUTED_VALUE"""),"CONCEPCIÓN  ABAD GARCIA")</f>
        <v>CONCEPCIÓN  ABAD GARCIA</v>
      </c>
      <c r="K1450" s="6">
        <f ca="1">IFERROR(__xludf.DUMMYFUNCTION("""COMPUTED_VALUE"""),2)</f>
        <v>2</v>
      </c>
      <c r="L1450" s="139">
        <f ca="1">IFERROR(__xludf.DUMMYFUNCTION("""COMPUTED_VALUE"""),3631.82)</f>
        <v>3631.82</v>
      </c>
      <c r="M1450" s="6" t="str">
        <f ca="1">IFERROR(__xludf.DUMMYFUNCTION("""COMPUTED_VALUE"""),"03 ORL")</f>
        <v>03 ORL</v>
      </c>
      <c r="N1450" s="6" t="str">
        <f ca="1">IFERROR(__xludf.DUMMYFUNCTION("""COMPUTED_VALUE"""),"06 ORL")</f>
        <v>06 ORL</v>
      </c>
      <c r="O1450" s="6" t="str">
        <f ca="1">IFERROR(__xludf.DUMMYFUNCTION("""COMPUTED_VALUE"""),"Dra, Isabel Vaamonde Sanchez Andrade")</f>
        <v>Dra, Isabel Vaamonde Sanchez Andrade</v>
      </c>
      <c r="P1450" s="6" t="str">
        <f ca="1">IFERROR(__xludf.DUMMYFUNCTION("""COMPUTED_VALUE"""),"Roberto Pereira (Galicia)")</f>
        <v>Roberto Pereira (Galicia)</v>
      </c>
    </row>
    <row r="1451" spans="2:16">
      <c r="B1451" s="6">
        <f ca="1">IFERROR(__xludf.DUMMYFUNCTION("""COMPUTED_VALUE"""),2025)</f>
        <v>2025</v>
      </c>
      <c r="C1451" s="6">
        <f ca="1">IFERROR(__xludf.DUMMYFUNCTION("""COMPUTED_VALUE"""),11)</f>
        <v>11</v>
      </c>
      <c r="D1451" s="6" t="str">
        <f ca="1">IFERROR(__xludf.DUMMYFUNCTION("""COMPUTED_VALUE"""),"NO")</f>
        <v>NO</v>
      </c>
      <c r="E1451" s="6" t="str">
        <f ca="1">IFERROR(__xludf.DUMMYFUNCTION("""COMPUTED_VALUE"""),"Sevilla- Montoto")</f>
        <v>Sevilla- Montoto</v>
      </c>
      <c r="F1451" s="16">
        <f ca="1">IFERROR(__xludf.DUMMYFUNCTION("""COMPUTED_VALUE"""),45974)</f>
        <v>45974</v>
      </c>
      <c r="G1451" s="16">
        <f ca="1">IFERROR(__xludf.DUMMYFUNCTION("""COMPUTED_VALUE"""),45902)</f>
        <v>45902</v>
      </c>
      <c r="H1451" s="6" t="str">
        <f ca="1">IFERROR(__xludf.DUMMYFUNCTION("""COMPUTED_VALUE"""),"Montoto")</f>
        <v>Montoto</v>
      </c>
      <c r="I1451" s="6" t="str">
        <f ca="1">IFERROR(__xludf.DUMMYFUNCTION("""COMPUTED_VALUE"""),"C202592105921739")</f>
        <v>C202592105921739</v>
      </c>
      <c r="J1451" s="6" t="str">
        <f ca="1">IFERROR(__xludf.DUMMYFUNCTION("""COMPUTED_VALUE"""),"JUAN DELGADO OLMO")</f>
        <v>JUAN DELGADO OLMO</v>
      </c>
      <c r="K1451" s="6">
        <f ca="1">IFERROR(__xludf.DUMMYFUNCTION("""COMPUTED_VALUE"""),2)</f>
        <v>2</v>
      </c>
      <c r="L1451" s="139">
        <f ca="1">IFERROR(__xludf.DUMMYFUNCTION("""COMPUTED_VALUE"""),4134.62)</f>
        <v>4134.62</v>
      </c>
      <c r="M1451" s="6" t="str">
        <f ca="1">IFERROR(__xludf.DUMMYFUNCTION("""COMPUTED_VALUE"""),"03 ORL")</f>
        <v>03 ORL</v>
      </c>
      <c r="N1451" s="6" t="str">
        <f ca="1">IFERROR(__xludf.DUMMYFUNCTION("""COMPUTED_VALUE"""),"06 ORL")</f>
        <v>06 ORL</v>
      </c>
      <c r="O1451" s="6" t="str">
        <f ca="1">IFERROR(__xludf.DUMMYFUNCTION("""COMPUTED_VALUE"""),"Dra, Mª Luisa Calero Ramos")</f>
        <v>Dra, Mª Luisa Calero Ramos</v>
      </c>
      <c r="P1451" s="6" t="str">
        <f ca="1">IFERROR(__xludf.DUMMYFUNCTION("""COMPUTED_VALUE"""),"Luis Alberto Rodríguez (Andalucía y Badajoz)")</f>
        <v>Luis Alberto Rodríguez (Andalucía y Badajoz)</v>
      </c>
    </row>
    <row r="1452" spans="2:16">
      <c r="B1452" s="6">
        <f ca="1">IFERROR(__xludf.DUMMYFUNCTION("""COMPUTED_VALUE"""),2025)</f>
        <v>2025</v>
      </c>
      <c r="C1452" s="6">
        <f ca="1">IFERROR(__xludf.DUMMYFUNCTION("""COMPUTED_VALUE"""),11)</f>
        <v>11</v>
      </c>
      <c r="D1452" s="6" t="str">
        <f ca="1">IFERROR(__xludf.DUMMYFUNCTION("""COMPUTED_VALUE"""),"NO")</f>
        <v>NO</v>
      </c>
      <c r="E1452" s="6" t="str">
        <f ca="1">IFERROR(__xludf.DUMMYFUNCTION("""COMPUTED_VALUE"""),"Alicante")</f>
        <v>Alicante</v>
      </c>
      <c r="F1452" s="16">
        <f ca="1">IFERROR(__xludf.DUMMYFUNCTION("""COMPUTED_VALUE"""),45974)</f>
        <v>45974</v>
      </c>
      <c r="G1452" s="16">
        <f ca="1">IFERROR(__xludf.DUMMYFUNCTION("""COMPUTED_VALUE"""),45936)</f>
        <v>45936</v>
      </c>
      <c r="H1452" s="6" t="str">
        <f ca="1">IFERROR(__xludf.DUMMYFUNCTION("""COMPUTED_VALUE"""),"Alicante")</f>
        <v>Alicante</v>
      </c>
      <c r="I1452" s="6" t="str">
        <f ca="1">IFERROR(__xludf.DUMMYFUNCTION("""COMPUTED_VALUE"""),"C20251017111157143")</f>
        <v>C20251017111157143</v>
      </c>
      <c r="J1452" s="6" t="str">
        <f ca="1">IFERROR(__xludf.DUMMYFUNCTION("""COMPUTED_VALUE"""),"FUENSANTA LOPEZ ORTIZ")</f>
        <v>FUENSANTA LOPEZ ORTIZ</v>
      </c>
      <c r="K1452" s="6">
        <f ca="1">IFERROR(__xludf.DUMMYFUNCTION("""COMPUTED_VALUE"""),2)</f>
        <v>2</v>
      </c>
      <c r="L1452" s="139">
        <f ca="1">IFERROR(__xludf.DUMMYFUNCTION("""COMPUTED_VALUE"""),3631.82)</f>
        <v>3631.82</v>
      </c>
      <c r="M1452" s="6" t="str">
        <f ca="1">IFERROR(__xludf.DUMMYFUNCTION("""COMPUTED_VALUE"""),"03 ORL")</f>
        <v>03 ORL</v>
      </c>
      <c r="N1452" s="6" t="str">
        <f ca="1">IFERROR(__xludf.DUMMYFUNCTION("""COMPUTED_VALUE"""),"06 ORL")</f>
        <v>06 ORL</v>
      </c>
      <c r="O1452" s="6" t="str">
        <f ca="1">IFERROR(__xludf.DUMMYFUNCTION("""COMPUTED_VALUE"""),"Dra, Cristina Muñoz Pinto")</f>
        <v>Dra, Cristina Muñoz Pinto</v>
      </c>
      <c r="P1452" s="6" t="str">
        <f ca="1">IFERROR(__xludf.DUMMYFUNCTION("""COMPUTED_VALUE"""),"Iván Sánchez (Levante Y Albacete)")</f>
        <v>Iván Sánchez (Levante Y Albacete)</v>
      </c>
    </row>
    <row r="1453" spans="2:16">
      <c r="B1453" s="6">
        <f ca="1">IFERROR(__xludf.DUMMYFUNCTION("""COMPUTED_VALUE"""),2025)</f>
        <v>2025</v>
      </c>
      <c r="C1453" s="6">
        <f ca="1">IFERROR(__xludf.DUMMYFUNCTION("""COMPUTED_VALUE"""),11)</f>
        <v>11</v>
      </c>
      <c r="D1453" s="6" t="str">
        <f ca="1">IFERROR(__xludf.DUMMYFUNCTION("""COMPUTED_VALUE"""),"NO")</f>
        <v>NO</v>
      </c>
      <c r="E1453" s="6" t="str">
        <f ca="1">IFERROR(__xludf.DUMMYFUNCTION("""COMPUTED_VALUE"""),"Fuenlabrada")</f>
        <v>Fuenlabrada</v>
      </c>
      <c r="F1453" s="16">
        <f ca="1">IFERROR(__xludf.DUMMYFUNCTION("""COMPUTED_VALUE"""),45974)</f>
        <v>45974</v>
      </c>
      <c r="G1453" s="16">
        <f ca="1">IFERROR(__xludf.DUMMYFUNCTION("""COMPUTED_VALUE"""),45943)</f>
        <v>45943</v>
      </c>
      <c r="H1453" s="6" t="str">
        <f ca="1">IFERROR(__xludf.DUMMYFUNCTION("""COMPUTED_VALUE"""),"Fuenlabrada")</f>
        <v>Fuenlabrada</v>
      </c>
      <c r="I1453" s="6" t="str">
        <f ca="1">IFERROR(__xludf.DUMMYFUNCTION("""COMPUTED_VALUE"""),"C202510131341468155")</f>
        <v>C202510131341468155</v>
      </c>
      <c r="J1453" s="6" t="str">
        <f ca="1">IFERROR(__xludf.DUMMYFUNCTION("""COMPUTED_VALUE"""),"AUREA BUACHO SALOMON")</f>
        <v>AUREA BUACHO SALOMON</v>
      </c>
      <c r="K1453" s="6">
        <f ca="1">IFERROR(__xludf.DUMMYFUNCTION("""COMPUTED_VALUE"""),2)</f>
        <v>2</v>
      </c>
      <c r="L1453" s="139">
        <f ca="1">IFERROR(__xludf.DUMMYFUNCTION("""COMPUTED_VALUE"""),2718.18)</f>
        <v>2718.18</v>
      </c>
      <c r="M1453" s="6" t="str">
        <f ca="1">IFERROR(__xludf.DUMMYFUNCTION("""COMPUTED_VALUE"""),"03 ORL")</f>
        <v>03 ORL</v>
      </c>
      <c r="N1453" s="6" t="str">
        <f ca="1">IFERROR(__xludf.DUMMYFUNCTION("""COMPUTED_VALUE"""),"06 ORL")</f>
        <v>06 ORL</v>
      </c>
      <c r="O1453" s="6" t="str">
        <f ca="1">IFERROR(__xludf.DUMMYFUNCTION("""COMPUTED_VALUE"""),"Dra, Concepcion Rodríguez Izquierdo")</f>
        <v>Dra, Concepcion Rodríguez Izquierdo</v>
      </c>
      <c r="P1453" s="6" t="str">
        <f ca="1">IFERROR(__xludf.DUMMYFUNCTION("""COMPUTED_VALUE"""),"Maika Blázquez (Madrid)")</f>
        <v>Maika Blázquez (Madrid)</v>
      </c>
    </row>
    <row r="1454" spans="2:16">
      <c r="B1454" s="6">
        <f ca="1">IFERROR(__xludf.DUMMYFUNCTION("""COMPUTED_VALUE"""),2025)</f>
        <v>2025</v>
      </c>
      <c r="C1454" s="6">
        <f ca="1">IFERROR(__xludf.DUMMYFUNCTION("""COMPUTED_VALUE"""),11)</f>
        <v>11</v>
      </c>
      <c r="D1454" s="6" t="str">
        <f ca="1">IFERROR(__xludf.DUMMYFUNCTION("""COMPUTED_VALUE"""),"NO")</f>
        <v>NO</v>
      </c>
      <c r="E1454" s="6" t="str">
        <f ca="1">IFERROR(__xludf.DUMMYFUNCTION("""COMPUTED_VALUE"""),"San Javier")</f>
        <v>San Javier</v>
      </c>
      <c r="F1454" s="16">
        <f ca="1">IFERROR(__xludf.DUMMYFUNCTION("""COMPUTED_VALUE"""),45974)</f>
        <v>45974</v>
      </c>
      <c r="G1454" s="16">
        <f ca="1">IFERROR(__xludf.DUMMYFUNCTION("""COMPUTED_VALUE"""),45959)</f>
        <v>45959</v>
      </c>
      <c r="H1454" s="6" t="str">
        <f ca="1">IFERROR(__xludf.DUMMYFUNCTION("""COMPUTED_VALUE"""),"San Javier")</f>
        <v>San Javier</v>
      </c>
      <c r="I1454" s="6" t="str">
        <f ca="1">IFERROR(__xludf.DUMMYFUNCTION("""COMPUTED_VALUE"""),"C202510299541533762")</f>
        <v>C202510299541533762</v>
      </c>
      <c r="J1454" s="6" t="str">
        <f ca="1">IFERROR(__xludf.DUMMYFUNCTION("""COMPUTED_VALUE"""),"ISABEL SANCHEZ LOPEZ")</f>
        <v>ISABEL SANCHEZ LOPEZ</v>
      </c>
      <c r="K1454" s="6">
        <f ca="1">IFERROR(__xludf.DUMMYFUNCTION("""COMPUTED_VALUE"""),1)</f>
        <v>1</v>
      </c>
      <c r="L1454" s="139">
        <f ca="1">IFERROR(__xludf.DUMMYFUNCTION("""COMPUTED_VALUE"""),2180.91)</f>
        <v>2180.91</v>
      </c>
      <c r="M1454" s="6" t="str">
        <f ca="1">IFERROR(__xludf.DUMMYFUNCTION("""COMPUTED_VALUE"""),"03 ORL")</f>
        <v>03 ORL</v>
      </c>
      <c r="N1454" s="6" t="str">
        <f ca="1">IFERROR(__xludf.DUMMYFUNCTION("""COMPUTED_VALUE"""),"06 ORL")</f>
        <v>06 ORL</v>
      </c>
      <c r="O1454" s="6" t="str">
        <f ca="1">IFERROR(__xludf.DUMMYFUNCTION("""COMPUTED_VALUE"""),"No recuerda ORL")</f>
        <v>No recuerda ORL</v>
      </c>
      <c r="P1454" s="6" t="str">
        <f ca="1">IFERROR(__xludf.DUMMYFUNCTION("""COMPUTED_VALUE"""),"Iván Sánchez (Levante Y Albacete)")</f>
        <v>Iván Sánchez (Levante Y Albacete)</v>
      </c>
    </row>
    <row r="1455" spans="2:16">
      <c r="B1455" s="6">
        <f ca="1">IFERROR(__xludf.DUMMYFUNCTION("""COMPUTED_VALUE"""),2025)</f>
        <v>2025</v>
      </c>
      <c r="C1455" s="6">
        <f ca="1">IFERROR(__xludf.DUMMYFUNCTION("""COMPUTED_VALUE"""),11)</f>
        <v>11</v>
      </c>
      <c r="D1455" s="6" t="str">
        <f ca="1">IFERROR(__xludf.DUMMYFUNCTION("""COMPUTED_VALUE"""),"NO")</f>
        <v>NO</v>
      </c>
      <c r="E1455" s="6" t="str">
        <f ca="1">IFERROR(__xludf.DUMMYFUNCTION("""COMPUTED_VALUE"""),"Madrid- Monforte de Lemos")</f>
        <v>Madrid- Monforte de Lemos</v>
      </c>
      <c r="F1455" s="16">
        <f ca="1">IFERROR(__xludf.DUMMYFUNCTION("""COMPUTED_VALUE"""),45974)</f>
        <v>45974</v>
      </c>
      <c r="G1455" s="16">
        <f ca="1">IFERROR(__xludf.DUMMYFUNCTION("""COMPUTED_VALUE"""),45932)</f>
        <v>45932</v>
      </c>
      <c r="H1455" s="6" t="str">
        <f ca="1">IFERROR(__xludf.DUMMYFUNCTION("""COMPUTED_VALUE"""),"La Vaguada")</f>
        <v>La Vaguada</v>
      </c>
      <c r="I1455" s="6" t="str">
        <f ca="1">IFERROR(__xludf.DUMMYFUNCTION("""COMPUTED_VALUE"""),"C202510815458888")</f>
        <v>C202510815458888</v>
      </c>
      <c r="J1455" s="6" t="str">
        <f ca="1">IFERROR(__xludf.DUMMYFUNCTION("""COMPUTED_VALUE"""),"MARIA PALOMA BLAZQUEZ MORALES")</f>
        <v>MARIA PALOMA BLAZQUEZ MORALES</v>
      </c>
      <c r="K1455" s="6">
        <f ca="1">IFERROR(__xludf.DUMMYFUNCTION("""COMPUTED_VALUE"""),2)</f>
        <v>2</v>
      </c>
      <c r="L1455" s="139">
        <f ca="1">IFERROR(__xludf.DUMMYFUNCTION("""COMPUTED_VALUE"""),3631.82)</f>
        <v>3631.82</v>
      </c>
      <c r="M1455" s="6" t="str">
        <f ca="1">IFERROR(__xludf.DUMMYFUNCTION("""COMPUTED_VALUE"""),"03 ORL")</f>
        <v>03 ORL</v>
      </c>
      <c r="N1455" s="6" t="str">
        <f ca="1">IFERROR(__xludf.DUMMYFUNCTION("""COMPUTED_VALUE"""),"06 ORL")</f>
        <v>06 ORL</v>
      </c>
      <c r="O1455" s="6" t="str">
        <f ca="1">IFERROR(__xludf.DUMMYFUNCTION("""COMPUTED_VALUE"""),"Dra, Beatriz Arana Fernández")</f>
        <v>Dra, Beatriz Arana Fernández</v>
      </c>
      <c r="P1455" s="6" t="str">
        <f ca="1">IFERROR(__xludf.DUMMYFUNCTION("""COMPUTED_VALUE"""),"Maika Blázquez (Madrid)")</f>
        <v>Maika Blázquez (Madrid)</v>
      </c>
    </row>
    <row r="1456" spans="2:16">
      <c r="B1456" s="6">
        <f ca="1">IFERROR(__xludf.DUMMYFUNCTION("""COMPUTED_VALUE"""),2025)</f>
        <v>2025</v>
      </c>
      <c r="C1456" s="6">
        <f ca="1">IFERROR(__xludf.DUMMYFUNCTION("""COMPUTED_VALUE"""),11)</f>
        <v>11</v>
      </c>
      <c r="D1456" s="6" t="str">
        <f ca="1">IFERROR(__xludf.DUMMYFUNCTION("""COMPUTED_VALUE"""),"NO")</f>
        <v>NO</v>
      </c>
      <c r="E1456" s="6" t="str">
        <f ca="1">IFERROR(__xludf.DUMMYFUNCTION("""COMPUTED_VALUE"""),"Madrid- La Oca")</f>
        <v>Madrid- La Oca</v>
      </c>
      <c r="F1456" s="16">
        <f ca="1">IFERROR(__xludf.DUMMYFUNCTION("""COMPUTED_VALUE"""),45974)</f>
        <v>45974</v>
      </c>
      <c r="G1456" s="16">
        <f ca="1">IFERROR(__xludf.DUMMYFUNCTION("""COMPUTED_VALUE"""),45943)</f>
        <v>45943</v>
      </c>
      <c r="H1456" s="6" t="str">
        <f ca="1">IFERROR(__xludf.DUMMYFUNCTION("""COMPUTED_VALUE"""),"La Oca")</f>
        <v>La Oca</v>
      </c>
      <c r="I1456" s="6" t="str">
        <f ca="1">IFERROR(__xludf.DUMMYFUNCTION("""COMPUTED_VALUE"""),"C202510139202353346")</f>
        <v>C202510139202353346</v>
      </c>
      <c r="J1456" s="6" t="str">
        <f ca="1">IFERROR(__xludf.DUMMYFUNCTION("""COMPUTED_VALUE"""),"GABINO SANCHEZ SANCHEZ")</f>
        <v>GABINO SANCHEZ SANCHEZ</v>
      </c>
      <c r="K1456" s="6">
        <f ca="1">IFERROR(__xludf.DUMMYFUNCTION("""COMPUTED_VALUE"""),2)</f>
        <v>2</v>
      </c>
      <c r="L1456" s="139">
        <f ca="1">IFERROR(__xludf.DUMMYFUNCTION("""COMPUTED_VALUE"""),2717.31)</f>
        <v>2717.31</v>
      </c>
      <c r="M1456" s="6" t="str">
        <f ca="1">IFERROR(__xludf.DUMMYFUNCTION("""COMPUTED_VALUE"""),"03 ORL")</f>
        <v>03 ORL</v>
      </c>
      <c r="N1456" s="6" t="str">
        <f ca="1">IFERROR(__xludf.DUMMYFUNCTION("""COMPUTED_VALUE"""),"06 ORL")</f>
        <v>06 ORL</v>
      </c>
      <c r="O1456" s="6" t="str">
        <f ca="1">IFERROR(__xludf.DUMMYFUNCTION("""COMPUTED_VALUE"""),"Dr, Jaime Martín Carranza")</f>
        <v>Dr, Jaime Martín Carranza</v>
      </c>
      <c r="P1456" s="6" t="str">
        <f ca="1">IFERROR(__xludf.DUMMYFUNCTION("""COMPUTED_VALUE"""),"Maika Blázquez (Madrid)")</f>
        <v>Maika Blázquez (Madrid)</v>
      </c>
    </row>
    <row r="1457" spans="2:16">
      <c r="B1457" s="6">
        <f ca="1">IFERROR(__xludf.DUMMYFUNCTION("""COMPUTED_VALUE"""),2025)</f>
        <v>2025</v>
      </c>
      <c r="C1457" s="6">
        <f ca="1">IFERROR(__xludf.DUMMYFUNCTION("""COMPUTED_VALUE"""),11)</f>
        <v>11</v>
      </c>
      <c r="D1457" s="6" t="str">
        <f ca="1">IFERROR(__xludf.DUMMYFUNCTION("""COMPUTED_VALUE"""),"NO")</f>
        <v>NO</v>
      </c>
      <c r="E1457" s="6" t="str">
        <f ca="1">IFERROR(__xludf.DUMMYFUNCTION("""COMPUTED_VALUE"""),"Madrid- La Oca")</f>
        <v>Madrid- La Oca</v>
      </c>
      <c r="F1457" s="16">
        <f ca="1">IFERROR(__xludf.DUMMYFUNCTION("""COMPUTED_VALUE"""),45974)</f>
        <v>45974</v>
      </c>
      <c r="G1457" s="16">
        <f ca="1">IFERROR(__xludf.DUMMYFUNCTION("""COMPUTED_VALUE"""),45950)</f>
        <v>45950</v>
      </c>
      <c r="H1457" s="6" t="str">
        <f ca="1">IFERROR(__xludf.DUMMYFUNCTION("""COMPUTED_VALUE"""),"La Oca")</f>
        <v>La Oca</v>
      </c>
      <c r="I1457" s="6" t="str">
        <f ca="1">IFERROR(__xludf.DUMMYFUNCTION("""COMPUTED_VALUE"""),"C202510201153258429")</f>
        <v>C202510201153258429</v>
      </c>
      <c r="J1457" s="6" t="str">
        <f ca="1">IFERROR(__xludf.DUMMYFUNCTION("""COMPUTED_VALUE"""),"BEGOÑA GOMEZ-HIDALGO MATEO")</f>
        <v>BEGOÑA GOMEZ-HIDALGO MATEO</v>
      </c>
      <c r="K1457" s="6">
        <f ca="1">IFERROR(__xludf.DUMMYFUNCTION("""COMPUTED_VALUE"""),2)</f>
        <v>2</v>
      </c>
      <c r="L1457" s="139">
        <f ca="1">IFERROR(__xludf.DUMMYFUNCTION("""COMPUTED_VALUE"""),3631.82)</f>
        <v>3631.82</v>
      </c>
      <c r="M1457" s="6" t="str">
        <f ca="1">IFERROR(__xludf.DUMMYFUNCTION("""COMPUTED_VALUE"""),"03 ORL")</f>
        <v>03 ORL</v>
      </c>
      <c r="N1457" s="6" t="str">
        <f ca="1">IFERROR(__xludf.DUMMYFUNCTION("""COMPUTED_VALUE"""),"06 ORL")</f>
        <v>06 ORL</v>
      </c>
      <c r="O1457" s="6" t="str">
        <f ca="1">IFERROR(__xludf.DUMMYFUNCTION("""COMPUTED_VALUE"""),"Dr, Alfonso Plaza López")</f>
        <v>Dr, Alfonso Plaza López</v>
      </c>
      <c r="P1457" s="6" t="str">
        <f ca="1">IFERROR(__xludf.DUMMYFUNCTION("""COMPUTED_VALUE"""),"Maika Blázquez (Madrid)")</f>
        <v>Maika Blázquez (Madrid)</v>
      </c>
    </row>
    <row r="1458" spans="2:16">
      <c r="B1458" s="6">
        <f ca="1">IFERROR(__xludf.DUMMYFUNCTION("""COMPUTED_VALUE"""),2025)</f>
        <v>2025</v>
      </c>
      <c r="C1458" s="6">
        <f ca="1">IFERROR(__xludf.DUMMYFUNCTION("""COMPUTED_VALUE"""),11)</f>
        <v>11</v>
      </c>
      <c r="D1458" s="6" t="str">
        <f ca="1">IFERROR(__xludf.DUMMYFUNCTION("""COMPUTED_VALUE"""),"NO")</f>
        <v>NO</v>
      </c>
      <c r="E1458" s="6" t="str">
        <f ca="1">IFERROR(__xludf.DUMMYFUNCTION("""COMPUTED_VALUE"""),"Orihuela")</f>
        <v>Orihuela</v>
      </c>
      <c r="F1458" s="16">
        <f ca="1">IFERROR(__xludf.DUMMYFUNCTION("""COMPUTED_VALUE"""),45974)</f>
        <v>45974</v>
      </c>
      <c r="G1458" s="16">
        <f ca="1">IFERROR(__xludf.DUMMYFUNCTION("""COMPUTED_VALUE"""),45877)</f>
        <v>45877</v>
      </c>
      <c r="H1458" s="6" t="str">
        <f ca="1">IFERROR(__xludf.DUMMYFUNCTION("""COMPUTED_VALUE"""),"La Zenia")</f>
        <v>La Zenia</v>
      </c>
      <c r="I1458" s="6" t="str">
        <f ca="1">IFERROR(__xludf.DUMMYFUNCTION("""COMPUTED_VALUE"""),"C2025101112319145")</f>
        <v>C2025101112319145</v>
      </c>
      <c r="J1458" s="6" t="str">
        <f ca="1">IFERROR(__xludf.DUMMYFUNCTION("""COMPUTED_VALUE"""),"SHEILA ANN MCGEOWN")</f>
        <v>SHEILA ANN MCGEOWN</v>
      </c>
      <c r="K1458" s="6">
        <f ca="1">IFERROR(__xludf.DUMMYFUNCTION("""COMPUTED_VALUE"""),1)</f>
        <v>1</v>
      </c>
      <c r="L1458" s="139">
        <f ca="1">IFERROR(__xludf.DUMMYFUNCTION("""COMPUTED_VALUE"""),2481.82)</f>
        <v>2481.8200000000002</v>
      </c>
      <c r="M1458" s="6" t="str">
        <f ca="1">IFERROR(__xludf.DUMMYFUNCTION("""COMPUTED_VALUE"""),"03 ORL")</f>
        <v>03 ORL</v>
      </c>
      <c r="N1458" s="6" t="str">
        <f ca="1">IFERROR(__xludf.DUMMYFUNCTION("""COMPUTED_VALUE"""),"06 ORL")</f>
        <v>06 ORL</v>
      </c>
      <c r="O1458" s="6" t="str">
        <f ca="1">IFERROR(__xludf.DUMMYFUNCTION("""COMPUTED_VALUE"""),"Dr, Santiago Moreno Paredes")</f>
        <v>Dr, Santiago Moreno Paredes</v>
      </c>
      <c r="P1458" s="6" t="str">
        <f ca="1">IFERROR(__xludf.DUMMYFUNCTION("""COMPUTED_VALUE"""),"Iván Sánchez (Levante Y Albacete)")</f>
        <v>Iván Sánchez (Levante Y Albacete)</v>
      </c>
    </row>
    <row r="1459" spans="2:16">
      <c r="B1459" s="6">
        <f ca="1">IFERROR(__xludf.DUMMYFUNCTION("""COMPUTED_VALUE"""),2025)</f>
        <v>2025</v>
      </c>
      <c r="C1459" s="6">
        <f ca="1">IFERROR(__xludf.DUMMYFUNCTION("""COMPUTED_VALUE"""),11)</f>
        <v>11</v>
      </c>
      <c r="D1459" s="6" t="str">
        <f ca="1">IFERROR(__xludf.DUMMYFUNCTION("""COMPUTED_VALUE"""),"NO")</f>
        <v>NO</v>
      </c>
      <c r="E1459" s="6" t="str">
        <f ca="1">IFERROR(__xludf.DUMMYFUNCTION("""COMPUTED_VALUE"""),"Valladolid")</f>
        <v>Valladolid</v>
      </c>
      <c r="F1459" s="16">
        <f ca="1">IFERROR(__xludf.DUMMYFUNCTION("""COMPUTED_VALUE"""),45975)</f>
        <v>45975</v>
      </c>
      <c r="G1459" s="16">
        <f ca="1">IFERROR(__xludf.DUMMYFUNCTION("""COMPUTED_VALUE"""),45925)</f>
        <v>45925</v>
      </c>
      <c r="H1459" s="6" t="str">
        <f ca="1">IFERROR(__xludf.DUMMYFUNCTION("""COMPUTED_VALUE"""),"Valladolid")</f>
        <v>Valladolid</v>
      </c>
      <c r="I1459" s="6" t="str">
        <f ca="1">IFERROR(__xludf.DUMMYFUNCTION("""COMPUTED_VALUE"""),"VLL-449")</f>
        <v>VLL-449</v>
      </c>
      <c r="J1459" s="6" t="str">
        <f ca="1">IFERROR(__xludf.DUMMYFUNCTION("""COMPUTED_VALUE"""),"AMADOR MARTIN ALONSO")</f>
        <v>AMADOR MARTIN ALONSO</v>
      </c>
      <c r="K1459" s="6">
        <f ca="1">IFERROR(__xludf.DUMMYFUNCTION("""COMPUTED_VALUE"""),2)</f>
        <v>2</v>
      </c>
      <c r="L1459" s="139">
        <f ca="1">IFERROR(__xludf.DUMMYFUNCTION("""COMPUTED_VALUE"""),4431.82)</f>
        <v>4431.82</v>
      </c>
      <c r="M1459" s="6" t="str">
        <f ca="1">IFERROR(__xludf.DUMMYFUNCTION("""COMPUTED_VALUE"""),"03 ORL")</f>
        <v>03 ORL</v>
      </c>
      <c r="N1459" s="6" t="str">
        <f ca="1">IFERROR(__xludf.DUMMYFUNCTION("""COMPUTED_VALUE"""),"06 ORL")</f>
        <v>06 ORL</v>
      </c>
      <c r="O1459" s="6" t="str">
        <f ca="1">IFERROR(__xludf.DUMMYFUNCTION("""COMPUTED_VALUE"""),"Dra, Ana Fernández Rodríguez")</f>
        <v>Dra, Ana Fernández Rodríguez</v>
      </c>
      <c r="P1459" s="6" t="str">
        <f ca="1">IFERROR(__xludf.DUMMYFUNCTION("""COMPUTED_VALUE"""),"Alberto Moreno (Madrid)")</f>
        <v>Alberto Moreno (Madrid)</v>
      </c>
    </row>
    <row r="1460" spans="2:16">
      <c r="B1460" s="6">
        <f ca="1">IFERROR(__xludf.DUMMYFUNCTION("""COMPUTED_VALUE"""),2025)</f>
        <v>2025</v>
      </c>
      <c r="C1460" s="6">
        <f ca="1">IFERROR(__xludf.DUMMYFUNCTION("""COMPUTED_VALUE"""),11)</f>
        <v>11</v>
      </c>
      <c r="D1460" s="6" t="str">
        <f ca="1">IFERROR(__xludf.DUMMYFUNCTION("""COMPUTED_VALUE"""),"NO")</f>
        <v>NO</v>
      </c>
      <c r="E1460" s="6" t="str">
        <f ca="1">IFERROR(__xludf.DUMMYFUNCTION("""COMPUTED_VALUE"""),"Vigo")</f>
        <v>Vigo</v>
      </c>
      <c r="F1460" s="16">
        <f ca="1">IFERROR(__xludf.DUMMYFUNCTION("""COMPUTED_VALUE"""),45975)</f>
        <v>45975</v>
      </c>
      <c r="G1460" s="16">
        <f ca="1">IFERROR(__xludf.DUMMYFUNCTION("""COMPUTED_VALUE"""),45933)</f>
        <v>45933</v>
      </c>
      <c r="H1460" s="6" t="str">
        <f ca="1">IFERROR(__xludf.DUMMYFUNCTION("""COMPUTED_VALUE"""),"Vigo")</f>
        <v>Vigo</v>
      </c>
      <c r="I1460" s="6" t="str">
        <f ca="1">IFERROR(__xludf.DUMMYFUNCTION("""COMPUTED_VALUE"""),"0")</f>
        <v>0</v>
      </c>
      <c r="J1460" s="6" t="str">
        <f ca="1">IFERROR(__xludf.DUMMYFUNCTION("""COMPUTED_VALUE"""),"SANTIAGO DURAN SOTO")</f>
        <v>SANTIAGO DURAN SOTO</v>
      </c>
      <c r="K1460" s="6">
        <f ca="1">IFERROR(__xludf.DUMMYFUNCTION("""COMPUTED_VALUE"""),1)</f>
        <v>1</v>
      </c>
      <c r="L1460" s="139">
        <f ca="1">IFERROR(__xludf.DUMMYFUNCTION("""COMPUTED_VALUE"""),1727.27)</f>
        <v>1727.27</v>
      </c>
      <c r="M1460" s="6" t="str">
        <f ca="1">IFERROR(__xludf.DUMMYFUNCTION("""COMPUTED_VALUE"""),"03 ORL")</f>
        <v>03 ORL</v>
      </c>
      <c r="N1460" s="6" t="str">
        <f ca="1">IFERROR(__xludf.DUMMYFUNCTION("""COMPUTED_VALUE"""),"06 ORL")</f>
        <v>06 ORL</v>
      </c>
      <c r="O1460" s="6" t="str">
        <f ca="1">IFERROR(__xludf.DUMMYFUNCTION("""COMPUTED_VALUE"""),"Dra, Isabel Miranda García")</f>
        <v>Dra, Isabel Miranda García</v>
      </c>
      <c r="P1460" s="6" t="str">
        <f ca="1">IFERROR(__xludf.DUMMYFUNCTION("""COMPUTED_VALUE"""),"Roberto Pereira (Galicia)")</f>
        <v>Roberto Pereira (Galicia)</v>
      </c>
    </row>
    <row r="1461" spans="2:16">
      <c r="B1461" s="6">
        <f ca="1">IFERROR(__xludf.DUMMYFUNCTION("""COMPUTED_VALUE"""),2025)</f>
        <v>2025</v>
      </c>
      <c r="C1461" s="6">
        <f ca="1">IFERROR(__xludf.DUMMYFUNCTION("""COMPUTED_VALUE"""),11)</f>
        <v>11</v>
      </c>
      <c r="D1461" s="6" t="str">
        <f ca="1">IFERROR(__xludf.DUMMYFUNCTION("""COMPUTED_VALUE"""),"NO")</f>
        <v>NO</v>
      </c>
      <c r="E1461" s="6" t="str">
        <f ca="1">IFERROR(__xludf.DUMMYFUNCTION("""COMPUTED_VALUE"""),"Valencia- Cádiz")</f>
        <v>Valencia- Cádiz</v>
      </c>
      <c r="F1461" s="16">
        <f ca="1">IFERROR(__xludf.DUMMYFUNCTION("""COMPUTED_VALUE"""),45975)</f>
        <v>45975</v>
      </c>
      <c r="G1461" s="16">
        <f ca="1">IFERROR(__xludf.DUMMYFUNCTION("""COMPUTED_VALUE"""),45932)</f>
        <v>45932</v>
      </c>
      <c r="H1461" s="6" t="str">
        <f ca="1">IFERROR(__xludf.DUMMYFUNCTION("""COMPUTED_VALUE"""),"Valencia- Cádiz")</f>
        <v>Valencia- Cádiz</v>
      </c>
      <c r="I1461" s="6" t="str">
        <f ca="1">IFERROR(__xludf.DUMMYFUNCTION("""COMPUTED_VALUE"""),"C20251014182719552")</f>
        <v>C20251014182719552</v>
      </c>
      <c r="J1461" s="6" t="str">
        <f ca="1">IFERROR(__xludf.DUMMYFUNCTION("""COMPUTED_VALUE"""),"IRENE LLOBELL LLOBELL")</f>
        <v>IRENE LLOBELL LLOBELL</v>
      </c>
      <c r="K1461" s="6">
        <f ca="1">IFERROR(__xludf.DUMMYFUNCTION("""COMPUTED_VALUE"""),2)</f>
        <v>2</v>
      </c>
      <c r="L1461" s="139">
        <f ca="1">IFERROR(__xludf.DUMMYFUNCTION("""COMPUTED_VALUE"""),4536.36)</f>
        <v>4536.3599999999997</v>
      </c>
      <c r="M1461" s="6" t="str">
        <f ca="1">IFERROR(__xludf.DUMMYFUNCTION("""COMPUTED_VALUE"""),"03 ORL")</f>
        <v>03 ORL</v>
      </c>
      <c r="N1461" s="6" t="str">
        <f ca="1">IFERROR(__xludf.DUMMYFUNCTION("""COMPUTED_VALUE"""),"06 ORL")</f>
        <v>06 ORL</v>
      </c>
      <c r="O1461" s="6" t="str">
        <f ca="1">IFERROR(__xludf.DUMMYFUNCTION("""COMPUTED_VALUE"""),"Dr, Abel Guzmán Calvete")</f>
        <v>Dr, Abel Guzmán Calvete</v>
      </c>
      <c r="P1461" s="6" t="str">
        <f ca="1">IFERROR(__xludf.DUMMYFUNCTION("""COMPUTED_VALUE"""),"Ramon Ferrando(Valencia)")</f>
        <v>Ramon Ferrando(Valencia)</v>
      </c>
    </row>
    <row r="1462" spans="2:16">
      <c r="B1462" s="6">
        <f ca="1">IFERROR(__xludf.DUMMYFUNCTION("""COMPUTED_VALUE"""),2025)</f>
        <v>2025</v>
      </c>
      <c r="C1462" s="6">
        <f ca="1">IFERROR(__xludf.DUMMYFUNCTION("""COMPUTED_VALUE"""),11)</f>
        <v>11</v>
      </c>
      <c r="D1462" s="6" t="str">
        <f ca="1">IFERROR(__xludf.DUMMYFUNCTION("""COMPUTED_VALUE"""),"NO")</f>
        <v>NO</v>
      </c>
      <c r="E1462" s="6" t="str">
        <f ca="1">IFERROR(__xludf.DUMMYFUNCTION("""COMPUTED_VALUE"""),"Madrid- Juan Bravo")</f>
        <v>Madrid- Juan Bravo</v>
      </c>
      <c r="F1462" s="16">
        <f ca="1">IFERROR(__xludf.DUMMYFUNCTION("""COMPUTED_VALUE"""),45975)</f>
        <v>45975</v>
      </c>
      <c r="G1462" s="16">
        <f ca="1">IFERROR(__xludf.DUMMYFUNCTION("""COMPUTED_VALUE"""),45938)</f>
        <v>45938</v>
      </c>
      <c r="H1462" s="6" t="str">
        <f ca="1">IFERROR(__xludf.DUMMYFUNCTION("""COMPUTED_VALUE"""),"Juan Bravo")</f>
        <v>Juan Bravo</v>
      </c>
      <c r="I1462" s="6" t="str">
        <f ca="1">IFERROR(__xludf.DUMMYFUNCTION("""COMPUTED_VALUE"""),"C20251015121459187")</f>
        <v>C20251015121459187</v>
      </c>
      <c r="J1462" s="6" t="str">
        <f ca="1">IFERROR(__xludf.DUMMYFUNCTION("""COMPUTED_VALUE"""),"LUISA  BOUSO MILLAN")</f>
        <v>LUISA  BOUSO MILLAN</v>
      </c>
      <c r="K1462" s="6">
        <f ca="1">IFERROR(__xludf.DUMMYFUNCTION("""COMPUTED_VALUE"""),2)</f>
        <v>2</v>
      </c>
      <c r="L1462" s="139">
        <f ca="1">IFERROR(__xludf.DUMMYFUNCTION("""COMPUTED_VALUE"""),3631.82)</f>
        <v>3631.82</v>
      </c>
      <c r="M1462" s="6" t="str">
        <f ca="1">IFERROR(__xludf.DUMMYFUNCTION("""COMPUTED_VALUE"""),"03 ORL")</f>
        <v>03 ORL</v>
      </c>
      <c r="N1462" s="6" t="str">
        <f ca="1">IFERROR(__xludf.DUMMYFUNCTION("""COMPUTED_VALUE"""),"06 ORL")</f>
        <v>06 ORL</v>
      </c>
      <c r="O1462" s="6" t="str">
        <f ca="1">IFERROR(__xludf.DUMMYFUNCTION("""COMPUTED_VALUE"""),"Dr, Antonio Rodríguez Rivero")</f>
        <v>Dr, Antonio Rodríguez Rivero</v>
      </c>
      <c r="P1462" s="6" t="str">
        <f ca="1">IFERROR(__xludf.DUMMYFUNCTION("""COMPUTED_VALUE"""),"Maika Blázquez (Madrid)")</f>
        <v>Maika Blázquez (Madrid)</v>
      </c>
    </row>
    <row r="1463" spans="2:16">
      <c r="B1463" s="6">
        <f ca="1">IFERROR(__xludf.DUMMYFUNCTION("""COMPUTED_VALUE"""),2025)</f>
        <v>2025</v>
      </c>
      <c r="C1463" s="6">
        <f ca="1">IFERROR(__xludf.DUMMYFUNCTION("""COMPUTED_VALUE"""),11)</f>
        <v>11</v>
      </c>
      <c r="D1463" s="6" t="str">
        <f ca="1">IFERROR(__xludf.DUMMYFUNCTION("""COMPUTED_VALUE"""),"NO")</f>
        <v>NO</v>
      </c>
      <c r="E1463" s="6" t="str">
        <f ca="1">IFERROR(__xludf.DUMMYFUNCTION("""COMPUTED_VALUE"""),"Sevilla- Montoto")</f>
        <v>Sevilla- Montoto</v>
      </c>
      <c r="F1463" s="16">
        <f ca="1">IFERROR(__xludf.DUMMYFUNCTION("""COMPUTED_VALUE"""),45975)</f>
        <v>45975</v>
      </c>
      <c r="G1463" s="16">
        <f ca="1">IFERROR(__xludf.DUMMYFUNCTION("""COMPUTED_VALUE"""),45944)</f>
        <v>45944</v>
      </c>
      <c r="H1463" s="6" t="str">
        <f ca="1">IFERROR(__xludf.DUMMYFUNCTION("""COMPUTED_VALUE"""),"Montoto")</f>
        <v>Montoto</v>
      </c>
      <c r="I1463" s="6" t="str">
        <f ca="1">IFERROR(__xludf.DUMMYFUNCTION("""COMPUTED_VALUE"""),"C202510141637584157")</f>
        <v>C202510141637584157</v>
      </c>
      <c r="J1463" s="6" t="str">
        <f ca="1">IFERROR(__xludf.DUMMYFUNCTION("""COMPUTED_VALUE"""),"LOLA LEIVA LOPEZ")</f>
        <v>LOLA LEIVA LOPEZ</v>
      </c>
      <c r="K1463" s="6">
        <f ca="1">IFERROR(__xludf.DUMMYFUNCTION("""COMPUTED_VALUE"""),1)</f>
        <v>1</v>
      </c>
      <c r="L1463" s="139">
        <f ca="1">IFERROR(__xludf.DUMMYFUNCTION("""COMPUTED_VALUE"""),2180.91)</f>
        <v>2180.91</v>
      </c>
      <c r="M1463" s="6" t="str">
        <f ca="1">IFERROR(__xludf.DUMMYFUNCTION("""COMPUTED_VALUE"""),"03 ORL")</f>
        <v>03 ORL</v>
      </c>
      <c r="N1463" s="6" t="str">
        <f ca="1">IFERROR(__xludf.DUMMYFUNCTION("""COMPUTED_VALUE"""),"06 ORL")</f>
        <v>06 ORL</v>
      </c>
      <c r="O1463" s="6" t="str">
        <f ca="1">IFERROR(__xludf.DUMMYFUNCTION("""COMPUTED_VALUE"""),"Dr, Jesús Crovato Rojas")</f>
        <v>Dr, Jesús Crovato Rojas</v>
      </c>
      <c r="P1463" s="6" t="str">
        <f ca="1">IFERROR(__xludf.DUMMYFUNCTION("""COMPUTED_VALUE"""),"Luis Alberto Rodríguez (Andalucía y Badajoz)")</f>
        <v>Luis Alberto Rodríguez (Andalucía y Badajoz)</v>
      </c>
    </row>
    <row r="1464" spans="2:16">
      <c r="B1464" s="6">
        <f ca="1">IFERROR(__xludf.DUMMYFUNCTION("""COMPUTED_VALUE"""),2025)</f>
        <v>2025</v>
      </c>
      <c r="C1464" s="6">
        <f ca="1">IFERROR(__xludf.DUMMYFUNCTION("""COMPUTED_VALUE"""),11)</f>
        <v>11</v>
      </c>
      <c r="D1464" s="6" t="str">
        <f ca="1">IFERROR(__xludf.DUMMYFUNCTION("""COMPUTED_VALUE"""),"NO")</f>
        <v>NO</v>
      </c>
      <c r="E1464" s="6" t="str">
        <f ca="1">IFERROR(__xludf.DUMMYFUNCTION("""COMPUTED_VALUE"""),"Valencia- Cádiz")</f>
        <v>Valencia- Cádiz</v>
      </c>
      <c r="F1464" s="16">
        <f ca="1">IFERROR(__xludf.DUMMYFUNCTION("""COMPUTED_VALUE"""),45975)</f>
        <v>45975</v>
      </c>
      <c r="G1464" s="16">
        <f ca="1">IFERROR(__xludf.DUMMYFUNCTION("""COMPUTED_VALUE"""),45932)</f>
        <v>45932</v>
      </c>
      <c r="H1464" s="6" t="str">
        <f ca="1">IFERROR(__xludf.DUMMYFUNCTION("""COMPUTED_VALUE"""),"Valencia- Cádiz")</f>
        <v>Valencia- Cádiz</v>
      </c>
      <c r="I1464" s="6" t="str">
        <f ca="1">IFERROR(__xludf.DUMMYFUNCTION("""COMPUTED_VALUE"""),"C20251014112824268")</f>
        <v>C20251014112824268</v>
      </c>
      <c r="J1464" s="6" t="str">
        <f ca="1">IFERROR(__xludf.DUMMYFUNCTION("""COMPUTED_VALUE"""),"JUAN FRANCISCO ALAVA GUILLEM")</f>
        <v>JUAN FRANCISCO ALAVA GUILLEM</v>
      </c>
      <c r="K1464" s="6">
        <f ca="1">IFERROR(__xludf.DUMMYFUNCTION("""COMPUTED_VALUE"""),1)</f>
        <v>1</v>
      </c>
      <c r="L1464" s="139">
        <f ca="1">IFERROR(__xludf.DUMMYFUNCTION("""COMPUTED_VALUE"""),1631.82)</f>
        <v>1631.82</v>
      </c>
      <c r="M1464" s="6" t="str">
        <f ca="1">IFERROR(__xludf.DUMMYFUNCTION("""COMPUTED_VALUE"""),"03 ORL")</f>
        <v>03 ORL</v>
      </c>
      <c r="N1464" s="6" t="str">
        <f ca="1">IFERROR(__xludf.DUMMYFUNCTION("""COMPUTED_VALUE"""),"06 ORL")</f>
        <v>06 ORL</v>
      </c>
      <c r="O1464" s="6" t="str">
        <f ca="1">IFERROR(__xludf.DUMMYFUNCTION("""COMPUTED_VALUE"""),"Dra, Paula Martínez-Ruiz De Apocada")</f>
        <v>Dra, Paula Martínez-Ruiz De Apocada</v>
      </c>
      <c r="P1464" s="6" t="str">
        <f ca="1">IFERROR(__xludf.DUMMYFUNCTION("""COMPUTED_VALUE"""),"Ramon Ferrando(Valencia)")</f>
        <v>Ramon Ferrando(Valencia)</v>
      </c>
    </row>
    <row r="1465" spans="2:16">
      <c r="B1465" s="6">
        <f ca="1">IFERROR(__xludf.DUMMYFUNCTION("""COMPUTED_VALUE"""),2025)</f>
        <v>2025</v>
      </c>
      <c r="C1465" s="6">
        <f ca="1">IFERROR(__xludf.DUMMYFUNCTION("""COMPUTED_VALUE"""),11)</f>
        <v>11</v>
      </c>
      <c r="D1465" s="6" t="str">
        <f ca="1">IFERROR(__xludf.DUMMYFUNCTION("""COMPUTED_VALUE"""),"NO")</f>
        <v>NO</v>
      </c>
      <c r="E1465" s="6" t="str">
        <f ca="1">IFERROR(__xludf.DUMMYFUNCTION("""COMPUTED_VALUE"""),"Sevilla- Montoto")</f>
        <v>Sevilla- Montoto</v>
      </c>
      <c r="F1465" s="16">
        <f ca="1">IFERROR(__xludf.DUMMYFUNCTION("""COMPUTED_VALUE"""),45975)</f>
        <v>45975</v>
      </c>
      <c r="G1465" s="16">
        <f ca="1">IFERROR(__xludf.DUMMYFUNCTION("""COMPUTED_VALUE"""),45919)</f>
        <v>45919</v>
      </c>
      <c r="H1465" s="6" t="str">
        <f ca="1">IFERROR(__xludf.DUMMYFUNCTION("""COMPUTED_VALUE"""),"Montoto")</f>
        <v>Montoto</v>
      </c>
      <c r="I1465" s="6" t="str">
        <f ca="1">IFERROR(__xludf.DUMMYFUNCTION("""COMPUTED_VALUE"""),"C2025923133639568")</f>
        <v>C2025923133639568</v>
      </c>
      <c r="J1465" s="6" t="str">
        <f ca="1">IFERROR(__xludf.DUMMYFUNCTION("""COMPUTED_VALUE"""),"JESUS MIGUEL CEPEDA GARZON")</f>
        <v>JESUS MIGUEL CEPEDA GARZON</v>
      </c>
      <c r="K1465" s="6">
        <f ca="1">IFERROR(__xludf.DUMMYFUNCTION("""COMPUTED_VALUE"""),2)</f>
        <v>2</v>
      </c>
      <c r="L1465" s="139">
        <f ca="1">IFERROR(__xludf.DUMMYFUNCTION("""COMPUTED_VALUE"""),2718.19)</f>
        <v>2718.19</v>
      </c>
      <c r="M1465" s="6" t="str">
        <f ca="1">IFERROR(__xludf.DUMMYFUNCTION("""COMPUTED_VALUE"""),"03 ORL")</f>
        <v>03 ORL</v>
      </c>
      <c r="N1465" s="6" t="str">
        <f ca="1">IFERROR(__xludf.DUMMYFUNCTION("""COMPUTED_VALUE"""),"06 ORL")</f>
        <v>06 ORL</v>
      </c>
      <c r="O1465" s="6" t="str">
        <f ca="1">IFERROR(__xludf.DUMMYFUNCTION("""COMPUTED_VALUE"""),"Dr, Francisco Delgado Álvarez")</f>
        <v>Dr, Francisco Delgado Álvarez</v>
      </c>
      <c r="P1465" s="6" t="str">
        <f ca="1">IFERROR(__xludf.DUMMYFUNCTION("""COMPUTED_VALUE"""),"Luis Alberto Rodríguez (Andalucía y Badajoz)")</f>
        <v>Luis Alberto Rodríguez (Andalucía y Badajoz)</v>
      </c>
    </row>
    <row r="1466" spans="2:16">
      <c r="B1466" s="6">
        <f ca="1">IFERROR(__xludf.DUMMYFUNCTION("""COMPUTED_VALUE"""),2025)</f>
        <v>2025</v>
      </c>
      <c r="C1466" s="6">
        <f ca="1">IFERROR(__xludf.DUMMYFUNCTION("""COMPUTED_VALUE"""),11)</f>
        <v>11</v>
      </c>
      <c r="D1466" s="6" t="str">
        <f ca="1">IFERROR(__xludf.DUMMYFUNCTION("""COMPUTED_VALUE"""),"NO")</f>
        <v>NO</v>
      </c>
      <c r="E1466" s="6" t="str">
        <f ca="1">IFERROR(__xludf.DUMMYFUNCTION("""COMPUTED_VALUE"""),"Getafe")</f>
        <v>Getafe</v>
      </c>
      <c r="F1466" s="16">
        <f ca="1">IFERROR(__xludf.DUMMYFUNCTION("""COMPUTED_VALUE"""),45975)</f>
        <v>45975</v>
      </c>
      <c r="G1466" s="16">
        <f ca="1">IFERROR(__xludf.DUMMYFUNCTION("""COMPUTED_VALUE"""),45946)</f>
        <v>45946</v>
      </c>
      <c r="H1466" s="6" t="str">
        <f ca="1">IFERROR(__xludf.DUMMYFUNCTION("""COMPUTED_VALUE"""),"Getafe")</f>
        <v>Getafe</v>
      </c>
      <c r="I1466" s="6" t="str">
        <f ca="1">IFERROR(__xludf.DUMMYFUNCTION("""COMPUTED_VALUE"""),"C202510168584740708")</f>
        <v>C202510168584740708</v>
      </c>
      <c r="J1466" s="6" t="str">
        <f ca="1">IFERROR(__xludf.DUMMYFUNCTION("""COMPUTED_VALUE"""),"ÁNGEL ESTEBAN BÉJAR")</f>
        <v>ÁNGEL ESTEBAN BÉJAR</v>
      </c>
      <c r="K1466" s="6">
        <f ca="1">IFERROR(__xludf.DUMMYFUNCTION("""COMPUTED_VALUE"""),2)</f>
        <v>2</v>
      </c>
      <c r="L1466" s="139">
        <f ca="1">IFERROR(__xludf.DUMMYFUNCTION("""COMPUTED_VALUE"""),2718.18)</f>
        <v>2718.18</v>
      </c>
      <c r="M1466" s="6" t="str">
        <f ca="1">IFERROR(__xludf.DUMMYFUNCTION("""COMPUTED_VALUE"""),"03 ORL")</f>
        <v>03 ORL</v>
      </c>
      <c r="N1466" s="6" t="str">
        <f ca="1">IFERROR(__xludf.DUMMYFUNCTION("""COMPUTED_VALUE"""),"06 ORL")</f>
        <v>06 ORL</v>
      </c>
      <c r="O1466" s="6" t="str">
        <f ca="1">IFERROR(__xludf.DUMMYFUNCTION("""COMPUTED_VALUE"""),"Dra, Marta Colmenero Ruiz")</f>
        <v>Dra, Marta Colmenero Ruiz</v>
      </c>
      <c r="P1466" s="6" t="str">
        <f ca="1">IFERROR(__xludf.DUMMYFUNCTION("""COMPUTED_VALUE"""),"Maika Blázquez (Madrid)")</f>
        <v>Maika Blázquez (Madrid)</v>
      </c>
    </row>
    <row r="1467" spans="2:16">
      <c r="B1467" s="6">
        <f ca="1">IFERROR(__xludf.DUMMYFUNCTION("""COMPUTED_VALUE"""),2025)</f>
        <v>2025</v>
      </c>
      <c r="C1467" s="6">
        <f ca="1">IFERROR(__xludf.DUMMYFUNCTION("""COMPUTED_VALUE"""),11)</f>
        <v>11</v>
      </c>
      <c r="D1467" s="6" t="str">
        <f ca="1">IFERROR(__xludf.DUMMYFUNCTION("""COMPUTED_VALUE"""),"NO")</f>
        <v>NO</v>
      </c>
      <c r="E1467" s="6" t="str">
        <f ca="1">IFERROR(__xludf.DUMMYFUNCTION("""COMPUTED_VALUE"""),"Móstoles")</f>
        <v>Móstoles</v>
      </c>
      <c r="F1467" s="16">
        <f ca="1">IFERROR(__xludf.DUMMYFUNCTION("""COMPUTED_VALUE"""),45975)</f>
        <v>45975</v>
      </c>
      <c r="G1467" s="16">
        <f ca="1">IFERROR(__xludf.DUMMYFUNCTION("""COMPUTED_VALUE"""),45952)</f>
        <v>45952</v>
      </c>
      <c r="H1467" s="6" t="str">
        <f ca="1">IFERROR(__xludf.DUMMYFUNCTION("""COMPUTED_VALUE"""),"Móstoles")</f>
        <v>Móstoles</v>
      </c>
      <c r="I1467" s="6" t="str">
        <f ca="1">IFERROR(__xludf.DUMMYFUNCTION("""COMPUTED_VALUE"""),"C2025102210513984")</f>
        <v>C2025102210513984</v>
      </c>
      <c r="J1467" s="6" t="str">
        <f ca="1">IFERROR(__xludf.DUMMYFUNCTION("""COMPUTED_VALUE"""),"ASTRID ANTUÑA LLORENS")</f>
        <v>ASTRID ANTUÑA LLORENS</v>
      </c>
      <c r="K1467" s="6">
        <f ca="1">IFERROR(__xludf.DUMMYFUNCTION("""COMPUTED_VALUE"""),2)</f>
        <v>2</v>
      </c>
      <c r="L1467" s="139">
        <f ca="1">IFERROR(__xludf.DUMMYFUNCTION("""COMPUTED_VALUE"""),4136.36)</f>
        <v>4136.3599999999997</v>
      </c>
      <c r="M1467" s="6" t="str">
        <f ca="1">IFERROR(__xludf.DUMMYFUNCTION("""COMPUTED_VALUE"""),"03 ORL")</f>
        <v>03 ORL</v>
      </c>
      <c r="N1467" s="6" t="str">
        <f ca="1">IFERROR(__xludf.DUMMYFUNCTION("""COMPUTED_VALUE"""),"06 ORL")</f>
        <v>06 ORL</v>
      </c>
      <c r="O1467" s="6" t="str">
        <f ca="1">IFERROR(__xludf.DUMMYFUNCTION("""COMPUTED_VALUE"""),"Dr, Víctor José González Arias")</f>
        <v>Dr, Víctor José González Arias</v>
      </c>
      <c r="P1467" s="6" t="str">
        <f ca="1">IFERROR(__xludf.DUMMYFUNCTION("""COMPUTED_VALUE"""),"Maika Blázquez (Madrid)")</f>
        <v>Maika Blázquez (Madrid)</v>
      </c>
    </row>
    <row r="1468" spans="2:16">
      <c r="B1468" s="6">
        <f ca="1">IFERROR(__xludf.DUMMYFUNCTION("""COMPUTED_VALUE"""),2025)</f>
        <v>2025</v>
      </c>
      <c r="C1468" s="6">
        <f ca="1">IFERROR(__xludf.DUMMYFUNCTION("""COMPUTED_VALUE"""),11)</f>
        <v>11</v>
      </c>
      <c r="D1468" s="6" t="str">
        <f ca="1">IFERROR(__xludf.DUMMYFUNCTION("""COMPUTED_VALUE"""),"NO")</f>
        <v>NO</v>
      </c>
      <c r="E1468" s="6" t="str">
        <f ca="1">IFERROR(__xludf.DUMMYFUNCTION("""COMPUTED_VALUE"""),"Valencia- Cádiz")</f>
        <v>Valencia- Cádiz</v>
      </c>
      <c r="F1468" s="16">
        <f ca="1">IFERROR(__xludf.DUMMYFUNCTION("""COMPUTED_VALUE"""),45975)</f>
        <v>45975</v>
      </c>
      <c r="G1468" s="16">
        <f ca="1">IFERROR(__xludf.DUMMYFUNCTION("""COMPUTED_VALUE"""),45915)</f>
        <v>45915</v>
      </c>
      <c r="H1468" s="6" t="str">
        <f ca="1">IFERROR(__xludf.DUMMYFUNCTION("""COMPUTED_VALUE"""),"Valencia- Cádiz")</f>
        <v>Valencia- Cádiz</v>
      </c>
      <c r="I1468" s="6" t="str">
        <f ca="1">IFERROR(__xludf.DUMMYFUNCTION("""COMPUTED_VALUE"""),"C20259251643237")</f>
        <v>C20259251643237</v>
      </c>
      <c r="J1468" s="6" t="str">
        <f ca="1">IFERROR(__xludf.DUMMYFUNCTION("""COMPUTED_VALUE"""),"MARIA DOLORES GRIÑAN SALAS")</f>
        <v>MARIA DOLORES GRIÑAN SALAS</v>
      </c>
      <c r="K1468" s="6">
        <f ca="1">IFERROR(__xludf.DUMMYFUNCTION("""COMPUTED_VALUE"""),2)</f>
        <v>2</v>
      </c>
      <c r="L1468" s="139">
        <f ca="1">IFERROR(__xludf.DUMMYFUNCTION("""COMPUTED_VALUE"""),4136.36)</f>
        <v>4136.3599999999997</v>
      </c>
      <c r="M1468" s="6" t="str">
        <f ca="1">IFERROR(__xludf.DUMMYFUNCTION("""COMPUTED_VALUE"""),"03 ORL")</f>
        <v>03 ORL</v>
      </c>
      <c r="N1468" s="6" t="str">
        <f ca="1">IFERROR(__xludf.DUMMYFUNCTION("""COMPUTED_VALUE"""),"06 ORL")</f>
        <v>06 ORL</v>
      </c>
      <c r="O1468" s="6" t="str">
        <f ca="1">IFERROR(__xludf.DUMMYFUNCTION("""COMPUTED_VALUE"""),"Dr, Abel Guzmán Calvete")</f>
        <v>Dr, Abel Guzmán Calvete</v>
      </c>
      <c r="P1468" s="6" t="str">
        <f ca="1">IFERROR(__xludf.DUMMYFUNCTION("""COMPUTED_VALUE"""),"Ramon Ferrando(Valencia)")</f>
        <v>Ramon Ferrando(Valencia)</v>
      </c>
    </row>
    <row r="1469" spans="2:16">
      <c r="B1469" s="6">
        <f ca="1">IFERROR(__xludf.DUMMYFUNCTION("""COMPUTED_VALUE"""),2025)</f>
        <v>2025</v>
      </c>
      <c r="C1469" s="6">
        <f ca="1">IFERROR(__xludf.DUMMYFUNCTION("""COMPUTED_VALUE"""),11)</f>
        <v>11</v>
      </c>
      <c r="D1469" s="6" t="str">
        <f ca="1">IFERROR(__xludf.DUMMYFUNCTION("""COMPUTED_VALUE"""),"NO")</f>
        <v>NO</v>
      </c>
      <c r="E1469" s="6" t="str">
        <f ca="1">IFERROR(__xludf.DUMMYFUNCTION("""COMPUTED_VALUE"""),"Torrejón de Ardoz")</f>
        <v>Torrejón de Ardoz</v>
      </c>
      <c r="F1469" s="16">
        <f ca="1">IFERROR(__xludf.DUMMYFUNCTION("""COMPUTED_VALUE"""),45978)</f>
        <v>45978</v>
      </c>
      <c r="G1469" s="16">
        <f ca="1">IFERROR(__xludf.DUMMYFUNCTION("""COMPUTED_VALUE"""),45922)</f>
        <v>45922</v>
      </c>
      <c r="H1469" s="6" t="str">
        <f ca="1">IFERROR(__xludf.DUMMYFUNCTION("""COMPUTED_VALUE"""),"Torrejón")</f>
        <v>Torrejón</v>
      </c>
      <c r="I1469" s="6" t="str">
        <f ca="1">IFERROR(__xludf.DUMMYFUNCTION("""COMPUTED_VALUE"""),"C202592995047780")</f>
        <v>C202592995047780</v>
      </c>
      <c r="J1469" s="6" t="str">
        <f ca="1">IFERROR(__xludf.DUMMYFUNCTION("""COMPUTED_VALUE"""),"JOSE MIGUEL HERGUETA ABERTURAS")</f>
        <v>JOSE MIGUEL HERGUETA ABERTURAS</v>
      </c>
      <c r="K1469" s="6">
        <f ca="1">IFERROR(__xludf.DUMMYFUNCTION("""COMPUTED_VALUE"""),2)</f>
        <v>2</v>
      </c>
      <c r="L1469" s="139">
        <f ca="1">IFERROR(__xludf.DUMMYFUNCTION("""COMPUTED_VALUE"""),4136.36)</f>
        <v>4136.3599999999997</v>
      </c>
      <c r="M1469" s="6" t="str">
        <f ca="1">IFERROR(__xludf.DUMMYFUNCTION("""COMPUTED_VALUE"""),"03 ORL")</f>
        <v>03 ORL</v>
      </c>
      <c r="N1469" s="6" t="str">
        <f ca="1">IFERROR(__xludf.DUMMYFUNCTION("""COMPUTED_VALUE"""),"06 ORL")</f>
        <v>06 ORL</v>
      </c>
      <c r="O1469" s="6" t="str">
        <f ca="1">IFERROR(__xludf.DUMMYFUNCTION("""COMPUTED_VALUE"""),"Dr, Abel Bogoya Castaño")</f>
        <v>Dr, Abel Bogoya Castaño</v>
      </c>
      <c r="P1469" s="6" t="str">
        <f ca="1">IFERROR(__xludf.DUMMYFUNCTION("""COMPUTED_VALUE"""),"Maika Blázquez (Madrid)")</f>
        <v>Maika Blázquez (Madrid)</v>
      </c>
    </row>
    <row r="1470" spans="2:16">
      <c r="B1470" s="6">
        <f ca="1">IFERROR(__xludf.DUMMYFUNCTION("""COMPUTED_VALUE"""),2025)</f>
        <v>2025</v>
      </c>
      <c r="C1470" s="6">
        <f ca="1">IFERROR(__xludf.DUMMYFUNCTION("""COMPUTED_VALUE"""),11)</f>
        <v>11</v>
      </c>
      <c r="D1470" s="6" t="str">
        <f ca="1">IFERROR(__xludf.DUMMYFUNCTION("""COMPUTED_VALUE"""),"NO")</f>
        <v>NO</v>
      </c>
      <c r="E1470" s="6" t="str">
        <f ca="1">IFERROR(__xludf.DUMMYFUNCTION("""COMPUTED_VALUE"""),"Sevilla- Montoto")</f>
        <v>Sevilla- Montoto</v>
      </c>
      <c r="F1470" s="16">
        <f ca="1">IFERROR(__xludf.DUMMYFUNCTION("""COMPUTED_VALUE"""),45978)</f>
        <v>45978</v>
      </c>
      <c r="G1470" s="16">
        <f ca="1">IFERROR(__xludf.DUMMYFUNCTION("""COMPUTED_VALUE"""),45944)</f>
        <v>45944</v>
      </c>
      <c r="H1470" s="6" t="str">
        <f ca="1">IFERROR(__xludf.DUMMYFUNCTION("""COMPUTED_VALUE"""),"Montoto")</f>
        <v>Montoto</v>
      </c>
      <c r="I1470" s="6" t="str">
        <f ca="1">IFERROR(__xludf.DUMMYFUNCTION("""COMPUTED_VALUE"""),"C202510141637584157")</f>
        <v>C202510141637584157</v>
      </c>
      <c r="J1470" s="6" t="str">
        <f ca="1">IFERROR(__xludf.DUMMYFUNCTION("""COMPUTED_VALUE"""),"LOLA LEIVA LOPEZ")</f>
        <v>LOLA LEIVA LOPEZ</v>
      </c>
      <c r="K1470" s="6">
        <f ca="1">IFERROR(__xludf.DUMMYFUNCTION("""COMPUTED_VALUE"""),1)</f>
        <v>1</v>
      </c>
      <c r="L1470" s="139">
        <f ca="1">IFERROR(__xludf.DUMMYFUNCTION("""COMPUTED_VALUE"""),2090)</f>
        <v>2090</v>
      </c>
      <c r="M1470" s="6" t="str">
        <f ca="1">IFERROR(__xludf.DUMMYFUNCTION("""COMPUTED_VALUE"""),"03 ORL")</f>
        <v>03 ORL</v>
      </c>
      <c r="N1470" s="6" t="str">
        <f ca="1">IFERROR(__xludf.DUMMYFUNCTION("""COMPUTED_VALUE"""),"06 ORL")</f>
        <v>06 ORL</v>
      </c>
      <c r="O1470" s="6" t="str">
        <f ca="1">IFERROR(__xludf.DUMMYFUNCTION("""COMPUTED_VALUE"""),"Dr, Jesús Crovato Rojas")</f>
        <v>Dr, Jesús Crovato Rojas</v>
      </c>
      <c r="P1470" s="6" t="str">
        <f ca="1">IFERROR(__xludf.DUMMYFUNCTION("""COMPUTED_VALUE"""),"Luis Alberto Rodríguez (Andalucía y Badajoz)")</f>
        <v>Luis Alberto Rodríguez (Andalucía y Badajoz)</v>
      </c>
    </row>
    <row r="1471" spans="2:16">
      <c r="B1471" s="6">
        <f ca="1">IFERROR(__xludf.DUMMYFUNCTION("""COMPUTED_VALUE"""),2025)</f>
        <v>2025</v>
      </c>
      <c r="C1471" s="6">
        <f ca="1">IFERROR(__xludf.DUMMYFUNCTION("""COMPUTED_VALUE"""),11)</f>
        <v>11</v>
      </c>
      <c r="D1471" s="6" t="str">
        <f ca="1">IFERROR(__xludf.DUMMYFUNCTION("""COMPUTED_VALUE"""),"NO")</f>
        <v>NO</v>
      </c>
      <c r="E1471" s="6" t="str">
        <f ca="1">IFERROR(__xludf.DUMMYFUNCTION("""COMPUTED_VALUE"""),"Orihuela")</f>
        <v>Orihuela</v>
      </c>
      <c r="F1471" s="16">
        <f ca="1">IFERROR(__xludf.DUMMYFUNCTION("""COMPUTED_VALUE"""),45978)</f>
        <v>45978</v>
      </c>
      <c r="G1471" s="16">
        <f ca="1">IFERROR(__xludf.DUMMYFUNCTION("""COMPUTED_VALUE"""),45946)</f>
        <v>45946</v>
      </c>
      <c r="H1471" s="6" t="str">
        <f ca="1">IFERROR(__xludf.DUMMYFUNCTION("""COMPUTED_VALUE"""),"La Zenia")</f>
        <v>La Zenia</v>
      </c>
      <c r="I1471" s="6" t="str">
        <f ca="1">IFERROR(__xludf.DUMMYFUNCTION("""COMPUTED_VALUE"""),"C202510161518573227")</f>
        <v>C202510161518573227</v>
      </c>
      <c r="J1471" s="6" t="str">
        <f ca="1">IFERROR(__xludf.DUMMYFUNCTION("""COMPUTED_VALUE"""),"LIUDMILA TOLPEGINA")</f>
        <v>LIUDMILA TOLPEGINA</v>
      </c>
      <c r="K1471" s="6">
        <f ca="1">IFERROR(__xludf.DUMMYFUNCTION("""COMPUTED_VALUE"""),2)</f>
        <v>2</v>
      </c>
      <c r="L1471" s="139">
        <f ca="1">IFERROR(__xludf.DUMMYFUNCTION("""COMPUTED_VALUE"""),3631.82)</f>
        <v>3631.82</v>
      </c>
      <c r="M1471" s="6" t="str">
        <f ca="1">IFERROR(__xludf.DUMMYFUNCTION("""COMPUTED_VALUE"""),"03 ORL")</f>
        <v>03 ORL</v>
      </c>
      <c r="N1471" s="6" t="str">
        <f ca="1">IFERROR(__xludf.DUMMYFUNCTION("""COMPUTED_VALUE"""),"06 ORL")</f>
        <v>06 ORL</v>
      </c>
      <c r="O1471" s="6" t="str">
        <f ca="1">IFERROR(__xludf.DUMMYFUNCTION("""COMPUTED_VALUE"""),"Dr, Carlos Velásquez Fermín")</f>
        <v>Dr, Carlos Velásquez Fermín</v>
      </c>
      <c r="P1471" s="6" t="str">
        <f ca="1">IFERROR(__xludf.DUMMYFUNCTION("""COMPUTED_VALUE"""),"Iván Sánchez (Levante Y Albacete)")</f>
        <v>Iván Sánchez (Levante Y Albacete)</v>
      </c>
    </row>
    <row r="1472" spans="2:16">
      <c r="B1472" s="6">
        <f ca="1">IFERROR(__xludf.DUMMYFUNCTION("""COMPUTED_VALUE"""),2025)</f>
        <v>2025</v>
      </c>
      <c r="C1472" s="6">
        <f ca="1">IFERROR(__xludf.DUMMYFUNCTION("""COMPUTED_VALUE"""),11)</f>
        <v>11</v>
      </c>
      <c r="D1472" s="6" t="str">
        <f ca="1">IFERROR(__xludf.DUMMYFUNCTION("""COMPUTED_VALUE"""),"NO")</f>
        <v>NO</v>
      </c>
      <c r="E1472" s="6" t="str">
        <f ca="1">IFERROR(__xludf.DUMMYFUNCTION("""COMPUTED_VALUE"""),"Fuenlabrada")</f>
        <v>Fuenlabrada</v>
      </c>
      <c r="F1472" s="16">
        <f ca="1">IFERROR(__xludf.DUMMYFUNCTION("""COMPUTED_VALUE"""),45978)</f>
        <v>45978</v>
      </c>
      <c r="G1472" s="16">
        <f ca="1">IFERROR(__xludf.DUMMYFUNCTION("""COMPUTED_VALUE"""),45951)</f>
        <v>45951</v>
      </c>
      <c r="H1472" s="6" t="str">
        <f ca="1">IFERROR(__xludf.DUMMYFUNCTION("""COMPUTED_VALUE"""),"Fuenlabrada")</f>
        <v>Fuenlabrada</v>
      </c>
      <c r="I1472" s="6" t="str">
        <f ca="1">IFERROR(__xludf.DUMMYFUNCTION("""COMPUTED_VALUE"""),"C202510211450159810")</f>
        <v>C202510211450159810</v>
      </c>
      <c r="J1472" s="6" t="str">
        <f ca="1">IFERROR(__xludf.DUMMYFUNCTION("""COMPUTED_VALUE"""),"ISIDORO CABRERA CRESPO")</f>
        <v>ISIDORO CABRERA CRESPO</v>
      </c>
      <c r="K1472" s="6">
        <f ca="1">IFERROR(__xludf.DUMMYFUNCTION("""COMPUTED_VALUE"""),2)</f>
        <v>2</v>
      </c>
      <c r="L1472" s="139">
        <f ca="1">IFERROR(__xludf.DUMMYFUNCTION("""COMPUTED_VALUE"""),2718.18)</f>
        <v>2718.18</v>
      </c>
      <c r="M1472" s="6" t="str">
        <f ca="1">IFERROR(__xludf.DUMMYFUNCTION("""COMPUTED_VALUE"""),"03 ORL")</f>
        <v>03 ORL</v>
      </c>
      <c r="N1472" s="6" t="str">
        <f ca="1">IFERROR(__xludf.DUMMYFUNCTION("""COMPUTED_VALUE"""),"06 ORL")</f>
        <v>06 ORL</v>
      </c>
      <c r="O1472" s="6" t="str">
        <f ca="1">IFERROR(__xludf.DUMMYFUNCTION("""COMPUTED_VALUE"""),"Dra, Paloma Martín-Aragón Martín")</f>
        <v>Dra, Paloma Martín-Aragón Martín</v>
      </c>
      <c r="P1472" s="6" t="str">
        <f ca="1">IFERROR(__xludf.DUMMYFUNCTION("""COMPUTED_VALUE"""),"Maika Blázquez (Madrid)")</f>
        <v>Maika Blázquez (Madrid)</v>
      </c>
    </row>
    <row r="1473" spans="2:16">
      <c r="B1473" s="6">
        <f ca="1">IFERROR(__xludf.DUMMYFUNCTION("""COMPUTED_VALUE"""),2025)</f>
        <v>2025</v>
      </c>
      <c r="C1473" s="6">
        <f ca="1">IFERROR(__xludf.DUMMYFUNCTION("""COMPUTED_VALUE"""),11)</f>
        <v>11</v>
      </c>
      <c r="D1473" s="6" t="str">
        <f ca="1">IFERROR(__xludf.DUMMYFUNCTION("""COMPUTED_VALUE"""),"NO")</f>
        <v>NO</v>
      </c>
      <c r="E1473" s="6" t="str">
        <f ca="1">IFERROR(__xludf.DUMMYFUNCTION("""COMPUTED_VALUE"""),"Vigo")</f>
        <v>Vigo</v>
      </c>
      <c r="F1473" s="16">
        <f ca="1">IFERROR(__xludf.DUMMYFUNCTION("""COMPUTED_VALUE"""),45979)</f>
        <v>45979</v>
      </c>
      <c r="G1473" s="16">
        <f ca="1">IFERROR(__xludf.DUMMYFUNCTION("""COMPUTED_VALUE"""),45964)</f>
        <v>45964</v>
      </c>
      <c r="H1473" s="6" t="str">
        <f ca="1">IFERROR(__xludf.DUMMYFUNCTION("""COMPUTED_VALUE"""),"Vigo")</f>
        <v>Vigo</v>
      </c>
      <c r="I1473" s="6" t="str">
        <f ca="1">IFERROR(__xludf.DUMMYFUNCTION("""COMPUTED_VALUE"""),"VIG-632")</f>
        <v>VIG-632</v>
      </c>
      <c r="J1473" s="6" t="str">
        <f ca="1">IFERROR(__xludf.DUMMYFUNCTION("""COMPUTED_VALUE"""),"ALEJANDRO RIBAS NOGUERA")</f>
        <v>ALEJANDRO RIBAS NOGUERA</v>
      </c>
      <c r="K1473" s="6">
        <f ca="1">IFERROR(__xludf.DUMMYFUNCTION("""COMPUTED_VALUE"""),2)</f>
        <v>2</v>
      </c>
      <c r="L1473" s="139">
        <f ca="1">IFERROR(__xludf.DUMMYFUNCTION("""COMPUTED_VALUE"""),3590.91)</f>
        <v>3590.91</v>
      </c>
      <c r="M1473" s="6" t="str">
        <f ca="1">IFERROR(__xludf.DUMMYFUNCTION("""COMPUTED_VALUE"""),"03 ORL")</f>
        <v>03 ORL</v>
      </c>
      <c r="N1473" s="6" t="str">
        <f ca="1">IFERROR(__xludf.DUMMYFUNCTION("""COMPUTED_VALUE"""),"06 ORL")</f>
        <v>06 ORL</v>
      </c>
      <c r="O1473" s="6" t="str">
        <f ca="1">IFERROR(__xludf.DUMMYFUNCTION("""COMPUTED_VALUE"""),"Dra, Isabel Miranda García")</f>
        <v>Dra, Isabel Miranda García</v>
      </c>
      <c r="P1473" s="6" t="str">
        <f ca="1">IFERROR(__xludf.DUMMYFUNCTION("""COMPUTED_VALUE"""),"Roberto Pereira (Galicia)")</f>
        <v>Roberto Pereira (Galicia)</v>
      </c>
    </row>
    <row r="1474" spans="2:16">
      <c r="B1474" s="6">
        <f ca="1">IFERROR(__xludf.DUMMYFUNCTION("""COMPUTED_VALUE"""),2025)</f>
        <v>2025</v>
      </c>
      <c r="C1474" s="6">
        <f ca="1">IFERROR(__xludf.DUMMYFUNCTION("""COMPUTED_VALUE"""),11)</f>
        <v>11</v>
      </c>
      <c r="D1474" s="6" t="str">
        <f ca="1">IFERROR(__xludf.DUMMYFUNCTION("""COMPUTED_VALUE"""),"NO")</f>
        <v>NO</v>
      </c>
      <c r="E1474" s="6" t="str">
        <f ca="1">IFERROR(__xludf.DUMMYFUNCTION("""COMPUTED_VALUE"""),"Ourense")</f>
        <v>Ourense</v>
      </c>
      <c r="F1474" s="16">
        <f ca="1">IFERROR(__xludf.DUMMYFUNCTION("""COMPUTED_VALUE"""),45979)</f>
        <v>45979</v>
      </c>
      <c r="G1474" s="16">
        <f ca="1">IFERROR(__xludf.DUMMYFUNCTION("""COMPUTED_VALUE"""),45930)</f>
        <v>45930</v>
      </c>
      <c r="H1474" s="6" t="str">
        <f ca="1">IFERROR(__xludf.DUMMYFUNCTION("""COMPUTED_VALUE"""),"Orense")</f>
        <v>Orense</v>
      </c>
      <c r="I1474" s="6" t="str">
        <f ca="1">IFERROR(__xludf.DUMMYFUNCTION("""COMPUTED_VALUE"""),"C2025106163520117")</f>
        <v>C2025106163520117</v>
      </c>
      <c r="J1474" s="6" t="str">
        <f ca="1">IFERROR(__xludf.DUMMYFUNCTION("""COMPUTED_VALUE"""),"IRENE PEREZ FEIJOO")</f>
        <v>IRENE PEREZ FEIJOO</v>
      </c>
      <c r="K1474" s="6">
        <f ca="1">IFERROR(__xludf.DUMMYFUNCTION("""COMPUTED_VALUE"""),2)</f>
        <v>2</v>
      </c>
      <c r="L1474" s="139">
        <f ca="1">IFERROR(__xludf.DUMMYFUNCTION("""COMPUTED_VALUE"""),3631.82)</f>
        <v>3631.82</v>
      </c>
      <c r="M1474" s="6" t="str">
        <f ca="1">IFERROR(__xludf.DUMMYFUNCTION("""COMPUTED_VALUE"""),"03 ORL")</f>
        <v>03 ORL</v>
      </c>
      <c r="N1474" s="6" t="str">
        <f ca="1">IFERROR(__xludf.DUMMYFUNCTION("""COMPUTED_VALUE"""),"06 ORL")</f>
        <v>06 ORL</v>
      </c>
      <c r="O1474" s="6" t="str">
        <f ca="1">IFERROR(__xludf.DUMMYFUNCTION("""COMPUTED_VALUE"""),"Dra, Ana Quintana Sanjuan")</f>
        <v>Dra, Ana Quintana Sanjuan</v>
      </c>
      <c r="P1474" s="6" t="str">
        <f ca="1">IFERROR(__xludf.DUMMYFUNCTION("""COMPUTED_VALUE"""),"Roberto Pereira (Galicia)")</f>
        <v>Roberto Pereira (Galicia)</v>
      </c>
    </row>
    <row r="1475" spans="2:16">
      <c r="B1475" s="6">
        <f ca="1">IFERROR(__xludf.DUMMYFUNCTION("""COMPUTED_VALUE"""),2025)</f>
        <v>2025</v>
      </c>
      <c r="C1475" s="6">
        <f ca="1">IFERROR(__xludf.DUMMYFUNCTION("""COMPUTED_VALUE"""),11)</f>
        <v>11</v>
      </c>
      <c r="D1475" s="6" t="str">
        <f ca="1">IFERROR(__xludf.DUMMYFUNCTION("""COMPUTED_VALUE"""),"NO")</f>
        <v>NO</v>
      </c>
      <c r="E1475" s="6" t="str">
        <f ca="1">IFERROR(__xludf.DUMMYFUNCTION("""COMPUTED_VALUE"""),"Leganés")</f>
        <v>Leganés</v>
      </c>
      <c r="F1475" s="16">
        <f ca="1">IFERROR(__xludf.DUMMYFUNCTION("""COMPUTED_VALUE"""),45979)</f>
        <v>45979</v>
      </c>
      <c r="G1475" s="16">
        <f ca="1">IFERROR(__xludf.DUMMYFUNCTION("""COMPUTED_VALUE"""),45939)</f>
        <v>45939</v>
      </c>
      <c r="H1475" s="6" t="str">
        <f ca="1">IFERROR(__xludf.DUMMYFUNCTION("""COMPUTED_VALUE"""),"Leganés")</f>
        <v>Leganés</v>
      </c>
      <c r="I1475" s="6" t="str">
        <f ca="1">IFERROR(__xludf.DUMMYFUNCTION("""COMPUTED_VALUE"""),"C202510149553783")</f>
        <v>C202510149553783</v>
      </c>
      <c r="J1475" s="6" t="str">
        <f ca="1">IFERROR(__xludf.DUMMYFUNCTION("""COMPUTED_VALUE"""),"MARIA ANTONIA DE LA TORRE SANZ")</f>
        <v>MARIA ANTONIA DE LA TORRE SANZ</v>
      </c>
      <c r="K1475" s="6">
        <f ca="1">IFERROR(__xludf.DUMMYFUNCTION("""COMPUTED_VALUE"""),2)</f>
        <v>2</v>
      </c>
      <c r="L1475" s="139">
        <f ca="1">IFERROR(__xludf.DUMMYFUNCTION("""COMPUTED_VALUE"""),3631.82)</f>
        <v>3631.82</v>
      </c>
      <c r="M1475" s="6" t="str">
        <f ca="1">IFERROR(__xludf.DUMMYFUNCTION("""COMPUTED_VALUE"""),"03 ORL")</f>
        <v>03 ORL</v>
      </c>
      <c r="N1475" s="6" t="str">
        <f ca="1">IFERROR(__xludf.DUMMYFUNCTION("""COMPUTED_VALUE"""),"06 ORL")</f>
        <v>06 ORL</v>
      </c>
      <c r="O1475" s="6" t="str">
        <f ca="1">IFERROR(__xludf.DUMMYFUNCTION("""COMPUTED_VALUE"""),"Dra, Elena Martín Bejerano")</f>
        <v>Dra, Elena Martín Bejerano</v>
      </c>
      <c r="P1475" s="6" t="str">
        <f ca="1">IFERROR(__xludf.DUMMYFUNCTION("""COMPUTED_VALUE"""),"Maika Blázquez (Madrid)")</f>
        <v>Maika Blázquez (Madrid)</v>
      </c>
    </row>
    <row r="1476" spans="2:16">
      <c r="B1476" s="6">
        <f ca="1">IFERROR(__xludf.DUMMYFUNCTION("""COMPUTED_VALUE"""),2025)</f>
        <v>2025</v>
      </c>
      <c r="C1476" s="6">
        <f ca="1">IFERROR(__xludf.DUMMYFUNCTION("""COMPUTED_VALUE"""),11)</f>
        <v>11</v>
      </c>
      <c r="D1476" s="6" t="str">
        <f ca="1">IFERROR(__xludf.DUMMYFUNCTION("""COMPUTED_VALUE"""),"NO")</f>
        <v>NO</v>
      </c>
      <c r="E1476" s="6" t="str">
        <f ca="1">IFERROR(__xludf.DUMMYFUNCTION("""COMPUTED_VALUE"""),"Alicante")</f>
        <v>Alicante</v>
      </c>
      <c r="F1476" s="16">
        <f ca="1">IFERROR(__xludf.DUMMYFUNCTION("""COMPUTED_VALUE"""),45979)</f>
        <v>45979</v>
      </c>
      <c r="G1476" s="16">
        <f ca="1">IFERROR(__xludf.DUMMYFUNCTION("""COMPUTED_VALUE"""),45932)</f>
        <v>45932</v>
      </c>
      <c r="H1476" s="6" t="str">
        <f ca="1">IFERROR(__xludf.DUMMYFUNCTION("""COMPUTED_VALUE"""),"Alicante")</f>
        <v>Alicante</v>
      </c>
      <c r="I1476" s="6" t="str">
        <f ca="1">IFERROR(__xludf.DUMMYFUNCTION("""COMPUTED_VALUE"""),"C20251015101126750")</f>
        <v>C20251015101126750</v>
      </c>
      <c r="J1476" s="6" t="str">
        <f ca="1">IFERROR(__xludf.DUMMYFUNCTION("""COMPUTED_VALUE"""),"JUAN SABATER CARBONELL")</f>
        <v>JUAN SABATER CARBONELL</v>
      </c>
      <c r="K1476" s="6">
        <f ca="1">IFERROR(__xludf.DUMMYFUNCTION("""COMPUTED_VALUE"""),2)</f>
        <v>2</v>
      </c>
      <c r="L1476" s="139">
        <f ca="1">IFERROR(__xludf.DUMMYFUNCTION("""COMPUTED_VALUE"""),2718.18)</f>
        <v>2718.18</v>
      </c>
      <c r="M1476" s="6" t="str">
        <f ca="1">IFERROR(__xludf.DUMMYFUNCTION("""COMPUTED_VALUE"""),"03 ORL")</f>
        <v>03 ORL</v>
      </c>
      <c r="N1476" s="6" t="str">
        <f ca="1">IFERROR(__xludf.DUMMYFUNCTION("""COMPUTED_VALUE"""),"06 ORL")</f>
        <v>06 ORL</v>
      </c>
      <c r="O1476" s="6" t="str">
        <f ca="1">IFERROR(__xludf.DUMMYFUNCTION("""COMPUTED_VALUE"""),"Dr, Guillermo Severá Ferrandiz")</f>
        <v>Dr, Guillermo Severá Ferrandiz</v>
      </c>
      <c r="P1476" s="6" t="str">
        <f ca="1">IFERROR(__xludf.DUMMYFUNCTION("""COMPUTED_VALUE"""),"Iván Sánchez (Levante Y Albacete)")</f>
        <v>Iván Sánchez (Levante Y Albacete)</v>
      </c>
    </row>
    <row r="1477" spans="2:16">
      <c r="B1477" s="6">
        <f ca="1">IFERROR(__xludf.DUMMYFUNCTION("""COMPUTED_VALUE"""),2025)</f>
        <v>2025</v>
      </c>
      <c r="C1477" s="6">
        <f ca="1">IFERROR(__xludf.DUMMYFUNCTION("""COMPUTED_VALUE"""),11)</f>
        <v>11</v>
      </c>
      <c r="D1477" s="6" t="str">
        <f ca="1">IFERROR(__xludf.DUMMYFUNCTION("""COMPUTED_VALUE"""),"NO")</f>
        <v>NO</v>
      </c>
      <c r="E1477" s="6" t="str">
        <f ca="1">IFERROR(__xludf.DUMMYFUNCTION("""COMPUTED_VALUE"""),"Albacete")</f>
        <v>Albacete</v>
      </c>
      <c r="F1477" s="16">
        <f ca="1">IFERROR(__xludf.DUMMYFUNCTION("""COMPUTED_VALUE"""),45979)</f>
        <v>45979</v>
      </c>
      <c r="G1477" s="16">
        <f ca="1">IFERROR(__xludf.DUMMYFUNCTION("""COMPUTED_VALUE"""),45040)</f>
        <v>45040</v>
      </c>
      <c r="H1477" s="6" t="str">
        <f ca="1">IFERROR(__xludf.DUMMYFUNCTION("""COMPUTED_VALUE"""),"Albacete")</f>
        <v>Albacete</v>
      </c>
      <c r="I1477" s="6" t="str">
        <f ca="1">IFERROR(__xludf.DUMMYFUNCTION("""COMPUTED_VALUE"""),"ALB-589")</f>
        <v>ALB-589</v>
      </c>
      <c r="J1477" s="6" t="str">
        <f ca="1">IFERROR(__xludf.DUMMYFUNCTION("""COMPUTED_VALUE"""),"JUAN ANTONIO SANCHEZ NUÑEZ")</f>
        <v>JUAN ANTONIO SANCHEZ NUÑEZ</v>
      </c>
      <c r="K1477" s="6">
        <f ca="1">IFERROR(__xludf.DUMMYFUNCTION("""COMPUTED_VALUE"""),2)</f>
        <v>2</v>
      </c>
      <c r="L1477" s="139">
        <f ca="1">IFERROR(__xludf.DUMMYFUNCTION("""COMPUTED_VALUE"""),3268.64)</f>
        <v>3268.64</v>
      </c>
      <c r="M1477" s="6" t="str">
        <f ca="1">IFERROR(__xludf.DUMMYFUNCTION("""COMPUTED_VALUE"""),"03 ORL")</f>
        <v>03 ORL</v>
      </c>
      <c r="N1477" s="6" t="str">
        <f ca="1">IFERROR(__xludf.DUMMYFUNCTION("""COMPUTED_VALUE"""),"06 ORL")</f>
        <v>06 ORL</v>
      </c>
      <c r="O1477" s="6" t="str">
        <f ca="1">IFERROR(__xludf.DUMMYFUNCTION("""COMPUTED_VALUE"""),"Dr, Máximo Rafael García Rodríguez")</f>
        <v>Dr, Máximo Rafael García Rodríguez</v>
      </c>
      <c r="P1477" s="6" t="str">
        <f ca="1">IFERROR(__xludf.DUMMYFUNCTION("""COMPUTED_VALUE"""),"Iván Sánchez (Levante Y Albacete)")</f>
        <v>Iván Sánchez (Levante Y Albacete)</v>
      </c>
    </row>
    <row r="1478" spans="2:16">
      <c r="B1478" s="6">
        <f ca="1">IFERROR(__xludf.DUMMYFUNCTION("""COMPUTED_VALUE"""),2025)</f>
        <v>2025</v>
      </c>
      <c r="C1478" s="6">
        <f ca="1">IFERROR(__xludf.DUMMYFUNCTION("""COMPUTED_VALUE"""),11)</f>
        <v>11</v>
      </c>
      <c r="D1478" s="6" t="str">
        <f ca="1">IFERROR(__xludf.DUMMYFUNCTION("""COMPUTED_VALUE"""),"NO")</f>
        <v>NO</v>
      </c>
      <c r="E1478" s="6" t="str">
        <f ca="1">IFERROR(__xludf.DUMMYFUNCTION("""COMPUTED_VALUE"""),"Murcia")</f>
        <v>Murcia</v>
      </c>
      <c r="F1478" s="16">
        <f ca="1">IFERROR(__xludf.DUMMYFUNCTION("""COMPUTED_VALUE"""),45979)</f>
        <v>45979</v>
      </c>
      <c r="G1478" s="16">
        <f ca="1">IFERROR(__xludf.DUMMYFUNCTION("""COMPUTED_VALUE"""),45944)</f>
        <v>45944</v>
      </c>
      <c r="H1478" s="6" t="str">
        <f ca="1">IFERROR(__xludf.DUMMYFUNCTION("""COMPUTED_VALUE"""),"Murcia")</f>
        <v>Murcia</v>
      </c>
      <c r="I1478" s="6" t="str">
        <f ca="1">IFERROR(__xludf.DUMMYFUNCTION("""COMPUTED_VALUE"""),"C202510141114428962")</f>
        <v>C202510141114428962</v>
      </c>
      <c r="J1478" s="6" t="str">
        <f ca="1">IFERROR(__xludf.DUMMYFUNCTION("""COMPUTED_VALUE"""),"MIGUEL ANGEL MORENO FERNANDEZ")</f>
        <v>MIGUEL ANGEL MORENO FERNANDEZ</v>
      </c>
      <c r="K1478" s="6">
        <f ca="1">IFERROR(__xludf.DUMMYFUNCTION("""COMPUTED_VALUE"""),2)</f>
        <v>2</v>
      </c>
      <c r="L1478" s="139">
        <f ca="1">IFERROR(__xludf.DUMMYFUNCTION("""COMPUTED_VALUE"""),4136.36)</f>
        <v>4136.3599999999997</v>
      </c>
      <c r="M1478" s="6" t="str">
        <f ca="1">IFERROR(__xludf.DUMMYFUNCTION("""COMPUTED_VALUE"""),"03 ORL")</f>
        <v>03 ORL</v>
      </c>
      <c r="N1478" s="6" t="str">
        <f ca="1">IFERROR(__xludf.DUMMYFUNCTION("""COMPUTED_VALUE"""),"06 ORL")</f>
        <v>06 ORL</v>
      </c>
      <c r="O1478" s="6" t="str">
        <f ca="1">IFERROR(__xludf.DUMMYFUNCTION("""COMPUTED_VALUE"""),"Dra, Aida Aviñoa Arias")</f>
        <v>Dra, Aida Aviñoa Arias</v>
      </c>
      <c r="P1478" s="6" t="str">
        <f ca="1">IFERROR(__xludf.DUMMYFUNCTION("""COMPUTED_VALUE"""),"Iván Sánchez (Levante Y Albacete)")</f>
        <v>Iván Sánchez (Levante Y Albacete)</v>
      </c>
    </row>
    <row r="1479" spans="2:16">
      <c r="B1479" s="6">
        <f ca="1">IFERROR(__xludf.DUMMYFUNCTION("""COMPUTED_VALUE"""),2025)</f>
        <v>2025</v>
      </c>
      <c r="C1479" s="6">
        <f ca="1">IFERROR(__xludf.DUMMYFUNCTION("""COMPUTED_VALUE"""),11)</f>
        <v>11</v>
      </c>
      <c r="D1479" s="6" t="str">
        <f ca="1">IFERROR(__xludf.DUMMYFUNCTION("""COMPUTED_VALUE"""),"NO")</f>
        <v>NO</v>
      </c>
      <c r="E1479" s="6" t="str">
        <f ca="1">IFERROR(__xludf.DUMMYFUNCTION("""COMPUTED_VALUE"""),"Madrid- La Oca")</f>
        <v>Madrid- La Oca</v>
      </c>
      <c r="F1479" s="16">
        <f ca="1">IFERROR(__xludf.DUMMYFUNCTION("""COMPUTED_VALUE"""),45979)</f>
        <v>45979</v>
      </c>
      <c r="G1479" s="16">
        <f ca="1">IFERROR(__xludf.DUMMYFUNCTION("""COMPUTED_VALUE"""),45968)</f>
        <v>45968</v>
      </c>
      <c r="H1479" s="6" t="str">
        <f ca="1">IFERROR(__xludf.DUMMYFUNCTION("""COMPUTED_VALUE"""),"La Oca")</f>
        <v>La Oca</v>
      </c>
      <c r="I1479" s="6" t="str">
        <f ca="1">IFERROR(__xludf.DUMMYFUNCTION("""COMPUTED_VALUE"""),"C202511716403437887")</f>
        <v>C202511716403437887</v>
      </c>
      <c r="J1479" s="6" t="str">
        <f ca="1">IFERROR(__xludf.DUMMYFUNCTION("""COMPUTED_VALUE"""),"VALENTIN DIAZ CALDERON")</f>
        <v>VALENTIN DIAZ CALDERON</v>
      </c>
      <c r="K1479" s="6">
        <f ca="1">IFERROR(__xludf.DUMMYFUNCTION("""COMPUTED_VALUE"""),2)</f>
        <v>2</v>
      </c>
      <c r="L1479" s="139">
        <f ca="1">IFERROR(__xludf.DUMMYFUNCTION("""COMPUTED_VALUE"""),3631.82)</f>
        <v>3631.82</v>
      </c>
      <c r="M1479" s="6" t="str">
        <f ca="1">IFERROR(__xludf.DUMMYFUNCTION("""COMPUTED_VALUE"""),"03 ORL")</f>
        <v>03 ORL</v>
      </c>
      <c r="N1479" s="6" t="str">
        <f ca="1">IFERROR(__xludf.DUMMYFUNCTION("""COMPUTED_VALUE"""),"06 ORL")</f>
        <v>06 ORL</v>
      </c>
      <c r="O1479" s="6" t="str">
        <f ca="1">IFERROR(__xludf.DUMMYFUNCTION("""COMPUTED_VALUE"""),"No recuerda ORL")</f>
        <v>No recuerda ORL</v>
      </c>
      <c r="P1479" s="6" t="str">
        <f ca="1">IFERROR(__xludf.DUMMYFUNCTION("""COMPUTED_VALUE"""),"Maika Blázquez (Madrid)")</f>
        <v>Maika Blázquez (Madrid)</v>
      </c>
    </row>
    <row r="1480" spans="2:16">
      <c r="B1480" s="6">
        <f ca="1">IFERROR(__xludf.DUMMYFUNCTION("""COMPUTED_VALUE"""),2025)</f>
        <v>2025</v>
      </c>
      <c r="C1480" s="6">
        <f ca="1">IFERROR(__xludf.DUMMYFUNCTION("""COMPUTED_VALUE"""),11)</f>
        <v>11</v>
      </c>
      <c r="D1480" s="6" t="str">
        <f ca="1">IFERROR(__xludf.DUMMYFUNCTION("""COMPUTED_VALUE"""),"NO")</f>
        <v>NO</v>
      </c>
      <c r="E1480" s="6" t="str">
        <f ca="1">IFERROR(__xludf.DUMMYFUNCTION("""COMPUTED_VALUE"""),"Murcia")</f>
        <v>Murcia</v>
      </c>
      <c r="F1480" s="16">
        <f ca="1">IFERROR(__xludf.DUMMYFUNCTION("""COMPUTED_VALUE"""),45979)</f>
        <v>45979</v>
      </c>
      <c r="G1480" s="16">
        <f ca="1">IFERROR(__xludf.DUMMYFUNCTION("""COMPUTED_VALUE"""),45951)</f>
        <v>45951</v>
      </c>
      <c r="H1480" s="6" t="str">
        <f ca="1">IFERROR(__xludf.DUMMYFUNCTION("""COMPUTED_VALUE"""),"Murcia")</f>
        <v>Murcia</v>
      </c>
      <c r="I1480" s="6" t="str">
        <f ca="1">IFERROR(__xludf.DUMMYFUNCTION("""COMPUTED_VALUE"""),"C202510211354136208")</f>
        <v>C202510211354136208</v>
      </c>
      <c r="J1480" s="6" t="str">
        <f ca="1">IFERROR(__xludf.DUMMYFUNCTION("""COMPUTED_VALUE"""),"JOSEFA MENCHON RIOS")</f>
        <v>JOSEFA MENCHON RIOS</v>
      </c>
      <c r="K1480" s="6">
        <f ca="1">IFERROR(__xludf.DUMMYFUNCTION("""COMPUTED_VALUE"""),2)</f>
        <v>2</v>
      </c>
      <c r="L1480" s="139">
        <f ca="1">IFERROR(__xludf.DUMMYFUNCTION("""COMPUTED_VALUE"""),2717.31)</f>
        <v>2717.31</v>
      </c>
      <c r="M1480" s="6" t="str">
        <f ca="1">IFERROR(__xludf.DUMMYFUNCTION("""COMPUTED_VALUE"""),"03 ORL")</f>
        <v>03 ORL</v>
      </c>
      <c r="N1480" s="6" t="str">
        <f ca="1">IFERROR(__xludf.DUMMYFUNCTION("""COMPUTED_VALUE"""),"06 ORL")</f>
        <v>06 ORL</v>
      </c>
      <c r="O1480" s="6" t="str">
        <f ca="1">IFERROR(__xludf.DUMMYFUNCTION("""COMPUTED_VALUE"""),"Dr, Miguel Lucas Herrera")</f>
        <v>Dr, Miguel Lucas Herrera</v>
      </c>
      <c r="P1480" s="6" t="str">
        <f ca="1">IFERROR(__xludf.DUMMYFUNCTION("""COMPUTED_VALUE"""),"Iván Sánchez (Levante Y Albacete)")</f>
        <v>Iván Sánchez (Levante Y Albacete)</v>
      </c>
    </row>
    <row r="1481" spans="2:16">
      <c r="B1481" s="6">
        <f ca="1">IFERROR(__xludf.DUMMYFUNCTION("""COMPUTED_VALUE"""),2025)</f>
        <v>2025</v>
      </c>
      <c r="C1481" s="6">
        <f ca="1">IFERROR(__xludf.DUMMYFUNCTION("""COMPUTED_VALUE"""),11)</f>
        <v>11</v>
      </c>
      <c r="D1481" s="6" t="str">
        <f ca="1">IFERROR(__xludf.DUMMYFUNCTION("""COMPUTED_VALUE"""),"NO")</f>
        <v>NO</v>
      </c>
      <c r="E1481" s="6" t="str">
        <f ca="1">IFERROR(__xludf.DUMMYFUNCTION("""COMPUTED_VALUE"""),"Madrid- La Oca")</f>
        <v>Madrid- La Oca</v>
      </c>
      <c r="F1481" s="16">
        <f ca="1">IFERROR(__xludf.DUMMYFUNCTION("""COMPUTED_VALUE"""),45979)</f>
        <v>45979</v>
      </c>
      <c r="G1481" s="16">
        <f ca="1">IFERROR(__xludf.DUMMYFUNCTION("""COMPUTED_VALUE"""),45953)</f>
        <v>45953</v>
      </c>
      <c r="H1481" s="6" t="str">
        <f ca="1">IFERROR(__xludf.DUMMYFUNCTION("""COMPUTED_VALUE"""),"La Oca")</f>
        <v>La Oca</v>
      </c>
      <c r="I1481" s="6" t="str">
        <f ca="1">IFERROR(__xludf.DUMMYFUNCTION("""COMPUTED_VALUE"""),"C202510239535946869")</f>
        <v>C202510239535946869</v>
      </c>
      <c r="J1481" s="6" t="str">
        <f ca="1">IFERROR(__xludf.DUMMYFUNCTION("""COMPUTED_VALUE"""),"FRANCISCO DONAIRE AGUDO")</f>
        <v>FRANCISCO DONAIRE AGUDO</v>
      </c>
      <c r="K1481" s="6">
        <f ca="1">IFERROR(__xludf.DUMMYFUNCTION("""COMPUTED_VALUE"""),2)</f>
        <v>2</v>
      </c>
      <c r="L1481" s="139">
        <f ca="1">IFERROR(__xludf.DUMMYFUNCTION("""COMPUTED_VALUE"""),3631.82)</f>
        <v>3631.82</v>
      </c>
      <c r="M1481" s="6" t="str">
        <f ca="1">IFERROR(__xludf.DUMMYFUNCTION("""COMPUTED_VALUE"""),"03 ORL")</f>
        <v>03 ORL</v>
      </c>
      <c r="N1481" s="6" t="str">
        <f ca="1">IFERROR(__xludf.DUMMYFUNCTION("""COMPUTED_VALUE"""),"06 ORL")</f>
        <v>06 ORL</v>
      </c>
      <c r="O1481" s="6" t="str">
        <f ca="1">IFERROR(__xludf.DUMMYFUNCTION("""COMPUTED_VALUE"""),"Dr, José Joaquín Gutiérrez Barquín")</f>
        <v>Dr, José Joaquín Gutiérrez Barquín</v>
      </c>
      <c r="P1481" s="6" t="str">
        <f ca="1">IFERROR(__xludf.DUMMYFUNCTION("""COMPUTED_VALUE"""),"Maika Blázquez (Madrid)")</f>
        <v>Maika Blázquez (Madrid)</v>
      </c>
    </row>
    <row r="1482" spans="2:16">
      <c r="B1482" s="6">
        <f ca="1">IFERROR(__xludf.DUMMYFUNCTION("""COMPUTED_VALUE"""),2025)</f>
        <v>2025</v>
      </c>
      <c r="C1482" s="6">
        <f ca="1">IFERROR(__xludf.DUMMYFUNCTION("""COMPUTED_VALUE"""),11)</f>
        <v>11</v>
      </c>
      <c r="D1482" s="6" t="str">
        <f ca="1">IFERROR(__xludf.DUMMYFUNCTION("""COMPUTED_VALUE"""),"NO")</f>
        <v>NO</v>
      </c>
      <c r="E1482" s="6" t="str">
        <f ca="1">IFERROR(__xludf.DUMMYFUNCTION("""COMPUTED_VALUE"""),"Logroño")</f>
        <v>Logroño</v>
      </c>
      <c r="F1482" s="16">
        <f ca="1">IFERROR(__xludf.DUMMYFUNCTION("""COMPUTED_VALUE"""),45979)</f>
        <v>45979</v>
      </c>
      <c r="G1482" s="16">
        <f ca="1">IFERROR(__xludf.DUMMYFUNCTION("""COMPUTED_VALUE"""),45937)</f>
        <v>45937</v>
      </c>
      <c r="H1482" s="6" t="str">
        <f ca="1">IFERROR(__xludf.DUMMYFUNCTION("""COMPUTED_VALUE"""),"Logroño")</f>
        <v>Logroño</v>
      </c>
      <c r="I1482" s="6" t="str">
        <f ca="1">IFERROR(__xludf.DUMMYFUNCTION("""COMPUTED_VALUE"""),"LOG-1420")</f>
        <v>LOG-1420</v>
      </c>
      <c r="J1482" s="6" t="str">
        <f ca="1">IFERROR(__xludf.DUMMYFUNCTION("""COMPUTED_VALUE"""),"EDUARDO ARISTE AISA")</f>
        <v>EDUARDO ARISTE AISA</v>
      </c>
      <c r="K1482" s="6">
        <f ca="1">IFERROR(__xludf.DUMMYFUNCTION("""COMPUTED_VALUE"""),-2)</f>
        <v>-2</v>
      </c>
      <c r="L1482" s="139">
        <f ca="1">IFERROR(__xludf.DUMMYFUNCTION("""COMPUTED_VALUE"""),-2718.18)</f>
        <v>-2718.18</v>
      </c>
      <c r="M1482" s="6" t="str">
        <f ca="1">IFERROR(__xludf.DUMMYFUNCTION("""COMPUTED_VALUE"""),"03 ORL")</f>
        <v>03 ORL</v>
      </c>
      <c r="N1482" s="6" t="str">
        <f ca="1">IFERROR(__xludf.DUMMYFUNCTION("""COMPUTED_VALUE"""),"06 ORL")</f>
        <v>06 ORL</v>
      </c>
      <c r="O1482" s="6" t="str">
        <f ca="1">IFERROR(__xludf.DUMMYFUNCTION("""COMPUTED_VALUE"""),"Dr, Fernando Salazar Barcelona")</f>
        <v>Dr, Fernando Salazar Barcelona</v>
      </c>
      <c r="P1482" s="6" t="str">
        <f ca="1">IFERROR(__xludf.DUMMYFUNCTION("""COMPUTED_VALUE"""),"Lisandro Russian (Madrid, Cáceres, Toledo, Talavera Y Logroño)")</f>
        <v>Lisandro Russian (Madrid, Cáceres, Toledo, Talavera Y Logroño)</v>
      </c>
    </row>
    <row r="1483" spans="2:16">
      <c r="B1483" s="6">
        <f ca="1">IFERROR(__xludf.DUMMYFUNCTION("""COMPUTED_VALUE"""),2025)</f>
        <v>2025</v>
      </c>
      <c r="C1483" s="6">
        <f ca="1">IFERROR(__xludf.DUMMYFUNCTION("""COMPUTED_VALUE"""),11)</f>
        <v>11</v>
      </c>
      <c r="D1483" s="6" t="str">
        <f ca="1">IFERROR(__xludf.DUMMYFUNCTION("""COMPUTED_VALUE"""),"NO")</f>
        <v>NO</v>
      </c>
      <c r="E1483" s="6" t="str">
        <f ca="1">IFERROR(__xludf.DUMMYFUNCTION("""COMPUTED_VALUE"""),"Móstoles")</f>
        <v>Móstoles</v>
      </c>
      <c r="F1483" s="16">
        <f ca="1">IFERROR(__xludf.DUMMYFUNCTION("""COMPUTED_VALUE"""),45979)</f>
        <v>45979</v>
      </c>
      <c r="G1483" s="16">
        <f ca="1">IFERROR(__xludf.DUMMYFUNCTION("""COMPUTED_VALUE"""),45947)</f>
        <v>45947</v>
      </c>
      <c r="H1483" s="6" t="str">
        <f ca="1">IFERROR(__xludf.DUMMYFUNCTION("""COMPUTED_VALUE"""),"Móstoles")</f>
        <v>Móstoles</v>
      </c>
      <c r="I1483" s="6" t="str">
        <f ca="1">IFERROR(__xludf.DUMMYFUNCTION("""COMPUTED_VALUE"""),"C202510171515509044")</f>
        <v>C202510171515509044</v>
      </c>
      <c r="J1483" s="6" t="str">
        <f ca="1">IFERROR(__xludf.DUMMYFUNCTION("""COMPUTED_VALUE"""),"EUSEBIO FERNANDEZ PEREZ")</f>
        <v>EUSEBIO FERNANDEZ PEREZ</v>
      </c>
      <c r="K1483" s="6">
        <f ca="1">IFERROR(__xludf.DUMMYFUNCTION("""COMPUTED_VALUE"""),2)</f>
        <v>2</v>
      </c>
      <c r="L1483" s="139">
        <f ca="1">IFERROR(__xludf.DUMMYFUNCTION("""COMPUTED_VALUE"""),2718.18)</f>
        <v>2718.18</v>
      </c>
      <c r="M1483" s="6" t="str">
        <f ca="1">IFERROR(__xludf.DUMMYFUNCTION("""COMPUTED_VALUE"""),"04 TIENDA")</f>
        <v>04 TIENDA</v>
      </c>
      <c r="N1483" s="6" t="str">
        <f ca="1">IFERROR(__xludf.DUMMYFUNCTION("""COMPUTED_VALUE"""),"07 BOCA/BOCA")</f>
        <v>07 BOCA/BOCA</v>
      </c>
      <c r="O1483" s="6" t="str">
        <f ca="1">IFERROR(__xludf.DUMMYFUNCTION("""COMPUTED_VALUE"""),"No recuerda ORL")</f>
        <v>No recuerda ORL</v>
      </c>
      <c r="P1483" s="6" t="str">
        <f ca="1">IFERROR(__xludf.DUMMYFUNCTION("""COMPUTED_VALUE"""),"Maika Blázquez (Madrid)")</f>
        <v>Maika Blázquez (Madrid)</v>
      </c>
    </row>
    <row r="1484" spans="2:16">
      <c r="B1484" s="6">
        <f ca="1">IFERROR(__xludf.DUMMYFUNCTION("""COMPUTED_VALUE"""),2025)</f>
        <v>2025</v>
      </c>
      <c r="C1484" s="6">
        <f ca="1">IFERROR(__xludf.DUMMYFUNCTION("""COMPUTED_VALUE"""),11)</f>
        <v>11</v>
      </c>
      <c r="D1484" s="6" t="str">
        <f ca="1">IFERROR(__xludf.DUMMYFUNCTION("""COMPUTED_VALUE"""),"NO")</f>
        <v>NO</v>
      </c>
      <c r="E1484" s="6" t="str">
        <f ca="1">IFERROR(__xludf.DUMMYFUNCTION("""COMPUTED_VALUE"""),"Sevilla- Ciencias")</f>
        <v>Sevilla- Ciencias</v>
      </c>
      <c r="F1484" s="16">
        <f ca="1">IFERROR(__xludf.DUMMYFUNCTION("""COMPUTED_VALUE"""),45980)</f>
        <v>45980</v>
      </c>
      <c r="G1484" s="16">
        <f ca="1">IFERROR(__xludf.DUMMYFUNCTION("""COMPUTED_VALUE"""),45950)</f>
        <v>45950</v>
      </c>
      <c r="H1484" s="6" t="str">
        <f ca="1">IFERROR(__xludf.DUMMYFUNCTION("""COMPUTED_VALUE"""),"Sevilla Este")</f>
        <v>Sevilla Este</v>
      </c>
      <c r="I1484" s="6" t="str">
        <f ca="1">IFERROR(__xludf.DUMMYFUNCTION("""COMPUTED_VALUE"""),"SEVE-466")</f>
        <v>SEVE-466</v>
      </c>
      <c r="J1484" s="6" t="str">
        <f ca="1">IFERROR(__xludf.DUMMYFUNCTION("""COMPUTED_VALUE"""),"MANUEL MORALES CEPEDA")</f>
        <v>MANUEL MORALES CEPEDA</v>
      </c>
      <c r="K1484" s="6">
        <f ca="1">IFERROR(__xludf.DUMMYFUNCTION("""COMPUTED_VALUE"""),1)</f>
        <v>1</v>
      </c>
      <c r="L1484" s="139">
        <f ca="1">IFERROR(__xludf.DUMMYFUNCTION("""COMPUTED_VALUE"""),2471.82)</f>
        <v>2471.8200000000002</v>
      </c>
      <c r="M1484" s="6" t="str">
        <f ca="1">IFERROR(__xludf.DUMMYFUNCTION("""COMPUTED_VALUE"""),"03 ORL")</f>
        <v>03 ORL</v>
      </c>
      <c r="N1484" s="6" t="str">
        <f ca="1">IFERROR(__xludf.DUMMYFUNCTION("""COMPUTED_VALUE"""),"06 ORL")</f>
        <v>06 ORL</v>
      </c>
      <c r="O1484" s="6" t="str">
        <f ca="1">IFERROR(__xludf.DUMMYFUNCTION("""COMPUTED_VALUE"""),"Dra, Estefanía Berrocal Postigo")</f>
        <v>Dra, Estefanía Berrocal Postigo</v>
      </c>
      <c r="P1484" s="6" t="str">
        <f ca="1">IFERROR(__xludf.DUMMYFUNCTION("""COMPUTED_VALUE"""),"Luis Alberto Rodríguez (Andalucía Y Badajoz)")</f>
        <v>Luis Alberto Rodríguez (Andalucía Y Badajoz)</v>
      </c>
    </row>
    <row r="1485" spans="2:16">
      <c r="B1485" s="6">
        <f ca="1">IFERROR(__xludf.DUMMYFUNCTION("""COMPUTED_VALUE"""),2025)</f>
        <v>2025</v>
      </c>
      <c r="C1485" s="6">
        <f ca="1">IFERROR(__xludf.DUMMYFUNCTION("""COMPUTED_VALUE"""),11)</f>
        <v>11</v>
      </c>
      <c r="D1485" s="6" t="str">
        <f ca="1">IFERROR(__xludf.DUMMYFUNCTION("""COMPUTED_VALUE"""),"NO")</f>
        <v>NO</v>
      </c>
      <c r="E1485" s="6" t="str">
        <f ca="1">IFERROR(__xludf.DUMMYFUNCTION("""COMPUTED_VALUE"""),"Zaragoza- Santander")</f>
        <v>Zaragoza- Santander</v>
      </c>
      <c r="F1485" s="16">
        <f ca="1">IFERROR(__xludf.DUMMYFUNCTION("""COMPUTED_VALUE"""),45980)</f>
        <v>45980</v>
      </c>
      <c r="G1485" s="16">
        <f ca="1">IFERROR(__xludf.DUMMYFUNCTION("""COMPUTED_VALUE"""),45972)</f>
        <v>45972</v>
      </c>
      <c r="H1485" s="6" t="str">
        <f ca="1">IFERROR(__xludf.DUMMYFUNCTION("""COMPUTED_VALUE"""),"Zaragoza- Santander")</f>
        <v>Zaragoza- Santander</v>
      </c>
      <c r="I1485" s="6" t="str">
        <f ca="1">IFERROR(__xludf.DUMMYFUNCTION("""COMPUTED_VALUE"""),"C202511119134290355")</f>
        <v>C202511119134290355</v>
      </c>
      <c r="J1485" s="6" t="str">
        <f ca="1">IFERROR(__xludf.DUMMYFUNCTION("""COMPUTED_VALUE"""),"JESUS GIMENO QUERO")</f>
        <v>JESUS GIMENO QUERO</v>
      </c>
      <c r="K1485" s="6">
        <f ca="1">IFERROR(__xludf.DUMMYFUNCTION("""COMPUTED_VALUE"""),1)</f>
        <v>1</v>
      </c>
      <c r="L1485" s="139">
        <f ca="1">IFERROR(__xludf.DUMMYFUNCTION("""COMPUTED_VALUE"""),2263.64)</f>
        <v>2263.64</v>
      </c>
      <c r="M1485" s="6" t="str">
        <f ca="1">IFERROR(__xludf.DUMMYFUNCTION("""COMPUTED_VALUE"""),"03 ORL")</f>
        <v>03 ORL</v>
      </c>
      <c r="N1485" s="6" t="str">
        <f ca="1">IFERROR(__xludf.DUMMYFUNCTION("""COMPUTED_VALUE"""),"06 ORL")</f>
        <v>06 ORL</v>
      </c>
      <c r="O1485" s="6" t="str">
        <f ca="1">IFERROR(__xludf.DUMMYFUNCTION("""COMPUTED_VALUE"""),"Dr, Jaime Leache Pueyo")</f>
        <v>Dr, Jaime Leache Pueyo</v>
      </c>
      <c r="P1485" s="6" t="str">
        <f ca="1">IFERROR(__xludf.DUMMYFUNCTION("""COMPUTED_VALUE"""),"Mercè Cabrera (Cataluña Y Baleares)")</f>
        <v>Mercè Cabrera (Cataluña Y Baleares)</v>
      </c>
    </row>
    <row r="1486" spans="2:16">
      <c r="B1486" s="6">
        <f ca="1">IFERROR(__xludf.DUMMYFUNCTION("""COMPUTED_VALUE"""),2025)</f>
        <v>2025</v>
      </c>
      <c r="C1486" s="6">
        <f ca="1">IFERROR(__xludf.DUMMYFUNCTION("""COMPUTED_VALUE"""),11)</f>
        <v>11</v>
      </c>
      <c r="D1486" s="6" t="str">
        <f ca="1">IFERROR(__xludf.DUMMYFUNCTION("""COMPUTED_VALUE"""),"NO")</f>
        <v>NO</v>
      </c>
      <c r="E1486" s="6" t="str">
        <f ca="1">IFERROR(__xludf.DUMMYFUNCTION("""COMPUTED_VALUE"""),"Leganés")</f>
        <v>Leganés</v>
      </c>
      <c r="F1486" s="16">
        <f ca="1">IFERROR(__xludf.DUMMYFUNCTION("""COMPUTED_VALUE"""),45980)</f>
        <v>45980</v>
      </c>
      <c r="G1486" s="16">
        <f ca="1">IFERROR(__xludf.DUMMYFUNCTION("""COMPUTED_VALUE"""),45961)</f>
        <v>45961</v>
      </c>
      <c r="H1486" s="6" t="str">
        <f ca="1">IFERROR(__xludf.DUMMYFUNCTION("""COMPUTED_VALUE"""),"Leganés")</f>
        <v>Leganés</v>
      </c>
      <c r="I1486" s="6" t="str">
        <f ca="1">IFERROR(__xludf.DUMMYFUNCTION("""COMPUTED_VALUE"""),"C202510311036310045")</f>
        <v>C202510311036310045</v>
      </c>
      <c r="J1486" s="6" t="str">
        <f ca="1">IFERROR(__xludf.DUMMYFUNCTION("""COMPUTED_VALUE"""),"ENGRACIA MBAMUALA MUATETEMA")</f>
        <v>ENGRACIA MBAMUALA MUATETEMA</v>
      </c>
      <c r="K1486" s="6">
        <f ca="1">IFERROR(__xludf.DUMMYFUNCTION("""COMPUTED_VALUE"""),2)</f>
        <v>2</v>
      </c>
      <c r="L1486" s="139">
        <f ca="1">IFERROR(__xludf.DUMMYFUNCTION("""COMPUTED_VALUE"""),3631.82)</f>
        <v>3631.82</v>
      </c>
      <c r="M1486" s="6" t="str">
        <f ca="1">IFERROR(__xludf.DUMMYFUNCTION("""COMPUTED_VALUE"""),"03 ORL")</f>
        <v>03 ORL</v>
      </c>
      <c r="N1486" s="6" t="str">
        <f ca="1">IFERROR(__xludf.DUMMYFUNCTION("""COMPUTED_VALUE"""),"06 ORL")</f>
        <v>06 ORL</v>
      </c>
      <c r="O1486" s="6" t="str">
        <f ca="1">IFERROR(__xludf.DUMMYFUNCTION("""COMPUTED_VALUE"""),"Dr, Jesús Ramos Fernández")</f>
        <v>Dr, Jesús Ramos Fernández</v>
      </c>
      <c r="P1486" s="6" t="str">
        <f ca="1">IFERROR(__xludf.DUMMYFUNCTION("""COMPUTED_VALUE"""),"Maika Blázquez (Madrid)")</f>
        <v>Maika Blázquez (Madrid)</v>
      </c>
    </row>
    <row r="1487" spans="2:16">
      <c r="B1487" s="6">
        <f ca="1">IFERROR(__xludf.DUMMYFUNCTION("""COMPUTED_VALUE"""),2025)</f>
        <v>2025</v>
      </c>
      <c r="C1487" s="6">
        <f ca="1">IFERROR(__xludf.DUMMYFUNCTION("""COMPUTED_VALUE"""),11)</f>
        <v>11</v>
      </c>
      <c r="D1487" s="6" t="str">
        <f ca="1">IFERROR(__xludf.DUMMYFUNCTION("""COMPUTED_VALUE"""),"NO")</f>
        <v>NO</v>
      </c>
      <c r="E1487" s="6" t="str">
        <f ca="1">IFERROR(__xludf.DUMMYFUNCTION("""COMPUTED_VALUE"""),"Murcia")</f>
        <v>Murcia</v>
      </c>
      <c r="F1487" s="16">
        <f ca="1">IFERROR(__xludf.DUMMYFUNCTION("""COMPUTED_VALUE"""),45980)</f>
        <v>45980</v>
      </c>
      <c r="G1487" s="16">
        <f ca="1">IFERROR(__xludf.DUMMYFUNCTION("""COMPUTED_VALUE"""),45950)</f>
        <v>45950</v>
      </c>
      <c r="H1487" s="6" t="str">
        <f ca="1">IFERROR(__xludf.DUMMYFUNCTION("""COMPUTED_VALUE"""),"Murcia")</f>
        <v>Murcia</v>
      </c>
      <c r="I1487" s="6" t="str">
        <f ca="1">IFERROR(__xludf.DUMMYFUNCTION("""COMPUTED_VALUE"""),"C202510207111397193")</f>
        <v>C202510207111397193</v>
      </c>
      <c r="J1487" s="6" t="str">
        <f ca="1">IFERROR(__xludf.DUMMYFUNCTION("""COMPUTED_VALUE"""),"JOSE ROMERO GARCIA")</f>
        <v>JOSE ROMERO GARCIA</v>
      </c>
      <c r="K1487" s="6">
        <f ca="1">IFERROR(__xludf.DUMMYFUNCTION("""COMPUTED_VALUE"""),2)</f>
        <v>2</v>
      </c>
      <c r="L1487" s="139">
        <f ca="1">IFERROR(__xludf.DUMMYFUNCTION("""COMPUTED_VALUE"""),4136.36)</f>
        <v>4136.3599999999997</v>
      </c>
      <c r="M1487" s="6" t="str">
        <f ca="1">IFERROR(__xludf.DUMMYFUNCTION("""COMPUTED_VALUE"""),"03 ORL")</f>
        <v>03 ORL</v>
      </c>
      <c r="N1487" s="6" t="str">
        <f ca="1">IFERROR(__xludf.DUMMYFUNCTION("""COMPUTED_VALUE"""),"06 ORL")</f>
        <v>06 ORL</v>
      </c>
      <c r="O1487" s="6" t="str">
        <f ca="1">IFERROR(__xludf.DUMMYFUNCTION("""COMPUTED_VALUE"""),"Dr, Enrique López Meseguer")</f>
        <v>Dr, Enrique López Meseguer</v>
      </c>
      <c r="P1487" s="6" t="str">
        <f ca="1">IFERROR(__xludf.DUMMYFUNCTION("""COMPUTED_VALUE"""),"Iván Sánchez (Levante Y Albacete)")</f>
        <v>Iván Sánchez (Levante Y Albacete)</v>
      </c>
    </row>
    <row r="1488" spans="2:16">
      <c r="B1488" s="6">
        <f ca="1">IFERROR(__xludf.DUMMYFUNCTION("""COMPUTED_VALUE"""),2025)</f>
        <v>2025</v>
      </c>
      <c r="C1488" s="6">
        <f ca="1">IFERROR(__xludf.DUMMYFUNCTION("""COMPUTED_VALUE"""),11)</f>
        <v>11</v>
      </c>
      <c r="D1488" s="6" t="str">
        <f ca="1">IFERROR(__xludf.DUMMYFUNCTION("""COMPUTED_VALUE"""),"NO")</f>
        <v>NO</v>
      </c>
      <c r="E1488" s="6" t="str">
        <f ca="1">IFERROR(__xludf.DUMMYFUNCTION("""COMPUTED_VALUE"""),"Madrid- Monforte de Lemos")</f>
        <v>Madrid- Monforte de Lemos</v>
      </c>
      <c r="F1488" s="16">
        <f ca="1">IFERROR(__xludf.DUMMYFUNCTION("""COMPUTED_VALUE"""),45980)</f>
        <v>45980</v>
      </c>
      <c r="G1488" s="16">
        <f ca="1">IFERROR(__xludf.DUMMYFUNCTION("""COMPUTED_VALUE"""),45903)</f>
        <v>45903</v>
      </c>
      <c r="H1488" s="6" t="str">
        <f ca="1">IFERROR(__xludf.DUMMYFUNCTION("""COMPUTED_VALUE"""),"La Vaguada")</f>
        <v>La Vaguada</v>
      </c>
      <c r="I1488" s="6" t="str">
        <f ca="1">IFERROR(__xludf.DUMMYFUNCTION("""COMPUTED_VALUE"""),"C2025111212324260")</f>
        <v>C2025111212324260</v>
      </c>
      <c r="J1488" s="6" t="str">
        <f ca="1">IFERROR(__xludf.DUMMYFUNCTION("""COMPUTED_VALUE"""),"TOMASA DELFINA GARCIA CAPELLA")</f>
        <v>TOMASA DELFINA GARCIA CAPELLA</v>
      </c>
      <c r="K1488" s="6">
        <f ca="1">IFERROR(__xludf.DUMMYFUNCTION("""COMPUTED_VALUE"""),1)</f>
        <v>1</v>
      </c>
      <c r="L1488" s="139">
        <f ca="1">IFERROR(__xludf.DUMMYFUNCTION("""COMPUTED_VALUE"""),1631.82)</f>
        <v>1631.82</v>
      </c>
      <c r="M1488" s="6" t="str">
        <f ca="1">IFERROR(__xludf.DUMMYFUNCTION("""COMPUTED_VALUE"""),"03 ORL")</f>
        <v>03 ORL</v>
      </c>
      <c r="N1488" s="6" t="str">
        <f ca="1">IFERROR(__xludf.DUMMYFUNCTION("""COMPUTED_VALUE"""),"06 ORL")</f>
        <v>06 ORL</v>
      </c>
      <c r="O1488" s="6" t="str">
        <f ca="1">IFERROR(__xludf.DUMMYFUNCTION("""COMPUTED_VALUE"""),"Dra, Marta Sanz Rodríguez")</f>
        <v>Dra, Marta Sanz Rodríguez</v>
      </c>
      <c r="P1488" s="6" t="str">
        <f ca="1">IFERROR(__xludf.DUMMYFUNCTION("""COMPUTED_VALUE"""),"Maika Blázquez (Madrid)")</f>
        <v>Maika Blázquez (Madrid)</v>
      </c>
    </row>
    <row r="1489" spans="2:16">
      <c r="B1489" s="6">
        <f ca="1">IFERROR(__xludf.DUMMYFUNCTION("""COMPUTED_VALUE"""),2025)</f>
        <v>2025</v>
      </c>
      <c r="C1489" s="6">
        <f ca="1">IFERROR(__xludf.DUMMYFUNCTION("""COMPUTED_VALUE"""),11)</f>
        <v>11</v>
      </c>
      <c r="D1489" s="6" t="str">
        <f ca="1">IFERROR(__xludf.DUMMYFUNCTION("""COMPUTED_VALUE"""),"NO")</f>
        <v>NO</v>
      </c>
      <c r="E1489" s="6" t="str">
        <f ca="1">IFERROR(__xludf.DUMMYFUNCTION("""COMPUTED_VALUE"""),"Murcia")</f>
        <v>Murcia</v>
      </c>
      <c r="F1489" s="16">
        <f ca="1">IFERROR(__xludf.DUMMYFUNCTION("""COMPUTED_VALUE"""),45980)</f>
        <v>45980</v>
      </c>
      <c r="G1489" s="16">
        <f ca="1">IFERROR(__xludf.DUMMYFUNCTION("""COMPUTED_VALUE"""),45951)</f>
        <v>45951</v>
      </c>
      <c r="H1489" s="6" t="str">
        <f ca="1">IFERROR(__xludf.DUMMYFUNCTION("""COMPUTED_VALUE"""),"Murcia")</f>
        <v>Murcia</v>
      </c>
      <c r="I1489" s="6" t="str">
        <f ca="1">IFERROR(__xludf.DUMMYFUNCTION("""COMPUTED_VALUE"""),"C202510218473447693")</f>
        <v>C202510218473447693</v>
      </c>
      <c r="J1489" s="6" t="str">
        <f ca="1">IFERROR(__xludf.DUMMYFUNCTION("""COMPUTED_VALUE"""),"FRANCISCO HERNANDEZ RUIZ")</f>
        <v>FRANCISCO HERNANDEZ RUIZ</v>
      </c>
      <c r="K1489" s="6">
        <f ca="1">IFERROR(__xludf.DUMMYFUNCTION("""COMPUTED_VALUE"""),1)</f>
        <v>1</v>
      </c>
      <c r="L1489" s="139">
        <f ca="1">IFERROR(__xludf.DUMMYFUNCTION("""COMPUTED_VALUE"""),2722.73)</f>
        <v>2722.73</v>
      </c>
      <c r="M1489" s="6" t="str">
        <f ca="1">IFERROR(__xludf.DUMMYFUNCTION("""COMPUTED_VALUE"""),"03 ORL")</f>
        <v>03 ORL</v>
      </c>
      <c r="N1489" s="6" t="str">
        <f ca="1">IFERROR(__xludf.DUMMYFUNCTION("""COMPUTED_VALUE"""),"06 ORL")</f>
        <v>06 ORL</v>
      </c>
      <c r="O1489" s="6" t="str">
        <f ca="1">IFERROR(__xludf.DUMMYFUNCTION("""COMPUTED_VALUE"""),"Dra, María Agustina Sevilla García")</f>
        <v>Dra, María Agustina Sevilla García</v>
      </c>
      <c r="P1489" s="6" t="str">
        <f ca="1">IFERROR(__xludf.DUMMYFUNCTION("""COMPUTED_VALUE"""),"Iván Sánchez (Levante Y Albacete)")</f>
        <v>Iván Sánchez (Levante Y Albacete)</v>
      </c>
    </row>
    <row r="1490" spans="2:16">
      <c r="B1490" s="6">
        <f ca="1">IFERROR(__xludf.DUMMYFUNCTION("""COMPUTED_VALUE"""),2025)</f>
        <v>2025</v>
      </c>
      <c r="C1490" s="6">
        <f ca="1">IFERROR(__xludf.DUMMYFUNCTION("""COMPUTED_VALUE"""),11)</f>
        <v>11</v>
      </c>
      <c r="D1490" s="6" t="str">
        <f ca="1">IFERROR(__xludf.DUMMYFUNCTION("""COMPUTED_VALUE"""),"NO")</f>
        <v>NO</v>
      </c>
      <c r="E1490" s="6" t="str">
        <f ca="1">IFERROR(__xludf.DUMMYFUNCTION("""COMPUTED_VALUE"""),"Ourense")</f>
        <v>Ourense</v>
      </c>
      <c r="F1490" s="16">
        <f ca="1">IFERROR(__xludf.DUMMYFUNCTION("""COMPUTED_VALUE"""),45980)</f>
        <v>45980</v>
      </c>
      <c r="G1490" s="16">
        <f ca="1">IFERROR(__xludf.DUMMYFUNCTION("""COMPUTED_VALUE"""),45959)</f>
        <v>45959</v>
      </c>
      <c r="H1490" s="6" t="str">
        <f ca="1">IFERROR(__xludf.DUMMYFUNCTION("""COMPUTED_VALUE"""),"Orense")</f>
        <v>Orense</v>
      </c>
      <c r="I1490" s="6" t="str">
        <f ca="1">IFERROR(__xludf.DUMMYFUNCTION("""COMPUTED_VALUE"""),"C202510299453887216")</f>
        <v>C202510299453887216</v>
      </c>
      <c r="J1490" s="6" t="str">
        <f ca="1">IFERROR(__xludf.DUMMYFUNCTION("""COMPUTED_VALUE"""),"JOSE PADRON TABOADA")</f>
        <v>JOSE PADRON TABOADA</v>
      </c>
      <c r="K1490" s="6">
        <f ca="1">IFERROR(__xludf.DUMMYFUNCTION("""COMPUTED_VALUE"""),2)</f>
        <v>2</v>
      </c>
      <c r="L1490" s="139">
        <f ca="1">IFERROR(__xludf.DUMMYFUNCTION("""COMPUTED_VALUE"""),2717.31)</f>
        <v>2717.31</v>
      </c>
      <c r="M1490" s="6" t="str">
        <f ca="1">IFERROR(__xludf.DUMMYFUNCTION("""COMPUTED_VALUE"""),"03 ORL")</f>
        <v>03 ORL</v>
      </c>
      <c r="N1490" s="6" t="str">
        <f ca="1">IFERROR(__xludf.DUMMYFUNCTION("""COMPUTED_VALUE"""),"06 ORL")</f>
        <v>06 ORL</v>
      </c>
      <c r="O1490" s="6" t="str">
        <f ca="1">IFERROR(__xludf.DUMMYFUNCTION("""COMPUTED_VALUE"""),"Dra, María Rey Marcos")</f>
        <v>Dra, María Rey Marcos</v>
      </c>
      <c r="P1490" s="6" t="str">
        <f ca="1">IFERROR(__xludf.DUMMYFUNCTION("""COMPUTED_VALUE"""),"Roberto Pereira (Galicia)")</f>
        <v>Roberto Pereira (Galicia)</v>
      </c>
    </row>
    <row r="1491" spans="2:16">
      <c r="B1491" s="6">
        <f ca="1">IFERROR(__xludf.DUMMYFUNCTION("""COMPUTED_VALUE"""),2025)</f>
        <v>2025</v>
      </c>
      <c r="C1491" s="6">
        <f ca="1">IFERROR(__xludf.DUMMYFUNCTION("""COMPUTED_VALUE"""),11)</f>
        <v>11</v>
      </c>
      <c r="D1491" s="6" t="str">
        <f ca="1">IFERROR(__xludf.DUMMYFUNCTION("""COMPUTED_VALUE"""),"NO")</f>
        <v>NO</v>
      </c>
      <c r="E1491" s="6" t="str">
        <f ca="1">IFERROR(__xludf.DUMMYFUNCTION("""COMPUTED_VALUE"""),"Madrid- Juan Bravo")</f>
        <v>Madrid- Juan Bravo</v>
      </c>
      <c r="F1491" s="16">
        <f ca="1">IFERROR(__xludf.DUMMYFUNCTION("""COMPUTED_VALUE"""),45980)</f>
        <v>45980</v>
      </c>
      <c r="G1491" s="16">
        <f ca="1">IFERROR(__xludf.DUMMYFUNCTION("""COMPUTED_VALUE"""),45946)</f>
        <v>45946</v>
      </c>
      <c r="H1491" s="6" t="str">
        <f ca="1">IFERROR(__xludf.DUMMYFUNCTION("""COMPUTED_VALUE"""),"Juan Bravo")</f>
        <v>Juan Bravo</v>
      </c>
      <c r="I1491" s="6" t="str">
        <f ca="1">IFERROR(__xludf.DUMMYFUNCTION("""COMPUTED_VALUE"""),"C202510161416401885")</f>
        <v>C202510161416401885</v>
      </c>
      <c r="J1491" s="6" t="str">
        <f ca="1">IFERROR(__xludf.DUMMYFUNCTION("""COMPUTED_VALUE"""),"ELENA ARNAIZ PALMA")</f>
        <v>ELENA ARNAIZ PALMA</v>
      </c>
      <c r="K1491" s="6">
        <f ca="1">IFERROR(__xludf.DUMMYFUNCTION("""COMPUTED_VALUE"""),2)</f>
        <v>2</v>
      </c>
      <c r="L1491" s="139">
        <f ca="1">IFERROR(__xludf.DUMMYFUNCTION("""COMPUTED_VALUE"""),3929.55)</f>
        <v>3929.55</v>
      </c>
      <c r="M1491" s="6" t="str">
        <f ca="1">IFERROR(__xludf.DUMMYFUNCTION("""COMPUTED_VALUE"""),"03 ORL")</f>
        <v>03 ORL</v>
      </c>
      <c r="N1491" s="6" t="str">
        <f ca="1">IFERROR(__xludf.DUMMYFUNCTION("""COMPUTED_VALUE"""),"06 ORL")</f>
        <v>06 ORL</v>
      </c>
      <c r="O1491" s="6" t="str">
        <f ca="1">IFERROR(__xludf.DUMMYFUNCTION("""COMPUTED_VALUE"""),"Dr, Julio López Moya")</f>
        <v>Dr, Julio López Moya</v>
      </c>
      <c r="P1491" s="6" t="str">
        <f ca="1">IFERROR(__xludf.DUMMYFUNCTION("""COMPUTED_VALUE"""),"Maika Blázquez (Madrid)")</f>
        <v>Maika Blázquez (Madrid)</v>
      </c>
    </row>
    <row r="1492" spans="2:16">
      <c r="B1492" s="6">
        <f ca="1">IFERROR(__xludf.DUMMYFUNCTION("""COMPUTED_VALUE"""),2025)</f>
        <v>2025</v>
      </c>
      <c r="C1492" s="6">
        <f ca="1">IFERROR(__xludf.DUMMYFUNCTION("""COMPUTED_VALUE"""),11)</f>
        <v>11</v>
      </c>
      <c r="D1492" s="6" t="str">
        <f ca="1">IFERROR(__xludf.DUMMYFUNCTION("""COMPUTED_VALUE"""),"NO")</f>
        <v>NO</v>
      </c>
      <c r="E1492" s="6" t="str">
        <f ca="1">IFERROR(__xludf.DUMMYFUNCTION("""COMPUTED_VALUE"""),"Valencia- Parra")</f>
        <v>Valencia- Parra</v>
      </c>
      <c r="F1492" s="16">
        <f ca="1">IFERROR(__xludf.DUMMYFUNCTION("""COMPUTED_VALUE"""),45980)</f>
        <v>45980</v>
      </c>
      <c r="G1492" s="16">
        <f ca="1">IFERROR(__xludf.DUMMYFUNCTION("""COMPUTED_VALUE"""),45944)</f>
        <v>45944</v>
      </c>
      <c r="H1492" s="6" t="str">
        <f ca="1">IFERROR(__xludf.DUMMYFUNCTION("""COMPUTED_VALUE"""),"Valencia- Parra")</f>
        <v>Valencia- Parra</v>
      </c>
      <c r="I1492" s="6" t="str">
        <f ca="1">IFERROR(__xludf.DUMMYFUNCTION("""COMPUTED_VALUE"""),"C202510148501534195")</f>
        <v>C202510148501534195</v>
      </c>
      <c r="J1492" s="6" t="str">
        <f ca="1">IFERROR(__xludf.DUMMYFUNCTION("""COMPUTED_VALUE"""),"RAFAEL DE VICENTE CONTRERAS")</f>
        <v>RAFAEL DE VICENTE CONTRERAS</v>
      </c>
      <c r="K1492" s="6">
        <f ca="1">IFERROR(__xludf.DUMMYFUNCTION("""COMPUTED_VALUE"""),2)</f>
        <v>2</v>
      </c>
      <c r="L1492" s="139">
        <f ca="1">IFERROR(__xludf.DUMMYFUNCTION("""COMPUTED_VALUE"""),3631.82)</f>
        <v>3631.82</v>
      </c>
      <c r="M1492" s="6" t="str">
        <f ca="1">IFERROR(__xludf.DUMMYFUNCTION("""COMPUTED_VALUE"""),"03 ORL")</f>
        <v>03 ORL</v>
      </c>
      <c r="N1492" s="6" t="str">
        <f ca="1">IFERROR(__xludf.DUMMYFUNCTION("""COMPUTED_VALUE"""),"06 ORL")</f>
        <v>06 ORL</v>
      </c>
      <c r="O1492" s="6" t="str">
        <f ca="1">IFERROR(__xludf.DUMMYFUNCTION("""COMPUTED_VALUE"""),"Dr, Raimon García Chillerón")</f>
        <v>Dr, Raimon García Chillerón</v>
      </c>
      <c r="P1492" s="6" t="str">
        <f ca="1">IFERROR(__xludf.DUMMYFUNCTION("""COMPUTED_VALUE"""),"Ramon Ferrando(Valencia)")</f>
        <v>Ramon Ferrando(Valencia)</v>
      </c>
    </row>
    <row r="1493" spans="2:16">
      <c r="B1493" s="6">
        <f ca="1">IFERROR(__xludf.DUMMYFUNCTION("""COMPUTED_VALUE"""),2025)</f>
        <v>2025</v>
      </c>
      <c r="C1493" s="6">
        <f ca="1">IFERROR(__xludf.DUMMYFUNCTION("""COMPUTED_VALUE"""),11)</f>
        <v>11</v>
      </c>
      <c r="D1493" s="6" t="str">
        <f ca="1">IFERROR(__xludf.DUMMYFUNCTION("""COMPUTED_VALUE"""),"NO")</f>
        <v>NO</v>
      </c>
      <c r="E1493" s="6" t="str">
        <f ca="1">IFERROR(__xludf.DUMMYFUNCTION("""COMPUTED_VALUE"""),"Hospitalet de Llobregat")</f>
        <v>Hospitalet de Llobregat</v>
      </c>
      <c r="F1493" s="16">
        <f ca="1">IFERROR(__xludf.DUMMYFUNCTION("""COMPUTED_VALUE"""),45980)</f>
        <v>45980</v>
      </c>
      <c r="G1493" s="16">
        <f ca="1">IFERROR(__xludf.DUMMYFUNCTION("""COMPUTED_VALUE"""),45936)</f>
        <v>45936</v>
      </c>
      <c r="H1493" s="6" t="str">
        <f ca="1">IFERROR(__xludf.DUMMYFUNCTION("""COMPUTED_VALUE"""),"Hospitalet")</f>
        <v>Hospitalet</v>
      </c>
      <c r="I1493" s="6" t="str">
        <f ca="1">IFERROR(__xludf.DUMMYFUNCTION("""COMPUTED_VALUE"""),"C2025102395418894")</f>
        <v>C2025102395418894</v>
      </c>
      <c r="J1493" s="6" t="str">
        <f ca="1">IFERROR(__xludf.DUMMYFUNCTION("""COMPUTED_VALUE"""),"Maricarmen Estrada Gallego")</f>
        <v>Maricarmen Estrada Gallego</v>
      </c>
      <c r="K1493" s="6">
        <f ca="1">IFERROR(__xludf.DUMMYFUNCTION("""COMPUTED_VALUE"""),2)</f>
        <v>2</v>
      </c>
      <c r="L1493" s="139">
        <f ca="1">IFERROR(__xludf.DUMMYFUNCTION("""COMPUTED_VALUE"""),4136.36)</f>
        <v>4136.3599999999997</v>
      </c>
      <c r="M1493" s="6" t="str">
        <f ca="1">IFERROR(__xludf.DUMMYFUNCTION("""COMPUTED_VALUE"""),"03 ORL")</f>
        <v>03 ORL</v>
      </c>
      <c r="N1493" s="6" t="str">
        <f ca="1">IFERROR(__xludf.DUMMYFUNCTION("""COMPUTED_VALUE"""),"06 ORL")</f>
        <v>06 ORL</v>
      </c>
      <c r="O1493" s="6" t="str">
        <f ca="1">IFERROR(__xludf.DUMMYFUNCTION("""COMPUTED_VALUE"""),"Dr, Carlos Calvo Navarro")</f>
        <v>Dr, Carlos Calvo Navarro</v>
      </c>
      <c r="P1493" s="6" t="str">
        <f ca="1">IFERROR(__xludf.DUMMYFUNCTION("""COMPUTED_VALUE"""),"Mercè Cabrera (Cataluña Y Baleares)")</f>
        <v>Mercè Cabrera (Cataluña Y Baleares)</v>
      </c>
    </row>
    <row r="1494" spans="2:16">
      <c r="B1494" s="6">
        <f ca="1">IFERROR(__xludf.DUMMYFUNCTION("""COMPUTED_VALUE"""),2025)</f>
        <v>2025</v>
      </c>
      <c r="C1494" s="6">
        <f ca="1">IFERROR(__xludf.DUMMYFUNCTION("""COMPUTED_VALUE"""),11)</f>
        <v>11</v>
      </c>
      <c r="D1494" s="6" t="str">
        <f ca="1">IFERROR(__xludf.DUMMYFUNCTION("""COMPUTED_VALUE"""),"NO")</f>
        <v>NO</v>
      </c>
      <c r="E1494" s="6" t="str">
        <f ca="1">IFERROR(__xludf.DUMMYFUNCTION("""COMPUTED_VALUE"""),"Murcia")</f>
        <v>Murcia</v>
      </c>
      <c r="F1494" s="16">
        <f ca="1">IFERROR(__xludf.DUMMYFUNCTION("""COMPUTED_VALUE"""),45980)</f>
        <v>45980</v>
      </c>
      <c r="G1494" s="16">
        <f ca="1">IFERROR(__xludf.DUMMYFUNCTION("""COMPUTED_VALUE"""),45946)</f>
        <v>45946</v>
      </c>
      <c r="H1494" s="6" t="str">
        <f ca="1">IFERROR(__xludf.DUMMYFUNCTION("""COMPUTED_VALUE"""),"Murcia")</f>
        <v>Murcia</v>
      </c>
      <c r="I1494" s="6" t="str">
        <f ca="1">IFERROR(__xludf.DUMMYFUNCTION("""COMPUTED_VALUE"""),"C202510161036578585")</f>
        <v>C202510161036578585</v>
      </c>
      <c r="J1494" s="6" t="str">
        <f ca="1">IFERROR(__xludf.DUMMYFUNCTION("""COMPUTED_VALUE"""),"VIRTUDES ANTONIA MARTINEZ NAVARRO")</f>
        <v>VIRTUDES ANTONIA MARTINEZ NAVARRO</v>
      </c>
      <c r="K1494" s="6">
        <f ca="1">IFERROR(__xludf.DUMMYFUNCTION("""COMPUTED_VALUE"""),1)</f>
        <v>1</v>
      </c>
      <c r="L1494" s="139">
        <f ca="1">IFERROR(__xludf.DUMMYFUNCTION("""COMPUTED_VALUE"""),1631.73)</f>
        <v>1631.73</v>
      </c>
      <c r="M1494" s="6" t="str">
        <f ca="1">IFERROR(__xludf.DUMMYFUNCTION("""COMPUTED_VALUE"""),"03 ORL")</f>
        <v>03 ORL</v>
      </c>
      <c r="N1494" s="6" t="str">
        <f ca="1">IFERROR(__xludf.DUMMYFUNCTION("""COMPUTED_VALUE"""),"06 ORL")</f>
        <v>06 ORL</v>
      </c>
      <c r="O1494" s="6" t="str">
        <f ca="1">IFERROR(__xludf.DUMMYFUNCTION("""COMPUTED_VALUE"""),"Dra, Aida Aviñoa Arias")</f>
        <v>Dra, Aida Aviñoa Arias</v>
      </c>
      <c r="P1494" s="6" t="str">
        <f ca="1">IFERROR(__xludf.DUMMYFUNCTION("""COMPUTED_VALUE"""),"Iván Sánchez (Levante Y Albacete)")</f>
        <v>Iván Sánchez (Levante Y Albacete)</v>
      </c>
    </row>
    <row r="1495" spans="2:16">
      <c r="B1495" s="6">
        <f ca="1">IFERROR(__xludf.DUMMYFUNCTION("""COMPUTED_VALUE"""),2025)</f>
        <v>2025</v>
      </c>
      <c r="C1495" s="6">
        <f ca="1">IFERROR(__xludf.DUMMYFUNCTION("""COMPUTED_VALUE"""),11)</f>
        <v>11</v>
      </c>
      <c r="D1495" s="6" t="str">
        <f ca="1">IFERROR(__xludf.DUMMYFUNCTION("""COMPUTED_VALUE"""),"NO")</f>
        <v>NO</v>
      </c>
      <c r="E1495" s="6" t="str">
        <f ca="1">IFERROR(__xludf.DUMMYFUNCTION("""COMPUTED_VALUE"""),"Madrid- Moratalaz")</f>
        <v>Madrid- Moratalaz</v>
      </c>
      <c r="F1495" s="16">
        <f ca="1">IFERROR(__xludf.DUMMYFUNCTION("""COMPUTED_VALUE"""),45980)</f>
        <v>45980</v>
      </c>
      <c r="G1495" s="16">
        <f ca="1">IFERROR(__xludf.DUMMYFUNCTION("""COMPUTED_VALUE"""),45937)</f>
        <v>45937</v>
      </c>
      <c r="H1495" s="6" t="str">
        <f ca="1">IFERROR(__xludf.DUMMYFUNCTION("""COMPUTED_VALUE"""),"Moratalaz")</f>
        <v>Moratalaz</v>
      </c>
      <c r="I1495" s="6" t="str">
        <f ca="1">IFERROR(__xludf.DUMMYFUNCTION("""COMPUTED_VALUE"""),"C20251023172032268")</f>
        <v>C20251023172032268</v>
      </c>
      <c r="J1495" s="6" t="str">
        <f ca="1">IFERROR(__xludf.DUMMYFUNCTION("""COMPUTED_VALUE"""),"ROSA ALONSO GALLARDO")</f>
        <v>ROSA ALONSO GALLARDO</v>
      </c>
      <c r="K1495" s="6">
        <f ca="1">IFERROR(__xludf.DUMMYFUNCTION("""COMPUTED_VALUE"""),2)</f>
        <v>2</v>
      </c>
      <c r="L1495" s="139">
        <f ca="1">IFERROR(__xludf.DUMMYFUNCTION("""COMPUTED_VALUE"""),4136.36)</f>
        <v>4136.3599999999997</v>
      </c>
      <c r="M1495" s="6" t="str">
        <f ca="1">IFERROR(__xludf.DUMMYFUNCTION("""COMPUTED_VALUE"""),"03 ORL")</f>
        <v>03 ORL</v>
      </c>
      <c r="N1495" s="6" t="str">
        <f ca="1">IFERROR(__xludf.DUMMYFUNCTION("""COMPUTED_VALUE"""),"06 ORL")</f>
        <v>06 ORL</v>
      </c>
      <c r="O1495" s="6" t="str">
        <f ca="1">IFERROR(__xludf.DUMMYFUNCTION("""COMPUTED_VALUE"""),"Dr, Alejandro Harguindey Antoli-Candela")</f>
        <v>Dr, Alejandro Harguindey Antoli-Candela</v>
      </c>
      <c r="P1495" s="6" t="str">
        <f ca="1">IFERROR(__xludf.DUMMYFUNCTION("""COMPUTED_VALUE"""),"Maika Blázquez (Madrid)")</f>
        <v>Maika Blázquez (Madrid)</v>
      </c>
    </row>
    <row r="1496" spans="2:16">
      <c r="B1496" s="6">
        <f ca="1">IFERROR(__xludf.DUMMYFUNCTION("""COMPUTED_VALUE"""),2025)</f>
        <v>2025</v>
      </c>
      <c r="C1496" s="6">
        <f ca="1">IFERROR(__xludf.DUMMYFUNCTION("""COMPUTED_VALUE"""),11)</f>
        <v>11</v>
      </c>
      <c r="D1496" s="6" t="str">
        <f ca="1">IFERROR(__xludf.DUMMYFUNCTION("""COMPUTED_VALUE"""),"NO")</f>
        <v>NO</v>
      </c>
      <c r="E1496" s="6" t="str">
        <f ca="1">IFERROR(__xludf.DUMMYFUNCTION("""COMPUTED_VALUE"""),"Alcorcón")</f>
        <v>Alcorcón</v>
      </c>
      <c r="F1496" s="16">
        <f ca="1">IFERROR(__xludf.DUMMYFUNCTION("""COMPUTED_VALUE"""),45981)</f>
        <v>45981</v>
      </c>
      <c r="G1496" s="16">
        <f ca="1">IFERROR(__xludf.DUMMYFUNCTION("""COMPUTED_VALUE"""),45947)</f>
        <v>45947</v>
      </c>
      <c r="H1496" s="6" t="str">
        <f ca="1">IFERROR(__xludf.DUMMYFUNCTION("""COMPUTED_VALUE"""),"Alcorcón")</f>
        <v>Alcorcón</v>
      </c>
      <c r="I1496" s="6" t="str">
        <f ca="1">IFERROR(__xludf.DUMMYFUNCTION("""COMPUTED_VALUE"""),"C202510171318218122")</f>
        <v>C202510171318218122</v>
      </c>
      <c r="J1496" s="6" t="str">
        <f ca="1">IFERROR(__xludf.DUMMYFUNCTION("""COMPUTED_VALUE"""),"ENRIQUE MARTINEZ PASTOR")</f>
        <v>ENRIQUE MARTINEZ PASTOR</v>
      </c>
      <c r="K1496" s="6">
        <f ca="1">IFERROR(__xludf.DUMMYFUNCTION("""COMPUTED_VALUE"""),2)</f>
        <v>2</v>
      </c>
      <c r="L1496" s="139">
        <f ca="1">IFERROR(__xludf.DUMMYFUNCTION("""COMPUTED_VALUE"""),3631.82)</f>
        <v>3631.82</v>
      </c>
      <c r="M1496" s="6" t="str">
        <f ca="1">IFERROR(__xludf.DUMMYFUNCTION("""COMPUTED_VALUE"""),"03 ORL")</f>
        <v>03 ORL</v>
      </c>
      <c r="N1496" s="6" t="str">
        <f ca="1">IFERROR(__xludf.DUMMYFUNCTION("""COMPUTED_VALUE"""),"06 ORL")</f>
        <v>06 ORL</v>
      </c>
      <c r="O1496" s="6" t="str">
        <f ca="1">IFERROR(__xludf.DUMMYFUNCTION("""COMPUTED_VALUE"""),"Dr, Juan Ignacio Riestra Ayora")</f>
        <v>Dr, Juan Ignacio Riestra Ayora</v>
      </c>
      <c r="P1496" s="6" t="str">
        <f ca="1">IFERROR(__xludf.DUMMYFUNCTION("""COMPUTED_VALUE"""),"Maika Blázquez (Madrid)")</f>
        <v>Maika Blázquez (Madrid)</v>
      </c>
    </row>
    <row r="1497" spans="2:16">
      <c r="B1497" s="6">
        <f ca="1">IFERROR(__xludf.DUMMYFUNCTION("""COMPUTED_VALUE"""),2025)</f>
        <v>2025</v>
      </c>
      <c r="C1497" s="6">
        <f ca="1">IFERROR(__xludf.DUMMYFUNCTION("""COMPUTED_VALUE"""),11)</f>
        <v>11</v>
      </c>
      <c r="D1497" s="6" t="str">
        <f ca="1">IFERROR(__xludf.DUMMYFUNCTION("""COMPUTED_VALUE"""),"NO")</f>
        <v>NO</v>
      </c>
      <c r="E1497" s="6" t="str">
        <f ca="1">IFERROR(__xludf.DUMMYFUNCTION("""COMPUTED_VALUE"""),"Madrid- Moratalaz")</f>
        <v>Madrid- Moratalaz</v>
      </c>
      <c r="F1497" s="16">
        <f ca="1">IFERROR(__xludf.DUMMYFUNCTION("""COMPUTED_VALUE"""),45981)</f>
        <v>45981</v>
      </c>
      <c r="G1497" s="16">
        <f ca="1">IFERROR(__xludf.DUMMYFUNCTION("""COMPUTED_VALUE"""),45946)</f>
        <v>45946</v>
      </c>
      <c r="H1497" s="6" t="str">
        <f ca="1">IFERROR(__xludf.DUMMYFUNCTION("""COMPUTED_VALUE"""),"Moratalaz")</f>
        <v>Moratalaz</v>
      </c>
      <c r="I1497" s="6" t="str">
        <f ca="1">IFERROR(__xludf.DUMMYFUNCTION("""COMPUTED_VALUE"""),"C202510161031892841")</f>
        <v>C202510161031892841</v>
      </c>
      <c r="J1497" s="6" t="str">
        <f ca="1">IFERROR(__xludf.DUMMYFUNCTION("""COMPUTED_VALUE"""),"PURIFICACION PRIEGO BLANCO")</f>
        <v>PURIFICACION PRIEGO BLANCO</v>
      </c>
      <c r="K1497" s="6">
        <f ca="1">IFERROR(__xludf.DUMMYFUNCTION("""COMPUTED_VALUE"""),2)</f>
        <v>2</v>
      </c>
      <c r="L1497" s="139">
        <f ca="1">IFERROR(__xludf.DUMMYFUNCTION("""COMPUTED_VALUE"""),4136.36)</f>
        <v>4136.3599999999997</v>
      </c>
      <c r="M1497" s="6" t="str">
        <f ca="1">IFERROR(__xludf.DUMMYFUNCTION("""COMPUTED_VALUE"""),"03 ORL")</f>
        <v>03 ORL</v>
      </c>
      <c r="N1497" s="6" t="str">
        <f ca="1">IFERROR(__xludf.DUMMYFUNCTION("""COMPUTED_VALUE"""),"06 ORL")</f>
        <v>06 ORL</v>
      </c>
      <c r="O1497" s="6" t="str">
        <f ca="1">IFERROR(__xludf.DUMMYFUNCTION("""COMPUTED_VALUE"""),"Dra, Cristina Povedano Fernández")</f>
        <v>Dra, Cristina Povedano Fernández</v>
      </c>
      <c r="P1497" s="6" t="str">
        <f ca="1">IFERROR(__xludf.DUMMYFUNCTION("""COMPUTED_VALUE"""),"Maika Blázquez (Madrid)")</f>
        <v>Maika Blázquez (Madrid)</v>
      </c>
    </row>
    <row r="1498" spans="2:16">
      <c r="B1498" s="6">
        <f ca="1">IFERROR(__xludf.DUMMYFUNCTION("""COMPUTED_VALUE"""),2025)</f>
        <v>2025</v>
      </c>
      <c r="C1498" s="6">
        <f ca="1">IFERROR(__xludf.DUMMYFUNCTION("""COMPUTED_VALUE"""),11)</f>
        <v>11</v>
      </c>
      <c r="D1498" s="6" t="str">
        <f ca="1">IFERROR(__xludf.DUMMYFUNCTION("""COMPUTED_VALUE"""),"NO")</f>
        <v>NO</v>
      </c>
      <c r="E1498" s="6" t="str">
        <f ca="1">IFERROR(__xludf.DUMMYFUNCTION("""COMPUTED_VALUE"""),"Santiago de Compostela")</f>
        <v>Santiago de Compostela</v>
      </c>
      <c r="F1498" s="16">
        <f ca="1">IFERROR(__xludf.DUMMYFUNCTION("""COMPUTED_VALUE"""),45981)</f>
        <v>45981</v>
      </c>
      <c r="G1498" s="16">
        <f ca="1">IFERROR(__xludf.DUMMYFUNCTION("""COMPUTED_VALUE"""),45954)</f>
        <v>45954</v>
      </c>
      <c r="H1498" s="6" t="str">
        <f ca="1">IFERROR(__xludf.DUMMYFUNCTION("""COMPUTED_VALUE"""),"Santiago")</f>
        <v>Santiago</v>
      </c>
      <c r="I1498" s="6" t="str">
        <f ca="1">IFERROR(__xludf.DUMMYFUNCTION("""COMPUTED_VALUE"""),"C202510247424176078")</f>
        <v>C202510247424176078</v>
      </c>
      <c r="J1498" s="6" t="str">
        <f ca="1">IFERROR(__xludf.DUMMYFUNCTION("""COMPUTED_VALUE"""),"GUILLERMO LEMOS NAVEIRO")</f>
        <v>GUILLERMO LEMOS NAVEIRO</v>
      </c>
      <c r="K1498" s="6">
        <f ca="1">IFERROR(__xludf.DUMMYFUNCTION("""COMPUTED_VALUE"""),2)</f>
        <v>2</v>
      </c>
      <c r="L1498" s="139">
        <f ca="1">IFERROR(__xludf.DUMMYFUNCTION("""COMPUTED_VALUE"""),2718.18)</f>
        <v>2718.18</v>
      </c>
      <c r="M1498" s="6" t="str">
        <f ca="1">IFERROR(__xludf.DUMMYFUNCTION("""COMPUTED_VALUE"""),"03 ORL")</f>
        <v>03 ORL</v>
      </c>
      <c r="N1498" s="6" t="str">
        <f ca="1">IFERROR(__xludf.DUMMYFUNCTION("""COMPUTED_VALUE"""),"06 ORL")</f>
        <v>06 ORL</v>
      </c>
      <c r="O1498" s="6" t="str">
        <f ca="1">IFERROR(__xludf.DUMMYFUNCTION("""COMPUTED_VALUE"""),"Dr, Antonio Gustavo Lirola Delgado")</f>
        <v>Dr, Antonio Gustavo Lirola Delgado</v>
      </c>
      <c r="P1498" s="6" t="str">
        <f ca="1">IFERROR(__xludf.DUMMYFUNCTION("""COMPUTED_VALUE"""),"Roberto Pereira (Galicia)")</f>
        <v>Roberto Pereira (Galicia)</v>
      </c>
    </row>
    <row r="1499" spans="2:16">
      <c r="B1499" s="6">
        <f ca="1">IFERROR(__xludf.DUMMYFUNCTION("""COMPUTED_VALUE"""),2025)</f>
        <v>2025</v>
      </c>
      <c r="C1499" s="6">
        <f ca="1">IFERROR(__xludf.DUMMYFUNCTION("""COMPUTED_VALUE"""),11)</f>
        <v>11</v>
      </c>
      <c r="D1499" s="6" t="str">
        <f ca="1">IFERROR(__xludf.DUMMYFUNCTION("""COMPUTED_VALUE"""),"NO")</f>
        <v>NO</v>
      </c>
      <c r="E1499" s="6" t="str">
        <f ca="1">IFERROR(__xludf.DUMMYFUNCTION("""COMPUTED_VALUE"""),"Talavera")</f>
        <v>Talavera</v>
      </c>
      <c r="F1499" s="16">
        <f ca="1">IFERROR(__xludf.DUMMYFUNCTION("""COMPUTED_VALUE"""),45981)</f>
        <v>45981</v>
      </c>
      <c r="G1499" s="16">
        <f ca="1">IFERROR(__xludf.DUMMYFUNCTION("""COMPUTED_VALUE"""),45960)</f>
        <v>45960</v>
      </c>
      <c r="H1499" s="6" t="str">
        <f ca="1">IFERROR(__xludf.DUMMYFUNCTION("""COMPUTED_VALUE"""),"Talavera")</f>
        <v>Talavera</v>
      </c>
      <c r="I1499" s="6" t="str">
        <f ca="1">IFERROR(__xludf.DUMMYFUNCTION("""COMPUTED_VALUE"""),"C202510301034650824")</f>
        <v>C202510301034650824</v>
      </c>
      <c r="J1499" s="6" t="str">
        <f ca="1">IFERROR(__xludf.DUMMYFUNCTION("""COMPUTED_VALUE"""),"MILAGROS PIMENTEL HERRERO")</f>
        <v>MILAGROS PIMENTEL HERRERO</v>
      </c>
      <c r="K1499" s="6">
        <f ca="1">IFERROR(__xludf.DUMMYFUNCTION("""COMPUTED_VALUE"""),1)</f>
        <v>1</v>
      </c>
      <c r="L1499" s="139">
        <f ca="1">IFERROR(__xludf.DUMMYFUNCTION("""COMPUTED_VALUE"""),1631.82)</f>
        <v>1631.82</v>
      </c>
      <c r="M1499" s="6" t="str">
        <f ca="1">IFERROR(__xludf.DUMMYFUNCTION("""COMPUTED_VALUE"""),"03 ORL")</f>
        <v>03 ORL</v>
      </c>
      <c r="N1499" s="6" t="str">
        <f ca="1">IFERROR(__xludf.DUMMYFUNCTION("""COMPUTED_VALUE"""),"06 ORL")</f>
        <v>06 ORL</v>
      </c>
      <c r="O1499" s="6" t="str">
        <f ca="1">IFERROR(__xludf.DUMMYFUNCTION("""COMPUTED_VALUE"""),"No recuerda ORL")</f>
        <v>No recuerda ORL</v>
      </c>
      <c r="P1499" s="6" t="str">
        <f ca="1">IFERROR(__xludf.DUMMYFUNCTION("""COMPUTED_VALUE"""),"Lisandro Russian (Madrid, Cáceres, Toledo, Talavera Y Logroño)")</f>
        <v>Lisandro Russian (Madrid, Cáceres, Toledo, Talavera Y Logroño)</v>
      </c>
    </row>
    <row r="1500" spans="2:16">
      <c r="B1500" s="6">
        <f ca="1">IFERROR(__xludf.DUMMYFUNCTION("""COMPUTED_VALUE"""),2025)</f>
        <v>2025</v>
      </c>
      <c r="C1500" s="6">
        <f ca="1">IFERROR(__xludf.DUMMYFUNCTION("""COMPUTED_VALUE"""),11)</f>
        <v>11</v>
      </c>
      <c r="D1500" s="6" t="str">
        <f ca="1">IFERROR(__xludf.DUMMYFUNCTION("""COMPUTED_VALUE"""),"NO")</f>
        <v>NO</v>
      </c>
      <c r="E1500" s="6" t="str">
        <f ca="1">IFERROR(__xludf.DUMMYFUNCTION("""COMPUTED_VALUE"""),"Madrid- Moratalaz")</f>
        <v>Madrid- Moratalaz</v>
      </c>
      <c r="F1500" s="16">
        <f ca="1">IFERROR(__xludf.DUMMYFUNCTION("""COMPUTED_VALUE"""),45981)</f>
        <v>45981</v>
      </c>
      <c r="G1500" s="16">
        <f ca="1">IFERROR(__xludf.DUMMYFUNCTION("""COMPUTED_VALUE"""),45978)</f>
        <v>45978</v>
      </c>
      <c r="H1500" s="6" t="str">
        <f ca="1">IFERROR(__xludf.DUMMYFUNCTION("""COMPUTED_VALUE"""),"Moratalaz")</f>
        <v>Moratalaz</v>
      </c>
      <c r="I1500" s="6" t="str">
        <f ca="1">IFERROR(__xludf.DUMMYFUNCTION("""COMPUTED_VALUE"""),"C20251117131527594")</f>
        <v>C20251117131527594</v>
      </c>
      <c r="J1500" s="6" t="str">
        <f ca="1">IFERROR(__xludf.DUMMYFUNCTION("""COMPUTED_VALUE"""),"ASEPEYO MCcSS Nº 151 [ALBERTO MOHEDANO GOMEZ]")</f>
        <v>ASEPEYO MCcSS Nº 151 [ALBERTO MOHEDANO GOMEZ]</v>
      </c>
      <c r="K1500" s="6">
        <f ca="1">IFERROR(__xludf.DUMMYFUNCTION("""COMPUTED_VALUE"""),1)</f>
        <v>1</v>
      </c>
      <c r="L1500" s="139">
        <f ca="1">IFERROR(__xludf.DUMMYFUNCTION("""COMPUTED_VALUE"""),2722.73)</f>
        <v>2722.73</v>
      </c>
      <c r="M1500" s="6" t="str">
        <f ca="1">IFERROR(__xludf.DUMMYFUNCTION("""COMPUTED_VALUE"""),"03 ORL")</f>
        <v>03 ORL</v>
      </c>
      <c r="N1500" s="6" t="str">
        <f ca="1">IFERROR(__xludf.DUMMYFUNCTION("""COMPUTED_VALUE"""),"06 ORL")</f>
        <v>06 ORL</v>
      </c>
      <c r="O1500" s="6" t="str">
        <f ca="1">IFERROR(__xludf.DUMMYFUNCTION("""COMPUTED_VALUE"""),"No recuerda ORL")</f>
        <v>No recuerda ORL</v>
      </c>
      <c r="P1500" s="6" t="str">
        <f ca="1">IFERROR(__xludf.DUMMYFUNCTION("""COMPUTED_VALUE"""),"Maika Blázquez (Madrid)")</f>
        <v>Maika Blázquez (Madrid)</v>
      </c>
    </row>
    <row r="1501" spans="2:16">
      <c r="B1501" s="6">
        <f ca="1">IFERROR(__xludf.DUMMYFUNCTION("""COMPUTED_VALUE"""),2025)</f>
        <v>2025</v>
      </c>
      <c r="C1501" s="6">
        <f ca="1">IFERROR(__xludf.DUMMYFUNCTION("""COMPUTED_VALUE"""),11)</f>
        <v>11</v>
      </c>
      <c r="D1501" s="6" t="str">
        <f ca="1">IFERROR(__xludf.DUMMYFUNCTION("""COMPUTED_VALUE"""),"NO")</f>
        <v>NO</v>
      </c>
      <c r="E1501" s="6" t="str">
        <f ca="1">IFERROR(__xludf.DUMMYFUNCTION("""COMPUTED_VALUE"""),"Sevilla- Montoto")</f>
        <v>Sevilla- Montoto</v>
      </c>
      <c r="F1501" s="16">
        <f ca="1">IFERROR(__xludf.DUMMYFUNCTION("""COMPUTED_VALUE"""),45981)</f>
        <v>45981</v>
      </c>
      <c r="G1501" s="16">
        <f ca="1">IFERROR(__xludf.DUMMYFUNCTION("""COMPUTED_VALUE"""),45960)</f>
        <v>45960</v>
      </c>
      <c r="H1501" s="6" t="str">
        <f ca="1">IFERROR(__xludf.DUMMYFUNCTION("""COMPUTED_VALUE"""),"Montoto")</f>
        <v>Montoto</v>
      </c>
      <c r="I1501" s="6" t="str">
        <f ca="1">IFERROR(__xludf.DUMMYFUNCTION("""COMPUTED_VALUE"""),"C202510301551142429")</f>
        <v>C202510301551142429</v>
      </c>
      <c r="J1501" s="6" t="str">
        <f ca="1">IFERROR(__xludf.DUMMYFUNCTION("""COMPUTED_VALUE"""),"IAN FULLER")</f>
        <v>IAN FULLER</v>
      </c>
      <c r="K1501" s="6">
        <f ca="1">IFERROR(__xludf.DUMMYFUNCTION("""COMPUTED_VALUE"""),2)</f>
        <v>2</v>
      </c>
      <c r="L1501" s="139">
        <f ca="1">IFERROR(__xludf.DUMMYFUNCTION("""COMPUTED_VALUE"""),4136.36)</f>
        <v>4136.3599999999997</v>
      </c>
      <c r="M1501" s="6" t="str">
        <f ca="1">IFERROR(__xludf.DUMMYFUNCTION("""COMPUTED_VALUE"""),"03 ORL")</f>
        <v>03 ORL</v>
      </c>
      <c r="N1501" s="6" t="str">
        <f ca="1">IFERROR(__xludf.DUMMYFUNCTION("""COMPUTED_VALUE"""),"06 ORL")</f>
        <v>06 ORL</v>
      </c>
      <c r="O1501" s="6" t="str">
        <f ca="1">IFERROR(__xludf.DUMMYFUNCTION("""COMPUTED_VALUE"""),"Dra, Rocío Corrales Millán")</f>
        <v>Dra, Rocío Corrales Millán</v>
      </c>
      <c r="P1501" s="6" t="str">
        <f ca="1">IFERROR(__xludf.DUMMYFUNCTION("""COMPUTED_VALUE"""),"Luis Alberto Rodríguez (Andalucía y Badajoz)")</f>
        <v>Luis Alberto Rodríguez (Andalucía y Badajoz)</v>
      </c>
    </row>
    <row r="1502" spans="2:16">
      <c r="B1502" s="6">
        <f ca="1">IFERROR(__xludf.DUMMYFUNCTION("""COMPUTED_VALUE"""),2025)</f>
        <v>2025</v>
      </c>
      <c r="C1502" s="6">
        <f ca="1">IFERROR(__xludf.DUMMYFUNCTION("""COMPUTED_VALUE"""),11)</f>
        <v>11</v>
      </c>
      <c r="D1502" s="6" t="str">
        <f ca="1">IFERROR(__xludf.DUMMYFUNCTION("""COMPUTED_VALUE"""),"NO")</f>
        <v>NO</v>
      </c>
      <c r="E1502" s="6" t="str">
        <f ca="1">IFERROR(__xludf.DUMMYFUNCTION("""COMPUTED_VALUE"""),"Valencia- Parra")</f>
        <v>Valencia- Parra</v>
      </c>
      <c r="F1502" s="16">
        <f ca="1">IFERROR(__xludf.DUMMYFUNCTION("""COMPUTED_VALUE"""),45981)</f>
        <v>45981</v>
      </c>
      <c r="G1502" s="16">
        <f ca="1">IFERROR(__xludf.DUMMYFUNCTION("""COMPUTED_VALUE"""),45950)</f>
        <v>45950</v>
      </c>
      <c r="H1502" s="6" t="str">
        <f ca="1">IFERROR(__xludf.DUMMYFUNCTION("""COMPUTED_VALUE"""),"Valencia- Parra")</f>
        <v>Valencia- Parra</v>
      </c>
      <c r="I1502" s="6" t="str">
        <f ca="1">IFERROR(__xludf.DUMMYFUNCTION("""COMPUTED_VALUE"""),"C202510208275688105")</f>
        <v>C202510208275688105</v>
      </c>
      <c r="J1502" s="6" t="str">
        <f ca="1">IFERROR(__xludf.DUMMYFUNCTION("""COMPUTED_VALUE"""),"ANTONIO ABIA GARCIA")</f>
        <v>ANTONIO ABIA GARCIA</v>
      </c>
      <c r="K1502" s="6">
        <f ca="1">IFERROR(__xludf.DUMMYFUNCTION("""COMPUTED_VALUE"""),2)</f>
        <v>2</v>
      </c>
      <c r="L1502" s="139">
        <f ca="1">IFERROR(__xludf.DUMMYFUNCTION("""COMPUTED_VALUE"""),3631.82)</f>
        <v>3631.82</v>
      </c>
      <c r="M1502" s="6" t="str">
        <f ca="1">IFERROR(__xludf.DUMMYFUNCTION("""COMPUTED_VALUE"""),"03 ORL")</f>
        <v>03 ORL</v>
      </c>
      <c r="N1502" s="6" t="str">
        <f ca="1">IFERROR(__xludf.DUMMYFUNCTION("""COMPUTED_VALUE"""),"06 ORL")</f>
        <v>06 ORL</v>
      </c>
      <c r="O1502" s="6" t="str">
        <f ca="1">IFERROR(__xludf.DUMMYFUNCTION("""COMPUTED_VALUE"""),"Dr, Carlos de Paula Vernetta")</f>
        <v>Dr, Carlos de Paula Vernetta</v>
      </c>
      <c r="P1502" s="6" t="str">
        <f ca="1">IFERROR(__xludf.DUMMYFUNCTION("""COMPUTED_VALUE"""),"Ramon Ferrando(Valencia)")</f>
        <v>Ramon Ferrando(Valencia)</v>
      </c>
    </row>
    <row r="1503" spans="2:16">
      <c r="B1503" s="6">
        <f ca="1">IFERROR(__xludf.DUMMYFUNCTION("""COMPUTED_VALUE"""),2025)</f>
        <v>2025</v>
      </c>
      <c r="C1503" s="6">
        <f ca="1">IFERROR(__xludf.DUMMYFUNCTION("""COMPUTED_VALUE"""),11)</f>
        <v>11</v>
      </c>
      <c r="D1503" s="6" t="str">
        <f ca="1">IFERROR(__xludf.DUMMYFUNCTION("""COMPUTED_VALUE"""),"NO")</f>
        <v>NO</v>
      </c>
      <c r="E1503" s="6" t="str">
        <f ca="1">IFERROR(__xludf.DUMMYFUNCTION("""COMPUTED_VALUE"""),"Valencia- Parra")</f>
        <v>Valencia- Parra</v>
      </c>
      <c r="F1503" s="16">
        <f ca="1">IFERROR(__xludf.DUMMYFUNCTION("""COMPUTED_VALUE"""),45981)</f>
        <v>45981</v>
      </c>
      <c r="G1503" s="16">
        <f ca="1">IFERROR(__xludf.DUMMYFUNCTION("""COMPUTED_VALUE"""),45950)</f>
        <v>45950</v>
      </c>
      <c r="H1503" s="6" t="str">
        <f ca="1">IFERROR(__xludf.DUMMYFUNCTION("""COMPUTED_VALUE"""),"Valencia- Parra")</f>
        <v>Valencia- Parra</v>
      </c>
      <c r="I1503" s="6" t="str">
        <f ca="1">IFERROR(__xludf.DUMMYFUNCTION("""COMPUTED_VALUE"""),"C202510208264929306")</f>
        <v>C202510208264929306</v>
      </c>
      <c r="J1503" s="6" t="str">
        <f ca="1">IFERROR(__xludf.DUMMYFUNCTION("""COMPUTED_VALUE"""),"MARIANO DIAZ CARDOSO")</f>
        <v>MARIANO DIAZ CARDOSO</v>
      </c>
      <c r="K1503" s="6">
        <f ca="1">IFERROR(__xludf.DUMMYFUNCTION("""COMPUTED_VALUE"""),1)</f>
        <v>1</v>
      </c>
      <c r="L1503" s="139">
        <f ca="1">IFERROR(__xludf.DUMMYFUNCTION("""COMPUTED_VALUE"""),2180.91)</f>
        <v>2180.91</v>
      </c>
      <c r="M1503" s="6" t="str">
        <f ca="1">IFERROR(__xludf.DUMMYFUNCTION("""COMPUTED_VALUE"""),"03 ORL")</f>
        <v>03 ORL</v>
      </c>
      <c r="N1503" s="6" t="str">
        <f ca="1">IFERROR(__xludf.DUMMYFUNCTION("""COMPUTED_VALUE"""),"06 ORL")</f>
        <v>06 ORL</v>
      </c>
      <c r="O1503" s="6" t="str">
        <f ca="1">IFERROR(__xludf.DUMMYFUNCTION("""COMPUTED_VALUE"""),"Dr, Carlos de Paula Vernetta")</f>
        <v>Dr, Carlos de Paula Vernetta</v>
      </c>
      <c r="P1503" s="6" t="str">
        <f ca="1">IFERROR(__xludf.DUMMYFUNCTION("""COMPUTED_VALUE"""),"Ramon Ferrando(Valencia)")</f>
        <v>Ramon Ferrando(Valencia)</v>
      </c>
    </row>
    <row r="1504" spans="2:16">
      <c r="B1504" s="6">
        <f ca="1">IFERROR(__xludf.DUMMYFUNCTION("""COMPUTED_VALUE"""),2025)</f>
        <v>2025</v>
      </c>
      <c r="C1504" s="6">
        <f ca="1">IFERROR(__xludf.DUMMYFUNCTION("""COMPUTED_VALUE"""),11)</f>
        <v>11</v>
      </c>
      <c r="D1504" s="6" t="str">
        <f ca="1">IFERROR(__xludf.DUMMYFUNCTION("""COMPUTED_VALUE"""),"NO")</f>
        <v>NO</v>
      </c>
      <c r="E1504" s="6" t="str">
        <f ca="1">IFERROR(__xludf.DUMMYFUNCTION("""COMPUTED_VALUE"""),"Madrid- Canillas")</f>
        <v>Madrid- Canillas</v>
      </c>
      <c r="F1504" s="16">
        <f ca="1">IFERROR(__xludf.DUMMYFUNCTION("""COMPUTED_VALUE"""),45981)</f>
        <v>45981</v>
      </c>
      <c r="G1504" s="16">
        <f ca="1">IFERROR(__xludf.DUMMYFUNCTION("""COMPUTED_VALUE"""),45953)</f>
        <v>45953</v>
      </c>
      <c r="H1504" s="6" t="str">
        <f ca="1">IFERROR(__xludf.DUMMYFUNCTION("""COMPUTED_VALUE"""),"Canillas")</f>
        <v>Canillas</v>
      </c>
      <c r="I1504" s="6" t="str">
        <f ca="1">IFERROR(__xludf.DUMMYFUNCTION("""COMPUTED_VALUE"""),"C202510231145455540")</f>
        <v>C202510231145455540</v>
      </c>
      <c r="J1504" s="6" t="str">
        <f ca="1">IFERROR(__xludf.DUMMYFUNCTION("""COMPUTED_VALUE"""),"VICTORIA RABOSO MARTIN")</f>
        <v>VICTORIA RABOSO MARTIN</v>
      </c>
      <c r="K1504" s="6">
        <f ca="1">IFERROR(__xludf.DUMMYFUNCTION("""COMPUTED_VALUE"""),2)</f>
        <v>2</v>
      </c>
      <c r="L1504" s="139">
        <f ca="1">IFERROR(__xludf.DUMMYFUNCTION("""COMPUTED_VALUE"""),3817.27)</f>
        <v>3817.27</v>
      </c>
      <c r="M1504" s="6" t="str">
        <f ca="1">IFERROR(__xludf.DUMMYFUNCTION("""COMPUTED_VALUE"""),"03 ORL")</f>
        <v>03 ORL</v>
      </c>
      <c r="N1504" s="6" t="str">
        <f ca="1">IFERROR(__xludf.DUMMYFUNCTION("""COMPUTED_VALUE"""),"06 ORL")</f>
        <v>06 ORL</v>
      </c>
      <c r="O1504" s="6" t="str">
        <f ca="1">IFERROR(__xludf.DUMMYFUNCTION("""COMPUTED_VALUE"""),"Dr, Alejandro Harguindey Antoli-Candela")</f>
        <v>Dr, Alejandro Harguindey Antoli-Candela</v>
      </c>
      <c r="P1504" s="6" t="str">
        <f ca="1">IFERROR(__xludf.DUMMYFUNCTION("""COMPUTED_VALUE"""),"Maika Blázquez (Madrid)")</f>
        <v>Maika Blázquez (Madrid)</v>
      </c>
    </row>
    <row r="1505" spans="2:16">
      <c r="B1505" s="6">
        <f ca="1">IFERROR(__xludf.DUMMYFUNCTION("""COMPUTED_VALUE"""),2025)</f>
        <v>2025</v>
      </c>
      <c r="C1505" s="6">
        <f ca="1">IFERROR(__xludf.DUMMYFUNCTION("""COMPUTED_VALUE"""),11)</f>
        <v>11</v>
      </c>
      <c r="D1505" s="6" t="str">
        <f ca="1">IFERROR(__xludf.DUMMYFUNCTION("""COMPUTED_VALUE"""),"NO")</f>
        <v>NO</v>
      </c>
      <c r="E1505" s="6" t="str">
        <f ca="1">IFERROR(__xludf.DUMMYFUNCTION("""COMPUTED_VALUE"""),"Culleredo")</f>
        <v>Culleredo</v>
      </c>
      <c r="F1505" s="16">
        <f ca="1">IFERROR(__xludf.DUMMYFUNCTION("""COMPUTED_VALUE"""),45982)</f>
        <v>45982</v>
      </c>
      <c r="G1505" s="16">
        <f ca="1">IFERROR(__xludf.DUMMYFUNCTION("""COMPUTED_VALUE"""),45944)</f>
        <v>45944</v>
      </c>
      <c r="H1505" s="6" t="str">
        <f ca="1">IFERROR(__xludf.DUMMYFUNCTION("""COMPUTED_VALUE"""),"Culleredo")</f>
        <v>Culleredo</v>
      </c>
      <c r="I1505" s="6" t="str">
        <f ca="1">IFERROR(__xludf.DUMMYFUNCTION("""COMPUTED_VALUE"""),"CULL-270")</f>
        <v>CULL-270</v>
      </c>
      <c r="J1505" s="6" t="str">
        <f ca="1">IFERROR(__xludf.DUMMYFUNCTION("""COMPUTED_VALUE"""),"ANTONIO POSE VARELA")</f>
        <v>ANTONIO POSE VARELA</v>
      </c>
      <c r="K1505" s="6">
        <f ca="1">IFERROR(__xludf.DUMMYFUNCTION("""COMPUTED_VALUE"""),2)</f>
        <v>2</v>
      </c>
      <c r="L1505" s="139">
        <f ca="1">IFERROR(__xludf.DUMMYFUNCTION("""COMPUTED_VALUE"""),2272.73)</f>
        <v>2272.73</v>
      </c>
      <c r="M1505" s="6" t="str">
        <f ca="1">IFERROR(__xludf.DUMMYFUNCTION("""COMPUTED_VALUE"""),"03 ORL")</f>
        <v>03 ORL</v>
      </c>
      <c r="N1505" s="6" t="str">
        <f ca="1">IFERROR(__xludf.DUMMYFUNCTION("""COMPUTED_VALUE"""),"06 ORL")</f>
        <v>06 ORL</v>
      </c>
      <c r="O1505" s="6" t="str">
        <f ca="1">IFERROR(__xludf.DUMMYFUNCTION("""COMPUTED_VALUE"""),"Dr, Miguel Mayo Yáñez")</f>
        <v>Dr, Miguel Mayo Yáñez</v>
      </c>
      <c r="P1505" s="6" t="str">
        <f ca="1">IFERROR(__xludf.DUMMYFUNCTION("""COMPUTED_VALUE"""),"Roberto Pereira (Galicia)")</f>
        <v>Roberto Pereira (Galicia)</v>
      </c>
    </row>
    <row r="1506" spans="2:16">
      <c r="B1506" s="6">
        <f ca="1">IFERROR(__xludf.DUMMYFUNCTION("""COMPUTED_VALUE"""),2025)</f>
        <v>2025</v>
      </c>
      <c r="C1506" s="6">
        <f ca="1">IFERROR(__xludf.DUMMYFUNCTION("""COMPUTED_VALUE"""),11)</f>
        <v>11</v>
      </c>
      <c r="D1506" s="6" t="str">
        <f ca="1">IFERROR(__xludf.DUMMYFUNCTION("""COMPUTED_VALUE"""),"NO")</f>
        <v>NO</v>
      </c>
      <c r="E1506" s="6" t="str">
        <f ca="1">IFERROR(__xludf.DUMMYFUNCTION("""COMPUTED_VALUE"""),"Cáceres")</f>
        <v>Cáceres</v>
      </c>
      <c r="F1506" s="16">
        <f ca="1">IFERROR(__xludf.DUMMYFUNCTION("""COMPUTED_VALUE"""),45982)</f>
        <v>45982</v>
      </c>
      <c r="G1506" s="16">
        <f ca="1">IFERROR(__xludf.DUMMYFUNCTION("""COMPUTED_VALUE"""),45936)</f>
        <v>45936</v>
      </c>
      <c r="H1506" s="6" t="str">
        <f ca="1">IFERROR(__xludf.DUMMYFUNCTION("""COMPUTED_VALUE"""),"Cáceres")</f>
        <v>Cáceres</v>
      </c>
      <c r="I1506" s="6" t="str">
        <f ca="1">IFERROR(__xludf.DUMMYFUNCTION("""COMPUTED_VALUE"""),"CAC-412")</f>
        <v>CAC-412</v>
      </c>
      <c r="J1506" s="6" t="str">
        <f ca="1">IFERROR(__xludf.DUMMYFUNCTION("""COMPUTED_VALUE"""),"PURIFICACION COBO SANCHEZ")</f>
        <v>PURIFICACION COBO SANCHEZ</v>
      </c>
      <c r="K1506" s="6">
        <f ca="1">IFERROR(__xludf.DUMMYFUNCTION("""COMPUTED_VALUE"""),2)</f>
        <v>2</v>
      </c>
      <c r="L1506" s="139">
        <f ca="1">IFERROR(__xludf.DUMMYFUNCTION("""COMPUTED_VALUE"""),3940.91)</f>
        <v>3940.91</v>
      </c>
      <c r="M1506" s="6" t="str">
        <f ca="1">IFERROR(__xludf.DUMMYFUNCTION("""COMPUTED_VALUE"""),"03 ORL")</f>
        <v>03 ORL</v>
      </c>
      <c r="N1506" s="6" t="str">
        <f ca="1">IFERROR(__xludf.DUMMYFUNCTION("""COMPUTED_VALUE"""),"06 ORL")</f>
        <v>06 ORL</v>
      </c>
      <c r="O1506" s="6" t="str">
        <f ca="1">IFERROR(__xludf.DUMMYFUNCTION("""COMPUTED_VALUE"""),"Dr, Rafael Sanz Trenado")</f>
        <v>Dr, Rafael Sanz Trenado</v>
      </c>
      <c r="P1506" s="6" t="str">
        <f ca="1">IFERROR(__xludf.DUMMYFUNCTION("""COMPUTED_VALUE"""),"Lisandro Russian (Madrid, Cáceres, Toledo, Talavera Y Logroño)")</f>
        <v>Lisandro Russian (Madrid, Cáceres, Toledo, Talavera Y Logroño)</v>
      </c>
    </row>
    <row r="1507" spans="2:16">
      <c r="B1507" s="6">
        <f ca="1">IFERROR(__xludf.DUMMYFUNCTION("""COMPUTED_VALUE"""),2025)</f>
        <v>2025</v>
      </c>
      <c r="C1507" s="6">
        <f ca="1">IFERROR(__xludf.DUMMYFUNCTION("""COMPUTED_VALUE"""),11)</f>
        <v>11</v>
      </c>
      <c r="D1507" s="6" t="str">
        <f ca="1">IFERROR(__xludf.DUMMYFUNCTION("""COMPUTED_VALUE"""),"NO")</f>
        <v>NO</v>
      </c>
      <c r="E1507" s="6" t="str">
        <f ca="1">IFERROR(__xludf.DUMMYFUNCTION("""COMPUTED_VALUE"""),"Cáceres")</f>
        <v>Cáceres</v>
      </c>
      <c r="F1507" s="16">
        <f ca="1">IFERROR(__xludf.DUMMYFUNCTION("""COMPUTED_VALUE"""),45982)</f>
        <v>45982</v>
      </c>
      <c r="G1507" s="16">
        <f ca="1">IFERROR(__xludf.DUMMYFUNCTION("""COMPUTED_VALUE"""),45947)</f>
        <v>45947</v>
      </c>
      <c r="H1507" s="6" t="str">
        <f ca="1">IFERROR(__xludf.DUMMYFUNCTION("""COMPUTED_VALUE"""),"Cáceres")</f>
        <v>Cáceres</v>
      </c>
      <c r="I1507" s="6" t="str">
        <f ca="1">IFERROR(__xludf.DUMMYFUNCTION("""COMPUTED_VALUE"""),"CAC-425")</f>
        <v>CAC-425</v>
      </c>
      <c r="J1507" s="6" t="str">
        <f ca="1">IFERROR(__xludf.DUMMYFUNCTION("""COMPUTED_VALUE"""),"BENIGNO SANTIBAÑEZ RAMAJO")</f>
        <v>BENIGNO SANTIBAÑEZ RAMAJO</v>
      </c>
      <c r="K1507" s="6">
        <f ca="1">IFERROR(__xludf.DUMMYFUNCTION("""COMPUTED_VALUE"""),2)</f>
        <v>2</v>
      </c>
      <c r="L1507" s="139">
        <f ca="1">IFERROR(__xludf.DUMMYFUNCTION("""COMPUTED_VALUE"""),4500)</f>
        <v>4500</v>
      </c>
      <c r="M1507" s="6" t="str">
        <f ca="1">IFERROR(__xludf.DUMMYFUNCTION("""COMPUTED_VALUE"""),"03 ORL")</f>
        <v>03 ORL</v>
      </c>
      <c r="N1507" s="6" t="str">
        <f ca="1">IFERROR(__xludf.DUMMYFUNCTION("""COMPUTED_VALUE"""),"06 ORL")</f>
        <v>06 ORL</v>
      </c>
      <c r="O1507" s="6" t="str">
        <f ca="1">IFERROR(__xludf.DUMMYFUNCTION("""COMPUTED_VALUE"""),"Dra, Marta García Jiménez")</f>
        <v>Dra, Marta García Jiménez</v>
      </c>
      <c r="P1507" s="6" t="str">
        <f ca="1">IFERROR(__xludf.DUMMYFUNCTION("""COMPUTED_VALUE"""),"Lisandro Russian (Madrid, Cáceres, Toledo, Talavera Y Logroño)")</f>
        <v>Lisandro Russian (Madrid, Cáceres, Toledo, Talavera Y Logroño)</v>
      </c>
    </row>
    <row r="1508" spans="2:16">
      <c r="B1508" s="6">
        <f ca="1">IFERROR(__xludf.DUMMYFUNCTION("""COMPUTED_VALUE"""),2025)</f>
        <v>2025</v>
      </c>
      <c r="C1508" s="6">
        <f ca="1">IFERROR(__xludf.DUMMYFUNCTION("""COMPUTED_VALUE"""),11)</f>
        <v>11</v>
      </c>
      <c r="D1508" s="6" t="str">
        <f ca="1">IFERROR(__xludf.DUMMYFUNCTION("""COMPUTED_VALUE"""),"NO")</f>
        <v>NO</v>
      </c>
      <c r="E1508" s="6" t="str">
        <f ca="1">IFERROR(__xludf.DUMMYFUNCTION("""COMPUTED_VALUE"""),"Madrid- Moratalaz")</f>
        <v>Madrid- Moratalaz</v>
      </c>
      <c r="F1508" s="16">
        <f ca="1">IFERROR(__xludf.DUMMYFUNCTION("""COMPUTED_VALUE"""),45982)</f>
        <v>45982</v>
      </c>
      <c r="G1508" s="16">
        <f ca="1">IFERROR(__xludf.DUMMYFUNCTION("""COMPUTED_VALUE"""),42423)</f>
        <v>42423</v>
      </c>
      <c r="H1508" s="6" t="str">
        <f ca="1">IFERROR(__xludf.DUMMYFUNCTION("""COMPUTED_VALUE"""),"Moratalaz")</f>
        <v>Moratalaz</v>
      </c>
      <c r="I1508" s="6" t="str">
        <f ca="1">IFERROR(__xludf.DUMMYFUNCTION("""COMPUTED_VALUE"""),"MOR-346")</f>
        <v>MOR-346</v>
      </c>
      <c r="J1508" s="6" t="str">
        <f ca="1">IFERROR(__xludf.DUMMYFUNCTION("""COMPUTED_VALUE"""),"MATILDE SANCHEZ MADRID")</f>
        <v>MATILDE SANCHEZ MADRID</v>
      </c>
      <c r="K1508" s="6">
        <f ca="1">IFERROR(__xludf.DUMMYFUNCTION("""COMPUTED_VALUE"""),2)</f>
        <v>2</v>
      </c>
      <c r="L1508" s="139">
        <f ca="1">IFERROR(__xludf.DUMMYFUNCTION("""COMPUTED_VALUE"""),3631.82)</f>
        <v>3631.82</v>
      </c>
      <c r="M1508" s="6" t="str">
        <f ca="1">IFERROR(__xludf.DUMMYFUNCTION("""COMPUTED_VALUE"""),"03 ORL")</f>
        <v>03 ORL</v>
      </c>
      <c r="N1508" s="6" t="str">
        <f ca="1">IFERROR(__xludf.DUMMYFUNCTION("""COMPUTED_VALUE"""),"06 ORL")</f>
        <v>06 ORL</v>
      </c>
      <c r="O1508" s="6" t="str">
        <f ca="1">IFERROR(__xludf.DUMMYFUNCTION("""COMPUTED_VALUE"""),"Dr, Javier García Domínguez")</f>
        <v>Dr, Javier García Domínguez</v>
      </c>
      <c r="P1508" s="6" t="str">
        <f ca="1">IFERROR(__xludf.DUMMYFUNCTION("""COMPUTED_VALUE"""),"Maika Blázquez (Madrid)")</f>
        <v>Maika Blázquez (Madrid)</v>
      </c>
    </row>
    <row r="1509" spans="2:16">
      <c r="B1509" s="6">
        <f ca="1">IFERROR(__xludf.DUMMYFUNCTION("""COMPUTED_VALUE"""),2025)</f>
        <v>2025</v>
      </c>
      <c r="C1509" s="6">
        <f ca="1">IFERROR(__xludf.DUMMYFUNCTION("""COMPUTED_VALUE"""),11)</f>
        <v>11</v>
      </c>
      <c r="D1509" s="6" t="str">
        <f ca="1">IFERROR(__xludf.DUMMYFUNCTION("""COMPUTED_VALUE"""),"NO")</f>
        <v>NO</v>
      </c>
      <c r="E1509" s="6" t="str">
        <f ca="1">IFERROR(__xludf.DUMMYFUNCTION("""COMPUTED_VALUE"""),"Leganés")</f>
        <v>Leganés</v>
      </c>
      <c r="F1509" s="16">
        <f ca="1">IFERROR(__xludf.DUMMYFUNCTION("""COMPUTED_VALUE"""),45982)</f>
        <v>45982</v>
      </c>
      <c r="G1509" s="16">
        <f ca="1">IFERROR(__xludf.DUMMYFUNCTION("""COMPUTED_VALUE"""),45951)</f>
        <v>45951</v>
      </c>
      <c r="H1509" s="6" t="str">
        <f ca="1">IFERROR(__xludf.DUMMYFUNCTION("""COMPUTED_VALUE"""),"Leganés")</f>
        <v>Leganés</v>
      </c>
      <c r="I1509" s="6" t="str">
        <f ca="1">IFERROR(__xludf.DUMMYFUNCTION("""COMPUTED_VALUE"""),"C202510211014295809")</f>
        <v>C202510211014295809</v>
      </c>
      <c r="J1509" s="6" t="str">
        <f ca="1">IFERROR(__xludf.DUMMYFUNCTION("""COMPUTED_VALUE"""),"MARIANO GARCIA GARCIA")</f>
        <v>MARIANO GARCIA GARCIA</v>
      </c>
      <c r="K1509" s="6">
        <f ca="1">IFERROR(__xludf.DUMMYFUNCTION("""COMPUTED_VALUE"""),1)</f>
        <v>1</v>
      </c>
      <c r="L1509" s="139">
        <f ca="1">IFERROR(__xludf.DUMMYFUNCTION("""COMPUTED_VALUE"""),1540.91)</f>
        <v>1540.91</v>
      </c>
      <c r="M1509" s="6" t="str">
        <f ca="1">IFERROR(__xludf.DUMMYFUNCTION("""COMPUTED_VALUE"""),"03 ORL")</f>
        <v>03 ORL</v>
      </c>
      <c r="N1509" s="6" t="str">
        <f ca="1">IFERROR(__xludf.DUMMYFUNCTION("""COMPUTED_VALUE"""),"06 ORL")</f>
        <v>06 ORL</v>
      </c>
      <c r="O1509" s="6" t="str">
        <f ca="1">IFERROR(__xludf.DUMMYFUNCTION("""COMPUTED_VALUE"""),"Dra, Elena Martín Bejerano")</f>
        <v>Dra, Elena Martín Bejerano</v>
      </c>
      <c r="P1509" s="6" t="str">
        <f ca="1">IFERROR(__xludf.DUMMYFUNCTION("""COMPUTED_VALUE"""),"Maika Blázquez (Madrid)")</f>
        <v>Maika Blázquez (Madrid)</v>
      </c>
    </row>
    <row r="1510" spans="2:16">
      <c r="B1510" s="6">
        <f ca="1">IFERROR(__xludf.DUMMYFUNCTION("""COMPUTED_VALUE"""),2025)</f>
        <v>2025</v>
      </c>
      <c r="C1510" s="6">
        <f ca="1">IFERROR(__xludf.DUMMYFUNCTION("""COMPUTED_VALUE"""),11)</f>
        <v>11</v>
      </c>
      <c r="D1510" s="6" t="str">
        <f ca="1">IFERROR(__xludf.DUMMYFUNCTION("""COMPUTED_VALUE"""),"NO")</f>
        <v>NO</v>
      </c>
      <c r="E1510" s="6" t="str">
        <f ca="1">IFERROR(__xludf.DUMMYFUNCTION("""COMPUTED_VALUE"""),"Valencia- Cádiz")</f>
        <v>Valencia- Cádiz</v>
      </c>
      <c r="F1510" s="16">
        <f ca="1">IFERROR(__xludf.DUMMYFUNCTION("""COMPUTED_VALUE"""),45982)</f>
        <v>45982</v>
      </c>
      <c r="G1510" s="16">
        <f ca="1">IFERROR(__xludf.DUMMYFUNCTION("""COMPUTED_VALUE"""),45909)</f>
        <v>45909</v>
      </c>
      <c r="H1510" s="6" t="str">
        <f ca="1">IFERROR(__xludf.DUMMYFUNCTION("""COMPUTED_VALUE"""),"Valencia- Cádiz")</f>
        <v>Valencia- Cádiz</v>
      </c>
      <c r="I1510" s="6" t="str">
        <f ca="1">IFERROR(__xludf.DUMMYFUNCTION("""COMPUTED_VALUE"""),"C2025917125458420")</f>
        <v>C2025917125458420</v>
      </c>
      <c r="J1510" s="6" t="str">
        <f ca="1">IFERROR(__xludf.DUMMYFUNCTION("""COMPUTED_VALUE"""),"MARIA DEL PILAR NACHER RAMON")</f>
        <v>MARIA DEL PILAR NACHER RAMON</v>
      </c>
      <c r="K1510" s="6">
        <f ca="1">IFERROR(__xludf.DUMMYFUNCTION("""COMPUTED_VALUE"""),2)</f>
        <v>2</v>
      </c>
      <c r="L1510" s="139">
        <f ca="1">IFERROR(__xludf.DUMMYFUNCTION("""COMPUTED_VALUE"""),2718.18)</f>
        <v>2718.18</v>
      </c>
      <c r="M1510" s="6" t="str">
        <f ca="1">IFERROR(__xludf.DUMMYFUNCTION("""COMPUTED_VALUE"""),"03 ORL")</f>
        <v>03 ORL</v>
      </c>
      <c r="N1510" s="6" t="str">
        <f ca="1">IFERROR(__xludf.DUMMYFUNCTION("""COMPUTED_VALUE"""),"06 ORL")</f>
        <v>06 ORL</v>
      </c>
      <c r="O1510" s="6" t="str">
        <f ca="1">IFERROR(__xludf.DUMMYFUNCTION("""COMPUTED_VALUE"""),"Dr, Abel Guzmán Calvete")</f>
        <v>Dr, Abel Guzmán Calvete</v>
      </c>
      <c r="P1510" s="6" t="str">
        <f ca="1">IFERROR(__xludf.DUMMYFUNCTION("""COMPUTED_VALUE"""),"Ramon Ferrando(Valencia)")</f>
        <v>Ramon Ferrando(Valencia)</v>
      </c>
    </row>
    <row r="1511" spans="2:16">
      <c r="B1511" s="6">
        <f ca="1">IFERROR(__xludf.DUMMYFUNCTION("""COMPUTED_VALUE"""),2025)</f>
        <v>2025</v>
      </c>
      <c r="C1511" s="6">
        <f ca="1">IFERROR(__xludf.DUMMYFUNCTION("""COMPUTED_VALUE"""),11)</f>
        <v>11</v>
      </c>
      <c r="D1511" s="6" t="str">
        <f ca="1">IFERROR(__xludf.DUMMYFUNCTION("""COMPUTED_VALUE"""),"NO")</f>
        <v>NO</v>
      </c>
      <c r="E1511" s="6" t="str">
        <f ca="1">IFERROR(__xludf.DUMMYFUNCTION("""COMPUTED_VALUE"""),"Madrid- Canillas")</f>
        <v>Madrid- Canillas</v>
      </c>
      <c r="F1511" s="16">
        <f ca="1">IFERROR(__xludf.DUMMYFUNCTION("""COMPUTED_VALUE"""),45982)</f>
        <v>45982</v>
      </c>
      <c r="G1511" s="16">
        <f ca="1">IFERROR(__xludf.DUMMYFUNCTION("""COMPUTED_VALUE"""),45959)</f>
        <v>45959</v>
      </c>
      <c r="H1511" s="6" t="str">
        <f ca="1">IFERROR(__xludf.DUMMYFUNCTION("""COMPUTED_VALUE"""),"Canillas")</f>
        <v>Canillas</v>
      </c>
      <c r="I1511" s="6" t="str">
        <f ca="1">IFERROR(__xludf.DUMMYFUNCTION("""COMPUTED_VALUE"""),"C202510291055923627")</f>
        <v>C202510291055923627</v>
      </c>
      <c r="J1511" s="6" t="str">
        <f ca="1">IFERROR(__xludf.DUMMYFUNCTION("""COMPUTED_VALUE"""),"PILAR LOPEZ PIZARROSO")</f>
        <v>PILAR LOPEZ PIZARROSO</v>
      </c>
      <c r="K1511" s="6">
        <f ca="1">IFERROR(__xludf.DUMMYFUNCTION("""COMPUTED_VALUE"""),1)</f>
        <v>1</v>
      </c>
      <c r="L1511" s="139">
        <f ca="1">IFERROR(__xludf.DUMMYFUNCTION("""COMPUTED_VALUE"""),2481.82)</f>
        <v>2481.8200000000002</v>
      </c>
      <c r="M1511" s="6" t="str">
        <f ca="1">IFERROR(__xludf.DUMMYFUNCTION("""COMPUTED_VALUE"""),"03 ORL")</f>
        <v>03 ORL</v>
      </c>
      <c r="N1511" s="6" t="str">
        <f ca="1">IFERROR(__xludf.DUMMYFUNCTION("""COMPUTED_VALUE"""),"06 ORL")</f>
        <v>06 ORL</v>
      </c>
      <c r="O1511" s="6" t="str">
        <f ca="1">IFERROR(__xludf.DUMMYFUNCTION("""COMPUTED_VALUE"""),"No recuerda ORL")</f>
        <v>No recuerda ORL</v>
      </c>
      <c r="P1511" s="6" t="str">
        <f ca="1">IFERROR(__xludf.DUMMYFUNCTION("""COMPUTED_VALUE"""),"Maika Blázquez (Madrid)")</f>
        <v>Maika Blázquez (Madrid)</v>
      </c>
    </row>
    <row r="1512" spans="2:16">
      <c r="B1512" s="6">
        <f ca="1">IFERROR(__xludf.DUMMYFUNCTION("""COMPUTED_VALUE"""),2025)</f>
        <v>2025</v>
      </c>
      <c r="C1512" s="6">
        <f ca="1">IFERROR(__xludf.DUMMYFUNCTION("""COMPUTED_VALUE"""),11)</f>
        <v>11</v>
      </c>
      <c r="D1512" s="6" t="str">
        <f ca="1">IFERROR(__xludf.DUMMYFUNCTION("""COMPUTED_VALUE"""),"NO")</f>
        <v>NO</v>
      </c>
      <c r="E1512" s="6" t="str">
        <f ca="1">IFERROR(__xludf.DUMMYFUNCTION("""COMPUTED_VALUE"""),"Madrid- Monforte de Lemos")</f>
        <v>Madrid- Monforte de Lemos</v>
      </c>
      <c r="F1512" s="16">
        <f ca="1">IFERROR(__xludf.DUMMYFUNCTION("""COMPUTED_VALUE"""),45982)</f>
        <v>45982</v>
      </c>
      <c r="G1512" s="16">
        <f ca="1">IFERROR(__xludf.DUMMYFUNCTION("""COMPUTED_VALUE"""),45937)</f>
        <v>45937</v>
      </c>
      <c r="H1512" s="6" t="str">
        <f ca="1">IFERROR(__xludf.DUMMYFUNCTION("""COMPUTED_VALUE"""),"La Vaguada")</f>
        <v>La Vaguada</v>
      </c>
      <c r="I1512" s="6" t="str">
        <f ca="1">IFERROR(__xludf.DUMMYFUNCTION("""COMPUTED_VALUE"""),"C20251017102530696")</f>
        <v>C20251017102530696</v>
      </c>
      <c r="J1512" s="6" t="str">
        <f ca="1">IFERROR(__xludf.DUMMYFUNCTION("""COMPUTED_VALUE"""),"VISITACION LAGUNAS PEREZ")</f>
        <v>VISITACION LAGUNAS PEREZ</v>
      </c>
      <c r="K1512" s="6">
        <f ca="1">IFERROR(__xludf.DUMMYFUNCTION("""COMPUTED_VALUE"""),2)</f>
        <v>2</v>
      </c>
      <c r="L1512" s="139">
        <f ca="1">IFERROR(__xludf.DUMMYFUNCTION("""COMPUTED_VALUE"""),3631.82)</f>
        <v>3631.82</v>
      </c>
      <c r="M1512" s="6" t="str">
        <f ca="1">IFERROR(__xludf.DUMMYFUNCTION("""COMPUTED_VALUE"""),"03 ORL")</f>
        <v>03 ORL</v>
      </c>
      <c r="N1512" s="6" t="str">
        <f ca="1">IFERROR(__xludf.DUMMYFUNCTION("""COMPUTED_VALUE"""),"06 ORL")</f>
        <v>06 ORL</v>
      </c>
      <c r="O1512" s="6" t="str">
        <f ca="1">IFERROR(__xludf.DUMMYFUNCTION("""COMPUTED_VALUE"""),"Dra, Beatriz Arana Fernández")</f>
        <v>Dra, Beatriz Arana Fernández</v>
      </c>
      <c r="P1512" s="6" t="str">
        <f ca="1">IFERROR(__xludf.DUMMYFUNCTION("""COMPUTED_VALUE"""),"Maika Blázquez (Madrid)")</f>
        <v>Maika Blázquez (Madrid)</v>
      </c>
    </row>
    <row r="1513" spans="2:16">
      <c r="B1513" s="6">
        <f ca="1">IFERROR(__xludf.DUMMYFUNCTION("""COMPUTED_VALUE"""),2025)</f>
        <v>2025</v>
      </c>
      <c r="C1513" s="6">
        <f ca="1">IFERROR(__xludf.DUMMYFUNCTION("""COMPUTED_VALUE"""),11)</f>
        <v>11</v>
      </c>
      <c r="D1513" s="6" t="str">
        <f ca="1">IFERROR(__xludf.DUMMYFUNCTION("""COMPUTED_VALUE"""),"NO")</f>
        <v>NO</v>
      </c>
      <c r="E1513" s="6" t="str">
        <f ca="1">IFERROR(__xludf.DUMMYFUNCTION("""COMPUTED_VALUE"""),"Barcelona- Córcega")</f>
        <v>Barcelona- Córcega</v>
      </c>
      <c r="F1513" s="16">
        <f ca="1">IFERROR(__xludf.DUMMYFUNCTION("""COMPUTED_VALUE"""),45982)</f>
        <v>45982</v>
      </c>
      <c r="G1513" s="16">
        <f ca="1">IFERROR(__xludf.DUMMYFUNCTION("""COMPUTED_VALUE"""),45814)</f>
        <v>45814</v>
      </c>
      <c r="H1513" s="6" t="str">
        <f ca="1">IFERROR(__xludf.DUMMYFUNCTION("""COMPUTED_VALUE"""),"Córcega")</f>
        <v>Córcega</v>
      </c>
      <c r="I1513" s="6" t="str">
        <f ca="1">IFERROR(__xludf.DUMMYFUNCTION("""COMPUTED_VALUE"""),"C2025612122632395")</f>
        <v>C2025612122632395</v>
      </c>
      <c r="J1513" s="6" t="str">
        <f ca="1">IFERROR(__xludf.DUMMYFUNCTION("""COMPUTED_VALUE"""),"ANTONIO OLLE DORCA")</f>
        <v>ANTONIO OLLE DORCA</v>
      </c>
      <c r="K1513" s="6">
        <f ca="1">IFERROR(__xludf.DUMMYFUNCTION("""COMPUTED_VALUE"""),2)</f>
        <v>2</v>
      </c>
      <c r="L1513" s="139">
        <f ca="1">IFERROR(__xludf.DUMMYFUNCTION("""COMPUTED_VALUE"""),3800)</f>
        <v>3800</v>
      </c>
      <c r="M1513" s="6" t="str">
        <f ca="1">IFERROR(__xludf.DUMMYFUNCTION("""COMPUTED_VALUE"""),"03 ORL")</f>
        <v>03 ORL</v>
      </c>
      <c r="N1513" s="6" t="str">
        <f ca="1">IFERROR(__xludf.DUMMYFUNCTION("""COMPUTED_VALUE"""),"06 ORL")</f>
        <v>06 ORL</v>
      </c>
      <c r="O1513" s="6" t="str">
        <f ca="1">IFERROR(__xludf.DUMMYFUNCTION("""COMPUTED_VALUE"""),"Dra, Marta Sandoval Puig")</f>
        <v>Dra, Marta Sandoval Puig</v>
      </c>
      <c r="P1513" s="6" t="str">
        <f ca="1">IFERROR(__xludf.DUMMYFUNCTION("""COMPUTED_VALUE"""),"Mercè Cabrera (Cataluña Y Baleares)")</f>
        <v>Mercè Cabrera (Cataluña Y Baleares)</v>
      </c>
    </row>
    <row r="1514" spans="2:16">
      <c r="B1514" s="6">
        <f ca="1">IFERROR(__xludf.DUMMYFUNCTION("""COMPUTED_VALUE"""),2025)</f>
        <v>2025</v>
      </c>
      <c r="C1514" s="6">
        <f ca="1">IFERROR(__xludf.DUMMYFUNCTION("""COMPUTED_VALUE"""),11)</f>
        <v>11</v>
      </c>
      <c r="D1514" s="6" t="str">
        <f ca="1">IFERROR(__xludf.DUMMYFUNCTION("""COMPUTED_VALUE"""),"NO")</f>
        <v>NO</v>
      </c>
      <c r="E1514" s="6" t="str">
        <f ca="1">IFERROR(__xludf.DUMMYFUNCTION("""COMPUTED_VALUE"""),"Toledo")</f>
        <v>Toledo</v>
      </c>
      <c r="F1514" s="16">
        <f ca="1">IFERROR(__xludf.DUMMYFUNCTION("""COMPUTED_VALUE"""),45982)</f>
        <v>45982</v>
      </c>
      <c r="G1514" s="16">
        <f ca="1">IFERROR(__xludf.DUMMYFUNCTION("""COMPUTED_VALUE"""),45951)</f>
        <v>45951</v>
      </c>
      <c r="H1514" s="6" t="str">
        <f ca="1">IFERROR(__xludf.DUMMYFUNCTION("""COMPUTED_VALUE"""),"Toledo")</f>
        <v>Toledo</v>
      </c>
      <c r="I1514" s="6" t="str">
        <f ca="1">IFERROR(__xludf.DUMMYFUNCTION("""COMPUTED_VALUE"""),"C202510219402818543")</f>
        <v>C202510219402818543</v>
      </c>
      <c r="J1514" s="6" t="str">
        <f ca="1">IFERROR(__xludf.DUMMYFUNCTION("""COMPUTED_VALUE"""),"Abraham García Rodríguez")</f>
        <v>Abraham García Rodríguez</v>
      </c>
      <c r="K1514" s="6">
        <f ca="1">IFERROR(__xludf.DUMMYFUNCTION("""COMPUTED_VALUE"""),2)</f>
        <v>2</v>
      </c>
      <c r="L1514" s="139">
        <f ca="1">IFERROR(__xludf.DUMMYFUNCTION("""COMPUTED_VALUE"""),3631.82)</f>
        <v>3631.82</v>
      </c>
      <c r="M1514" s="6" t="str">
        <f ca="1">IFERROR(__xludf.DUMMYFUNCTION("""COMPUTED_VALUE"""),"03 ORL")</f>
        <v>03 ORL</v>
      </c>
      <c r="N1514" s="6" t="str">
        <f ca="1">IFERROR(__xludf.DUMMYFUNCTION("""COMPUTED_VALUE"""),"06 ORL")</f>
        <v>06 ORL</v>
      </c>
      <c r="O1514" s="6" t="str">
        <f ca="1">IFERROR(__xludf.DUMMYFUNCTION("""COMPUTED_VALUE"""),"Dr,Manuel Padilla Parrado")</f>
        <v>Dr,Manuel Padilla Parrado</v>
      </c>
      <c r="P1514" s="6" t="str">
        <f ca="1">IFERROR(__xludf.DUMMYFUNCTION("""COMPUTED_VALUE"""),"Lisandro Russian (Madrid, Cáceres, Toledo, Talavera Y Logroño)")</f>
        <v>Lisandro Russian (Madrid, Cáceres, Toledo, Talavera Y Logroño)</v>
      </c>
    </row>
    <row r="1515" spans="2:16">
      <c r="B1515" s="6">
        <f ca="1">IFERROR(__xludf.DUMMYFUNCTION("""COMPUTED_VALUE"""),2025)</f>
        <v>2025</v>
      </c>
      <c r="C1515" s="6">
        <f ca="1">IFERROR(__xludf.DUMMYFUNCTION("""COMPUTED_VALUE"""),11)</f>
        <v>11</v>
      </c>
      <c r="D1515" s="6" t="str">
        <f ca="1">IFERROR(__xludf.DUMMYFUNCTION("""COMPUTED_VALUE"""),"NO")</f>
        <v>NO</v>
      </c>
      <c r="E1515" s="6" t="str">
        <f ca="1">IFERROR(__xludf.DUMMYFUNCTION("""COMPUTED_VALUE"""),"Móstoles")</f>
        <v>Móstoles</v>
      </c>
      <c r="F1515" s="16">
        <f ca="1">IFERROR(__xludf.DUMMYFUNCTION("""COMPUTED_VALUE"""),45982)</f>
        <v>45982</v>
      </c>
      <c r="G1515" s="16">
        <f ca="1">IFERROR(__xludf.DUMMYFUNCTION("""COMPUTED_VALUE"""),45950)</f>
        <v>45950</v>
      </c>
      <c r="H1515" s="6" t="str">
        <f ca="1">IFERROR(__xludf.DUMMYFUNCTION("""COMPUTED_VALUE"""),"Móstoles")</f>
        <v>Móstoles</v>
      </c>
      <c r="I1515" s="6" t="str">
        <f ca="1">IFERROR(__xludf.DUMMYFUNCTION("""COMPUTED_VALUE"""),"C202510201554338128")</f>
        <v>C202510201554338128</v>
      </c>
      <c r="J1515" s="6" t="str">
        <f ca="1">IFERROR(__xludf.DUMMYFUNCTION("""COMPUTED_VALUE"""),"CRISTINA MARTINEZ BLANCO")</f>
        <v>CRISTINA MARTINEZ BLANCO</v>
      </c>
      <c r="K1515" s="6">
        <f ca="1">IFERROR(__xludf.DUMMYFUNCTION("""COMPUTED_VALUE"""),1)</f>
        <v>1</v>
      </c>
      <c r="L1515" s="139">
        <f ca="1">IFERROR(__xludf.DUMMYFUNCTION("""COMPUTED_VALUE"""),1631.82)</f>
        <v>1631.82</v>
      </c>
      <c r="M1515" s="6" t="str">
        <f ca="1">IFERROR(__xludf.DUMMYFUNCTION("""COMPUTED_VALUE"""),"03 ORL")</f>
        <v>03 ORL</v>
      </c>
      <c r="N1515" s="6" t="str">
        <f ca="1">IFERROR(__xludf.DUMMYFUNCTION("""COMPUTED_VALUE"""),"06 ORL")</f>
        <v>06 ORL</v>
      </c>
      <c r="O1515" s="6" t="str">
        <f ca="1">IFERROR(__xludf.DUMMYFUNCTION("""COMPUTED_VALUE"""),"Dra, Laura del Toro Gil")</f>
        <v>Dra, Laura del Toro Gil</v>
      </c>
      <c r="P1515" s="6" t="str">
        <f ca="1">IFERROR(__xludf.DUMMYFUNCTION("""COMPUTED_VALUE"""),"Maika Blázquez (Madrid)")</f>
        <v>Maika Blázquez (Madrid)</v>
      </c>
    </row>
    <row r="1516" spans="2:16">
      <c r="B1516" s="6">
        <f ca="1">IFERROR(__xludf.DUMMYFUNCTION("""COMPUTED_VALUE"""),2025)</f>
        <v>2025</v>
      </c>
      <c r="C1516" s="6">
        <f ca="1">IFERROR(__xludf.DUMMYFUNCTION("""COMPUTED_VALUE"""),11)</f>
        <v>11</v>
      </c>
      <c r="D1516" s="6" t="str">
        <f ca="1">IFERROR(__xludf.DUMMYFUNCTION("""COMPUTED_VALUE"""),"NO")</f>
        <v>NO</v>
      </c>
      <c r="E1516" s="6" t="str">
        <f ca="1">IFERROR(__xludf.DUMMYFUNCTION("""COMPUTED_VALUE"""),"Vigo")</f>
        <v>Vigo</v>
      </c>
      <c r="F1516" s="16">
        <f ca="1">IFERROR(__xludf.DUMMYFUNCTION("""COMPUTED_VALUE"""),45985)</f>
        <v>45985</v>
      </c>
      <c r="G1516" s="16">
        <f ca="1">IFERROR(__xludf.DUMMYFUNCTION("""COMPUTED_VALUE"""),45965)</f>
        <v>45965</v>
      </c>
      <c r="H1516" s="6" t="str">
        <f ca="1">IFERROR(__xludf.DUMMYFUNCTION("""COMPUTED_VALUE"""),"Vigo")</f>
        <v>Vigo</v>
      </c>
      <c r="I1516" s="6" t="str">
        <f ca="1">IFERROR(__xludf.DUMMYFUNCTION("""COMPUTED_VALUE"""),"VIG-633")</f>
        <v>VIG-633</v>
      </c>
      <c r="J1516" s="6" t="str">
        <f ca="1">IFERROR(__xludf.DUMMYFUNCTION("""COMPUTED_VALUE"""),"JOSE PEREZ GOMEZ")</f>
        <v>JOSE PEREZ GOMEZ</v>
      </c>
      <c r="K1516" s="6">
        <f ca="1">IFERROR(__xludf.DUMMYFUNCTION("""COMPUTED_VALUE"""),2)</f>
        <v>2</v>
      </c>
      <c r="L1516" s="139">
        <f ca="1">IFERROR(__xludf.DUMMYFUNCTION("""COMPUTED_VALUE"""),3636.36)</f>
        <v>3636.36</v>
      </c>
      <c r="M1516" s="6" t="str">
        <f ca="1">IFERROR(__xludf.DUMMYFUNCTION("""COMPUTED_VALUE"""),"03 ORL")</f>
        <v>03 ORL</v>
      </c>
      <c r="N1516" s="6" t="str">
        <f ca="1">IFERROR(__xludf.DUMMYFUNCTION("""COMPUTED_VALUE"""),"06 ORL")</f>
        <v>06 ORL</v>
      </c>
      <c r="O1516" s="6" t="str">
        <f ca="1">IFERROR(__xludf.DUMMYFUNCTION("""COMPUTED_VALUE"""),"Dr, Manuel Estevez García")</f>
        <v>Dr, Manuel Estevez García</v>
      </c>
      <c r="P1516" s="6" t="str">
        <f ca="1">IFERROR(__xludf.DUMMYFUNCTION("""COMPUTED_VALUE"""),"Roberto Pereira (Galicia)")</f>
        <v>Roberto Pereira (Galicia)</v>
      </c>
    </row>
    <row r="1517" spans="2:16">
      <c r="B1517" s="6">
        <f ca="1">IFERROR(__xludf.DUMMYFUNCTION("""COMPUTED_VALUE"""),2025)</f>
        <v>2025</v>
      </c>
      <c r="C1517" s="6">
        <f ca="1">IFERROR(__xludf.DUMMYFUNCTION("""COMPUTED_VALUE"""),11)</f>
        <v>11</v>
      </c>
      <c r="D1517" s="6" t="str">
        <f ca="1">IFERROR(__xludf.DUMMYFUNCTION("""COMPUTED_VALUE"""),"NO")</f>
        <v>NO</v>
      </c>
      <c r="E1517" s="6" t="str">
        <f ca="1">IFERROR(__xludf.DUMMYFUNCTION("""COMPUTED_VALUE"""),"Getafe")</f>
        <v>Getafe</v>
      </c>
      <c r="F1517" s="16">
        <f ca="1">IFERROR(__xludf.DUMMYFUNCTION("""COMPUTED_VALUE"""),45985)</f>
        <v>45985</v>
      </c>
      <c r="G1517" s="16">
        <f ca="1">IFERROR(__xludf.DUMMYFUNCTION("""COMPUTED_VALUE"""),45931)</f>
        <v>45931</v>
      </c>
      <c r="H1517" s="6" t="str">
        <f ca="1">IFERROR(__xludf.DUMMYFUNCTION("""COMPUTED_VALUE"""),"Getafe")</f>
        <v>Getafe</v>
      </c>
      <c r="I1517" s="6" t="str">
        <f ca="1">IFERROR(__xludf.DUMMYFUNCTION("""COMPUTED_VALUE"""),"C202510917924811")</f>
        <v>C202510917924811</v>
      </c>
      <c r="J1517" s="6" t="str">
        <f ca="1">IFERROR(__xludf.DUMMYFUNCTION("""COMPUTED_VALUE"""),"DAVID LOPEZ RUIZ")</f>
        <v>DAVID LOPEZ RUIZ</v>
      </c>
      <c r="K1517" s="6">
        <f ca="1">IFERROR(__xludf.DUMMYFUNCTION("""COMPUTED_VALUE"""),1)</f>
        <v>1</v>
      </c>
      <c r="L1517" s="139">
        <f ca="1">IFERROR(__xludf.DUMMYFUNCTION("""COMPUTED_VALUE"""),2180.91)</f>
        <v>2180.91</v>
      </c>
      <c r="M1517" s="6" t="str">
        <f ca="1">IFERROR(__xludf.DUMMYFUNCTION("""COMPUTED_VALUE"""),"03 ORL")</f>
        <v>03 ORL</v>
      </c>
      <c r="N1517" s="6" t="str">
        <f ca="1">IFERROR(__xludf.DUMMYFUNCTION("""COMPUTED_VALUE"""),"06 ORL")</f>
        <v>06 ORL</v>
      </c>
      <c r="O1517" s="6" t="str">
        <f ca="1">IFERROR(__xludf.DUMMYFUNCTION("""COMPUTED_VALUE"""),"No recuerda ORL")</f>
        <v>No recuerda ORL</v>
      </c>
      <c r="P1517" s="6" t="str">
        <f ca="1">IFERROR(__xludf.DUMMYFUNCTION("""COMPUTED_VALUE"""),"Maika Blázquez (Madrid)")</f>
        <v>Maika Blázquez (Madrid)</v>
      </c>
    </row>
    <row r="1518" spans="2:16">
      <c r="B1518" s="6">
        <f ca="1">IFERROR(__xludf.DUMMYFUNCTION("""COMPUTED_VALUE"""),2025)</f>
        <v>2025</v>
      </c>
      <c r="C1518" s="6">
        <f ca="1">IFERROR(__xludf.DUMMYFUNCTION("""COMPUTED_VALUE"""),11)</f>
        <v>11</v>
      </c>
      <c r="D1518" s="6" t="str">
        <f ca="1">IFERROR(__xludf.DUMMYFUNCTION("""COMPUTED_VALUE"""),"NO")</f>
        <v>NO</v>
      </c>
      <c r="E1518" s="6" t="str">
        <f ca="1">IFERROR(__xludf.DUMMYFUNCTION("""COMPUTED_VALUE"""),"Alcorcón")</f>
        <v>Alcorcón</v>
      </c>
      <c r="F1518" s="16">
        <f ca="1">IFERROR(__xludf.DUMMYFUNCTION("""COMPUTED_VALUE"""),45985)</f>
        <v>45985</v>
      </c>
      <c r="G1518" s="16">
        <f ca="1">IFERROR(__xludf.DUMMYFUNCTION("""COMPUTED_VALUE"""),45929)</f>
        <v>45929</v>
      </c>
      <c r="H1518" s="6" t="str">
        <f ca="1">IFERROR(__xludf.DUMMYFUNCTION("""COMPUTED_VALUE"""),"Alcorcón")</f>
        <v>Alcorcón</v>
      </c>
      <c r="I1518" s="6" t="str">
        <f ca="1">IFERROR(__xludf.DUMMYFUNCTION("""COMPUTED_VALUE"""),"C2025109175853796")</f>
        <v>C2025109175853796</v>
      </c>
      <c r="J1518" s="6" t="str">
        <f ca="1">IFERROR(__xludf.DUMMYFUNCTION("""COMPUTED_VALUE"""),"MARIA CARMEN MARTINEZ GONZALEZ")</f>
        <v>MARIA CARMEN MARTINEZ GONZALEZ</v>
      </c>
      <c r="K1518" s="6">
        <f ca="1">IFERROR(__xludf.DUMMYFUNCTION("""COMPUTED_VALUE"""),2)</f>
        <v>2</v>
      </c>
      <c r="L1518" s="139">
        <f ca="1">IFERROR(__xludf.DUMMYFUNCTION("""COMPUTED_VALUE"""),3631.82)</f>
        <v>3631.82</v>
      </c>
      <c r="M1518" s="6" t="str">
        <f ca="1">IFERROR(__xludf.DUMMYFUNCTION("""COMPUTED_VALUE"""),"03 ORL")</f>
        <v>03 ORL</v>
      </c>
      <c r="N1518" s="6" t="str">
        <f ca="1">IFERROR(__xludf.DUMMYFUNCTION("""COMPUTED_VALUE"""),"06 ORL")</f>
        <v>06 ORL</v>
      </c>
      <c r="O1518" s="6" t="str">
        <f ca="1">IFERROR(__xludf.DUMMYFUNCTION("""COMPUTED_VALUE"""),"Dr, Raimundo Gómez-Blasi")</f>
        <v>Dr, Raimundo Gómez-Blasi</v>
      </c>
      <c r="P1518" s="6" t="str">
        <f ca="1">IFERROR(__xludf.DUMMYFUNCTION("""COMPUTED_VALUE"""),"Maika Blázquez (Madrid)")</f>
        <v>Maika Blázquez (Madrid)</v>
      </c>
    </row>
    <row r="1519" spans="2:16">
      <c r="B1519" s="6">
        <f ca="1">IFERROR(__xludf.DUMMYFUNCTION("""COMPUTED_VALUE"""),2025)</f>
        <v>2025</v>
      </c>
      <c r="C1519" s="6">
        <f ca="1">IFERROR(__xludf.DUMMYFUNCTION("""COMPUTED_VALUE"""),11)</f>
        <v>11</v>
      </c>
      <c r="D1519" s="6" t="str">
        <f ca="1">IFERROR(__xludf.DUMMYFUNCTION("""COMPUTED_VALUE"""),"NO")</f>
        <v>NO</v>
      </c>
      <c r="E1519" s="6" t="str">
        <f ca="1">IFERROR(__xludf.DUMMYFUNCTION("""COMPUTED_VALUE"""),"Getafe")</f>
        <v>Getafe</v>
      </c>
      <c r="F1519" s="16">
        <f ca="1">IFERROR(__xludf.DUMMYFUNCTION("""COMPUTED_VALUE"""),45985)</f>
        <v>45985</v>
      </c>
      <c r="G1519" s="16">
        <f ca="1">IFERROR(__xludf.DUMMYFUNCTION("""COMPUTED_VALUE"""),45929)</f>
        <v>45929</v>
      </c>
      <c r="H1519" s="6" t="str">
        <f ca="1">IFERROR(__xludf.DUMMYFUNCTION("""COMPUTED_VALUE"""),"Getafe")</f>
        <v>Getafe</v>
      </c>
      <c r="I1519" s="6" t="str">
        <f ca="1">IFERROR(__xludf.DUMMYFUNCTION("""COMPUTED_VALUE"""),"C202510109518266")</f>
        <v>C202510109518266</v>
      </c>
      <c r="J1519" s="6" t="str">
        <f ca="1">IFERROR(__xludf.DUMMYFUNCTION("""COMPUTED_VALUE"""),"CARLOS GARCÍA PÉREZ")</f>
        <v>CARLOS GARCÍA PÉREZ</v>
      </c>
      <c r="K1519" s="6">
        <f ca="1">IFERROR(__xludf.DUMMYFUNCTION("""COMPUTED_VALUE"""),2)</f>
        <v>2</v>
      </c>
      <c r="L1519" s="139">
        <f ca="1">IFERROR(__xludf.DUMMYFUNCTION("""COMPUTED_VALUE"""),3631.82)</f>
        <v>3631.82</v>
      </c>
      <c r="M1519" s="6" t="str">
        <f ca="1">IFERROR(__xludf.DUMMYFUNCTION("""COMPUTED_VALUE"""),"03 ORL")</f>
        <v>03 ORL</v>
      </c>
      <c r="N1519" s="6" t="str">
        <f ca="1">IFERROR(__xludf.DUMMYFUNCTION("""COMPUTED_VALUE"""),"06 ORL")</f>
        <v>06 ORL</v>
      </c>
      <c r="O1519" s="6" t="str">
        <f ca="1">IFERROR(__xludf.DUMMYFUNCTION("""COMPUTED_VALUE"""),"Dra, María Garrote Garrote")</f>
        <v>Dra, María Garrote Garrote</v>
      </c>
      <c r="P1519" s="6" t="str">
        <f ca="1">IFERROR(__xludf.DUMMYFUNCTION("""COMPUTED_VALUE"""),"Maika Blázquez (Madrid)")</f>
        <v>Maika Blázquez (Madrid)</v>
      </c>
    </row>
    <row r="1520" spans="2:16">
      <c r="B1520" s="6">
        <f ca="1">IFERROR(__xludf.DUMMYFUNCTION("""COMPUTED_VALUE"""),2025)</f>
        <v>2025</v>
      </c>
      <c r="C1520" s="6">
        <f ca="1">IFERROR(__xludf.DUMMYFUNCTION("""COMPUTED_VALUE"""),11)</f>
        <v>11</v>
      </c>
      <c r="D1520" s="6" t="str">
        <f ca="1">IFERROR(__xludf.DUMMYFUNCTION("""COMPUTED_VALUE"""),"NO")</f>
        <v>NO</v>
      </c>
      <c r="E1520" s="6" t="str">
        <f ca="1">IFERROR(__xludf.DUMMYFUNCTION("""COMPUTED_VALUE"""),"Fuenlabrada")</f>
        <v>Fuenlabrada</v>
      </c>
      <c r="F1520" s="16">
        <f ca="1">IFERROR(__xludf.DUMMYFUNCTION("""COMPUTED_VALUE"""),45985)</f>
        <v>45985</v>
      </c>
      <c r="G1520" s="16">
        <f ca="1">IFERROR(__xludf.DUMMYFUNCTION("""COMPUTED_VALUE"""),45958)</f>
        <v>45958</v>
      </c>
      <c r="H1520" s="6" t="str">
        <f ca="1">IFERROR(__xludf.DUMMYFUNCTION("""COMPUTED_VALUE"""),"Fuenlabrada")</f>
        <v>Fuenlabrada</v>
      </c>
      <c r="I1520" s="6" t="str">
        <f ca="1">IFERROR(__xludf.DUMMYFUNCTION("""COMPUTED_VALUE"""),"C202510281515144128")</f>
        <v>C202510281515144128</v>
      </c>
      <c r="J1520" s="6" t="str">
        <f ca="1">IFERROR(__xludf.DUMMYFUNCTION("""COMPUTED_VALUE"""),"ALFONSO BALLESTEROS GIL")</f>
        <v>ALFONSO BALLESTEROS GIL</v>
      </c>
      <c r="K1520" s="6">
        <f ca="1">IFERROR(__xludf.DUMMYFUNCTION("""COMPUTED_VALUE"""),1)</f>
        <v>1</v>
      </c>
      <c r="L1520" s="139">
        <f ca="1">IFERROR(__xludf.DUMMYFUNCTION("""COMPUTED_VALUE"""),2640)</f>
        <v>2640</v>
      </c>
      <c r="M1520" s="6" t="str">
        <f ca="1">IFERROR(__xludf.DUMMYFUNCTION("""COMPUTED_VALUE"""),"03 ORL")</f>
        <v>03 ORL</v>
      </c>
      <c r="N1520" s="6" t="str">
        <f ca="1">IFERROR(__xludf.DUMMYFUNCTION("""COMPUTED_VALUE"""),"06 ORL")</f>
        <v>06 ORL</v>
      </c>
      <c r="O1520" s="6" t="str">
        <f ca="1">IFERROR(__xludf.DUMMYFUNCTION("""COMPUTED_VALUE"""),"Dr, Raimundo Andres Navarro Mediano")</f>
        <v>Dr, Raimundo Andres Navarro Mediano</v>
      </c>
      <c r="P1520" s="6" t="str">
        <f ca="1">IFERROR(__xludf.DUMMYFUNCTION("""COMPUTED_VALUE"""),"Maika Blázquez (Madrid)")</f>
        <v>Maika Blázquez (Madrid)</v>
      </c>
    </row>
    <row r="1521" spans="2:16">
      <c r="B1521" s="6">
        <f ca="1">IFERROR(__xludf.DUMMYFUNCTION("""COMPUTED_VALUE"""),2025)</f>
        <v>2025</v>
      </c>
      <c r="C1521" s="6">
        <f ca="1">IFERROR(__xludf.DUMMYFUNCTION("""COMPUTED_VALUE"""),11)</f>
        <v>11</v>
      </c>
      <c r="D1521" s="6" t="str">
        <f ca="1">IFERROR(__xludf.DUMMYFUNCTION("""COMPUTED_VALUE"""),"NO")</f>
        <v>NO</v>
      </c>
      <c r="E1521" s="6" t="str">
        <f ca="1">IFERROR(__xludf.DUMMYFUNCTION("""COMPUTED_VALUE"""),"Fuenlabrada")</f>
        <v>Fuenlabrada</v>
      </c>
      <c r="F1521" s="16">
        <f ca="1">IFERROR(__xludf.DUMMYFUNCTION("""COMPUTED_VALUE"""),45985)</f>
        <v>45985</v>
      </c>
      <c r="G1521" s="16">
        <f ca="1">IFERROR(__xludf.DUMMYFUNCTION("""COMPUTED_VALUE"""),45954)</f>
        <v>45954</v>
      </c>
      <c r="H1521" s="6" t="str">
        <f ca="1">IFERROR(__xludf.DUMMYFUNCTION("""COMPUTED_VALUE"""),"Fuenlabrada")</f>
        <v>Fuenlabrada</v>
      </c>
      <c r="I1521" s="6" t="str">
        <f ca="1">IFERROR(__xludf.DUMMYFUNCTION("""COMPUTED_VALUE"""),"C202510248477106650")</f>
        <v>C202510248477106650</v>
      </c>
      <c r="J1521" s="6" t="str">
        <f ca="1">IFERROR(__xludf.DUMMYFUNCTION("""COMPUTED_VALUE"""),"JOSE LEO BERROCAL")</f>
        <v>JOSE LEO BERROCAL</v>
      </c>
      <c r="K1521" s="6">
        <f ca="1">IFERROR(__xludf.DUMMYFUNCTION("""COMPUTED_VALUE"""),2)</f>
        <v>2</v>
      </c>
      <c r="L1521" s="139">
        <f ca="1">IFERROR(__xludf.DUMMYFUNCTION("""COMPUTED_VALUE"""),2718.18)</f>
        <v>2718.18</v>
      </c>
      <c r="M1521" s="6" t="str">
        <f ca="1">IFERROR(__xludf.DUMMYFUNCTION("""COMPUTED_VALUE"""),"03 ORL")</f>
        <v>03 ORL</v>
      </c>
      <c r="N1521" s="6" t="str">
        <f ca="1">IFERROR(__xludf.DUMMYFUNCTION("""COMPUTED_VALUE"""),"06 ORL")</f>
        <v>06 ORL</v>
      </c>
      <c r="O1521" s="6" t="str">
        <f ca="1">IFERROR(__xludf.DUMMYFUNCTION("""COMPUTED_VALUE"""),"Dra, Paloma Martín-Aragón Martín")</f>
        <v>Dra, Paloma Martín-Aragón Martín</v>
      </c>
      <c r="P1521" s="6" t="str">
        <f ca="1">IFERROR(__xludf.DUMMYFUNCTION("""COMPUTED_VALUE"""),"Maika Blázquez (Madrid)")</f>
        <v>Maika Blázquez (Madrid)</v>
      </c>
    </row>
    <row r="1522" spans="2:16">
      <c r="B1522" s="6">
        <f ca="1">IFERROR(__xludf.DUMMYFUNCTION("""COMPUTED_VALUE"""),2025)</f>
        <v>2025</v>
      </c>
      <c r="C1522" s="6">
        <f ca="1">IFERROR(__xludf.DUMMYFUNCTION("""COMPUTED_VALUE"""),11)</f>
        <v>11</v>
      </c>
      <c r="D1522" s="6" t="str">
        <f ca="1">IFERROR(__xludf.DUMMYFUNCTION("""COMPUTED_VALUE"""),"NO")</f>
        <v>NO</v>
      </c>
      <c r="E1522" s="6" t="str">
        <f ca="1">IFERROR(__xludf.DUMMYFUNCTION("""COMPUTED_VALUE"""),"Orihuela")</f>
        <v>Orihuela</v>
      </c>
      <c r="F1522" s="16">
        <f ca="1">IFERROR(__xludf.DUMMYFUNCTION("""COMPUTED_VALUE"""),45985)</f>
        <v>45985</v>
      </c>
      <c r="G1522" s="16">
        <f ca="1">IFERROR(__xludf.DUMMYFUNCTION("""COMPUTED_VALUE"""),45964)</f>
        <v>45964</v>
      </c>
      <c r="H1522" s="6" t="str">
        <f ca="1">IFERROR(__xludf.DUMMYFUNCTION("""COMPUTED_VALUE"""),"La Zenia")</f>
        <v>La Zenia</v>
      </c>
      <c r="I1522" s="6" t="str">
        <f ca="1">IFERROR(__xludf.DUMMYFUNCTION("""COMPUTED_VALUE"""),"C202511312491034431")</f>
        <v>C202511312491034431</v>
      </c>
      <c r="J1522" s="6" t="str">
        <f ca="1">IFERROR(__xludf.DUMMYFUNCTION("""COMPUTED_VALUE"""),"CHRISTIAN JEAN CLEMENT")</f>
        <v>CHRISTIAN JEAN CLEMENT</v>
      </c>
      <c r="K1522" s="6">
        <f ca="1">IFERROR(__xludf.DUMMYFUNCTION("""COMPUTED_VALUE"""),2)</f>
        <v>2</v>
      </c>
      <c r="L1522" s="139">
        <f ca="1">IFERROR(__xludf.DUMMYFUNCTION("""COMPUTED_VALUE"""),2718.18)</f>
        <v>2718.18</v>
      </c>
      <c r="M1522" s="6" t="str">
        <f ca="1">IFERROR(__xludf.DUMMYFUNCTION("""COMPUTED_VALUE"""),"03 ORL")</f>
        <v>03 ORL</v>
      </c>
      <c r="N1522" s="6" t="str">
        <f ca="1">IFERROR(__xludf.DUMMYFUNCTION("""COMPUTED_VALUE"""),"06 ORL")</f>
        <v>06 ORL</v>
      </c>
      <c r="O1522" s="6" t="str">
        <f ca="1">IFERROR(__xludf.DUMMYFUNCTION("""COMPUTED_VALUE"""),"Dr, Carlos Velásquez Fermín")</f>
        <v>Dr, Carlos Velásquez Fermín</v>
      </c>
      <c r="P1522" s="6" t="str">
        <f ca="1">IFERROR(__xludf.DUMMYFUNCTION("""COMPUTED_VALUE"""),"Iván Sánchez (Levante Y Albacete)")</f>
        <v>Iván Sánchez (Levante Y Albacete)</v>
      </c>
    </row>
    <row r="1523" spans="2:16">
      <c r="B1523" s="6">
        <f ca="1">IFERROR(__xludf.DUMMYFUNCTION("""COMPUTED_VALUE"""),2025)</f>
        <v>2025</v>
      </c>
      <c r="C1523" s="6">
        <f ca="1">IFERROR(__xludf.DUMMYFUNCTION("""COMPUTED_VALUE"""),11)</f>
        <v>11</v>
      </c>
      <c r="D1523" s="6" t="str">
        <f ca="1">IFERROR(__xludf.DUMMYFUNCTION("""COMPUTED_VALUE"""),"NO")</f>
        <v>NO</v>
      </c>
      <c r="E1523" s="6" t="str">
        <f ca="1">IFERROR(__xludf.DUMMYFUNCTION("""COMPUTED_VALUE"""),"Madrid- Juan Bravo")</f>
        <v>Madrid- Juan Bravo</v>
      </c>
      <c r="F1523" s="16">
        <f ca="1">IFERROR(__xludf.DUMMYFUNCTION("""COMPUTED_VALUE"""),45985)</f>
        <v>45985</v>
      </c>
      <c r="G1523" s="16">
        <f ca="1">IFERROR(__xludf.DUMMYFUNCTION("""COMPUTED_VALUE"""),45951)</f>
        <v>45951</v>
      </c>
      <c r="H1523" s="6" t="str">
        <f ca="1">IFERROR(__xludf.DUMMYFUNCTION("""COMPUTED_VALUE"""),"Juan Bravo")</f>
        <v>Juan Bravo</v>
      </c>
      <c r="I1523" s="6" t="str">
        <f ca="1">IFERROR(__xludf.DUMMYFUNCTION("""COMPUTED_VALUE"""),"C202510211029150996")</f>
        <v>C202510211029150996</v>
      </c>
      <c r="J1523" s="6" t="str">
        <f ca="1">IFERROR(__xludf.DUMMYFUNCTION("""COMPUTED_VALUE"""),"SONSOLES GARCIA SANCHEZ")</f>
        <v>SONSOLES GARCIA SANCHEZ</v>
      </c>
      <c r="K1523" s="6">
        <f ca="1">IFERROR(__xludf.DUMMYFUNCTION("""COMPUTED_VALUE"""),2)</f>
        <v>2</v>
      </c>
      <c r="L1523" s="139">
        <f ca="1">IFERROR(__xludf.DUMMYFUNCTION("""COMPUTED_VALUE"""),2718.18)</f>
        <v>2718.18</v>
      </c>
      <c r="M1523" s="6" t="str">
        <f ca="1">IFERROR(__xludf.DUMMYFUNCTION("""COMPUTED_VALUE"""),"03 ORL")</f>
        <v>03 ORL</v>
      </c>
      <c r="N1523" s="6" t="str">
        <f ca="1">IFERROR(__xludf.DUMMYFUNCTION("""COMPUTED_VALUE"""),"06 ORL")</f>
        <v>06 ORL</v>
      </c>
      <c r="O1523" s="6" t="str">
        <f ca="1">IFERROR(__xludf.DUMMYFUNCTION("""COMPUTED_VALUE"""),"Dr, Guillermo San Juan de la Moreta")</f>
        <v>Dr, Guillermo San Juan de la Moreta</v>
      </c>
      <c r="P1523" s="6" t="str">
        <f ca="1">IFERROR(__xludf.DUMMYFUNCTION("""COMPUTED_VALUE"""),"Maika Blázquez (Madrid)")</f>
        <v>Maika Blázquez (Madrid)</v>
      </c>
    </row>
    <row r="1524" spans="2:16">
      <c r="B1524" s="6">
        <f ca="1">IFERROR(__xludf.DUMMYFUNCTION("""COMPUTED_VALUE"""),2025)</f>
        <v>2025</v>
      </c>
      <c r="C1524" s="6">
        <f ca="1">IFERROR(__xludf.DUMMYFUNCTION("""COMPUTED_VALUE"""),11)</f>
        <v>11</v>
      </c>
      <c r="D1524" s="6" t="str">
        <f ca="1">IFERROR(__xludf.DUMMYFUNCTION("""COMPUTED_VALUE"""),"NO")</f>
        <v>NO</v>
      </c>
      <c r="E1524" s="6" t="str">
        <f ca="1">IFERROR(__xludf.DUMMYFUNCTION("""COMPUTED_VALUE"""),"Alicante")</f>
        <v>Alicante</v>
      </c>
      <c r="F1524" s="16">
        <f ca="1">IFERROR(__xludf.DUMMYFUNCTION("""COMPUTED_VALUE"""),45985)</f>
        <v>45985</v>
      </c>
      <c r="G1524" s="16">
        <f ca="1">IFERROR(__xludf.DUMMYFUNCTION("""COMPUTED_VALUE"""),45946)</f>
        <v>45946</v>
      </c>
      <c r="H1524" s="6" t="str">
        <f ca="1">IFERROR(__xludf.DUMMYFUNCTION("""COMPUTED_VALUE"""),"Alicante")</f>
        <v>Alicante</v>
      </c>
      <c r="I1524" s="6" t="str">
        <f ca="1">IFERROR(__xludf.DUMMYFUNCTION("""COMPUTED_VALUE"""),"C202510161049288765")</f>
        <v>C202510161049288765</v>
      </c>
      <c r="J1524" s="6" t="str">
        <f ca="1">IFERROR(__xludf.DUMMYFUNCTION("""COMPUTED_VALUE"""),"GLORIA NANCY VESPA")</f>
        <v>GLORIA NANCY VESPA</v>
      </c>
      <c r="K1524" s="6">
        <f ca="1">IFERROR(__xludf.DUMMYFUNCTION("""COMPUTED_VALUE"""),1)</f>
        <v>1</v>
      </c>
      <c r="L1524" s="139">
        <f ca="1">IFERROR(__xludf.DUMMYFUNCTION("""COMPUTED_VALUE"""),2481.82)</f>
        <v>2481.8200000000002</v>
      </c>
      <c r="M1524" s="6" t="str">
        <f ca="1">IFERROR(__xludf.DUMMYFUNCTION("""COMPUTED_VALUE"""),"03 ORL")</f>
        <v>03 ORL</v>
      </c>
      <c r="N1524" s="6" t="str">
        <f ca="1">IFERROR(__xludf.DUMMYFUNCTION("""COMPUTED_VALUE"""),"06 ORL")</f>
        <v>06 ORL</v>
      </c>
      <c r="O1524" s="6" t="str">
        <f ca="1">IFERROR(__xludf.DUMMYFUNCTION("""COMPUTED_VALUE"""),"Dr, Félix Ruíz de la Cuesta Juste")</f>
        <v>Dr, Félix Ruíz de la Cuesta Juste</v>
      </c>
      <c r="P1524" s="6" t="str">
        <f ca="1">IFERROR(__xludf.DUMMYFUNCTION("""COMPUTED_VALUE"""),"Iván Sánchez (Levante Y Albacete)")</f>
        <v>Iván Sánchez (Levante Y Albacete)</v>
      </c>
    </row>
    <row r="1525" spans="2:16">
      <c r="B1525" s="6">
        <f ca="1">IFERROR(__xludf.DUMMYFUNCTION("""COMPUTED_VALUE"""),2025)</f>
        <v>2025</v>
      </c>
      <c r="C1525" s="6">
        <f ca="1">IFERROR(__xludf.DUMMYFUNCTION("""COMPUTED_VALUE"""),11)</f>
        <v>11</v>
      </c>
      <c r="D1525" s="6" t="str">
        <f ca="1">IFERROR(__xludf.DUMMYFUNCTION("""COMPUTED_VALUE"""),"NO")</f>
        <v>NO</v>
      </c>
      <c r="E1525" s="6" t="str">
        <f ca="1">IFERROR(__xludf.DUMMYFUNCTION("""COMPUTED_VALUE"""),"Fuenlabrada")</f>
        <v>Fuenlabrada</v>
      </c>
      <c r="F1525" s="16">
        <f ca="1">IFERROR(__xludf.DUMMYFUNCTION("""COMPUTED_VALUE"""),45985)</f>
        <v>45985</v>
      </c>
      <c r="G1525" s="16">
        <f ca="1">IFERROR(__xludf.DUMMYFUNCTION("""COMPUTED_VALUE"""),45960)</f>
        <v>45960</v>
      </c>
      <c r="H1525" s="6" t="str">
        <f ca="1">IFERROR(__xludf.DUMMYFUNCTION("""COMPUTED_VALUE"""),"Fuenlabrada")</f>
        <v>Fuenlabrada</v>
      </c>
      <c r="I1525" s="6" t="str">
        <f ca="1">IFERROR(__xludf.DUMMYFUNCTION("""COMPUTED_VALUE"""),"C202510301727515534")</f>
        <v>C202510301727515534</v>
      </c>
      <c r="J1525" s="6" t="str">
        <f ca="1">IFERROR(__xludf.DUMMYFUNCTION("""COMPUTED_VALUE"""),"EVA MARIA RODRIGUEZ REBELLA")</f>
        <v>EVA MARIA RODRIGUEZ REBELLA</v>
      </c>
      <c r="K1525" s="6">
        <f ca="1">IFERROR(__xludf.DUMMYFUNCTION("""COMPUTED_VALUE"""),1)</f>
        <v>1</v>
      </c>
      <c r="L1525" s="139">
        <f ca="1">IFERROR(__xludf.DUMMYFUNCTION("""COMPUTED_VALUE"""),2481.82)</f>
        <v>2481.8200000000002</v>
      </c>
      <c r="M1525" s="6" t="str">
        <f ca="1">IFERROR(__xludf.DUMMYFUNCTION("""COMPUTED_VALUE"""),"03 ORL")</f>
        <v>03 ORL</v>
      </c>
      <c r="N1525" s="6" t="str">
        <f ca="1">IFERROR(__xludf.DUMMYFUNCTION("""COMPUTED_VALUE"""),"06 ORL")</f>
        <v>06 ORL</v>
      </c>
      <c r="O1525" s="6" t="str">
        <f ca="1">IFERROR(__xludf.DUMMYFUNCTION("""COMPUTED_VALUE"""),"Dra, Victoria García Peces")</f>
        <v>Dra, Victoria García Peces</v>
      </c>
      <c r="P1525" s="6" t="str">
        <f ca="1">IFERROR(__xludf.DUMMYFUNCTION("""COMPUTED_VALUE"""),"Maika Blázquez (Madrid)")</f>
        <v>Maika Blázquez (Madrid)</v>
      </c>
    </row>
    <row r="1526" spans="2:16">
      <c r="B1526" s="6">
        <f ca="1">IFERROR(__xludf.DUMMYFUNCTION("""COMPUTED_VALUE"""),2025)</f>
        <v>2025</v>
      </c>
      <c r="C1526" s="6">
        <f ca="1">IFERROR(__xludf.DUMMYFUNCTION("""COMPUTED_VALUE"""),11)</f>
        <v>11</v>
      </c>
      <c r="D1526" s="6" t="str">
        <f ca="1">IFERROR(__xludf.DUMMYFUNCTION("""COMPUTED_VALUE"""),"NO")</f>
        <v>NO</v>
      </c>
      <c r="E1526" s="6" t="str">
        <f ca="1">IFERROR(__xludf.DUMMYFUNCTION("""COMPUTED_VALUE"""),"Madrid- Canillas")</f>
        <v>Madrid- Canillas</v>
      </c>
      <c r="F1526" s="16">
        <f ca="1">IFERROR(__xludf.DUMMYFUNCTION("""COMPUTED_VALUE"""),45985)</f>
        <v>45985</v>
      </c>
      <c r="G1526" s="16">
        <f ca="1">IFERROR(__xludf.DUMMYFUNCTION("""COMPUTED_VALUE"""),45958)</f>
        <v>45958</v>
      </c>
      <c r="H1526" s="6" t="str">
        <f ca="1">IFERROR(__xludf.DUMMYFUNCTION("""COMPUTED_VALUE"""),"Canillas")</f>
        <v>Canillas</v>
      </c>
      <c r="I1526" s="6" t="str">
        <f ca="1">IFERROR(__xludf.DUMMYFUNCTION("""COMPUTED_VALUE"""),"C202510281023758297")</f>
        <v>C202510281023758297</v>
      </c>
      <c r="J1526" s="6" t="str">
        <f ca="1">IFERROR(__xludf.DUMMYFUNCTION("""COMPUTED_VALUE"""),"JOSE MANUEL CARRACEDO BERMEJO")</f>
        <v>JOSE MANUEL CARRACEDO BERMEJO</v>
      </c>
      <c r="K1526" s="6">
        <f ca="1">IFERROR(__xludf.DUMMYFUNCTION("""COMPUTED_VALUE"""),2)</f>
        <v>2</v>
      </c>
      <c r="L1526" s="139">
        <f ca="1">IFERROR(__xludf.DUMMYFUNCTION("""COMPUTED_VALUE"""),3631.82)</f>
        <v>3631.82</v>
      </c>
      <c r="M1526" s="6" t="str">
        <f ca="1">IFERROR(__xludf.DUMMYFUNCTION("""COMPUTED_VALUE"""),"03 ORL")</f>
        <v>03 ORL</v>
      </c>
      <c r="N1526" s="6" t="str">
        <f ca="1">IFERROR(__xludf.DUMMYFUNCTION("""COMPUTED_VALUE"""),"06 ORL")</f>
        <v>06 ORL</v>
      </c>
      <c r="O1526" s="6" t="str">
        <f ca="1">IFERROR(__xludf.DUMMYFUNCTION("""COMPUTED_VALUE"""),"No recuerda ORL")</f>
        <v>No recuerda ORL</v>
      </c>
      <c r="P1526" s="6" t="str">
        <f ca="1">IFERROR(__xludf.DUMMYFUNCTION("""COMPUTED_VALUE"""),"Maika Blázquez (Madrid)")</f>
        <v>Maika Blázquez (Madrid)</v>
      </c>
    </row>
    <row r="1527" spans="2:16">
      <c r="B1527" s="6">
        <f ca="1">IFERROR(__xludf.DUMMYFUNCTION("""COMPUTED_VALUE"""),2025)</f>
        <v>2025</v>
      </c>
      <c r="C1527" s="6">
        <f ca="1">IFERROR(__xludf.DUMMYFUNCTION("""COMPUTED_VALUE"""),11)</f>
        <v>11</v>
      </c>
      <c r="D1527" s="6" t="str">
        <f ca="1">IFERROR(__xludf.DUMMYFUNCTION("""COMPUTED_VALUE"""),"NO")</f>
        <v>NO</v>
      </c>
      <c r="E1527" s="6" t="str">
        <f ca="1">IFERROR(__xludf.DUMMYFUNCTION("""COMPUTED_VALUE"""),"Jerez de la Frontera")</f>
        <v>Jerez de la Frontera</v>
      </c>
      <c r="F1527" s="16">
        <f ca="1">IFERROR(__xludf.DUMMYFUNCTION("""COMPUTED_VALUE"""),45986)</f>
        <v>45986</v>
      </c>
      <c r="G1527" s="16">
        <f ca="1">IFERROR(__xludf.DUMMYFUNCTION("""COMPUTED_VALUE"""),45933)</f>
        <v>45933</v>
      </c>
      <c r="H1527" s="6" t="str">
        <f ca="1">IFERROR(__xludf.DUMMYFUNCTION("""COMPUTED_VALUE"""),"Jerez")</f>
        <v>Jerez</v>
      </c>
      <c r="I1527" s="6" t="str">
        <f ca="1">IFERROR(__xludf.DUMMYFUNCTION("""COMPUTED_VALUE"""),"C20251079254489")</f>
        <v>C20251079254489</v>
      </c>
      <c r="J1527" s="6" t="str">
        <f ca="1">IFERROR(__xludf.DUMMYFUNCTION("""COMPUTED_VALUE"""),"ALBA PANAL GARCIA")</f>
        <v>ALBA PANAL GARCIA</v>
      </c>
      <c r="K1527" s="6">
        <f ca="1">IFERROR(__xludf.DUMMYFUNCTION("""COMPUTED_VALUE"""),1)</f>
        <v>1</v>
      </c>
      <c r="L1527" s="139">
        <f ca="1">IFERROR(__xludf.DUMMYFUNCTION("""COMPUTED_VALUE"""),2481.82)</f>
        <v>2481.8200000000002</v>
      </c>
      <c r="M1527" s="6" t="str">
        <f ca="1">IFERROR(__xludf.DUMMYFUNCTION("""COMPUTED_VALUE"""),"03 ORL")</f>
        <v>03 ORL</v>
      </c>
      <c r="N1527" s="6" t="str">
        <f ca="1">IFERROR(__xludf.DUMMYFUNCTION("""COMPUTED_VALUE"""),"22 AUDIOMETRIA CLINICA")</f>
        <v>22 AUDIOMETRIA CLINICA</v>
      </c>
      <c r="O1527" s="6" t="str">
        <f ca="1">IFERROR(__xludf.DUMMYFUNCTION("""COMPUTED_VALUE"""),"Dr, Miguel Ángel Fernández Andrade")</f>
        <v>Dr, Miguel Ángel Fernández Andrade</v>
      </c>
      <c r="P1527" s="6" t="str">
        <f ca="1">IFERROR(__xludf.DUMMYFUNCTION("""COMPUTED_VALUE"""),"Luis Alberto Rodríguez (Andalucía y Badajoz)")</f>
        <v>Luis Alberto Rodríguez (Andalucía y Badajoz)</v>
      </c>
    </row>
    <row r="1528" spans="2:16">
      <c r="B1528" s="6">
        <f ca="1">IFERROR(__xludf.DUMMYFUNCTION("""COMPUTED_VALUE"""),2025)</f>
        <v>2025</v>
      </c>
      <c r="C1528" s="6">
        <f ca="1">IFERROR(__xludf.DUMMYFUNCTION("""COMPUTED_VALUE"""),11)</f>
        <v>11</v>
      </c>
      <c r="D1528" s="6" t="str">
        <f ca="1">IFERROR(__xludf.DUMMYFUNCTION("""COMPUTED_VALUE"""),"SI")</f>
        <v>SI</v>
      </c>
      <c r="E1528" s="6" t="str">
        <f ca="1">IFERROR(__xludf.DUMMYFUNCTION("""COMPUTED_VALUE"""),"Madrid- Juan Bravo")</f>
        <v>Madrid- Juan Bravo</v>
      </c>
      <c r="F1528" s="16">
        <f ca="1">IFERROR(__xludf.DUMMYFUNCTION("""COMPUTED_VALUE"""),45986)</f>
        <v>45986</v>
      </c>
      <c r="G1528" s="16">
        <f ca="1">IFERROR(__xludf.DUMMYFUNCTION("""COMPUTED_VALUE"""),45946)</f>
        <v>45946</v>
      </c>
      <c r="H1528" s="6" t="str">
        <f ca="1">IFERROR(__xludf.DUMMYFUNCTION("""COMPUTED_VALUE"""),"Juan Bravo")</f>
        <v>Juan Bravo</v>
      </c>
      <c r="I1528" s="6" t="str">
        <f ca="1">IFERROR(__xludf.DUMMYFUNCTION("""COMPUTED_VALUE"""),"C202510168172062578")</f>
        <v>C202510168172062578</v>
      </c>
      <c r="J1528" s="6" t="str">
        <f ca="1">IFERROR(__xludf.DUMMYFUNCTION("""COMPUTED_VALUE"""),"JAVIER GAMUNDI BERENGUER")</f>
        <v>JAVIER GAMUNDI BERENGUER</v>
      </c>
      <c r="K1528" s="6">
        <f ca="1">IFERROR(__xludf.DUMMYFUNCTION("""COMPUTED_VALUE"""),2)</f>
        <v>2</v>
      </c>
      <c r="L1528" s="139">
        <f ca="1">IFERROR(__xludf.DUMMYFUNCTION("""COMPUTED_VALUE"""),2582.27)</f>
        <v>2582.27</v>
      </c>
      <c r="M1528" s="6" t="str">
        <f ca="1">IFERROR(__xludf.DUMMYFUNCTION("""COMPUTED_VALUE"""),"03 ORL")</f>
        <v>03 ORL</v>
      </c>
      <c r="N1528" s="6" t="str">
        <f ca="1">IFERROR(__xludf.DUMMYFUNCTION("""COMPUTED_VALUE"""),"06 ORL")</f>
        <v>06 ORL</v>
      </c>
      <c r="O1528" s="6" t="str">
        <f ca="1">IFERROR(__xludf.DUMMYFUNCTION("""COMPUTED_VALUE"""),"Dr, David Castro Gutiérrez de Agüero")</f>
        <v>Dr, David Castro Gutiérrez de Agüero</v>
      </c>
      <c r="P1528" s="6" t="str">
        <f ca="1">IFERROR(__xludf.DUMMYFUNCTION("""COMPUTED_VALUE"""),"Luis Alberto Rodríguez (Andalucía y Badajoz)")</f>
        <v>Luis Alberto Rodríguez (Andalucía y Badajoz)</v>
      </c>
    </row>
    <row r="1529" spans="2:16">
      <c r="B1529" s="6">
        <f ca="1">IFERROR(__xludf.DUMMYFUNCTION("""COMPUTED_VALUE"""),2025)</f>
        <v>2025</v>
      </c>
      <c r="C1529" s="6">
        <f ca="1">IFERROR(__xludf.DUMMYFUNCTION("""COMPUTED_VALUE"""),11)</f>
        <v>11</v>
      </c>
      <c r="D1529" s="6" t="str">
        <f ca="1">IFERROR(__xludf.DUMMYFUNCTION("""COMPUTED_VALUE"""),"NO")</f>
        <v>NO</v>
      </c>
      <c r="E1529" s="6" t="str">
        <f ca="1">IFERROR(__xludf.DUMMYFUNCTION("""COMPUTED_VALUE"""),"Murcia")</f>
        <v>Murcia</v>
      </c>
      <c r="F1529" s="16">
        <f ca="1">IFERROR(__xludf.DUMMYFUNCTION("""COMPUTED_VALUE"""),45986)</f>
        <v>45986</v>
      </c>
      <c r="G1529" s="16">
        <f ca="1">IFERROR(__xludf.DUMMYFUNCTION("""COMPUTED_VALUE"""),45959)</f>
        <v>45959</v>
      </c>
      <c r="H1529" s="6" t="str">
        <f ca="1">IFERROR(__xludf.DUMMYFUNCTION("""COMPUTED_VALUE"""),"Murcia")</f>
        <v>Murcia</v>
      </c>
      <c r="I1529" s="6" t="str">
        <f ca="1">IFERROR(__xludf.DUMMYFUNCTION("""COMPUTED_VALUE"""),"C202510291057383718")</f>
        <v>C202510291057383718</v>
      </c>
      <c r="J1529" s="6" t="str">
        <f ca="1">IFERROR(__xludf.DUMMYFUNCTION("""COMPUTED_VALUE"""),"CARMEN MIRETE RIQUELME")</f>
        <v>CARMEN MIRETE RIQUELME</v>
      </c>
      <c r="K1529" s="6">
        <f ca="1">IFERROR(__xludf.DUMMYFUNCTION("""COMPUTED_VALUE"""),1)</f>
        <v>1</v>
      </c>
      <c r="L1529" s="139">
        <f ca="1">IFERROR(__xludf.DUMMYFUNCTION("""COMPUTED_VALUE"""),2640)</f>
        <v>2640</v>
      </c>
      <c r="M1529" s="6" t="str">
        <f ca="1">IFERROR(__xludf.DUMMYFUNCTION("""COMPUTED_VALUE"""),"03 ORL")</f>
        <v>03 ORL</v>
      </c>
      <c r="N1529" s="6" t="str">
        <f ca="1">IFERROR(__xludf.DUMMYFUNCTION("""COMPUTED_VALUE"""),"06 ORL")</f>
        <v>06 ORL</v>
      </c>
      <c r="O1529" s="6" t="str">
        <f ca="1">IFERROR(__xludf.DUMMYFUNCTION("""COMPUTED_VALUE"""),"Dra, Aida Aviñoa Arias")</f>
        <v>Dra, Aida Aviñoa Arias</v>
      </c>
      <c r="P1529" s="6" t="str">
        <f ca="1">IFERROR(__xludf.DUMMYFUNCTION("""COMPUTED_VALUE"""),"Iván Sánchez (Levante Y Albacete)")</f>
        <v>Iván Sánchez (Levante Y Albacete)</v>
      </c>
    </row>
    <row r="1530" spans="2:16">
      <c r="B1530" s="6">
        <f ca="1">IFERROR(__xludf.DUMMYFUNCTION("""COMPUTED_VALUE"""),2025)</f>
        <v>2025</v>
      </c>
      <c r="C1530" s="6">
        <f ca="1">IFERROR(__xludf.DUMMYFUNCTION("""COMPUTED_VALUE"""),11)</f>
        <v>11</v>
      </c>
      <c r="D1530" s="6" t="str">
        <f ca="1">IFERROR(__xludf.DUMMYFUNCTION("""COMPUTED_VALUE"""),"NO")</f>
        <v>NO</v>
      </c>
      <c r="E1530" s="6" t="str">
        <f ca="1">IFERROR(__xludf.DUMMYFUNCTION("""COMPUTED_VALUE"""),"Alicante")</f>
        <v>Alicante</v>
      </c>
      <c r="F1530" s="16">
        <f ca="1">IFERROR(__xludf.DUMMYFUNCTION("""COMPUTED_VALUE"""),45986)</f>
        <v>45986</v>
      </c>
      <c r="G1530" s="16">
        <f ca="1">IFERROR(__xludf.DUMMYFUNCTION("""COMPUTED_VALUE"""),45959)</f>
        <v>45959</v>
      </c>
      <c r="H1530" s="6" t="str">
        <f ca="1">IFERROR(__xludf.DUMMYFUNCTION("""COMPUTED_VALUE"""),"Alicante")</f>
        <v>Alicante</v>
      </c>
      <c r="I1530" s="6" t="str">
        <f ca="1">IFERROR(__xludf.DUMMYFUNCTION("""COMPUTED_VALUE"""),"C202510291164427881")</f>
        <v>C202510291164427881</v>
      </c>
      <c r="J1530" s="6" t="str">
        <f ca="1">IFERROR(__xludf.DUMMYFUNCTION("""COMPUTED_VALUE"""),"FRANCISCA JIMENEZ GARCIA")</f>
        <v>FRANCISCA JIMENEZ GARCIA</v>
      </c>
      <c r="K1530" s="6">
        <f ca="1">IFERROR(__xludf.DUMMYFUNCTION("""COMPUTED_VALUE"""),2)</f>
        <v>2</v>
      </c>
      <c r="L1530" s="139">
        <f ca="1">IFERROR(__xludf.DUMMYFUNCTION("""COMPUTED_VALUE"""),3631.82)</f>
        <v>3631.82</v>
      </c>
      <c r="M1530" s="6" t="str">
        <f ca="1">IFERROR(__xludf.DUMMYFUNCTION("""COMPUTED_VALUE"""),"03 ORL")</f>
        <v>03 ORL</v>
      </c>
      <c r="N1530" s="6" t="str">
        <f ca="1">IFERROR(__xludf.DUMMYFUNCTION("""COMPUTED_VALUE"""),"06 ORL")</f>
        <v>06 ORL</v>
      </c>
      <c r="O1530" s="6" t="str">
        <f ca="1">IFERROR(__xludf.DUMMYFUNCTION("""COMPUTED_VALUE"""),"Dra, Cristina Muñoz Pinto")</f>
        <v>Dra, Cristina Muñoz Pinto</v>
      </c>
      <c r="P1530" s="6" t="str">
        <f ca="1">IFERROR(__xludf.DUMMYFUNCTION("""COMPUTED_VALUE"""),"Iván Sánchez (Levante Y Albacete)")</f>
        <v>Iván Sánchez (Levante Y Albacete)</v>
      </c>
    </row>
    <row r="1531" spans="2:16">
      <c r="B1531" s="6">
        <f ca="1">IFERROR(__xludf.DUMMYFUNCTION("""COMPUTED_VALUE"""),2025)</f>
        <v>2025</v>
      </c>
      <c r="C1531" s="6">
        <f ca="1">IFERROR(__xludf.DUMMYFUNCTION("""COMPUTED_VALUE"""),11)</f>
        <v>11</v>
      </c>
      <c r="D1531" s="6" t="str">
        <f ca="1">IFERROR(__xludf.DUMMYFUNCTION("""COMPUTED_VALUE"""),"NO")</f>
        <v>NO</v>
      </c>
      <c r="E1531" s="6" t="str">
        <f ca="1">IFERROR(__xludf.DUMMYFUNCTION("""COMPUTED_VALUE"""),"Alicante")</f>
        <v>Alicante</v>
      </c>
      <c r="F1531" s="16">
        <f ca="1">IFERROR(__xludf.DUMMYFUNCTION("""COMPUTED_VALUE"""),45986)</f>
        <v>45986</v>
      </c>
      <c r="G1531" s="16">
        <f ca="1">IFERROR(__xludf.DUMMYFUNCTION("""COMPUTED_VALUE"""),45936)</f>
        <v>45936</v>
      </c>
      <c r="H1531" s="6" t="str">
        <f ca="1">IFERROR(__xludf.DUMMYFUNCTION("""COMPUTED_VALUE"""),"Alicante")</f>
        <v>Alicante</v>
      </c>
      <c r="I1531" s="6" t="str">
        <f ca="1">IFERROR(__xludf.DUMMYFUNCTION("""COMPUTED_VALUE"""),"C20251020961258")</f>
        <v>C20251020961258</v>
      </c>
      <c r="J1531" s="6" t="str">
        <f ca="1">IFERROR(__xludf.DUMMYFUNCTION("""COMPUTED_VALUE"""),"REMEDIOS PALAZON GIMENEZ")</f>
        <v>REMEDIOS PALAZON GIMENEZ</v>
      </c>
      <c r="K1531" s="6">
        <f ca="1">IFERROR(__xludf.DUMMYFUNCTION("""COMPUTED_VALUE"""),2)</f>
        <v>2</v>
      </c>
      <c r="L1531" s="139">
        <f ca="1">IFERROR(__xludf.DUMMYFUNCTION("""COMPUTED_VALUE"""),4136.36)</f>
        <v>4136.3599999999997</v>
      </c>
      <c r="M1531" s="6" t="str">
        <f ca="1">IFERROR(__xludf.DUMMYFUNCTION("""COMPUTED_VALUE"""),"03 ORL")</f>
        <v>03 ORL</v>
      </c>
      <c r="N1531" s="6" t="str">
        <f ca="1">IFERROR(__xludf.DUMMYFUNCTION("""COMPUTED_VALUE"""),"06 ORL")</f>
        <v>06 ORL</v>
      </c>
      <c r="O1531" s="6" t="str">
        <f ca="1">IFERROR(__xludf.DUMMYFUNCTION("""COMPUTED_VALUE"""),"Dra, Luisa Payá Pérez")</f>
        <v>Dra, Luisa Payá Pérez</v>
      </c>
      <c r="P1531" s="6" t="str">
        <f ca="1">IFERROR(__xludf.DUMMYFUNCTION("""COMPUTED_VALUE"""),"Iván Sánchez (Levante Y Albacete)")</f>
        <v>Iván Sánchez (Levante Y Albacete)</v>
      </c>
    </row>
    <row r="1532" spans="2:16">
      <c r="B1532" s="6">
        <f ca="1">IFERROR(__xludf.DUMMYFUNCTION("""COMPUTED_VALUE"""),2025)</f>
        <v>2025</v>
      </c>
      <c r="C1532" s="6">
        <f ca="1">IFERROR(__xludf.DUMMYFUNCTION("""COMPUTED_VALUE"""),11)</f>
        <v>11</v>
      </c>
      <c r="D1532" s="6" t="str">
        <f ca="1">IFERROR(__xludf.DUMMYFUNCTION("""COMPUTED_VALUE"""),"NO")</f>
        <v>NO</v>
      </c>
      <c r="E1532" s="6" t="str">
        <f ca="1">IFERROR(__xludf.DUMMYFUNCTION("""COMPUTED_VALUE"""),"Murcia")</f>
        <v>Murcia</v>
      </c>
      <c r="F1532" s="16">
        <f ca="1">IFERROR(__xludf.DUMMYFUNCTION("""COMPUTED_VALUE"""),45986)</f>
        <v>45986</v>
      </c>
      <c r="G1532" s="16">
        <f ca="1">IFERROR(__xludf.DUMMYFUNCTION("""COMPUTED_VALUE"""),45957)</f>
        <v>45957</v>
      </c>
      <c r="H1532" s="6" t="str">
        <f ca="1">IFERROR(__xludf.DUMMYFUNCTION("""COMPUTED_VALUE"""),"Murcia")</f>
        <v>Murcia</v>
      </c>
      <c r="I1532" s="6" t="str">
        <f ca="1">IFERROR(__xludf.DUMMYFUNCTION("""COMPUTED_VALUE"""),"C202510271139536296")</f>
        <v>C202510271139536296</v>
      </c>
      <c r="J1532" s="6" t="str">
        <f ca="1">IFERROR(__xludf.DUMMYFUNCTION("""COMPUTED_VALUE"""),"MARIA SOL BENAVENTE GOMEZ")</f>
        <v>MARIA SOL BENAVENTE GOMEZ</v>
      </c>
      <c r="K1532" s="6">
        <f ca="1">IFERROR(__xludf.DUMMYFUNCTION("""COMPUTED_VALUE"""),2)</f>
        <v>2</v>
      </c>
      <c r="L1532" s="139">
        <f ca="1">IFERROR(__xludf.DUMMYFUNCTION("""COMPUTED_VALUE"""),3631.73)</f>
        <v>3631.73</v>
      </c>
      <c r="M1532" s="6" t="str">
        <f ca="1">IFERROR(__xludf.DUMMYFUNCTION("""COMPUTED_VALUE"""),"03 ORL")</f>
        <v>03 ORL</v>
      </c>
      <c r="N1532" s="6" t="str">
        <f ca="1">IFERROR(__xludf.DUMMYFUNCTION("""COMPUTED_VALUE"""),"06 ORL")</f>
        <v>06 ORL</v>
      </c>
      <c r="O1532" s="6" t="str">
        <f ca="1">IFERROR(__xludf.DUMMYFUNCTION("""COMPUTED_VALUE"""),"Dra, María Agustina Sevilla García")</f>
        <v>Dra, María Agustina Sevilla García</v>
      </c>
      <c r="P1532" s="6" t="str">
        <f ca="1">IFERROR(__xludf.DUMMYFUNCTION("""COMPUTED_VALUE"""),"Iván Sánchez (Levante Y Albacete)")</f>
        <v>Iván Sánchez (Levante Y Albacete)</v>
      </c>
    </row>
    <row r="1533" spans="2:16">
      <c r="B1533" s="6">
        <f ca="1">IFERROR(__xludf.DUMMYFUNCTION("""COMPUTED_VALUE"""),2025)</f>
        <v>2025</v>
      </c>
      <c r="C1533" s="6">
        <f ca="1">IFERROR(__xludf.DUMMYFUNCTION("""COMPUTED_VALUE"""),11)</f>
        <v>11</v>
      </c>
      <c r="D1533" s="6" t="str">
        <f ca="1">IFERROR(__xludf.DUMMYFUNCTION("""COMPUTED_VALUE"""),"NO")</f>
        <v>NO</v>
      </c>
      <c r="E1533" s="6" t="str">
        <f ca="1">IFERROR(__xludf.DUMMYFUNCTION("""COMPUTED_VALUE"""),"El Albir (Benidorm)")</f>
        <v>El Albir (Benidorm)</v>
      </c>
      <c r="F1533" s="16">
        <f ca="1">IFERROR(__xludf.DUMMYFUNCTION("""COMPUTED_VALUE"""),45986)</f>
        <v>45986</v>
      </c>
      <c r="G1533" s="16">
        <f ca="1">IFERROR(__xludf.DUMMYFUNCTION("""COMPUTED_VALUE"""),45964)</f>
        <v>45964</v>
      </c>
      <c r="H1533" s="6" t="str">
        <f ca="1">IFERROR(__xludf.DUMMYFUNCTION("""COMPUTED_VALUE"""),"El Albir (Benidorm)")</f>
        <v>El Albir (Benidorm)</v>
      </c>
      <c r="I1533" s="6" t="str">
        <f ca="1">IFERROR(__xludf.DUMMYFUNCTION("""COMPUTED_VALUE"""),"C20251139222488247")</f>
        <v>C20251139222488247</v>
      </c>
      <c r="J1533" s="6" t="str">
        <f ca="1">IFERROR(__xludf.DUMMYFUNCTION("""COMPUTED_VALUE"""),"SANTIAGO VILANOVA NAVARRO")</f>
        <v>SANTIAGO VILANOVA NAVARRO</v>
      </c>
      <c r="K1533" s="6">
        <f ca="1">IFERROR(__xludf.DUMMYFUNCTION("""COMPUTED_VALUE"""),2)</f>
        <v>2</v>
      </c>
      <c r="L1533" s="139">
        <f ca="1">IFERROR(__xludf.DUMMYFUNCTION("""COMPUTED_VALUE"""),2718.18)</f>
        <v>2718.18</v>
      </c>
      <c r="M1533" s="6" t="str">
        <f ca="1">IFERROR(__xludf.DUMMYFUNCTION("""COMPUTED_VALUE"""),"03 ORL")</f>
        <v>03 ORL</v>
      </c>
      <c r="N1533" s="6" t="str">
        <f ca="1">IFERROR(__xludf.DUMMYFUNCTION("""COMPUTED_VALUE"""),"06 ORL")</f>
        <v>06 ORL</v>
      </c>
      <c r="O1533" s="6" t="str">
        <f ca="1">IFERROR(__xludf.DUMMYFUNCTION("""COMPUTED_VALUE"""),"Dra, Isabel Polo Tomás")</f>
        <v>Dra, Isabel Polo Tomás</v>
      </c>
      <c r="P1533" s="6" t="str">
        <f ca="1">IFERROR(__xludf.DUMMYFUNCTION("""COMPUTED_VALUE"""),"Ramon Ferrando(Valencia)")</f>
        <v>Ramon Ferrando(Valencia)</v>
      </c>
    </row>
    <row r="1534" spans="2:16">
      <c r="B1534" s="6">
        <f ca="1">IFERROR(__xludf.DUMMYFUNCTION("""COMPUTED_VALUE"""),2025)</f>
        <v>2025</v>
      </c>
      <c r="C1534" s="6">
        <f ca="1">IFERROR(__xludf.DUMMYFUNCTION("""COMPUTED_VALUE"""),11)</f>
        <v>11</v>
      </c>
      <c r="D1534" s="6" t="str">
        <f ca="1">IFERROR(__xludf.DUMMYFUNCTION("""COMPUTED_VALUE"""),"NO")</f>
        <v>NO</v>
      </c>
      <c r="E1534" s="6" t="str">
        <f ca="1">IFERROR(__xludf.DUMMYFUNCTION("""COMPUTED_VALUE"""),"El Albir (Benidorm)")</f>
        <v>El Albir (Benidorm)</v>
      </c>
      <c r="F1534" s="16">
        <f ca="1">IFERROR(__xludf.DUMMYFUNCTION("""COMPUTED_VALUE"""),45986)</f>
        <v>45986</v>
      </c>
      <c r="G1534" s="16">
        <f ca="1">IFERROR(__xludf.DUMMYFUNCTION("""COMPUTED_VALUE"""),45958)</f>
        <v>45958</v>
      </c>
      <c r="H1534" s="6" t="str">
        <f ca="1">IFERROR(__xludf.DUMMYFUNCTION("""COMPUTED_VALUE"""),"El Albir (Benidorm)")</f>
        <v>El Albir (Benidorm)</v>
      </c>
      <c r="I1534" s="6" t="str">
        <f ca="1">IFERROR(__xludf.DUMMYFUNCTION("""COMPUTED_VALUE"""),"C202510281047412510")</f>
        <v>C202510281047412510</v>
      </c>
      <c r="J1534" s="6" t="str">
        <f ca="1">IFERROR(__xludf.DUMMYFUNCTION("""COMPUTED_VALUE"""),"MARIA TERESA JADA LOYES")</f>
        <v>MARIA TERESA JADA LOYES</v>
      </c>
      <c r="K1534" s="6">
        <f ca="1">IFERROR(__xludf.DUMMYFUNCTION("""COMPUTED_VALUE"""),2)</f>
        <v>2</v>
      </c>
      <c r="L1534" s="139">
        <f ca="1">IFERROR(__xludf.DUMMYFUNCTION("""COMPUTED_VALUE"""),2718.18)</f>
        <v>2718.18</v>
      </c>
      <c r="M1534" s="6" t="str">
        <f ca="1">IFERROR(__xludf.DUMMYFUNCTION("""COMPUTED_VALUE"""),"03 ORL")</f>
        <v>03 ORL</v>
      </c>
      <c r="N1534" s="6" t="str">
        <f ca="1">IFERROR(__xludf.DUMMYFUNCTION("""COMPUTED_VALUE"""),"06 ORL")</f>
        <v>06 ORL</v>
      </c>
      <c r="O1534" s="6" t="str">
        <f ca="1">IFERROR(__xludf.DUMMYFUNCTION("""COMPUTED_VALUE"""),"Dra, Isabel Polo Tomás")</f>
        <v>Dra, Isabel Polo Tomás</v>
      </c>
      <c r="P1534" s="6" t="str">
        <f ca="1">IFERROR(__xludf.DUMMYFUNCTION("""COMPUTED_VALUE"""),"Ramon Ferrando(Valencia)")</f>
        <v>Ramon Ferrando(Valencia)</v>
      </c>
    </row>
    <row r="1535" spans="2:16">
      <c r="B1535" s="6">
        <f ca="1">IFERROR(__xludf.DUMMYFUNCTION("""COMPUTED_VALUE"""),2025)</f>
        <v>2025</v>
      </c>
      <c r="C1535" s="6">
        <f ca="1">IFERROR(__xludf.DUMMYFUNCTION("""COMPUTED_VALUE"""),11)</f>
        <v>11</v>
      </c>
      <c r="D1535" s="6" t="str">
        <f ca="1">IFERROR(__xludf.DUMMYFUNCTION("""COMPUTED_VALUE"""),"NO")</f>
        <v>NO</v>
      </c>
      <c r="E1535" s="6" t="str">
        <f ca="1">IFERROR(__xludf.DUMMYFUNCTION("""COMPUTED_VALUE"""),"Fuenlabrada")</f>
        <v>Fuenlabrada</v>
      </c>
      <c r="F1535" s="16">
        <f ca="1">IFERROR(__xludf.DUMMYFUNCTION("""COMPUTED_VALUE"""),45986)</f>
        <v>45986</v>
      </c>
      <c r="G1535" s="16">
        <f ca="1">IFERROR(__xludf.DUMMYFUNCTION("""COMPUTED_VALUE"""),45926)</f>
        <v>45926</v>
      </c>
      <c r="H1535" s="6" t="str">
        <f ca="1">IFERROR(__xludf.DUMMYFUNCTION("""COMPUTED_VALUE"""),"Fuenlabrada")</f>
        <v>Fuenlabrada</v>
      </c>
      <c r="I1535" s="6" t="str">
        <f ca="1">IFERROR(__xludf.DUMMYFUNCTION("""COMPUTED_VALUE"""),"C2025930143152986")</f>
        <v>C2025930143152986</v>
      </c>
      <c r="J1535" s="6" t="str">
        <f ca="1">IFERROR(__xludf.DUMMYFUNCTION("""COMPUTED_VALUE"""),"JULIA OLGA MARTINEZ POMAREDA")</f>
        <v>JULIA OLGA MARTINEZ POMAREDA</v>
      </c>
      <c r="K1535" s="6">
        <f ca="1">IFERROR(__xludf.DUMMYFUNCTION("""COMPUTED_VALUE"""),2)</f>
        <v>2</v>
      </c>
      <c r="L1535" s="139">
        <f ca="1">IFERROR(__xludf.DUMMYFUNCTION("""COMPUTED_VALUE"""),4136.36)</f>
        <v>4136.3599999999997</v>
      </c>
      <c r="M1535" s="6" t="str">
        <f ca="1">IFERROR(__xludf.DUMMYFUNCTION("""COMPUTED_VALUE"""),"03 ORL")</f>
        <v>03 ORL</v>
      </c>
      <c r="N1535" s="6" t="str">
        <f ca="1">IFERROR(__xludf.DUMMYFUNCTION("""COMPUTED_VALUE"""),"06 ORL")</f>
        <v>06 ORL</v>
      </c>
      <c r="O1535" s="6" t="str">
        <f ca="1">IFERROR(__xludf.DUMMYFUNCTION("""COMPUTED_VALUE"""),"Dra, Ithzel Maria Villarreal Patiño")</f>
        <v>Dra, Ithzel Maria Villarreal Patiño</v>
      </c>
      <c r="P1535" s="6" t="str">
        <f ca="1">IFERROR(__xludf.DUMMYFUNCTION("""COMPUTED_VALUE"""),"Maika Blázquez (Madrid)")</f>
        <v>Maika Blázquez (Madrid)</v>
      </c>
    </row>
    <row r="1536" spans="2:16">
      <c r="B1536" s="6">
        <f ca="1">IFERROR(__xludf.DUMMYFUNCTION("""COMPUTED_VALUE"""),2025)</f>
        <v>2025</v>
      </c>
      <c r="C1536" s="6">
        <f ca="1">IFERROR(__xludf.DUMMYFUNCTION("""COMPUTED_VALUE"""),11)</f>
        <v>11</v>
      </c>
      <c r="D1536" s="6" t="str">
        <f ca="1">IFERROR(__xludf.DUMMYFUNCTION("""COMPUTED_VALUE"""),"NO")</f>
        <v>NO</v>
      </c>
      <c r="E1536" s="6" t="str">
        <f ca="1">IFERROR(__xludf.DUMMYFUNCTION("""COMPUTED_VALUE"""),"Alicante")</f>
        <v>Alicante</v>
      </c>
      <c r="F1536" s="16">
        <f ca="1">IFERROR(__xludf.DUMMYFUNCTION("""COMPUTED_VALUE"""),45986)</f>
        <v>45986</v>
      </c>
      <c r="G1536" s="16">
        <f ca="1">IFERROR(__xludf.DUMMYFUNCTION("""COMPUTED_VALUE"""),45964)</f>
        <v>45964</v>
      </c>
      <c r="H1536" s="6" t="str">
        <f ca="1">IFERROR(__xludf.DUMMYFUNCTION("""COMPUTED_VALUE"""),"Alicante")</f>
        <v>Alicante</v>
      </c>
      <c r="I1536" s="6" t="str">
        <f ca="1">IFERROR(__xludf.DUMMYFUNCTION("""COMPUTED_VALUE"""),"C202511393536538842")</f>
        <v>C202511393536538842</v>
      </c>
      <c r="J1536" s="6" t="str">
        <f ca="1">IFERROR(__xludf.DUMMYFUNCTION("""COMPUTED_VALUE"""),"LETICIA FUENTES SANCHEZ")</f>
        <v>LETICIA FUENTES SANCHEZ</v>
      </c>
      <c r="K1536" s="6">
        <f ca="1">IFERROR(__xludf.DUMMYFUNCTION("""COMPUTED_VALUE"""),1)</f>
        <v>1</v>
      </c>
      <c r="L1536" s="139">
        <f ca="1">IFERROR(__xludf.DUMMYFUNCTION("""COMPUTED_VALUE"""),1631.82)</f>
        <v>1631.82</v>
      </c>
      <c r="M1536" s="6" t="str">
        <f ca="1">IFERROR(__xludf.DUMMYFUNCTION("""COMPUTED_VALUE"""),"03 ORL")</f>
        <v>03 ORL</v>
      </c>
      <c r="N1536" s="6" t="str">
        <f ca="1">IFERROR(__xludf.DUMMYFUNCTION("""COMPUTED_VALUE"""),"06 ORL")</f>
        <v>06 ORL</v>
      </c>
      <c r="O1536" s="6" t="str">
        <f ca="1">IFERROR(__xludf.DUMMYFUNCTION("""COMPUTED_VALUE"""),"Dr, Félix Ruíz de la Cuesta Juste")</f>
        <v>Dr, Félix Ruíz de la Cuesta Juste</v>
      </c>
      <c r="P1536" s="6" t="str">
        <f ca="1">IFERROR(__xludf.DUMMYFUNCTION("""COMPUTED_VALUE"""),"Iván Sánchez (Levante Y Albacete)")</f>
        <v>Iván Sánchez (Levante Y Albacete)</v>
      </c>
    </row>
    <row r="1537" spans="2:16">
      <c r="B1537" s="6">
        <f ca="1">IFERROR(__xludf.DUMMYFUNCTION("""COMPUTED_VALUE"""),2025)</f>
        <v>2025</v>
      </c>
      <c r="C1537" s="6">
        <f ca="1">IFERROR(__xludf.DUMMYFUNCTION("""COMPUTED_VALUE"""),11)</f>
        <v>11</v>
      </c>
      <c r="D1537" s="6" t="str">
        <f ca="1">IFERROR(__xludf.DUMMYFUNCTION("""COMPUTED_VALUE"""),"NO")</f>
        <v>NO</v>
      </c>
      <c r="E1537" s="6" t="str">
        <f ca="1">IFERROR(__xludf.DUMMYFUNCTION("""COMPUTED_VALUE"""),"Madrid- Monforte de Lemos")</f>
        <v>Madrid- Monforte de Lemos</v>
      </c>
      <c r="F1537" s="16">
        <f ca="1">IFERROR(__xludf.DUMMYFUNCTION("""COMPUTED_VALUE"""),45986)</f>
        <v>45986</v>
      </c>
      <c r="G1537" s="16">
        <f ca="1">IFERROR(__xludf.DUMMYFUNCTION("""COMPUTED_VALUE"""),45945)</f>
        <v>45945</v>
      </c>
      <c r="H1537" s="6" t="str">
        <f ca="1">IFERROR(__xludf.DUMMYFUNCTION("""COMPUTED_VALUE"""),"La Vaguada")</f>
        <v>La Vaguada</v>
      </c>
      <c r="I1537" s="6" t="str">
        <f ca="1">IFERROR(__xludf.DUMMYFUNCTION("""COMPUTED_VALUE"""),"C202510151431264919")</f>
        <v>C202510151431264919</v>
      </c>
      <c r="J1537" s="6" t="str">
        <f ca="1">IFERROR(__xludf.DUMMYFUNCTION("""COMPUTED_VALUE"""),"TOMASA PICATOSTE TEJADO")</f>
        <v>TOMASA PICATOSTE TEJADO</v>
      </c>
      <c r="K1537" s="6">
        <f ca="1">IFERROR(__xludf.DUMMYFUNCTION("""COMPUTED_VALUE"""),2)</f>
        <v>2</v>
      </c>
      <c r="L1537" s="139">
        <f ca="1">IFERROR(__xludf.DUMMYFUNCTION("""COMPUTED_VALUE"""),3516.36)</f>
        <v>3516.36</v>
      </c>
      <c r="M1537" s="6" t="str">
        <f ca="1">IFERROR(__xludf.DUMMYFUNCTION("""COMPUTED_VALUE"""),"03 ORL")</f>
        <v>03 ORL</v>
      </c>
      <c r="N1537" s="6" t="str">
        <f ca="1">IFERROR(__xludf.DUMMYFUNCTION("""COMPUTED_VALUE"""),"06 ORL")</f>
        <v>06 ORL</v>
      </c>
      <c r="O1537" s="6" t="str">
        <f ca="1">IFERROR(__xludf.DUMMYFUNCTION("""COMPUTED_VALUE"""),"Dra, Beatriz Arana Fernández")</f>
        <v>Dra, Beatriz Arana Fernández</v>
      </c>
      <c r="P1537" s="6" t="str">
        <f ca="1">IFERROR(__xludf.DUMMYFUNCTION("""COMPUTED_VALUE"""),"Maika Blázquez (Madrid)")</f>
        <v>Maika Blázquez (Madrid)</v>
      </c>
    </row>
    <row r="1538" spans="2:16">
      <c r="B1538" s="6">
        <f ca="1">IFERROR(__xludf.DUMMYFUNCTION("""COMPUTED_VALUE"""),2025)</f>
        <v>2025</v>
      </c>
      <c r="C1538" s="6">
        <f ca="1">IFERROR(__xludf.DUMMYFUNCTION("""COMPUTED_VALUE"""),11)</f>
        <v>11</v>
      </c>
      <c r="D1538" s="6" t="str">
        <f ca="1">IFERROR(__xludf.DUMMYFUNCTION("""COMPUTED_VALUE"""),"NO")</f>
        <v>NO</v>
      </c>
      <c r="E1538" s="6" t="str">
        <f ca="1">IFERROR(__xludf.DUMMYFUNCTION("""COMPUTED_VALUE"""),"Valencia- Parra")</f>
        <v>Valencia- Parra</v>
      </c>
      <c r="F1538" s="16">
        <f ca="1">IFERROR(__xludf.DUMMYFUNCTION("""COMPUTED_VALUE"""),45986)</f>
        <v>45986</v>
      </c>
      <c r="G1538" s="16">
        <f ca="1">IFERROR(__xludf.DUMMYFUNCTION("""COMPUTED_VALUE"""),45945)</f>
        <v>45945</v>
      </c>
      <c r="H1538" s="6" t="str">
        <f ca="1">IFERROR(__xludf.DUMMYFUNCTION("""COMPUTED_VALUE"""),"Valencia- Parra")</f>
        <v>Valencia- Parra</v>
      </c>
      <c r="I1538" s="6" t="str">
        <f ca="1">IFERROR(__xludf.DUMMYFUNCTION("""COMPUTED_VALUE"""),"C202510151426572668")</f>
        <v>C202510151426572668</v>
      </c>
      <c r="J1538" s="6" t="str">
        <f ca="1">IFERROR(__xludf.DUMMYFUNCTION("""COMPUTED_VALUE"""),"MARIA LUISA GUTIERREZ ROMAN")</f>
        <v>MARIA LUISA GUTIERREZ ROMAN</v>
      </c>
      <c r="K1538" s="6">
        <f ca="1">IFERROR(__xludf.DUMMYFUNCTION("""COMPUTED_VALUE"""),2)</f>
        <v>2</v>
      </c>
      <c r="L1538" s="139">
        <f ca="1">IFERROR(__xludf.DUMMYFUNCTION("""COMPUTED_VALUE"""),2718.18)</f>
        <v>2718.18</v>
      </c>
      <c r="M1538" s="6" t="str">
        <f ca="1">IFERROR(__xludf.DUMMYFUNCTION("""COMPUTED_VALUE"""),"03 ORL")</f>
        <v>03 ORL</v>
      </c>
      <c r="N1538" s="6" t="str">
        <f ca="1">IFERROR(__xludf.DUMMYFUNCTION("""COMPUTED_VALUE"""),"06 ORL")</f>
        <v>06 ORL</v>
      </c>
      <c r="O1538" s="6" t="str">
        <f ca="1">IFERROR(__xludf.DUMMYFUNCTION("""COMPUTED_VALUE"""),"No recuerda ORL")</f>
        <v>No recuerda ORL</v>
      </c>
      <c r="P1538" s="6" t="str">
        <f ca="1">IFERROR(__xludf.DUMMYFUNCTION("""COMPUTED_VALUE"""),"Ramon Ferrando(Valencia)")</f>
        <v>Ramon Ferrando(Valencia)</v>
      </c>
    </row>
    <row r="1539" spans="2:16">
      <c r="B1539" s="6">
        <f ca="1">IFERROR(__xludf.DUMMYFUNCTION("""COMPUTED_VALUE"""),2025)</f>
        <v>2025</v>
      </c>
      <c r="C1539" s="6">
        <f ca="1">IFERROR(__xludf.DUMMYFUNCTION("""COMPUTED_VALUE"""),11)</f>
        <v>11</v>
      </c>
      <c r="D1539" s="6" t="str">
        <f ca="1">IFERROR(__xludf.DUMMYFUNCTION("""COMPUTED_VALUE"""),"NO")</f>
        <v>NO</v>
      </c>
      <c r="E1539" s="6" t="str">
        <f ca="1">IFERROR(__xludf.DUMMYFUNCTION("""COMPUTED_VALUE"""),"Albacete")</f>
        <v>Albacete</v>
      </c>
      <c r="F1539" s="16">
        <f ca="1">IFERROR(__xludf.DUMMYFUNCTION("""COMPUTED_VALUE"""),45986)</f>
        <v>45986</v>
      </c>
      <c r="G1539" s="16">
        <f ca="1">IFERROR(__xludf.DUMMYFUNCTION("""COMPUTED_VALUE"""),45965)</f>
        <v>45965</v>
      </c>
      <c r="H1539" s="6" t="str">
        <f ca="1">IFERROR(__xludf.DUMMYFUNCTION("""COMPUTED_VALUE"""),"Albacete")</f>
        <v>Albacete</v>
      </c>
      <c r="I1539" s="6" t="str">
        <f ca="1">IFERROR(__xludf.DUMMYFUNCTION("""COMPUTED_VALUE"""),"C202511416103631777")</f>
        <v>C202511416103631777</v>
      </c>
      <c r="J1539" s="6" t="str">
        <f ca="1">IFERROR(__xludf.DUMMYFUNCTION("""COMPUTED_VALUE"""),"PEDRO LUIS TORNERO CANO")</f>
        <v>PEDRO LUIS TORNERO CANO</v>
      </c>
      <c r="K1539" s="6">
        <f ca="1">IFERROR(__xludf.DUMMYFUNCTION("""COMPUTED_VALUE"""),2)</f>
        <v>2</v>
      </c>
      <c r="L1539" s="139">
        <f ca="1">IFERROR(__xludf.DUMMYFUNCTION("""COMPUTED_VALUE"""),2718.18)</f>
        <v>2718.18</v>
      </c>
      <c r="M1539" s="6" t="str">
        <f ca="1">IFERROR(__xludf.DUMMYFUNCTION("""COMPUTED_VALUE"""),"03 ORL")</f>
        <v>03 ORL</v>
      </c>
      <c r="N1539" s="6" t="str">
        <f ca="1">IFERROR(__xludf.DUMMYFUNCTION("""COMPUTED_VALUE"""),"06 ORL")</f>
        <v>06 ORL</v>
      </c>
      <c r="O1539" s="6" t="str">
        <f ca="1">IFERROR(__xludf.DUMMYFUNCTION("""COMPUTED_VALUE"""),"Dr, Pedro Masegosa Zapata")</f>
        <v>Dr, Pedro Masegosa Zapata</v>
      </c>
      <c r="P1539" s="6" t="str">
        <f ca="1">IFERROR(__xludf.DUMMYFUNCTION("""COMPUTED_VALUE"""),"Iván Sánchez (Levante Y Albacete)")</f>
        <v>Iván Sánchez (Levante Y Albacete)</v>
      </c>
    </row>
    <row r="1540" spans="2:16">
      <c r="B1540" s="6">
        <f ca="1">IFERROR(__xludf.DUMMYFUNCTION("""COMPUTED_VALUE"""),2025)</f>
        <v>2025</v>
      </c>
      <c r="C1540" s="6">
        <f ca="1">IFERROR(__xludf.DUMMYFUNCTION("""COMPUTED_VALUE"""),11)</f>
        <v>11</v>
      </c>
      <c r="D1540" s="6" t="str">
        <f ca="1">IFERROR(__xludf.DUMMYFUNCTION("""COMPUTED_VALUE"""),"NO")</f>
        <v>NO</v>
      </c>
      <c r="E1540" s="6" t="str">
        <f ca="1">IFERROR(__xludf.DUMMYFUNCTION("""COMPUTED_VALUE"""),"Sevilla- Montoto")</f>
        <v>Sevilla- Montoto</v>
      </c>
      <c r="F1540" s="16">
        <f ca="1">IFERROR(__xludf.DUMMYFUNCTION("""COMPUTED_VALUE"""),45986)</f>
        <v>45986</v>
      </c>
      <c r="G1540" s="16">
        <f ca="1">IFERROR(__xludf.DUMMYFUNCTION("""COMPUTED_VALUE"""),45936)</f>
        <v>45936</v>
      </c>
      <c r="H1540" s="6" t="str">
        <f ca="1">IFERROR(__xludf.DUMMYFUNCTION("""COMPUTED_VALUE"""),"Montoto")</f>
        <v>Montoto</v>
      </c>
      <c r="I1540" s="6" t="str">
        <f ca="1">IFERROR(__xludf.DUMMYFUNCTION("""COMPUTED_VALUE"""),"C202510910503721")</f>
        <v>C202510910503721</v>
      </c>
      <c r="J1540" s="6" t="str">
        <f ca="1">IFERROR(__xludf.DUMMYFUNCTION("""COMPUTED_VALUE"""),"MANUEL SANCHEZ CARBONERO")</f>
        <v>MANUEL SANCHEZ CARBONERO</v>
      </c>
      <c r="K1540" s="6">
        <f ca="1">IFERROR(__xludf.DUMMYFUNCTION("""COMPUTED_VALUE"""),2)</f>
        <v>2</v>
      </c>
      <c r="L1540" s="139">
        <f ca="1">IFERROR(__xludf.DUMMYFUNCTION("""COMPUTED_VALUE"""),3631.82)</f>
        <v>3631.82</v>
      </c>
      <c r="M1540" s="6" t="str">
        <f ca="1">IFERROR(__xludf.DUMMYFUNCTION("""COMPUTED_VALUE"""),"03 ORL")</f>
        <v>03 ORL</v>
      </c>
      <c r="N1540" s="6" t="str">
        <f ca="1">IFERROR(__xludf.DUMMYFUNCTION("""COMPUTED_VALUE"""),"06 ORL")</f>
        <v>06 ORL</v>
      </c>
      <c r="O1540" s="6" t="str">
        <f ca="1">IFERROR(__xludf.DUMMYFUNCTION("""COMPUTED_VALUE"""),"Dr, Jesús Crovato Rojas")</f>
        <v>Dr, Jesús Crovato Rojas</v>
      </c>
      <c r="P1540" s="6" t="str">
        <f ca="1">IFERROR(__xludf.DUMMYFUNCTION("""COMPUTED_VALUE"""),"Luis Alberto Rodríguez (Andalucía y Badajoz)")</f>
        <v>Luis Alberto Rodríguez (Andalucía y Badajoz)</v>
      </c>
    </row>
    <row r="1541" spans="2:16">
      <c r="B1541" s="6">
        <f ca="1">IFERROR(__xludf.DUMMYFUNCTION("""COMPUTED_VALUE"""),2025)</f>
        <v>2025</v>
      </c>
      <c r="C1541" s="6">
        <f ca="1">IFERROR(__xludf.DUMMYFUNCTION("""COMPUTED_VALUE"""),11)</f>
        <v>11</v>
      </c>
      <c r="D1541" s="6" t="str">
        <f ca="1">IFERROR(__xludf.DUMMYFUNCTION("""COMPUTED_VALUE"""),"NO")</f>
        <v>NO</v>
      </c>
      <c r="E1541" s="6" t="str">
        <f ca="1">IFERROR(__xludf.DUMMYFUNCTION("""COMPUTED_VALUE"""),"Ponferrada")</f>
        <v>Ponferrada</v>
      </c>
      <c r="F1541" s="16">
        <f ca="1">IFERROR(__xludf.DUMMYFUNCTION("""COMPUTED_VALUE"""),45987)</f>
        <v>45987</v>
      </c>
      <c r="G1541" s="16">
        <f ca="1">IFERROR(__xludf.DUMMYFUNCTION("""COMPUTED_VALUE"""),45922)</f>
        <v>45922</v>
      </c>
      <c r="H1541" s="6" t="str">
        <f ca="1">IFERROR(__xludf.DUMMYFUNCTION("""COMPUTED_VALUE"""),"Ponferrada")</f>
        <v>Ponferrada</v>
      </c>
      <c r="I1541" s="6" t="str">
        <f ca="1">IFERROR(__xludf.DUMMYFUNCTION("""COMPUTED_VALUE"""),"PON-990")</f>
        <v>PON-990</v>
      </c>
      <c r="J1541" s="6" t="str">
        <f ca="1">IFERROR(__xludf.DUMMYFUNCTION("""COMPUTED_VALUE"""),"DOLORES LOPEZ CADAHIA")</f>
        <v>DOLORES LOPEZ CADAHIA</v>
      </c>
      <c r="K1541" s="6">
        <f ca="1">IFERROR(__xludf.DUMMYFUNCTION("""COMPUTED_VALUE"""),2)</f>
        <v>2</v>
      </c>
      <c r="L1541" s="139">
        <f ca="1">IFERROR(__xludf.DUMMYFUNCTION("""COMPUTED_VALUE"""),3318.18)</f>
        <v>3318.18</v>
      </c>
      <c r="M1541" s="6" t="str">
        <f ca="1">IFERROR(__xludf.DUMMYFUNCTION("""COMPUTED_VALUE"""),"03 ORL")</f>
        <v>03 ORL</v>
      </c>
      <c r="N1541" s="6" t="str">
        <f ca="1">IFERROR(__xludf.DUMMYFUNCTION("""COMPUTED_VALUE"""),"06 ORL")</f>
        <v>06 ORL</v>
      </c>
      <c r="O1541" s="6" t="str">
        <f ca="1">IFERROR(__xludf.DUMMYFUNCTION("""COMPUTED_VALUE"""),"Dra, Mónica Granda Rosales")</f>
        <v>Dra, Mónica Granda Rosales</v>
      </c>
      <c r="P1541" s="6" t="str">
        <f ca="1">IFERROR(__xludf.DUMMYFUNCTION("""COMPUTED_VALUE"""),"Alberto Moreno (Madrid)")</f>
        <v>Alberto Moreno (Madrid)</v>
      </c>
    </row>
    <row r="1542" spans="2:16">
      <c r="B1542" s="6">
        <f ca="1">IFERROR(__xludf.DUMMYFUNCTION("""COMPUTED_VALUE"""),2025)</f>
        <v>2025</v>
      </c>
      <c r="C1542" s="6">
        <f ca="1">IFERROR(__xludf.DUMMYFUNCTION("""COMPUTED_VALUE"""),11)</f>
        <v>11</v>
      </c>
      <c r="D1542" s="6" t="str">
        <f ca="1">IFERROR(__xludf.DUMMYFUNCTION("""COMPUTED_VALUE"""),"NO")</f>
        <v>NO</v>
      </c>
      <c r="E1542" s="6" t="str">
        <f ca="1">IFERROR(__xludf.DUMMYFUNCTION("""COMPUTED_VALUE"""),"Ponferrada")</f>
        <v>Ponferrada</v>
      </c>
      <c r="F1542" s="16">
        <f ca="1">IFERROR(__xludf.DUMMYFUNCTION("""COMPUTED_VALUE"""),45987)</f>
        <v>45987</v>
      </c>
      <c r="G1542" s="16">
        <f ca="1">IFERROR(__xludf.DUMMYFUNCTION("""COMPUTED_VALUE"""),45923)</f>
        <v>45923</v>
      </c>
      <c r="H1542" s="6" t="str">
        <f ca="1">IFERROR(__xludf.DUMMYFUNCTION("""COMPUTED_VALUE"""),"Ponferrada")</f>
        <v>Ponferrada</v>
      </c>
      <c r="I1542" s="6" t="str">
        <f ca="1">IFERROR(__xludf.DUMMYFUNCTION("""COMPUTED_VALUE"""),"PON-992")</f>
        <v>PON-992</v>
      </c>
      <c r="J1542" s="6" t="str">
        <f ca="1">IFERROR(__xludf.DUMMYFUNCTION("""COMPUTED_VALUE"""),"ANTONIO RODRIGUEZ BLANCO")</f>
        <v>ANTONIO RODRIGUEZ BLANCO</v>
      </c>
      <c r="K1542" s="6">
        <f ca="1">IFERROR(__xludf.DUMMYFUNCTION("""COMPUTED_VALUE"""),2)</f>
        <v>2</v>
      </c>
      <c r="L1542" s="139">
        <f ca="1">IFERROR(__xludf.DUMMYFUNCTION("""COMPUTED_VALUE"""),3318.18)</f>
        <v>3318.18</v>
      </c>
      <c r="M1542" s="6" t="str">
        <f ca="1">IFERROR(__xludf.DUMMYFUNCTION("""COMPUTED_VALUE"""),"03 ORL")</f>
        <v>03 ORL</v>
      </c>
      <c r="N1542" s="6" t="str">
        <f ca="1">IFERROR(__xludf.DUMMYFUNCTION("""COMPUTED_VALUE"""),"06 ORL")</f>
        <v>06 ORL</v>
      </c>
      <c r="O1542" s="6" t="str">
        <f ca="1">IFERROR(__xludf.DUMMYFUNCTION("""COMPUTED_VALUE"""),"Dra, Mónica Granda Rosales")</f>
        <v>Dra, Mónica Granda Rosales</v>
      </c>
      <c r="P1542" s="6" t="str">
        <f ca="1">IFERROR(__xludf.DUMMYFUNCTION("""COMPUTED_VALUE"""),"Alberto Moreno (Madrid)")</f>
        <v>Alberto Moreno (Madrid)</v>
      </c>
    </row>
    <row r="1543" spans="2:16">
      <c r="B1543" s="6">
        <f ca="1">IFERROR(__xludf.DUMMYFUNCTION("""COMPUTED_VALUE"""),2025)</f>
        <v>2025</v>
      </c>
      <c r="C1543" s="6">
        <f ca="1">IFERROR(__xludf.DUMMYFUNCTION("""COMPUTED_VALUE"""),11)</f>
        <v>11</v>
      </c>
      <c r="D1543" s="6" t="str">
        <f ca="1">IFERROR(__xludf.DUMMYFUNCTION("""COMPUTED_VALUE"""),"NO")</f>
        <v>NO</v>
      </c>
      <c r="E1543" s="6" t="str">
        <f ca="1">IFERROR(__xludf.DUMMYFUNCTION("""COMPUTED_VALUE"""),"Alicante")</f>
        <v>Alicante</v>
      </c>
      <c r="F1543" s="16">
        <f ca="1">IFERROR(__xludf.DUMMYFUNCTION("""COMPUTED_VALUE"""),45987)</f>
        <v>45987</v>
      </c>
      <c r="G1543" s="16">
        <f ca="1">IFERROR(__xludf.DUMMYFUNCTION("""COMPUTED_VALUE"""),45946)</f>
        <v>45946</v>
      </c>
      <c r="H1543" s="6" t="str">
        <f ca="1">IFERROR(__xludf.DUMMYFUNCTION("""COMPUTED_VALUE"""),"Alicante")</f>
        <v>Alicante</v>
      </c>
      <c r="I1543" s="6" t="str">
        <f ca="1">IFERROR(__xludf.DUMMYFUNCTION("""COMPUTED_VALUE"""),"C202510167425234141")</f>
        <v>C202510167425234141</v>
      </c>
      <c r="J1543" s="6" t="str">
        <f ca="1">IFERROR(__xludf.DUMMYFUNCTION("""COMPUTED_VALUE"""),"DOLORES LIEBANA GARCIA")</f>
        <v>DOLORES LIEBANA GARCIA</v>
      </c>
      <c r="K1543" s="6">
        <f ca="1">IFERROR(__xludf.DUMMYFUNCTION("""COMPUTED_VALUE"""),2)</f>
        <v>2</v>
      </c>
      <c r="L1543" s="139">
        <f ca="1">IFERROR(__xludf.DUMMYFUNCTION("""COMPUTED_VALUE"""),3450.23)</f>
        <v>3450.23</v>
      </c>
      <c r="M1543" s="6" t="str">
        <f ca="1">IFERROR(__xludf.DUMMYFUNCTION("""COMPUTED_VALUE"""),"03 ORL")</f>
        <v>03 ORL</v>
      </c>
      <c r="N1543" s="6" t="str">
        <f ca="1">IFERROR(__xludf.DUMMYFUNCTION("""COMPUTED_VALUE"""),"06 ORL")</f>
        <v>06 ORL</v>
      </c>
      <c r="O1543" s="6" t="str">
        <f ca="1">IFERROR(__xludf.DUMMYFUNCTION("""COMPUTED_VALUE"""),"Dr, Félix Ruíz de la Cuesta Juste")</f>
        <v>Dr, Félix Ruíz de la Cuesta Juste</v>
      </c>
      <c r="P1543" s="6" t="str">
        <f ca="1">IFERROR(__xludf.DUMMYFUNCTION("""COMPUTED_VALUE"""),"Iván Sánchez (Levante Y Albacete)")</f>
        <v>Iván Sánchez (Levante Y Albacete)</v>
      </c>
    </row>
    <row r="1544" spans="2:16">
      <c r="B1544" s="6">
        <f ca="1">IFERROR(__xludf.DUMMYFUNCTION("""COMPUTED_VALUE"""),2025)</f>
        <v>2025</v>
      </c>
      <c r="C1544" s="6">
        <f ca="1">IFERROR(__xludf.DUMMYFUNCTION("""COMPUTED_VALUE"""),11)</f>
        <v>11</v>
      </c>
      <c r="D1544" s="6" t="str">
        <f ca="1">IFERROR(__xludf.DUMMYFUNCTION("""COMPUTED_VALUE"""),"NO")</f>
        <v>NO</v>
      </c>
      <c r="E1544" s="6" t="str">
        <f ca="1">IFERROR(__xludf.DUMMYFUNCTION("""COMPUTED_VALUE"""),"Ourense")</f>
        <v>Ourense</v>
      </c>
      <c r="F1544" s="16">
        <f ca="1">IFERROR(__xludf.DUMMYFUNCTION("""COMPUTED_VALUE"""),45987)</f>
        <v>45987</v>
      </c>
      <c r="G1544" s="16">
        <f ca="1">IFERROR(__xludf.DUMMYFUNCTION("""COMPUTED_VALUE"""),45958)</f>
        <v>45958</v>
      </c>
      <c r="H1544" s="6" t="str">
        <f ca="1">IFERROR(__xludf.DUMMYFUNCTION("""COMPUTED_VALUE"""),"Orense")</f>
        <v>Orense</v>
      </c>
      <c r="I1544" s="6" t="str">
        <f ca="1">IFERROR(__xludf.DUMMYFUNCTION("""COMPUTED_VALUE"""),"C202510281139976833")</f>
        <v>C202510281139976833</v>
      </c>
      <c r="J1544" s="6" t="str">
        <f ca="1">IFERROR(__xludf.DUMMYFUNCTION("""COMPUTED_VALUE"""),"MARIA ASUNCIÓN FORMIGO MONTERO")</f>
        <v>MARIA ASUNCIÓN FORMIGO MONTERO</v>
      </c>
      <c r="K1544" s="6">
        <f ca="1">IFERROR(__xludf.DUMMYFUNCTION("""COMPUTED_VALUE"""),2)</f>
        <v>2</v>
      </c>
      <c r="L1544" s="139">
        <f ca="1">IFERROR(__xludf.DUMMYFUNCTION("""COMPUTED_VALUE"""),2718.18)</f>
        <v>2718.18</v>
      </c>
      <c r="M1544" s="6" t="str">
        <f ca="1">IFERROR(__xludf.DUMMYFUNCTION("""COMPUTED_VALUE"""),"03 ORL")</f>
        <v>03 ORL</v>
      </c>
      <c r="N1544" s="6" t="str">
        <f ca="1">IFERROR(__xludf.DUMMYFUNCTION("""COMPUTED_VALUE"""),"06 ORL")</f>
        <v>06 ORL</v>
      </c>
      <c r="O1544" s="6" t="str">
        <f ca="1">IFERROR(__xludf.DUMMYFUNCTION("""COMPUTED_VALUE"""),"Dr, Mohamed Al Rifal Al Masti")</f>
        <v>Dr, Mohamed Al Rifal Al Masti</v>
      </c>
      <c r="P1544" s="6" t="str">
        <f ca="1">IFERROR(__xludf.DUMMYFUNCTION("""COMPUTED_VALUE"""),"Roberto Pereira (Galicia)")</f>
        <v>Roberto Pereira (Galicia)</v>
      </c>
    </row>
    <row r="1545" spans="2:16">
      <c r="B1545" s="6">
        <f ca="1">IFERROR(__xludf.DUMMYFUNCTION("""COMPUTED_VALUE"""),2025)</f>
        <v>2025</v>
      </c>
      <c r="C1545" s="6">
        <f ca="1">IFERROR(__xludf.DUMMYFUNCTION("""COMPUTED_VALUE"""),11)</f>
        <v>11</v>
      </c>
      <c r="D1545" s="6" t="str">
        <f ca="1">IFERROR(__xludf.DUMMYFUNCTION("""COMPUTED_VALUE"""),"NO")</f>
        <v>NO</v>
      </c>
      <c r="E1545" s="6" t="str">
        <f ca="1">IFERROR(__xludf.DUMMYFUNCTION("""COMPUTED_VALUE"""),"Leganés")</f>
        <v>Leganés</v>
      </c>
      <c r="F1545" s="16">
        <f ca="1">IFERROR(__xludf.DUMMYFUNCTION("""COMPUTED_VALUE"""),45987)</f>
        <v>45987</v>
      </c>
      <c r="G1545" s="16">
        <f ca="1">IFERROR(__xludf.DUMMYFUNCTION("""COMPUTED_VALUE"""),45947)</f>
        <v>45947</v>
      </c>
      <c r="H1545" s="6" t="str">
        <f ca="1">IFERROR(__xludf.DUMMYFUNCTION("""COMPUTED_VALUE"""),"Leganés")</f>
        <v>Leganés</v>
      </c>
      <c r="I1545" s="6" t="str">
        <f ca="1">IFERROR(__xludf.DUMMYFUNCTION("""COMPUTED_VALUE"""),"C202510171019439504")</f>
        <v>C202510171019439504</v>
      </c>
      <c r="J1545" s="6" t="str">
        <f ca="1">IFERROR(__xludf.DUMMYFUNCTION("""COMPUTED_VALUE"""),"JOSE FUERTES GARCIA")</f>
        <v>JOSE FUERTES GARCIA</v>
      </c>
      <c r="K1545" s="6">
        <f ca="1">IFERROR(__xludf.DUMMYFUNCTION("""COMPUTED_VALUE"""),2)</f>
        <v>2</v>
      </c>
      <c r="L1545" s="139">
        <f ca="1">IFERROR(__xludf.DUMMYFUNCTION("""COMPUTED_VALUE"""),2717.31)</f>
        <v>2717.31</v>
      </c>
      <c r="M1545" s="6" t="str">
        <f ca="1">IFERROR(__xludf.DUMMYFUNCTION("""COMPUTED_VALUE"""),"03 ORL")</f>
        <v>03 ORL</v>
      </c>
      <c r="N1545" s="6" t="str">
        <f ca="1">IFERROR(__xludf.DUMMYFUNCTION("""COMPUTED_VALUE"""),"06 ORL")</f>
        <v>06 ORL</v>
      </c>
      <c r="O1545" s="6" t="str">
        <f ca="1">IFERROR(__xludf.DUMMYFUNCTION("""COMPUTED_VALUE"""),"Dra, Ana Ruiz Fornells Noreña")</f>
        <v>Dra, Ana Ruiz Fornells Noreña</v>
      </c>
      <c r="P1545" s="6" t="str">
        <f ca="1">IFERROR(__xludf.DUMMYFUNCTION("""COMPUTED_VALUE"""),"Maika Blázquez (Madrid)")</f>
        <v>Maika Blázquez (Madrid)</v>
      </c>
    </row>
    <row r="1546" spans="2:16">
      <c r="B1546" s="6">
        <f ca="1">IFERROR(__xludf.DUMMYFUNCTION("""COMPUTED_VALUE"""),2025)</f>
        <v>2025</v>
      </c>
      <c r="C1546" s="6">
        <f ca="1">IFERROR(__xludf.DUMMYFUNCTION("""COMPUTED_VALUE"""),11)</f>
        <v>11</v>
      </c>
      <c r="D1546" s="6" t="str">
        <f ca="1">IFERROR(__xludf.DUMMYFUNCTION("""COMPUTED_VALUE"""),"NO")</f>
        <v>NO</v>
      </c>
      <c r="E1546" s="6" t="str">
        <f ca="1">IFERROR(__xludf.DUMMYFUNCTION("""COMPUTED_VALUE"""),"Leganés")</f>
        <v>Leganés</v>
      </c>
      <c r="F1546" s="16">
        <f ca="1">IFERROR(__xludf.DUMMYFUNCTION("""COMPUTED_VALUE"""),45987)</f>
        <v>45987</v>
      </c>
      <c r="G1546" s="16">
        <f ca="1">IFERROR(__xludf.DUMMYFUNCTION("""COMPUTED_VALUE"""),45965)</f>
        <v>45965</v>
      </c>
      <c r="H1546" s="6" t="str">
        <f ca="1">IFERROR(__xludf.DUMMYFUNCTION("""COMPUTED_VALUE"""),"Leganés")</f>
        <v>Leganés</v>
      </c>
      <c r="I1546" s="6" t="str">
        <f ca="1">IFERROR(__xludf.DUMMYFUNCTION("""COMPUTED_VALUE"""),"C202511417266401601")</f>
        <v>C202511417266401601</v>
      </c>
      <c r="J1546" s="6" t="str">
        <f ca="1">IFERROR(__xludf.DUMMYFUNCTION("""COMPUTED_VALUE"""),"JULIA VILLEGAS COBEÑO")</f>
        <v>JULIA VILLEGAS COBEÑO</v>
      </c>
      <c r="K1546" s="6">
        <f ca="1">IFERROR(__xludf.DUMMYFUNCTION("""COMPUTED_VALUE"""),1)</f>
        <v>1</v>
      </c>
      <c r="L1546" s="139">
        <f ca="1">IFERROR(__xludf.DUMMYFUNCTION("""COMPUTED_VALUE"""),2481.82)</f>
        <v>2481.8200000000002</v>
      </c>
      <c r="M1546" s="6" t="str">
        <f ca="1">IFERROR(__xludf.DUMMYFUNCTION("""COMPUTED_VALUE"""),"03 ORL")</f>
        <v>03 ORL</v>
      </c>
      <c r="N1546" s="6" t="str">
        <f ca="1">IFERROR(__xludf.DUMMYFUNCTION("""COMPUTED_VALUE"""),"06 ORL")</f>
        <v>06 ORL</v>
      </c>
      <c r="O1546" s="6" t="str">
        <f ca="1">IFERROR(__xludf.DUMMYFUNCTION("""COMPUTED_VALUE"""),"Dr, Carles Heredia Llinás")</f>
        <v>Dr, Carles Heredia Llinás</v>
      </c>
      <c r="P1546" s="6" t="str">
        <f ca="1">IFERROR(__xludf.DUMMYFUNCTION("""COMPUTED_VALUE"""),"Maika Blázquez (Madrid)")</f>
        <v>Maika Blázquez (Madrid)</v>
      </c>
    </row>
    <row r="1547" spans="2:16">
      <c r="B1547" s="6">
        <f ca="1">IFERROR(__xludf.DUMMYFUNCTION("""COMPUTED_VALUE"""),2025)</f>
        <v>2025</v>
      </c>
      <c r="C1547" s="6">
        <f ca="1">IFERROR(__xludf.DUMMYFUNCTION("""COMPUTED_VALUE"""),11)</f>
        <v>11</v>
      </c>
      <c r="D1547" s="6" t="str">
        <f ca="1">IFERROR(__xludf.DUMMYFUNCTION("""COMPUTED_VALUE"""),"NO")</f>
        <v>NO</v>
      </c>
      <c r="E1547" s="6" t="str">
        <f ca="1">IFERROR(__xludf.DUMMYFUNCTION("""COMPUTED_VALUE"""),"Huelva")</f>
        <v>Huelva</v>
      </c>
      <c r="F1547" s="16">
        <f ca="1">IFERROR(__xludf.DUMMYFUNCTION("""COMPUTED_VALUE"""),45987)</f>
        <v>45987</v>
      </c>
      <c r="G1547" s="16">
        <f ca="1">IFERROR(__xludf.DUMMYFUNCTION("""COMPUTED_VALUE"""),45909)</f>
        <v>45909</v>
      </c>
      <c r="H1547" s="6" t="str">
        <f ca="1">IFERROR(__xludf.DUMMYFUNCTION("""COMPUTED_VALUE"""),"Huelva")</f>
        <v>Huelva</v>
      </c>
      <c r="I1547" s="6" t="str">
        <f ca="1">IFERROR(__xludf.DUMMYFUNCTION("""COMPUTED_VALUE"""),"C2025912104549439")</f>
        <v>C2025912104549439</v>
      </c>
      <c r="J1547" s="6" t="str">
        <f ca="1">IFERROR(__xludf.DUMMYFUNCTION("""COMPUTED_VALUE"""),"RAFAEL REYES PALACIO")</f>
        <v>RAFAEL REYES PALACIO</v>
      </c>
      <c r="K1547" s="6">
        <f ca="1">IFERROR(__xludf.DUMMYFUNCTION("""COMPUTED_VALUE"""),1)</f>
        <v>1</v>
      </c>
      <c r="L1547" s="139">
        <f ca="1">IFERROR(__xludf.DUMMYFUNCTION("""COMPUTED_VALUE"""),2180.91)</f>
        <v>2180.91</v>
      </c>
      <c r="M1547" s="6" t="str">
        <f ca="1">IFERROR(__xludf.DUMMYFUNCTION("""COMPUTED_VALUE"""),"03 ORL")</f>
        <v>03 ORL</v>
      </c>
      <c r="N1547" s="6" t="str">
        <f ca="1">IFERROR(__xludf.DUMMYFUNCTION("""COMPUTED_VALUE"""),"06 ORL")</f>
        <v>06 ORL</v>
      </c>
      <c r="O1547" s="6" t="str">
        <f ca="1">IFERROR(__xludf.DUMMYFUNCTION("""COMPUTED_VALUE"""),"Dr, Jose María Cordoncillo Prieto")</f>
        <v>Dr, Jose María Cordoncillo Prieto</v>
      </c>
      <c r="P1547" s="6" t="str">
        <f ca="1">IFERROR(__xludf.DUMMYFUNCTION("""COMPUTED_VALUE"""),"Luis Alberto Rodríguez (Andalucía y Badajoz)")</f>
        <v>Luis Alberto Rodríguez (Andalucía y Badajoz)</v>
      </c>
    </row>
    <row r="1548" spans="2:16">
      <c r="B1548" s="6">
        <f ca="1">IFERROR(__xludf.DUMMYFUNCTION("""COMPUTED_VALUE"""),2025)</f>
        <v>2025</v>
      </c>
      <c r="C1548" s="6">
        <f ca="1">IFERROR(__xludf.DUMMYFUNCTION("""COMPUTED_VALUE"""),11)</f>
        <v>11</v>
      </c>
      <c r="D1548" s="6" t="str">
        <f ca="1">IFERROR(__xludf.DUMMYFUNCTION("""COMPUTED_VALUE"""),"NO")</f>
        <v>NO</v>
      </c>
      <c r="E1548" s="6" t="str">
        <f ca="1">IFERROR(__xludf.DUMMYFUNCTION("""COMPUTED_VALUE"""),"Albacete")</f>
        <v>Albacete</v>
      </c>
      <c r="F1548" s="16">
        <f ca="1">IFERROR(__xludf.DUMMYFUNCTION("""COMPUTED_VALUE"""),45987)</f>
        <v>45987</v>
      </c>
      <c r="G1548" s="16">
        <f ca="1">IFERROR(__xludf.DUMMYFUNCTION("""COMPUTED_VALUE"""),45951)</f>
        <v>45951</v>
      </c>
      <c r="H1548" s="6" t="str">
        <f ca="1">IFERROR(__xludf.DUMMYFUNCTION("""COMPUTED_VALUE"""),"Albacete")</f>
        <v>Albacete</v>
      </c>
      <c r="I1548" s="6" t="str">
        <f ca="1">IFERROR(__xludf.DUMMYFUNCTION("""COMPUTED_VALUE"""),"C202510211604656834")</f>
        <v>C202510211604656834</v>
      </c>
      <c r="J1548" s="6" t="str">
        <f ca="1">IFERROR(__xludf.DUMMYFUNCTION("""COMPUTED_VALUE"""),"FERNANDO LOZANO CORREOSO")</f>
        <v>FERNANDO LOZANO CORREOSO</v>
      </c>
      <c r="K1548" s="6">
        <f ca="1">IFERROR(__xludf.DUMMYFUNCTION("""COMPUTED_VALUE"""),2)</f>
        <v>2</v>
      </c>
      <c r="L1548" s="139">
        <f ca="1">IFERROR(__xludf.DUMMYFUNCTION("""COMPUTED_VALUE"""),2718.18)</f>
        <v>2718.18</v>
      </c>
      <c r="M1548" s="6" t="str">
        <f ca="1">IFERROR(__xludf.DUMMYFUNCTION("""COMPUTED_VALUE"""),"03 ORL")</f>
        <v>03 ORL</v>
      </c>
      <c r="N1548" s="6" t="str">
        <f ca="1">IFERROR(__xludf.DUMMYFUNCTION("""COMPUTED_VALUE"""),"22 AUDIOMETRIA CLINICA")</f>
        <v>22 AUDIOMETRIA CLINICA</v>
      </c>
      <c r="O1548" s="6" t="str">
        <f ca="1">IFERROR(__xludf.DUMMYFUNCTION("""COMPUTED_VALUE"""),"Dra, Alejandra Jara Maquilón")</f>
        <v>Dra, Alejandra Jara Maquilón</v>
      </c>
      <c r="P1548" s="6" t="str">
        <f ca="1">IFERROR(__xludf.DUMMYFUNCTION("""COMPUTED_VALUE"""),"Iván Sánchez (Levante Y Albacete)")</f>
        <v>Iván Sánchez (Levante Y Albacete)</v>
      </c>
    </row>
    <row r="1549" spans="2:16">
      <c r="B1549" s="6">
        <f ca="1">IFERROR(__xludf.DUMMYFUNCTION("""COMPUTED_VALUE"""),2025)</f>
        <v>2025</v>
      </c>
      <c r="C1549" s="6">
        <f ca="1">IFERROR(__xludf.DUMMYFUNCTION("""COMPUTED_VALUE"""),11)</f>
        <v>11</v>
      </c>
      <c r="D1549" s="6" t="str">
        <f ca="1">IFERROR(__xludf.DUMMYFUNCTION("""COMPUTED_VALUE"""),"SI")</f>
        <v>SI</v>
      </c>
      <c r="E1549" s="6" t="str">
        <f ca="1">IFERROR(__xludf.DUMMYFUNCTION("""COMPUTED_VALUE"""),"Madrid- Moratalaz")</f>
        <v>Madrid- Moratalaz</v>
      </c>
      <c r="F1549" s="16">
        <f ca="1">IFERROR(__xludf.DUMMYFUNCTION("""COMPUTED_VALUE"""),45987)</f>
        <v>45987</v>
      </c>
      <c r="G1549" s="16">
        <f ca="1">IFERROR(__xludf.DUMMYFUNCTION("""COMPUTED_VALUE"""),45965)</f>
        <v>45965</v>
      </c>
      <c r="H1549" s="6" t="str">
        <f ca="1">IFERROR(__xludf.DUMMYFUNCTION("""COMPUTED_VALUE"""),"Moratalaz")</f>
        <v>Moratalaz</v>
      </c>
      <c r="I1549" s="6" t="str">
        <f ca="1">IFERROR(__xludf.DUMMYFUNCTION("""COMPUTED_VALUE"""),"C202511412285989779")</f>
        <v>C202511412285989779</v>
      </c>
      <c r="J1549" s="6" t="str">
        <f ca="1">IFERROR(__xludf.DUMMYFUNCTION("""COMPUTED_VALUE"""),"MARIA DOLORES BARBERO BURON")</f>
        <v>MARIA DOLORES BARBERO BURON</v>
      </c>
      <c r="K1549" s="6">
        <f ca="1">IFERROR(__xludf.DUMMYFUNCTION("""COMPUTED_VALUE"""),2)</f>
        <v>2</v>
      </c>
      <c r="L1549" s="139">
        <f ca="1">IFERROR(__xludf.DUMMYFUNCTION("""COMPUTED_VALUE"""),4136.36)</f>
        <v>4136.3599999999997</v>
      </c>
      <c r="M1549" s="6" t="str">
        <f ca="1">IFERROR(__xludf.DUMMYFUNCTION("""COMPUTED_VALUE"""),"03 ORL")</f>
        <v>03 ORL</v>
      </c>
      <c r="N1549" s="6" t="str">
        <f ca="1">IFERROR(__xludf.DUMMYFUNCTION("""COMPUTED_VALUE"""),"06 ORL")</f>
        <v>06 ORL</v>
      </c>
      <c r="O1549" s="6" t="str">
        <f ca="1">IFERROR(__xludf.DUMMYFUNCTION("""COMPUTED_VALUE"""),"Dra, María Cecilia Scola Torres")</f>
        <v>Dra, María Cecilia Scola Torres</v>
      </c>
      <c r="P1549" s="6" t="str">
        <f ca="1">IFERROR(__xludf.DUMMYFUNCTION("""COMPUTED_VALUE"""),"Maika Blázquez (Madrid)")</f>
        <v>Maika Blázquez (Madrid)</v>
      </c>
    </row>
    <row r="1550" spans="2:16">
      <c r="B1550" s="6">
        <f ca="1">IFERROR(__xludf.DUMMYFUNCTION("""COMPUTED_VALUE"""),2025)</f>
        <v>2025</v>
      </c>
      <c r="C1550" s="6">
        <f ca="1">IFERROR(__xludf.DUMMYFUNCTION("""COMPUTED_VALUE"""),11)</f>
        <v>11</v>
      </c>
      <c r="D1550" s="6" t="str">
        <f ca="1">IFERROR(__xludf.DUMMYFUNCTION("""COMPUTED_VALUE"""),"NO")</f>
        <v>NO</v>
      </c>
      <c r="E1550" s="6" t="str">
        <f ca="1">IFERROR(__xludf.DUMMYFUNCTION("""COMPUTED_VALUE"""),"Orihuela")</f>
        <v>Orihuela</v>
      </c>
      <c r="F1550" s="16">
        <f ca="1">IFERROR(__xludf.DUMMYFUNCTION("""COMPUTED_VALUE"""),45987)</f>
        <v>45987</v>
      </c>
      <c r="G1550" s="16">
        <f ca="1">IFERROR(__xludf.DUMMYFUNCTION("""COMPUTED_VALUE"""),45944)</f>
        <v>45944</v>
      </c>
      <c r="H1550" s="6" t="str">
        <f ca="1">IFERROR(__xludf.DUMMYFUNCTION("""COMPUTED_VALUE"""),"La Zenia")</f>
        <v>La Zenia</v>
      </c>
      <c r="I1550" s="6" t="str">
        <f ca="1">IFERROR(__xludf.DUMMYFUNCTION("""COMPUTED_VALUE"""),"C202510141120174733")</f>
        <v>C202510141120174733</v>
      </c>
      <c r="J1550" s="6" t="str">
        <f ca="1">IFERROR(__xludf.DUMMYFUNCTION("""COMPUTED_VALUE"""),"WILLIAM CHARLES HENRY LEAVES")</f>
        <v>WILLIAM CHARLES HENRY LEAVES</v>
      </c>
      <c r="K1550" s="6">
        <f ca="1">IFERROR(__xludf.DUMMYFUNCTION("""COMPUTED_VALUE"""),2)</f>
        <v>2</v>
      </c>
      <c r="L1550" s="139">
        <f ca="1">IFERROR(__xludf.DUMMYFUNCTION("""COMPUTED_VALUE"""),2718.18)</f>
        <v>2718.18</v>
      </c>
      <c r="M1550" s="6" t="str">
        <f ca="1">IFERROR(__xludf.DUMMYFUNCTION("""COMPUTED_VALUE"""),"03 ORL")</f>
        <v>03 ORL</v>
      </c>
      <c r="N1550" s="6" t="str">
        <f ca="1">IFERROR(__xludf.DUMMYFUNCTION("""COMPUTED_VALUE"""),"06 ORL")</f>
        <v>06 ORL</v>
      </c>
      <c r="O1550" s="6" t="str">
        <f ca="1">IFERROR(__xludf.DUMMYFUNCTION("""COMPUTED_VALUE"""),"Dr, Santiago Moreno Paredes")</f>
        <v>Dr, Santiago Moreno Paredes</v>
      </c>
      <c r="P1550" s="6" t="str">
        <f ca="1">IFERROR(__xludf.DUMMYFUNCTION("""COMPUTED_VALUE"""),"Iván Sánchez (Levante Y Albacete)")</f>
        <v>Iván Sánchez (Levante Y Albacete)</v>
      </c>
    </row>
    <row r="1551" spans="2:16">
      <c r="B1551" s="6">
        <f ca="1">IFERROR(__xludf.DUMMYFUNCTION("""COMPUTED_VALUE"""),2025)</f>
        <v>2025</v>
      </c>
      <c r="C1551" s="6">
        <f ca="1">IFERROR(__xludf.DUMMYFUNCTION("""COMPUTED_VALUE"""),11)</f>
        <v>11</v>
      </c>
      <c r="D1551" s="6" t="str">
        <f ca="1">IFERROR(__xludf.DUMMYFUNCTION("""COMPUTED_VALUE"""),"NO")</f>
        <v>NO</v>
      </c>
      <c r="E1551" s="6" t="str">
        <f ca="1">IFERROR(__xludf.DUMMYFUNCTION("""COMPUTED_VALUE"""),"Madrid- Moratalaz")</f>
        <v>Madrid- Moratalaz</v>
      </c>
      <c r="F1551" s="16">
        <f ca="1">IFERROR(__xludf.DUMMYFUNCTION("""COMPUTED_VALUE"""),45987)</f>
        <v>45987</v>
      </c>
      <c r="G1551" s="16">
        <f ca="1">IFERROR(__xludf.DUMMYFUNCTION("""COMPUTED_VALUE"""),45957)</f>
        <v>45957</v>
      </c>
      <c r="H1551" s="6" t="str">
        <f ca="1">IFERROR(__xludf.DUMMYFUNCTION("""COMPUTED_VALUE"""),"Moratalaz")</f>
        <v>Moratalaz</v>
      </c>
      <c r="I1551" s="6" t="str">
        <f ca="1">IFERROR(__xludf.DUMMYFUNCTION("""COMPUTED_VALUE"""),"C202510271053598510")</f>
        <v>C202510271053598510</v>
      </c>
      <c r="J1551" s="6" t="str">
        <f ca="1">IFERROR(__xludf.DUMMYFUNCTION("""COMPUTED_VALUE"""),"MIGUEL ANGEL LANGA ALVAREZ")</f>
        <v>MIGUEL ANGEL LANGA ALVAREZ</v>
      </c>
      <c r="K1551" s="6">
        <f ca="1">IFERROR(__xludf.DUMMYFUNCTION("""COMPUTED_VALUE"""),2)</f>
        <v>2</v>
      </c>
      <c r="L1551" s="139">
        <f ca="1">IFERROR(__xludf.DUMMYFUNCTION("""COMPUTED_VALUE"""),4136.36)</f>
        <v>4136.3599999999997</v>
      </c>
      <c r="M1551" s="6" t="str">
        <f ca="1">IFERROR(__xludf.DUMMYFUNCTION("""COMPUTED_VALUE"""),"03 ORL")</f>
        <v>03 ORL</v>
      </c>
      <c r="N1551" s="6" t="str">
        <f ca="1">IFERROR(__xludf.DUMMYFUNCTION("""COMPUTED_VALUE"""),"06 ORL")</f>
        <v>06 ORL</v>
      </c>
      <c r="O1551" s="6" t="str">
        <f ca="1">IFERROR(__xludf.DUMMYFUNCTION("""COMPUTED_VALUE"""),"Dra, María Cecilia Scola Torres")</f>
        <v>Dra, María Cecilia Scola Torres</v>
      </c>
      <c r="P1551" s="6" t="str">
        <f ca="1">IFERROR(__xludf.DUMMYFUNCTION("""COMPUTED_VALUE"""),"Maika Blázquez (Madrid)")</f>
        <v>Maika Blázquez (Madrid)</v>
      </c>
    </row>
    <row r="1552" spans="2:16">
      <c r="B1552" s="6">
        <f ca="1">IFERROR(__xludf.DUMMYFUNCTION("""COMPUTED_VALUE"""),2025)</f>
        <v>2025</v>
      </c>
      <c r="C1552" s="6">
        <f ca="1">IFERROR(__xludf.DUMMYFUNCTION("""COMPUTED_VALUE"""),11)</f>
        <v>11</v>
      </c>
      <c r="D1552" s="6" t="str">
        <f ca="1">IFERROR(__xludf.DUMMYFUNCTION("""COMPUTED_VALUE"""),"NO")</f>
        <v>NO</v>
      </c>
      <c r="E1552" s="6" t="str">
        <f ca="1">IFERROR(__xludf.DUMMYFUNCTION("""COMPUTED_VALUE"""),"Madrid- La Oca")</f>
        <v>Madrid- La Oca</v>
      </c>
      <c r="F1552" s="16">
        <f ca="1">IFERROR(__xludf.DUMMYFUNCTION("""COMPUTED_VALUE"""),45987)</f>
        <v>45987</v>
      </c>
      <c r="G1552" s="16">
        <f ca="1">IFERROR(__xludf.DUMMYFUNCTION("""COMPUTED_VALUE"""),45982)</f>
        <v>45982</v>
      </c>
      <c r="H1552" s="6" t="str">
        <f ca="1">IFERROR(__xludf.DUMMYFUNCTION("""COMPUTED_VALUE"""),"La Oca")</f>
        <v>La Oca</v>
      </c>
      <c r="I1552" s="6" t="str">
        <f ca="1">IFERROR(__xludf.DUMMYFUNCTION("""COMPUTED_VALUE"""),"C202511211412391741")</f>
        <v>C202511211412391741</v>
      </c>
      <c r="J1552" s="6" t="str">
        <f ca="1">IFERROR(__xludf.DUMMYFUNCTION("""COMPUTED_VALUE"""),"MARIA TERESA LIGERO BERRIO")</f>
        <v>MARIA TERESA LIGERO BERRIO</v>
      </c>
      <c r="K1552" s="6">
        <f ca="1">IFERROR(__xludf.DUMMYFUNCTION("""COMPUTED_VALUE"""),2)</f>
        <v>2</v>
      </c>
      <c r="L1552" s="139">
        <f ca="1">IFERROR(__xludf.DUMMYFUNCTION("""COMPUTED_VALUE"""),4136.36)</f>
        <v>4136.3599999999997</v>
      </c>
      <c r="M1552" s="6" t="str">
        <f ca="1">IFERROR(__xludf.DUMMYFUNCTION("""COMPUTED_VALUE"""),"03 ORL")</f>
        <v>03 ORL</v>
      </c>
      <c r="N1552" s="6" t="str">
        <f ca="1">IFERROR(__xludf.DUMMYFUNCTION("""COMPUTED_VALUE"""),"06 ORL")</f>
        <v>06 ORL</v>
      </c>
      <c r="O1552" s="6" t="str">
        <f ca="1">IFERROR(__xludf.DUMMYFUNCTION("""COMPUTED_VALUE"""),"Dr, Félix Rodríguez Paz")</f>
        <v>Dr, Félix Rodríguez Paz</v>
      </c>
      <c r="P1552" s="6" t="str">
        <f ca="1">IFERROR(__xludf.DUMMYFUNCTION("""COMPUTED_VALUE"""),"Maika Blázquez (Madrid)")</f>
        <v>Maika Blázquez (Madrid)</v>
      </c>
    </row>
    <row r="1553" spans="2:16">
      <c r="B1553" s="6">
        <f ca="1">IFERROR(__xludf.DUMMYFUNCTION("""COMPUTED_VALUE"""),2025)</f>
        <v>2025</v>
      </c>
      <c r="C1553" s="6">
        <f ca="1">IFERROR(__xludf.DUMMYFUNCTION("""COMPUTED_VALUE"""),11)</f>
        <v>11</v>
      </c>
      <c r="D1553" s="6" t="str">
        <f ca="1">IFERROR(__xludf.DUMMYFUNCTION("""COMPUTED_VALUE"""),"NO")</f>
        <v>NO</v>
      </c>
      <c r="E1553" s="6" t="str">
        <f ca="1">IFERROR(__xludf.DUMMYFUNCTION("""COMPUTED_VALUE"""),"Alcorcón")</f>
        <v>Alcorcón</v>
      </c>
      <c r="F1553" s="16">
        <f ca="1">IFERROR(__xludf.DUMMYFUNCTION("""COMPUTED_VALUE"""),45987)</f>
        <v>45987</v>
      </c>
      <c r="G1553" s="16">
        <f ca="1">IFERROR(__xludf.DUMMYFUNCTION("""COMPUTED_VALUE"""),45950)</f>
        <v>45950</v>
      </c>
      <c r="H1553" s="6" t="str">
        <f ca="1">IFERROR(__xludf.DUMMYFUNCTION("""COMPUTED_VALUE"""),"Alcorcón")</f>
        <v>Alcorcón</v>
      </c>
      <c r="I1553" s="6" t="str">
        <f ca="1">IFERROR(__xludf.DUMMYFUNCTION("""COMPUTED_VALUE"""),"C202510201554428447")</f>
        <v>C202510201554428447</v>
      </c>
      <c r="J1553" s="6" t="str">
        <f ca="1">IFERROR(__xludf.DUMMYFUNCTION("""COMPUTED_VALUE"""),"JOSE JURADO SANTOS")</f>
        <v>JOSE JURADO SANTOS</v>
      </c>
      <c r="K1553" s="6">
        <f ca="1">IFERROR(__xludf.DUMMYFUNCTION("""COMPUTED_VALUE"""),2)</f>
        <v>2</v>
      </c>
      <c r="L1553" s="139">
        <f ca="1">IFERROR(__xludf.DUMMYFUNCTION("""COMPUTED_VALUE"""),2718.18)</f>
        <v>2718.18</v>
      </c>
      <c r="M1553" s="6" t="str">
        <f ca="1">IFERROR(__xludf.DUMMYFUNCTION("""COMPUTED_VALUE"""),"03 ORL")</f>
        <v>03 ORL</v>
      </c>
      <c r="N1553" s="6" t="str">
        <f ca="1">IFERROR(__xludf.DUMMYFUNCTION("""COMPUTED_VALUE"""),"06 ORL")</f>
        <v>06 ORL</v>
      </c>
      <c r="O1553" s="6" t="str">
        <f ca="1">IFERROR(__xludf.DUMMYFUNCTION("""COMPUTED_VALUE"""),"Dra, Esther Macon Liquete")</f>
        <v>Dra, Esther Macon Liquete</v>
      </c>
      <c r="P1553" s="6" t="str">
        <f ca="1">IFERROR(__xludf.DUMMYFUNCTION("""COMPUTED_VALUE"""),"Maika Blázquez (Madrid)")</f>
        <v>Maika Blázquez (Madrid)</v>
      </c>
    </row>
    <row r="1554" spans="2:16">
      <c r="B1554" s="6">
        <f ca="1">IFERROR(__xludf.DUMMYFUNCTION("""COMPUTED_VALUE"""),2025)</f>
        <v>2025</v>
      </c>
      <c r="C1554" s="6">
        <f ca="1">IFERROR(__xludf.DUMMYFUNCTION("""COMPUTED_VALUE"""),11)</f>
        <v>11</v>
      </c>
      <c r="D1554" s="6" t="str">
        <f ca="1">IFERROR(__xludf.DUMMYFUNCTION("""COMPUTED_VALUE"""),"NO")</f>
        <v>NO</v>
      </c>
      <c r="E1554" s="6" t="str">
        <f ca="1">IFERROR(__xludf.DUMMYFUNCTION("""COMPUTED_VALUE"""),"Valencia- Parra")</f>
        <v>Valencia- Parra</v>
      </c>
      <c r="F1554" s="16">
        <f ca="1">IFERROR(__xludf.DUMMYFUNCTION("""COMPUTED_VALUE"""),45987)</f>
        <v>45987</v>
      </c>
      <c r="G1554" s="16">
        <f ca="1">IFERROR(__xludf.DUMMYFUNCTION("""COMPUTED_VALUE"""),45951)</f>
        <v>45951</v>
      </c>
      <c r="H1554" s="6" t="str">
        <f ca="1">IFERROR(__xludf.DUMMYFUNCTION("""COMPUTED_VALUE"""),"Valencia- Parra")</f>
        <v>Valencia- Parra</v>
      </c>
      <c r="I1554" s="6" t="str">
        <f ca="1">IFERROR(__xludf.DUMMYFUNCTION("""COMPUTED_VALUE"""),"C202510211028552232")</f>
        <v>C202510211028552232</v>
      </c>
      <c r="J1554" s="6" t="str">
        <f ca="1">IFERROR(__xludf.DUMMYFUNCTION("""COMPUTED_VALUE"""),"SIEGFRIED JERATHE")</f>
        <v>SIEGFRIED JERATHE</v>
      </c>
      <c r="K1554" s="6">
        <f ca="1">IFERROR(__xludf.DUMMYFUNCTION("""COMPUTED_VALUE"""),2)</f>
        <v>2</v>
      </c>
      <c r="L1554" s="139">
        <f ca="1">IFERROR(__xludf.DUMMYFUNCTION("""COMPUTED_VALUE"""),3631.82)</f>
        <v>3631.82</v>
      </c>
      <c r="M1554" s="6" t="str">
        <f ca="1">IFERROR(__xludf.DUMMYFUNCTION("""COMPUTED_VALUE"""),"03 ORL")</f>
        <v>03 ORL</v>
      </c>
      <c r="N1554" s="6" t="str">
        <f ca="1">IFERROR(__xludf.DUMMYFUNCTION("""COMPUTED_VALUE"""),"06 ORL")</f>
        <v>06 ORL</v>
      </c>
      <c r="O1554" s="6" t="str">
        <f ca="1">IFERROR(__xludf.DUMMYFUNCTION("""COMPUTED_VALUE"""),"Dra, Celia López Molla")</f>
        <v>Dra, Celia López Molla</v>
      </c>
      <c r="P1554" s="6" t="str">
        <f ca="1">IFERROR(__xludf.DUMMYFUNCTION("""COMPUTED_VALUE"""),"Ramon Ferrando(Valencia)")</f>
        <v>Ramon Ferrando(Valencia)</v>
      </c>
    </row>
    <row r="1555" spans="2:16">
      <c r="B1555" s="6">
        <f ca="1">IFERROR(__xludf.DUMMYFUNCTION("""COMPUTED_VALUE"""),2025)</f>
        <v>2025</v>
      </c>
      <c r="C1555" s="6">
        <f ca="1">IFERROR(__xludf.DUMMYFUNCTION("""COMPUTED_VALUE"""),11)</f>
        <v>11</v>
      </c>
      <c r="D1555" s="6" t="str">
        <f ca="1">IFERROR(__xludf.DUMMYFUNCTION("""COMPUTED_VALUE"""),"NO")</f>
        <v>NO</v>
      </c>
      <c r="E1555" s="6" t="str">
        <f ca="1">IFERROR(__xludf.DUMMYFUNCTION("""COMPUTED_VALUE"""),"Jerez de la Frontera")</f>
        <v>Jerez de la Frontera</v>
      </c>
      <c r="F1555" s="16">
        <f ca="1">IFERROR(__xludf.DUMMYFUNCTION("""COMPUTED_VALUE"""),45987)</f>
        <v>45987</v>
      </c>
      <c r="G1555" s="16">
        <f ca="1">IFERROR(__xludf.DUMMYFUNCTION("""COMPUTED_VALUE"""),45961)</f>
        <v>45961</v>
      </c>
      <c r="H1555" s="6" t="str">
        <f ca="1">IFERROR(__xludf.DUMMYFUNCTION("""COMPUTED_VALUE"""),"Jerez")</f>
        <v>Jerez</v>
      </c>
      <c r="I1555" s="6" t="str">
        <f ca="1">IFERROR(__xludf.DUMMYFUNCTION("""COMPUTED_VALUE"""),"C202510311112769486")</f>
        <v>C202510311112769486</v>
      </c>
      <c r="J1555" s="6" t="str">
        <f ca="1">IFERROR(__xludf.DUMMYFUNCTION("""COMPUTED_VALUE"""),"MANUELA COLLANTES NARBONA")</f>
        <v>MANUELA COLLANTES NARBONA</v>
      </c>
      <c r="K1555" s="6">
        <f ca="1">IFERROR(__xludf.DUMMYFUNCTION("""COMPUTED_VALUE"""),2)</f>
        <v>2</v>
      </c>
      <c r="L1555" s="139">
        <f ca="1">IFERROR(__xludf.DUMMYFUNCTION("""COMPUTED_VALUE"""),2718.18)</f>
        <v>2718.18</v>
      </c>
      <c r="M1555" s="6" t="str">
        <f ca="1">IFERROR(__xludf.DUMMYFUNCTION("""COMPUTED_VALUE"""),"03 ORL")</f>
        <v>03 ORL</v>
      </c>
      <c r="N1555" s="6" t="str">
        <f ca="1">IFERROR(__xludf.DUMMYFUNCTION("""COMPUTED_VALUE"""),"06 ORL")</f>
        <v>06 ORL</v>
      </c>
      <c r="O1555" s="6" t="str">
        <f ca="1">IFERROR(__xludf.DUMMYFUNCTION("""COMPUTED_VALUE"""),"Dr, Guillermo Sierra Galera")</f>
        <v>Dr, Guillermo Sierra Galera</v>
      </c>
      <c r="P1555" s="6" t="str">
        <f ca="1">IFERROR(__xludf.DUMMYFUNCTION("""COMPUTED_VALUE"""),"Luis Alberto Rodríguez (Andalucía y Badajoz)")</f>
        <v>Luis Alberto Rodríguez (Andalucía y Badajoz)</v>
      </c>
    </row>
    <row r="1556" spans="2:16">
      <c r="B1556" s="6">
        <f ca="1">IFERROR(__xludf.DUMMYFUNCTION("""COMPUTED_VALUE"""),2025)</f>
        <v>2025</v>
      </c>
      <c r="C1556" s="6">
        <f ca="1">IFERROR(__xludf.DUMMYFUNCTION("""COMPUTED_VALUE"""),11)</f>
        <v>11</v>
      </c>
      <c r="D1556" s="6" t="str">
        <f ca="1">IFERROR(__xludf.DUMMYFUNCTION("""COMPUTED_VALUE"""),"NO")</f>
        <v>NO</v>
      </c>
      <c r="E1556" s="6" t="str">
        <f ca="1">IFERROR(__xludf.DUMMYFUNCTION("""COMPUTED_VALUE"""),"Alicante")</f>
        <v>Alicante</v>
      </c>
      <c r="F1556" s="16">
        <f ca="1">IFERROR(__xludf.DUMMYFUNCTION("""COMPUTED_VALUE"""),45988)</f>
        <v>45988</v>
      </c>
      <c r="G1556" s="16">
        <f ca="1">IFERROR(__xludf.DUMMYFUNCTION("""COMPUTED_VALUE"""),45943)</f>
        <v>45943</v>
      </c>
      <c r="H1556" s="6" t="str">
        <f ca="1">IFERROR(__xludf.DUMMYFUNCTION("""COMPUTED_VALUE"""),"Alicante")</f>
        <v>Alicante</v>
      </c>
      <c r="I1556" s="6" t="str">
        <f ca="1">IFERROR(__xludf.DUMMYFUNCTION("""COMPUTED_VALUE"""),"C202510137551555299")</f>
        <v>C202510137551555299</v>
      </c>
      <c r="J1556" s="6" t="str">
        <f ca="1">IFERROR(__xludf.DUMMYFUNCTION("""COMPUTED_VALUE"""),"ROSA DEL MAR NUÑEZ RODRIGUEZ")</f>
        <v>ROSA DEL MAR NUÑEZ RODRIGUEZ</v>
      </c>
      <c r="K1556" s="6">
        <f ca="1">IFERROR(__xludf.DUMMYFUNCTION("""COMPUTED_VALUE"""),2)</f>
        <v>2</v>
      </c>
      <c r="L1556" s="139">
        <f ca="1">IFERROR(__xludf.DUMMYFUNCTION("""COMPUTED_VALUE"""),3631.82)</f>
        <v>3631.82</v>
      </c>
      <c r="M1556" s="6" t="str">
        <f ca="1">IFERROR(__xludf.DUMMYFUNCTION("""COMPUTED_VALUE"""),"03 ORL")</f>
        <v>03 ORL</v>
      </c>
      <c r="N1556" s="6" t="str">
        <f ca="1">IFERROR(__xludf.DUMMYFUNCTION("""COMPUTED_VALUE"""),"06 ORL")</f>
        <v>06 ORL</v>
      </c>
      <c r="O1556" s="6" t="str">
        <f ca="1">IFERROR(__xludf.DUMMYFUNCTION("""COMPUTED_VALUE"""),"Dr, Francisco Javier Cerdán Baeza")</f>
        <v>Dr, Francisco Javier Cerdán Baeza</v>
      </c>
      <c r="P1556" s="6" t="str">
        <f ca="1">IFERROR(__xludf.DUMMYFUNCTION("""COMPUTED_VALUE"""),"Iván Sánchez (Levante Y Albacete)")</f>
        <v>Iván Sánchez (Levante Y Albacete)</v>
      </c>
    </row>
    <row r="1557" spans="2:16">
      <c r="B1557" s="6">
        <f ca="1">IFERROR(__xludf.DUMMYFUNCTION("""COMPUTED_VALUE"""),2025)</f>
        <v>2025</v>
      </c>
      <c r="C1557" s="6">
        <f ca="1">IFERROR(__xludf.DUMMYFUNCTION("""COMPUTED_VALUE"""),11)</f>
        <v>11</v>
      </c>
      <c r="D1557" s="6" t="str">
        <f ca="1">IFERROR(__xludf.DUMMYFUNCTION("""COMPUTED_VALUE"""),"NO")</f>
        <v>NO</v>
      </c>
      <c r="E1557" s="6" t="str">
        <f ca="1">IFERROR(__xludf.DUMMYFUNCTION("""COMPUTED_VALUE"""),"Valencia- Parra")</f>
        <v>Valencia- Parra</v>
      </c>
      <c r="F1557" s="16">
        <f ca="1">IFERROR(__xludf.DUMMYFUNCTION("""COMPUTED_VALUE"""),45988)</f>
        <v>45988</v>
      </c>
      <c r="G1557" s="16">
        <f ca="1">IFERROR(__xludf.DUMMYFUNCTION("""COMPUTED_VALUE"""),45943)</f>
        <v>45943</v>
      </c>
      <c r="H1557" s="6" t="str">
        <f ca="1">IFERROR(__xludf.DUMMYFUNCTION("""COMPUTED_VALUE"""),"Valencia- Parra")</f>
        <v>Valencia- Parra</v>
      </c>
      <c r="I1557" s="6" t="str">
        <f ca="1">IFERROR(__xludf.DUMMYFUNCTION("""COMPUTED_VALUE"""),"C202510139244288259")</f>
        <v>C202510139244288259</v>
      </c>
      <c r="J1557" s="6" t="str">
        <f ca="1">IFERROR(__xludf.DUMMYFUNCTION("""COMPUTED_VALUE"""),"AMPARO DIAZ GARRIDO")</f>
        <v>AMPARO DIAZ GARRIDO</v>
      </c>
      <c r="K1557" s="6">
        <f ca="1">IFERROR(__xludf.DUMMYFUNCTION("""COMPUTED_VALUE"""),2)</f>
        <v>2</v>
      </c>
      <c r="L1557" s="139">
        <f ca="1">IFERROR(__xludf.DUMMYFUNCTION("""COMPUTED_VALUE"""),4136.36)</f>
        <v>4136.3599999999997</v>
      </c>
      <c r="M1557" s="6" t="str">
        <f ca="1">IFERROR(__xludf.DUMMYFUNCTION("""COMPUTED_VALUE"""),"03 ORL")</f>
        <v>03 ORL</v>
      </c>
      <c r="N1557" s="6" t="str">
        <f ca="1">IFERROR(__xludf.DUMMYFUNCTION("""COMPUTED_VALUE"""),"06 ORL")</f>
        <v>06 ORL</v>
      </c>
      <c r="O1557" s="6" t="str">
        <f ca="1">IFERROR(__xludf.DUMMYFUNCTION("""COMPUTED_VALUE"""),"Dr, Álvaro Pérez Llinares")</f>
        <v>Dr, Álvaro Pérez Llinares</v>
      </c>
      <c r="P1557" s="6" t="str">
        <f ca="1">IFERROR(__xludf.DUMMYFUNCTION("""COMPUTED_VALUE"""),"Ramon Ferrando(Valencia)")</f>
        <v>Ramon Ferrando(Valencia)</v>
      </c>
    </row>
    <row r="1558" spans="2:16">
      <c r="B1558" s="6">
        <f ca="1">IFERROR(__xludf.DUMMYFUNCTION("""COMPUTED_VALUE"""),2025)</f>
        <v>2025</v>
      </c>
      <c r="C1558" s="6">
        <f ca="1">IFERROR(__xludf.DUMMYFUNCTION("""COMPUTED_VALUE"""),11)</f>
        <v>11</v>
      </c>
      <c r="D1558" s="6" t="str">
        <f ca="1">IFERROR(__xludf.DUMMYFUNCTION("""COMPUTED_VALUE"""),"NO")</f>
        <v>NO</v>
      </c>
      <c r="E1558" s="6" t="str">
        <f ca="1">IFERROR(__xludf.DUMMYFUNCTION("""COMPUTED_VALUE"""),"Murcia")</f>
        <v>Murcia</v>
      </c>
      <c r="F1558" s="16">
        <f ca="1">IFERROR(__xludf.DUMMYFUNCTION("""COMPUTED_VALUE"""),45988)</f>
        <v>45988</v>
      </c>
      <c r="G1558" s="16">
        <f ca="1">IFERROR(__xludf.DUMMYFUNCTION("""COMPUTED_VALUE"""),45951)</f>
        <v>45951</v>
      </c>
      <c r="H1558" s="6" t="str">
        <f ca="1">IFERROR(__xludf.DUMMYFUNCTION("""COMPUTED_VALUE"""),"Murcia")</f>
        <v>Murcia</v>
      </c>
      <c r="I1558" s="6" t="str">
        <f ca="1">IFERROR(__xludf.DUMMYFUNCTION("""COMPUTED_VALUE"""),"C202510211021449756")</f>
        <v>C202510211021449756</v>
      </c>
      <c r="J1558" s="6" t="str">
        <f ca="1">IFERROR(__xludf.DUMMYFUNCTION("""COMPUTED_VALUE"""),"JOSE NICOLAS SERRANO")</f>
        <v>JOSE NICOLAS SERRANO</v>
      </c>
      <c r="K1558" s="6">
        <f ca="1">IFERROR(__xludf.DUMMYFUNCTION("""COMPUTED_VALUE"""),1)</f>
        <v>1</v>
      </c>
      <c r="L1558" s="139">
        <f ca="1">IFERROR(__xludf.DUMMYFUNCTION("""COMPUTED_VALUE"""),2481.82)</f>
        <v>2481.8200000000002</v>
      </c>
      <c r="M1558" s="6" t="str">
        <f ca="1">IFERROR(__xludf.DUMMYFUNCTION("""COMPUTED_VALUE"""),"03 ORL")</f>
        <v>03 ORL</v>
      </c>
      <c r="N1558" s="6" t="str">
        <f ca="1">IFERROR(__xludf.DUMMYFUNCTION("""COMPUTED_VALUE"""),"06 ORL")</f>
        <v>06 ORL</v>
      </c>
      <c r="O1558" s="6" t="str">
        <f ca="1">IFERROR(__xludf.DUMMYFUNCTION("""COMPUTED_VALUE"""),"Dra, Laura Guillamon Vivancos")</f>
        <v>Dra, Laura Guillamon Vivancos</v>
      </c>
      <c r="P1558" s="6" t="str">
        <f ca="1">IFERROR(__xludf.DUMMYFUNCTION("""COMPUTED_VALUE"""),"Iván Sánchez (Levante Y Albacete)")</f>
        <v>Iván Sánchez (Levante Y Albacete)</v>
      </c>
    </row>
    <row r="1559" spans="2:16">
      <c r="B1559" s="6">
        <f ca="1">IFERROR(__xludf.DUMMYFUNCTION("""COMPUTED_VALUE"""),2025)</f>
        <v>2025</v>
      </c>
      <c r="C1559" s="6">
        <f ca="1">IFERROR(__xludf.DUMMYFUNCTION("""COMPUTED_VALUE"""),11)</f>
        <v>11</v>
      </c>
      <c r="D1559" s="6" t="str">
        <f ca="1">IFERROR(__xludf.DUMMYFUNCTION("""COMPUTED_VALUE"""),"SI")</f>
        <v>SI</v>
      </c>
      <c r="E1559" s="6" t="str">
        <f ca="1">IFERROR(__xludf.DUMMYFUNCTION("""COMPUTED_VALUE"""),"Leganés")</f>
        <v>Leganés</v>
      </c>
      <c r="F1559" s="16">
        <f ca="1">IFERROR(__xludf.DUMMYFUNCTION("""COMPUTED_VALUE"""),45988)</f>
        <v>45988</v>
      </c>
      <c r="G1559" s="16">
        <f ca="1">IFERROR(__xludf.DUMMYFUNCTION("""COMPUTED_VALUE"""),43683)</f>
        <v>43683</v>
      </c>
      <c r="H1559" s="6" t="str">
        <f ca="1">IFERROR(__xludf.DUMMYFUNCTION("""COMPUTED_VALUE"""),"Leganés")</f>
        <v>Leganés</v>
      </c>
      <c r="I1559" s="6" t="str">
        <f ca="1">IFERROR(__xludf.DUMMYFUNCTION("""COMPUTED_VALUE"""),"PQL-1102")</f>
        <v>PQL-1102</v>
      </c>
      <c r="J1559" s="6" t="str">
        <f ca="1">IFERROR(__xludf.DUMMYFUNCTION("""COMPUTED_VALUE"""),"JUAN FRANCISCO ALONSO PÉREZ")</f>
        <v>JUAN FRANCISCO ALONSO PÉREZ</v>
      </c>
      <c r="K1559" s="6">
        <f ca="1">IFERROR(__xludf.DUMMYFUNCTION("""COMPUTED_VALUE"""),1)</f>
        <v>1</v>
      </c>
      <c r="L1559" s="139">
        <f ca="1">IFERROR(__xludf.DUMMYFUNCTION("""COMPUTED_VALUE"""),2357.27)</f>
        <v>2357.27</v>
      </c>
      <c r="M1559" s="6" t="str">
        <f ca="1">IFERROR(__xludf.DUMMYFUNCTION("""COMPUTED_VALUE"""),"03 ORL")</f>
        <v>03 ORL</v>
      </c>
      <c r="N1559" s="6" t="str">
        <f ca="1">IFERROR(__xludf.DUMMYFUNCTION("""COMPUTED_VALUE"""),"06 ORL")</f>
        <v>06 ORL</v>
      </c>
      <c r="O1559" s="6" t="str">
        <f ca="1">IFERROR(__xludf.DUMMYFUNCTION("""COMPUTED_VALUE"""),"Dra, Mar Lasso de la Vega Zamora")</f>
        <v>Dra, Mar Lasso de la Vega Zamora</v>
      </c>
      <c r="P1559" s="6" t="str">
        <f ca="1">IFERROR(__xludf.DUMMYFUNCTION("""COMPUTED_VALUE"""),"Maika Blázquez (Madrid)")</f>
        <v>Maika Blázquez (Madrid)</v>
      </c>
    </row>
    <row r="1560" spans="2:16">
      <c r="B1560" s="6">
        <f ca="1">IFERROR(__xludf.DUMMYFUNCTION("""COMPUTED_VALUE"""),2025)</f>
        <v>2025</v>
      </c>
      <c r="C1560" s="6">
        <f ca="1">IFERROR(__xludf.DUMMYFUNCTION("""COMPUTED_VALUE"""),11)</f>
        <v>11</v>
      </c>
      <c r="D1560" s="6" t="str">
        <f ca="1">IFERROR(__xludf.DUMMYFUNCTION("""COMPUTED_VALUE"""),"NO")</f>
        <v>NO</v>
      </c>
      <c r="E1560" s="6" t="str">
        <f ca="1">IFERROR(__xludf.DUMMYFUNCTION("""COMPUTED_VALUE"""),"San Javier")</f>
        <v>San Javier</v>
      </c>
      <c r="F1560" s="16">
        <f ca="1">IFERROR(__xludf.DUMMYFUNCTION("""COMPUTED_VALUE"""),45988)</f>
        <v>45988</v>
      </c>
      <c r="G1560" s="16">
        <f ca="1">IFERROR(__xludf.DUMMYFUNCTION("""COMPUTED_VALUE"""),45959)</f>
        <v>45959</v>
      </c>
      <c r="H1560" s="6" t="str">
        <f ca="1">IFERROR(__xludf.DUMMYFUNCTION("""COMPUTED_VALUE"""),"San Javier")</f>
        <v>San Javier</v>
      </c>
      <c r="I1560" s="6" t="str">
        <f ca="1">IFERROR(__xludf.DUMMYFUNCTION("""COMPUTED_VALUE"""),"C202510291941602898")</f>
        <v>C202510291941602898</v>
      </c>
      <c r="J1560" s="6" t="str">
        <f ca="1">IFERROR(__xludf.DUMMYFUNCTION("""COMPUTED_VALUE"""),"ASBJORN SVERRE KROGTOFT")</f>
        <v>ASBJORN SVERRE KROGTOFT</v>
      </c>
      <c r="K1560" s="6">
        <f ca="1">IFERROR(__xludf.DUMMYFUNCTION("""COMPUTED_VALUE"""),2)</f>
        <v>2</v>
      </c>
      <c r="L1560" s="139">
        <f ca="1">IFERROR(__xludf.DUMMYFUNCTION("""COMPUTED_VALUE"""),4309.55)</f>
        <v>4309.55</v>
      </c>
      <c r="M1560" s="6" t="str">
        <f ca="1">IFERROR(__xludf.DUMMYFUNCTION("""COMPUTED_VALUE"""),"03 ORL")</f>
        <v>03 ORL</v>
      </c>
      <c r="N1560" s="6" t="str">
        <f ca="1">IFERROR(__xludf.DUMMYFUNCTION("""COMPUTED_VALUE"""),"06 ORL")</f>
        <v>06 ORL</v>
      </c>
      <c r="O1560" s="6" t="str">
        <f ca="1">IFERROR(__xludf.DUMMYFUNCTION("""COMPUTED_VALUE"""),"Dra, María Agustina Sevilla García")</f>
        <v>Dra, María Agustina Sevilla García</v>
      </c>
      <c r="P1560" s="6" t="str">
        <f ca="1">IFERROR(__xludf.DUMMYFUNCTION("""COMPUTED_VALUE"""),"Iván Sánchez (Levante Y Albacete)")</f>
        <v>Iván Sánchez (Levante Y Albacete)</v>
      </c>
    </row>
    <row r="1561" spans="2:16">
      <c r="B1561" s="6">
        <f ca="1">IFERROR(__xludf.DUMMYFUNCTION("""COMPUTED_VALUE"""),2025)</f>
        <v>2025</v>
      </c>
      <c r="C1561" s="6">
        <f ca="1">IFERROR(__xludf.DUMMYFUNCTION("""COMPUTED_VALUE"""),11)</f>
        <v>11</v>
      </c>
      <c r="D1561" s="6" t="str">
        <f ca="1">IFERROR(__xludf.DUMMYFUNCTION("""COMPUTED_VALUE"""),"NO")</f>
        <v>NO</v>
      </c>
      <c r="E1561" s="6" t="str">
        <f ca="1">IFERROR(__xludf.DUMMYFUNCTION("""COMPUTED_VALUE"""),"Jerez de la Frontera")</f>
        <v>Jerez de la Frontera</v>
      </c>
      <c r="F1561" s="16">
        <f ca="1">IFERROR(__xludf.DUMMYFUNCTION("""COMPUTED_VALUE"""),45988)</f>
        <v>45988</v>
      </c>
      <c r="G1561" s="16">
        <f ca="1">IFERROR(__xludf.DUMMYFUNCTION("""COMPUTED_VALUE"""),45973)</f>
        <v>45973</v>
      </c>
      <c r="H1561" s="6" t="str">
        <f ca="1">IFERROR(__xludf.DUMMYFUNCTION("""COMPUTED_VALUE"""),"Jerez")</f>
        <v>Jerez</v>
      </c>
      <c r="I1561" s="6" t="str">
        <f ca="1">IFERROR(__xludf.DUMMYFUNCTION("""COMPUTED_VALUE"""),"C202511121631512555")</f>
        <v>C202511121631512555</v>
      </c>
      <c r="J1561" s="6" t="str">
        <f ca="1">IFERROR(__xludf.DUMMYFUNCTION("""COMPUTED_VALUE"""),"RUTGERA VAN KRETSCHMAR VAN VEEN")</f>
        <v>RUTGERA VAN KRETSCHMAR VAN VEEN</v>
      </c>
      <c r="K1561" s="6">
        <f ca="1">IFERROR(__xludf.DUMMYFUNCTION("""COMPUTED_VALUE"""),2)</f>
        <v>2</v>
      </c>
      <c r="L1561" s="139">
        <f ca="1">IFERROR(__xludf.DUMMYFUNCTION("""COMPUTED_VALUE"""),4309.55)</f>
        <v>4309.55</v>
      </c>
      <c r="M1561" s="6" t="str">
        <f ca="1">IFERROR(__xludf.DUMMYFUNCTION("""COMPUTED_VALUE"""),"03 ORL")</f>
        <v>03 ORL</v>
      </c>
      <c r="N1561" s="6" t="str">
        <f ca="1">IFERROR(__xludf.DUMMYFUNCTION("""COMPUTED_VALUE"""),"06 ORL")</f>
        <v>06 ORL</v>
      </c>
      <c r="O1561" s="6" t="str">
        <f ca="1">IFERROR(__xludf.DUMMYFUNCTION("""COMPUTED_VALUE"""),"Dr, Manuel Tucciarone")</f>
        <v>Dr, Manuel Tucciarone</v>
      </c>
      <c r="P1561" s="6" t="str">
        <f ca="1">IFERROR(__xludf.DUMMYFUNCTION("""COMPUTED_VALUE"""),"Luis Alberto Rodríguez (Andalucía y Badajoz)")</f>
        <v>Luis Alberto Rodríguez (Andalucía y Badajoz)</v>
      </c>
    </row>
    <row r="1562" spans="2:16">
      <c r="B1562" s="6">
        <f ca="1">IFERROR(__xludf.DUMMYFUNCTION("""COMPUTED_VALUE"""),2025)</f>
        <v>2025</v>
      </c>
      <c r="C1562" s="6">
        <f ca="1">IFERROR(__xludf.DUMMYFUNCTION("""COMPUTED_VALUE"""),11)</f>
        <v>11</v>
      </c>
      <c r="D1562" s="6" t="str">
        <f ca="1">IFERROR(__xludf.DUMMYFUNCTION("""COMPUTED_VALUE"""),"NO")</f>
        <v>NO</v>
      </c>
      <c r="E1562" s="6" t="str">
        <f ca="1">IFERROR(__xludf.DUMMYFUNCTION("""COMPUTED_VALUE"""),"Orihuela")</f>
        <v>Orihuela</v>
      </c>
      <c r="F1562" s="16">
        <f ca="1">IFERROR(__xludf.DUMMYFUNCTION("""COMPUTED_VALUE"""),45988)</f>
        <v>45988</v>
      </c>
      <c r="G1562" s="16">
        <f ca="1">IFERROR(__xludf.DUMMYFUNCTION("""COMPUTED_VALUE"""),45968)</f>
        <v>45968</v>
      </c>
      <c r="H1562" s="6" t="str">
        <f ca="1">IFERROR(__xludf.DUMMYFUNCTION("""COMPUTED_VALUE"""),"La Zenia")</f>
        <v>La Zenia</v>
      </c>
      <c r="I1562" s="6" t="str">
        <f ca="1">IFERROR(__xludf.DUMMYFUNCTION("""COMPUTED_VALUE"""),"C202511713534908581")</f>
        <v>C202511713534908581</v>
      </c>
      <c r="J1562" s="6" t="str">
        <f ca="1">IFERROR(__xludf.DUMMYFUNCTION("""COMPUTED_VALUE"""),"JAMES WILLIAM NOEL SCOTT")</f>
        <v>JAMES WILLIAM NOEL SCOTT</v>
      </c>
      <c r="K1562" s="6">
        <f ca="1">IFERROR(__xludf.DUMMYFUNCTION("""COMPUTED_VALUE"""),2)</f>
        <v>2</v>
      </c>
      <c r="L1562" s="139">
        <f ca="1">IFERROR(__xludf.DUMMYFUNCTION("""COMPUTED_VALUE"""),3631.82)</f>
        <v>3631.82</v>
      </c>
      <c r="M1562" s="6" t="str">
        <f ca="1">IFERROR(__xludf.DUMMYFUNCTION("""COMPUTED_VALUE"""),"03 ORL")</f>
        <v>03 ORL</v>
      </c>
      <c r="N1562" s="6" t="str">
        <f ca="1">IFERROR(__xludf.DUMMYFUNCTION("""COMPUTED_VALUE"""),"06 ORL")</f>
        <v>06 ORL</v>
      </c>
      <c r="O1562" s="6" t="str">
        <f ca="1">IFERROR(__xludf.DUMMYFUNCTION("""COMPUTED_VALUE"""),"Dra, Aurora López Llames")</f>
        <v>Dra, Aurora López Llames</v>
      </c>
      <c r="P1562" s="6" t="str">
        <f ca="1">IFERROR(__xludf.DUMMYFUNCTION("""COMPUTED_VALUE"""),"Iván Sánchez (Levante Y Albacete)")</f>
        <v>Iván Sánchez (Levante Y Albacete)</v>
      </c>
    </row>
    <row r="1563" spans="2:16">
      <c r="B1563" s="6">
        <f ca="1">IFERROR(__xludf.DUMMYFUNCTION("""COMPUTED_VALUE"""),2025)</f>
        <v>2025</v>
      </c>
      <c r="C1563" s="6">
        <f ca="1">IFERROR(__xludf.DUMMYFUNCTION("""COMPUTED_VALUE"""),11)</f>
        <v>11</v>
      </c>
      <c r="D1563" s="6" t="str">
        <f ca="1">IFERROR(__xludf.DUMMYFUNCTION("""COMPUTED_VALUE"""),"NO")</f>
        <v>NO</v>
      </c>
      <c r="E1563" s="6" t="str">
        <f ca="1">IFERROR(__xludf.DUMMYFUNCTION("""COMPUTED_VALUE"""),"El Albir (Benidorm)")</f>
        <v>El Albir (Benidorm)</v>
      </c>
      <c r="F1563" s="16">
        <f ca="1">IFERROR(__xludf.DUMMYFUNCTION("""COMPUTED_VALUE"""),45988)</f>
        <v>45988</v>
      </c>
      <c r="G1563" s="16">
        <f ca="1">IFERROR(__xludf.DUMMYFUNCTION("""COMPUTED_VALUE"""),45960)</f>
        <v>45960</v>
      </c>
      <c r="H1563" s="6" t="str">
        <f ca="1">IFERROR(__xludf.DUMMYFUNCTION("""COMPUTED_VALUE"""),"El Albir (Benidorm)")</f>
        <v>El Albir (Benidorm)</v>
      </c>
      <c r="I1563" s="6" t="str">
        <f ca="1">IFERROR(__xludf.DUMMYFUNCTION("""COMPUTED_VALUE"""),"C202510301117255144")</f>
        <v>C202510301117255144</v>
      </c>
      <c r="J1563" s="6" t="str">
        <f ca="1">IFERROR(__xludf.DUMMYFUNCTION("""COMPUTED_VALUE"""),"MARIA ANGELES RIPOLL MONTALVO")</f>
        <v>MARIA ANGELES RIPOLL MONTALVO</v>
      </c>
      <c r="K1563" s="6">
        <f ca="1">IFERROR(__xludf.DUMMYFUNCTION("""COMPUTED_VALUE"""),2)</f>
        <v>2</v>
      </c>
      <c r="L1563" s="139">
        <f ca="1">IFERROR(__xludf.DUMMYFUNCTION("""COMPUTED_VALUE"""),3631.82)</f>
        <v>3631.82</v>
      </c>
      <c r="M1563" s="6" t="str">
        <f ca="1">IFERROR(__xludf.DUMMYFUNCTION("""COMPUTED_VALUE"""),"04 TIENDA")</f>
        <v>04 TIENDA</v>
      </c>
      <c r="N1563" s="6" t="str">
        <f ca="1">IFERROR(__xludf.DUMMYFUNCTION("""COMPUTED_VALUE"""),"07 BOCA/BOCA")</f>
        <v>07 BOCA/BOCA</v>
      </c>
      <c r="O1563" s="6" t="str">
        <f ca="1">IFERROR(__xludf.DUMMYFUNCTION("""COMPUTED_VALUE"""),"Dr, Atonio Burgos Sánchez")</f>
        <v>Dr, Atonio Burgos Sánchez</v>
      </c>
      <c r="P1563" s="6" t="str">
        <f ca="1">IFERROR(__xludf.DUMMYFUNCTION("""COMPUTED_VALUE"""),"Ramon Ferrando(Valencia)")</f>
        <v>Ramon Ferrando(Valencia)</v>
      </c>
    </row>
    <row r="1564" spans="2:16">
      <c r="B1564" s="6">
        <f ca="1">IFERROR(__xludf.DUMMYFUNCTION("""COMPUTED_VALUE"""),2025)</f>
        <v>2025</v>
      </c>
      <c r="C1564" s="6">
        <f ca="1">IFERROR(__xludf.DUMMYFUNCTION("""COMPUTED_VALUE"""),11)</f>
        <v>11</v>
      </c>
      <c r="D1564" s="6" t="str">
        <f ca="1">IFERROR(__xludf.DUMMYFUNCTION("""COMPUTED_VALUE"""),"NO")</f>
        <v>NO</v>
      </c>
      <c r="E1564" s="6" t="str">
        <f ca="1">IFERROR(__xludf.DUMMYFUNCTION("""COMPUTED_VALUE"""),"Vilanova")</f>
        <v>Vilanova</v>
      </c>
      <c r="F1564" s="16">
        <f ca="1">IFERROR(__xludf.DUMMYFUNCTION("""COMPUTED_VALUE"""),45988)</f>
        <v>45988</v>
      </c>
      <c r="G1564" s="16">
        <f ca="1">IFERROR(__xludf.DUMMYFUNCTION("""COMPUTED_VALUE"""),45933)</f>
        <v>45933</v>
      </c>
      <c r="H1564" s="6" t="str">
        <f ca="1">IFERROR(__xludf.DUMMYFUNCTION("""COMPUTED_VALUE"""),"Vilanova")</f>
        <v>Vilanova</v>
      </c>
      <c r="I1564" s="6" t="str">
        <f ca="1">IFERROR(__xludf.DUMMYFUNCTION("""COMPUTED_VALUE"""),"C20251010162115245")</f>
        <v>C20251010162115245</v>
      </c>
      <c r="J1564" s="6" t="str">
        <f ca="1">IFERROR(__xludf.DUMMYFUNCTION("""COMPUTED_VALUE"""),"MARIA ANTONIA CALERO JIMENEZ")</f>
        <v>MARIA ANTONIA CALERO JIMENEZ</v>
      </c>
      <c r="K1564" s="6">
        <f ca="1">IFERROR(__xludf.DUMMYFUNCTION("""COMPUTED_VALUE"""),2)</f>
        <v>2</v>
      </c>
      <c r="L1564" s="139">
        <f ca="1">IFERROR(__xludf.DUMMYFUNCTION("""COMPUTED_VALUE"""),2718.18)</f>
        <v>2718.18</v>
      </c>
      <c r="M1564" s="6" t="str">
        <f ca="1">IFERROR(__xludf.DUMMYFUNCTION("""COMPUTED_VALUE"""),"03 ORL")</f>
        <v>03 ORL</v>
      </c>
      <c r="N1564" s="6" t="str">
        <f ca="1">IFERROR(__xludf.DUMMYFUNCTION("""COMPUTED_VALUE"""),"06 ORL")</f>
        <v>06 ORL</v>
      </c>
      <c r="O1564" s="6" t="str">
        <f ca="1">IFERROR(__xludf.DUMMYFUNCTION("""COMPUTED_VALUE"""),"Dra, Dolores Romero Panadero")</f>
        <v>Dra, Dolores Romero Panadero</v>
      </c>
      <c r="P1564" s="6" t="str">
        <f ca="1">IFERROR(__xludf.DUMMYFUNCTION("""COMPUTED_VALUE"""),"Mercè Cabrera (Cataluña Y Baleares)")</f>
        <v>Mercè Cabrera (Cataluña Y Baleares)</v>
      </c>
    </row>
    <row r="1565" spans="2:16">
      <c r="B1565" s="6">
        <f ca="1">IFERROR(__xludf.DUMMYFUNCTION("""COMPUTED_VALUE"""),2025)</f>
        <v>2025</v>
      </c>
      <c r="C1565" s="6">
        <f ca="1">IFERROR(__xludf.DUMMYFUNCTION("""COMPUTED_VALUE"""),11)</f>
        <v>11</v>
      </c>
      <c r="D1565" s="6" t="str">
        <f ca="1">IFERROR(__xludf.DUMMYFUNCTION("""COMPUTED_VALUE"""),"NO")</f>
        <v>NO</v>
      </c>
      <c r="E1565" s="6" t="str">
        <f ca="1">IFERROR(__xludf.DUMMYFUNCTION("""COMPUTED_VALUE"""),"San Javier")</f>
        <v>San Javier</v>
      </c>
      <c r="F1565" s="16">
        <f ca="1">IFERROR(__xludf.DUMMYFUNCTION("""COMPUTED_VALUE"""),45988)</f>
        <v>45988</v>
      </c>
      <c r="G1565" s="16">
        <f ca="1">IFERROR(__xludf.DUMMYFUNCTION("""COMPUTED_VALUE"""),45950)</f>
        <v>45950</v>
      </c>
      <c r="H1565" s="6" t="str">
        <f ca="1">IFERROR(__xludf.DUMMYFUNCTION("""COMPUTED_VALUE"""),"San Javier")</f>
        <v>San Javier</v>
      </c>
      <c r="I1565" s="6" t="str">
        <f ca="1">IFERROR(__xludf.DUMMYFUNCTION("""COMPUTED_VALUE"""),"C202510201040595061")</f>
        <v>C202510201040595061</v>
      </c>
      <c r="J1565" s="6" t="str">
        <f ca="1">IFERROR(__xludf.DUMMYFUNCTION("""COMPUTED_VALUE"""),"CARMEN VILLAESCUSA JIMENEZ")</f>
        <v>CARMEN VILLAESCUSA JIMENEZ</v>
      </c>
      <c r="K1565" s="6">
        <f ca="1">IFERROR(__xludf.DUMMYFUNCTION("""COMPUTED_VALUE"""),2)</f>
        <v>2</v>
      </c>
      <c r="L1565" s="139">
        <f ca="1">IFERROR(__xludf.DUMMYFUNCTION("""COMPUTED_VALUE"""),3268.64)</f>
        <v>3268.64</v>
      </c>
      <c r="M1565" s="6" t="str">
        <f ca="1">IFERROR(__xludf.DUMMYFUNCTION("""COMPUTED_VALUE"""),"03 ORL")</f>
        <v>03 ORL</v>
      </c>
      <c r="N1565" s="6" t="str">
        <f ca="1">IFERROR(__xludf.DUMMYFUNCTION("""COMPUTED_VALUE"""),"06 ORL")</f>
        <v>06 ORL</v>
      </c>
      <c r="O1565" s="6" t="str">
        <f ca="1">IFERROR(__xludf.DUMMYFUNCTION("""COMPUTED_VALUE"""),"No recuerda ORL")</f>
        <v>No recuerda ORL</v>
      </c>
      <c r="P1565" s="6" t="str">
        <f ca="1">IFERROR(__xludf.DUMMYFUNCTION("""COMPUTED_VALUE"""),"Iván Sánchez (Levante Y Albacete)")</f>
        <v>Iván Sánchez (Levante Y Albacete)</v>
      </c>
    </row>
    <row r="1566" spans="2:16">
      <c r="B1566" s="6">
        <f ca="1">IFERROR(__xludf.DUMMYFUNCTION("""COMPUTED_VALUE"""),2025)</f>
        <v>2025</v>
      </c>
      <c r="C1566" s="6">
        <f ca="1">IFERROR(__xludf.DUMMYFUNCTION("""COMPUTED_VALUE"""),11)</f>
        <v>11</v>
      </c>
      <c r="D1566" s="6" t="str">
        <f ca="1">IFERROR(__xludf.DUMMYFUNCTION("""COMPUTED_VALUE"""),"NO")</f>
        <v>NO</v>
      </c>
      <c r="E1566" s="6" t="str">
        <f ca="1">IFERROR(__xludf.DUMMYFUNCTION("""COMPUTED_VALUE"""),"Albacete")</f>
        <v>Albacete</v>
      </c>
      <c r="F1566" s="16">
        <f ca="1">IFERROR(__xludf.DUMMYFUNCTION("""COMPUTED_VALUE"""),45988)</f>
        <v>45988</v>
      </c>
      <c r="G1566" s="16">
        <f ca="1">IFERROR(__xludf.DUMMYFUNCTION("""COMPUTED_VALUE"""),45971)</f>
        <v>45971</v>
      </c>
      <c r="H1566" s="6" t="str">
        <f ca="1">IFERROR(__xludf.DUMMYFUNCTION("""COMPUTED_VALUE"""),"Albacete")</f>
        <v>Albacete</v>
      </c>
      <c r="I1566" s="6" t="str">
        <f ca="1">IFERROR(__xludf.DUMMYFUNCTION("""COMPUTED_VALUE"""),"C202511109493561732")</f>
        <v>C202511109493561732</v>
      </c>
      <c r="J1566" s="6" t="str">
        <f ca="1">IFERROR(__xludf.DUMMYFUNCTION("""COMPUTED_VALUE"""),"MARIA CARMEN RABADAN PARDO")</f>
        <v>MARIA CARMEN RABADAN PARDO</v>
      </c>
      <c r="K1566" s="6">
        <f ca="1">IFERROR(__xludf.DUMMYFUNCTION("""COMPUTED_VALUE"""),2)</f>
        <v>2</v>
      </c>
      <c r="L1566" s="139">
        <f ca="1">IFERROR(__xludf.DUMMYFUNCTION("""COMPUTED_VALUE"""),4136.36)</f>
        <v>4136.3599999999997</v>
      </c>
      <c r="M1566" s="6" t="str">
        <f ca="1">IFERROR(__xludf.DUMMYFUNCTION("""COMPUTED_VALUE"""),"03 ORL")</f>
        <v>03 ORL</v>
      </c>
      <c r="N1566" s="6" t="str">
        <f ca="1">IFERROR(__xludf.DUMMYFUNCTION("""COMPUTED_VALUE"""),"06 ORL")</f>
        <v>06 ORL</v>
      </c>
      <c r="O1566" s="6" t="str">
        <f ca="1">IFERROR(__xludf.DUMMYFUNCTION("""COMPUTED_VALUE"""),"Dr, Javier García-Dueñas González")</f>
        <v>Dr, Javier García-Dueñas González</v>
      </c>
      <c r="P1566" s="6" t="str">
        <f ca="1">IFERROR(__xludf.DUMMYFUNCTION("""COMPUTED_VALUE"""),"Iván Sánchez (Levante Y Albacete)")</f>
        <v>Iván Sánchez (Levante Y Albacete)</v>
      </c>
    </row>
    <row r="1567" spans="2:16">
      <c r="B1567" s="6">
        <f ca="1">IFERROR(__xludf.DUMMYFUNCTION("""COMPUTED_VALUE"""),2025)</f>
        <v>2025</v>
      </c>
      <c r="C1567" s="6">
        <f ca="1">IFERROR(__xludf.DUMMYFUNCTION("""COMPUTED_VALUE"""),11)</f>
        <v>11</v>
      </c>
      <c r="D1567" s="6" t="str">
        <f ca="1">IFERROR(__xludf.DUMMYFUNCTION("""COMPUTED_VALUE"""),"NO")</f>
        <v>NO</v>
      </c>
      <c r="E1567" s="6" t="str">
        <f ca="1">IFERROR(__xludf.DUMMYFUNCTION("""COMPUTED_VALUE"""),"Sevilla- Montoto")</f>
        <v>Sevilla- Montoto</v>
      </c>
      <c r="F1567" s="16">
        <f ca="1">IFERROR(__xludf.DUMMYFUNCTION("""COMPUTED_VALUE"""),45988)</f>
        <v>45988</v>
      </c>
      <c r="G1567" s="16">
        <f ca="1">IFERROR(__xludf.DUMMYFUNCTION("""COMPUTED_VALUE"""),45967)</f>
        <v>45967</v>
      </c>
      <c r="H1567" s="6" t="str">
        <f ca="1">IFERROR(__xludf.DUMMYFUNCTION("""COMPUTED_VALUE"""),"Montoto")</f>
        <v>Montoto</v>
      </c>
      <c r="I1567" s="6" t="str">
        <f ca="1">IFERROR(__xludf.DUMMYFUNCTION("""COMPUTED_VALUE"""),"C202511612131520872")</f>
        <v>C202511612131520872</v>
      </c>
      <c r="J1567" s="6" t="str">
        <f ca="1">IFERROR(__xludf.DUMMYFUNCTION("""COMPUTED_VALUE"""),"JUAN IGLESIAS SALAS")</f>
        <v>JUAN IGLESIAS SALAS</v>
      </c>
      <c r="K1567" s="6">
        <f ca="1">IFERROR(__xludf.DUMMYFUNCTION("""COMPUTED_VALUE"""),1)</f>
        <v>1</v>
      </c>
      <c r="L1567" s="139">
        <f ca="1">IFERROR(__xludf.DUMMYFUNCTION("""COMPUTED_VALUE"""),1631.82)</f>
        <v>1631.82</v>
      </c>
      <c r="M1567" s="6" t="str">
        <f ca="1">IFERROR(__xludf.DUMMYFUNCTION("""COMPUTED_VALUE"""),"03 ORL")</f>
        <v>03 ORL</v>
      </c>
      <c r="N1567" s="6" t="str">
        <f ca="1">IFERROR(__xludf.DUMMYFUNCTION("""COMPUTED_VALUE"""),"06 ORL")</f>
        <v>06 ORL</v>
      </c>
      <c r="O1567" s="6" t="str">
        <f ca="1">IFERROR(__xludf.DUMMYFUNCTION("""COMPUTED_VALUE"""),"Dr, Jesús Crovato Rojas")</f>
        <v>Dr, Jesús Crovato Rojas</v>
      </c>
      <c r="P1567" s="6" t="str">
        <f ca="1">IFERROR(__xludf.DUMMYFUNCTION("""COMPUTED_VALUE"""),"Luis Alberto Rodríguez (Andalucía y Badajoz)")</f>
        <v>Luis Alberto Rodríguez (Andalucía y Badajoz)</v>
      </c>
    </row>
    <row r="1568" spans="2:16">
      <c r="B1568" s="6">
        <f ca="1">IFERROR(__xludf.DUMMYFUNCTION("""COMPUTED_VALUE"""),2025)</f>
        <v>2025</v>
      </c>
      <c r="C1568" s="6">
        <f ca="1">IFERROR(__xludf.DUMMYFUNCTION("""COMPUTED_VALUE"""),11)</f>
        <v>11</v>
      </c>
      <c r="D1568" s="6" t="str">
        <f ca="1">IFERROR(__xludf.DUMMYFUNCTION("""COMPUTED_VALUE"""),"NO")</f>
        <v>NO</v>
      </c>
      <c r="E1568" s="6" t="str">
        <f ca="1">IFERROR(__xludf.DUMMYFUNCTION("""COMPUTED_VALUE"""),"Valencia- Cádiz")</f>
        <v>Valencia- Cádiz</v>
      </c>
      <c r="F1568" s="16">
        <f ca="1">IFERROR(__xludf.DUMMYFUNCTION("""COMPUTED_VALUE"""),45988)</f>
        <v>45988</v>
      </c>
      <c r="G1568" s="16">
        <f ca="1">IFERROR(__xludf.DUMMYFUNCTION("""COMPUTED_VALUE"""),45958)</f>
        <v>45958</v>
      </c>
      <c r="H1568" s="6" t="str">
        <f ca="1">IFERROR(__xludf.DUMMYFUNCTION("""COMPUTED_VALUE"""),"Valencia- Cádiz")</f>
        <v>Valencia- Cádiz</v>
      </c>
      <c r="I1568" s="6" t="str">
        <f ca="1">IFERROR(__xludf.DUMMYFUNCTION("""COMPUTED_VALUE"""),"C202510281043398642")</f>
        <v>C202510281043398642</v>
      </c>
      <c r="J1568" s="6" t="str">
        <f ca="1">IFERROR(__xludf.DUMMYFUNCTION("""COMPUTED_VALUE"""),"CARMELO PEREZ HERNANDEZ")</f>
        <v>CARMELO PEREZ HERNANDEZ</v>
      </c>
      <c r="K1568" s="6">
        <f ca="1">IFERROR(__xludf.DUMMYFUNCTION("""COMPUTED_VALUE"""),2)</f>
        <v>2</v>
      </c>
      <c r="L1568" s="139">
        <f ca="1">IFERROR(__xludf.DUMMYFUNCTION("""COMPUTED_VALUE"""),3631.82)</f>
        <v>3631.82</v>
      </c>
      <c r="M1568" s="6" t="str">
        <f ca="1">IFERROR(__xludf.DUMMYFUNCTION("""COMPUTED_VALUE"""),"03 ORL")</f>
        <v>03 ORL</v>
      </c>
      <c r="N1568" s="6" t="str">
        <f ca="1">IFERROR(__xludf.DUMMYFUNCTION("""COMPUTED_VALUE"""),"06 ORL")</f>
        <v>06 ORL</v>
      </c>
      <c r="O1568" s="6" t="str">
        <f ca="1">IFERROR(__xludf.DUMMYFUNCTION("""COMPUTED_VALUE"""),"Dr, Abel Guzmán Calvete")</f>
        <v>Dr, Abel Guzmán Calvete</v>
      </c>
      <c r="P1568" s="6" t="str">
        <f ca="1">IFERROR(__xludf.DUMMYFUNCTION("""COMPUTED_VALUE"""),"Ramon Ferrando(Valencia)")</f>
        <v>Ramon Ferrando(Valencia)</v>
      </c>
    </row>
    <row r="1569" spans="2:16">
      <c r="B1569" s="6">
        <f ca="1">IFERROR(__xludf.DUMMYFUNCTION("""COMPUTED_VALUE"""),2025)</f>
        <v>2025</v>
      </c>
      <c r="C1569" s="6">
        <f ca="1">IFERROR(__xludf.DUMMYFUNCTION("""COMPUTED_VALUE"""),11)</f>
        <v>11</v>
      </c>
      <c r="D1569" s="6" t="str">
        <f ca="1">IFERROR(__xludf.DUMMYFUNCTION("""COMPUTED_VALUE"""),"NO")</f>
        <v>NO</v>
      </c>
      <c r="E1569" s="6" t="str">
        <f ca="1">IFERROR(__xludf.DUMMYFUNCTION("""COMPUTED_VALUE"""),"Barcelona- Fabra i Puig")</f>
        <v>Barcelona- Fabra i Puig</v>
      </c>
      <c r="F1569" s="16">
        <f ca="1">IFERROR(__xludf.DUMMYFUNCTION("""COMPUTED_VALUE"""),45988)</f>
        <v>45988</v>
      </c>
      <c r="G1569" s="16">
        <f ca="1">IFERROR(__xludf.DUMMYFUNCTION("""COMPUTED_VALUE"""),45937)</f>
        <v>45937</v>
      </c>
      <c r="H1569" s="6" t="str">
        <f ca="1">IFERROR(__xludf.DUMMYFUNCTION("""COMPUTED_VALUE"""),"Fabra")</f>
        <v>Fabra</v>
      </c>
      <c r="I1569" s="6" t="str">
        <f ca="1">IFERROR(__xludf.DUMMYFUNCTION("""COMPUTED_VALUE"""),"C2025101015021970")</f>
        <v>C2025101015021970</v>
      </c>
      <c r="J1569" s="6" t="str">
        <f ca="1">IFERROR(__xludf.DUMMYFUNCTION("""COMPUTED_VALUE"""),"NEUS GARRIDO MARTINEZ")</f>
        <v>NEUS GARRIDO MARTINEZ</v>
      </c>
      <c r="K1569" s="6">
        <f ca="1">IFERROR(__xludf.DUMMYFUNCTION("""COMPUTED_VALUE"""),2)</f>
        <v>2</v>
      </c>
      <c r="L1569" s="139">
        <f ca="1">IFERROR(__xludf.DUMMYFUNCTION("""COMPUTED_VALUE"""),2718.19)</f>
        <v>2718.19</v>
      </c>
      <c r="M1569" s="6" t="str">
        <f ca="1">IFERROR(__xludf.DUMMYFUNCTION("""COMPUTED_VALUE"""),"03 ORL")</f>
        <v>03 ORL</v>
      </c>
      <c r="N1569" s="6" t="str">
        <f ca="1">IFERROR(__xludf.DUMMYFUNCTION("""COMPUTED_VALUE"""),"06 ORL")</f>
        <v>06 ORL</v>
      </c>
      <c r="O1569" s="6" t="str">
        <f ca="1">IFERROR(__xludf.DUMMYFUNCTION("""COMPUTED_VALUE"""),"Dr, Pablo Vergés Fort")</f>
        <v>Dr, Pablo Vergés Fort</v>
      </c>
      <c r="P1569" s="6" t="str">
        <f ca="1">IFERROR(__xludf.DUMMYFUNCTION("""COMPUTED_VALUE"""),"Mercè Cabrera (Cataluña Y Baleares)")</f>
        <v>Mercè Cabrera (Cataluña Y Baleares)</v>
      </c>
    </row>
    <row r="1570" spans="2:16">
      <c r="B1570" s="6">
        <f ca="1">IFERROR(__xludf.DUMMYFUNCTION("""COMPUTED_VALUE"""),2025)</f>
        <v>2025</v>
      </c>
      <c r="C1570" s="6">
        <f ca="1">IFERROR(__xludf.DUMMYFUNCTION("""COMPUTED_VALUE"""),11)</f>
        <v>11</v>
      </c>
      <c r="D1570" s="6" t="str">
        <f ca="1">IFERROR(__xludf.DUMMYFUNCTION("""COMPUTED_VALUE"""),"NO")</f>
        <v>NO</v>
      </c>
      <c r="E1570" s="6" t="str">
        <f ca="1">IFERROR(__xludf.DUMMYFUNCTION("""COMPUTED_VALUE"""),"Madrid- Monforte de Lemos")</f>
        <v>Madrid- Monforte de Lemos</v>
      </c>
      <c r="F1570" s="16">
        <f ca="1">IFERROR(__xludf.DUMMYFUNCTION("""COMPUTED_VALUE"""),45988)</f>
        <v>45988</v>
      </c>
      <c r="G1570" s="16">
        <f ca="1">IFERROR(__xludf.DUMMYFUNCTION("""COMPUTED_VALUE"""),45926)</f>
        <v>45926</v>
      </c>
      <c r="H1570" s="6" t="str">
        <f ca="1">IFERROR(__xludf.DUMMYFUNCTION("""COMPUTED_VALUE"""),"La Vaguada")</f>
        <v>La Vaguada</v>
      </c>
      <c r="I1570" s="6" t="str">
        <f ca="1">IFERROR(__xludf.DUMMYFUNCTION("""COMPUTED_VALUE"""),"C2025108122025262")</f>
        <v>C2025108122025262</v>
      </c>
      <c r="J1570" s="6" t="str">
        <f ca="1">IFERROR(__xludf.DUMMYFUNCTION("""COMPUTED_VALUE"""),"MANUEL DE CABO PASCUAL")</f>
        <v>MANUEL DE CABO PASCUAL</v>
      </c>
      <c r="K1570" s="6">
        <f ca="1">IFERROR(__xludf.DUMMYFUNCTION("""COMPUTED_VALUE"""),2)</f>
        <v>2</v>
      </c>
      <c r="L1570" s="139">
        <f ca="1">IFERROR(__xludf.DUMMYFUNCTION("""COMPUTED_VALUE"""),3631.82)</f>
        <v>3631.82</v>
      </c>
      <c r="M1570" s="6" t="str">
        <f ca="1">IFERROR(__xludf.DUMMYFUNCTION("""COMPUTED_VALUE"""),"03 ORL")</f>
        <v>03 ORL</v>
      </c>
      <c r="N1570" s="6" t="str">
        <f ca="1">IFERROR(__xludf.DUMMYFUNCTION("""COMPUTED_VALUE"""),"06 ORL")</f>
        <v>06 ORL</v>
      </c>
      <c r="O1570" s="6" t="str">
        <f ca="1">IFERROR(__xludf.DUMMYFUNCTION("""COMPUTED_VALUE"""),"Dr, Manuel González Juliao")</f>
        <v>Dr, Manuel González Juliao</v>
      </c>
      <c r="P1570" s="6" t="str">
        <f ca="1">IFERROR(__xludf.DUMMYFUNCTION("""COMPUTED_VALUE"""),"Maika Blázquez (Madrid)")</f>
        <v>Maika Blázquez (Madrid)</v>
      </c>
    </row>
    <row r="1571" spans="2:16">
      <c r="B1571" s="6">
        <f ca="1">IFERROR(__xludf.DUMMYFUNCTION("""COMPUTED_VALUE"""),2025)</f>
        <v>2025</v>
      </c>
      <c r="C1571" s="6">
        <f ca="1">IFERROR(__xludf.DUMMYFUNCTION("""COMPUTED_VALUE"""),11)</f>
        <v>11</v>
      </c>
      <c r="D1571" s="6" t="str">
        <f ca="1">IFERROR(__xludf.DUMMYFUNCTION("""COMPUTED_VALUE"""),"NO")</f>
        <v>NO</v>
      </c>
      <c r="E1571" s="6" t="str">
        <f ca="1">IFERROR(__xludf.DUMMYFUNCTION("""COMPUTED_VALUE"""),"Torrejón de Ardoz")</f>
        <v>Torrejón de Ardoz</v>
      </c>
      <c r="F1571" s="16">
        <f ca="1">IFERROR(__xludf.DUMMYFUNCTION("""COMPUTED_VALUE"""),45989)</f>
        <v>45989</v>
      </c>
      <c r="G1571" s="16">
        <f ca="1">IFERROR(__xludf.DUMMYFUNCTION("""COMPUTED_VALUE"""),45951)</f>
        <v>45951</v>
      </c>
      <c r="H1571" s="6" t="str">
        <f ca="1">IFERROR(__xludf.DUMMYFUNCTION("""COMPUTED_VALUE"""),"Torrejón")</f>
        <v>Torrejón</v>
      </c>
      <c r="I1571" s="6" t="str">
        <f ca="1">IFERROR(__xludf.DUMMYFUNCTION("""COMPUTED_VALUE"""),"C202510211157545912")</f>
        <v>C202510211157545912</v>
      </c>
      <c r="J1571" s="6" t="str">
        <f ca="1">IFERROR(__xludf.DUMMYFUNCTION("""COMPUTED_VALUE"""),"JOSE MANUEL IBAÑEZ FERRER")</f>
        <v>JOSE MANUEL IBAÑEZ FERRER</v>
      </c>
      <c r="K1571" s="6">
        <f ca="1">IFERROR(__xludf.DUMMYFUNCTION("""COMPUTED_VALUE"""),2)</f>
        <v>2</v>
      </c>
      <c r="L1571" s="139">
        <f ca="1">IFERROR(__xludf.DUMMYFUNCTION("""COMPUTED_VALUE"""),3631.82)</f>
        <v>3631.82</v>
      </c>
      <c r="M1571" s="6" t="str">
        <f ca="1">IFERROR(__xludf.DUMMYFUNCTION("""COMPUTED_VALUE"""),"03 ORL")</f>
        <v>03 ORL</v>
      </c>
      <c r="N1571" s="6" t="str">
        <f ca="1">IFERROR(__xludf.DUMMYFUNCTION("""COMPUTED_VALUE"""),"06 ORL")</f>
        <v>06 ORL</v>
      </c>
      <c r="O1571" s="6" t="str">
        <f ca="1">IFERROR(__xludf.DUMMYFUNCTION("""COMPUTED_VALUE"""),"Dra, Marta Abad Pascual")</f>
        <v>Dra, Marta Abad Pascual</v>
      </c>
      <c r="P1571" s="6" t="str">
        <f ca="1">IFERROR(__xludf.DUMMYFUNCTION("""COMPUTED_VALUE"""),"Maika Blázquez (Madrid)")</f>
        <v>Maika Blázquez (Madrid)</v>
      </c>
    </row>
    <row r="1572" spans="2:16">
      <c r="B1572" s="6">
        <f ca="1">IFERROR(__xludf.DUMMYFUNCTION("""COMPUTED_VALUE"""),2025)</f>
        <v>2025</v>
      </c>
      <c r="C1572" s="6">
        <f ca="1">IFERROR(__xludf.DUMMYFUNCTION("""COMPUTED_VALUE"""),11)</f>
        <v>11</v>
      </c>
      <c r="D1572" s="6" t="str">
        <f ca="1">IFERROR(__xludf.DUMMYFUNCTION("""COMPUTED_VALUE"""),"NO")</f>
        <v>NO</v>
      </c>
      <c r="E1572" s="6" t="str">
        <f ca="1">IFERROR(__xludf.DUMMYFUNCTION("""COMPUTED_VALUE"""),"Orihuela")</f>
        <v>Orihuela</v>
      </c>
      <c r="F1572" s="16">
        <f ca="1">IFERROR(__xludf.DUMMYFUNCTION("""COMPUTED_VALUE"""),45989)</f>
        <v>45989</v>
      </c>
      <c r="G1572" s="16">
        <f ca="1">IFERROR(__xludf.DUMMYFUNCTION("""COMPUTED_VALUE"""),45933)</f>
        <v>45933</v>
      </c>
      <c r="H1572" s="6" t="str">
        <f ca="1">IFERROR(__xludf.DUMMYFUNCTION("""COMPUTED_VALUE"""),"La Zenia")</f>
        <v>La Zenia</v>
      </c>
      <c r="I1572" s="6" t="str">
        <f ca="1">IFERROR(__xludf.DUMMYFUNCTION("""COMPUTED_VALUE"""),"C20251016181036612")</f>
        <v>C20251016181036612</v>
      </c>
      <c r="J1572" s="6" t="str">
        <f ca="1">IFERROR(__xludf.DUMMYFUNCTION("""COMPUTED_VALUE"""),"MARIA ESMERALDA GARCIA MARTINEZ")</f>
        <v>MARIA ESMERALDA GARCIA MARTINEZ</v>
      </c>
      <c r="K1572" s="6">
        <f ca="1">IFERROR(__xludf.DUMMYFUNCTION("""COMPUTED_VALUE"""),2)</f>
        <v>2</v>
      </c>
      <c r="L1572" s="139">
        <f ca="1">IFERROR(__xludf.DUMMYFUNCTION("""COMPUTED_VALUE"""),4136.36)</f>
        <v>4136.3599999999997</v>
      </c>
      <c r="M1572" s="6" t="str">
        <f ca="1">IFERROR(__xludf.DUMMYFUNCTION("""COMPUTED_VALUE"""),"03 ORL")</f>
        <v>03 ORL</v>
      </c>
      <c r="N1572" s="6" t="str">
        <f ca="1">IFERROR(__xludf.DUMMYFUNCTION("""COMPUTED_VALUE"""),"06 ORL")</f>
        <v>06 ORL</v>
      </c>
      <c r="O1572" s="6" t="str">
        <f ca="1">IFERROR(__xludf.DUMMYFUNCTION("""COMPUTED_VALUE"""),"Dr, Carlos Velásquez Fermín")</f>
        <v>Dr, Carlos Velásquez Fermín</v>
      </c>
      <c r="P1572" s="6" t="str">
        <f ca="1">IFERROR(__xludf.DUMMYFUNCTION("""COMPUTED_VALUE"""),"Iván Sánchez (Levante Y Albacete)")</f>
        <v>Iván Sánchez (Levante Y Albacete)</v>
      </c>
    </row>
    <row r="1573" spans="2:16">
      <c r="B1573" s="6">
        <f ca="1">IFERROR(__xludf.DUMMYFUNCTION("""COMPUTED_VALUE"""),2025)</f>
        <v>2025</v>
      </c>
      <c r="C1573" s="6">
        <f ca="1">IFERROR(__xludf.DUMMYFUNCTION("""COMPUTED_VALUE"""),11)</f>
        <v>11</v>
      </c>
      <c r="D1573" s="6" t="str">
        <f ca="1">IFERROR(__xludf.DUMMYFUNCTION("""COMPUTED_VALUE"""),"NO")</f>
        <v>NO</v>
      </c>
      <c r="E1573" s="6" t="str">
        <f ca="1">IFERROR(__xludf.DUMMYFUNCTION("""COMPUTED_VALUE"""),"Madrid- Galileo")</f>
        <v>Madrid- Galileo</v>
      </c>
      <c r="F1573" s="16">
        <f ca="1">IFERROR(__xludf.DUMMYFUNCTION("""COMPUTED_VALUE"""),45989)</f>
        <v>45989</v>
      </c>
      <c r="G1573" s="16">
        <f ca="1">IFERROR(__xludf.DUMMYFUNCTION("""COMPUTED_VALUE"""),45937)</f>
        <v>45937</v>
      </c>
      <c r="H1573" s="6" t="str">
        <f ca="1">IFERROR(__xludf.DUMMYFUNCTION("""COMPUTED_VALUE"""),"Moncloa")</f>
        <v>Moncloa</v>
      </c>
      <c r="I1573" s="6" t="str">
        <f ca="1">IFERROR(__xludf.DUMMYFUNCTION("""COMPUTED_VALUE"""),"C20251016163113121")</f>
        <v>C20251016163113121</v>
      </c>
      <c r="J1573" s="6" t="str">
        <f ca="1">IFERROR(__xludf.DUMMYFUNCTION("""COMPUTED_VALUE"""),"BLANCA LAGE RUIZ")</f>
        <v>BLANCA LAGE RUIZ</v>
      </c>
      <c r="K1573" s="6">
        <f ca="1">IFERROR(__xludf.DUMMYFUNCTION("""COMPUTED_VALUE"""),1)</f>
        <v>1</v>
      </c>
      <c r="L1573" s="139">
        <f ca="1">IFERROR(__xludf.DUMMYFUNCTION("""COMPUTED_VALUE"""),2271.82)</f>
        <v>2271.8200000000002</v>
      </c>
      <c r="M1573" s="6" t="str">
        <f ca="1">IFERROR(__xludf.DUMMYFUNCTION("""COMPUTED_VALUE"""),"03 ORL")</f>
        <v>03 ORL</v>
      </c>
      <c r="N1573" s="6" t="str">
        <f ca="1">IFERROR(__xludf.DUMMYFUNCTION("""COMPUTED_VALUE"""),"06 ORL")</f>
        <v>06 ORL</v>
      </c>
      <c r="O1573" s="6" t="str">
        <f ca="1">IFERROR(__xludf.DUMMYFUNCTION("""COMPUTED_VALUE"""),"Dra, Sara Tanboura López")</f>
        <v>Dra, Sara Tanboura López</v>
      </c>
      <c r="P1573" s="6" t="str">
        <f ca="1">IFERROR(__xludf.DUMMYFUNCTION("""COMPUTED_VALUE"""),"Maika Blázquez (Madrid)")</f>
        <v>Maika Blázquez (Madrid)</v>
      </c>
    </row>
    <row r="1574" spans="2:16">
      <c r="B1574" s="6">
        <f ca="1">IFERROR(__xludf.DUMMYFUNCTION("""COMPUTED_VALUE"""),2025)</f>
        <v>2025</v>
      </c>
      <c r="C1574" s="6">
        <f ca="1">IFERROR(__xludf.DUMMYFUNCTION("""COMPUTED_VALUE"""),11)</f>
        <v>11</v>
      </c>
      <c r="D1574" s="6" t="str">
        <f ca="1">IFERROR(__xludf.DUMMYFUNCTION("""COMPUTED_VALUE"""),"NO")</f>
        <v>NO</v>
      </c>
      <c r="E1574" s="6" t="str">
        <f ca="1">IFERROR(__xludf.DUMMYFUNCTION("""COMPUTED_VALUE"""),"San Javier")</f>
        <v>San Javier</v>
      </c>
      <c r="F1574" s="16">
        <f ca="1">IFERROR(__xludf.DUMMYFUNCTION("""COMPUTED_VALUE"""),45989)</f>
        <v>45989</v>
      </c>
      <c r="G1574" s="16">
        <f ca="1">IFERROR(__xludf.DUMMYFUNCTION("""COMPUTED_VALUE"""),45957)</f>
        <v>45957</v>
      </c>
      <c r="H1574" s="6" t="str">
        <f ca="1">IFERROR(__xludf.DUMMYFUNCTION("""COMPUTED_VALUE"""),"San Javier")</f>
        <v>San Javier</v>
      </c>
      <c r="I1574" s="6" t="str">
        <f ca="1">IFERROR(__xludf.DUMMYFUNCTION("""COMPUTED_VALUE"""),"C202510271034807187")</f>
        <v>C202510271034807187</v>
      </c>
      <c r="J1574" s="6" t="str">
        <f ca="1">IFERROR(__xludf.DUMMYFUNCTION("""COMPUTED_VALUE"""),"SEGUNDO FRANCISCO CLEMENTE LONZANO")</f>
        <v>SEGUNDO FRANCISCO CLEMENTE LONZANO</v>
      </c>
      <c r="K1574" s="6">
        <f ca="1">IFERROR(__xludf.DUMMYFUNCTION("""COMPUTED_VALUE"""),2)</f>
        <v>2</v>
      </c>
      <c r="L1574" s="139">
        <f ca="1">IFERROR(__xludf.DUMMYFUNCTION("""COMPUTED_VALUE"""),4536.36)</f>
        <v>4536.3599999999997</v>
      </c>
      <c r="M1574" s="6" t="str">
        <f ca="1">IFERROR(__xludf.DUMMYFUNCTION("""COMPUTED_VALUE"""),"03 ORL")</f>
        <v>03 ORL</v>
      </c>
      <c r="N1574" s="6" t="str">
        <f ca="1">IFERROR(__xludf.DUMMYFUNCTION("""COMPUTED_VALUE"""),"06 ORL")</f>
        <v>06 ORL</v>
      </c>
      <c r="O1574" s="6" t="str">
        <f ca="1">IFERROR(__xludf.DUMMYFUNCTION("""COMPUTED_VALUE"""),"Dra, María Agustina Sevilla García")</f>
        <v>Dra, María Agustina Sevilla García</v>
      </c>
      <c r="P1574" s="6" t="str">
        <f ca="1">IFERROR(__xludf.DUMMYFUNCTION("""COMPUTED_VALUE"""),"Iván Sánchez (Levante Y Albacete)")</f>
        <v>Iván Sánchez (Levante Y Albacete)</v>
      </c>
    </row>
    <row r="1575" spans="2:16">
      <c r="B1575" s="6">
        <f ca="1">IFERROR(__xludf.DUMMYFUNCTION("""COMPUTED_VALUE"""),2025)</f>
        <v>2025</v>
      </c>
      <c r="C1575" s="6">
        <f ca="1">IFERROR(__xludf.DUMMYFUNCTION("""COMPUTED_VALUE"""),11)</f>
        <v>11</v>
      </c>
      <c r="D1575" s="6" t="str">
        <f ca="1">IFERROR(__xludf.DUMMYFUNCTION("""COMPUTED_VALUE"""),"NO")</f>
        <v>NO</v>
      </c>
      <c r="E1575" s="6" t="str">
        <f ca="1">IFERROR(__xludf.DUMMYFUNCTION("""COMPUTED_VALUE"""),"Fuenlabrada")</f>
        <v>Fuenlabrada</v>
      </c>
      <c r="F1575" s="16">
        <f ca="1">IFERROR(__xludf.DUMMYFUNCTION("""COMPUTED_VALUE"""),45989)</f>
        <v>45989</v>
      </c>
      <c r="G1575" s="16">
        <f ca="1">IFERROR(__xludf.DUMMYFUNCTION("""COMPUTED_VALUE"""),45959)</f>
        <v>45959</v>
      </c>
      <c r="H1575" s="6" t="str">
        <f ca="1">IFERROR(__xludf.DUMMYFUNCTION("""COMPUTED_VALUE"""),"Fuenlabrada")</f>
        <v>Fuenlabrada</v>
      </c>
      <c r="I1575" s="6" t="str">
        <f ca="1">IFERROR(__xludf.DUMMYFUNCTION("""COMPUTED_VALUE"""),"C202510291714461541")</f>
        <v>C202510291714461541</v>
      </c>
      <c r="J1575" s="6" t="str">
        <f ca="1">IFERROR(__xludf.DUMMYFUNCTION("""COMPUTED_VALUE"""),"SOLEDAD ALARCON TORRALBA")</f>
        <v>SOLEDAD ALARCON TORRALBA</v>
      </c>
      <c r="K1575" s="6">
        <f ca="1">IFERROR(__xludf.DUMMYFUNCTION("""COMPUTED_VALUE"""),2)</f>
        <v>2</v>
      </c>
      <c r="L1575" s="139">
        <f ca="1">IFERROR(__xludf.DUMMYFUNCTION("""COMPUTED_VALUE"""),2718.18)</f>
        <v>2718.18</v>
      </c>
      <c r="M1575" s="6" t="str">
        <f ca="1">IFERROR(__xludf.DUMMYFUNCTION("""COMPUTED_VALUE"""),"03 ORL")</f>
        <v>03 ORL</v>
      </c>
      <c r="N1575" s="6" t="str">
        <f ca="1">IFERROR(__xludf.DUMMYFUNCTION("""COMPUTED_VALUE"""),"06 ORL")</f>
        <v>06 ORL</v>
      </c>
      <c r="O1575" s="6" t="str">
        <f ca="1">IFERROR(__xludf.DUMMYFUNCTION("""COMPUTED_VALUE"""),"Dra, Cristina García García")</f>
        <v>Dra, Cristina García García</v>
      </c>
      <c r="P1575" s="6" t="str">
        <f ca="1">IFERROR(__xludf.DUMMYFUNCTION("""COMPUTED_VALUE"""),"Maika Blázquez (Madrid)")</f>
        <v>Maika Blázquez (Madrid)</v>
      </c>
    </row>
    <row r="1576" spans="2:16">
      <c r="B1576" s="6">
        <f ca="1">IFERROR(__xludf.DUMMYFUNCTION("""COMPUTED_VALUE"""),2025)</f>
        <v>2025</v>
      </c>
      <c r="C1576" s="6">
        <f ca="1">IFERROR(__xludf.DUMMYFUNCTION("""COMPUTED_VALUE"""),11)</f>
        <v>11</v>
      </c>
      <c r="D1576" s="6" t="str">
        <f ca="1">IFERROR(__xludf.DUMMYFUNCTION("""COMPUTED_VALUE"""),"NO")</f>
        <v>NO</v>
      </c>
      <c r="E1576" s="6" t="str">
        <f ca="1">IFERROR(__xludf.DUMMYFUNCTION("""COMPUTED_VALUE"""),"Valencia- Cádiz")</f>
        <v>Valencia- Cádiz</v>
      </c>
      <c r="F1576" s="16">
        <f ca="1">IFERROR(__xludf.DUMMYFUNCTION("""COMPUTED_VALUE"""),45989)</f>
        <v>45989</v>
      </c>
      <c r="G1576" s="16">
        <f ca="1">IFERROR(__xludf.DUMMYFUNCTION("""COMPUTED_VALUE"""),45931)</f>
        <v>45931</v>
      </c>
      <c r="H1576" s="6" t="str">
        <f ca="1">IFERROR(__xludf.DUMMYFUNCTION("""COMPUTED_VALUE"""),"Valencia- Cádiz")</f>
        <v>Valencia- Cádiz</v>
      </c>
      <c r="I1576" s="6" t="str">
        <f ca="1">IFERROR(__xludf.DUMMYFUNCTION("""COMPUTED_VALUE"""),"C20251016163259557")</f>
        <v>C20251016163259557</v>
      </c>
      <c r="J1576" s="6" t="str">
        <f ca="1">IFERROR(__xludf.DUMMYFUNCTION("""COMPUTED_VALUE"""),"CARMEN RUIZ SANCHEZ")</f>
        <v>CARMEN RUIZ SANCHEZ</v>
      </c>
      <c r="K1576" s="6">
        <f ca="1">IFERROR(__xludf.DUMMYFUNCTION("""COMPUTED_VALUE"""),1)</f>
        <v>1</v>
      </c>
      <c r="L1576" s="139">
        <f ca="1">IFERROR(__xludf.DUMMYFUNCTION("""COMPUTED_VALUE"""),2357.73)</f>
        <v>2357.73</v>
      </c>
      <c r="M1576" s="6" t="str">
        <f ca="1">IFERROR(__xludf.DUMMYFUNCTION("""COMPUTED_VALUE"""),"03 ORL")</f>
        <v>03 ORL</v>
      </c>
      <c r="N1576" s="6" t="str">
        <f ca="1">IFERROR(__xludf.DUMMYFUNCTION("""COMPUTED_VALUE"""),"06 ORL")</f>
        <v>06 ORL</v>
      </c>
      <c r="O1576" s="6" t="str">
        <f ca="1">IFERROR(__xludf.DUMMYFUNCTION("""COMPUTED_VALUE"""),"Dr, José Ramiro de León Lima")</f>
        <v>Dr, José Ramiro de León Lima</v>
      </c>
      <c r="P1576" s="6" t="str">
        <f ca="1">IFERROR(__xludf.DUMMYFUNCTION("""COMPUTED_VALUE"""),"Ramon Ferrando(Valencia)")</f>
        <v>Ramon Ferrando(Valencia)</v>
      </c>
    </row>
    <row r="1577" spans="2:16">
      <c r="B1577" s="6">
        <f ca="1">IFERROR(__xludf.DUMMYFUNCTION("""COMPUTED_VALUE"""),2025)</f>
        <v>2025</v>
      </c>
      <c r="C1577" s="6">
        <f ca="1">IFERROR(__xludf.DUMMYFUNCTION("""COMPUTED_VALUE"""),11)</f>
        <v>11</v>
      </c>
      <c r="D1577" s="6" t="str">
        <f ca="1">IFERROR(__xludf.DUMMYFUNCTION("""COMPUTED_VALUE"""),"NO")</f>
        <v>NO</v>
      </c>
      <c r="E1577" s="6" t="str">
        <f ca="1">IFERROR(__xludf.DUMMYFUNCTION("""COMPUTED_VALUE"""),"Fuenlabrada")</f>
        <v>Fuenlabrada</v>
      </c>
      <c r="F1577" s="16">
        <f ca="1">IFERROR(__xludf.DUMMYFUNCTION("""COMPUTED_VALUE"""),45989)</f>
        <v>45989</v>
      </c>
      <c r="G1577" s="16">
        <f ca="1">IFERROR(__xludf.DUMMYFUNCTION("""COMPUTED_VALUE"""),45975)</f>
        <v>45975</v>
      </c>
      <c r="H1577" s="6" t="str">
        <f ca="1">IFERROR(__xludf.DUMMYFUNCTION("""COMPUTED_VALUE"""),"Fuenlabrada")</f>
        <v>Fuenlabrada</v>
      </c>
      <c r="I1577" s="6" t="str">
        <f ca="1">IFERROR(__xludf.DUMMYFUNCTION("""COMPUTED_VALUE"""),"C202511149595126941")</f>
        <v>C202511149595126941</v>
      </c>
      <c r="J1577" s="6" t="str">
        <f ca="1">IFERROR(__xludf.DUMMYFUNCTION("""COMPUTED_VALUE"""),"LORENZO LEON CARMONA")</f>
        <v>LORENZO LEON CARMONA</v>
      </c>
      <c r="K1577" s="6">
        <f ca="1">IFERROR(__xludf.DUMMYFUNCTION("""COMPUTED_VALUE"""),2)</f>
        <v>2</v>
      </c>
      <c r="L1577" s="139">
        <f ca="1">IFERROR(__xludf.DUMMYFUNCTION("""COMPUTED_VALUE"""),2718.19)</f>
        <v>2718.19</v>
      </c>
      <c r="M1577" s="6" t="str">
        <f ca="1">IFERROR(__xludf.DUMMYFUNCTION("""COMPUTED_VALUE"""),"03 ORL")</f>
        <v>03 ORL</v>
      </c>
      <c r="N1577" s="6" t="str">
        <f ca="1">IFERROR(__xludf.DUMMYFUNCTION("""COMPUTED_VALUE"""),"06 ORL")</f>
        <v>06 ORL</v>
      </c>
      <c r="O1577" s="6" t="str">
        <f ca="1">IFERROR(__xludf.DUMMYFUNCTION("""COMPUTED_VALUE"""),"Dra, Cristina García García")</f>
        <v>Dra, Cristina García García</v>
      </c>
      <c r="P1577" s="6" t="str">
        <f ca="1">IFERROR(__xludf.DUMMYFUNCTION("""COMPUTED_VALUE"""),"Maika Blázquez (Madrid)")</f>
        <v>Maika Blázquez (Madrid)</v>
      </c>
    </row>
    <row r="1578" spans="2:16">
      <c r="B1578" s="6">
        <f ca="1">IFERROR(__xludf.DUMMYFUNCTION("""COMPUTED_VALUE"""),2025)</f>
        <v>2025</v>
      </c>
      <c r="C1578" s="6">
        <f ca="1">IFERROR(__xludf.DUMMYFUNCTION("""COMPUTED_VALUE"""),11)</f>
        <v>11</v>
      </c>
      <c r="D1578" s="6" t="str">
        <f ca="1">IFERROR(__xludf.DUMMYFUNCTION("""COMPUTED_VALUE"""),"NO")</f>
        <v>NO</v>
      </c>
      <c r="E1578" s="6" t="str">
        <f ca="1">IFERROR(__xludf.DUMMYFUNCTION("""COMPUTED_VALUE"""),"Getafe")</f>
        <v>Getafe</v>
      </c>
      <c r="F1578" s="16">
        <f ca="1">IFERROR(__xludf.DUMMYFUNCTION("""COMPUTED_VALUE"""),45989)</f>
        <v>45989</v>
      </c>
      <c r="G1578" s="16">
        <f ca="1">IFERROR(__xludf.DUMMYFUNCTION("""COMPUTED_VALUE"""),45958)</f>
        <v>45958</v>
      </c>
      <c r="H1578" s="6" t="str">
        <f ca="1">IFERROR(__xludf.DUMMYFUNCTION("""COMPUTED_VALUE"""),"Getafe")</f>
        <v>Getafe</v>
      </c>
      <c r="I1578" s="6" t="str">
        <f ca="1">IFERROR(__xludf.DUMMYFUNCTION("""COMPUTED_VALUE"""),"C202510281030204697")</f>
        <v>C202510281030204697</v>
      </c>
      <c r="J1578" s="6" t="str">
        <f ca="1">IFERROR(__xludf.DUMMYFUNCTION("""COMPUTED_VALUE"""),"BRÍGIDA ALMIÑANA GUTIERREZ")</f>
        <v>BRÍGIDA ALMIÑANA GUTIERREZ</v>
      </c>
      <c r="K1578" s="6">
        <f ca="1">IFERROR(__xludf.DUMMYFUNCTION("""COMPUTED_VALUE"""),2)</f>
        <v>2</v>
      </c>
      <c r="L1578" s="139">
        <f ca="1">IFERROR(__xludf.DUMMYFUNCTION("""COMPUTED_VALUE"""),2718.18)</f>
        <v>2718.18</v>
      </c>
      <c r="M1578" s="6" t="str">
        <f ca="1">IFERROR(__xludf.DUMMYFUNCTION("""COMPUTED_VALUE"""),"03 ORL")</f>
        <v>03 ORL</v>
      </c>
      <c r="N1578" s="6" t="str">
        <f ca="1">IFERROR(__xludf.DUMMYFUNCTION("""COMPUTED_VALUE"""),"06 ORL")</f>
        <v>06 ORL</v>
      </c>
      <c r="O1578" s="6" t="str">
        <f ca="1">IFERROR(__xludf.DUMMYFUNCTION("""COMPUTED_VALUE"""),"Dra, María Garrote Garrote")</f>
        <v>Dra, María Garrote Garrote</v>
      </c>
      <c r="P1578" s="6" t="str">
        <f ca="1">IFERROR(__xludf.DUMMYFUNCTION("""COMPUTED_VALUE"""),"Maika Blázquez (Madrid)")</f>
        <v>Maika Blázquez (Madrid)</v>
      </c>
    </row>
    <row r="1579" spans="2:16">
      <c r="B1579" s="6">
        <f ca="1">IFERROR(__xludf.DUMMYFUNCTION("""COMPUTED_VALUE"""),2025)</f>
        <v>2025</v>
      </c>
      <c r="C1579" s="6">
        <f ca="1">IFERROR(__xludf.DUMMYFUNCTION("""COMPUTED_VALUE"""),11)</f>
        <v>11</v>
      </c>
      <c r="D1579" s="6" t="str">
        <f ca="1">IFERROR(__xludf.DUMMYFUNCTION("""COMPUTED_VALUE"""),"SI")</f>
        <v>SI</v>
      </c>
      <c r="E1579" s="6" t="str">
        <f ca="1">IFERROR(__xludf.DUMMYFUNCTION("""COMPUTED_VALUE"""),"Ourense")</f>
        <v>Ourense</v>
      </c>
      <c r="F1579" s="16">
        <f ca="1">IFERROR(__xludf.DUMMYFUNCTION("""COMPUTED_VALUE"""),45989)</f>
        <v>45989</v>
      </c>
      <c r="G1579" s="16">
        <f ca="1">IFERROR(__xludf.DUMMYFUNCTION("""COMPUTED_VALUE"""),45959)</f>
        <v>45959</v>
      </c>
      <c r="H1579" s="6" t="str">
        <f ca="1">IFERROR(__xludf.DUMMYFUNCTION("""COMPUTED_VALUE"""),"Orense")</f>
        <v>Orense</v>
      </c>
      <c r="I1579" s="6" t="str">
        <f ca="1">IFERROR(__xludf.DUMMYFUNCTION("""COMPUTED_VALUE"""),"C202510291035179025")</f>
        <v>C202510291035179025</v>
      </c>
      <c r="J1579" s="6" t="str">
        <f ca="1">IFERROR(__xludf.DUMMYFUNCTION("""COMPUTED_VALUE"""),"SOFIA MOURE PEREZ")</f>
        <v>SOFIA MOURE PEREZ</v>
      </c>
      <c r="K1579" s="6">
        <f ca="1">IFERROR(__xludf.DUMMYFUNCTION("""COMPUTED_VALUE"""),1)</f>
        <v>1</v>
      </c>
      <c r="L1579" s="139">
        <f ca="1">IFERROR(__xludf.DUMMYFUNCTION("""COMPUTED_VALUE"""),2180.91)</f>
        <v>2180.91</v>
      </c>
      <c r="M1579" s="6" t="str">
        <f ca="1">IFERROR(__xludf.DUMMYFUNCTION("""COMPUTED_VALUE"""),"03 ORL")</f>
        <v>03 ORL</v>
      </c>
      <c r="N1579" s="6" t="str">
        <f ca="1">IFERROR(__xludf.DUMMYFUNCTION("""COMPUTED_VALUE"""),"06 ORL")</f>
        <v>06 ORL</v>
      </c>
      <c r="O1579" s="6" t="str">
        <f ca="1">IFERROR(__xludf.DUMMYFUNCTION("""COMPUTED_VALUE"""),"Dra, María Rey Marcos")</f>
        <v>Dra, María Rey Marcos</v>
      </c>
      <c r="P1579" s="6" t="str">
        <f ca="1">IFERROR(__xludf.DUMMYFUNCTION("""COMPUTED_VALUE"""),"Roberto Pereira (Galicia)")</f>
        <v>Roberto Pereira (Galicia)</v>
      </c>
    </row>
    <row r="1580" spans="2:16">
      <c r="B1580" s="6">
        <f ca="1">IFERROR(__xludf.DUMMYFUNCTION("""COMPUTED_VALUE"""),2025)</f>
        <v>2025</v>
      </c>
      <c r="C1580" s="6">
        <f ca="1">IFERROR(__xludf.DUMMYFUNCTION("""COMPUTED_VALUE"""),11)</f>
        <v>11</v>
      </c>
      <c r="D1580" s="6" t="str">
        <f ca="1">IFERROR(__xludf.DUMMYFUNCTION("""COMPUTED_VALUE"""),"NO")</f>
        <v>NO</v>
      </c>
      <c r="E1580" s="6" t="str">
        <f ca="1">IFERROR(__xludf.DUMMYFUNCTION("""COMPUTED_VALUE"""),"El Albir (Benidorm)")</f>
        <v>El Albir (Benidorm)</v>
      </c>
      <c r="F1580" s="16">
        <f ca="1">IFERROR(__xludf.DUMMYFUNCTION("""COMPUTED_VALUE"""),45989)</f>
        <v>45989</v>
      </c>
      <c r="G1580" s="16">
        <f ca="1">IFERROR(__xludf.DUMMYFUNCTION("""COMPUTED_VALUE"""),45967)</f>
        <v>45967</v>
      </c>
      <c r="H1580" s="6" t="str">
        <f ca="1">IFERROR(__xludf.DUMMYFUNCTION("""COMPUTED_VALUE"""),"El Albir (Benidorm)")</f>
        <v>El Albir (Benidorm)</v>
      </c>
      <c r="I1580" s="6" t="str">
        <f ca="1">IFERROR(__xludf.DUMMYFUNCTION("""COMPUTED_VALUE"""),"C202511610342706123")</f>
        <v>C202511610342706123</v>
      </c>
      <c r="J1580" s="6" t="str">
        <f ca="1">IFERROR(__xludf.DUMMYFUNCTION("""COMPUTED_VALUE"""),"JEAN CLAUDE")</f>
        <v>JEAN CLAUDE</v>
      </c>
      <c r="K1580" s="6">
        <f ca="1">IFERROR(__xludf.DUMMYFUNCTION("""COMPUTED_VALUE"""),2)</f>
        <v>2</v>
      </c>
      <c r="L1580" s="139">
        <f ca="1">IFERROR(__xludf.DUMMYFUNCTION("""COMPUTED_VALUE"""),2617.27)</f>
        <v>2617.27</v>
      </c>
      <c r="M1580" s="6" t="str">
        <f ca="1">IFERROR(__xludf.DUMMYFUNCTION("""COMPUTED_VALUE"""),"03 ORL")</f>
        <v>03 ORL</v>
      </c>
      <c r="N1580" s="6" t="str">
        <f ca="1">IFERROR(__xludf.DUMMYFUNCTION("""COMPUTED_VALUE"""),"06 ORL")</f>
        <v>06 ORL</v>
      </c>
      <c r="O1580" s="6" t="str">
        <f ca="1">IFERROR(__xludf.DUMMYFUNCTION("""COMPUTED_VALUE"""),"Dra, Isabel Polo Tomás")</f>
        <v>Dra, Isabel Polo Tomás</v>
      </c>
      <c r="P1580" s="6" t="str">
        <f ca="1">IFERROR(__xludf.DUMMYFUNCTION("""COMPUTED_VALUE"""),"Ramon Ferrando(Valencia)")</f>
        <v>Ramon Ferrando(Valencia)</v>
      </c>
    </row>
    <row r="1581" spans="2:16">
      <c r="B1581" s="6">
        <f ca="1">IFERROR(__xludf.DUMMYFUNCTION("""COMPUTED_VALUE"""),2025)</f>
        <v>2025</v>
      </c>
      <c r="C1581" s="6">
        <f ca="1">IFERROR(__xludf.DUMMYFUNCTION("""COMPUTED_VALUE"""),11)</f>
        <v>11</v>
      </c>
      <c r="D1581" s="6" t="str">
        <f ca="1">IFERROR(__xludf.DUMMYFUNCTION("""COMPUTED_VALUE"""),"NO")</f>
        <v>NO</v>
      </c>
      <c r="E1581" s="6" t="str">
        <f ca="1">IFERROR(__xludf.DUMMYFUNCTION("""COMPUTED_VALUE"""),"Fuenlabrada")</f>
        <v>Fuenlabrada</v>
      </c>
      <c r="F1581" s="16">
        <f ca="1">IFERROR(__xludf.DUMMYFUNCTION("""COMPUTED_VALUE"""),45989)</f>
        <v>45989</v>
      </c>
      <c r="G1581" s="16">
        <f ca="1">IFERROR(__xludf.DUMMYFUNCTION("""COMPUTED_VALUE"""),45950)</f>
        <v>45950</v>
      </c>
      <c r="H1581" s="6" t="str">
        <f ca="1">IFERROR(__xludf.DUMMYFUNCTION("""COMPUTED_VALUE"""),"Fuenlabrada")</f>
        <v>Fuenlabrada</v>
      </c>
      <c r="I1581" s="6" t="str">
        <f ca="1">IFERROR(__xludf.DUMMYFUNCTION("""COMPUTED_VALUE"""),"C202510201117383532")</f>
        <v>C202510201117383532</v>
      </c>
      <c r="J1581" s="6" t="str">
        <f ca="1">IFERROR(__xludf.DUMMYFUNCTION("""COMPUTED_VALUE"""),"ADORACION MIGUEL GOMEZ")</f>
        <v>ADORACION MIGUEL GOMEZ</v>
      </c>
      <c r="K1581" s="6">
        <f ca="1">IFERROR(__xludf.DUMMYFUNCTION("""COMPUTED_VALUE"""),2)</f>
        <v>2</v>
      </c>
      <c r="L1581" s="139">
        <f ca="1">IFERROR(__xludf.DUMMYFUNCTION("""COMPUTED_VALUE"""),2718.18)</f>
        <v>2718.18</v>
      </c>
      <c r="M1581" s="6" t="str">
        <f ca="1">IFERROR(__xludf.DUMMYFUNCTION("""COMPUTED_VALUE"""),"03 ORL")</f>
        <v>03 ORL</v>
      </c>
      <c r="N1581" s="6" t="str">
        <f ca="1">IFERROR(__xludf.DUMMYFUNCTION("""COMPUTED_VALUE"""),"06 ORL")</f>
        <v>06 ORL</v>
      </c>
      <c r="O1581" s="6" t="str">
        <f ca="1">IFERROR(__xludf.DUMMYFUNCTION("""COMPUTED_VALUE"""),"Dra, Estefania Miranda Sánchez")</f>
        <v>Dra, Estefania Miranda Sánchez</v>
      </c>
      <c r="P1581" s="6" t="str">
        <f ca="1">IFERROR(__xludf.DUMMYFUNCTION("""COMPUTED_VALUE"""),"Maika Blázquez (Madrid)")</f>
        <v>Maika Blázquez (Madrid)</v>
      </c>
    </row>
    <row r="1582" spans="2:16">
      <c r="B1582" s="6">
        <f ca="1">IFERROR(__xludf.DUMMYFUNCTION("""COMPUTED_VALUE"""),2025)</f>
        <v>2025</v>
      </c>
      <c r="C1582" s="6">
        <f ca="1">IFERROR(__xludf.DUMMYFUNCTION("""COMPUTED_VALUE"""),11)</f>
        <v>11</v>
      </c>
      <c r="D1582" s="6" t="str">
        <f ca="1">IFERROR(__xludf.DUMMYFUNCTION("""COMPUTED_VALUE"""),"NO")</f>
        <v>NO</v>
      </c>
      <c r="E1582" s="6" t="str">
        <f ca="1">IFERROR(__xludf.DUMMYFUNCTION("""COMPUTED_VALUE"""),"Sevilla- Montoto")</f>
        <v>Sevilla- Montoto</v>
      </c>
      <c r="F1582" s="16">
        <f ca="1">IFERROR(__xludf.DUMMYFUNCTION("""COMPUTED_VALUE"""),45989)</f>
        <v>45989</v>
      </c>
      <c r="G1582" s="16">
        <f ca="1">IFERROR(__xludf.DUMMYFUNCTION("""COMPUTED_VALUE"""),45951)</f>
        <v>45951</v>
      </c>
      <c r="H1582" s="6" t="str">
        <f ca="1">IFERROR(__xludf.DUMMYFUNCTION("""COMPUTED_VALUE"""),"Montoto")</f>
        <v>Montoto</v>
      </c>
      <c r="I1582" s="6" t="str">
        <f ca="1">IFERROR(__xludf.DUMMYFUNCTION("""COMPUTED_VALUE"""),"C202510211525313764")</f>
        <v>C202510211525313764</v>
      </c>
      <c r="J1582" s="6" t="str">
        <f ca="1">IFERROR(__xludf.DUMMYFUNCTION("""COMPUTED_VALUE"""),"MIGUEL VALLE LAÓ")</f>
        <v>MIGUEL VALLE LAÓ</v>
      </c>
      <c r="K1582" s="6">
        <f ca="1">IFERROR(__xludf.DUMMYFUNCTION("""COMPUTED_VALUE"""),2)</f>
        <v>2</v>
      </c>
      <c r="L1582" s="139">
        <f ca="1">IFERROR(__xludf.DUMMYFUNCTION("""COMPUTED_VALUE"""),3631.82)</f>
        <v>3631.82</v>
      </c>
      <c r="M1582" s="6" t="str">
        <f ca="1">IFERROR(__xludf.DUMMYFUNCTION("""COMPUTED_VALUE"""),"03 ORL")</f>
        <v>03 ORL</v>
      </c>
      <c r="N1582" s="6" t="str">
        <f ca="1">IFERROR(__xludf.DUMMYFUNCTION("""COMPUTED_VALUE"""),"06 ORL")</f>
        <v>06 ORL</v>
      </c>
      <c r="O1582" s="6" t="str">
        <f ca="1">IFERROR(__xludf.DUMMYFUNCTION("""COMPUTED_VALUE"""),"Dr, David Castro Gutiérrez de Agüero")</f>
        <v>Dr, David Castro Gutiérrez de Agüero</v>
      </c>
      <c r="P1582" s="6" t="str">
        <f ca="1">IFERROR(__xludf.DUMMYFUNCTION("""COMPUTED_VALUE"""),"Luis Alberto Rodríguez (Andalucía y Badajoz)")</f>
        <v>Luis Alberto Rodríguez (Andalucía y Badajoz)</v>
      </c>
    </row>
    <row r="1583" spans="2:16">
      <c r="B1583" s="6">
        <f ca="1">IFERROR(__xludf.DUMMYFUNCTION("""COMPUTED_VALUE"""),2025)</f>
        <v>2025</v>
      </c>
      <c r="C1583" s="6">
        <f ca="1">IFERROR(__xludf.DUMMYFUNCTION("""COMPUTED_VALUE"""),11)</f>
        <v>11</v>
      </c>
      <c r="D1583" s="6" t="str">
        <f ca="1">IFERROR(__xludf.DUMMYFUNCTION("""COMPUTED_VALUE"""),"NO")</f>
        <v>NO</v>
      </c>
      <c r="E1583" s="6" t="str">
        <f ca="1">IFERROR(__xludf.DUMMYFUNCTION("""COMPUTED_VALUE"""),"San Javier")</f>
        <v>San Javier</v>
      </c>
      <c r="F1583" s="16">
        <f ca="1">IFERROR(__xludf.DUMMYFUNCTION("""COMPUTED_VALUE"""),45989)</f>
        <v>45989</v>
      </c>
      <c r="G1583" s="16">
        <f ca="1">IFERROR(__xludf.DUMMYFUNCTION("""COMPUTED_VALUE"""),45953)</f>
        <v>45953</v>
      </c>
      <c r="H1583" s="6" t="str">
        <f ca="1">IFERROR(__xludf.DUMMYFUNCTION("""COMPUTED_VALUE"""),"San Javier")</f>
        <v>San Javier</v>
      </c>
      <c r="I1583" s="6" t="str">
        <f ca="1">IFERROR(__xludf.DUMMYFUNCTION("""COMPUTED_VALUE"""),"C202510231014551898")</f>
        <v>C202510231014551898</v>
      </c>
      <c r="J1583" s="6" t="str">
        <f ca="1">IFERROR(__xludf.DUMMYFUNCTION("""COMPUTED_VALUE"""),"BEGOÑA MENDEZ LOPEZ")</f>
        <v>BEGOÑA MENDEZ LOPEZ</v>
      </c>
      <c r="K1583" s="6">
        <f ca="1">IFERROR(__xludf.DUMMYFUNCTION("""COMPUTED_VALUE"""),2)</f>
        <v>2</v>
      </c>
      <c r="L1583" s="139">
        <f ca="1">IFERROR(__xludf.DUMMYFUNCTION("""COMPUTED_VALUE"""),3929.55)</f>
        <v>3929.55</v>
      </c>
      <c r="M1583" s="6" t="str">
        <f ca="1">IFERROR(__xludf.DUMMYFUNCTION("""COMPUTED_VALUE"""),"01 MARKETING ON LINE")</f>
        <v>01 MARKETING ON LINE</v>
      </c>
      <c r="N1583" s="6" t="str">
        <f ca="1">IFERROR(__xludf.DUMMYFUNCTION("""COMPUTED_VALUE"""),"04 AUDIFONO,ES")</f>
        <v>04 AUDIFONO,ES</v>
      </c>
      <c r="O1583" s="6" t="str">
        <f ca="1">IFERROR(__xludf.DUMMYFUNCTION("""COMPUTED_VALUE"""),"Dr, Alberto Raposo Jiménez")</f>
        <v>Dr, Alberto Raposo Jiménez</v>
      </c>
      <c r="P1583" s="6" t="str">
        <f ca="1">IFERROR(__xludf.DUMMYFUNCTION("""COMPUTED_VALUE"""),"Iván Sánchez (Levante Y Albacete)")</f>
        <v>Iván Sánchez (Levante Y Albacete)</v>
      </c>
    </row>
    <row r="1584" spans="2:16">
      <c r="B1584" s="6">
        <f ca="1">IFERROR(__xludf.DUMMYFUNCTION("""COMPUTED_VALUE"""),2025)</f>
        <v>2025</v>
      </c>
      <c r="C1584" s="6">
        <f ca="1">IFERROR(__xludf.DUMMYFUNCTION("""COMPUTED_VALUE"""),11)</f>
        <v>11</v>
      </c>
      <c r="D1584" s="6" t="str">
        <f ca="1">IFERROR(__xludf.DUMMYFUNCTION("""COMPUTED_VALUE"""),"NO")</f>
        <v>NO</v>
      </c>
      <c r="E1584" s="6" t="str">
        <f ca="1">IFERROR(__xludf.DUMMYFUNCTION("""COMPUTED_VALUE"""),"Murcia")</f>
        <v>Murcia</v>
      </c>
      <c r="F1584" s="16">
        <f ca="1">IFERROR(__xludf.DUMMYFUNCTION("""COMPUTED_VALUE"""),45989)</f>
        <v>45989</v>
      </c>
      <c r="G1584" s="16">
        <f ca="1">IFERROR(__xludf.DUMMYFUNCTION("""COMPUTED_VALUE"""),45960)</f>
        <v>45960</v>
      </c>
      <c r="H1584" s="6" t="str">
        <f ca="1">IFERROR(__xludf.DUMMYFUNCTION("""COMPUTED_VALUE"""),"Murcia")</f>
        <v>Murcia</v>
      </c>
      <c r="I1584" s="6" t="str">
        <f ca="1">IFERROR(__xludf.DUMMYFUNCTION("""COMPUTED_VALUE"""),"C202510301614594047")</f>
        <v>C202510301614594047</v>
      </c>
      <c r="J1584" s="6" t="str">
        <f ca="1">IFERROR(__xludf.DUMMYFUNCTION("""COMPUTED_VALUE"""),"ANTONIO LOPEZ CABANES")</f>
        <v>ANTONIO LOPEZ CABANES</v>
      </c>
      <c r="K1584" s="6">
        <f ca="1">IFERROR(__xludf.DUMMYFUNCTION("""COMPUTED_VALUE"""),2)</f>
        <v>2</v>
      </c>
      <c r="L1584" s="139">
        <f ca="1">IFERROR(__xludf.DUMMYFUNCTION("""COMPUTED_VALUE"""),3631.82)</f>
        <v>3631.82</v>
      </c>
      <c r="M1584" s="6" t="str">
        <f ca="1">IFERROR(__xludf.DUMMYFUNCTION("""COMPUTED_VALUE"""),"03 ORL")</f>
        <v>03 ORL</v>
      </c>
      <c r="N1584" s="6" t="str">
        <f ca="1">IFERROR(__xludf.DUMMYFUNCTION("""COMPUTED_VALUE"""),"06 ORL")</f>
        <v>06 ORL</v>
      </c>
      <c r="O1584" s="6" t="str">
        <f ca="1">IFERROR(__xludf.DUMMYFUNCTION("""COMPUTED_VALUE"""),"Dr, Enrique López Meseguer")</f>
        <v>Dr, Enrique López Meseguer</v>
      </c>
      <c r="P1584" s="6" t="str">
        <f ca="1">IFERROR(__xludf.DUMMYFUNCTION("""COMPUTED_VALUE"""),"Iván Sánchez (Levante Y Albacete)")</f>
        <v>Iván Sánchez (Levante Y Albacete)</v>
      </c>
    </row>
    <row r="1585" spans="2:16">
      <c r="B1585" s="6">
        <f ca="1">IFERROR(__xludf.DUMMYFUNCTION("""COMPUTED_VALUE"""),2025)</f>
        <v>2025</v>
      </c>
      <c r="C1585" s="6">
        <f ca="1">IFERROR(__xludf.DUMMYFUNCTION("""COMPUTED_VALUE"""),11)</f>
        <v>11</v>
      </c>
      <c r="D1585" s="6" t="str">
        <f ca="1">IFERROR(__xludf.DUMMYFUNCTION("""COMPUTED_VALUE"""),"NO")</f>
        <v>NO</v>
      </c>
      <c r="E1585" s="6" t="str">
        <f ca="1">IFERROR(__xludf.DUMMYFUNCTION("""COMPUTED_VALUE"""),"Madrid- Monforte de Lemos")</f>
        <v>Madrid- Monforte de Lemos</v>
      </c>
      <c r="F1585" s="16">
        <f ca="1">IFERROR(__xludf.DUMMYFUNCTION("""COMPUTED_VALUE"""),45989)</f>
        <v>45989</v>
      </c>
      <c r="G1585" s="16">
        <f ca="1">IFERROR(__xludf.DUMMYFUNCTION("""COMPUTED_VALUE"""),45960)</f>
        <v>45960</v>
      </c>
      <c r="H1585" s="6" t="str">
        <f ca="1">IFERROR(__xludf.DUMMYFUNCTION("""COMPUTED_VALUE"""),"La Vaguada")</f>
        <v>La Vaguada</v>
      </c>
      <c r="I1585" s="6" t="str">
        <f ca="1">IFERROR(__xludf.DUMMYFUNCTION("""COMPUTED_VALUE"""),"C202510301833155892")</f>
        <v>C202510301833155892</v>
      </c>
      <c r="J1585" s="6" t="str">
        <f ca="1">IFERROR(__xludf.DUMMYFUNCTION("""COMPUTED_VALUE"""),"PILAR SEGURA ESTEBAN")</f>
        <v>PILAR SEGURA ESTEBAN</v>
      </c>
      <c r="K1585" s="6">
        <f ca="1">IFERROR(__xludf.DUMMYFUNCTION("""COMPUTED_VALUE"""),2)</f>
        <v>2</v>
      </c>
      <c r="L1585" s="139">
        <f ca="1">IFERROR(__xludf.DUMMYFUNCTION("""COMPUTED_VALUE"""),3631.82)</f>
        <v>3631.82</v>
      </c>
      <c r="M1585" s="6" t="str">
        <f ca="1">IFERROR(__xludf.DUMMYFUNCTION("""COMPUTED_VALUE"""),"03 ORL")</f>
        <v>03 ORL</v>
      </c>
      <c r="N1585" s="6" t="str">
        <f ca="1">IFERROR(__xludf.DUMMYFUNCTION("""COMPUTED_VALUE"""),"06 ORL")</f>
        <v>06 ORL</v>
      </c>
      <c r="O1585" s="6" t="str">
        <f ca="1">IFERROR(__xludf.DUMMYFUNCTION("""COMPUTED_VALUE"""),"Dr, Alejandro Harguindey Antoli-Candela")</f>
        <v>Dr, Alejandro Harguindey Antoli-Candela</v>
      </c>
      <c r="P1585" s="6" t="str">
        <f ca="1">IFERROR(__xludf.DUMMYFUNCTION("""COMPUTED_VALUE"""),"Maika Blázquez (Madrid)")</f>
        <v>Maika Blázquez (Madrid)</v>
      </c>
    </row>
    <row r="1586" spans="2:16">
      <c r="B1586" s="6">
        <f ca="1">IFERROR(__xludf.DUMMYFUNCTION("""COMPUTED_VALUE"""),2025)</f>
        <v>2025</v>
      </c>
      <c r="C1586" s="6">
        <f ca="1">IFERROR(__xludf.DUMMYFUNCTION("""COMPUTED_VALUE"""),11)</f>
        <v>11</v>
      </c>
      <c r="D1586" s="6" t="str">
        <f ca="1">IFERROR(__xludf.DUMMYFUNCTION("""COMPUTED_VALUE"""),"NO")</f>
        <v>NO</v>
      </c>
      <c r="E1586" s="6" t="str">
        <f ca="1">IFERROR(__xludf.DUMMYFUNCTION("""COMPUTED_VALUE"""),"Valencia- Cádiz")</f>
        <v>Valencia- Cádiz</v>
      </c>
      <c r="F1586" s="16">
        <f ca="1">IFERROR(__xludf.DUMMYFUNCTION("""COMPUTED_VALUE"""),45989)</f>
        <v>45989</v>
      </c>
      <c r="G1586" s="16">
        <f ca="1">IFERROR(__xludf.DUMMYFUNCTION("""COMPUTED_VALUE"""),45951)</f>
        <v>45951</v>
      </c>
      <c r="H1586" s="6" t="str">
        <f ca="1">IFERROR(__xludf.DUMMYFUNCTION("""COMPUTED_VALUE"""),"Valencia- Cádiz")</f>
        <v>Valencia- Cádiz</v>
      </c>
      <c r="I1586" s="6" t="str">
        <f ca="1">IFERROR(__xludf.DUMMYFUNCTION("""COMPUTED_VALUE"""),"C202510211141200456")</f>
        <v>C202510211141200456</v>
      </c>
      <c r="J1586" s="6" t="str">
        <f ca="1">IFERROR(__xludf.DUMMYFUNCTION("""COMPUTED_VALUE"""),"JOSE AMAT NAVARRO")</f>
        <v>JOSE AMAT NAVARRO</v>
      </c>
      <c r="K1586" s="6">
        <f ca="1">IFERROR(__xludf.DUMMYFUNCTION("""COMPUTED_VALUE"""),2)</f>
        <v>2</v>
      </c>
      <c r="L1586" s="139">
        <f ca="1">IFERROR(__xludf.DUMMYFUNCTION("""COMPUTED_VALUE"""),3631.82)</f>
        <v>3631.82</v>
      </c>
      <c r="M1586" s="6" t="str">
        <f ca="1">IFERROR(__xludf.DUMMYFUNCTION("""COMPUTED_VALUE"""),"03 ORL")</f>
        <v>03 ORL</v>
      </c>
      <c r="N1586" s="6" t="str">
        <f ca="1">IFERROR(__xludf.DUMMYFUNCTION("""COMPUTED_VALUE"""),"06 ORL")</f>
        <v>06 ORL</v>
      </c>
      <c r="O1586" s="6" t="str">
        <f ca="1">IFERROR(__xludf.DUMMYFUNCTION("""COMPUTED_VALUE"""),"Dr, José Montalt Marco")</f>
        <v>Dr, José Montalt Marco</v>
      </c>
      <c r="P1586" s="6" t="str">
        <f ca="1">IFERROR(__xludf.DUMMYFUNCTION("""COMPUTED_VALUE"""),"Ramon Ferrando(Valencia)")</f>
        <v>Ramon Ferrando(Valencia)</v>
      </c>
    </row>
    <row r="1587" spans="2:16">
      <c r="B1587" s="6">
        <f ca="1">IFERROR(__xludf.DUMMYFUNCTION("""COMPUTED_VALUE"""),2025)</f>
        <v>2025</v>
      </c>
      <c r="C1587" s="6">
        <f ca="1">IFERROR(__xludf.DUMMYFUNCTION("""COMPUTED_VALUE"""),11)</f>
        <v>11</v>
      </c>
      <c r="D1587" s="6" t="str">
        <f ca="1">IFERROR(__xludf.DUMMYFUNCTION("""COMPUTED_VALUE"""),"NO")</f>
        <v>NO</v>
      </c>
      <c r="E1587" s="6" t="str">
        <f ca="1">IFERROR(__xludf.DUMMYFUNCTION("""COMPUTED_VALUE"""),"Orihuela")</f>
        <v>Orihuela</v>
      </c>
      <c r="F1587" s="16">
        <f ca="1">IFERROR(__xludf.DUMMYFUNCTION("""COMPUTED_VALUE"""),45989)</f>
        <v>45989</v>
      </c>
      <c r="G1587" s="16">
        <f ca="1">IFERROR(__xludf.DUMMYFUNCTION("""COMPUTED_VALUE"""),45989)</f>
        <v>45989</v>
      </c>
      <c r="H1587" s="6" t="str">
        <f ca="1">IFERROR(__xludf.DUMMYFUNCTION("""COMPUTED_VALUE"""),"La Zenia")</f>
        <v>La Zenia</v>
      </c>
      <c r="I1587" s="6" t="str">
        <f ca="1">IFERROR(__xludf.DUMMYFUNCTION("""COMPUTED_VALUE"""),"C20251128174543327")</f>
        <v>C20251128174543327</v>
      </c>
      <c r="J1587" s="6" t="str">
        <f ca="1">IFERROR(__xludf.DUMMYFUNCTION("""COMPUTED_VALUE"""),"COMERCIAL VIMARGA 2014,S,L [VICENTE MIGUEL MARTÍNEZ SERRADOR]")</f>
        <v>COMERCIAL VIMARGA 2014,S,L [VICENTE MIGUEL MARTÍNEZ SERRADOR]</v>
      </c>
      <c r="K1587" s="6">
        <f ca="1">IFERROR(__xludf.DUMMYFUNCTION("""COMPUTED_VALUE"""),2)</f>
        <v>2</v>
      </c>
      <c r="L1587" s="139">
        <f ca="1">IFERROR(__xludf.DUMMYFUNCTION("""COMPUTED_VALUE"""),4136.36)</f>
        <v>4136.3599999999997</v>
      </c>
      <c r="M1587" s="6" t="str">
        <f ca="1">IFERROR(__xludf.DUMMYFUNCTION("""COMPUTED_VALUE"""),"03 ORL")</f>
        <v>03 ORL</v>
      </c>
      <c r="N1587" s="6" t="str">
        <f ca="1">IFERROR(__xludf.DUMMYFUNCTION("""COMPUTED_VALUE"""),"06 ORL")</f>
        <v>06 ORL</v>
      </c>
      <c r="O1587" s="6" t="str">
        <f ca="1">IFERROR(__xludf.DUMMYFUNCTION("""COMPUTED_VALUE"""),"Dr, Carlos Velásquez Fermín")</f>
        <v>Dr, Carlos Velásquez Fermín</v>
      </c>
      <c r="P1587" s="6" t="str">
        <f ca="1">IFERROR(__xludf.DUMMYFUNCTION("""COMPUTED_VALUE"""),"Iván Sánchez (Levante Y Albacete)")</f>
        <v>Iván Sánchez (Levante Y Albacete)</v>
      </c>
    </row>
    <row r="1588" spans="2:16">
      <c r="B1588" s="6">
        <f ca="1">IFERROR(__xludf.DUMMYFUNCTION("""COMPUTED_VALUE"""),2025)</f>
        <v>2025</v>
      </c>
      <c r="C1588" s="6">
        <f ca="1">IFERROR(__xludf.DUMMYFUNCTION("""COMPUTED_VALUE"""),12)</f>
        <v>12</v>
      </c>
      <c r="D1588" s="6" t="str">
        <f ca="1">IFERROR(__xludf.DUMMYFUNCTION("""COMPUTED_VALUE"""),"NO")</f>
        <v>NO</v>
      </c>
      <c r="E1588" s="6" t="str">
        <f ca="1">IFERROR(__xludf.DUMMYFUNCTION("""COMPUTED_VALUE"""),"Hospitalet de Llobregat")</f>
        <v>Hospitalet de Llobregat</v>
      </c>
      <c r="F1588" s="16">
        <f ca="1">IFERROR(__xludf.DUMMYFUNCTION("""COMPUTED_VALUE"""),45992)</f>
        <v>45992</v>
      </c>
      <c r="G1588" s="16">
        <f ca="1">IFERROR(__xludf.DUMMYFUNCTION("""COMPUTED_VALUE"""),45952)</f>
        <v>45952</v>
      </c>
      <c r="H1588" s="6" t="str">
        <f ca="1">IFERROR(__xludf.DUMMYFUNCTION("""COMPUTED_VALUE"""),"Hospitalet")</f>
        <v>Hospitalet</v>
      </c>
      <c r="I1588" s="6" t="str">
        <f ca="1">IFERROR(__xludf.DUMMYFUNCTION("""COMPUTED_VALUE"""),"C202510221655496103")</f>
        <v>C202510221655496103</v>
      </c>
      <c r="J1588" s="6" t="str">
        <f ca="1">IFERROR(__xludf.DUMMYFUNCTION("""COMPUTED_VALUE"""),"Maria Elena Blesa")</f>
        <v>Maria Elena Blesa</v>
      </c>
      <c r="K1588" s="6">
        <f ca="1">IFERROR(__xludf.DUMMYFUNCTION("""COMPUTED_VALUE"""),2)</f>
        <v>2</v>
      </c>
      <c r="L1588" s="139">
        <f ca="1">IFERROR(__xludf.DUMMYFUNCTION("""COMPUTED_VALUE"""),3929.55)</f>
        <v>3929.55</v>
      </c>
      <c r="M1588" s="6" t="str">
        <f ca="1">IFERROR(__xludf.DUMMYFUNCTION("""COMPUTED_VALUE"""),"03 ORL")</f>
        <v>03 ORL</v>
      </c>
      <c r="N1588" s="6" t="str">
        <f ca="1">IFERROR(__xludf.DUMMYFUNCTION("""COMPUTED_VALUE"""),"06 ORL")</f>
        <v>06 ORL</v>
      </c>
      <c r="O1588" s="6" t="str">
        <f ca="1">IFERROR(__xludf.DUMMYFUNCTION("""COMPUTED_VALUE"""),"Dr, Camilo Rodríguez Van Strahle")</f>
        <v>Dr, Camilo Rodríguez Van Strahle</v>
      </c>
      <c r="P1588" s="6" t="str">
        <f ca="1">IFERROR(__xludf.DUMMYFUNCTION("""COMPUTED_VALUE"""),"Mercè Cabrera (Cataluña Y Baleares)")</f>
        <v>Mercè Cabrera (Cataluña Y Baleares)</v>
      </c>
    </row>
    <row r="1589" spans="2:16" ht="16.5" customHeight="1">
      <c r="B1589" s="6">
        <f ca="1">IFERROR(__xludf.DUMMYFUNCTION("""COMPUTED_VALUE"""),2025)</f>
        <v>2025</v>
      </c>
      <c r="C1589" s="6">
        <f ca="1">IFERROR(__xludf.DUMMYFUNCTION("""COMPUTED_VALUE"""),12)</f>
        <v>12</v>
      </c>
      <c r="D1589" s="6" t="str">
        <f ca="1">IFERROR(__xludf.DUMMYFUNCTION("""COMPUTED_VALUE"""),"NO")</f>
        <v>NO</v>
      </c>
      <c r="E1589" s="6" t="str">
        <f ca="1">IFERROR(__xludf.DUMMYFUNCTION("""COMPUTED_VALUE"""),"Barcelona- Fabra i Puig")</f>
        <v>Barcelona- Fabra i Puig</v>
      </c>
      <c r="F1589" s="16">
        <f ca="1">IFERROR(__xludf.DUMMYFUNCTION("""COMPUTED_VALUE"""),45992)</f>
        <v>45992</v>
      </c>
      <c r="G1589" s="16">
        <f ca="1">IFERROR(__xludf.DUMMYFUNCTION("""COMPUTED_VALUE"""),45960)</f>
        <v>45960</v>
      </c>
      <c r="H1589" s="6" t="str">
        <f ca="1">IFERROR(__xludf.DUMMYFUNCTION("""COMPUTED_VALUE"""),"Fabra")</f>
        <v>Fabra</v>
      </c>
      <c r="I1589" s="6" t="str">
        <f ca="1">IFERROR(__xludf.DUMMYFUNCTION("""COMPUTED_VALUE"""),"C202510301057200122")</f>
        <v>C202510301057200122</v>
      </c>
      <c r="J1589" s="6" t="str">
        <f ca="1">IFERROR(__xludf.DUMMYFUNCTION("""COMPUTED_VALUE"""),"BERNARDO ORAMAS VERA")</f>
        <v>BERNARDO ORAMAS VERA</v>
      </c>
      <c r="K1589" s="6">
        <f ca="1">IFERROR(__xludf.DUMMYFUNCTION("""COMPUTED_VALUE"""),2)</f>
        <v>2</v>
      </c>
      <c r="L1589" s="139">
        <f ca="1">IFERROR(__xludf.DUMMYFUNCTION("""COMPUTED_VALUE"""),3450.23)</f>
        <v>3450.23</v>
      </c>
      <c r="M1589" s="6" t="str">
        <f ca="1">IFERROR(__xludf.DUMMYFUNCTION("""COMPUTED_VALUE"""),"03 ORL")</f>
        <v>03 ORL</v>
      </c>
      <c r="N1589" s="6" t="str">
        <f ca="1">IFERROR(__xludf.DUMMYFUNCTION("""COMPUTED_VALUE"""),"06 ORL")</f>
        <v>06 ORL</v>
      </c>
      <c r="O1589" s="6" t="str">
        <f ca="1">IFERROR(__xludf.DUMMYFUNCTION("""COMPUTED_VALUE"""),"Dra, Anna Ferrer Guiu
")</f>
        <v xml:space="preserve">Dra, Anna Ferrer Guiu
</v>
      </c>
      <c r="P1589" s="6" t="str">
        <f ca="1">IFERROR(__xludf.DUMMYFUNCTION("""COMPUTED_VALUE"""),"Mercè Cabrera (Cataluña Y Baleares)")</f>
        <v>Mercè Cabrera (Cataluña Y Baleares)</v>
      </c>
    </row>
    <row r="1590" spans="2:16">
      <c r="B1590" s="6">
        <f ca="1">IFERROR(__xludf.DUMMYFUNCTION("""COMPUTED_VALUE"""),2025)</f>
        <v>2025</v>
      </c>
      <c r="C1590" s="6">
        <f ca="1">IFERROR(__xludf.DUMMYFUNCTION("""COMPUTED_VALUE"""),12)</f>
        <v>12</v>
      </c>
      <c r="D1590" s="6" t="str">
        <f ca="1">IFERROR(__xludf.DUMMYFUNCTION("""COMPUTED_VALUE"""),"NO")</f>
        <v>NO</v>
      </c>
      <c r="E1590" s="6" t="str">
        <f ca="1">IFERROR(__xludf.DUMMYFUNCTION("""COMPUTED_VALUE"""),"Barcelona- Fabra i Puig")</f>
        <v>Barcelona- Fabra i Puig</v>
      </c>
      <c r="F1590" s="16">
        <f ca="1">IFERROR(__xludf.DUMMYFUNCTION("""COMPUTED_VALUE"""),45992)</f>
        <v>45992</v>
      </c>
      <c r="G1590" s="16">
        <f ca="1">IFERROR(__xludf.DUMMYFUNCTION("""COMPUTED_VALUE"""),45966)</f>
        <v>45966</v>
      </c>
      <c r="H1590" s="6" t="str">
        <f ca="1">IFERROR(__xludf.DUMMYFUNCTION("""COMPUTED_VALUE"""),"Fabra")</f>
        <v>Fabra</v>
      </c>
      <c r="I1590" s="6" t="str">
        <f ca="1">IFERROR(__xludf.DUMMYFUNCTION("""COMPUTED_VALUE"""),"C202511510161949782")</f>
        <v>C202511510161949782</v>
      </c>
      <c r="J1590" s="6" t="str">
        <f ca="1">IFERROR(__xludf.DUMMYFUNCTION("""COMPUTED_VALUE"""),"JOSE FERNANDEZ ENRIQUEZ")</f>
        <v>JOSE FERNANDEZ ENRIQUEZ</v>
      </c>
      <c r="K1590" s="6">
        <f ca="1">IFERROR(__xludf.DUMMYFUNCTION("""COMPUTED_VALUE"""),1)</f>
        <v>1</v>
      </c>
      <c r="L1590" s="139">
        <f ca="1">IFERROR(__xludf.DUMMYFUNCTION("""COMPUTED_VALUE"""),2180.91)</f>
        <v>2180.91</v>
      </c>
      <c r="M1590" s="6" t="str">
        <f ca="1">IFERROR(__xludf.DUMMYFUNCTION("""COMPUTED_VALUE"""),"03 ORL")</f>
        <v>03 ORL</v>
      </c>
      <c r="N1590" s="6" t="str">
        <f ca="1">IFERROR(__xludf.DUMMYFUNCTION("""COMPUTED_VALUE"""),"06 ORL")</f>
        <v>06 ORL</v>
      </c>
      <c r="O1590" s="6" t="str">
        <f ca="1">IFERROR(__xludf.DUMMYFUNCTION("""COMPUTED_VALUE"""),"Dra, Paula López Mesa")</f>
        <v>Dra, Paula López Mesa</v>
      </c>
      <c r="P1590" s="6" t="str">
        <f ca="1">IFERROR(__xludf.DUMMYFUNCTION("""COMPUTED_VALUE"""),"Mercè Cabrera (Cataluña Y Baleares)")</f>
        <v>Mercè Cabrera (Cataluña Y Baleares)</v>
      </c>
    </row>
    <row r="1591" spans="2:16">
      <c r="B1591" s="6">
        <f ca="1">IFERROR(__xludf.DUMMYFUNCTION("""COMPUTED_VALUE"""),2025)</f>
        <v>2025</v>
      </c>
      <c r="C1591" s="6">
        <f ca="1">IFERROR(__xludf.DUMMYFUNCTION("""COMPUTED_VALUE"""),12)</f>
        <v>12</v>
      </c>
      <c r="D1591" s="6" t="str">
        <f ca="1">IFERROR(__xludf.DUMMYFUNCTION("""COMPUTED_VALUE"""),"NO")</f>
        <v>NO</v>
      </c>
      <c r="E1591" s="6" t="str">
        <f ca="1">IFERROR(__xludf.DUMMYFUNCTION("""COMPUTED_VALUE"""),"León")</f>
        <v>León</v>
      </c>
      <c r="F1591" s="16">
        <f ca="1">IFERROR(__xludf.DUMMYFUNCTION("""COMPUTED_VALUE"""),45993)</f>
        <v>45993</v>
      </c>
      <c r="G1591" s="16">
        <f ca="1">IFERROR(__xludf.DUMMYFUNCTION("""COMPUTED_VALUE"""),45954)</f>
        <v>45954</v>
      </c>
      <c r="H1591" s="6" t="str">
        <f ca="1">IFERROR(__xludf.DUMMYFUNCTION("""COMPUTED_VALUE"""),"León")</f>
        <v>León</v>
      </c>
      <c r="I1591" s="6" t="str">
        <f ca="1">IFERROR(__xludf.DUMMYFUNCTION("""COMPUTED_VALUE"""),"LEO-566")</f>
        <v>LEO-566</v>
      </c>
      <c r="J1591" s="6" t="str">
        <f ca="1">IFERROR(__xludf.DUMMYFUNCTION("""COMPUTED_VALUE"""),"MARIA ISABEL PEREZ SIMON")</f>
        <v>MARIA ISABEL PEREZ SIMON</v>
      </c>
      <c r="K1591" s="6">
        <f ca="1">IFERROR(__xludf.DUMMYFUNCTION("""COMPUTED_VALUE"""),2)</f>
        <v>2</v>
      </c>
      <c r="L1591" s="139">
        <f ca="1">IFERROR(__xludf.DUMMYFUNCTION("""COMPUTED_VALUE"""),4545.45)</f>
        <v>4545.45</v>
      </c>
      <c r="M1591" s="6" t="str">
        <f ca="1">IFERROR(__xludf.DUMMYFUNCTION("""COMPUTED_VALUE"""),"03 ORL")</f>
        <v>03 ORL</v>
      </c>
      <c r="N1591" s="6" t="str">
        <f ca="1">IFERROR(__xludf.DUMMYFUNCTION("""COMPUTED_VALUE"""),"06 ORL")</f>
        <v>06 ORL</v>
      </c>
      <c r="O1591" s="6" t="str">
        <f ca="1">IFERROR(__xludf.DUMMYFUNCTION("""COMPUTED_VALUE"""),"Dr. Carlos Barajas Del Rosal")</f>
        <v>Dr. Carlos Barajas Del Rosal</v>
      </c>
      <c r="P1591" s="6" t="str">
        <f ca="1">IFERROR(__xludf.DUMMYFUNCTION("""COMPUTED_VALUE"""),"Lisandro Russian (Madrid, Cáceres, Toledo, Talavera Y Logroño)")</f>
        <v>Lisandro Russian (Madrid, Cáceres, Toledo, Talavera Y Logroño)</v>
      </c>
    </row>
    <row r="1592" spans="2:16">
      <c r="B1592" s="6">
        <f ca="1">IFERROR(__xludf.DUMMYFUNCTION("""COMPUTED_VALUE"""),2025)</f>
        <v>2025</v>
      </c>
      <c r="C1592" s="6">
        <f ca="1">IFERROR(__xludf.DUMMYFUNCTION("""COMPUTED_VALUE"""),12)</f>
        <v>12</v>
      </c>
      <c r="D1592" s="6" t="str">
        <f ca="1">IFERROR(__xludf.DUMMYFUNCTION("""COMPUTED_VALUE"""),"NO")</f>
        <v>NO</v>
      </c>
      <c r="E1592" s="6" t="str">
        <f ca="1">IFERROR(__xludf.DUMMYFUNCTION("""COMPUTED_VALUE"""),"San Javier")</f>
        <v>San Javier</v>
      </c>
      <c r="F1592" s="16">
        <f ca="1">IFERROR(__xludf.DUMMYFUNCTION("""COMPUTED_VALUE"""),45993)</f>
        <v>45993</v>
      </c>
      <c r="G1592" s="16">
        <f ca="1">IFERROR(__xludf.DUMMYFUNCTION("""COMPUTED_VALUE"""),45408)</f>
        <v>45408</v>
      </c>
      <c r="H1592" s="6" t="str">
        <f ca="1">IFERROR(__xludf.DUMMYFUNCTION("""COMPUTED_VALUE"""),"San Javier")</f>
        <v>San Javier</v>
      </c>
      <c r="I1592" s="6" t="str">
        <f ca="1">IFERROR(__xludf.DUMMYFUNCTION("""COMPUTED_VALUE"""),"MSJ-363")</f>
        <v>MSJ-363</v>
      </c>
      <c r="J1592" s="6" t="str">
        <f ca="1">IFERROR(__xludf.DUMMYFUNCTION("""COMPUTED_VALUE"""),"MARIA DOLORES PEREZ BOLAÑOS")</f>
        <v>MARIA DOLORES PEREZ BOLAÑOS</v>
      </c>
      <c r="K1592" s="6">
        <f ca="1">IFERROR(__xludf.DUMMYFUNCTION("""COMPUTED_VALUE"""),2)</f>
        <v>2</v>
      </c>
      <c r="L1592" s="139">
        <f ca="1">IFERROR(__xludf.DUMMYFUNCTION("""COMPUTED_VALUE"""),3612.97)</f>
        <v>3612.97</v>
      </c>
      <c r="M1592" s="6" t="str">
        <f ca="1">IFERROR(__xludf.DUMMYFUNCTION("""COMPUTED_VALUE"""),"01 MARKETING ON LINE")</f>
        <v>01 MARKETING ON LINE</v>
      </c>
      <c r="N1592" s="6" t="str">
        <f ca="1">IFERROR(__xludf.DUMMYFUNCTION("""COMPUTED_VALUE"""),"04 AUDIFONO,ES")</f>
        <v>04 AUDIFONO,ES</v>
      </c>
      <c r="O1592" s="6" t="str">
        <f ca="1">IFERROR(__xludf.DUMMYFUNCTION("""COMPUTED_VALUE"""),"RAQUEL GARCÍA MENCHERO")</f>
        <v>RAQUEL GARCÍA MENCHERO</v>
      </c>
      <c r="P1592" s="6"/>
    </row>
    <row r="1593" spans="2:16">
      <c r="B1593" s="6">
        <f ca="1">IFERROR(__xludf.DUMMYFUNCTION("""COMPUTED_VALUE"""),2025)</f>
        <v>2025</v>
      </c>
      <c r="C1593" s="6">
        <f ca="1">IFERROR(__xludf.DUMMYFUNCTION("""COMPUTED_VALUE"""),12)</f>
        <v>12</v>
      </c>
      <c r="D1593" s="6" t="str">
        <f ca="1">IFERROR(__xludf.DUMMYFUNCTION("""COMPUTED_VALUE"""),"NO")</f>
        <v>NO</v>
      </c>
      <c r="E1593" s="6" t="str">
        <f ca="1">IFERROR(__xludf.DUMMYFUNCTION("""COMPUTED_VALUE"""),"Cáceres")</f>
        <v>Cáceres</v>
      </c>
      <c r="F1593" s="16">
        <f ca="1">IFERROR(__xludf.DUMMYFUNCTION("""COMPUTED_VALUE"""),45993)</f>
        <v>45993</v>
      </c>
      <c r="G1593" s="16">
        <f ca="1">IFERROR(__xludf.DUMMYFUNCTION("""COMPUTED_VALUE"""),45945)</f>
        <v>45945</v>
      </c>
      <c r="H1593" s="6" t="str">
        <f ca="1">IFERROR(__xludf.DUMMYFUNCTION("""COMPUTED_VALUE"""),"Cáceres")</f>
        <v>Cáceres</v>
      </c>
      <c r="I1593" s="6" t="str">
        <f ca="1">IFERROR(__xludf.DUMMYFUNCTION("""COMPUTED_VALUE"""),"CAC-422")</f>
        <v>CAC-422</v>
      </c>
      <c r="J1593" s="6" t="str">
        <f ca="1">IFERROR(__xludf.DUMMYFUNCTION("""COMPUTED_VALUE"""),"SIXTO IGLESIAS LUENGO")</f>
        <v>SIXTO IGLESIAS LUENGO</v>
      </c>
      <c r="K1593" s="6">
        <f ca="1">IFERROR(__xludf.DUMMYFUNCTION("""COMPUTED_VALUE"""),2)</f>
        <v>2</v>
      </c>
      <c r="L1593" s="139">
        <f ca="1">IFERROR(__xludf.DUMMYFUNCTION("""COMPUTED_VALUE"""),4990.91)</f>
        <v>4990.91</v>
      </c>
      <c r="M1593" s="6" t="str">
        <f ca="1">IFERROR(__xludf.DUMMYFUNCTION("""COMPUTED_VALUE"""),"03 ORL")</f>
        <v>03 ORL</v>
      </c>
      <c r="N1593" s="6" t="str">
        <f ca="1">IFERROR(__xludf.DUMMYFUNCTION("""COMPUTED_VALUE"""),"06 ORL")</f>
        <v>06 ORL</v>
      </c>
      <c r="O1593" s="6" t="str">
        <f ca="1">IFERROR(__xludf.DUMMYFUNCTION("""COMPUTED_VALUE"""),"Dr, Andrés Paulino Herrera")</f>
        <v>Dr, Andrés Paulino Herrera</v>
      </c>
      <c r="P1593" s="6" t="str">
        <f ca="1">IFERROR(__xludf.DUMMYFUNCTION("""COMPUTED_VALUE"""),"Lisandro Russian (Madrid, Cáceres, Toledo, Talavera Y Logroño)")</f>
        <v>Lisandro Russian (Madrid, Cáceres, Toledo, Talavera Y Logroño)</v>
      </c>
    </row>
    <row r="1594" spans="2:16">
      <c r="B1594" s="6">
        <f ca="1">IFERROR(__xludf.DUMMYFUNCTION("""COMPUTED_VALUE"""),2025)</f>
        <v>2025</v>
      </c>
      <c r="C1594" s="6">
        <f ca="1">IFERROR(__xludf.DUMMYFUNCTION("""COMPUTED_VALUE"""),12)</f>
        <v>12</v>
      </c>
      <c r="D1594" s="6" t="str">
        <f ca="1">IFERROR(__xludf.DUMMYFUNCTION("""COMPUTED_VALUE"""),"NO")</f>
        <v>NO</v>
      </c>
      <c r="E1594" s="6" t="str">
        <f ca="1">IFERROR(__xludf.DUMMYFUNCTION("""COMPUTED_VALUE"""),"Murcia")</f>
        <v>Murcia</v>
      </c>
      <c r="F1594" s="16">
        <f ca="1">IFERROR(__xludf.DUMMYFUNCTION("""COMPUTED_VALUE"""),45993)</f>
        <v>45993</v>
      </c>
      <c r="G1594" s="16">
        <f ca="1">IFERROR(__xludf.DUMMYFUNCTION("""COMPUTED_VALUE"""),45959)</f>
        <v>45959</v>
      </c>
      <c r="H1594" s="6" t="str">
        <f ca="1">IFERROR(__xludf.DUMMYFUNCTION("""COMPUTED_VALUE"""),"Murcia")</f>
        <v>Murcia</v>
      </c>
      <c r="I1594" s="6" t="str">
        <f ca="1">IFERROR(__xludf.DUMMYFUNCTION("""COMPUTED_VALUE"""),"C202510291623250008")</f>
        <v>C202510291623250008</v>
      </c>
      <c r="J1594" s="6" t="str">
        <f ca="1">IFERROR(__xludf.DUMMYFUNCTION("""COMPUTED_VALUE"""),"ADELINA CANDELA MARTINEZ")</f>
        <v>ADELINA CANDELA MARTINEZ</v>
      </c>
      <c r="K1594" s="6">
        <f ca="1">IFERROR(__xludf.DUMMYFUNCTION("""COMPUTED_VALUE"""),2)</f>
        <v>2</v>
      </c>
      <c r="L1594" s="139">
        <f ca="1">IFERROR(__xludf.DUMMYFUNCTION("""COMPUTED_VALUE"""),4309.55)</f>
        <v>4309.55</v>
      </c>
      <c r="M1594" s="6" t="str">
        <f ca="1">IFERROR(__xludf.DUMMYFUNCTION("""COMPUTED_VALUE"""),"03 ORL")</f>
        <v>03 ORL</v>
      </c>
      <c r="N1594" s="6" t="str">
        <f ca="1">IFERROR(__xludf.DUMMYFUNCTION("""COMPUTED_VALUE"""),"06 ORL")</f>
        <v>06 ORL</v>
      </c>
      <c r="O1594" s="6" t="str">
        <f ca="1">IFERROR(__xludf.DUMMYFUNCTION("""COMPUTED_VALUE"""),"Dra, María Agustina Sevilla García")</f>
        <v>Dra, María Agustina Sevilla García</v>
      </c>
      <c r="P1594" s="6" t="str">
        <f ca="1">IFERROR(__xludf.DUMMYFUNCTION("""COMPUTED_VALUE"""),"Iván Sánchez (Levante Y Albacete)")</f>
        <v>Iván Sánchez (Levante Y Albacete)</v>
      </c>
    </row>
    <row r="1595" spans="2:16">
      <c r="B1595" s="6">
        <f ca="1">IFERROR(__xludf.DUMMYFUNCTION("""COMPUTED_VALUE"""),2025)</f>
        <v>2025</v>
      </c>
      <c r="C1595" s="6">
        <f ca="1">IFERROR(__xludf.DUMMYFUNCTION("""COMPUTED_VALUE"""),12)</f>
        <v>12</v>
      </c>
      <c r="D1595" s="6" t="str">
        <f ca="1">IFERROR(__xludf.DUMMYFUNCTION("""COMPUTED_VALUE"""),"NO")</f>
        <v>NO</v>
      </c>
      <c r="E1595" s="6" t="str">
        <f ca="1">IFERROR(__xludf.DUMMYFUNCTION("""COMPUTED_VALUE"""),"Valladolid")</f>
        <v>Valladolid</v>
      </c>
      <c r="F1595" s="16">
        <f ca="1">IFERROR(__xludf.DUMMYFUNCTION("""COMPUTED_VALUE"""),45994)</f>
        <v>45994</v>
      </c>
      <c r="G1595" s="16">
        <f ca="1">IFERROR(__xludf.DUMMYFUNCTION("""COMPUTED_VALUE"""),45954)</f>
        <v>45954</v>
      </c>
      <c r="H1595" s="6" t="str">
        <f ca="1">IFERROR(__xludf.DUMMYFUNCTION("""COMPUTED_VALUE"""),"Valladolid")</f>
        <v>Valladolid</v>
      </c>
      <c r="I1595" s="6" t="str">
        <f ca="1">IFERROR(__xludf.DUMMYFUNCTION("""COMPUTED_VALUE"""),"VLL-466")</f>
        <v>VLL-466</v>
      </c>
      <c r="J1595" s="6" t="str">
        <f ca="1">IFERROR(__xludf.DUMMYFUNCTION("""COMPUTED_VALUE"""),"RAQUEL URRACA PEREZ")</f>
        <v>RAQUEL URRACA PEREZ</v>
      </c>
      <c r="K1595" s="6">
        <f ca="1">IFERROR(__xludf.DUMMYFUNCTION("""COMPUTED_VALUE"""),2)</f>
        <v>2</v>
      </c>
      <c r="L1595" s="139">
        <f ca="1">IFERROR(__xludf.DUMMYFUNCTION("""COMPUTED_VALUE"""),4431.82)</f>
        <v>4431.82</v>
      </c>
      <c r="M1595" s="6" t="str">
        <f ca="1">IFERROR(__xludf.DUMMYFUNCTION("""COMPUTED_VALUE"""),"03 ORL")</f>
        <v>03 ORL</v>
      </c>
      <c r="N1595" s="6" t="str">
        <f ca="1">IFERROR(__xludf.DUMMYFUNCTION("""COMPUTED_VALUE"""),"06 ORL")</f>
        <v>06 ORL</v>
      </c>
      <c r="O1595" s="6" t="str">
        <f ca="1">IFERROR(__xludf.DUMMYFUNCTION("""COMPUTED_VALUE"""),"Dr. Manuel Acuña García")</f>
        <v>Dr. Manuel Acuña García</v>
      </c>
      <c r="P1595" s="6" t="str">
        <f ca="1">IFERROR(__xludf.DUMMYFUNCTION("""COMPUTED_VALUE"""),"Alberto Moreno (Madrid)")</f>
        <v>Alberto Moreno (Madrid)</v>
      </c>
    </row>
    <row r="1596" spans="2:16">
      <c r="B1596" s="6">
        <f ca="1">IFERROR(__xludf.DUMMYFUNCTION("""COMPUTED_VALUE"""),2025)</f>
        <v>2025</v>
      </c>
      <c r="C1596" s="6">
        <f ca="1">IFERROR(__xludf.DUMMYFUNCTION("""COMPUTED_VALUE"""),12)</f>
        <v>12</v>
      </c>
      <c r="D1596" s="6" t="str">
        <f ca="1">IFERROR(__xludf.DUMMYFUNCTION("""COMPUTED_VALUE"""),"NO")</f>
        <v>NO</v>
      </c>
      <c r="E1596" s="6" t="str">
        <f ca="1">IFERROR(__xludf.DUMMYFUNCTION("""COMPUTED_VALUE"""),"Valencia- Cádiz")</f>
        <v>Valencia- Cádiz</v>
      </c>
      <c r="F1596" s="16">
        <f ca="1">IFERROR(__xludf.DUMMYFUNCTION("""COMPUTED_VALUE"""),45994)</f>
        <v>45994</v>
      </c>
      <c r="G1596" s="16">
        <f ca="1">IFERROR(__xludf.DUMMYFUNCTION("""COMPUTED_VALUE"""),45915)</f>
        <v>45915</v>
      </c>
      <c r="H1596" s="6" t="str">
        <f ca="1">IFERROR(__xludf.DUMMYFUNCTION("""COMPUTED_VALUE"""),"Valencia- Cádiz")</f>
        <v>Valencia- Cádiz</v>
      </c>
      <c r="I1596" s="6" t="str">
        <f ca="1">IFERROR(__xludf.DUMMYFUNCTION("""COMPUTED_VALUE"""),"C202592616346179")</f>
        <v>C202592616346179</v>
      </c>
      <c r="J1596" s="6" t="str">
        <f ca="1">IFERROR(__xludf.DUMMYFUNCTION("""COMPUTED_VALUE"""),"ANTONIO MARIN SIBAJAS")</f>
        <v>ANTONIO MARIN SIBAJAS</v>
      </c>
      <c r="K1596" s="6">
        <f ca="1">IFERROR(__xludf.DUMMYFUNCTION("""COMPUTED_VALUE"""),1)</f>
        <v>1</v>
      </c>
      <c r="L1596" s="139">
        <f ca="1">IFERROR(__xludf.DUMMYFUNCTION("""COMPUTED_VALUE"""),872.36)</f>
        <v>872.36</v>
      </c>
      <c r="M1596" s="6" t="str">
        <f ca="1">IFERROR(__xludf.DUMMYFUNCTION("""COMPUTED_VALUE"""),"03 ORL")</f>
        <v>03 ORL</v>
      </c>
      <c r="N1596" s="6" t="str">
        <f ca="1">IFERROR(__xludf.DUMMYFUNCTION("""COMPUTED_VALUE"""),"06 ORL")</f>
        <v>06 ORL</v>
      </c>
      <c r="O1596" s="6" t="str">
        <f ca="1">IFERROR(__xludf.DUMMYFUNCTION("""COMPUTED_VALUE"""),"Dr, José Ramiro de León Lima")</f>
        <v>Dr, José Ramiro de León Lima</v>
      </c>
      <c r="P1596" s="6" t="str">
        <f ca="1">IFERROR(__xludf.DUMMYFUNCTION("""COMPUTED_VALUE"""),"Ramon Ferrando(Valencia)")</f>
        <v>Ramon Ferrando(Valencia)</v>
      </c>
    </row>
    <row r="1597" spans="2:16">
      <c r="B1597" s="6">
        <f ca="1">IFERROR(__xludf.DUMMYFUNCTION("""COMPUTED_VALUE"""),2025)</f>
        <v>2025</v>
      </c>
      <c r="C1597" s="6">
        <f ca="1">IFERROR(__xludf.DUMMYFUNCTION("""COMPUTED_VALUE"""),12)</f>
        <v>12</v>
      </c>
      <c r="D1597" s="6" t="str">
        <f ca="1">IFERROR(__xludf.DUMMYFUNCTION("""COMPUTED_VALUE"""),"NO")</f>
        <v>NO</v>
      </c>
      <c r="E1597" s="6" t="str">
        <f ca="1">IFERROR(__xludf.DUMMYFUNCTION("""COMPUTED_VALUE"""),"Torrejón de Ardoz")</f>
        <v>Torrejón de Ardoz</v>
      </c>
      <c r="F1597" s="16">
        <f ca="1">IFERROR(__xludf.DUMMYFUNCTION("""COMPUTED_VALUE"""),45994)</f>
        <v>45994</v>
      </c>
      <c r="G1597" s="16">
        <f ca="1">IFERROR(__xludf.DUMMYFUNCTION("""COMPUTED_VALUE"""),45951)</f>
        <v>45951</v>
      </c>
      <c r="H1597" s="6" t="str">
        <f ca="1">IFERROR(__xludf.DUMMYFUNCTION("""COMPUTED_VALUE"""),"Torrejón")</f>
        <v>Torrejón</v>
      </c>
      <c r="I1597" s="6" t="str">
        <f ca="1">IFERROR(__xludf.DUMMYFUNCTION("""COMPUTED_VALUE"""),"C202510211642317790")</f>
        <v>C202510211642317790</v>
      </c>
      <c r="J1597" s="6" t="str">
        <f ca="1">IFERROR(__xludf.DUMMYFUNCTION("""COMPUTED_VALUE"""),"CARLOS TOME FABIAN")</f>
        <v>CARLOS TOME FABIAN</v>
      </c>
      <c r="K1597" s="6">
        <f ca="1">IFERROR(__xludf.DUMMYFUNCTION("""COMPUTED_VALUE"""),2)</f>
        <v>2</v>
      </c>
      <c r="L1597" s="139">
        <f ca="1">IFERROR(__xludf.DUMMYFUNCTION("""COMPUTED_VALUE"""),2718.18)</f>
        <v>2718.18</v>
      </c>
      <c r="M1597" s="6" t="str">
        <f ca="1">IFERROR(__xludf.DUMMYFUNCTION("""COMPUTED_VALUE"""),"03 ORL")</f>
        <v>03 ORL</v>
      </c>
      <c r="N1597" s="6" t="str">
        <f ca="1">IFERROR(__xludf.DUMMYFUNCTION("""COMPUTED_VALUE"""),"06 ORL")</f>
        <v>06 ORL</v>
      </c>
      <c r="O1597" s="6" t="str">
        <f ca="1">IFERROR(__xludf.DUMMYFUNCTION("""COMPUTED_VALUE"""),"Dra, Marta Abad Pascual")</f>
        <v>Dra, Marta Abad Pascual</v>
      </c>
      <c r="P1597" s="6" t="str">
        <f ca="1">IFERROR(__xludf.DUMMYFUNCTION("""COMPUTED_VALUE"""),"Maika Blázquez (Madrid)")</f>
        <v>Maika Blázquez (Madrid)</v>
      </c>
    </row>
    <row r="1598" spans="2:16">
      <c r="B1598" s="6">
        <f ca="1">IFERROR(__xludf.DUMMYFUNCTION("""COMPUTED_VALUE"""),2025)</f>
        <v>2025</v>
      </c>
      <c r="C1598" s="6">
        <f ca="1">IFERROR(__xludf.DUMMYFUNCTION("""COMPUTED_VALUE"""),12)</f>
        <v>12</v>
      </c>
      <c r="D1598" s="6" t="str">
        <f ca="1">IFERROR(__xludf.DUMMYFUNCTION("""COMPUTED_VALUE"""),"NO")</f>
        <v>NO</v>
      </c>
      <c r="E1598" s="6" t="str">
        <f ca="1">IFERROR(__xludf.DUMMYFUNCTION("""COMPUTED_VALUE"""),"Alcorcón")</f>
        <v>Alcorcón</v>
      </c>
      <c r="F1598" s="16">
        <f ca="1">IFERROR(__xludf.DUMMYFUNCTION("""COMPUTED_VALUE"""),45994)</f>
        <v>45994</v>
      </c>
      <c r="G1598" s="16">
        <f ca="1">IFERROR(__xludf.DUMMYFUNCTION("""COMPUTED_VALUE"""),45961)</f>
        <v>45961</v>
      </c>
      <c r="H1598" s="6" t="str">
        <f ca="1">IFERROR(__xludf.DUMMYFUNCTION("""COMPUTED_VALUE"""),"Alcorcón")</f>
        <v>Alcorcón</v>
      </c>
      <c r="I1598" s="6" t="str">
        <f ca="1">IFERROR(__xludf.DUMMYFUNCTION("""COMPUTED_VALUE"""),"C202510311213219541")</f>
        <v>C202510311213219541</v>
      </c>
      <c r="J1598" s="6" t="str">
        <f ca="1">IFERROR(__xludf.DUMMYFUNCTION("""COMPUTED_VALUE"""),"MARIA SOLEDAD GOMEZ RODRIGUEZ")</f>
        <v>MARIA SOLEDAD GOMEZ RODRIGUEZ</v>
      </c>
      <c r="K1598" s="6">
        <f ca="1">IFERROR(__xludf.DUMMYFUNCTION("""COMPUTED_VALUE"""),2)</f>
        <v>2</v>
      </c>
      <c r="L1598" s="139">
        <f ca="1">IFERROR(__xludf.DUMMYFUNCTION("""COMPUTED_VALUE"""),2718.18)</f>
        <v>2718.18</v>
      </c>
      <c r="M1598" s="6" t="str">
        <f ca="1">IFERROR(__xludf.DUMMYFUNCTION("""COMPUTED_VALUE"""),"03 ORL")</f>
        <v>03 ORL</v>
      </c>
      <c r="N1598" s="6" t="str">
        <f ca="1">IFERROR(__xludf.DUMMYFUNCTION("""COMPUTED_VALUE"""),"06 ORL")</f>
        <v>06 ORL</v>
      </c>
      <c r="O1598" s="6" t="str">
        <f ca="1">IFERROR(__xludf.DUMMYFUNCTION("""COMPUTED_VALUE"""),"Dra, Esther Macon Liquete")</f>
        <v>Dra, Esther Macon Liquete</v>
      </c>
      <c r="P1598" s="6" t="str">
        <f ca="1">IFERROR(__xludf.DUMMYFUNCTION("""COMPUTED_VALUE"""),"Maika Blázquez (Madrid)")</f>
        <v>Maika Blázquez (Madrid)</v>
      </c>
    </row>
    <row r="1599" spans="2:16">
      <c r="B1599" s="6">
        <f ca="1">IFERROR(__xludf.DUMMYFUNCTION("""COMPUTED_VALUE"""),2025)</f>
        <v>2025</v>
      </c>
      <c r="C1599" s="6">
        <f ca="1">IFERROR(__xludf.DUMMYFUNCTION("""COMPUTED_VALUE"""),12)</f>
        <v>12</v>
      </c>
      <c r="D1599" s="6" t="str">
        <f ca="1">IFERROR(__xludf.DUMMYFUNCTION("""COMPUTED_VALUE"""),"NO")</f>
        <v>NO</v>
      </c>
      <c r="E1599" s="6" t="str">
        <f ca="1">IFERROR(__xludf.DUMMYFUNCTION("""COMPUTED_VALUE"""),"Madrid- Juan Bravo")</f>
        <v>Madrid- Juan Bravo</v>
      </c>
      <c r="F1599" s="16">
        <f ca="1">IFERROR(__xludf.DUMMYFUNCTION("""COMPUTED_VALUE"""),45994)</f>
        <v>45994</v>
      </c>
      <c r="G1599" s="16">
        <f ca="1">IFERROR(__xludf.DUMMYFUNCTION("""COMPUTED_VALUE"""),45959)</f>
        <v>45959</v>
      </c>
      <c r="H1599" s="6" t="str">
        <f ca="1">IFERROR(__xludf.DUMMYFUNCTION("""COMPUTED_VALUE"""),"Juan Bravo")</f>
        <v>Juan Bravo</v>
      </c>
      <c r="I1599" s="6" t="str">
        <f ca="1">IFERROR(__xludf.DUMMYFUNCTION("""COMPUTED_VALUE"""),"C202510299444788378")</f>
        <v>C202510299444788378</v>
      </c>
      <c r="J1599" s="6" t="str">
        <f ca="1">IFERROR(__xludf.DUMMYFUNCTION("""COMPUTED_VALUE"""),"GLORIA GARCIA BERNARDO")</f>
        <v>GLORIA GARCIA BERNARDO</v>
      </c>
      <c r="K1599" s="6">
        <f ca="1">IFERROR(__xludf.DUMMYFUNCTION("""COMPUTED_VALUE"""),2)</f>
        <v>2</v>
      </c>
      <c r="L1599" s="139">
        <f ca="1">IFERROR(__xludf.DUMMYFUNCTION("""COMPUTED_VALUE"""),2718.18)</f>
        <v>2718.18</v>
      </c>
      <c r="M1599" s="6" t="str">
        <f ca="1">IFERROR(__xludf.DUMMYFUNCTION("""COMPUTED_VALUE"""),"03 ORL")</f>
        <v>03 ORL</v>
      </c>
      <c r="N1599" s="6" t="str">
        <f ca="1">IFERROR(__xludf.DUMMYFUNCTION("""COMPUTED_VALUE"""),"06 ORL")</f>
        <v>06 ORL</v>
      </c>
      <c r="O1599" s="6" t="str">
        <f ca="1">IFERROR(__xludf.DUMMYFUNCTION("""COMPUTED_VALUE"""),"Dra, María Antonia Rodríguez Castejón")</f>
        <v>Dra, María Antonia Rodríguez Castejón</v>
      </c>
      <c r="P1599" s="6" t="str">
        <f ca="1">IFERROR(__xludf.DUMMYFUNCTION("""COMPUTED_VALUE"""),"Maika Blázquez (Madrid)")</f>
        <v>Maika Blázquez (Madrid)</v>
      </c>
    </row>
    <row r="1600" spans="2:16">
      <c r="B1600" s="6">
        <f ca="1">IFERROR(__xludf.DUMMYFUNCTION("""COMPUTED_VALUE"""),2025)</f>
        <v>2025</v>
      </c>
      <c r="C1600" s="6">
        <f ca="1">IFERROR(__xludf.DUMMYFUNCTION("""COMPUTED_VALUE"""),12)</f>
        <v>12</v>
      </c>
      <c r="D1600" s="6" t="str">
        <f ca="1">IFERROR(__xludf.DUMMYFUNCTION("""COMPUTED_VALUE"""),"NO")</f>
        <v>NO</v>
      </c>
      <c r="E1600" s="6" t="str">
        <f ca="1">IFERROR(__xludf.DUMMYFUNCTION("""COMPUTED_VALUE"""),"Ourense")</f>
        <v>Ourense</v>
      </c>
      <c r="F1600" s="16">
        <f ca="1">IFERROR(__xludf.DUMMYFUNCTION("""COMPUTED_VALUE"""),45994)</f>
        <v>45994</v>
      </c>
      <c r="G1600" s="16">
        <f ca="1">IFERROR(__xludf.DUMMYFUNCTION("""COMPUTED_VALUE"""),45944)</f>
        <v>45944</v>
      </c>
      <c r="H1600" s="6" t="str">
        <f ca="1">IFERROR(__xludf.DUMMYFUNCTION("""COMPUTED_VALUE"""),"Orense")</f>
        <v>Orense</v>
      </c>
      <c r="I1600" s="6" t="str">
        <f ca="1">IFERROR(__xludf.DUMMYFUNCTION("""COMPUTED_VALUE"""),"C202510141115167942")</f>
        <v>C202510141115167942</v>
      </c>
      <c r="J1600" s="6" t="str">
        <f ca="1">IFERROR(__xludf.DUMMYFUNCTION("""COMPUTED_VALUE"""),"MANUEL NARANJO PEREZ")</f>
        <v>MANUEL NARANJO PEREZ</v>
      </c>
      <c r="K1600" s="6">
        <f ca="1">IFERROR(__xludf.DUMMYFUNCTION("""COMPUTED_VALUE"""),2)</f>
        <v>2</v>
      </c>
      <c r="L1600" s="139">
        <f ca="1">IFERROR(__xludf.DUMMYFUNCTION("""COMPUTED_VALUE"""),4136.36)</f>
        <v>4136.3599999999997</v>
      </c>
      <c r="M1600" s="6" t="str">
        <f ca="1">IFERROR(__xludf.DUMMYFUNCTION("""COMPUTED_VALUE"""),"03 ORL")</f>
        <v>03 ORL</v>
      </c>
      <c r="N1600" s="6" t="str">
        <f ca="1">IFERROR(__xludf.DUMMYFUNCTION("""COMPUTED_VALUE"""),"06 ORL")</f>
        <v>06 ORL</v>
      </c>
      <c r="O1600" s="6" t="str">
        <f ca="1">IFERROR(__xludf.DUMMYFUNCTION("""COMPUTED_VALUE"""),"Dra, María Rey Marcos")</f>
        <v>Dra, María Rey Marcos</v>
      </c>
      <c r="P1600" s="6" t="str">
        <f ca="1">IFERROR(__xludf.DUMMYFUNCTION("""COMPUTED_VALUE"""),"Roberto Pereira (Galicia)")</f>
        <v>Roberto Pereira (Galicia)</v>
      </c>
    </row>
    <row r="1601" spans="2:16">
      <c r="B1601" s="6">
        <f ca="1">IFERROR(__xludf.DUMMYFUNCTION("""COMPUTED_VALUE"""),2025)</f>
        <v>2025</v>
      </c>
      <c r="C1601" s="6">
        <f ca="1">IFERROR(__xludf.DUMMYFUNCTION("""COMPUTED_VALUE"""),12)</f>
        <v>12</v>
      </c>
      <c r="D1601" s="6" t="str">
        <f ca="1">IFERROR(__xludf.DUMMYFUNCTION("""COMPUTED_VALUE"""),"NO")</f>
        <v>NO</v>
      </c>
      <c r="E1601" s="6" t="str">
        <f ca="1">IFERROR(__xludf.DUMMYFUNCTION("""COMPUTED_VALUE"""),"Valencia- Cádiz")</f>
        <v>Valencia- Cádiz</v>
      </c>
      <c r="F1601" s="16">
        <f ca="1">IFERROR(__xludf.DUMMYFUNCTION("""COMPUTED_VALUE"""),45994)</f>
        <v>45994</v>
      </c>
      <c r="G1601" s="16">
        <f ca="1">IFERROR(__xludf.DUMMYFUNCTION("""COMPUTED_VALUE"""),45945)</f>
        <v>45945</v>
      </c>
      <c r="H1601" s="6" t="str">
        <f ca="1">IFERROR(__xludf.DUMMYFUNCTION("""COMPUTED_VALUE"""),"Valencia- Cádiz")</f>
        <v>Valencia- Cádiz</v>
      </c>
      <c r="I1601" s="6" t="str">
        <f ca="1">IFERROR(__xludf.DUMMYFUNCTION("""COMPUTED_VALUE"""),"C202510151714476751")</f>
        <v>C202510151714476751</v>
      </c>
      <c r="J1601" s="6" t="str">
        <f ca="1">IFERROR(__xludf.DUMMYFUNCTION("""COMPUTED_VALUE"""),"ENCARNACIÓN GOMEZ SECO")</f>
        <v>ENCARNACIÓN GOMEZ SECO</v>
      </c>
      <c r="K1601" s="6">
        <f ca="1">IFERROR(__xludf.DUMMYFUNCTION("""COMPUTED_VALUE"""),1)</f>
        <v>1</v>
      </c>
      <c r="L1601" s="139">
        <f ca="1">IFERROR(__xludf.DUMMYFUNCTION("""COMPUTED_VALUE"""),2180.91)</f>
        <v>2180.91</v>
      </c>
      <c r="M1601" s="6" t="str">
        <f ca="1">IFERROR(__xludf.DUMMYFUNCTION("""COMPUTED_VALUE"""),"03 ORL")</f>
        <v>03 ORL</v>
      </c>
      <c r="N1601" s="6" t="str">
        <f ca="1">IFERROR(__xludf.DUMMYFUNCTION("""COMPUTED_VALUE"""),"06 ORL")</f>
        <v>06 ORL</v>
      </c>
      <c r="O1601" s="6" t="str">
        <f ca="1">IFERROR(__xludf.DUMMYFUNCTION("""COMPUTED_VALUE"""),"Dra, Celia López Molla")</f>
        <v>Dra, Celia López Molla</v>
      </c>
      <c r="P1601" s="6" t="str">
        <f ca="1">IFERROR(__xludf.DUMMYFUNCTION("""COMPUTED_VALUE"""),"Ramon Ferrando(Valencia)")</f>
        <v>Ramon Ferrando(Valencia)</v>
      </c>
    </row>
    <row r="1602" spans="2:16">
      <c r="B1602" s="6">
        <f ca="1">IFERROR(__xludf.DUMMYFUNCTION("""COMPUTED_VALUE"""),2025)</f>
        <v>2025</v>
      </c>
      <c r="C1602" s="6">
        <f ca="1">IFERROR(__xludf.DUMMYFUNCTION("""COMPUTED_VALUE"""),12)</f>
        <v>12</v>
      </c>
      <c r="D1602" s="6" t="str">
        <f ca="1">IFERROR(__xludf.DUMMYFUNCTION("""COMPUTED_VALUE"""),"NO")</f>
        <v>NO</v>
      </c>
      <c r="E1602" s="6" t="str">
        <f ca="1">IFERROR(__xludf.DUMMYFUNCTION("""COMPUTED_VALUE"""),"Murcia")</f>
        <v>Murcia</v>
      </c>
      <c r="F1602" s="16">
        <f ca="1">IFERROR(__xludf.DUMMYFUNCTION("""COMPUTED_VALUE"""),45994)</f>
        <v>45994</v>
      </c>
      <c r="G1602" s="16">
        <f ca="1">IFERROR(__xludf.DUMMYFUNCTION("""COMPUTED_VALUE"""),45972)</f>
        <v>45972</v>
      </c>
      <c r="H1602" s="6" t="str">
        <f ca="1">IFERROR(__xludf.DUMMYFUNCTION("""COMPUTED_VALUE"""),"Murcia")</f>
        <v>Murcia</v>
      </c>
      <c r="I1602" s="6" t="str">
        <f ca="1">IFERROR(__xludf.DUMMYFUNCTION("""COMPUTED_VALUE"""),"C202511111013678445")</f>
        <v>C202511111013678445</v>
      </c>
      <c r="J1602" s="6" t="str">
        <f ca="1">IFERROR(__xludf.DUMMYFUNCTION("""COMPUTED_VALUE"""),"JOSEFA SAEZ MARTINEZ")</f>
        <v>JOSEFA SAEZ MARTINEZ</v>
      </c>
      <c r="K1602" s="6">
        <f ca="1">IFERROR(__xludf.DUMMYFUNCTION("""COMPUTED_VALUE"""),1)</f>
        <v>1</v>
      </c>
      <c r="L1602" s="139">
        <f ca="1">IFERROR(__xludf.DUMMYFUNCTION("""COMPUTED_VALUE"""),2180.91)</f>
        <v>2180.91</v>
      </c>
      <c r="M1602" s="6" t="str">
        <f ca="1">IFERROR(__xludf.DUMMYFUNCTION("""COMPUTED_VALUE"""),"03 ORL")</f>
        <v>03 ORL</v>
      </c>
      <c r="N1602" s="6" t="str">
        <f ca="1">IFERROR(__xludf.DUMMYFUNCTION("""COMPUTED_VALUE"""),"06 ORL")</f>
        <v>06 ORL</v>
      </c>
      <c r="O1602" s="6" t="str">
        <f ca="1">IFERROR(__xludf.DUMMYFUNCTION("""COMPUTED_VALUE"""),"No recuerda ORL")</f>
        <v>No recuerda ORL</v>
      </c>
      <c r="P1602" s="6" t="str">
        <f ca="1">IFERROR(__xludf.DUMMYFUNCTION("""COMPUTED_VALUE"""),"Iván Sánchez (Levante Y Albacete)")</f>
        <v>Iván Sánchez (Levante Y Albacete)</v>
      </c>
    </row>
    <row r="1603" spans="2:16">
      <c r="B1603" s="6">
        <f ca="1">IFERROR(__xludf.DUMMYFUNCTION("""COMPUTED_VALUE"""),2025)</f>
        <v>2025</v>
      </c>
      <c r="C1603" s="6">
        <f ca="1">IFERROR(__xludf.DUMMYFUNCTION("""COMPUTED_VALUE"""),12)</f>
        <v>12</v>
      </c>
      <c r="D1603" s="6" t="str">
        <f ca="1">IFERROR(__xludf.DUMMYFUNCTION("""COMPUTED_VALUE"""),"NO")</f>
        <v>NO</v>
      </c>
      <c r="E1603" s="6" t="str">
        <f ca="1">IFERROR(__xludf.DUMMYFUNCTION("""COMPUTED_VALUE"""),"Culleredo")</f>
        <v>Culleredo</v>
      </c>
      <c r="F1603" s="16">
        <f ca="1">IFERROR(__xludf.DUMMYFUNCTION("""COMPUTED_VALUE"""),45995)</f>
        <v>45995</v>
      </c>
      <c r="G1603" s="16">
        <f ca="1">IFERROR(__xludf.DUMMYFUNCTION("""COMPUTED_VALUE"""),45933)</f>
        <v>45933</v>
      </c>
      <c r="H1603" s="6" t="str">
        <f ca="1">IFERROR(__xludf.DUMMYFUNCTION("""COMPUTED_VALUE"""),"Culleredo")</f>
        <v>Culleredo</v>
      </c>
      <c r="I1603" s="6" t="str">
        <f ca="1">IFERROR(__xludf.DUMMYFUNCTION("""COMPUTED_VALUE"""),"CULL-260")</f>
        <v>CULL-260</v>
      </c>
      <c r="J1603" s="6" t="str">
        <f ca="1">IFERROR(__xludf.DUMMYFUNCTION("""COMPUTED_VALUE"""),"SALVADOR GONZALEZ RODRIGUEZ")</f>
        <v>SALVADOR GONZALEZ RODRIGUEZ</v>
      </c>
      <c r="K1603" s="6">
        <f ca="1">IFERROR(__xludf.DUMMYFUNCTION("""COMPUTED_VALUE"""),2)</f>
        <v>2</v>
      </c>
      <c r="L1603" s="139">
        <f ca="1">IFERROR(__xludf.DUMMYFUNCTION("""COMPUTED_VALUE"""),3545.45)</f>
        <v>3545.45</v>
      </c>
      <c r="M1603" s="6" t="str">
        <f ca="1">IFERROR(__xludf.DUMMYFUNCTION("""COMPUTED_VALUE"""),"03 ORL")</f>
        <v>03 ORL</v>
      </c>
      <c r="N1603" s="6" t="str">
        <f ca="1">IFERROR(__xludf.DUMMYFUNCTION("""COMPUTED_VALUE"""),"06 ORL")</f>
        <v>06 ORL</v>
      </c>
      <c r="O1603" s="6" t="str">
        <f ca="1">IFERROR(__xludf.DUMMYFUNCTION("""COMPUTED_VALUE"""),"Dr. Miguel Mayo Yáñez")</f>
        <v>Dr. Miguel Mayo Yáñez</v>
      </c>
      <c r="P1603" s="6" t="str">
        <f ca="1">IFERROR(__xludf.DUMMYFUNCTION("""COMPUTED_VALUE"""),"Roberto Pereira (Galicia)")</f>
        <v>Roberto Pereira (Galicia)</v>
      </c>
    </row>
    <row r="1604" spans="2:16">
      <c r="B1604" s="6">
        <f ca="1">IFERROR(__xludf.DUMMYFUNCTION("""COMPUTED_VALUE"""),2025)</f>
        <v>2025</v>
      </c>
      <c r="C1604" s="6">
        <f ca="1">IFERROR(__xludf.DUMMYFUNCTION("""COMPUTED_VALUE"""),12)</f>
        <v>12</v>
      </c>
      <c r="D1604" s="6" t="str">
        <f ca="1">IFERROR(__xludf.DUMMYFUNCTION("""COMPUTED_VALUE"""),"NO")</f>
        <v>NO</v>
      </c>
      <c r="E1604" s="6" t="str">
        <f ca="1">IFERROR(__xludf.DUMMYFUNCTION("""COMPUTED_VALUE"""),"Valladolid")</f>
        <v>Valladolid</v>
      </c>
      <c r="F1604" s="16">
        <f ca="1">IFERROR(__xludf.DUMMYFUNCTION("""COMPUTED_VALUE"""),45995)</f>
        <v>45995</v>
      </c>
      <c r="G1604" s="16">
        <f ca="1">IFERROR(__xludf.DUMMYFUNCTION("""COMPUTED_VALUE"""),45950)</f>
        <v>45950</v>
      </c>
      <c r="H1604" s="6" t="str">
        <f ca="1">IFERROR(__xludf.DUMMYFUNCTION("""COMPUTED_VALUE"""),"Valladolid")</f>
        <v>Valladolid</v>
      </c>
      <c r="I1604" s="6" t="str">
        <f ca="1">IFERROR(__xludf.DUMMYFUNCTION("""COMPUTED_VALUE"""),"VLL-462")</f>
        <v>VLL-462</v>
      </c>
      <c r="J1604" s="6" t="str">
        <f ca="1">IFERROR(__xludf.DUMMYFUNCTION("""COMPUTED_VALUE"""),"JOSE ANGEL CASADO GOMEZ")</f>
        <v>JOSE ANGEL CASADO GOMEZ</v>
      </c>
      <c r="K1604" s="6">
        <f ca="1">IFERROR(__xludf.DUMMYFUNCTION("""COMPUTED_VALUE"""),1)</f>
        <v>1</v>
      </c>
      <c r="L1604" s="139">
        <f ca="1">IFERROR(__xludf.DUMMYFUNCTION("""COMPUTED_VALUE"""),2080)</f>
        <v>2080</v>
      </c>
      <c r="M1604" s="6" t="str">
        <f ca="1">IFERROR(__xludf.DUMMYFUNCTION("""COMPUTED_VALUE"""),"03 ORL")</f>
        <v>03 ORL</v>
      </c>
      <c r="N1604" s="6" t="str">
        <f ca="1">IFERROR(__xludf.DUMMYFUNCTION("""COMPUTED_VALUE"""),"06 ORL")</f>
        <v>06 ORL</v>
      </c>
      <c r="O1604" s="6" t="str">
        <f ca="1">IFERROR(__xludf.DUMMYFUNCTION("""COMPUTED_VALUE"""),"Dr. Jesús Eduardo Ramírez Salas")</f>
        <v>Dr. Jesús Eduardo Ramírez Salas</v>
      </c>
      <c r="P1604" s="6" t="str">
        <f ca="1">IFERROR(__xludf.DUMMYFUNCTION("""COMPUTED_VALUE"""),"Alberto Moreno (Madrid)")</f>
        <v>Alberto Moreno (Madrid)</v>
      </c>
    </row>
    <row r="1605" spans="2:16">
      <c r="B1605" s="6">
        <f ca="1">IFERROR(__xludf.DUMMYFUNCTION("""COMPUTED_VALUE"""),2025)</f>
        <v>2025</v>
      </c>
      <c r="C1605" s="6">
        <f ca="1">IFERROR(__xludf.DUMMYFUNCTION("""COMPUTED_VALUE"""),12)</f>
        <v>12</v>
      </c>
      <c r="D1605" s="6" t="str">
        <f ca="1">IFERROR(__xludf.DUMMYFUNCTION("""COMPUTED_VALUE"""),"NO")</f>
        <v>NO</v>
      </c>
      <c r="E1605" s="6" t="str">
        <f ca="1">IFERROR(__xludf.DUMMYFUNCTION("""COMPUTED_VALUE"""),"Madrid- Monforte de Lemos")</f>
        <v>Madrid- Monforte de Lemos</v>
      </c>
      <c r="F1605" s="16">
        <f ca="1">IFERROR(__xludf.DUMMYFUNCTION("""COMPUTED_VALUE"""),45995)</f>
        <v>45995</v>
      </c>
      <c r="G1605" s="16">
        <f ca="1">IFERROR(__xludf.DUMMYFUNCTION("""COMPUTED_VALUE"""),45967)</f>
        <v>45967</v>
      </c>
      <c r="H1605" s="6" t="str">
        <f ca="1">IFERROR(__xludf.DUMMYFUNCTION("""COMPUTED_VALUE"""),"La Vaguada")</f>
        <v>La Vaguada</v>
      </c>
      <c r="I1605" s="6" t="str">
        <f ca="1">IFERROR(__xludf.DUMMYFUNCTION("""COMPUTED_VALUE"""),"C202511611529364302")</f>
        <v>C202511611529364302</v>
      </c>
      <c r="J1605" s="6" t="str">
        <f ca="1">IFERROR(__xludf.DUMMYFUNCTION("""COMPUTED_VALUE"""),"CIRO RAFAEL PEREZ RAMIREZ")</f>
        <v>CIRO RAFAEL PEREZ RAMIREZ</v>
      </c>
      <c r="K1605" s="6">
        <f ca="1">IFERROR(__xludf.DUMMYFUNCTION("""COMPUTED_VALUE"""),2)</f>
        <v>2</v>
      </c>
      <c r="L1605" s="139">
        <f ca="1">IFERROR(__xludf.DUMMYFUNCTION("""COMPUTED_VALUE"""),3631.82)</f>
        <v>3631.82</v>
      </c>
      <c r="M1605" s="6" t="str">
        <f ca="1">IFERROR(__xludf.DUMMYFUNCTION("""COMPUTED_VALUE"""),"03 ORL")</f>
        <v>03 ORL</v>
      </c>
      <c r="N1605" s="6" t="str">
        <f ca="1">IFERROR(__xludf.DUMMYFUNCTION("""COMPUTED_VALUE"""),"06 ORL")</f>
        <v>06 ORL</v>
      </c>
      <c r="O1605" s="6" t="str">
        <f ca="1">IFERROR(__xludf.DUMMYFUNCTION("""COMPUTED_VALUE"""),"Dr, Ignacio Sierra Arbide")</f>
        <v>Dr, Ignacio Sierra Arbide</v>
      </c>
      <c r="P1605" s="6" t="str">
        <f ca="1">IFERROR(__xludf.DUMMYFUNCTION("""COMPUTED_VALUE"""),"Lisandro Russian (Madrid, Cáceres, Toledo, Talavera Y Logroño)")</f>
        <v>Lisandro Russian (Madrid, Cáceres, Toledo, Talavera Y Logroño)</v>
      </c>
    </row>
    <row r="1606" spans="2:16">
      <c r="B1606" s="6">
        <f ca="1">IFERROR(__xludf.DUMMYFUNCTION("""COMPUTED_VALUE"""),2025)</f>
        <v>2025</v>
      </c>
      <c r="C1606" s="6">
        <f ca="1">IFERROR(__xludf.DUMMYFUNCTION("""COMPUTED_VALUE"""),12)</f>
        <v>12</v>
      </c>
      <c r="D1606" s="6" t="str">
        <f ca="1">IFERROR(__xludf.DUMMYFUNCTION("""COMPUTED_VALUE"""),"NO")</f>
        <v>NO</v>
      </c>
      <c r="E1606" s="6" t="str">
        <f ca="1">IFERROR(__xludf.DUMMYFUNCTION("""COMPUTED_VALUE"""),"Ponferrada")</f>
        <v>Ponferrada</v>
      </c>
      <c r="F1606" s="16">
        <f ca="1">IFERROR(__xludf.DUMMYFUNCTION("""COMPUTED_VALUE"""),45995)</f>
        <v>45995</v>
      </c>
      <c r="G1606" s="16">
        <f ca="1">IFERROR(__xludf.DUMMYFUNCTION("""COMPUTED_VALUE"""),45901)</f>
        <v>45901</v>
      </c>
      <c r="H1606" s="6" t="str">
        <f ca="1">IFERROR(__xludf.DUMMYFUNCTION("""COMPUTED_VALUE"""),"Ponferrada")</f>
        <v>Ponferrada</v>
      </c>
      <c r="I1606" s="6" t="str">
        <f ca="1">IFERROR(__xludf.DUMMYFUNCTION("""COMPUTED_VALUE"""),"PON-976")</f>
        <v>PON-976</v>
      </c>
      <c r="J1606" s="6" t="str">
        <f ca="1">IFERROR(__xludf.DUMMYFUNCTION("""COMPUTED_VALUE"""),"LUIS ALVAREZ MOURE")</f>
        <v>LUIS ALVAREZ MOURE</v>
      </c>
      <c r="K1606" s="6">
        <f ca="1">IFERROR(__xludf.DUMMYFUNCTION("""COMPUTED_VALUE"""),2)</f>
        <v>2</v>
      </c>
      <c r="L1606" s="139">
        <f ca="1">IFERROR(__xludf.DUMMYFUNCTION("""COMPUTED_VALUE"""),3618.18)</f>
        <v>3618.18</v>
      </c>
      <c r="M1606" s="6" t="str">
        <f ca="1">IFERROR(__xludf.DUMMYFUNCTION("""COMPUTED_VALUE"""),"03 ORL")</f>
        <v>03 ORL</v>
      </c>
      <c r="N1606" s="6" t="str">
        <f ca="1">IFERROR(__xludf.DUMMYFUNCTION("""COMPUTED_VALUE"""),"06 ORL")</f>
        <v>06 ORL</v>
      </c>
      <c r="O1606" s="6" t="str">
        <f ca="1">IFERROR(__xludf.DUMMYFUNCTION("""COMPUTED_VALUE"""),"Dra, Mónica Granda Rosales")</f>
        <v>Dra, Mónica Granda Rosales</v>
      </c>
      <c r="P1606" s="6" t="str">
        <f ca="1">IFERROR(__xludf.DUMMYFUNCTION("""COMPUTED_VALUE"""),"Alberto Moreno (Madrid)")</f>
        <v>Alberto Moreno (Madrid)</v>
      </c>
    </row>
    <row r="1607" spans="2:16">
      <c r="B1607" s="6">
        <f ca="1">IFERROR(__xludf.DUMMYFUNCTION("""COMPUTED_VALUE"""),2025)</f>
        <v>2025</v>
      </c>
      <c r="C1607" s="6">
        <f ca="1">IFERROR(__xludf.DUMMYFUNCTION("""COMPUTED_VALUE"""),12)</f>
        <v>12</v>
      </c>
      <c r="D1607" s="6" t="str">
        <f ca="1">IFERROR(__xludf.DUMMYFUNCTION("""COMPUTED_VALUE"""),"NO")</f>
        <v>NO</v>
      </c>
      <c r="E1607" s="6" t="str">
        <f ca="1">IFERROR(__xludf.DUMMYFUNCTION("""COMPUTED_VALUE"""),"Alicante")</f>
        <v>Alicante</v>
      </c>
      <c r="F1607" s="16">
        <f ca="1">IFERROR(__xludf.DUMMYFUNCTION("""COMPUTED_VALUE"""),45995)</f>
        <v>45995</v>
      </c>
      <c r="G1607" s="16">
        <f ca="1">IFERROR(__xludf.DUMMYFUNCTION("""COMPUTED_VALUE"""),45971)</f>
        <v>45971</v>
      </c>
      <c r="H1607" s="6" t="str">
        <f ca="1">IFERROR(__xludf.DUMMYFUNCTION("""COMPUTED_VALUE"""),"Alicante")</f>
        <v>Alicante</v>
      </c>
      <c r="I1607" s="6" t="str">
        <f ca="1">IFERROR(__xludf.DUMMYFUNCTION("""COMPUTED_VALUE"""),"C202511101132331111")</f>
        <v>C202511101132331111</v>
      </c>
      <c r="J1607" s="6" t="str">
        <f ca="1">IFERROR(__xludf.DUMMYFUNCTION("""COMPUTED_VALUE"""),"ESPERANZA CAÑIZARES GUTIERREZ")</f>
        <v>ESPERANZA CAÑIZARES GUTIERREZ</v>
      </c>
      <c r="K1607" s="6">
        <f ca="1">IFERROR(__xludf.DUMMYFUNCTION("""COMPUTED_VALUE"""),2)</f>
        <v>2</v>
      </c>
      <c r="L1607" s="139">
        <f ca="1">IFERROR(__xludf.DUMMYFUNCTION("""COMPUTED_VALUE"""),4309.55)</f>
        <v>4309.55</v>
      </c>
      <c r="M1607" s="6" t="str">
        <f ca="1">IFERROR(__xludf.DUMMYFUNCTION("""COMPUTED_VALUE"""),"03 ORL")</f>
        <v>03 ORL</v>
      </c>
      <c r="N1607" s="6" t="str">
        <f ca="1">IFERROR(__xludf.DUMMYFUNCTION("""COMPUTED_VALUE"""),"06 ORL")</f>
        <v>06 ORL</v>
      </c>
      <c r="O1607" s="6" t="str">
        <f ca="1">IFERROR(__xludf.DUMMYFUNCTION("""COMPUTED_VALUE"""),"Dr, Francisco Pastor Beviá")</f>
        <v>Dr, Francisco Pastor Beviá</v>
      </c>
      <c r="P1607" s="6" t="str">
        <f ca="1">IFERROR(__xludf.DUMMYFUNCTION("""COMPUTED_VALUE"""),"Iván Sánchez (Levante Y Albacete)")</f>
        <v>Iván Sánchez (Levante Y Albacete)</v>
      </c>
    </row>
    <row r="1608" spans="2:16">
      <c r="B1608" s="6">
        <f ca="1">IFERROR(__xludf.DUMMYFUNCTION("""COMPUTED_VALUE"""),2025)</f>
        <v>2025</v>
      </c>
      <c r="C1608" s="6">
        <f ca="1">IFERROR(__xludf.DUMMYFUNCTION("""COMPUTED_VALUE"""),12)</f>
        <v>12</v>
      </c>
      <c r="D1608" s="6" t="str">
        <f ca="1">IFERROR(__xludf.DUMMYFUNCTION("""COMPUTED_VALUE"""),"NO")</f>
        <v>NO</v>
      </c>
      <c r="E1608" s="6" t="str">
        <f ca="1">IFERROR(__xludf.DUMMYFUNCTION("""COMPUTED_VALUE"""),"Madrid- Juan Bravo")</f>
        <v>Madrid- Juan Bravo</v>
      </c>
      <c r="F1608" s="16">
        <f ca="1">IFERROR(__xludf.DUMMYFUNCTION("""COMPUTED_VALUE"""),45995)</f>
        <v>45995</v>
      </c>
      <c r="G1608" s="16">
        <f ca="1">IFERROR(__xludf.DUMMYFUNCTION("""COMPUTED_VALUE"""),45959)</f>
        <v>45959</v>
      </c>
      <c r="H1608" s="6" t="str">
        <f ca="1">IFERROR(__xludf.DUMMYFUNCTION("""COMPUTED_VALUE"""),"Juan Bravo")</f>
        <v>Juan Bravo</v>
      </c>
      <c r="I1608" s="6" t="str">
        <f ca="1">IFERROR(__xludf.DUMMYFUNCTION("""COMPUTED_VALUE"""),"C202510291228995143")</f>
        <v>C202510291228995143</v>
      </c>
      <c r="J1608" s="6" t="str">
        <f ca="1">IFERROR(__xludf.DUMMYFUNCTION("""COMPUTED_VALUE"""),"GUADALUPE MARTINEZ MARTIN")</f>
        <v>GUADALUPE MARTINEZ MARTIN</v>
      </c>
      <c r="K1608" s="6">
        <f ca="1">IFERROR(__xludf.DUMMYFUNCTION("""COMPUTED_VALUE"""),2)</f>
        <v>2</v>
      </c>
      <c r="L1608" s="139">
        <f ca="1">IFERROR(__xludf.DUMMYFUNCTION("""COMPUTED_VALUE"""),4136.36)</f>
        <v>4136.3599999999997</v>
      </c>
      <c r="M1608" s="6" t="str">
        <f ca="1">IFERROR(__xludf.DUMMYFUNCTION("""COMPUTED_VALUE"""),"03 ORL")</f>
        <v>03 ORL</v>
      </c>
      <c r="N1608" s="6" t="str">
        <f ca="1">IFERROR(__xludf.DUMMYFUNCTION("""COMPUTED_VALUE"""),"06 ORL")</f>
        <v>06 ORL</v>
      </c>
      <c r="O1608" s="6" t="str">
        <f ca="1">IFERROR(__xludf.DUMMYFUNCTION("""COMPUTED_VALUE"""),"Dra, Inés Pastor Basterra")</f>
        <v>Dra, Inés Pastor Basterra</v>
      </c>
      <c r="P1608" s="6" t="str">
        <f ca="1">IFERROR(__xludf.DUMMYFUNCTION("""COMPUTED_VALUE"""),"Maika Blázquez (Madrid)")</f>
        <v>Maika Blázquez (Madrid)</v>
      </c>
    </row>
    <row r="1609" spans="2:16">
      <c r="B1609" s="6">
        <f ca="1">IFERROR(__xludf.DUMMYFUNCTION("""COMPUTED_VALUE"""),2025)</f>
        <v>2025</v>
      </c>
      <c r="C1609" s="6">
        <f ca="1">IFERROR(__xludf.DUMMYFUNCTION("""COMPUTED_VALUE"""),12)</f>
        <v>12</v>
      </c>
      <c r="D1609" s="6" t="str">
        <f ca="1">IFERROR(__xludf.DUMMYFUNCTION("""COMPUTED_VALUE"""),"NO")</f>
        <v>NO</v>
      </c>
      <c r="E1609" s="6" t="str">
        <f ca="1">IFERROR(__xludf.DUMMYFUNCTION("""COMPUTED_VALUE"""),"Madrid- Juan Bravo")</f>
        <v>Madrid- Juan Bravo</v>
      </c>
      <c r="F1609" s="16">
        <f ca="1">IFERROR(__xludf.DUMMYFUNCTION("""COMPUTED_VALUE"""),45995)</f>
        <v>45995</v>
      </c>
      <c r="G1609" s="16">
        <f ca="1">IFERROR(__xludf.DUMMYFUNCTION("""COMPUTED_VALUE"""),45972)</f>
        <v>45972</v>
      </c>
      <c r="H1609" s="6" t="str">
        <f ca="1">IFERROR(__xludf.DUMMYFUNCTION("""COMPUTED_VALUE"""),"Juan Bravo")</f>
        <v>Juan Bravo</v>
      </c>
      <c r="I1609" s="6" t="str">
        <f ca="1">IFERROR(__xludf.DUMMYFUNCTION("""COMPUTED_VALUE"""),"C202511119590519307")</f>
        <v>C202511119590519307</v>
      </c>
      <c r="J1609" s="6" t="str">
        <f ca="1">IFERROR(__xludf.DUMMYFUNCTION("""COMPUTED_VALUE"""),"MARGARITA BELCHI CARRASCO")</f>
        <v>MARGARITA BELCHI CARRASCO</v>
      </c>
      <c r="K1609" s="6">
        <f ca="1">IFERROR(__xludf.DUMMYFUNCTION("""COMPUTED_VALUE"""),2)</f>
        <v>2</v>
      </c>
      <c r="L1609" s="139">
        <f ca="1">IFERROR(__xludf.DUMMYFUNCTION("""COMPUTED_VALUE"""),2582.27)</f>
        <v>2582.27</v>
      </c>
      <c r="M1609" s="6" t="str">
        <f ca="1">IFERROR(__xludf.DUMMYFUNCTION("""COMPUTED_VALUE"""),"03 ORL")</f>
        <v>03 ORL</v>
      </c>
      <c r="N1609" s="6" t="str">
        <f ca="1">IFERROR(__xludf.DUMMYFUNCTION("""COMPUTED_VALUE"""),"06 ORL")</f>
        <v>06 ORL</v>
      </c>
      <c r="O1609" s="6" t="str">
        <f ca="1">IFERROR(__xludf.DUMMYFUNCTION("""COMPUTED_VALUE"""),"Dr, Javier García Domínguez")</f>
        <v>Dr, Javier García Domínguez</v>
      </c>
      <c r="P1609" s="6" t="str">
        <f ca="1">IFERROR(__xludf.DUMMYFUNCTION("""COMPUTED_VALUE"""),"Maika Blázquez (Madrid)")</f>
        <v>Maika Blázquez (Madrid)</v>
      </c>
    </row>
    <row r="1610" spans="2:16">
      <c r="B1610" s="6">
        <f ca="1">IFERROR(__xludf.DUMMYFUNCTION("""COMPUTED_VALUE"""),2025)</f>
        <v>2025</v>
      </c>
      <c r="C1610" s="6">
        <f ca="1">IFERROR(__xludf.DUMMYFUNCTION("""COMPUTED_VALUE"""),12)</f>
        <v>12</v>
      </c>
      <c r="D1610" s="6" t="str">
        <f ca="1">IFERROR(__xludf.DUMMYFUNCTION("""COMPUTED_VALUE"""),"NO")</f>
        <v>NO</v>
      </c>
      <c r="E1610" s="6" t="str">
        <f ca="1">IFERROR(__xludf.DUMMYFUNCTION("""COMPUTED_VALUE"""),"Ourense")</f>
        <v>Ourense</v>
      </c>
      <c r="F1610" s="16">
        <f ca="1">IFERROR(__xludf.DUMMYFUNCTION("""COMPUTED_VALUE"""),45996)</f>
        <v>45996</v>
      </c>
      <c r="G1610" s="16">
        <f ca="1">IFERROR(__xludf.DUMMYFUNCTION("""COMPUTED_VALUE"""),45980)</f>
        <v>45980</v>
      </c>
      <c r="H1610" s="6" t="str">
        <f ca="1">IFERROR(__xludf.DUMMYFUNCTION("""COMPUTED_VALUE"""),"Orense")</f>
        <v>Orense</v>
      </c>
      <c r="I1610" s="6" t="str">
        <f ca="1">IFERROR(__xludf.DUMMYFUNCTION("""COMPUTED_VALUE"""),"C202511191035455379")</f>
        <v>C202511191035455379</v>
      </c>
      <c r="J1610" s="6" t="str">
        <f ca="1">IFERROR(__xludf.DUMMYFUNCTION("""COMPUTED_VALUE"""),"MARIA LIDIA FERNANDEZ RODRIGUEZ")</f>
        <v>MARIA LIDIA FERNANDEZ RODRIGUEZ</v>
      </c>
      <c r="K1610" s="6">
        <f ca="1">IFERROR(__xludf.DUMMYFUNCTION("""COMPUTED_VALUE"""),1)</f>
        <v>1</v>
      </c>
      <c r="L1610" s="139">
        <f ca="1">IFERROR(__xludf.DUMMYFUNCTION("""COMPUTED_VALUE"""),2180.91)</f>
        <v>2180.91</v>
      </c>
      <c r="M1610" s="6" t="str">
        <f ca="1">IFERROR(__xludf.DUMMYFUNCTION("""COMPUTED_VALUE"""),"03 ORL")</f>
        <v>03 ORL</v>
      </c>
      <c r="N1610" s="6" t="str">
        <f ca="1">IFERROR(__xludf.DUMMYFUNCTION("""COMPUTED_VALUE"""),"06 ORL")</f>
        <v>06 ORL</v>
      </c>
      <c r="O1610" s="6" t="str">
        <f ca="1">IFERROR(__xludf.DUMMYFUNCTION("""COMPUTED_VALUE"""),"Dra, María Rey Marcos")</f>
        <v>Dra, María Rey Marcos</v>
      </c>
      <c r="P1610" s="6" t="str">
        <f ca="1">IFERROR(__xludf.DUMMYFUNCTION("""COMPUTED_VALUE"""),"Roberto Pereira (Galicia)")</f>
        <v>Roberto Pereira (Galicia)</v>
      </c>
    </row>
    <row r="1611" spans="2:16">
      <c r="B1611" s="6">
        <f ca="1">IFERROR(__xludf.DUMMYFUNCTION("""COMPUTED_VALUE"""),2025)</f>
        <v>2025</v>
      </c>
      <c r="C1611" s="6">
        <f ca="1">IFERROR(__xludf.DUMMYFUNCTION("""COMPUTED_VALUE"""),12)</f>
        <v>12</v>
      </c>
      <c r="D1611" s="6" t="str">
        <f ca="1">IFERROR(__xludf.DUMMYFUNCTION("""COMPUTED_VALUE"""),"NO")</f>
        <v>NO</v>
      </c>
      <c r="E1611" s="6" t="str">
        <f ca="1">IFERROR(__xludf.DUMMYFUNCTION("""COMPUTED_VALUE"""),"Getafe")</f>
        <v>Getafe</v>
      </c>
      <c r="F1611" s="16">
        <f ca="1">IFERROR(__xludf.DUMMYFUNCTION("""COMPUTED_VALUE"""),45996)</f>
        <v>45996</v>
      </c>
      <c r="G1611" s="16">
        <f ca="1">IFERROR(__xludf.DUMMYFUNCTION("""COMPUTED_VALUE"""),45944)</f>
        <v>45944</v>
      </c>
      <c r="H1611" s="6" t="str">
        <f ca="1">IFERROR(__xludf.DUMMYFUNCTION("""COMPUTED_VALUE"""),"Getafe")</f>
        <v>Getafe</v>
      </c>
      <c r="I1611" s="6" t="str">
        <f ca="1">IFERROR(__xludf.DUMMYFUNCTION("""COMPUTED_VALUE"""),"C202510141139851465")</f>
        <v>C202510141139851465</v>
      </c>
      <c r="J1611" s="6" t="str">
        <f ca="1">IFERROR(__xludf.DUMMYFUNCTION("""COMPUTED_VALUE"""),"PILAR SÁNZ ÁLVAREZ")</f>
        <v>PILAR SÁNZ ÁLVAREZ</v>
      </c>
      <c r="K1611" s="6">
        <f ca="1">IFERROR(__xludf.DUMMYFUNCTION("""COMPUTED_VALUE"""),2)</f>
        <v>2</v>
      </c>
      <c r="L1611" s="139">
        <f ca="1">IFERROR(__xludf.DUMMYFUNCTION("""COMPUTED_VALUE"""),3363.64)</f>
        <v>3363.64</v>
      </c>
      <c r="M1611" s="6" t="str">
        <f ca="1">IFERROR(__xludf.DUMMYFUNCTION("""COMPUTED_VALUE"""),"03 ORL")</f>
        <v>03 ORL</v>
      </c>
      <c r="N1611" s="6" t="str">
        <f ca="1">IFERROR(__xludf.DUMMYFUNCTION("""COMPUTED_VALUE"""),"06 ORL")</f>
        <v>06 ORL</v>
      </c>
      <c r="O1611" s="6" t="str">
        <f ca="1">IFERROR(__xludf.DUMMYFUNCTION("""COMPUTED_VALUE"""),"Dra, María Garrote Garrote")</f>
        <v>Dra, María Garrote Garrote</v>
      </c>
      <c r="P1611" s="6" t="str">
        <f ca="1">IFERROR(__xludf.DUMMYFUNCTION("""COMPUTED_VALUE"""),"Maika Blázquez (Madrid)")</f>
        <v>Maika Blázquez (Madrid)</v>
      </c>
    </row>
    <row r="1612" spans="2:16">
      <c r="B1612" s="6">
        <f ca="1">IFERROR(__xludf.DUMMYFUNCTION("""COMPUTED_VALUE"""),2025)</f>
        <v>2025</v>
      </c>
      <c r="C1612" s="6">
        <f ca="1">IFERROR(__xludf.DUMMYFUNCTION("""COMPUTED_VALUE"""),12)</f>
        <v>12</v>
      </c>
      <c r="D1612" s="6" t="str">
        <f ca="1">IFERROR(__xludf.DUMMYFUNCTION("""COMPUTED_VALUE"""),"NO")</f>
        <v>NO</v>
      </c>
      <c r="E1612" s="6" t="str">
        <f ca="1">IFERROR(__xludf.DUMMYFUNCTION("""COMPUTED_VALUE"""),"Murcia")</f>
        <v>Murcia</v>
      </c>
      <c r="F1612" s="16">
        <f ca="1">IFERROR(__xludf.DUMMYFUNCTION("""COMPUTED_VALUE"""),45996)</f>
        <v>45996</v>
      </c>
      <c r="G1612" s="16">
        <f ca="1">IFERROR(__xludf.DUMMYFUNCTION("""COMPUTED_VALUE"""),45966)</f>
        <v>45966</v>
      </c>
      <c r="H1612" s="6" t="str">
        <f ca="1">IFERROR(__xludf.DUMMYFUNCTION("""COMPUTED_VALUE"""),"Murcia")</f>
        <v>Murcia</v>
      </c>
      <c r="I1612" s="6" t="str">
        <f ca="1">IFERROR(__xludf.DUMMYFUNCTION("""COMPUTED_VALUE"""),"C202511517111135123")</f>
        <v>C202511517111135123</v>
      </c>
      <c r="J1612" s="6" t="str">
        <f ca="1">IFERROR(__xludf.DUMMYFUNCTION("""COMPUTED_VALUE"""),"JOSE ANTONIO ABENZA PASTOR")</f>
        <v>JOSE ANTONIO ABENZA PASTOR</v>
      </c>
      <c r="K1612" s="6">
        <f ca="1">IFERROR(__xludf.DUMMYFUNCTION("""COMPUTED_VALUE"""),1)</f>
        <v>1</v>
      </c>
      <c r="L1612" s="139">
        <f ca="1">IFERROR(__xludf.DUMMYFUNCTION("""COMPUTED_VALUE"""),2180.91)</f>
        <v>2180.91</v>
      </c>
      <c r="M1612" s="6" t="str">
        <f ca="1">IFERROR(__xludf.DUMMYFUNCTION("""COMPUTED_VALUE"""),"03 ORL")</f>
        <v>03 ORL</v>
      </c>
      <c r="N1612" s="6" t="str">
        <f ca="1">IFERROR(__xludf.DUMMYFUNCTION("""COMPUTED_VALUE"""),"06 ORL")</f>
        <v>06 ORL</v>
      </c>
      <c r="O1612" s="6" t="str">
        <f ca="1">IFERROR(__xludf.DUMMYFUNCTION("""COMPUTED_VALUE"""),"Dra, María Agustina Sevilla García")</f>
        <v>Dra, María Agustina Sevilla García</v>
      </c>
      <c r="P1612" s="6" t="str">
        <f ca="1">IFERROR(__xludf.DUMMYFUNCTION("""COMPUTED_VALUE"""),"Iván Sánchez (Levante Y Albacete)")</f>
        <v>Iván Sánchez (Levante Y Albacete)</v>
      </c>
    </row>
    <row r="1613" spans="2:16">
      <c r="B1613" s="6">
        <f ca="1">IFERROR(__xludf.DUMMYFUNCTION("""COMPUTED_VALUE"""),2025)</f>
        <v>2025</v>
      </c>
      <c r="C1613" s="6">
        <f ca="1">IFERROR(__xludf.DUMMYFUNCTION("""COMPUTED_VALUE"""),12)</f>
        <v>12</v>
      </c>
      <c r="D1613" s="6" t="str">
        <f ca="1">IFERROR(__xludf.DUMMYFUNCTION("""COMPUTED_VALUE"""),"NO")</f>
        <v>NO</v>
      </c>
      <c r="E1613" s="6" t="str">
        <f ca="1">IFERROR(__xludf.DUMMYFUNCTION("""COMPUTED_VALUE"""),"León")</f>
        <v>León</v>
      </c>
      <c r="F1613" s="16">
        <f ca="1">IFERROR(__xludf.DUMMYFUNCTION("""COMPUTED_VALUE"""),46000)</f>
        <v>46000</v>
      </c>
      <c r="G1613" s="16">
        <f ca="1">IFERROR(__xludf.DUMMYFUNCTION("""COMPUTED_VALUE"""),45811)</f>
        <v>45811</v>
      </c>
      <c r="H1613" s="6" t="str">
        <f ca="1">IFERROR(__xludf.DUMMYFUNCTION("""COMPUTED_VALUE"""),"León")</f>
        <v>León</v>
      </c>
      <c r="I1613" s="6" t="str">
        <f ca="1">IFERROR(__xludf.DUMMYFUNCTION("""COMPUTED_VALUE"""),"LEO-483")</f>
        <v>LEO-483</v>
      </c>
      <c r="J1613" s="6" t="str">
        <f ca="1">IFERROR(__xludf.DUMMYFUNCTION("""COMPUTED_VALUE"""),"MARIA ELENA GONZALEZ DEL CANTO")</f>
        <v>MARIA ELENA GONZALEZ DEL CANTO</v>
      </c>
      <c r="K1613" s="6">
        <f ca="1">IFERROR(__xludf.DUMMYFUNCTION("""COMPUTED_VALUE"""),2)</f>
        <v>2</v>
      </c>
      <c r="L1613" s="139">
        <f ca="1">IFERROR(__xludf.DUMMYFUNCTION("""COMPUTED_VALUE"""),4134.62)</f>
        <v>4134.62</v>
      </c>
      <c r="M1613" s="6" t="str">
        <f ca="1">IFERROR(__xludf.DUMMYFUNCTION("""COMPUTED_VALUE"""),"03 ORL")</f>
        <v>03 ORL</v>
      </c>
      <c r="N1613" s="6" t="str">
        <f ca="1">IFERROR(__xludf.DUMMYFUNCTION("""COMPUTED_VALUE"""),"06 ORL")</f>
        <v>06 ORL</v>
      </c>
      <c r="O1613" s="6" t="str">
        <f ca="1">IFERROR(__xludf.DUMMYFUNCTION("""COMPUTED_VALUE"""),"Dr. Rafael Pérez González")</f>
        <v>Dr. Rafael Pérez González</v>
      </c>
      <c r="P1613" s="6" t="str">
        <f ca="1">IFERROR(__xludf.DUMMYFUNCTION("""COMPUTED_VALUE"""),"Patricia Solache (Castilla Y León)")</f>
        <v>Patricia Solache (Castilla Y León)</v>
      </c>
    </row>
    <row r="1614" spans="2:16">
      <c r="B1614" s="6">
        <f ca="1">IFERROR(__xludf.DUMMYFUNCTION("""COMPUTED_VALUE"""),2025)</f>
        <v>2025</v>
      </c>
      <c r="C1614" s="6">
        <f ca="1">IFERROR(__xludf.DUMMYFUNCTION("""COMPUTED_VALUE"""),12)</f>
        <v>12</v>
      </c>
      <c r="D1614" s="6" t="str">
        <f ca="1">IFERROR(__xludf.DUMMYFUNCTION("""COMPUTED_VALUE"""),"NO")</f>
        <v>NO</v>
      </c>
      <c r="E1614" s="6" t="str">
        <f ca="1">IFERROR(__xludf.DUMMYFUNCTION("""COMPUTED_VALUE"""),"Valencia- Cádiz")</f>
        <v>Valencia- Cádiz</v>
      </c>
      <c r="F1614" s="16">
        <f ca="1">IFERROR(__xludf.DUMMYFUNCTION("""COMPUTED_VALUE"""),46000)</f>
        <v>46000</v>
      </c>
      <c r="G1614" s="16">
        <f ca="1">IFERROR(__xludf.DUMMYFUNCTION("""COMPUTED_VALUE"""),45918)</f>
        <v>45918</v>
      </c>
      <c r="H1614" s="6" t="str">
        <f ca="1">IFERROR(__xludf.DUMMYFUNCTION("""COMPUTED_VALUE"""),"Valencia- Cádiz")</f>
        <v>Valencia- Cádiz</v>
      </c>
      <c r="I1614" s="6" t="str">
        <f ca="1">IFERROR(__xludf.DUMMYFUNCTION("""COMPUTED_VALUE"""),"C2025106123231664")</f>
        <v>C2025106123231664</v>
      </c>
      <c r="J1614" s="6" t="str">
        <f ca="1">IFERROR(__xludf.DUMMYFUNCTION("""COMPUTED_VALUE"""),"RAMON ALAPONT PLANELLS")</f>
        <v>RAMON ALAPONT PLANELLS</v>
      </c>
      <c r="K1614" s="6">
        <f ca="1">IFERROR(__xludf.DUMMYFUNCTION("""COMPUTED_VALUE"""),2)</f>
        <v>2</v>
      </c>
      <c r="L1614" s="139">
        <f ca="1">IFERROR(__xludf.DUMMYFUNCTION("""COMPUTED_VALUE"""),3450.23)</f>
        <v>3450.23</v>
      </c>
      <c r="M1614" s="6" t="str">
        <f ca="1">IFERROR(__xludf.DUMMYFUNCTION("""COMPUTED_VALUE"""),"03 ORL")</f>
        <v>03 ORL</v>
      </c>
      <c r="N1614" s="6" t="str">
        <f ca="1">IFERROR(__xludf.DUMMYFUNCTION("""COMPUTED_VALUE"""),"06 ORL")</f>
        <v>06 ORL</v>
      </c>
      <c r="O1614" s="6" t="str">
        <f ca="1">IFERROR(__xludf.DUMMYFUNCTION("""COMPUTED_VALUE"""),"Dr, Alfonso García Piñero")</f>
        <v>Dr, Alfonso García Piñero</v>
      </c>
      <c r="P1614" s="6" t="str">
        <f ca="1">IFERROR(__xludf.DUMMYFUNCTION("""COMPUTED_VALUE"""),"Iván Sánchez (Levante Y Albacete)")</f>
        <v>Iván Sánchez (Levante Y Albacete)</v>
      </c>
    </row>
    <row r="1615" spans="2:16">
      <c r="B1615" s="6">
        <f ca="1">IFERROR(__xludf.DUMMYFUNCTION("""COMPUTED_VALUE"""),2025)</f>
        <v>2025</v>
      </c>
      <c r="C1615" s="6">
        <f ca="1">IFERROR(__xludf.DUMMYFUNCTION("""COMPUTED_VALUE"""),12)</f>
        <v>12</v>
      </c>
      <c r="D1615" s="6" t="str">
        <f ca="1">IFERROR(__xludf.DUMMYFUNCTION("""COMPUTED_VALUE"""),"NO")</f>
        <v>NO</v>
      </c>
      <c r="E1615" s="6" t="str">
        <f ca="1">IFERROR(__xludf.DUMMYFUNCTION("""COMPUTED_VALUE"""),"Madrid- Costa Rica")</f>
        <v>Madrid- Costa Rica</v>
      </c>
      <c r="F1615" s="16">
        <f ca="1">IFERROR(__xludf.DUMMYFUNCTION("""COMPUTED_VALUE"""),46000)</f>
        <v>46000</v>
      </c>
      <c r="G1615" s="16">
        <f ca="1">IFERROR(__xludf.DUMMYFUNCTION("""COMPUTED_VALUE"""),45945)</f>
        <v>45945</v>
      </c>
      <c r="H1615" s="6" t="str">
        <f ca="1">IFERROR(__xludf.DUMMYFUNCTION("""COMPUTED_VALUE"""),"Costa Rica")</f>
        <v>Costa Rica</v>
      </c>
      <c r="I1615" s="6" t="str">
        <f ca="1">IFERROR(__xludf.DUMMYFUNCTION("""COMPUTED_VALUE"""),"C202510151420103828")</f>
        <v>C202510151420103828</v>
      </c>
      <c r="J1615" s="6" t="str">
        <f ca="1">IFERROR(__xludf.DUMMYFUNCTION("""COMPUTED_VALUE"""),"PILAR  DIEZ RAMOS")</f>
        <v>PILAR  DIEZ RAMOS</v>
      </c>
      <c r="K1615" s="6">
        <f ca="1">IFERROR(__xludf.DUMMYFUNCTION("""COMPUTED_VALUE"""),1)</f>
        <v>1</v>
      </c>
      <c r="L1615" s="139">
        <f ca="1">IFERROR(__xludf.DUMMYFUNCTION("""COMPUTED_VALUE"""),2162.73)</f>
        <v>2162.73</v>
      </c>
      <c r="M1615" s="6" t="str">
        <f ca="1">IFERROR(__xludf.DUMMYFUNCTION("""COMPUTED_VALUE"""),"03 ORL")</f>
        <v>03 ORL</v>
      </c>
      <c r="N1615" s="6" t="str">
        <f ca="1">IFERROR(__xludf.DUMMYFUNCTION("""COMPUTED_VALUE"""),"06 ORL")</f>
        <v>06 ORL</v>
      </c>
      <c r="O1615" s="6" t="str">
        <f ca="1">IFERROR(__xludf.DUMMYFUNCTION("""COMPUTED_VALUE"""),"Dra, Karla Natali Montaño Rueda")</f>
        <v>Dra, Karla Natali Montaño Rueda</v>
      </c>
      <c r="P1615" s="6" t="str">
        <f ca="1">IFERROR(__xludf.DUMMYFUNCTION("""COMPUTED_VALUE"""),"Maika Blázquez (Madrid)")</f>
        <v>Maika Blázquez (Madrid)</v>
      </c>
    </row>
    <row r="1616" spans="2:16">
      <c r="B1616" s="6">
        <f ca="1">IFERROR(__xludf.DUMMYFUNCTION("""COMPUTED_VALUE"""),2025)</f>
        <v>2025</v>
      </c>
      <c r="C1616" s="6">
        <f ca="1">IFERROR(__xludf.DUMMYFUNCTION("""COMPUTED_VALUE"""),12)</f>
        <v>12</v>
      </c>
      <c r="D1616" s="6" t="str">
        <f ca="1">IFERROR(__xludf.DUMMYFUNCTION("""COMPUTED_VALUE"""),"NO")</f>
        <v>NO</v>
      </c>
      <c r="E1616" s="6" t="str">
        <f ca="1">IFERROR(__xludf.DUMMYFUNCTION("""COMPUTED_VALUE"""),"Orihuela")</f>
        <v>Orihuela</v>
      </c>
      <c r="F1616" s="16">
        <f ca="1">IFERROR(__xludf.DUMMYFUNCTION("""COMPUTED_VALUE"""),46000)</f>
        <v>46000</v>
      </c>
      <c r="G1616" s="16">
        <f ca="1">IFERROR(__xludf.DUMMYFUNCTION("""COMPUTED_VALUE"""),45971)</f>
        <v>45971</v>
      </c>
      <c r="H1616" s="6" t="str">
        <f ca="1">IFERROR(__xludf.DUMMYFUNCTION("""COMPUTED_VALUE"""),"La Zenia")</f>
        <v>La Zenia</v>
      </c>
      <c r="I1616" s="6" t="str">
        <f ca="1">IFERROR(__xludf.DUMMYFUNCTION("""COMPUTED_VALUE"""),"C202511101140825794")</f>
        <v>C202511101140825794</v>
      </c>
      <c r="J1616" s="6" t="str">
        <f ca="1">IFERROR(__xludf.DUMMYFUNCTION("""COMPUTED_VALUE"""),"STUART WILLIAM HORROCKS")</f>
        <v>STUART WILLIAM HORROCKS</v>
      </c>
      <c r="K1616" s="6">
        <f ca="1">IFERROR(__xludf.DUMMYFUNCTION("""COMPUTED_VALUE"""),2)</f>
        <v>2</v>
      </c>
      <c r="L1616" s="139">
        <f ca="1">IFERROR(__xludf.DUMMYFUNCTION("""COMPUTED_VALUE"""),4136.36)</f>
        <v>4136.3599999999997</v>
      </c>
      <c r="M1616" s="6" t="str">
        <f ca="1">IFERROR(__xludf.DUMMYFUNCTION("""COMPUTED_VALUE"""),"03 ORL")</f>
        <v>03 ORL</v>
      </c>
      <c r="N1616" s="6" t="str">
        <f ca="1">IFERROR(__xludf.DUMMYFUNCTION("""COMPUTED_VALUE"""),"06 ORL")</f>
        <v>06 ORL</v>
      </c>
      <c r="O1616" s="6" t="str">
        <f ca="1">IFERROR(__xludf.DUMMYFUNCTION("""COMPUTED_VALUE"""),"Dr, Carlos Velásquez Fermín")</f>
        <v>Dr, Carlos Velásquez Fermín</v>
      </c>
      <c r="P1616" s="6" t="str">
        <f ca="1">IFERROR(__xludf.DUMMYFUNCTION("""COMPUTED_VALUE"""),"Iván Sánchez (Levante Y Albacete)")</f>
        <v>Iván Sánchez (Levante Y Albacete)</v>
      </c>
    </row>
    <row r="1617" spans="2:16">
      <c r="B1617" s="6">
        <f ca="1">IFERROR(__xludf.DUMMYFUNCTION("""COMPUTED_VALUE"""),2025)</f>
        <v>2025</v>
      </c>
      <c r="C1617" s="6">
        <f ca="1">IFERROR(__xludf.DUMMYFUNCTION("""COMPUTED_VALUE"""),12)</f>
        <v>12</v>
      </c>
      <c r="D1617" s="6" t="str">
        <f ca="1">IFERROR(__xludf.DUMMYFUNCTION("""COMPUTED_VALUE"""),"NO")</f>
        <v>NO</v>
      </c>
      <c r="E1617" s="6" t="str">
        <f ca="1">IFERROR(__xludf.DUMMYFUNCTION("""COMPUTED_VALUE"""),"Badajoz")</f>
        <v>Badajoz</v>
      </c>
      <c r="F1617" s="16">
        <f ca="1">IFERROR(__xludf.DUMMYFUNCTION("""COMPUTED_VALUE"""),46000)</f>
        <v>46000</v>
      </c>
      <c r="G1617" s="16">
        <f ca="1">IFERROR(__xludf.DUMMYFUNCTION("""COMPUTED_VALUE"""),45953)</f>
        <v>45953</v>
      </c>
      <c r="H1617" s="6" t="str">
        <f ca="1">IFERROR(__xludf.DUMMYFUNCTION("""COMPUTED_VALUE"""),"Badajoz")</f>
        <v>Badajoz</v>
      </c>
      <c r="I1617" s="6" t="str">
        <f ca="1">IFERROR(__xludf.DUMMYFUNCTION("""COMPUTED_VALUE"""),"BJZE-2536")</f>
        <v>BJZE-2536</v>
      </c>
      <c r="J1617" s="6" t="str">
        <f ca="1">IFERROR(__xludf.DUMMYFUNCTION("""COMPUTED_VALUE"""),"GREGORIA DOMINGUEZ PEREZ")</f>
        <v>GREGORIA DOMINGUEZ PEREZ</v>
      </c>
      <c r="K1617" s="6">
        <f ca="1">IFERROR(__xludf.DUMMYFUNCTION("""COMPUTED_VALUE"""),2)</f>
        <v>2</v>
      </c>
      <c r="L1617" s="139">
        <f ca="1">IFERROR(__xludf.DUMMYFUNCTION("""COMPUTED_VALUE"""),3263.64)</f>
        <v>3263.64</v>
      </c>
      <c r="M1617" s="6" t="str">
        <f ca="1">IFERROR(__xludf.DUMMYFUNCTION("""COMPUTED_VALUE"""),"03 ORL")</f>
        <v>03 ORL</v>
      </c>
      <c r="N1617" s="6" t="str">
        <f ca="1">IFERROR(__xludf.DUMMYFUNCTION("""COMPUTED_VALUE"""),"06 ORL")</f>
        <v>06 ORL</v>
      </c>
      <c r="O1617" s="6" t="str">
        <f ca="1">IFERROR(__xludf.DUMMYFUNCTION("""COMPUTED_VALUE"""),"Dr, Carlos Montero García")</f>
        <v>Dr, Carlos Montero García</v>
      </c>
      <c r="P1617" s="6" t="str">
        <f ca="1">IFERROR(__xludf.DUMMYFUNCTION("""COMPUTED_VALUE"""),"Luis Alberto Rodríguez (Andalucía y Badajoz)")</f>
        <v>Luis Alberto Rodríguez (Andalucía y Badajoz)</v>
      </c>
    </row>
    <row r="1618" spans="2:16">
      <c r="B1618" s="6">
        <f ca="1">IFERROR(__xludf.DUMMYFUNCTION("""COMPUTED_VALUE"""),2025)</f>
        <v>2025</v>
      </c>
      <c r="C1618" s="6">
        <f ca="1">IFERROR(__xludf.DUMMYFUNCTION("""COMPUTED_VALUE"""),12)</f>
        <v>12</v>
      </c>
      <c r="D1618" s="6" t="str">
        <f ca="1">IFERROR(__xludf.DUMMYFUNCTION("""COMPUTED_VALUE"""),"NO")</f>
        <v>NO</v>
      </c>
      <c r="E1618" s="6" t="str">
        <f ca="1">IFERROR(__xludf.DUMMYFUNCTION("""COMPUTED_VALUE"""),"Alicante")</f>
        <v>Alicante</v>
      </c>
      <c r="F1618" s="16">
        <f ca="1">IFERROR(__xludf.DUMMYFUNCTION("""COMPUTED_VALUE"""),46000)</f>
        <v>46000</v>
      </c>
      <c r="G1618" s="16">
        <f ca="1">IFERROR(__xludf.DUMMYFUNCTION("""COMPUTED_VALUE"""),45964)</f>
        <v>45964</v>
      </c>
      <c r="H1618" s="6" t="str">
        <f ca="1">IFERROR(__xludf.DUMMYFUNCTION("""COMPUTED_VALUE"""),"Alicante")</f>
        <v>Alicante</v>
      </c>
      <c r="I1618" s="6" t="str">
        <f ca="1">IFERROR(__xludf.DUMMYFUNCTION("""COMPUTED_VALUE"""),"C202511311355108852")</f>
        <v>C202511311355108852</v>
      </c>
      <c r="J1618" s="6" t="str">
        <f ca="1">IFERROR(__xludf.DUMMYFUNCTION("""COMPUTED_VALUE"""),"RAFAEL GARCIA CASANOVA")</f>
        <v>RAFAEL GARCIA CASANOVA</v>
      </c>
      <c r="K1618" s="6">
        <f ca="1">IFERROR(__xludf.DUMMYFUNCTION("""COMPUTED_VALUE"""),2)</f>
        <v>2</v>
      </c>
      <c r="L1618" s="139">
        <f ca="1">IFERROR(__xludf.DUMMYFUNCTION("""COMPUTED_VALUE"""),2718.18)</f>
        <v>2718.18</v>
      </c>
      <c r="M1618" s="6" t="str">
        <f ca="1">IFERROR(__xludf.DUMMYFUNCTION("""COMPUTED_VALUE"""),"03 ORL")</f>
        <v>03 ORL</v>
      </c>
      <c r="N1618" s="6" t="str">
        <f ca="1">IFERROR(__xludf.DUMMYFUNCTION("""COMPUTED_VALUE"""),"06 ORL")</f>
        <v>06 ORL</v>
      </c>
      <c r="O1618" s="6" t="str">
        <f ca="1">IFERROR(__xludf.DUMMYFUNCTION("""COMPUTED_VALUE"""),"Dr, Félix Ruíz de la Cuesta Juste")</f>
        <v>Dr, Félix Ruíz de la Cuesta Juste</v>
      </c>
      <c r="P1618" s="6" t="str">
        <f ca="1">IFERROR(__xludf.DUMMYFUNCTION("""COMPUTED_VALUE"""),"Iván Sánchez (Levante Y Albacete)")</f>
        <v>Iván Sánchez (Levante Y Albacete)</v>
      </c>
    </row>
    <row r="1619" spans="2:16">
      <c r="B1619" s="6">
        <f ca="1">IFERROR(__xludf.DUMMYFUNCTION("""COMPUTED_VALUE"""),2025)</f>
        <v>2025</v>
      </c>
      <c r="C1619" s="6">
        <f ca="1">IFERROR(__xludf.DUMMYFUNCTION("""COMPUTED_VALUE"""),12)</f>
        <v>12</v>
      </c>
      <c r="D1619" s="6" t="str">
        <f ca="1">IFERROR(__xludf.DUMMYFUNCTION("""COMPUTED_VALUE"""),"NO")</f>
        <v>NO</v>
      </c>
      <c r="E1619" s="6" t="str">
        <f ca="1">IFERROR(__xludf.DUMMYFUNCTION("""COMPUTED_VALUE"""),"Getafe")</f>
        <v>Getafe</v>
      </c>
      <c r="F1619" s="16">
        <f ca="1">IFERROR(__xludf.DUMMYFUNCTION("""COMPUTED_VALUE"""),46000)</f>
        <v>46000</v>
      </c>
      <c r="G1619" s="16">
        <f ca="1">IFERROR(__xludf.DUMMYFUNCTION("""COMPUTED_VALUE"""),45953)</f>
        <v>45953</v>
      </c>
      <c r="H1619" s="6" t="str">
        <f ca="1">IFERROR(__xludf.DUMMYFUNCTION("""COMPUTED_VALUE"""),"Getafe")</f>
        <v>Getafe</v>
      </c>
      <c r="I1619" s="6" t="str">
        <f ca="1">IFERROR(__xludf.DUMMYFUNCTION("""COMPUTED_VALUE"""),"C202510231749396501")</f>
        <v>C202510231749396501</v>
      </c>
      <c r="J1619" s="6" t="str">
        <f ca="1">IFERROR(__xludf.DUMMYFUNCTION("""COMPUTED_VALUE"""),"FELICIANO MARTÍNEZ MEGÍAS")</f>
        <v>FELICIANO MARTÍNEZ MEGÍAS</v>
      </c>
      <c r="K1619" s="6">
        <f ca="1">IFERROR(__xludf.DUMMYFUNCTION("""COMPUTED_VALUE"""),2)</f>
        <v>2</v>
      </c>
      <c r="L1619" s="139">
        <f ca="1">IFERROR(__xludf.DUMMYFUNCTION("""COMPUTED_VALUE"""),2718.18)</f>
        <v>2718.18</v>
      </c>
      <c r="M1619" s="6" t="str">
        <f ca="1">IFERROR(__xludf.DUMMYFUNCTION("""COMPUTED_VALUE"""),"03 ORL")</f>
        <v>03 ORL</v>
      </c>
      <c r="N1619" s="6" t="str">
        <f ca="1">IFERROR(__xludf.DUMMYFUNCTION("""COMPUTED_VALUE"""),"06 ORL")</f>
        <v>06 ORL</v>
      </c>
      <c r="O1619" s="6" t="str">
        <f ca="1">IFERROR(__xludf.DUMMYFUNCTION("""COMPUTED_VALUE"""),"Dra, Marta Colmenero Ruiz")</f>
        <v>Dra, Marta Colmenero Ruiz</v>
      </c>
      <c r="P1619" s="6" t="str">
        <f ca="1">IFERROR(__xludf.DUMMYFUNCTION("""COMPUTED_VALUE"""),"Maika Blázquez (Madrid)")</f>
        <v>Maika Blázquez (Madrid)</v>
      </c>
    </row>
    <row r="1620" spans="2:16">
      <c r="B1620" s="6">
        <f ca="1">IFERROR(__xludf.DUMMYFUNCTION("""COMPUTED_VALUE"""),2025)</f>
        <v>2025</v>
      </c>
      <c r="C1620" s="6">
        <f ca="1">IFERROR(__xludf.DUMMYFUNCTION("""COMPUTED_VALUE"""),12)</f>
        <v>12</v>
      </c>
      <c r="D1620" s="6" t="str">
        <f ca="1">IFERROR(__xludf.DUMMYFUNCTION("""COMPUTED_VALUE"""),"NO")</f>
        <v>NO</v>
      </c>
      <c r="E1620" s="6" t="str">
        <f ca="1">IFERROR(__xludf.DUMMYFUNCTION("""COMPUTED_VALUE"""),"León")</f>
        <v>León</v>
      </c>
      <c r="F1620" s="16">
        <f ca="1">IFERROR(__xludf.DUMMYFUNCTION("""COMPUTED_VALUE"""),46001)</f>
        <v>46001</v>
      </c>
      <c r="G1620" s="16">
        <f ca="1">IFERROR(__xludf.DUMMYFUNCTION("""COMPUTED_VALUE"""),45986)</f>
        <v>45986</v>
      </c>
      <c r="H1620" s="6" t="str">
        <f ca="1">IFERROR(__xludf.DUMMYFUNCTION("""COMPUTED_VALUE"""),"León")</f>
        <v>León</v>
      </c>
      <c r="I1620" s="6" t="str">
        <f ca="1">IFERROR(__xludf.DUMMYFUNCTION("""COMPUTED_VALUE"""),"LEO-593")</f>
        <v>LEO-593</v>
      </c>
      <c r="J1620" s="6" t="str">
        <f ca="1">IFERROR(__xludf.DUMMYFUNCTION("""COMPUTED_VALUE"""),"ALFREDO GONZALEZ FERNANDEZ")</f>
        <v>ALFREDO GONZALEZ FERNANDEZ</v>
      </c>
      <c r="K1620" s="6">
        <f ca="1">IFERROR(__xludf.DUMMYFUNCTION("""COMPUTED_VALUE"""),2)</f>
        <v>2</v>
      </c>
      <c r="L1620" s="139">
        <f ca="1">IFERROR(__xludf.DUMMYFUNCTION("""COMPUTED_VALUE"""),1818.18)</f>
        <v>1818.18</v>
      </c>
      <c r="M1620" s="6" t="str">
        <f ca="1">IFERROR(__xludf.DUMMYFUNCTION("""COMPUTED_VALUE"""),"03 ORL")</f>
        <v>03 ORL</v>
      </c>
      <c r="N1620" s="6" t="str">
        <f ca="1">IFERROR(__xludf.DUMMYFUNCTION("""COMPUTED_VALUE"""),"06 ORL")</f>
        <v>06 ORL</v>
      </c>
      <c r="O1620" s="6" t="str">
        <f ca="1">IFERROR(__xludf.DUMMYFUNCTION("""COMPUTED_VALUE"""),"Dra. Mónica Granda Rosales")</f>
        <v>Dra. Mónica Granda Rosales</v>
      </c>
      <c r="P1620" s="6" t="str">
        <f ca="1">IFERROR(__xludf.DUMMYFUNCTION("""COMPUTED_VALUE"""),"Alberto Moreno (Madrid)")</f>
        <v>Alberto Moreno (Madrid)</v>
      </c>
    </row>
    <row r="1621" spans="2:16">
      <c r="B1621" s="6">
        <f ca="1">IFERROR(__xludf.DUMMYFUNCTION("""COMPUTED_VALUE"""),2025)</f>
        <v>2025</v>
      </c>
      <c r="C1621" s="6">
        <f ca="1">IFERROR(__xludf.DUMMYFUNCTION("""COMPUTED_VALUE"""),12)</f>
        <v>12</v>
      </c>
      <c r="D1621" s="6" t="str">
        <f ca="1">IFERROR(__xludf.DUMMYFUNCTION("""COMPUTED_VALUE"""),"NO")</f>
        <v>NO</v>
      </c>
      <c r="E1621" s="6" t="str">
        <f ca="1">IFERROR(__xludf.DUMMYFUNCTION("""COMPUTED_VALUE"""),"Alicante")</f>
        <v>Alicante</v>
      </c>
      <c r="F1621" s="16">
        <f ca="1">IFERROR(__xludf.DUMMYFUNCTION("""COMPUTED_VALUE"""),46001)</f>
        <v>46001</v>
      </c>
      <c r="G1621" s="16">
        <f ca="1">IFERROR(__xludf.DUMMYFUNCTION("""COMPUTED_VALUE"""),45966)</f>
        <v>45966</v>
      </c>
      <c r="H1621" s="6" t="str">
        <f ca="1">IFERROR(__xludf.DUMMYFUNCTION("""COMPUTED_VALUE"""),"Alicante")</f>
        <v>Alicante</v>
      </c>
      <c r="I1621" s="6" t="str">
        <f ca="1">IFERROR(__xludf.DUMMYFUNCTION("""COMPUTED_VALUE"""),"C202511510201532322")</f>
        <v>C202511510201532322</v>
      </c>
      <c r="J1621" s="6" t="str">
        <f ca="1">IFERROR(__xludf.DUMMYFUNCTION("""COMPUTED_VALUE"""),"MARIA TERESA MEDINA SANTILLANA")</f>
        <v>MARIA TERESA MEDINA SANTILLANA</v>
      </c>
      <c r="K1621" s="6">
        <f ca="1">IFERROR(__xludf.DUMMYFUNCTION("""COMPUTED_VALUE"""),2)</f>
        <v>2</v>
      </c>
      <c r="L1621" s="139">
        <f ca="1">IFERROR(__xludf.DUMMYFUNCTION("""COMPUTED_VALUE"""),3631.82)</f>
        <v>3631.82</v>
      </c>
      <c r="M1621" s="6" t="str">
        <f ca="1">IFERROR(__xludf.DUMMYFUNCTION("""COMPUTED_VALUE"""),"03 ORL")</f>
        <v>03 ORL</v>
      </c>
      <c r="N1621" s="6" t="str">
        <f ca="1">IFERROR(__xludf.DUMMYFUNCTION("""COMPUTED_VALUE"""),"06 ORL")</f>
        <v>06 ORL</v>
      </c>
      <c r="O1621" s="6" t="str">
        <f ca="1">IFERROR(__xludf.DUMMYFUNCTION("""COMPUTED_VALUE"""),"Dra, Cristina Muñoz Pinto")</f>
        <v>Dra, Cristina Muñoz Pinto</v>
      </c>
      <c r="P1621" s="6" t="str">
        <f ca="1">IFERROR(__xludf.DUMMYFUNCTION("""COMPUTED_VALUE"""),"Iván Sánchez (Levante Y Albacete)")</f>
        <v>Iván Sánchez (Levante Y Albacete)</v>
      </c>
    </row>
    <row r="1622" spans="2:16">
      <c r="B1622" s="6">
        <f ca="1">IFERROR(__xludf.DUMMYFUNCTION("""COMPUTED_VALUE"""),2025)</f>
        <v>2025</v>
      </c>
      <c r="C1622" s="6">
        <f ca="1">IFERROR(__xludf.DUMMYFUNCTION("""COMPUTED_VALUE"""),12)</f>
        <v>12</v>
      </c>
      <c r="D1622" s="6" t="str">
        <f ca="1">IFERROR(__xludf.DUMMYFUNCTION("""COMPUTED_VALUE"""),"NO")</f>
        <v>NO</v>
      </c>
      <c r="E1622" s="6" t="str">
        <f ca="1">IFERROR(__xludf.DUMMYFUNCTION("""COMPUTED_VALUE"""),"Leganés")</f>
        <v>Leganés</v>
      </c>
      <c r="F1622" s="16">
        <f ca="1">IFERROR(__xludf.DUMMYFUNCTION("""COMPUTED_VALUE"""),46001)</f>
        <v>46001</v>
      </c>
      <c r="G1622" s="16">
        <f ca="1">IFERROR(__xludf.DUMMYFUNCTION("""COMPUTED_VALUE"""),45967)</f>
        <v>45967</v>
      </c>
      <c r="H1622" s="6" t="str">
        <f ca="1">IFERROR(__xludf.DUMMYFUNCTION("""COMPUTED_VALUE"""),"Leganés")</f>
        <v>Leganés</v>
      </c>
      <c r="I1622" s="6" t="str">
        <f ca="1">IFERROR(__xludf.DUMMYFUNCTION("""COMPUTED_VALUE"""),"C202511695723748573")</f>
        <v>C202511695723748573</v>
      </c>
      <c r="J1622" s="6" t="str">
        <f ca="1">IFERROR(__xludf.DUMMYFUNCTION("""COMPUTED_VALUE"""),"CRISTOBAL GARCIA LINARES")</f>
        <v>CRISTOBAL GARCIA LINARES</v>
      </c>
      <c r="K1622" s="6">
        <f ca="1">IFERROR(__xludf.DUMMYFUNCTION("""COMPUTED_VALUE"""),2)</f>
        <v>2</v>
      </c>
      <c r="L1622" s="139">
        <f ca="1">IFERROR(__xludf.DUMMYFUNCTION("""COMPUTED_VALUE"""),3450)</f>
        <v>3450</v>
      </c>
      <c r="M1622" s="6" t="str">
        <f ca="1">IFERROR(__xludf.DUMMYFUNCTION("""COMPUTED_VALUE"""),"03 ORL")</f>
        <v>03 ORL</v>
      </c>
      <c r="N1622" s="6" t="str">
        <f ca="1">IFERROR(__xludf.DUMMYFUNCTION("""COMPUTED_VALUE"""),"06 ORL")</f>
        <v>06 ORL</v>
      </c>
      <c r="O1622" s="6" t="str">
        <f ca="1">IFERROR(__xludf.DUMMYFUNCTION("""COMPUTED_VALUE"""),"Dra, Desirée Méndez Brenderbache")</f>
        <v>Dra, Desirée Méndez Brenderbache</v>
      </c>
      <c r="P1622" s="6" t="str">
        <f ca="1">IFERROR(__xludf.DUMMYFUNCTION("""COMPUTED_VALUE"""),"Maika Blázquez (Madrid)")</f>
        <v>Maika Blázquez (Madrid)</v>
      </c>
    </row>
    <row r="1623" spans="2:16">
      <c r="B1623" s="6">
        <f ca="1">IFERROR(__xludf.DUMMYFUNCTION("""COMPUTED_VALUE"""),2025)</f>
        <v>2025</v>
      </c>
      <c r="C1623" s="6">
        <f ca="1">IFERROR(__xludf.DUMMYFUNCTION("""COMPUTED_VALUE"""),12)</f>
        <v>12</v>
      </c>
      <c r="D1623" s="6" t="str">
        <f ca="1">IFERROR(__xludf.DUMMYFUNCTION("""COMPUTED_VALUE"""),"NO")</f>
        <v>NO</v>
      </c>
      <c r="E1623" s="6" t="str">
        <f ca="1">IFERROR(__xludf.DUMMYFUNCTION("""COMPUTED_VALUE"""),"Madrid- La Oca")</f>
        <v>Madrid- La Oca</v>
      </c>
      <c r="F1623" s="16">
        <f ca="1">IFERROR(__xludf.DUMMYFUNCTION("""COMPUTED_VALUE"""),46001)</f>
        <v>46001</v>
      </c>
      <c r="G1623" s="16">
        <f ca="1">IFERROR(__xludf.DUMMYFUNCTION("""COMPUTED_VALUE"""),45952)</f>
        <v>45952</v>
      </c>
      <c r="H1623" s="6" t="str">
        <f ca="1">IFERROR(__xludf.DUMMYFUNCTION("""COMPUTED_VALUE"""),"La Oca")</f>
        <v>La Oca</v>
      </c>
      <c r="I1623" s="6" t="str">
        <f ca="1">IFERROR(__xludf.DUMMYFUNCTION("""COMPUTED_VALUE"""),"C202510221040289161")</f>
        <v>C202510221040289161</v>
      </c>
      <c r="J1623" s="6" t="str">
        <f ca="1">IFERROR(__xludf.DUMMYFUNCTION("""COMPUTED_VALUE"""),"LUISA BORNES BLANCO")</f>
        <v>LUISA BORNES BLANCO</v>
      </c>
      <c r="K1623" s="6">
        <f ca="1">IFERROR(__xludf.DUMMYFUNCTION("""COMPUTED_VALUE"""),2)</f>
        <v>2</v>
      </c>
      <c r="L1623" s="139">
        <f ca="1">IFERROR(__xludf.DUMMYFUNCTION("""COMPUTED_VALUE"""),2582.27)</f>
        <v>2582.27</v>
      </c>
      <c r="M1623" s="6" t="str">
        <f ca="1">IFERROR(__xludf.DUMMYFUNCTION("""COMPUTED_VALUE"""),"03 ORL")</f>
        <v>03 ORL</v>
      </c>
      <c r="N1623" s="6" t="str">
        <f ca="1">IFERROR(__xludf.DUMMYFUNCTION("""COMPUTED_VALUE"""),"06 ORL")</f>
        <v>06 ORL</v>
      </c>
      <c r="O1623" s="6" t="str">
        <f ca="1">IFERROR(__xludf.DUMMYFUNCTION("""COMPUTED_VALUE"""),"Dr, Oscar A, Sánchez Valenzuela")</f>
        <v>Dr, Oscar A, Sánchez Valenzuela</v>
      </c>
      <c r="P1623" s="6" t="str">
        <f ca="1">IFERROR(__xludf.DUMMYFUNCTION("""COMPUTED_VALUE"""),"Maika Blázquez (Madrid)")</f>
        <v>Maika Blázquez (Madrid)</v>
      </c>
    </row>
    <row r="1624" spans="2:16">
      <c r="B1624" s="6">
        <f ca="1">IFERROR(__xludf.DUMMYFUNCTION("""COMPUTED_VALUE"""),2025)</f>
        <v>2025</v>
      </c>
      <c r="C1624" s="6">
        <f ca="1">IFERROR(__xludf.DUMMYFUNCTION("""COMPUTED_VALUE"""),12)</f>
        <v>12</v>
      </c>
      <c r="D1624" s="6" t="str">
        <f ca="1">IFERROR(__xludf.DUMMYFUNCTION("""COMPUTED_VALUE"""),"SI")</f>
        <v>SI</v>
      </c>
      <c r="E1624" s="6" t="str">
        <f ca="1">IFERROR(__xludf.DUMMYFUNCTION("""COMPUTED_VALUE"""),"Madrid- La Oca")</f>
        <v>Madrid- La Oca</v>
      </c>
      <c r="F1624" s="16">
        <f ca="1">IFERROR(__xludf.DUMMYFUNCTION("""COMPUTED_VALUE"""),46001)</f>
        <v>46001</v>
      </c>
      <c r="G1624" s="16">
        <f ca="1">IFERROR(__xludf.DUMMYFUNCTION("""COMPUTED_VALUE"""),45968)</f>
        <v>45968</v>
      </c>
      <c r="H1624" s="6" t="str">
        <f ca="1">IFERROR(__xludf.DUMMYFUNCTION("""COMPUTED_VALUE"""),"La Oca")</f>
        <v>La Oca</v>
      </c>
      <c r="I1624" s="6" t="str">
        <f ca="1">IFERROR(__xludf.DUMMYFUNCTION("""COMPUTED_VALUE"""),"C202511710421791714")</f>
        <v>C202511710421791714</v>
      </c>
      <c r="J1624" s="6" t="str">
        <f ca="1">IFERROR(__xludf.DUMMYFUNCTION("""COMPUTED_VALUE"""),"PAULA BLAZQUEZ GONZALEZ")</f>
        <v>PAULA BLAZQUEZ GONZALEZ</v>
      </c>
      <c r="K1624" s="6">
        <f ca="1">IFERROR(__xludf.DUMMYFUNCTION("""COMPUTED_VALUE"""),2)</f>
        <v>2</v>
      </c>
      <c r="L1624" s="139">
        <f ca="1">IFERROR(__xludf.DUMMYFUNCTION("""COMPUTED_VALUE"""),2718.18)</f>
        <v>2718.18</v>
      </c>
      <c r="M1624" s="6" t="str">
        <f ca="1">IFERROR(__xludf.DUMMYFUNCTION("""COMPUTED_VALUE"""),"03 ORL")</f>
        <v>03 ORL</v>
      </c>
      <c r="N1624" s="6" t="str">
        <f ca="1">IFERROR(__xludf.DUMMYFUNCTION("""COMPUTED_VALUE"""),"06 ORL")</f>
        <v>06 ORL</v>
      </c>
      <c r="O1624" s="6" t="str">
        <f ca="1">IFERROR(__xludf.DUMMYFUNCTION("""COMPUTED_VALUE"""),"Dra, Bárbara Castillo Ávila")</f>
        <v>Dra, Bárbara Castillo Ávila</v>
      </c>
      <c r="P1624" s="6" t="str">
        <f ca="1">IFERROR(__xludf.DUMMYFUNCTION("""COMPUTED_VALUE"""),"Maika Blázquez (Madrid)")</f>
        <v>Maika Blázquez (Madrid)</v>
      </c>
    </row>
    <row r="1625" spans="2:16">
      <c r="B1625" s="6">
        <f ca="1">IFERROR(__xludf.DUMMYFUNCTION("""COMPUTED_VALUE"""),2025)</f>
        <v>2025</v>
      </c>
      <c r="C1625" s="6">
        <f ca="1">IFERROR(__xludf.DUMMYFUNCTION("""COMPUTED_VALUE"""),12)</f>
        <v>12</v>
      </c>
      <c r="D1625" s="6" t="str">
        <f ca="1">IFERROR(__xludf.DUMMYFUNCTION("""COMPUTED_VALUE"""),"NO")</f>
        <v>NO</v>
      </c>
      <c r="E1625" s="6" t="str">
        <f ca="1">IFERROR(__xludf.DUMMYFUNCTION("""COMPUTED_VALUE"""),"El Albir (Benidorm)")</f>
        <v>El Albir (Benidorm)</v>
      </c>
      <c r="F1625" s="16">
        <f ca="1">IFERROR(__xludf.DUMMYFUNCTION("""COMPUTED_VALUE"""),46001)</f>
        <v>46001</v>
      </c>
      <c r="G1625" s="16">
        <f ca="1">IFERROR(__xludf.DUMMYFUNCTION("""COMPUTED_VALUE"""),45972)</f>
        <v>45972</v>
      </c>
      <c r="H1625" s="6" t="str">
        <f ca="1">IFERROR(__xludf.DUMMYFUNCTION("""COMPUTED_VALUE"""),"El Albir (Benidorm)")</f>
        <v>El Albir (Benidorm)</v>
      </c>
      <c r="I1625" s="6" t="str">
        <f ca="1">IFERROR(__xludf.DUMMYFUNCTION("""COMPUTED_VALUE"""),"C202511119134190486")</f>
        <v>C202511119134190486</v>
      </c>
      <c r="J1625" s="6" t="str">
        <f ca="1">IFERROR(__xludf.DUMMYFUNCTION("""COMPUTED_VALUE"""),"MARIA HILDA SALGADO ALVAREZ")</f>
        <v>MARIA HILDA SALGADO ALVAREZ</v>
      </c>
      <c r="K1625" s="6">
        <f ca="1">IFERROR(__xludf.DUMMYFUNCTION("""COMPUTED_VALUE"""),2)</f>
        <v>2</v>
      </c>
      <c r="L1625" s="139">
        <f ca="1">IFERROR(__xludf.DUMMYFUNCTION("""COMPUTED_VALUE"""),2718.18)</f>
        <v>2718.18</v>
      </c>
      <c r="M1625" s="6" t="str">
        <f ca="1">IFERROR(__xludf.DUMMYFUNCTION("""COMPUTED_VALUE"""),"03 ORL")</f>
        <v>03 ORL</v>
      </c>
      <c r="N1625" s="6" t="str">
        <f ca="1">IFERROR(__xludf.DUMMYFUNCTION("""COMPUTED_VALUE"""),"06 ORL")</f>
        <v>06 ORL</v>
      </c>
      <c r="O1625" s="6" t="str">
        <f ca="1">IFERROR(__xludf.DUMMYFUNCTION("""COMPUTED_VALUE"""),"Dra, Salwa Laraqui Hossini")</f>
        <v>Dra, Salwa Laraqui Hossini</v>
      </c>
      <c r="P1625" s="6" t="str">
        <f ca="1">IFERROR(__xludf.DUMMYFUNCTION("""COMPUTED_VALUE"""),"Iván Sánchez (Levante Y Albacete)")</f>
        <v>Iván Sánchez (Levante Y Albacete)</v>
      </c>
    </row>
    <row r="1626" spans="2:16">
      <c r="B1626" s="6">
        <f ca="1">IFERROR(__xludf.DUMMYFUNCTION("""COMPUTED_VALUE"""),2025)</f>
        <v>2025</v>
      </c>
      <c r="C1626" s="6">
        <f ca="1">IFERROR(__xludf.DUMMYFUNCTION("""COMPUTED_VALUE"""),12)</f>
        <v>12</v>
      </c>
      <c r="D1626" s="6" t="str">
        <f ca="1">IFERROR(__xludf.DUMMYFUNCTION("""COMPUTED_VALUE"""),"SI")</f>
        <v>SI</v>
      </c>
      <c r="E1626" s="6" t="str">
        <f ca="1">IFERROR(__xludf.DUMMYFUNCTION("""COMPUTED_VALUE"""),"Sevilla- Montoto")</f>
        <v>Sevilla- Montoto</v>
      </c>
      <c r="F1626" s="16">
        <f ca="1">IFERROR(__xludf.DUMMYFUNCTION("""COMPUTED_VALUE"""),46001)</f>
        <v>46001</v>
      </c>
      <c r="G1626" s="16">
        <f ca="1">IFERROR(__xludf.DUMMYFUNCTION("""COMPUTED_VALUE"""),45975)</f>
        <v>45975</v>
      </c>
      <c r="H1626" s="6" t="str">
        <f ca="1">IFERROR(__xludf.DUMMYFUNCTION("""COMPUTED_VALUE"""),"Montoto")</f>
        <v>Montoto</v>
      </c>
      <c r="I1626" s="6" t="str">
        <f ca="1">IFERROR(__xludf.DUMMYFUNCTION("""COMPUTED_VALUE"""),"C202511149364663635")</f>
        <v>C202511149364663635</v>
      </c>
      <c r="J1626" s="6" t="str">
        <f ca="1">IFERROR(__xludf.DUMMYFUNCTION("""COMPUTED_VALUE"""),"MARIA ANTONIA VIDARTE GUERRERO")</f>
        <v>MARIA ANTONIA VIDARTE GUERRERO</v>
      </c>
      <c r="K1626" s="6">
        <f ca="1">IFERROR(__xludf.DUMMYFUNCTION("""COMPUTED_VALUE"""),2)</f>
        <v>2</v>
      </c>
      <c r="L1626" s="139">
        <f ca="1">IFERROR(__xludf.DUMMYFUNCTION("""COMPUTED_VALUE"""),3631.82)</f>
        <v>3631.82</v>
      </c>
      <c r="M1626" s="6" t="str">
        <f ca="1">IFERROR(__xludf.DUMMYFUNCTION("""COMPUTED_VALUE"""),"03 ORL")</f>
        <v>03 ORL</v>
      </c>
      <c r="N1626" s="6" t="str">
        <f ca="1">IFERROR(__xludf.DUMMYFUNCTION("""COMPUTED_VALUE"""),"06 ORL")</f>
        <v>06 ORL</v>
      </c>
      <c r="O1626" s="6" t="str">
        <f ca="1">IFERROR(__xludf.DUMMYFUNCTION("""COMPUTED_VALUE"""),"Dr, Francisco José Estrada Molina")</f>
        <v>Dr, Francisco José Estrada Molina</v>
      </c>
      <c r="P1626" s="6" t="str">
        <f ca="1">IFERROR(__xludf.DUMMYFUNCTION("""COMPUTED_VALUE"""),"Luis Alberto Rodríguez (Andalucía y Badajoz)")</f>
        <v>Luis Alberto Rodríguez (Andalucía y Badajoz)</v>
      </c>
    </row>
    <row r="1627" spans="2:16">
      <c r="B1627" s="6">
        <f ca="1">IFERROR(__xludf.DUMMYFUNCTION("""COMPUTED_VALUE"""),2025)</f>
        <v>2025</v>
      </c>
      <c r="C1627" s="6">
        <f ca="1">IFERROR(__xludf.DUMMYFUNCTION("""COMPUTED_VALUE"""),12)</f>
        <v>12</v>
      </c>
      <c r="D1627" s="6" t="str">
        <f ca="1">IFERROR(__xludf.DUMMYFUNCTION("""COMPUTED_VALUE"""),"NO")</f>
        <v>NO</v>
      </c>
      <c r="E1627" s="6" t="str">
        <f ca="1">IFERROR(__xludf.DUMMYFUNCTION("""COMPUTED_VALUE"""),"Salamanca")</f>
        <v>Salamanca</v>
      </c>
      <c r="F1627" s="16">
        <f ca="1">IFERROR(__xludf.DUMMYFUNCTION("""COMPUTED_VALUE"""),46001)</f>
        <v>46001</v>
      </c>
      <c r="G1627" s="16">
        <f ca="1">IFERROR(__xludf.DUMMYFUNCTION("""COMPUTED_VALUE"""),45819)</f>
        <v>45819</v>
      </c>
      <c r="H1627" s="6" t="str">
        <f ca="1">IFERROR(__xludf.DUMMYFUNCTION("""COMPUTED_VALUE"""),"Salamanca")</f>
        <v>Salamanca</v>
      </c>
      <c r="I1627" s="6" t="str">
        <f ca="1">IFERROR(__xludf.DUMMYFUNCTION("""COMPUTED_VALUE"""),"SLM-567")</f>
        <v>SLM-567</v>
      </c>
      <c r="J1627" s="6" t="str">
        <f ca="1">IFERROR(__xludf.DUMMYFUNCTION("""COMPUTED_VALUE"""),"JUAN FRANCISCO ALBURQUERQUE VICENTE")</f>
        <v>JUAN FRANCISCO ALBURQUERQUE VICENTE</v>
      </c>
      <c r="K1627" s="6">
        <f ca="1">IFERROR(__xludf.DUMMYFUNCTION("""COMPUTED_VALUE"""),2)</f>
        <v>2</v>
      </c>
      <c r="L1627" s="139">
        <f ca="1">IFERROR(__xludf.DUMMYFUNCTION("""COMPUTED_VALUE"""),2974.55)</f>
        <v>2974.55</v>
      </c>
      <c r="M1627" s="6" t="str">
        <f ca="1">IFERROR(__xludf.DUMMYFUNCTION("""COMPUTED_VALUE"""),"03 ORL")</f>
        <v>03 ORL</v>
      </c>
      <c r="N1627" s="6" t="str">
        <f ca="1">IFERROR(__xludf.DUMMYFUNCTION("""COMPUTED_VALUE"""),"06 ORL")</f>
        <v>06 ORL</v>
      </c>
      <c r="O1627" s="6" t="str">
        <f ca="1">IFERROR(__xludf.DUMMYFUNCTION("""COMPUTED_VALUE"""),"No recuerda ORL")</f>
        <v>No recuerda ORL</v>
      </c>
      <c r="P1627" s="6" t="str">
        <f ca="1">IFERROR(__xludf.DUMMYFUNCTION("""COMPUTED_VALUE"""),"Alberto Moreno (Madrid)")</f>
        <v>Alberto Moreno (Madrid)</v>
      </c>
    </row>
    <row r="1628" spans="2:16">
      <c r="B1628" s="6">
        <f ca="1">IFERROR(__xludf.DUMMYFUNCTION("""COMPUTED_VALUE"""),2025)</f>
        <v>2025</v>
      </c>
      <c r="C1628" s="6">
        <f ca="1">IFERROR(__xludf.DUMMYFUNCTION("""COMPUTED_VALUE"""),12)</f>
        <v>12</v>
      </c>
      <c r="D1628" s="6" t="str">
        <f ca="1">IFERROR(__xludf.DUMMYFUNCTION("""COMPUTED_VALUE"""),"NO")</f>
        <v>NO</v>
      </c>
      <c r="E1628" s="6" t="str">
        <f ca="1">IFERROR(__xludf.DUMMYFUNCTION("""COMPUTED_VALUE"""),"Culleredo")</f>
        <v>Culleredo</v>
      </c>
      <c r="F1628" s="16">
        <f ca="1">IFERROR(__xludf.DUMMYFUNCTION("""COMPUTED_VALUE"""),46002)</f>
        <v>46002</v>
      </c>
      <c r="G1628" s="16">
        <f ca="1">IFERROR(__xludf.DUMMYFUNCTION("""COMPUTED_VALUE"""),45943)</f>
        <v>45943</v>
      </c>
      <c r="H1628" s="6" t="str">
        <f ca="1">IFERROR(__xludf.DUMMYFUNCTION("""COMPUTED_VALUE"""),"Culleredo")</f>
        <v>Culleredo</v>
      </c>
      <c r="I1628" s="6" t="str">
        <f ca="1">IFERROR(__xludf.DUMMYFUNCTION("""COMPUTED_VALUE"""),"CULL-267")</f>
        <v>CULL-267</v>
      </c>
      <c r="J1628" s="6" t="str">
        <f ca="1">IFERROR(__xludf.DUMMYFUNCTION("""COMPUTED_VALUE"""),"ALFONSO HERNANDEZ BORJA")</f>
        <v>ALFONSO HERNANDEZ BORJA</v>
      </c>
      <c r="K1628" s="6">
        <f ca="1">IFERROR(__xludf.DUMMYFUNCTION("""COMPUTED_VALUE"""),1)</f>
        <v>1</v>
      </c>
      <c r="L1628" s="139">
        <f ca="1">IFERROR(__xludf.DUMMYFUNCTION("""COMPUTED_VALUE"""),1090.91)</f>
        <v>1090.9100000000001</v>
      </c>
      <c r="M1628" s="6" t="str">
        <f ca="1">IFERROR(__xludf.DUMMYFUNCTION("""COMPUTED_VALUE"""),"03 ORL")</f>
        <v>03 ORL</v>
      </c>
      <c r="N1628" s="6" t="str">
        <f ca="1">IFERROR(__xludf.DUMMYFUNCTION("""COMPUTED_VALUE"""),"06 ORL")</f>
        <v>06 ORL</v>
      </c>
      <c r="O1628" s="6" t="str">
        <f ca="1">IFERROR(__xludf.DUMMYFUNCTION("""COMPUTED_VALUE"""),"Dr. Miguel Mayo Yáñez")</f>
        <v>Dr. Miguel Mayo Yáñez</v>
      </c>
      <c r="P1628" s="6" t="str">
        <f ca="1">IFERROR(__xludf.DUMMYFUNCTION("""COMPUTED_VALUE"""),"Roberto Pereira (Galicia)")</f>
        <v>Roberto Pereira (Galicia)</v>
      </c>
    </row>
    <row r="1629" spans="2:16">
      <c r="B1629" s="6">
        <f ca="1">IFERROR(__xludf.DUMMYFUNCTION("""COMPUTED_VALUE"""),2025)</f>
        <v>2025</v>
      </c>
      <c r="C1629" s="6">
        <f ca="1">IFERROR(__xludf.DUMMYFUNCTION("""COMPUTED_VALUE"""),12)</f>
        <v>12</v>
      </c>
      <c r="D1629" s="6" t="str">
        <f ca="1">IFERROR(__xludf.DUMMYFUNCTION("""COMPUTED_VALUE"""),"NO")</f>
        <v>NO</v>
      </c>
      <c r="E1629" s="6" t="str">
        <f ca="1">IFERROR(__xludf.DUMMYFUNCTION("""COMPUTED_VALUE"""),"Culleredo")</f>
        <v>Culleredo</v>
      </c>
      <c r="F1629" s="16">
        <f ca="1">IFERROR(__xludf.DUMMYFUNCTION("""COMPUTED_VALUE"""),46002)</f>
        <v>46002</v>
      </c>
      <c r="G1629" s="16">
        <f ca="1">IFERROR(__xludf.DUMMYFUNCTION("""COMPUTED_VALUE"""),45943)</f>
        <v>45943</v>
      </c>
      <c r="H1629" s="6" t="str">
        <f ca="1">IFERROR(__xludf.DUMMYFUNCTION("""COMPUTED_VALUE"""),"Culleredo")</f>
        <v>Culleredo</v>
      </c>
      <c r="I1629" s="6" t="str">
        <f ca="1">IFERROR(__xludf.DUMMYFUNCTION("""COMPUTED_VALUE"""),"CULL-268")</f>
        <v>CULL-268</v>
      </c>
      <c r="J1629" s="6" t="str">
        <f ca="1">IFERROR(__xludf.DUMMYFUNCTION("""COMPUTED_VALUE"""),"MANUEL LOPEZ LOSADA")</f>
        <v>MANUEL LOPEZ LOSADA</v>
      </c>
      <c r="K1629" s="6">
        <f ca="1">IFERROR(__xludf.DUMMYFUNCTION("""COMPUTED_VALUE"""),2)</f>
        <v>2</v>
      </c>
      <c r="L1629" s="139">
        <f ca="1">IFERROR(__xludf.DUMMYFUNCTION("""COMPUTED_VALUE"""),2136.36)</f>
        <v>2136.36</v>
      </c>
      <c r="M1629" s="6" t="str">
        <f ca="1">IFERROR(__xludf.DUMMYFUNCTION("""COMPUTED_VALUE"""),"03 ORL")</f>
        <v>03 ORL</v>
      </c>
      <c r="N1629" s="6" t="str">
        <f ca="1">IFERROR(__xludf.DUMMYFUNCTION("""COMPUTED_VALUE"""),"06 ORL")</f>
        <v>06 ORL</v>
      </c>
      <c r="O1629" s="6" t="str">
        <f ca="1">IFERROR(__xludf.DUMMYFUNCTION("""COMPUTED_VALUE"""),"Dr. Miguel Mayo Yáñez")</f>
        <v>Dr. Miguel Mayo Yáñez</v>
      </c>
      <c r="P1629" s="6" t="str">
        <f ca="1">IFERROR(__xludf.DUMMYFUNCTION("""COMPUTED_VALUE"""),"Roberto Pereira (Galicia)")</f>
        <v>Roberto Pereira (Galicia)</v>
      </c>
    </row>
    <row r="1630" spans="2:16">
      <c r="B1630" s="6">
        <f ca="1">IFERROR(__xludf.DUMMYFUNCTION("""COMPUTED_VALUE"""),2025)</f>
        <v>2025</v>
      </c>
      <c r="C1630" s="6">
        <f ca="1">IFERROR(__xludf.DUMMYFUNCTION("""COMPUTED_VALUE"""),12)</f>
        <v>12</v>
      </c>
      <c r="D1630" s="6" t="str">
        <f ca="1">IFERROR(__xludf.DUMMYFUNCTION("""COMPUTED_VALUE"""),"NO")</f>
        <v>NO</v>
      </c>
      <c r="E1630" s="6" t="str">
        <f ca="1">IFERROR(__xludf.DUMMYFUNCTION("""COMPUTED_VALUE"""),"Alicante")</f>
        <v>Alicante</v>
      </c>
      <c r="F1630" s="16">
        <f ca="1">IFERROR(__xludf.DUMMYFUNCTION("""COMPUTED_VALUE"""),46002)</f>
        <v>46002</v>
      </c>
      <c r="G1630" s="16">
        <f ca="1">IFERROR(__xludf.DUMMYFUNCTION("""COMPUTED_VALUE"""),45961)</f>
        <v>45961</v>
      </c>
      <c r="H1630" s="6" t="str">
        <f ca="1">IFERROR(__xludf.DUMMYFUNCTION("""COMPUTED_VALUE"""),"Alicante")</f>
        <v>Alicante</v>
      </c>
      <c r="I1630" s="6" t="str">
        <f ca="1">IFERROR(__xludf.DUMMYFUNCTION("""COMPUTED_VALUE"""),"C202510311043803817")</f>
        <v>C202510311043803817</v>
      </c>
      <c r="J1630" s="6" t="str">
        <f ca="1">IFERROR(__xludf.DUMMYFUNCTION("""COMPUTED_VALUE"""),"FRANCISCO RAMON PUERTO OLTRA")</f>
        <v>FRANCISCO RAMON PUERTO OLTRA</v>
      </c>
      <c r="K1630" s="6">
        <f ca="1">IFERROR(__xludf.DUMMYFUNCTION("""COMPUTED_VALUE"""),2)</f>
        <v>2</v>
      </c>
      <c r="L1630" s="139">
        <f ca="1">IFERROR(__xludf.DUMMYFUNCTION("""COMPUTED_VALUE"""),3631.82)</f>
        <v>3631.82</v>
      </c>
      <c r="M1630" s="6" t="str">
        <f ca="1">IFERROR(__xludf.DUMMYFUNCTION("""COMPUTED_VALUE"""),"03 ORL")</f>
        <v>03 ORL</v>
      </c>
      <c r="N1630" s="6" t="str">
        <f ca="1">IFERROR(__xludf.DUMMYFUNCTION("""COMPUTED_VALUE"""),"06 ORL")</f>
        <v>06 ORL</v>
      </c>
      <c r="O1630" s="6" t="str">
        <f ca="1">IFERROR(__xludf.DUMMYFUNCTION("""COMPUTED_VALUE"""),"Dr, Carlos Velásquez Fermín")</f>
        <v>Dr, Carlos Velásquez Fermín</v>
      </c>
      <c r="P1630" s="6" t="str">
        <f ca="1">IFERROR(__xludf.DUMMYFUNCTION("""COMPUTED_VALUE"""),"Iván Sánchez (Levante Y Albacete)")</f>
        <v>Iván Sánchez (Levante Y Albacete)</v>
      </c>
    </row>
    <row r="1631" spans="2:16">
      <c r="B1631" s="6">
        <f ca="1">IFERROR(__xludf.DUMMYFUNCTION("""COMPUTED_VALUE"""),2025)</f>
        <v>2025</v>
      </c>
      <c r="C1631" s="6">
        <f ca="1">IFERROR(__xludf.DUMMYFUNCTION("""COMPUTED_VALUE"""),12)</f>
        <v>12</v>
      </c>
      <c r="D1631" s="6" t="str">
        <f ca="1">IFERROR(__xludf.DUMMYFUNCTION("""COMPUTED_VALUE"""),"NO")</f>
        <v>NO</v>
      </c>
      <c r="E1631" s="6" t="str">
        <f ca="1">IFERROR(__xludf.DUMMYFUNCTION("""COMPUTED_VALUE"""),"Huelva")</f>
        <v>Huelva</v>
      </c>
      <c r="F1631" s="16">
        <f ca="1">IFERROR(__xludf.DUMMYFUNCTION("""COMPUTED_VALUE"""),46002)</f>
        <v>46002</v>
      </c>
      <c r="G1631" s="16">
        <f ca="1">IFERROR(__xludf.DUMMYFUNCTION("""COMPUTED_VALUE"""),45971)</f>
        <v>45971</v>
      </c>
      <c r="H1631" s="6" t="str">
        <f ca="1">IFERROR(__xludf.DUMMYFUNCTION("""COMPUTED_VALUE"""),"Huelva")</f>
        <v>Huelva</v>
      </c>
      <c r="I1631" s="6" t="str">
        <f ca="1">IFERROR(__xludf.DUMMYFUNCTION("""COMPUTED_VALUE"""),"C202511109184084367")</f>
        <v>C202511109184084367</v>
      </c>
      <c r="J1631" s="6" t="str">
        <f ca="1">IFERROR(__xludf.DUMMYFUNCTION("""COMPUTED_VALUE"""),"JONATHAN STIVEN RAMIREZ RAMIREZ")</f>
        <v>JONATHAN STIVEN RAMIREZ RAMIREZ</v>
      </c>
      <c r="K1631" s="6">
        <f ca="1">IFERROR(__xludf.DUMMYFUNCTION("""COMPUTED_VALUE"""),1)</f>
        <v>1</v>
      </c>
      <c r="L1631" s="139">
        <f ca="1">IFERROR(__xludf.DUMMYFUNCTION("""COMPUTED_VALUE"""),1818.18)</f>
        <v>1818.18</v>
      </c>
      <c r="M1631" s="6" t="str">
        <f ca="1">IFERROR(__xludf.DUMMYFUNCTION("""COMPUTED_VALUE"""),"03 ORL")</f>
        <v>03 ORL</v>
      </c>
      <c r="N1631" s="6" t="str">
        <f ca="1">IFERROR(__xludf.DUMMYFUNCTION("""COMPUTED_VALUE"""),"06 ORL")</f>
        <v>06 ORL</v>
      </c>
      <c r="O1631" s="6" t="str">
        <f ca="1">IFERROR(__xludf.DUMMYFUNCTION("""COMPUTED_VALUE"""),"Dr, Francisco Javier Aguilar Vera")</f>
        <v>Dr, Francisco Javier Aguilar Vera</v>
      </c>
      <c r="P1631" s="6" t="str">
        <f ca="1">IFERROR(__xludf.DUMMYFUNCTION("""COMPUTED_VALUE"""),"Luis Alberto Rodríguez (Andalucía y Badajoz)")</f>
        <v>Luis Alberto Rodríguez (Andalucía y Badajoz)</v>
      </c>
    </row>
    <row r="1632" spans="2:16">
      <c r="B1632" s="6">
        <f ca="1">IFERROR(__xludf.DUMMYFUNCTION("""COMPUTED_VALUE"""),2025)</f>
        <v>2025</v>
      </c>
      <c r="C1632" s="6">
        <f ca="1">IFERROR(__xludf.DUMMYFUNCTION("""COMPUTED_VALUE"""),12)</f>
        <v>12</v>
      </c>
      <c r="D1632" s="6" t="str">
        <f ca="1">IFERROR(__xludf.DUMMYFUNCTION("""COMPUTED_VALUE"""),"NO")</f>
        <v>NO</v>
      </c>
      <c r="E1632" s="6" t="str">
        <f ca="1">IFERROR(__xludf.DUMMYFUNCTION("""COMPUTED_VALUE"""),"Madrid- Juan Bravo")</f>
        <v>Madrid- Juan Bravo</v>
      </c>
      <c r="F1632" s="16">
        <f ca="1">IFERROR(__xludf.DUMMYFUNCTION("""COMPUTED_VALUE"""),46002)</f>
        <v>46002</v>
      </c>
      <c r="G1632" s="16">
        <f ca="1">IFERROR(__xludf.DUMMYFUNCTION("""COMPUTED_VALUE"""),45975)</f>
        <v>45975</v>
      </c>
      <c r="H1632" s="6" t="str">
        <f ca="1">IFERROR(__xludf.DUMMYFUNCTION("""COMPUTED_VALUE"""),"Juan Bravo")</f>
        <v>Juan Bravo</v>
      </c>
      <c r="I1632" s="6" t="str">
        <f ca="1">IFERROR(__xludf.DUMMYFUNCTION("""COMPUTED_VALUE"""),"C20251114988334669")</f>
        <v>C20251114988334669</v>
      </c>
      <c r="J1632" s="6" t="str">
        <f ca="1">IFERROR(__xludf.DUMMYFUNCTION("""COMPUTED_VALUE"""),"CARMEN SANCHEZ AYUSO")</f>
        <v>CARMEN SANCHEZ AYUSO</v>
      </c>
      <c r="K1632" s="6">
        <f ca="1">IFERROR(__xludf.DUMMYFUNCTION("""COMPUTED_VALUE"""),2)</f>
        <v>2</v>
      </c>
      <c r="L1632" s="139">
        <f ca="1">IFERROR(__xludf.DUMMYFUNCTION("""COMPUTED_VALUE"""),3631.82)</f>
        <v>3631.82</v>
      </c>
      <c r="M1632" s="6" t="str">
        <f ca="1">IFERROR(__xludf.DUMMYFUNCTION("""COMPUTED_VALUE"""),"03 ORL")</f>
        <v>03 ORL</v>
      </c>
      <c r="N1632" s="6" t="str">
        <f ca="1">IFERROR(__xludf.DUMMYFUNCTION("""COMPUTED_VALUE"""),"06 ORL")</f>
        <v>06 ORL</v>
      </c>
      <c r="O1632" s="6" t="str">
        <f ca="1">IFERROR(__xludf.DUMMYFUNCTION("""COMPUTED_VALUE"""),"Dr, Carlos Barajas del Rosal")</f>
        <v>Dr, Carlos Barajas del Rosal</v>
      </c>
      <c r="P1632" s="6" t="str">
        <f ca="1">IFERROR(__xludf.DUMMYFUNCTION("""COMPUTED_VALUE"""),"Lisandro Russian (Madrid, Cáceres, Toledo, Talavera Y Logroño)")</f>
        <v>Lisandro Russian (Madrid, Cáceres, Toledo, Talavera Y Logroño)</v>
      </c>
    </row>
    <row r="1633" spans="2:16">
      <c r="B1633" s="6">
        <f ca="1">IFERROR(__xludf.DUMMYFUNCTION("""COMPUTED_VALUE"""),2025)</f>
        <v>2025</v>
      </c>
      <c r="C1633" s="6">
        <f ca="1">IFERROR(__xludf.DUMMYFUNCTION("""COMPUTED_VALUE"""),12)</f>
        <v>12</v>
      </c>
      <c r="D1633" s="6" t="str">
        <f ca="1">IFERROR(__xludf.DUMMYFUNCTION("""COMPUTED_VALUE"""),"NO")</f>
        <v>NO</v>
      </c>
      <c r="E1633" s="6" t="str">
        <f ca="1">IFERROR(__xludf.DUMMYFUNCTION("""COMPUTED_VALUE"""),"Hospitalet de Llobregat")</f>
        <v>Hospitalet de Llobregat</v>
      </c>
      <c r="F1633" s="16">
        <f ca="1">IFERROR(__xludf.DUMMYFUNCTION("""COMPUTED_VALUE"""),46002)</f>
        <v>46002</v>
      </c>
      <c r="G1633" s="16">
        <f ca="1">IFERROR(__xludf.DUMMYFUNCTION("""COMPUTED_VALUE"""),45867)</f>
        <v>45867</v>
      </c>
      <c r="H1633" s="6" t="str">
        <f ca="1">IFERROR(__xludf.DUMMYFUNCTION("""COMPUTED_VALUE"""),"Hospitalet")</f>
        <v>Hospitalet</v>
      </c>
      <c r="I1633" s="6" t="str">
        <f ca="1">IFERROR(__xludf.DUMMYFUNCTION("""COMPUTED_VALUE"""),"C202512111368504")</f>
        <v>C202512111368504</v>
      </c>
      <c r="J1633" s="6" t="str">
        <f ca="1">IFERROR(__xludf.DUMMYFUNCTION("""COMPUTED_VALUE"""),"DARWIN  MERCHAN ZANBRANO")</f>
        <v>DARWIN  MERCHAN ZANBRANO</v>
      </c>
      <c r="K1633" s="6">
        <f ca="1">IFERROR(__xludf.DUMMYFUNCTION("""COMPUTED_VALUE"""),2)</f>
        <v>2</v>
      </c>
      <c r="L1633" s="139">
        <f ca="1">IFERROR(__xludf.DUMMYFUNCTION("""COMPUTED_VALUE"""),2718.18)</f>
        <v>2718.18</v>
      </c>
      <c r="M1633" s="6" t="str">
        <f ca="1">IFERROR(__xludf.DUMMYFUNCTION("""COMPUTED_VALUE"""),"03 ORL")</f>
        <v>03 ORL</v>
      </c>
      <c r="N1633" s="6" t="str">
        <f ca="1">IFERROR(__xludf.DUMMYFUNCTION("""COMPUTED_VALUE"""),"06 ORL")</f>
        <v>06 ORL</v>
      </c>
      <c r="O1633" s="6" t="str">
        <f ca="1">IFERROR(__xludf.DUMMYFUNCTION("""COMPUTED_VALUE"""),"Dr, Miguel F, García Wagner")</f>
        <v>Dr, Miguel F, García Wagner</v>
      </c>
      <c r="P1633" s="6" t="str">
        <f ca="1">IFERROR(__xludf.DUMMYFUNCTION("""COMPUTED_VALUE"""),"Mercè Cabrera (Cataluña Y Baleares)")</f>
        <v>Mercè Cabrera (Cataluña Y Baleares)</v>
      </c>
    </row>
    <row r="1634" spans="2:16">
      <c r="B1634" s="6">
        <f ca="1">IFERROR(__xludf.DUMMYFUNCTION("""COMPUTED_VALUE"""),2025)</f>
        <v>2025</v>
      </c>
      <c r="C1634" s="6">
        <f ca="1">IFERROR(__xludf.DUMMYFUNCTION("""COMPUTED_VALUE"""),12)</f>
        <v>12</v>
      </c>
      <c r="D1634" s="6" t="str">
        <f ca="1">IFERROR(__xludf.DUMMYFUNCTION("""COMPUTED_VALUE"""),"NO")</f>
        <v>NO</v>
      </c>
      <c r="E1634" s="6" t="str">
        <f ca="1">IFERROR(__xludf.DUMMYFUNCTION("""COMPUTED_VALUE"""),"Valencia- Parra")</f>
        <v>Valencia- Parra</v>
      </c>
      <c r="F1634" s="16">
        <f ca="1">IFERROR(__xludf.DUMMYFUNCTION("""COMPUTED_VALUE"""),46002)</f>
        <v>46002</v>
      </c>
      <c r="G1634" s="16">
        <f ca="1">IFERROR(__xludf.DUMMYFUNCTION("""COMPUTED_VALUE"""),45938)</f>
        <v>45938</v>
      </c>
      <c r="H1634" s="6" t="str">
        <f ca="1">IFERROR(__xludf.DUMMYFUNCTION("""COMPUTED_VALUE"""),"Valencia- Parra")</f>
        <v>Valencia- Parra</v>
      </c>
      <c r="I1634" s="6" t="str">
        <f ca="1">IFERROR(__xludf.DUMMYFUNCTION("""COMPUTED_VALUE"""),"C2025102211549387")</f>
        <v>C2025102211549387</v>
      </c>
      <c r="J1634" s="6" t="str">
        <f ca="1">IFERROR(__xludf.DUMMYFUNCTION("""COMPUTED_VALUE"""),"MIGUEL ANTONIO CHIRIVELLA PERIS")</f>
        <v>MIGUEL ANTONIO CHIRIVELLA PERIS</v>
      </c>
      <c r="K1634" s="6">
        <f ca="1">IFERROR(__xludf.DUMMYFUNCTION("""COMPUTED_VALUE"""),1)</f>
        <v>1</v>
      </c>
      <c r="L1634" s="139">
        <f ca="1">IFERROR(__xludf.DUMMYFUNCTION("""COMPUTED_VALUE"""),2481.82)</f>
        <v>2481.8200000000002</v>
      </c>
      <c r="M1634" s="6" t="str">
        <f ca="1">IFERROR(__xludf.DUMMYFUNCTION("""COMPUTED_VALUE"""),"03 ORL")</f>
        <v>03 ORL</v>
      </c>
      <c r="N1634" s="6" t="str">
        <f ca="1">IFERROR(__xludf.DUMMYFUNCTION("""COMPUTED_VALUE"""),"06 ORL")</f>
        <v>06 ORL</v>
      </c>
      <c r="O1634" s="6" t="str">
        <f ca="1">IFERROR(__xludf.DUMMYFUNCTION("""COMPUTED_VALUE"""),"Dra, Vanesa Pérez Guillén")</f>
        <v>Dra, Vanesa Pérez Guillén</v>
      </c>
      <c r="P1634" s="6" t="str">
        <f ca="1">IFERROR(__xludf.DUMMYFUNCTION("""COMPUTED_VALUE"""),"Ramon Ferrando(Valencia)")</f>
        <v>Ramon Ferrando(Valencia)</v>
      </c>
    </row>
    <row r="1635" spans="2:16">
      <c r="B1635" s="6">
        <f ca="1">IFERROR(__xludf.DUMMYFUNCTION("""COMPUTED_VALUE"""),2025)</f>
        <v>2025</v>
      </c>
      <c r="C1635" s="6">
        <f ca="1">IFERROR(__xludf.DUMMYFUNCTION("""COMPUTED_VALUE"""),12)</f>
        <v>12</v>
      </c>
      <c r="D1635" s="6" t="str">
        <f ca="1">IFERROR(__xludf.DUMMYFUNCTION("""COMPUTED_VALUE"""),"NO")</f>
        <v>NO</v>
      </c>
      <c r="E1635" s="6" t="str">
        <f ca="1">IFERROR(__xludf.DUMMYFUNCTION("""COMPUTED_VALUE"""),"Cáceres")</f>
        <v>Cáceres</v>
      </c>
      <c r="F1635" s="16">
        <f ca="1">IFERROR(__xludf.DUMMYFUNCTION("""COMPUTED_VALUE"""),46002)</f>
        <v>46002</v>
      </c>
      <c r="G1635" s="16">
        <f ca="1">IFERROR(__xludf.DUMMYFUNCTION("""COMPUTED_VALUE"""),45967)</f>
        <v>45967</v>
      </c>
      <c r="H1635" s="6" t="str">
        <f ca="1">IFERROR(__xludf.DUMMYFUNCTION("""COMPUTED_VALUE"""),"Cáceres")</f>
        <v>Cáceres</v>
      </c>
      <c r="I1635" s="6" t="str">
        <f ca="1">IFERROR(__xludf.DUMMYFUNCTION("""COMPUTED_VALUE"""),"CAC-440")</f>
        <v>CAC-440</v>
      </c>
      <c r="J1635" s="6" t="str">
        <f ca="1">IFERROR(__xludf.DUMMYFUNCTION("""COMPUTED_VALUE"""),"MARINA CANTERO CORCHERO")</f>
        <v>MARINA CANTERO CORCHERO</v>
      </c>
      <c r="K1635" s="6">
        <f ca="1">IFERROR(__xludf.DUMMYFUNCTION("""COMPUTED_VALUE"""),2)</f>
        <v>2</v>
      </c>
      <c r="L1635" s="139">
        <f ca="1">IFERROR(__xludf.DUMMYFUNCTION("""COMPUTED_VALUE"""),4718.18)</f>
        <v>4718.18</v>
      </c>
      <c r="M1635" s="6" t="str">
        <f ca="1">IFERROR(__xludf.DUMMYFUNCTION("""COMPUTED_VALUE"""),"03 ORL")</f>
        <v>03 ORL</v>
      </c>
      <c r="N1635" s="6" t="str">
        <f ca="1">IFERROR(__xludf.DUMMYFUNCTION("""COMPUTED_VALUE"""),"06 ORL")</f>
        <v>06 ORL</v>
      </c>
      <c r="O1635" s="6" t="str">
        <f ca="1">IFERROR(__xludf.DUMMYFUNCTION("""COMPUTED_VALUE"""),"Dra, Daniela Carolina Laguado Bulgheroni")</f>
        <v>Dra, Daniela Carolina Laguado Bulgheroni</v>
      </c>
      <c r="P1635" s="6" t="str">
        <f ca="1">IFERROR(__xludf.DUMMYFUNCTION("""COMPUTED_VALUE"""),"Lisandro Russian (Madrid, Cáceres, Toledo, Talavera Y Logroño)")</f>
        <v>Lisandro Russian (Madrid, Cáceres, Toledo, Talavera Y Logroño)</v>
      </c>
    </row>
    <row r="1636" spans="2:16">
      <c r="B1636" s="6">
        <f ca="1">IFERROR(__xludf.DUMMYFUNCTION("""COMPUTED_VALUE"""),2025)</f>
        <v>2025</v>
      </c>
      <c r="C1636" s="6">
        <f ca="1">IFERROR(__xludf.DUMMYFUNCTION("""COMPUTED_VALUE"""),12)</f>
        <v>12</v>
      </c>
      <c r="D1636" s="6" t="str">
        <f ca="1">IFERROR(__xludf.DUMMYFUNCTION("""COMPUTED_VALUE"""),"NO")</f>
        <v>NO</v>
      </c>
      <c r="E1636" s="6" t="str">
        <f ca="1">IFERROR(__xludf.DUMMYFUNCTION("""COMPUTED_VALUE"""),"Logroño")</f>
        <v>Logroño</v>
      </c>
      <c r="F1636" s="16">
        <f ca="1">IFERROR(__xludf.DUMMYFUNCTION("""COMPUTED_VALUE"""),46002)</f>
        <v>46002</v>
      </c>
      <c r="G1636" s="16">
        <f ca="1">IFERROR(__xludf.DUMMYFUNCTION("""COMPUTED_VALUE"""),45936)</f>
        <v>45936</v>
      </c>
      <c r="H1636" s="6" t="str">
        <f ca="1">IFERROR(__xludf.DUMMYFUNCTION("""COMPUTED_VALUE"""),"Logroño")</f>
        <v>Logroño</v>
      </c>
      <c r="I1636" s="6" t="str">
        <f ca="1">IFERROR(__xludf.DUMMYFUNCTION("""COMPUTED_VALUE"""),"C20251010114613393")</f>
        <v>C20251010114613393</v>
      </c>
      <c r="J1636" s="6" t="str">
        <f ca="1">IFERROR(__xludf.DUMMYFUNCTION("""COMPUTED_VALUE"""),"MILAGROS  DE LA VEGA BAÑOS")</f>
        <v>MILAGROS  DE LA VEGA BAÑOS</v>
      </c>
      <c r="K1636" s="6">
        <f ca="1">IFERROR(__xludf.DUMMYFUNCTION("""COMPUTED_VALUE"""),2)</f>
        <v>2</v>
      </c>
      <c r="L1636" s="139">
        <f ca="1">IFERROR(__xludf.DUMMYFUNCTION("""COMPUTED_VALUE"""),3631.82)</f>
        <v>3631.82</v>
      </c>
      <c r="M1636" s="6" t="str">
        <f ca="1">IFERROR(__xludf.DUMMYFUNCTION("""COMPUTED_VALUE"""),"03 ORL")</f>
        <v>03 ORL</v>
      </c>
      <c r="N1636" s="6" t="str">
        <f ca="1">IFERROR(__xludf.DUMMYFUNCTION("""COMPUTED_VALUE"""),"06 ORL")</f>
        <v>06 ORL</v>
      </c>
      <c r="O1636" s="6" t="str">
        <f ca="1">IFERROR(__xludf.DUMMYFUNCTION("""COMPUTED_VALUE"""),"No recuerda ORL")</f>
        <v>No recuerda ORL</v>
      </c>
      <c r="P1636" s="6"/>
    </row>
    <row r="1637" spans="2:16">
      <c r="B1637" s="6">
        <f ca="1">IFERROR(__xludf.DUMMYFUNCTION("""COMPUTED_VALUE"""),2025)</f>
        <v>2025</v>
      </c>
      <c r="C1637" s="6">
        <f ca="1">IFERROR(__xludf.DUMMYFUNCTION("""COMPUTED_VALUE"""),12)</f>
        <v>12</v>
      </c>
      <c r="D1637" s="6" t="str">
        <f ca="1">IFERROR(__xludf.DUMMYFUNCTION("""COMPUTED_VALUE"""),"NO")</f>
        <v>NO</v>
      </c>
      <c r="E1637" s="6" t="str">
        <f ca="1">IFERROR(__xludf.DUMMYFUNCTION("""COMPUTED_VALUE"""),"Murcia")</f>
        <v>Murcia</v>
      </c>
      <c r="F1637" s="16">
        <f ca="1">IFERROR(__xludf.DUMMYFUNCTION("""COMPUTED_VALUE"""),46002)</f>
        <v>46002</v>
      </c>
      <c r="G1637" s="16">
        <f ca="1">IFERROR(__xludf.DUMMYFUNCTION("""COMPUTED_VALUE"""),45960)</f>
        <v>45960</v>
      </c>
      <c r="H1637" s="6" t="str">
        <f ca="1">IFERROR(__xludf.DUMMYFUNCTION("""COMPUTED_VALUE"""),"Murcia")</f>
        <v>Murcia</v>
      </c>
      <c r="I1637" s="6" t="str">
        <f ca="1">IFERROR(__xludf.DUMMYFUNCTION("""COMPUTED_VALUE"""),"C202510301234496065")</f>
        <v>C202510301234496065</v>
      </c>
      <c r="J1637" s="6" t="str">
        <f ca="1">IFERROR(__xludf.DUMMYFUNCTION("""COMPUTED_VALUE"""),"VIRGINIA RIPOLL PEREZ DE LOS COBOS")</f>
        <v>VIRGINIA RIPOLL PEREZ DE LOS COBOS</v>
      </c>
      <c r="K1637" s="6">
        <f ca="1">IFERROR(__xludf.DUMMYFUNCTION("""COMPUTED_VALUE"""),1)</f>
        <v>1</v>
      </c>
      <c r="L1637" s="139">
        <f ca="1">IFERROR(__xludf.DUMMYFUNCTION("""COMPUTED_VALUE"""),2481.73)</f>
        <v>2481.73</v>
      </c>
      <c r="M1637" s="6" t="str">
        <f ca="1">IFERROR(__xludf.DUMMYFUNCTION("""COMPUTED_VALUE"""),"03 ORL")</f>
        <v>03 ORL</v>
      </c>
      <c r="N1637" s="6" t="str">
        <f ca="1">IFERROR(__xludf.DUMMYFUNCTION("""COMPUTED_VALUE"""),"06 ORL")</f>
        <v>06 ORL</v>
      </c>
      <c r="O1637" s="6" t="str">
        <f ca="1">IFERROR(__xludf.DUMMYFUNCTION("""COMPUTED_VALUE"""),"No recuerda ORL")</f>
        <v>No recuerda ORL</v>
      </c>
      <c r="P1637" s="6" t="str">
        <f ca="1">IFERROR(__xludf.DUMMYFUNCTION("""COMPUTED_VALUE"""),"Iván Sánchez (Levante Y Albacete)")</f>
        <v>Iván Sánchez (Levante Y Albacete)</v>
      </c>
    </row>
    <row r="1638" spans="2:16">
      <c r="B1638" s="6">
        <f ca="1">IFERROR(__xludf.DUMMYFUNCTION("""COMPUTED_VALUE"""),2025)</f>
        <v>2025</v>
      </c>
      <c r="C1638" s="6">
        <f ca="1">IFERROR(__xludf.DUMMYFUNCTION("""COMPUTED_VALUE"""),12)</f>
        <v>12</v>
      </c>
      <c r="D1638" s="6" t="str">
        <f ca="1">IFERROR(__xludf.DUMMYFUNCTION("""COMPUTED_VALUE"""),"NO")</f>
        <v>NO</v>
      </c>
      <c r="E1638" s="6" t="str">
        <f ca="1">IFERROR(__xludf.DUMMYFUNCTION("""COMPUTED_VALUE"""),"Alicante")</f>
        <v>Alicante</v>
      </c>
      <c r="F1638" s="16">
        <f ca="1">IFERROR(__xludf.DUMMYFUNCTION("""COMPUTED_VALUE"""),46003)</f>
        <v>46003</v>
      </c>
      <c r="G1638" s="16">
        <f ca="1">IFERROR(__xludf.DUMMYFUNCTION("""COMPUTED_VALUE"""),45988)</f>
        <v>45988</v>
      </c>
      <c r="H1638" s="6" t="str">
        <f ca="1">IFERROR(__xludf.DUMMYFUNCTION("""COMPUTED_VALUE"""),"Alicante")</f>
        <v>Alicante</v>
      </c>
      <c r="I1638" s="6" t="str">
        <f ca="1">IFERROR(__xludf.DUMMYFUNCTION("""COMPUTED_VALUE"""),"C202511279252138653")</f>
        <v>C202511279252138653</v>
      </c>
      <c r="J1638" s="6" t="str">
        <f ca="1">IFERROR(__xludf.DUMMYFUNCTION("""COMPUTED_VALUE"""),"LUBNA ALQUDSI")</f>
        <v>LUBNA ALQUDSI</v>
      </c>
      <c r="K1638" s="6">
        <f ca="1">IFERROR(__xludf.DUMMYFUNCTION("""COMPUTED_VALUE"""),2)</f>
        <v>2</v>
      </c>
      <c r="L1638" s="139">
        <f ca="1">IFERROR(__xludf.DUMMYFUNCTION("""COMPUTED_VALUE"""),2718.18)</f>
        <v>2718.18</v>
      </c>
      <c r="M1638" s="6" t="str">
        <f ca="1">IFERROR(__xludf.DUMMYFUNCTION("""COMPUTED_VALUE"""),"03 ORL")</f>
        <v>03 ORL</v>
      </c>
      <c r="N1638" s="6" t="str">
        <f ca="1">IFERROR(__xludf.DUMMYFUNCTION("""COMPUTED_VALUE"""),"06 ORL")</f>
        <v>06 ORL</v>
      </c>
      <c r="O1638" s="6" t="str">
        <f ca="1">IFERROR(__xludf.DUMMYFUNCTION("""COMPUTED_VALUE"""),"Dr, Carlos Velásquez Fermín")</f>
        <v>Dr, Carlos Velásquez Fermín</v>
      </c>
      <c r="P1638" s="6" t="str">
        <f ca="1">IFERROR(__xludf.DUMMYFUNCTION("""COMPUTED_VALUE"""),"Iván Sánchez (Levante Y Albacete)")</f>
        <v>Iván Sánchez (Levante Y Albacete)</v>
      </c>
    </row>
    <row r="1639" spans="2:16">
      <c r="B1639" s="6">
        <f ca="1">IFERROR(__xludf.DUMMYFUNCTION("""COMPUTED_VALUE"""),2025)</f>
        <v>2025</v>
      </c>
      <c r="C1639" s="6">
        <f ca="1">IFERROR(__xludf.DUMMYFUNCTION("""COMPUTED_VALUE"""),12)</f>
        <v>12</v>
      </c>
      <c r="D1639" s="6" t="str">
        <f ca="1">IFERROR(__xludf.DUMMYFUNCTION("""COMPUTED_VALUE"""),"SI")</f>
        <v>SI</v>
      </c>
      <c r="E1639" s="6" t="str">
        <f ca="1">IFERROR(__xludf.DUMMYFUNCTION("""COMPUTED_VALUE"""),"Jerez de la Frontera")</f>
        <v>Jerez de la Frontera</v>
      </c>
      <c r="F1639" s="16">
        <f ca="1">IFERROR(__xludf.DUMMYFUNCTION("""COMPUTED_VALUE"""),46003)</f>
        <v>46003</v>
      </c>
      <c r="G1639" s="16">
        <f ca="1">IFERROR(__xludf.DUMMYFUNCTION("""COMPUTED_VALUE"""),45978)</f>
        <v>45978</v>
      </c>
      <c r="H1639" s="6" t="str">
        <f ca="1">IFERROR(__xludf.DUMMYFUNCTION("""COMPUTED_VALUE"""),"Jerez")</f>
        <v>Jerez</v>
      </c>
      <c r="I1639" s="6" t="str">
        <f ca="1">IFERROR(__xludf.DUMMYFUNCTION("""COMPUTED_VALUE"""),"C202511171548726809")</f>
        <v>C202511171548726809</v>
      </c>
      <c r="J1639" s="6" t="str">
        <f ca="1">IFERROR(__xludf.DUMMYFUNCTION("""COMPUTED_VALUE"""),"JUAN RUIZ NEUPAVER")</f>
        <v>JUAN RUIZ NEUPAVER</v>
      </c>
      <c r="K1639" s="6">
        <f ca="1">IFERROR(__xludf.DUMMYFUNCTION("""COMPUTED_VALUE"""),2)</f>
        <v>2</v>
      </c>
      <c r="L1639" s="139">
        <f ca="1">IFERROR(__xludf.DUMMYFUNCTION("""COMPUTED_VALUE"""),3631.82)</f>
        <v>3631.82</v>
      </c>
      <c r="M1639" s="6" t="str">
        <f ca="1">IFERROR(__xludf.DUMMYFUNCTION("""COMPUTED_VALUE"""),"03 ORL")</f>
        <v>03 ORL</v>
      </c>
      <c r="N1639" s="6" t="str">
        <f ca="1">IFERROR(__xludf.DUMMYFUNCTION("""COMPUTED_VALUE"""),"06 ORL")</f>
        <v>06 ORL</v>
      </c>
      <c r="O1639" s="6" t="str">
        <f ca="1">IFERROR(__xludf.DUMMYFUNCTION("""COMPUTED_VALUE"""),"Dr, Guillermo Sierra Galera")</f>
        <v>Dr, Guillermo Sierra Galera</v>
      </c>
      <c r="P1639" s="6" t="str">
        <f ca="1">IFERROR(__xludf.DUMMYFUNCTION("""COMPUTED_VALUE"""),"Luis Alberto Rodríguez (Andalucía y Badajoz)")</f>
        <v>Luis Alberto Rodríguez (Andalucía y Badajoz)</v>
      </c>
    </row>
    <row r="1640" spans="2:16">
      <c r="B1640" s="6">
        <f ca="1">IFERROR(__xludf.DUMMYFUNCTION("""COMPUTED_VALUE"""),2025)</f>
        <v>2025</v>
      </c>
      <c r="C1640" s="6">
        <f ca="1">IFERROR(__xludf.DUMMYFUNCTION("""COMPUTED_VALUE"""),12)</f>
        <v>12</v>
      </c>
      <c r="D1640" s="6" t="str">
        <f ca="1">IFERROR(__xludf.DUMMYFUNCTION("""COMPUTED_VALUE"""),"NO")</f>
        <v>NO</v>
      </c>
      <c r="E1640" s="6" t="str">
        <f ca="1">IFERROR(__xludf.DUMMYFUNCTION("""COMPUTED_VALUE"""),"Ponferrada")</f>
        <v>Ponferrada</v>
      </c>
      <c r="F1640" s="16">
        <f ca="1">IFERROR(__xludf.DUMMYFUNCTION("""COMPUTED_VALUE"""),46005)</f>
        <v>46005</v>
      </c>
      <c r="G1640" s="16">
        <f ca="1">IFERROR(__xludf.DUMMYFUNCTION("""COMPUTED_VALUE"""),45644)</f>
        <v>45644</v>
      </c>
      <c r="H1640" s="6" t="str">
        <f ca="1">IFERROR(__xludf.DUMMYFUNCTION("""COMPUTED_VALUE"""),"Ponferrada")</f>
        <v>Ponferrada</v>
      </c>
      <c r="I1640" s="6" t="str">
        <f ca="1">IFERROR(__xludf.DUMMYFUNCTION("""COMPUTED_VALUE"""),"PON-848")</f>
        <v>PON-848</v>
      </c>
      <c r="J1640" s="6" t="str">
        <f ca="1">IFERROR(__xludf.DUMMYFUNCTION("""COMPUTED_VALUE"""),"CARLA RODERA MARTINEZ")</f>
        <v>CARLA RODERA MARTINEZ</v>
      </c>
      <c r="K1640" s="6">
        <f ca="1">IFERROR(__xludf.DUMMYFUNCTION("""COMPUTED_VALUE"""),2)</f>
        <v>2</v>
      </c>
      <c r="L1640" s="139">
        <f ca="1">IFERROR(__xludf.DUMMYFUNCTION("""COMPUTED_VALUE"""),3909.09)</f>
        <v>3909.09</v>
      </c>
      <c r="M1640" s="6" t="str">
        <f ca="1">IFERROR(__xludf.DUMMYFUNCTION("""COMPUTED_VALUE"""),"03 ORL")</f>
        <v>03 ORL</v>
      </c>
      <c r="N1640" s="6" t="str">
        <f ca="1">IFERROR(__xludf.DUMMYFUNCTION("""COMPUTED_VALUE"""),"06 ORL")</f>
        <v>06 ORL</v>
      </c>
      <c r="O1640" s="6" t="str">
        <f ca="1">IFERROR(__xludf.DUMMYFUNCTION("""COMPUTED_VALUE"""),"Dra, Diana Lysbeth Lourido Piedrahita")</f>
        <v>Dra, Diana Lysbeth Lourido Piedrahita</v>
      </c>
      <c r="P1640" s="6" t="str">
        <f ca="1">IFERROR(__xludf.DUMMYFUNCTION("""COMPUTED_VALUE"""),"Alberto Moreno (Madrid)")</f>
        <v>Alberto Moreno (Madrid)</v>
      </c>
    </row>
    <row r="1641" spans="2:16">
      <c r="B1641" s="6">
        <f ca="1">IFERROR(__xludf.DUMMYFUNCTION("""COMPUTED_VALUE"""),2025)</f>
        <v>2025</v>
      </c>
      <c r="C1641" s="6">
        <f ca="1">IFERROR(__xludf.DUMMYFUNCTION("""COMPUTED_VALUE"""),12)</f>
        <v>12</v>
      </c>
      <c r="D1641" s="6" t="str">
        <f ca="1">IFERROR(__xludf.DUMMYFUNCTION("""COMPUTED_VALUE"""),"NO")</f>
        <v>NO</v>
      </c>
      <c r="E1641" s="6" t="str">
        <f ca="1">IFERROR(__xludf.DUMMYFUNCTION("""COMPUTED_VALUE"""),"Cáceres")</f>
        <v>Cáceres</v>
      </c>
      <c r="F1641" s="16">
        <f ca="1">IFERROR(__xludf.DUMMYFUNCTION("""COMPUTED_VALUE"""),46006)</f>
        <v>46006</v>
      </c>
      <c r="G1641" s="16">
        <f ca="1">IFERROR(__xludf.DUMMYFUNCTION("""COMPUTED_VALUE"""),45940)</f>
        <v>45940</v>
      </c>
      <c r="H1641" s="6" t="str">
        <f ca="1">IFERROR(__xludf.DUMMYFUNCTION("""COMPUTED_VALUE"""),"Cáceres")</f>
        <v>Cáceres</v>
      </c>
      <c r="I1641" s="6" t="str">
        <f ca="1">IFERROR(__xludf.DUMMYFUNCTION("""COMPUTED_VALUE"""),"CAC-419")</f>
        <v>CAC-419</v>
      </c>
      <c r="J1641" s="6" t="str">
        <f ca="1">IFERROR(__xludf.DUMMYFUNCTION("""COMPUTED_VALUE"""),"CONSUELO RUBIO MARTIN")</f>
        <v>CONSUELO RUBIO MARTIN</v>
      </c>
      <c r="K1641" s="6">
        <f ca="1">IFERROR(__xludf.DUMMYFUNCTION("""COMPUTED_VALUE"""),2)</f>
        <v>2</v>
      </c>
      <c r="L1641" s="139">
        <f ca="1">IFERROR(__xludf.DUMMYFUNCTION("""COMPUTED_VALUE"""),3970.91)</f>
        <v>3970.91</v>
      </c>
      <c r="M1641" s="6" t="str">
        <f ca="1">IFERROR(__xludf.DUMMYFUNCTION("""COMPUTED_VALUE"""),"03 ORL")</f>
        <v>03 ORL</v>
      </c>
      <c r="N1641" s="6" t="str">
        <f ca="1">IFERROR(__xludf.DUMMYFUNCTION("""COMPUTED_VALUE"""),"06 ORL")</f>
        <v>06 ORL</v>
      </c>
      <c r="O1641" s="6" t="str">
        <f ca="1">IFERROR(__xludf.DUMMYFUNCTION("""COMPUTED_VALUE"""),"Dr, Javier García Gómez")</f>
        <v>Dr, Javier García Gómez</v>
      </c>
      <c r="P1641" s="6" t="str">
        <f ca="1">IFERROR(__xludf.DUMMYFUNCTION("""COMPUTED_VALUE"""),"Lisandro Russian (Madrid, Cáceres, Toledo, Talavera Y Logroño)")</f>
        <v>Lisandro Russian (Madrid, Cáceres, Toledo, Talavera Y Logroño)</v>
      </c>
    </row>
    <row r="1642" spans="2:16">
      <c r="B1642" s="6">
        <f ca="1">IFERROR(__xludf.DUMMYFUNCTION("""COMPUTED_VALUE"""),2025)</f>
        <v>2025</v>
      </c>
      <c r="C1642" s="6">
        <f ca="1">IFERROR(__xludf.DUMMYFUNCTION("""COMPUTED_VALUE"""),12)</f>
        <v>12</v>
      </c>
      <c r="D1642" s="6" t="str">
        <f ca="1">IFERROR(__xludf.DUMMYFUNCTION("""COMPUTED_VALUE"""),"NO")</f>
        <v>NO</v>
      </c>
      <c r="E1642" s="6" t="str">
        <f ca="1">IFERROR(__xludf.DUMMYFUNCTION("""COMPUTED_VALUE"""),"Salamanca")</f>
        <v>Salamanca</v>
      </c>
      <c r="F1642" s="16">
        <f ca="1">IFERROR(__xludf.DUMMYFUNCTION("""COMPUTED_VALUE"""),46006)</f>
        <v>46006</v>
      </c>
      <c r="G1642" s="16">
        <f ca="1">IFERROR(__xludf.DUMMYFUNCTION("""COMPUTED_VALUE"""),45964)</f>
        <v>45964</v>
      </c>
      <c r="H1642" s="6" t="str">
        <f ca="1">IFERROR(__xludf.DUMMYFUNCTION("""COMPUTED_VALUE"""),"Salamanca")</f>
        <v>Salamanca</v>
      </c>
      <c r="I1642" s="6" t="str">
        <f ca="1">IFERROR(__xludf.DUMMYFUNCTION("""COMPUTED_VALUE"""),"SLM-645")</f>
        <v>SLM-645</v>
      </c>
      <c r="J1642" s="6" t="str">
        <f ca="1">IFERROR(__xludf.DUMMYFUNCTION("""COMPUTED_VALUE"""),"ISABEL SANCHEZ MORAN")</f>
        <v>ISABEL SANCHEZ MORAN</v>
      </c>
      <c r="K1642" s="6">
        <f ca="1">IFERROR(__xludf.DUMMYFUNCTION("""COMPUTED_VALUE"""),2)</f>
        <v>2</v>
      </c>
      <c r="L1642" s="139">
        <f ca="1">IFERROR(__xludf.DUMMYFUNCTION("""COMPUTED_VALUE"""),4120)</f>
        <v>4120</v>
      </c>
      <c r="M1642" s="6" t="str">
        <f ca="1">IFERROR(__xludf.DUMMYFUNCTION("""COMPUTED_VALUE"""),"03 ORL")</f>
        <v>03 ORL</v>
      </c>
      <c r="N1642" s="6" t="str">
        <f ca="1">IFERROR(__xludf.DUMMYFUNCTION("""COMPUTED_VALUE"""),"06 ORL")</f>
        <v>06 ORL</v>
      </c>
      <c r="O1642" s="6" t="str">
        <f ca="1">IFERROR(__xludf.DUMMYFUNCTION("""COMPUTED_VALUE"""),"Dr, Luis Miguel Rincón Esteban")</f>
        <v>Dr, Luis Miguel Rincón Esteban</v>
      </c>
      <c r="P1642" s="6" t="str">
        <f ca="1">IFERROR(__xludf.DUMMYFUNCTION("""COMPUTED_VALUE"""),"Alberto Moreno (Madrid)")</f>
        <v>Alberto Moreno (Madrid)</v>
      </c>
    </row>
    <row r="1643" spans="2:16">
      <c r="B1643" s="6">
        <f ca="1">IFERROR(__xludf.DUMMYFUNCTION("""COMPUTED_VALUE"""),2025)</f>
        <v>2025</v>
      </c>
      <c r="C1643" s="6">
        <f ca="1">IFERROR(__xludf.DUMMYFUNCTION("""COMPUTED_VALUE"""),12)</f>
        <v>12</v>
      </c>
      <c r="D1643" s="6" t="str">
        <f ca="1">IFERROR(__xludf.DUMMYFUNCTION("""COMPUTED_VALUE"""),"NO")</f>
        <v>NO</v>
      </c>
      <c r="E1643" s="6" t="str">
        <f ca="1">IFERROR(__xludf.DUMMYFUNCTION("""COMPUTED_VALUE"""),"Jerez de la Frontera")</f>
        <v>Jerez de la Frontera</v>
      </c>
      <c r="F1643" s="16">
        <f ca="1">IFERROR(__xludf.DUMMYFUNCTION("""COMPUTED_VALUE"""),46006)</f>
        <v>46006</v>
      </c>
      <c r="G1643" s="16">
        <f ca="1">IFERROR(__xludf.DUMMYFUNCTION("""COMPUTED_VALUE"""),45981)</f>
        <v>45981</v>
      </c>
      <c r="H1643" s="6" t="str">
        <f ca="1">IFERROR(__xludf.DUMMYFUNCTION("""COMPUTED_VALUE"""),"Jerez")</f>
        <v>Jerez</v>
      </c>
      <c r="I1643" s="6" t="str">
        <f ca="1">IFERROR(__xludf.DUMMYFUNCTION("""COMPUTED_VALUE"""),"C202511201039178797")</f>
        <v>C202511201039178797</v>
      </c>
      <c r="J1643" s="6" t="str">
        <f ca="1">IFERROR(__xludf.DUMMYFUNCTION("""COMPUTED_VALUE"""),"MARIA CARAVACA GIL")</f>
        <v>MARIA CARAVACA GIL</v>
      </c>
      <c r="K1643" s="6">
        <f ca="1">IFERROR(__xludf.DUMMYFUNCTION("""COMPUTED_VALUE"""),2)</f>
        <v>2</v>
      </c>
      <c r="L1643" s="139">
        <f ca="1">IFERROR(__xludf.DUMMYFUNCTION("""COMPUTED_VALUE"""),4136.36)</f>
        <v>4136.3599999999997</v>
      </c>
      <c r="M1643" s="6" t="str">
        <f ca="1">IFERROR(__xludf.DUMMYFUNCTION("""COMPUTED_VALUE"""),"03 ORL")</f>
        <v>03 ORL</v>
      </c>
      <c r="N1643" s="6" t="str">
        <f ca="1">IFERROR(__xludf.DUMMYFUNCTION("""COMPUTED_VALUE"""),"06 ORL")</f>
        <v>06 ORL</v>
      </c>
      <c r="O1643" s="6" t="str">
        <f ca="1">IFERROR(__xludf.DUMMYFUNCTION("""COMPUTED_VALUE"""),"Dra, Maria Del Carmen Salom Coveñas")</f>
        <v>Dra, Maria Del Carmen Salom Coveñas</v>
      </c>
      <c r="P1643" s="6" t="str">
        <f ca="1">IFERROR(__xludf.DUMMYFUNCTION("""COMPUTED_VALUE"""),"Luis Alberto Rodríguez (Andalucía y Badajoz)")</f>
        <v>Luis Alberto Rodríguez (Andalucía y Badajoz)</v>
      </c>
    </row>
    <row r="1644" spans="2:16">
      <c r="B1644" s="6">
        <f ca="1">IFERROR(__xludf.DUMMYFUNCTION("""COMPUTED_VALUE"""),2025)</f>
        <v>2025</v>
      </c>
      <c r="C1644" s="6">
        <f ca="1">IFERROR(__xludf.DUMMYFUNCTION("""COMPUTED_VALUE"""),12)</f>
        <v>12</v>
      </c>
      <c r="D1644" s="6" t="str">
        <f ca="1">IFERROR(__xludf.DUMMYFUNCTION("""COMPUTED_VALUE"""),"SI")</f>
        <v>SI</v>
      </c>
      <c r="E1644" s="6" t="str">
        <f ca="1">IFERROR(__xludf.DUMMYFUNCTION("""COMPUTED_VALUE"""),"Jerez de la Frontera")</f>
        <v>Jerez de la Frontera</v>
      </c>
      <c r="F1644" s="16">
        <f ca="1">IFERROR(__xludf.DUMMYFUNCTION("""COMPUTED_VALUE"""),46006)</f>
        <v>46006</v>
      </c>
      <c r="G1644" s="16">
        <f ca="1">IFERROR(__xludf.DUMMYFUNCTION("""COMPUTED_VALUE"""),45974)</f>
        <v>45974</v>
      </c>
      <c r="H1644" s="6" t="str">
        <f ca="1">IFERROR(__xludf.DUMMYFUNCTION("""COMPUTED_VALUE"""),"Jerez")</f>
        <v>Jerez</v>
      </c>
      <c r="I1644" s="6" t="str">
        <f ca="1">IFERROR(__xludf.DUMMYFUNCTION("""COMPUTED_VALUE"""),"C202511131155509733")</f>
        <v>C202511131155509733</v>
      </c>
      <c r="J1644" s="6" t="str">
        <f ca="1">IFERROR(__xludf.DUMMYFUNCTION("""COMPUTED_VALUE"""),"SALVADOR SELVATICO SANCHEZ")</f>
        <v>SALVADOR SELVATICO SANCHEZ</v>
      </c>
      <c r="K1644" s="6">
        <f ca="1">IFERROR(__xludf.DUMMYFUNCTION("""COMPUTED_VALUE"""),2)</f>
        <v>2</v>
      </c>
      <c r="L1644" s="139">
        <f ca="1">IFERROR(__xludf.DUMMYFUNCTION("""COMPUTED_VALUE"""),4536.36)</f>
        <v>4536.3599999999997</v>
      </c>
      <c r="M1644" s="6" t="str">
        <f ca="1">IFERROR(__xludf.DUMMYFUNCTION("""COMPUTED_VALUE"""),"03 ORL")</f>
        <v>03 ORL</v>
      </c>
      <c r="N1644" s="6" t="str">
        <f ca="1">IFERROR(__xludf.DUMMYFUNCTION("""COMPUTED_VALUE"""),"06 ORL")</f>
        <v>06 ORL</v>
      </c>
      <c r="O1644" s="6" t="str">
        <f ca="1">IFERROR(__xludf.DUMMYFUNCTION("""COMPUTED_VALUE"""),"Dr, Manuel Tucciarone")</f>
        <v>Dr, Manuel Tucciarone</v>
      </c>
      <c r="P1644" s="6" t="str">
        <f ca="1">IFERROR(__xludf.DUMMYFUNCTION("""COMPUTED_VALUE"""),"Luis Alberto Rodríguez (Andalucía y Badajoz)")</f>
        <v>Luis Alberto Rodríguez (Andalucía y Badajoz)</v>
      </c>
    </row>
    <row r="1645" spans="2:16">
      <c r="B1645" s="6">
        <f ca="1">IFERROR(__xludf.DUMMYFUNCTION("""COMPUTED_VALUE"""),2025)</f>
        <v>2025</v>
      </c>
      <c r="C1645" s="6">
        <f ca="1">IFERROR(__xludf.DUMMYFUNCTION("""COMPUTED_VALUE"""),12)</f>
        <v>12</v>
      </c>
      <c r="D1645" s="6" t="str">
        <f ca="1">IFERROR(__xludf.DUMMYFUNCTION("""COMPUTED_VALUE"""),"NO")</f>
        <v>NO</v>
      </c>
      <c r="E1645" s="6" t="str">
        <f ca="1">IFERROR(__xludf.DUMMYFUNCTION("""COMPUTED_VALUE"""),"Ourense")</f>
        <v>Ourense</v>
      </c>
      <c r="F1645" s="16">
        <f ca="1">IFERROR(__xludf.DUMMYFUNCTION("""COMPUTED_VALUE"""),46006)</f>
        <v>46006</v>
      </c>
      <c r="G1645" s="16">
        <f ca="1">IFERROR(__xludf.DUMMYFUNCTION("""COMPUTED_VALUE"""),45974)</f>
        <v>45974</v>
      </c>
      <c r="H1645" s="6" t="str">
        <f ca="1">IFERROR(__xludf.DUMMYFUNCTION("""COMPUTED_VALUE"""),"Orense")</f>
        <v>Orense</v>
      </c>
      <c r="I1645" s="6" t="str">
        <f ca="1">IFERROR(__xludf.DUMMYFUNCTION("""COMPUTED_VALUE"""),"C202511138462062631")</f>
        <v>C202511138462062631</v>
      </c>
      <c r="J1645" s="6" t="str">
        <f ca="1">IFERROR(__xludf.DUMMYFUNCTION("""COMPUTED_VALUE"""),"JOSE LUIS GARCIA OLIVEIRA")</f>
        <v>JOSE LUIS GARCIA OLIVEIRA</v>
      </c>
      <c r="K1645" s="6">
        <f ca="1">IFERROR(__xludf.DUMMYFUNCTION("""COMPUTED_VALUE"""),1)</f>
        <v>1</v>
      </c>
      <c r="L1645" s="139">
        <f ca="1">IFERROR(__xludf.DUMMYFUNCTION("""COMPUTED_VALUE"""),2180.77)</f>
        <v>2180.77</v>
      </c>
      <c r="M1645" s="6" t="str">
        <f ca="1">IFERROR(__xludf.DUMMYFUNCTION("""COMPUTED_VALUE"""),"03 ORL")</f>
        <v>03 ORL</v>
      </c>
      <c r="N1645" s="6" t="str">
        <f ca="1">IFERROR(__xludf.DUMMYFUNCTION("""COMPUTED_VALUE"""),"06 ORL")</f>
        <v>06 ORL</v>
      </c>
      <c r="O1645" s="6" t="str">
        <f ca="1">IFERROR(__xludf.DUMMYFUNCTION("""COMPUTED_VALUE"""),"Dra, María Rey Marcos")</f>
        <v>Dra, María Rey Marcos</v>
      </c>
      <c r="P1645" s="6" t="str">
        <f ca="1">IFERROR(__xludf.DUMMYFUNCTION("""COMPUTED_VALUE"""),"Roberto Pereira (Galicia)")</f>
        <v>Roberto Pereira (Galicia)</v>
      </c>
    </row>
    <row r="1646" spans="2:16">
      <c r="B1646" s="6">
        <f ca="1">IFERROR(__xludf.DUMMYFUNCTION("""COMPUTED_VALUE"""),2025)</f>
        <v>2025</v>
      </c>
      <c r="C1646" s="6">
        <f ca="1">IFERROR(__xludf.DUMMYFUNCTION("""COMPUTED_VALUE"""),12)</f>
        <v>12</v>
      </c>
      <c r="D1646" s="6" t="str">
        <f ca="1">IFERROR(__xludf.DUMMYFUNCTION("""COMPUTED_VALUE"""),"NO")</f>
        <v>NO</v>
      </c>
      <c r="E1646" s="6" t="str">
        <f ca="1">IFERROR(__xludf.DUMMYFUNCTION("""COMPUTED_VALUE"""),"Cáceres")</f>
        <v>Cáceres</v>
      </c>
      <c r="F1646" s="16">
        <f ca="1">IFERROR(__xludf.DUMMYFUNCTION("""COMPUTED_VALUE"""),46007)</f>
        <v>46007</v>
      </c>
      <c r="G1646" s="16">
        <f ca="1">IFERROR(__xludf.DUMMYFUNCTION("""COMPUTED_VALUE"""),45978)</f>
        <v>45978</v>
      </c>
      <c r="H1646" s="6" t="str">
        <f ca="1">IFERROR(__xludf.DUMMYFUNCTION("""COMPUTED_VALUE"""),"Cáceres")</f>
        <v>Cáceres</v>
      </c>
      <c r="I1646" s="6" t="str">
        <f ca="1">IFERROR(__xludf.DUMMYFUNCTION("""COMPUTED_VALUE"""),"CAC-448")</f>
        <v>CAC-448</v>
      </c>
      <c r="J1646" s="6" t="str">
        <f ca="1">IFERROR(__xludf.DUMMYFUNCTION("""COMPUTED_VALUE"""),"MARIA LUISA BOCADULCE LOZANO")</f>
        <v>MARIA LUISA BOCADULCE LOZANO</v>
      </c>
      <c r="K1646" s="6">
        <f ca="1">IFERROR(__xludf.DUMMYFUNCTION("""COMPUTED_VALUE"""),2)</f>
        <v>2</v>
      </c>
      <c r="L1646" s="139">
        <f ca="1">IFERROR(__xludf.DUMMYFUNCTION("""COMPUTED_VALUE"""),4500)</f>
        <v>4500</v>
      </c>
      <c r="M1646" s="6" t="str">
        <f ca="1">IFERROR(__xludf.DUMMYFUNCTION("""COMPUTED_VALUE"""),"03 ORL")</f>
        <v>03 ORL</v>
      </c>
      <c r="N1646" s="6" t="str">
        <f ca="1">IFERROR(__xludf.DUMMYFUNCTION("""COMPUTED_VALUE"""),"06 ORL")</f>
        <v>06 ORL</v>
      </c>
      <c r="O1646" s="6" t="str">
        <f ca="1">IFERROR(__xludf.DUMMYFUNCTION("""COMPUTED_VALUE"""),"Dra, Esther De La O Corochano")</f>
        <v>Dra, Esther De La O Corochano</v>
      </c>
      <c r="P1646" s="6" t="str">
        <f ca="1">IFERROR(__xludf.DUMMYFUNCTION("""COMPUTED_VALUE"""),"Lisandro Russian (Madrid, Cáceres, Toledo, Talavera Y Logroño)")</f>
        <v>Lisandro Russian (Madrid, Cáceres, Toledo, Talavera Y Logroño)</v>
      </c>
    </row>
    <row r="1647" spans="2:16">
      <c r="B1647" s="6">
        <f ca="1">IFERROR(__xludf.DUMMYFUNCTION("""COMPUTED_VALUE"""),2025)</f>
        <v>2025</v>
      </c>
      <c r="C1647" s="6">
        <f ca="1">IFERROR(__xludf.DUMMYFUNCTION("""COMPUTED_VALUE"""),12)</f>
        <v>12</v>
      </c>
      <c r="D1647" s="6" t="str">
        <f ca="1">IFERROR(__xludf.DUMMYFUNCTION("""COMPUTED_VALUE"""),"NO")</f>
        <v>NO</v>
      </c>
      <c r="E1647" s="6" t="str">
        <f ca="1">IFERROR(__xludf.DUMMYFUNCTION("""COMPUTED_VALUE"""),"Toledo")</f>
        <v>Toledo</v>
      </c>
      <c r="F1647" s="16">
        <f ca="1">IFERROR(__xludf.DUMMYFUNCTION("""COMPUTED_VALUE"""),46007)</f>
        <v>46007</v>
      </c>
      <c r="G1647" s="16">
        <f ca="1">IFERROR(__xludf.DUMMYFUNCTION("""COMPUTED_VALUE"""),45957)</f>
        <v>45957</v>
      </c>
      <c r="H1647" s="6" t="str">
        <f ca="1">IFERROR(__xludf.DUMMYFUNCTION("""COMPUTED_VALUE"""),"Toledo")</f>
        <v>Toledo</v>
      </c>
      <c r="I1647" s="6" t="str">
        <f ca="1">IFERROR(__xludf.DUMMYFUNCTION("""COMPUTED_VALUE"""),"C202510271458189840")</f>
        <v>C202510271458189840</v>
      </c>
      <c r="J1647" s="6" t="str">
        <f ca="1">IFERROR(__xludf.DUMMYFUNCTION("""COMPUTED_VALUE"""),"Concepción Gil Sánchez")</f>
        <v>Concepción Gil Sánchez</v>
      </c>
      <c r="K1647" s="6">
        <f ca="1">IFERROR(__xludf.DUMMYFUNCTION("""COMPUTED_VALUE"""),2)</f>
        <v>2</v>
      </c>
      <c r="L1647" s="139">
        <f ca="1">IFERROR(__xludf.DUMMYFUNCTION("""COMPUTED_VALUE"""),2718.18)</f>
        <v>2718.18</v>
      </c>
      <c r="M1647" s="6" t="str">
        <f ca="1">IFERROR(__xludf.DUMMYFUNCTION("""COMPUTED_VALUE"""),"03 ORL")</f>
        <v>03 ORL</v>
      </c>
      <c r="N1647" s="6" t="str">
        <f ca="1">IFERROR(__xludf.DUMMYFUNCTION("""COMPUTED_VALUE"""),"06 ORL")</f>
        <v>06 ORL</v>
      </c>
      <c r="O1647" s="6" t="str">
        <f ca="1">IFERROR(__xludf.DUMMYFUNCTION("""COMPUTED_VALUE"""),"Dra, Mónica Rueda Vega")</f>
        <v>Dra, Mónica Rueda Vega</v>
      </c>
      <c r="P1647" s="6" t="str">
        <f ca="1">IFERROR(__xludf.DUMMYFUNCTION("""COMPUTED_VALUE"""),"Lisandro Russian (Madrid, Cáceres, Toledo, Talavera Y Logroño)")</f>
        <v>Lisandro Russian (Madrid, Cáceres, Toledo, Talavera Y Logroño)</v>
      </c>
    </row>
    <row r="1648" spans="2:16">
      <c r="B1648" s="6">
        <f ca="1">IFERROR(__xludf.DUMMYFUNCTION("""COMPUTED_VALUE"""),2025)</f>
        <v>2025</v>
      </c>
      <c r="C1648" s="6">
        <f ca="1">IFERROR(__xludf.DUMMYFUNCTION("""COMPUTED_VALUE"""),12)</f>
        <v>12</v>
      </c>
      <c r="D1648" s="6" t="str">
        <f ca="1">IFERROR(__xludf.DUMMYFUNCTION("""COMPUTED_VALUE"""),"NO")</f>
        <v>NO</v>
      </c>
      <c r="E1648" s="6" t="str">
        <f ca="1">IFERROR(__xludf.DUMMYFUNCTION("""COMPUTED_VALUE"""),"Getafe")</f>
        <v>Getafe</v>
      </c>
      <c r="F1648" s="16">
        <f ca="1">IFERROR(__xludf.DUMMYFUNCTION("""COMPUTED_VALUE"""),46007)</f>
        <v>46007</v>
      </c>
      <c r="G1648" s="16">
        <f ca="1">IFERROR(__xludf.DUMMYFUNCTION("""COMPUTED_VALUE"""),45973)</f>
        <v>45973</v>
      </c>
      <c r="H1648" s="6" t="str">
        <f ca="1">IFERROR(__xludf.DUMMYFUNCTION("""COMPUTED_VALUE"""),"Getafe")</f>
        <v>Getafe</v>
      </c>
      <c r="I1648" s="6" t="str">
        <f ca="1">IFERROR(__xludf.DUMMYFUNCTION("""COMPUTED_VALUE"""),"C202511121026471742")</f>
        <v>C202511121026471742</v>
      </c>
      <c r="J1648" s="6" t="str">
        <f ca="1">IFERROR(__xludf.DUMMYFUNCTION("""COMPUTED_VALUE"""),"LUCRECIA SORIA GÓMEZ")</f>
        <v>LUCRECIA SORIA GÓMEZ</v>
      </c>
      <c r="K1648" s="6">
        <f ca="1">IFERROR(__xludf.DUMMYFUNCTION("""COMPUTED_VALUE"""),2)</f>
        <v>2</v>
      </c>
      <c r="L1648" s="139">
        <f ca="1">IFERROR(__xludf.DUMMYFUNCTION("""COMPUTED_VALUE"""),2582.27)</f>
        <v>2582.27</v>
      </c>
      <c r="M1648" s="6" t="str">
        <f ca="1">IFERROR(__xludf.DUMMYFUNCTION("""COMPUTED_VALUE"""),"03 ORL")</f>
        <v>03 ORL</v>
      </c>
      <c r="N1648" s="6" t="str">
        <f ca="1">IFERROR(__xludf.DUMMYFUNCTION("""COMPUTED_VALUE"""),"06 ORL")</f>
        <v>06 ORL</v>
      </c>
      <c r="O1648" s="6" t="str">
        <f ca="1">IFERROR(__xludf.DUMMYFUNCTION("""COMPUTED_VALUE"""),"Dra, María Garrote Garrote")</f>
        <v>Dra, María Garrote Garrote</v>
      </c>
      <c r="P1648" s="6" t="str">
        <f ca="1">IFERROR(__xludf.DUMMYFUNCTION("""COMPUTED_VALUE"""),"Maika Blázquez (Madrid)")</f>
        <v>Maika Blázquez (Madrid)</v>
      </c>
    </row>
    <row r="1649" spans="2:16">
      <c r="B1649" s="6">
        <f ca="1">IFERROR(__xludf.DUMMYFUNCTION("""COMPUTED_VALUE"""),2025)</f>
        <v>2025</v>
      </c>
      <c r="C1649" s="6">
        <f ca="1">IFERROR(__xludf.DUMMYFUNCTION("""COMPUTED_VALUE"""),12)</f>
        <v>12</v>
      </c>
      <c r="D1649" s="6" t="str">
        <f ca="1">IFERROR(__xludf.DUMMYFUNCTION("""COMPUTED_VALUE"""),"NO")</f>
        <v>NO</v>
      </c>
      <c r="E1649" s="6" t="str">
        <f ca="1">IFERROR(__xludf.DUMMYFUNCTION("""COMPUTED_VALUE"""),"Cáceres")</f>
        <v>Cáceres</v>
      </c>
      <c r="F1649" s="16">
        <f ca="1">IFERROR(__xludf.DUMMYFUNCTION("""COMPUTED_VALUE"""),46007)</f>
        <v>46007</v>
      </c>
      <c r="G1649" s="16">
        <f ca="1">IFERROR(__xludf.DUMMYFUNCTION("""COMPUTED_VALUE"""),45972)</f>
        <v>45972</v>
      </c>
      <c r="H1649" s="6" t="str">
        <f ca="1">IFERROR(__xludf.DUMMYFUNCTION("""COMPUTED_VALUE"""),"Cáceres")</f>
        <v>Cáceres</v>
      </c>
      <c r="I1649" s="6" t="str">
        <f ca="1">IFERROR(__xludf.DUMMYFUNCTION("""COMPUTED_VALUE"""),"CAC-444")</f>
        <v>CAC-444</v>
      </c>
      <c r="J1649" s="6" t="str">
        <f ca="1">IFERROR(__xludf.DUMMYFUNCTION("""COMPUTED_VALUE"""),"EMILIA MARISCAL CASTRO")</f>
        <v>EMILIA MARISCAL CASTRO</v>
      </c>
      <c r="K1649" s="6">
        <f ca="1">IFERROR(__xludf.DUMMYFUNCTION("""COMPUTED_VALUE"""),2)</f>
        <v>2</v>
      </c>
      <c r="L1649" s="139">
        <f ca="1">IFERROR(__xludf.DUMMYFUNCTION("""COMPUTED_VALUE"""),4500)</f>
        <v>4500</v>
      </c>
      <c r="M1649" s="6" t="str">
        <f ca="1">IFERROR(__xludf.DUMMYFUNCTION("""COMPUTED_VALUE"""),"03 ORL")</f>
        <v>03 ORL</v>
      </c>
      <c r="N1649" s="6" t="str">
        <f ca="1">IFERROR(__xludf.DUMMYFUNCTION("""COMPUTED_VALUE"""),"06 ORL")</f>
        <v>06 ORL</v>
      </c>
      <c r="O1649" s="6" t="str">
        <f ca="1">IFERROR(__xludf.DUMMYFUNCTION("""COMPUTED_VALUE"""),"Dra, Marta García Jiménez")</f>
        <v>Dra, Marta García Jiménez</v>
      </c>
      <c r="P1649" s="6" t="str">
        <f ca="1">IFERROR(__xludf.DUMMYFUNCTION("""COMPUTED_VALUE"""),"Lisandro Russian (Madrid, Cáceres, Toledo, Talavera Y Logroño)")</f>
        <v>Lisandro Russian (Madrid, Cáceres, Toledo, Talavera Y Logroño)</v>
      </c>
    </row>
    <row r="1650" spans="2:16">
      <c r="B1650" s="6">
        <f ca="1">IFERROR(__xludf.DUMMYFUNCTION("""COMPUTED_VALUE"""),2025)</f>
        <v>2025</v>
      </c>
      <c r="C1650" s="6">
        <f ca="1">IFERROR(__xludf.DUMMYFUNCTION("""COMPUTED_VALUE"""),12)</f>
        <v>12</v>
      </c>
      <c r="D1650" s="6" t="str">
        <f ca="1">IFERROR(__xludf.DUMMYFUNCTION("""COMPUTED_VALUE"""),"NO")</f>
        <v>NO</v>
      </c>
      <c r="E1650" s="6" t="str">
        <f ca="1">IFERROR(__xludf.DUMMYFUNCTION("""COMPUTED_VALUE"""),"Almería")</f>
        <v>Almería</v>
      </c>
      <c r="F1650" s="16">
        <f ca="1">IFERROR(__xludf.DUMMYFUNCTION("""COMPUTED_VALUE"""),46007)</f>
        <v>46007</v>
      </c>
      <c r="G1650" s="16">
        <f ca="1">IFERROR(__xludf.DUMMYFUNCTION("""COMPUTED_VALUE"""),45967)</f>
        <v>45967</v>
      </c>
      <c r="H1650" s="6" t="str">
        <f ca="1">IFERROR(__xludf.DUMMYFUNCTION("""COMPUTED_VALUE"""),"Almería")</f>
        <v>Almería</v>
      </c>
      <c r="I1650" s="6" t="str">
        <f ca="1">IFERROR(__xludf.DUMMYFUNCTION("""COMPUTED_VALUE"""),"C202511611284381178")</f>
        <v>C202511611284381178</v>
      </c>
      <c r="J1650" s="6" t="str">
        <f ca="1">IFERROR(__xludf.DUMMYFUNCTION("""COMPUTED_VALUE"""),"GEMMA MONTOYA PORTILLO")</f>
        <v>GEMMA MONTOYA PORTILLO</v>
      </c>
      <c r="K1650" s="6">
        <f ca="1">IFERROR(__xludf.DUMMYFUNCTION("""COMPUTED_VALUE"""),2)</f>
        <v>2</v>
      </c>
      <c r="L1650" s="139">
        <f ca="1">IFERROR(__xludf.DUMMYFUNCTION("""COMPUTED_VALUE"""),2718.19)</f>
        <v>2718.19</v>
      </c>
      <c r="M1650" s="6" t="str">
        <f ca="1">IFERROR(__xludf.DUMMYFUNCTION("""COMPUTED_VALUE"""),"03 ORL")</f>
        <v>03 ORL</v>
      </c>
      <c r="N1650" s="6" t="str">
        <f ca="1">IFERROR(__xludf.DUMMYFUNCTION("""COMPUTED_VALUE"""),"06 ORL")</f>
        <v>06 ORL</v>
      </c>
      <c r="O1650" s="6" t="str">
        <f ca="1">IFERROR(__xludf.DUMMYFUNCTION("""COMPUTED_VALUE"""),"Dr, Manuel Segundo Gómez Fiñana")</f>
        <v>Dr, Manuel Segundo Gómez Fiñana</v>
      </c>
      <c r="P1650" s="6" t="str">
        <f ca="1">IFERROR(__xludf.DUMMYFUNCTION("""COMPUTED_VALUE"""),"Ramon Ferrando(Valencia)")</f>
        <v>Ramon Ferrando(Valencia)</v>
      </c>
    </row>
    <row r="1651" spans="2:16">
      <c r="B1651" s="6">
        <f ca="1">IFERROR(__xludf.DUMMYFUNCTION("""COMPUTED_VALUE"""),2025)</f>
        <v>2025</v>
      </c>
      <c r="C1651" s="6">
        <f ca="1">IFERROR(__xludf.DUMMYFUNCTION("""COMPUTED_VALUE"""),12)</f>
        <v>12</v>
      </c>
      <c r="D1651" s="6" t="str">
        <f ca="1">IFERROR(__xludf.DUMMYFUNCTION("""COMPUTED_VALUE"""),"NO")</f>
        <v>NO</v>
      </c>
      <c r="E1651" s="6" t="str">
        <f ca="1">IFERROR(__xludf.DUMMYFUNCTION("""COMPUTED_VALUE"""),"Salamanca")</f>
        <v>Salamanca</v>
      </c>
      <c r="F1651" s="16">
        <f ca="1">IFERROR(__xludf.DUMMYFUNCTION("""COMPUTED_VALUE"""),46007)</f>
        <v>46007</v>
      </c>
      <c r="G1651" s="16">
        <f ca="1">IFERROR(__xludf.DUMMYFUNCTION("""COMPUTED_VALUE"""),45953)</f>
        <v>45953</v>
      </c>
      <c r="H1651" s="6" t="str">
        <f ca="1">IFERROR(__xludf.DUMMYFUNCTION("""COMPUTED_VALUE"""),"Salamanca")</f>
        <v>Salamanca</v>
      </c>
      <c r="I1651" s="6" t="str">
        <f ca="1">IFERROR(__xludf.DUMMYFUNCTION("""COMPUTED_VALUE"""),"SLM-641")</f>
        <v>SLM-641</v>
      </c>
      <c r="J1651" s="6" t="str">
        <f ca="1">IFERROR(__xludf.DUMMYFUNCTION("""COMPUTED_VALUE"""),"MARIA ROSA IGLESIAS SANCHEZ")</f>
        <v>MARIA ROSA IGLESIAS SANCHEZ</v>
      </c>
      <c r="K1651" s="6">
        <f ca="1">IFERROR(__xludf.DUMMYFUNCTION("""COMPUTED_VALUE"""),2)</f>
        <v>2</v>
      </c>
      <c r="L1651" s="139">
        <f ca="1">IFERROR(__xludf.DUMMYFUNCTION("""COMPUTED_VALUE"""),3730)</f>
        <v>3730</v>
      </c>
      <c r="M1651" s="6" t="str">
        <f ca="1">IFERROR(__xludf.DUMMYFUNCTION("""COMPUTED_VALUE"""),"03 ORL")</f>
        <v>03 ORL</v>
      </c>
      <c r="N1651" s="6" t="str">
        <f ca="1">IFERROR(__xludf.DUMMYFUNCTION("""COMPUTED_VALUE"""),"06 ORL")</f>
        <v>06 ORL</v>
      </c>
      <c r="O1651" s="6" t="str">
        <f ca="1">IFERROR(__xludf.DUMMYFUNCTION("""COMPUTED_VALUE"""),"Dr, Luis Miguel Rincón Esteban")</f>
        <v>Dr, Luis Miguel Rincón Esteban</v>
      </c>
      <c r="P1651" s="6" t="str">
        <f ca="1">IFERROR(__xludf.DUMMYFUNCTION("""COMPUTED_VALUE"""),"Alberto Moreno (Madrid)")</f>
        <v>Alberto Moreno (Madrid)</v>
      </c>
    </row>
    <row r="1652" spans="2:16">
      <c r="B1652" s="6">
        <f ca="1">IFERROR(__xludf.DUMMYFUNCTION("""COMPUTED_VALUE"""),2025)</f>
        <v>2025</v>
      </c>
      <c r="C1652" s="6">
        <f ca="1">IFERROR(__xludf.DUMMYFUNCTION("""COMPUTED_VALUE"""),12)</f>
        <v>12</v>
      </c>
      <c r="D1652" s="6" t="str">
        <f ca="1">IFERROR(__xludf.DUMMYFUNCTION("""COMPUTED_VALUE"""),"NO")</f>
        <v>NO</v>
      </c>
      <c r="E1652" s="6" t="str">
        <f ca="1">IFERROR(__xludf.DUMMYFUNCTION("""COMPUTED_VALUE"""),"Ourense")</f>
        <v>Ourense</v>
      </c>
      <c r="F1652" s="16">
        <f ca="1">IFERROR(__xludf.DUMMYFUNCTION("""COMPUTED_VALUE"""),46007)</f>
        <v>46007</v>
      </c>
      <c r="G1652" s="16">
        <f ca="1">IFERROR(__xludf.DUMMYFUNCTION("""COMPUTED_VALUE"""),45965)</f>
        <v>45965</v>
      </c>
      <c r="H1652" s="6" t="str">
        <f ca="1">IFERROR(__xludf.DUMMYFUNCTION("""COMPUTED_VALUE"""),"Orense")</f>
        <v>Orense</v>
      </c>
      <c r="I1652" s="6" t="str">
        <f ca="1">IFERROR(__xludf.DUMMYFUNCTION("""COMPUTED_VALUE"""),"C202511416444006779")</f>
        <v>C202511416444006779</v>
      </c>
      <c r="J1652" s="6" t="str">
        <f ca="1">IFERROR(__xludf.DUMMYFUNCTION("""COMPUTED_VALUE"""),"ILDEFONSO SOBRINO VILA")</f>
        <v>ILDEFONSO SOBRINO VILA</v>
      </c>
      <c r="K1652" s="6">
        <f ca="1">IFERROR(__xludf.DUMMYFUNCTION("""COMPUTED_VALUE"""),1)</f>
        <v>1</v>
      </c>
      <c r="L1652" s="139">
        <f ca="1">IFERROR(__xludf.DUMMYFUNCTION("""COMPUTED_VALUE"""),1631.82)</f>
        <v>1631.82</v>
      </c>
      <c r="M1652" s="6" t="str">
        <f ca="1">IFERROR(__xludf.DUMMYFUNCTION("""COMPUTED_VALUE"""),"03 ORL")</f>
        <v>03 ORL</v>
      </c>
      <c r="N1652" s="6" t="str">
        <f ca="1">IFERROR(__xludf.DUMMYFUNCTION("""COMPUTED_VALUE"""),"06 ORL")</f>
        <v>06 ORL</v>
      </c>
      <c r="O1652" s="6" t="str">
        <f ca="1">IFERROR(__xludf.DUMMYFUNCTION("""COMPUTED_VALUE"""),"Dra, María Rey Marcos")</f>
        <v>Dra, María Rey Marcos</v>
      </c>
      <c r="P1652" s="6" t="str">
        <f ca="1">IFERROR(__xludf.DUMMYFUNCTION("""COMPUTED_VALUE"""),"Roberto Pereira (Galicia)")</f>
        <v>Roberto Pereira (Galicia)</v>
      </c>
    </row>
    <row r="1653" spans="2:16">
      <c r="B1653" s="6">
        <f ca="1">IFERROR(__xludf.DUMMYFUNCTION("""COMPUTED_VALUE"""),2025)</f>
        <v>2025</v>
      </c>
      <c r="C1653" s="6">
        <f ca="1">IFERROR(__xludf.DUMMYFUNCTION("""COMPUTED_VALUE"""),12)</f>
        <v>12</v>
      </c>
      <c r="D1653" s="6" t="str">
        <f ca="1">IFERROR(__xludf.DUMMYFUNCTION("""COMPUTED_VALUE"""),"NO")</f>
        <v>NO</v>
      </c>
      <c r="E1653" s="6" t="str">
        <f ca="1">IFERROR(__xludf.DUMMYFUNCTION("""COMPUTED_VALUE"""),"Ourense")</f>
        <v>Ourense</v>
      </c>
      <c r="F1653" s="16">
        <f ca="1">IFERROR(__xludf.DUMMYFUNCTION("""COMPUTED_VALUE"""),46007)</f>
        <v>46007</v>
      </c>
      <c r="G1653" s="16">
        <f ca="1">IFERROR(__xludf.DUMMYFUNCTION("""COMPUTED_VALUE"""),45965)</f>
        <v>45965</v>
      </c>
      <c r="H1653" s="6" t="str">
        <f ca="1">IFERROR(__xludf.DUMMYFUNCTION("""COMPUTED_VALUE"""),"Orense")</f>
        <v>Orense</v>
      </c>
      <c r="I1653" s="6" t="str">
        <f ca="1">IFERROR(__xludf.DUMMYFUNCTION("""COMPUTED_VALUE"""),"C202511416431155956")</f>
        <v>C202511416431155956</v>
      </c>
      <c r="J1653" s="6" t="str">
        <f ca="1">IFERROR(__xludf.DUMMYFUNCTION("""COMPUTED_VALUE"""),"CARMEN VILLE OTERO")</f>
        <v>CARMEN VILLE OTERO</v>
      </c>
      <c r="K1653" s="6">
        <f ca="1">IFERROR(__xludf.DUMMYFUNCTION("""COMPUTED_VALUE"""),1)</f>
        <v>1</v>
      </c>
      <c r="L1653" s="139">
        <f ca="1">IFERROR(__xludf.DUMMYFUNCTION("""COMPUTED_VALUE"""),1631.82)</f>
        <v>1631.82</v>
      </c>
      <c r="M1653" s="6" t="str">
        <f ca="1">IFERROR(__xludf.DUMMYFUNCTION("""COMPUTED_VALUE"""),"03 ORL")</f>
        <v>03 ORL</v>
      </c>
      <c r="N1653" s="6" t="str">
        <f ca="1">IFERROR(__xludf.DUMMYFUNCTION("""COMPUTED_VALUE"""),"06 ORL")</f>
        <v>06 ORL</v>
      </c>
      <c r="O1653" s="6" t="str">
        <f ca="1">IFERROR(__xludf.DUMMYFUNCTION("""COMPUTED_VALUE"""),"Dra, María Rey Marcos")</f>
        <v>Dra, María Rey Marcos</v>
      </c>
      <c r="P1653" s="6" t="str">
        <f ca="1">IFERROR(__xludf.DUMMYFUNCTION("""COMPUTED_VALUE"""),"Roberto Pereira (Galicia)")</f>
        <v>Roberto Pereira (Galicia)</v>
      </c>
    </row>
    <row r="1654" spans="2:16">
      <c r="B1654" s="6">
        <f ca="1">IFERROR(__xludf.DUMMYFUNCTION("""COMPUTED_VALUE"""),2025)</f>
        <v>2025</v>
      </c>
      <c r="C1654" s="6">
        <f ca="1">IFERROR(__xludf.DUMMYFUNCTION("""COMPUTED_VALUE"""),12)</f>
        <v>12</v>
      </c>
      <c r="D1654" s="6" t="str">
        <f ca="1">IFERROR(__xludf.DUMMYFUNCTION("""COMPUTED_VALUE"""),"NO")</f>
        <v>NO</v>
      </c>
      <c r="E1654" s="6" t="str">
        <f ca="1">IFERROR(__xludf.DUMMYFUNCTION("""COMPUTED_VALUE"""),"Sevilla- Montoto")</f>
        <v>Sevilla- Montoto</v>
      </c>
      <c r="F1654" s="16">
        <f ca="1">IFERROR(__xludf.DUMMYFUNCTION("""COMPUTED_VALUE"""),46007)</f>
        <v>46007</v>
      </c>
      <c r="G1654" s="16">
        <f ca="1">IFERROR(__xludf.DUMMYFUNCTION("""COMPUTED_VALUE"""),45972)</f>
        <v>45972</v>
      </c>
      <c r="H1654" s="6" t="str">
        <f ca="1">IFERROR(__xludf.DUMMYFUNCTION("""COMPUTED_VALUE"""),"Montoto")</f>
        <v>Montoto</v>
      </c>
      <c r="I1654" s="6" t="str">
        <f ca="1">IFERROR(__xludf.DUMMYFUNCTION("""COMPUTED_VALUE"""),"C202511111039390240")</f>
        <v>C202511111039390240</v>
      </c>
      <c r="J1654" s="6" t="str">
        <f ca="1">IFERROR(__xludf.DUMMYFUNCTION("""COMPUTED_VALUE"""),"SOLEDAD SANCHEZ DURÁ")</f>
        <v>SOLEDAD SANCHEZ DURÁ</v>
      </c>
      <c r="K1654" s="6">
        <f ca="1">IFERROR(__xludf.DUMMYFUNCTION("""COMPUTED_VALUE"""),2)</f>
        <v>2</v>
      </c>
      <c r="L1654" s="139">
        <f ca="1">IFERROR(__xludf.DUMMYFUNCTION("""COMPUTED_VALUE"""),2718.18)</f>
        <v>2718.18</v>
      </c>
      <c r="M1654" s="6" t="str">
        <f ca="1">IFERROR(__xludf.DUMMYFUNCTION("""COMPUTED_VALUE"""),"03 ORL")</f>
        <v>03 ORL</v>
      </c>
      <c r="N1654" s="6" t="str">
        <f ca="1">IFERROR(__xludf.DUMMYFUNCTION("""COMPUTED_VALUE"""),"06 ORL")</f>
        <v>06 ORL</v>
      </c>
      <c r="O1654" s="6" t="str">
        <f ca="1">IFERROR(__xludf.DUMMYFUNCTION("""COMPUTED_VALUE"""),"Dra, Lucia Prieto Sánchez de la Puerta")</f>
        <v>Dra, Lucia Prieto Sánchez de la Puerta</v>
      </c>
      <c r="P1654" s="6" t="str">
        <f ca="1">IFERROR(__xludf.DUMMYFUNCTION("""COMPUTED_VALUE"""),"Luis Alberto Rodríguez (Andalucía y Badajoz)")</f>
        <v>Luis Alberto Rodríguez (Andalucía y Badajoz)</v>
      </c>
    </row>
    <row r="1655" spans="2:16">
      <c r="B1655" s="6">
        <f ca="1">IFERROR(__xludf.DUMMYFUNCTION("""COMPUTED_VALUE"""),2025)</f>
        <v>2025</v>
      </c>
      <c r="C1655" s="6">
        <f ca="1">IFERROR(__xludf.DUMMYFUNCTION("""COMPUTED_VALUE"""),12)</f>
        <v>12</v>
      </c>
      <c r="D1655" s="6" t="str">
        <f ca="1">IFERROR(__xludf.DUMMYFUNCTION("""COMPUTED_VALUE"""),"NO")</f>
        <v>NO</v>
      </c>
      <c r="E1655" s="6" t="str">
        <f ca="1">IFERROR(__xludf.DUMMYFUNCTION("""COMPUTED_VALUE"""),"Madrid- Moratalaz")</f>
        <v>Madrid- Moratalaz</v>
      </c>
      <c r="F1655" s="16">
        <f ca="1">IFERROR(__xludf.DUMMYFUNCTION("""COMPUTED_VALUE"""),46007)</f>
        <v>46007</v>
      </c>
      <c r="G1655" s="16">
        <f ca="1">IFERROR(__xludf.DUMMYFUNCTION("""COMPUTED_VALUE"""),45925)</f>
        <v>45925</v>
      </c>
      <c r="H1655" s="6" t="str">
        <f ca="1">IFERROR(__xludf.DUMMYFUNCTION("""COMPUTED_VALUE"""),"Moratalaz")</f>
        <v>Moratalaz</v>
      </c>
      <c r="I1655" s="6" t="str">
        <f ca="1">IFERROR(__xludf.DUMMYFUNCTION("""COMPUTED_VALUE"""),"C202593016013322")</f>
        <v>C202593016013322</v>
      </c>
      <c r="J1655" s="6" t="str">
        <f ca="1">IFERROR(__xludf.DUMMYFUNCTION("""COMPUTED_VALUE"""),"REBECA BERNAL DE LA MATA")</f>
        <v>REBECA BERNAL DE LA MATA</v>
      </c>
      <c r="K1655" s="6">
        <f ca="1">IFERROR(__xludf.DUMMYFUNCTION("""COMPUTED_VALUE"""),1)</f>
        <v>1</v>
      </c>
      <c r="L1655" s="139">
        <f ca="1">IFERROR(__xludf.DUMMYFUNCTION("""COMPUTED_VALUE"""),2481.82)</f>
        <v>2481.8200000000002</v>
      </c>
      <c r="M1655" s="6" t="str">
        <f ca="1">IFERROR(__xludf.DUMMYFUNCTION("""COMPUTED_VALUE"""),"03 ORL")</f>
        <v>03 ORL</v>
      </c>
      <c r="N1655" s="6" t="str">
        <f ca="1">IFERROR(__xludf.DUMMYFUNCTION("""COMPUTED_VALUE"""),"06 ORL")</f>
        <v>06 ORL</v>
      </c>
      <c r="O1655" s="6" t="str">
        <f ca="1">IFERROR(__xludf.DUMMYFUNCTION("""COMPUTED_VALUE"""),"Dr, Julio López Moya")</f>
        <v>Dr, Julio López Moya</v>
      </c>
      <c r="P1655" s="6" t="str">
        <f ca="1">IFERROR(__xludf.DUMMYFUNCTION("""COMPUTED_VALUE"""),"Maika Blázquez (Madrid)")</f>
        <v>Maika Blázquez (Madrid)</v>
      </c>
    </row>
    <row r="1656" spans="2:16">
      <c r="B1656" s="6">
        <f ca="1">IFERROR(__xludf.DUMMYFUNCTION("""COMPUTED_VALUE"""),2025)</f>
        <v>2025</v>
      </c>
      <c r="C1656" s="6">
        <f ca="1">IFERROR(__xludf.DUMMYFUNCTION("""COMPUTED_VALUE"""),12)</f>
        <v>12</v>
      </c>
      <c r="D1656" s="6" t="str">
        <f ca="1">IFERROR(__xludf.DUMMYFUNCTION("""COMPUTED_VALUE"""),"NO")</f>
        <v>NO</v>
      </c>
      <c r="E1656" s="6" t="str">
        <f ca="1">IFERROR(__xludf.DUMMYFUNCTION("""COMPUTED_VALUE"""),"Cáceres")</f>
        <v>Cáceres</v>
      </c>
      <c r="F1656" s="16">
        <f ca="1">IFERROR(__xludf.DUMMYFUNCTION("""COMPUTED_VALUE"""),46008)</f>
        <v>46008</v>
      </c>
      <c r="G1656" s="16">
        <f ca="1">IFERROR(__xludf.DUMMYFUNCTION("""COMPUTED_VALUE"""),45968)</f>
        <v>45968</v>
      </c>
      <c r="H1656" s="6" t="str">
        <f ca="1">IFERROR(__xludf.DUMMYFUNCTION("""COMPUTED_VALUE"""),"Cáceres")</f>
        <v>Cáceres</v>
      </c>
      <c r="I1656" s="6" t="str">
        <f ca="1">IFERROR(__xludf.DUMMYFUNCTION("""COMPUTED_VALUE"""),"CAC-442")</f>
        <v>CAC-442</v>
      </c>
      <c r="J1656" s="6" t="str">
        <f ca="1">IFERROR(__xludf.DUMMYFUNCTION("""COMPUTED_VALUE"""),"FRANCISCO LUENGO PIZARRO")</f>
        <v>FRANCISCO LUENGO PIZARRO</v>
      </c>
      <c r="K1656" s="6">
        <f ca="1">IFERROR(__xludf.DUMMYFUNCTION("""COMPUTED_VALUE"""),2)</f>
        <v>2</v>
      </c>
      <c r="L1656" s="139">
        <f ca="1">IFERROR(__xludf.DUMMYFUNCTION("""COMPUTED_VALUE"""),3970.91)</f>
        <v>3970.91</v>
      </c>
      <c r="M1656" s="6" t="str">
        <f ca="1">IFERROR(__xludf.DUMMYFUNCTION("""COMPUTED_VALUE"""),"03 ORL")</f>
        <v>03 ORL</v>
      </c>
      <c r="N1656" s="6" t="str">
        <f ca="1">IFERROR(__xludf.DUMMYFUNCTION("""COMPUTED_VALUE"""),"06 ORL")</f>
        <v>06 ORL</v>
      </c>
      <c r="O1656" s="6" t="str">
        <f ca="1">IFERROR(__xludf.DUMMYFUNCTION("""COMPUTED_VALUE"""),"Dr, Rafael Sanz Trenado")</f>
        <v>Dr, Rafael Sanz Trenado</v>
      </c>
      <c r="P1656" s="6" t="str">
        <f ca="1">IFERROR(__xludf.DUMMYFUNCTION("""COMPUTED_VALUE"""),"Lisandro Russian (Madrid, Cáceres, Toledo, Talavera Y Logroño)")</f>
        <v>Lisandro Russian (Madrid, Cáceres, Toledo, Talavera Y Logroño)</v>
      </c>
    </row>
    <row r="1657" spans="2:16">
      <c r="B1657" s="6">
        <f ca="1">IFERROR(__xludf.DUMMYFUNCTION("""COMPUTED_VALUE"""),2025)</f>
        <v>2025</v>
      </c>
      <c r="C1657" s="6">
        <f ca="1">IFERROR(__xludf.DUMMYFUNCTION("""COMPUTED_VALUE"""),12)</f>
        <v>12</v>
      </c>
      <c r="D1657" s="6" t="str">
        <f ca="1">IFERROR(__xludf.DUMMYFUNCTION("""COMPUTED_VALUE"""),"NO")</f>
        <v>NO</v>
      </c>
      <c r="E1657" s="6" t="str">
        <f ca="1">IFERROR(__xludf.DUMMYFUNCTION("""COMPUTED_VALUE"""),"Fuenlabrada")</f>
        <v>Fuenlabrada</v>
      </c>
      <c r="F1657" s="16">
        <f ca="1">IFERROR(__xludf.DUMMYFUNCTION("""COMPUTED_VALUE"""),46008)</f>
        <v>46008</v>
      </c>
      <c r="G1657" s="16">
        <f ca="1">IFERROR(__xludf.DUMMYFUNCTION("""COMPUTED_VALUE"""),45986)</f>
        <v>45986</v>
      </c>
      <c r="H1657" s="6" t="str">
        <f ca="1">IFERROR(__xludf.DUMMYFUNCTION("""COMPUTED_VALUE"""),"Fuenlabrada")</f>
        <v>Fuenlabrada</v>
      </c>
      <c r="I1657" s="6" t="str">
        <f ca="1">IFERROR(__xludf.DUMMYFUNCTION("""COMPUTED_VALUE"""),"C202511251115338477")</f>
        <v>C202511251115338477</v>
      </c>
      <c r="J1657" s="6" t="str">
        <f ca="1">IFERROR(__xludf.DUMMYFUNCTION("""COMPUTED_VALUE"""),"RICARDO  DE LA POZA RODRIGUEZ")</f>
        <v>RICARDO  DE LA POZA RODRIGUEZ</v>
      </c>
      <c r="K1657" s="6">
        <f ca="1">IFERROR(__xludf.DUMMYFUNCTION("""COMPUTED_VALUE"""),1)</f>
        <v>1</v>
      </c>
      <c r="L1657" s="139">
        <f ca="1">IFERROR(__xludf.DUMMYFUNCTION("""COMPUTED_VALUE"""),1631.82)</f>
        <v>1631.82</v>
      </c>
      <c r="M1657" s="6" t="str">
        <f ca="1">IFERROR(__xludf.DUMMYFUNCTION("""COMPUTED_VALUE"""),"03 ORL")</f>
        <v>03 ORL</v>
      </c>
      <c r="N1657" s="6" t="str">
        <f ca="1">IFERROR(__xludf.DUMMYFUNCTION("""COMPUTED_VALUE"""),"06 ORL")</f>
        <v>06 ORL</v>
      </c>
      <c r="O1657" s="6" t="str">
        <f ca="1">IFERROR(__xludf.DUMMYFUNCTION("""COMPUTED_VALUE"""),"No recuerda ORL")</f>
        <v>No recuerda ORL</v>
      </c>
      <c r="P1657" s="6"/>
    </row>
    <row r="1658" spans="2:16">
      <c r="B1658" s="6">
        <f ca="1">IFERROR(__xludf.DUMMYFUNCTION("""COMPUTED_VALUE"""),2025)</f>
        <v>2025</v>
      </c>
      <c r="C1658" s="6">
        <f ca="1">IFERROR(__xludf.DUMMYFUNCTION("""COMPUTED_VALUE"""),12)</f>
        <v>12</v>
      </c>
      <c r="D1658" s="6" t="str">
        <f ca="1">IFERROR(__xludf.DUMMYFUNCTION("""COMPUTED_VALUE"""),"NO")</f>
        <v>NO</v>
      </c>
      <c r="E1658" s="6" t="str">
        <f ca="1">IFERROR(__xludf.DUMMYFUNCTION("""COMPUTED_VALUE"""),"Madrid- Monforte de Lemos")</f>
        <v>Madrid- Monforte de Lemos</v>
      </c>
      <c r="F1658" s="16">
        <f ca="1">IFERROR(__xludf.DUMMYFUNCTION("""COMPUTED_VALUE"""),46008)</f>
        <v>46008</v>
      </c>
      <c r="G1658" s="16">
        <f ca="1">IFERROR(__xludf.DUMMYFUNCTION("""COMPUTED_VALUE"""),45968)</f>
        <v>45968</v>
      </c>
      <c r="H1658" s="6" t="str">
        <f ca="1">IFERROR(__xludf.DUMMYFUNCTION("""COMPUTED_VALUE"""),"La Vaguada")</f>
        <v>La Vaguada</v>
      </c>
      <c r="I1658" s="6" t="str">
        <f ca="1">IFERROR(__xludf.DUMMYFUNCTION("""COMPUTED_VALUE"""),"C202511785735734534")</f>
        <v>C202511785735734534</v>
      </c>
      <c r="J1658" s="6" t="str">
        <f ca="1">IFERROR(__xludf.DUMMYFUNCTION("""COMPUTED_VALUE"""),"CONSUELO  SANTAMARIA SANZ")</f>
        <v>CONSUELO  SANTAMARIA SANZ</v>
      </c>
      <c r="K1658" s="6">
        <f ca="1">IFERROR(__xludf.DUMMYFUNCTION("""COMPUTED_VALUE"""),2)</f>
        <v>2</v>
      </c>
      <c r="L1658" s="139">
        <f ca="1">IFERROR(__xludf.DUMMYFUNCTION("""COMPUTED_VALUE"""),3631.82)</f>
        <v>3631.82</v>
      </c>
      <c r="M1658" s="6" t="str">
        <f ca="1">IFERROR(__xludf.DUMMYFUNCTION("""COMPUTED_VALUE"""),"03 ORL")</f>
        <v>03 ORL</v>
      </c>
      <c r="N1658" s="6" t="str">
        <f ca="1">IFERROR(__xludf.DUMMYFUNCTION("""COMPUTED_VALUE"""),"06 ORL")</f>
        <v>06 ORL</v>
      </c>
      <c r="O1658" s="6" t="str">
        <f ca="1">IFERROR(__xludf.DUMMYFUNCTION("""COMPUTED_VALUE"""),"Dr, Álvaro Sánchez de Arriba")</f>
        <v>Dr, Álvaro Sánchez de Arriba</v>
      </c>
      <c r="P1658" s="6" t="str">
        <f ca="1">IFERROR(__xludf.DUMMYFUNCTION("""COMPUTED_VALUE"""),"Lisandro Russian (Madrid, Cáceres, Toledo, Talavera Y Logroño)")</f>
        <v>Lisandro Russian (Madrid, Cáceres, Toledo, Talavera Y Logroño)</v>
      </c>
    </row>
    <row r="1659" spans="2:16">
      <c r="B1659" s="6">
        <f ca="1">IFERROR(__xludf.DUMMYFUNCTION("""COMPUTED_VALUE"""),2025)</f>
        <v>2025</v>
      </c>
      <c r="C1659" s="6">
        <f ca="1">IFERROR(__xludf.DUMMYFUNCTION("""COMPUTED_VALUE"""),12)</f>
        <v>12</v>
      </c>
      <c r="D1659" s="6" t="str">
        <f ca="1">IFERROR(__xludf.DUMMYFUNCTION("""COMPUTED_VALUE"""),"NO")</f>
        <v>NO</v>
      </c>
      <c r="E1659" s="6" t="str">
        <f ca="1">IFERROR(__xludf.DUMMYFUNCTION("""COMPUTED_VALUE"""),"Barcelona- Córcega")</f>
        <v>Barcelona- Córcega</v>
      </c>
      <c r="F1659" s="16">
        <f ca="1">IFERROR(__xludf.DUMMYFUNCTION("""COMPUTED_VALUE"""),46008)</f>
        <v>46008</v>
      </c>
      <c r="G1659" s="16">
        <f ca="1">IFERROR(__xludf.DUMMYFUNCTION("""COMPUTED_VALUE"""),45960)</f>
        <v>45960</v>
      </c>
      <c r="H1659" s="6" t="str">
        <f ca="1">IFERROR(__xludf.DUMMYFUNCTION("""COMPUTED_VALUE"""),"Córcega")</f>
        <v>Córcega</v>
      </c>
      <c r="I1659" s="6" t="str">
        <f ca="1">IFERROR(__xludf.DUMMYFUNCTION("""COMPUTED_VALUE"""),"C202510301719400985")</f>
        <v>C202510301719400985</v>
      </c>
      <c r="J1659" s="6" t="str">
        <f ca="1">IFERROR(__xludf.DUMMYFUNCTION("""COMPUTED_VALUE"""),"NIEVES CARRETERO RODRIGUEZ")</f>
        <v>NIEVES CARRETERO RODRIGUEZ</v>
      </c>
      <c r="K1659" s="6">
        <f ca="1">IFERROR(__xludf.DUMMYFUNCTION("""COMPUTED_VALUE"""),2)</f>
        <v>2</v>
      </c>
      <c r="L1659" s="139">
        <f ca="1">IFERROR(__xludf.DUMMYFUNCTION("""COMPUTED_VALUE"""),4536.36)</f>
        <v>4536.3599999999997</v>
      </c>
      <c r="M1659" s="6" t="str">
        <f ca="1">IFERROR(__xludf.DUMMYFUNCTION("""COMPUTED_VALUE"""),"03 ORL")</f>
        <v>03 ORL</v>
      </c>
      <c r="N1659" s="6" t="str">
        <f ca="1">IFERROR(__xludf.DUMMYFUNCTION("""COMPUTED_VALUE"""),"06 ORL")</f>
        <v>06 ORL</v>
      </c>
      <c r="O1659" s="6" t="str">
        <f ca="1">IFERROR(__xludf.DUMMYFUNCTION("""COMPUTED_VALUE"""),"Dr, Darío Agudelo García")</f>
        <v>Dr, Darío Agudelo García</v>
      </c>
      <c r="P1659" s="6" t="str">
        <f ca="1">IFERROR(__xludf.DUMMYFUNCTION("""COMPUTED_VALUE"""),"Mercè Cabrera (Cataluña Y Baleares)")</f>
        <v>Mercè Cabrera (Cataluña Y Baleares)</v>
      </c>
    </row>
    <row r="1660" spans="2:16">
      <c r="B1660" s="6">
        <f ca="1">IFERROR(__xludf.DUMMYFUNCTION("""COMPUTED_VALUE"""),2025)</f>
        <v>2025</v>
      </c>
      <c r="C1660" s="6">
        <f ca="1">IFERROR(__xludf.DUMMYFUNCTION("""COMPUTED_VALUE"""),12)</f>
        <v>12</v>
      </c>
      <c r="D1660" s="6" t="str">
        <f ca="1">IFERROR(__xludf.DUMMYFUNCTION("""COMPUTED_VALUE"""),"NO")</f>
        <v>NO</v>
      </c>
      <c r="E1660" s="6" t="str">
        <f ca="1">IFERROR(__xludf.DUMMYFUNCTION("""COMPUTED_VALUE"""),"Alcorcón")</f>
        <v>Alcorcón</v>
      </c>
      <c r="F1660" s="16">
        <f ca="1">IFERROR(__xludf.DUMMYFUNCTION("""COMPUTED_VALUE"""),46008)</f>
        <v>46008</v>
      </c>
      <c r="G1660" s="16">
        <f ca="1">IFERROR(__xludf.DUMMYFUNCTION("""COMPUTED_VALUE"""),45917)</f>
        <v>45917</v>
      </c>
      <c r="H1660" s="6" t="str">
        <f ca="1">IFERROR(__xludf.DUMMYFUNCTION("""COMPUTED_VALUE"""),"Alcorcón")</f>
        <v>Alcorcón</v>
      </c>
      <c r="I1660" s="6" t="str">
        <f ca="1">IFERROR(__xludf.DUMMYFUNCTION("""COMPUTED_VALUE"""),"C2025919155123890")</f>
        <v>C2025919155123890</v>
      </c>
      <c r="J1660" s="6" t="str">
        <f ca="1">IFERROR(__xludf.DUMMYFUNCTION("""COMPUTED_VALUE"""),"CONCEPCION RINCON VALVERDE")</f>
        <v>CONCEPCION RINCON VALVERDE</v>
      </c>
      <c r="K1660" s="6">
        <f ca="1">IFERROR(__xludf.DUMMYFUNCTION("""COMPUTED_VALUE"""),2)</f>
        <v>2</v>
      </c>
      <c r="L1660" s="139">
        <f ca="1">IFERROR(__xludf.DUMMYFUNCTION("""COMPUTED_VALUE"""),2446.36)</f>
        <v>2446.36</v>
      </c>
      <c r="M1660" s="6" t="str">
        <f ca="1">IFERROR(__xludf.DUMMYFUNCTION("""COMPUTED_VALUE"""),"03 ORL")</f>
        <v>03 ORL</v>
      </c>
      <c r="N1660" s="6" t="str">
        <f ca="1">IFERROR(__xludf.DUMMYFUNCTION("""COMPUTED_VALUE"""),"06 ORL")</f>
        <v>06 ORL</v>
      </c>
      <c r="O1660" s="6" t="str">
        <f ca="1">IFERROR(__xludf.DUMMYFUNCTION("""COMPUTED_VALUE"""),"Dr, José Miguel Aparicio Fernández")</f>
        <v>Dr, José Miguel Aparicio Fernández</v>
      </c>
      <c r="P1660" s="6" t="str">
        <f ca="1">IFERROR(__xludf.DUMMYFUNCTION("""COMPUTED_VALUE"""),"Lisandro Russian (Madrid, Cáceres, Toledo, Talavera Y Logroño)")</f>
        <v>Lisandro Russian (Madrid, Cáceres, Toledo, Talavera Y Logroño)</v>
      </c>
    </row>
    <row r="1661" spans="2:16">
      <c r="B1661" s="6">
        <f ca="1">IFERROR(__xludf.DUMMYFUNCTION("""COMPUTED_VALUE"""),2025)</f>
        <v>2025</v>
      </c>
      <c r="C1661" s="6">
        <f ca="1">IFERROR(__xludf.DUMMYFUNCTION("""COMPUTED_VALUE"""),12)</f>
        <v>12</v>
      </c>
      <c r="D1661" s="6" t="str">
        <f ca="1">IFERROR(__xludf.DUMMYFUNCTION("""COMPUTED_VALUE"""),"NO")</f>
        <v>NO</v>
      </c>
      <c r="E1661" s="6" t="str">
        <f ca="1">IFERROR(__xludf.DUMMYFUNCTION("""COMPUTED_VALUE"""),"Madrid- Juan Bravo")</f>
        <v>Madrid- Juan Bravo</v>
      </c>
      <c r="F1661" s="16">
        <f ca="1">IFERROR(__xludf.DUMMYFUNCTION("""COMPUTED_VALUE"""),46008)</f>
        <v>46008</v>
      </c>
      <c r="G1661" s="16">
        <f ca="1">IFERROR(__xludf.DUMMYFUNCTION("""COMPUTED_VALUE"""),45972)</f>
        <v>45972</v>
      </c>
      <c r="H1661" s="6" t="str">
        <f ca="1">IFERROR(__xludf.DUMMYFUNCTION("""COMPUTED_VALUE"""),"Juan Bravo")</f>
        <v>Juan Bravo</v>
      </c>
      <c r="I1661" s="6" t="str">
        <f ca="1">IFERROR(__xludf.DUMMYFUNCTION("""COMPUTED_VALUE"""),"C202511111839297239")</f>
        <v>C202511111839297239</v>
      </c>
      <c r="J1661" s="6" t="str">
        <f ca="1">IFERROR(__xludf.DUMMYFUNCTION("""COMPUTED_VALUE"""),"CECILIO  MARIN LAREQUI")</f>
        <v>CECILIO  MARIN LAREQUI</v>
      </c>
      <c r="K1661" s="6">
        <f ca="1">IFERROR(__xludf.DUMMYFUNCTION("""COMPUTED_VALUE"""),2)</f>
        <v>2</v>
      </c>
      <c r="L1661" s="139">
        <f ca="1">IFERROR(__xludf.DUMMYFUNCTION("""COMPUTED_VALUE"""),2718.18)</f>
        <v>2718.18</v>
      </c>
      <c r="M1661" s="6" t="str">
        <f ca="1">IFERROR(__xludf.DUMMYFUNCTION("""COMPUTED_VALUE"""),"03 ORL")</f>
        <v>03 ORL</v>
      </c>
      <c r="N1661" s="6" t="str">
        <f ca="1">IFERROR(__xludf.DUMMYFUNCTION("""COMPUTED_VALUE"""),"06 ORL")</f>
        <v>06 ORL</v>
      </c>
      <c r="O1661" s="6" t="str">
        <f ca="1">IFERROR(__xludf.DUMMYFUNCTION("""COMPUTED_VALUE"""),"Dr, Javier García Domínguez")</f>
        <v>Dr, Javier García Domínguez</v>
      </c>
      <c r="P1661" s="6" t="str">
        <f ca="1">IFERROR(__xludf.DUMMYFUNCTION("""COMPUTED_VALUE"""),"Maika Blázquez (Madrid)")</f>
        <v>Maika Blázquez (Madrid)</v>
      </c>
    </row>
    <row r="1662" spans="2:16">
      <c r="B1662" s="6">
        <f ca="1">IFERROR(__xludf.DUMMYFUNCTION("""COMPUTED_VALUE"""),2025)</f>
        <v>2025</v>
      </c>
      <c r="C1662" s="6">
        <f ca="1">IFERROR(__xludf.DUMMYFUNCTION("""COMPUTED_VALUE"""),12)</f>
        <v>12</v>
      </c>
      <c r="D1662" s="6" t="str">
        <f ca="1">IFERROR(__xludf.DUMMYFUNCTION("""COMPUTED_VALUE"""),"NO")</f>
        <v>NO</v>
      </c>
      <c r="E1662" s="6" t="str">
        <f ca="1">IFERROR(__xludf.DUMMYFUNCTION("""COMPUTED_VALUE"""),"Leganés")</f>
        <v>Leganés</v>
      </c>
      <c r="F1662" s="16">
        <f ca="1">IFERROR(__xludf.DUMMYFUNCTION("""COMPUTED_VALUE"""),46008)</f>
        <v>46008</v>
      </c>
      <c r="G1662" s="16">
        <f ca="1">IFERROR(__xludf.DUMMYFUNCTION("""COMPUTED_VALUE"""),45972)</f>
        <v>45972</v>
      </c>
      <c r="H1662" s="6" t="str">
        <f ca="1">IFERROR(__xludf.DUMMYFUNCTION("""COMPUTED_VALUE"""),"Leganés")</f>
        <v>Leganés</v>
      </c>
      <c r="I1662" s="6" t="str">
        <f ca="1">IFERROR(__xludf.DUMMYFUNCTION("""COMPUTED_VALUE"""),"C202511111620244882")</f>
        <v>C202511111620244882</v>
      </c>
      <c r="J1662" s="6" t="str">
        <f ca="1">IFERROR(__xludf.DUMMYFUNCTION("""COMPUTED_VALUE"""),"ANTONIO  ALFONSO RUBIO")</f>
        <v>ANTONIO  ALFONSO RUBIO</v>
      </c>
      <c r="K1662" s="6">
        <f ca="1">IFERROR(__xludf.DUMMYFUNCTION("""COMPUTED_VALUE"""),2)</f>
        <v>2</v>
      </c>
      <c r="L1662" s="139">
        <f ca="1">IFERROR(__xludf.DUMMYFUNCTION("""COMPUTED_VALUE"""),3631.82)</f>
        <v>3631.82</v>
      </c>
      <c r="M1662" s="6" t="str">
        <f ca="1">IFERROR(__xludf.DUMMYFUNCTION("""COMPUTED_VALUE"""),"03 ORL")</f>
        <v>03 ORL</v>
      </c>
      <c r="N1662" s="6" t="str">
        <f ca="1">IFERROR(__xludf.DUMMYFUNCTION("""COMPUTED_VALUE"""),"06 ORL")</f>
        <v>06 ORL</v>
      </c>
      <c r="O1662" s="6" t="str">
        <f ca="1">IFERROR(__xludf.DUMMYFUNCTION("""COMPUTED_VALUE"""),"Dra, Patricia García Vicente")</f>
        <v>Dra, Patricia García Vicente</v>
      </c>
      <c r="P1662" s="6" t="str">
        <f ca="1">IFERROR(__xludf.DUMMYFUNCTION("""COMPUTED_VALUE"""),"Maika Blázquez (Madrid)")</f>
        <v>Maika Blázquez (Madrid)</v>
      </c>
    </row>
    <row r="1663" spans="2:16">
      <c r="B1663" s="6">
        <f ca="1">IFERROR(__xludf.DUMMYFUNCTION("""COMPUTED_VALUE"""),2025)</f>
        <v>2025</v>
      </c>
      <c r="C1663" s="6">
        <f ca="1">IFERROR(__xludf.DUMMYFUNCTION("""COMPUTED_VALUE"""),12)</f>
        <v>12</v>
      </c>
      <c r="D1663" s="6" t="str">
        <f ca="1">IFERROR(__xludf.DUMMYFUNCTION("""COMPUTED_VALUE"""),"NO")</f>
        <v>NO</v>
      </c>
      <c r="E1663" s="6" t="str">
        <f ca="1">IFERROR(__xludf.DUMMYFUNCTION("""COMPUTED_VALUE"""),"Alicante")</f>
        <v>Alicante</v>
      </c>
      <c r="F1663" s="16">
        <f ca="1">IFERROR(__xludf.DUMMYFUNCTION("""COMPUTED_VALUE"""),46008)</f>
        <v>46008</v>
      </c>
      <c r="G1663" s="16">
        <f ca="1">IFERROR(__xludf.DUMMYFUNCTION("""COMPUTED_VALUE"""),45982)</f>
        <v>45982</v>
      </c>
      <c r="H1663" s="6" t="str">
        <f ca="1">IFERROR(__xludf.DUMMYFUNCTION("""COMPUTED_VALUE"""),"Alicante")</f>
        <v>Alicante</v>
      </c>
      <c r="I1663" s="6" t="str">
        <f ca="1">IFERROR(__xludf.DUMMYFUNCTION("""COMPUTED_VALUE"""),"C202511211559502036")</f>
        <v>C202511211559502036</v>
      </c>
      <c r="J1663" s="6" t="str">
        <f ca="1">IFERROR(__xludf.DUMMYFUNCTION("""COMPUTED_VALUE"""),"ANTONIO RAMIREZ GARCÍA")</f>
        <v>ANTONIO RAMIREZ GARCÍA</v>
      </c>
      <c r="K1663" s="6">
        <f ca="1">IFERROR(__xludf.DUMMYFUNCTION("""COMPUTED_VALUE"""),2)</f>
        <v>2</v>
      </c>
      <c r="L1663" s="139">
        <f ca="1">IFERROR(__xludf.DUMMYFUNCTION("""COMPUTED_VALUE"""),2718.18)</f>
        <v>2718.18</v>
      </c>
      <c r="M1663" s="6" t="str">
        <f ca="1">IFERROR(__xludf.DUMMYFUNCTION("""COMPUTED_VALUE"""),"03 ORL")</f>
        <v>03 ORL</v>
      </c>
      <c r="N1663" s="6" t="str">
        <f ca="1">IFERROR(__xludf.DUMMYFUNCTION("""COMPUTED_VALUE"""),"06 ORL")</f>
        <v>06 ORL</v>
      </c>
      <c r="O1663" s="6" t="str">
        <f ca="1">IFERROR(__xludf.DUMMYFUNCTION("""COMPUTED_VALUE"""),"Dra, Irene Monjas Canovas")</f>
        <v>Dra, Irene Monjas Canovas</v>
      </c>
      <c r="P1663" s="6" t="str">
        <f ca="1">IFERROR(__xludf.DUMMYFUNCTION("""COMPUTED_VALUE"""),"Iván Sánchez (Levante Y Albacete)")</f>
        <v>Iván Sánchez (Levante Y Albacete)</v>
      </c>
    </row>
    <row r="1664" spans="2:16">
      <c r="B1664" s="6">
        <f ca="1">IFERROR(__xludf.DUMMYFUNCTION("""COMPUTED_VALUE"""),2025)</f>
        <v>2025</v>
      </c>
      <c r="C1664" s="6">
        <f ca="1">IFERROR(__xludf.DUMMYFUNCTION("""COMPUTED_VALUE"""),12)</f>
        <v>12</v>
      </c>
      <c r="D1664" s="6" t="str">
        <f ca="1">IFERROR(__xludf.DUMMYFUNCTION("""COMPUTED_VALUE"""),"NO")</f>
        <v>NO</v>
      </c>
      <c r="E1664" s="6" t="str">
        <f ca="1">IFERROR(__xludf.DUMMYFUNCTION("""COMPUTED_VALUE"""),"Jerez de la Frontera")</f>
        <v>Jerez de la Frontera</v>
      </c>
      <c r="F1664" s="16">
        <f ca="1">IFERROR(__xludf.DUMMYFUNCTION("""COMPUTED_VALUE"""),46009)</f>
        <v>46009</v>
      </c>
      <c r="G1664" s="16">
        <f ca="1">IFERROR(__xludf.DUMMYFUNCTION("""COMPUTED_VALUE"""),45981)</f>
        <v>45981</v>
      </c>
      <c r="H1664" s="6" t="str">
        <f ca="1">IFERROR(__xludf.DUMMYFUNCTION("""COMPUTED_VALUE"""),"Jerez")</f>
        <v>Jerez</v>
      </c>
      <c r="I1664" s="6" t="str">
        <f ca="1">IFERROR(__xludf.DUMMYFUNCTION("""COMPUTED_VALUE"""),"C202511201228174337")</f>
        <v>C202511201228174337</v>
      </c>
      <c r="J1664" s="6" t="str">
        <f ca="1">IFERROR(__xludf.DUMMYFUNCTION("""COMPUTED_VALUE"""),"JOSE MARIA CARNERO CALDERON")</f>
        <v>JOSE MARIA CARNERO CALDERON</v>
      </c>
      <c r="K1664" s="6">
        <f ca="1">IFERROR(__xludf.DUMMYFUNCTION("""COMPUTED_VALUE"""),2)</f>
        <v>2</v>
      </c>
      <c r="L1664" s="139">
        <f ca="1">IFERROR(__xludf.DUMMYFUNCTION("""COMPUTED_VALUE"""),2718.18)</f>
        <v>2718.18</v>
      </c>
      <c r="M1664" s="6" t="str">
        <f ca="1">IFERROR(__xludf.DUMMYFUNCTION("""COMPUTED_VALUE"""),"03 ORL")</f>
        <v>03 ORL</v>
      </c>
      <c r="N1664" s="6" t="str">
        <f ca="1">IFERROR(__xludf.DUMMYFUNCTION("""COMPUTED_VALUE"""),"06 ORL")</f>
        <v>06 ORL</v>
      </c>
      <c r="O1664" s="6" t="str">
        <f ca="1">IFERROR(__xludf.DUMMYFUNCTION("""COMPUTED_VALUE"""),"Dr, Guillermo Sierra Galera")</f>
        <v>Dr, Guillermo Sierra Galera</v>
      </c>
      <c r="P1664" s="6" t="str">
        <f ca="1">IFERROR(__xludf.DUMMYFUNCTION("""COMPUTED_VALUE"""),"Luis Alberto Rodríguez (Andalucía y Badajoz)")</f>
        <v>Luis Alberto Rodríguez (Andalucía y Badajoz)</v>
      </c>
    </row>
    <row r="1665" spans="2:16">
      <c r="B1665" s="6">
        <f ca="1">IFERROR(__xludf.DUMMYFUNCTION("""COMPUTED_VALUE"""),2025)</f>
        <v>2025</v>
      </c>
      <c r="C1665" s="6">
        <f ca="1">IFERROR(__xludf.DUMMYFUNCTION("""COMPUTED_VALUE"""),12)</f>
        <v>12</v>
      </c>
      <c r="D1665" s="6" t="str">
        <f ca="1">IFERROR(__xludf.DUMMYFUNCTION("""COMPUTED_VALUE"""),"NO")</f>
        <v>NO</v>
      </c>
      <c r="E1665" s="6" t="str">
        <f ca="1">IFERROR(__xludf.DUMMYFUNCTION("""COMPUTED_VALUE"""),"San Javier")</f>
        <v>San Javier</v>
      </c>
      <c r="F1665" s="16">
        <f ca="1">IFERROR(__xludf.DUMMYFUNCTION("""COMPUTED_VALUE"""),46009)</f>
        <v>46009</v>
      </c>
      <c r="G1665" s="16">
        <f ca="1">IFERROR(__xludf.DUMMYFUNCTION("""COMPUTED_VALUE"""),45972)</f>
        <v>45972</v>
      </c>
      <c r="H1665" s="6" t="str">
        <f ca="1">IFERROR(__xludf.DUMMYFUNCTION("""COMPUTED_VALUE"""),"San Javier")</f>
        <v>San Javier</v>
      </c>
      <c r="I1665" s="6" t="str">
        <f ca="1">IFERROR(__xludf.DUMMYFUNCTION("""COMPUTED_VALUE"""),"C202511111749393786")</f>
        <v>C202511111749393786</v>
      </c>
      <c r="J1665" s="6" t="str">
        <f ca="1">IFERROR(__xludf.DUMMYFUNCTION("""COMPUTED_VALUE"""),"MARIA DOLORES CARRASCO BELMONTE")</f>
        <v>MARIA DOLORES CARRASCO BELMONTE</v>
      </c>
      <c r="K1665" s="6">
        <f ca="1">IFERROR(__xludf.DUMMYFUNCTION("""COMPUTED_VALUE"""),2)</f>
        <v>2</v>
      </c>
      <c r="L1665" s="139">
        <f ca="1">IFERROR(__xludf.DUMMYFUNCTION("""COMPUTED_VALUE"""),4136.36)</f>
        <v>4136.3599999999997</v>
      </c>
      <c r="M1665" s="6" t="str">
        <f ca="1">IFERROR(__xludf.DUMMYFUNCTION("""COMPUTED_VALUE"""),"03 ORL")</f>
        <v>03 ORL</v>
      </c>
      <c r="N1665" s="6" t="str">
        <f ca="1">IFERROR(__xludf.DUMMYFUNCTION("""COMPUTED_VALUE"""),"06 ORL")</f>
        <v>06 ORL</v>
      </c>
      <c r="O1665" s="6" t="str">
        <f ca="1">IFERROR(__xludf.DUMMYFUNCTION("""COMPUTED_VALUE"""),"Dr, Alberto Raposo Jiménez")</f>
        <v>Dr, Alberto Raposo Jiménez</v>
      </c>
      <c r="P1665" s="6" t="str">
        <f ca="1">IFERROR(__xludf.DUMMYFUNCTION("""COMPUTED_VALUE"""),"Iván Sánchez (Levante Y Albacete)")</f>
        <v>Iván Sánchez (Levante Y Albacete)</v>
      </c>
    </row>
    <row r="1666" spans="2:16">
      <c r="B1666" s="6">
        <f ca="1">IFERROR(__xludf.DUMMYFUNCTION("""COMPUTED_VALUE"""),2025)</f>
        <v>2025</v>
      </c>
      <c r="C1666" s="6">
        <f ca="1">IFERROR(__xludf.DUMMYFUNCTION("""COMPUTED_VALUE"""),12)</f>
        <v>12</v>
      </c>
      <c r="D1666" s="6" t="str">
        <f ca="1">IFERROR(__xludf.DUMMYFUNCTION("""COMPUTED_VALUE"""),"NO")</f>
        <v>NO</v>
      </c>
      <c r="E1666" s="6" t="str">
        <f ca="1">IFERROR(__xludf.DUMMYFUNCTION("""COMPUTED_VALUE"""),"Leganés")</f>
        <v>Leganés</v>
      </c>
      <c r="F1666" s="16">
        <f ca="1">IFERROR(__xludf.DUMMYFUNCTION("""COMPUTED_VALUE"""),46009)</f>
        <v>46009</v>
      </c>
      <c r="G1666" s="16">
        <f ca="1">IFERROR(__xludf.DUMMYFUNCTION("""COMPUTED_VALUE"""),45805)</f>
        <v>45805</v>
      </c>
      <c r="H1666" s="6" t="str">
        <f ca="1">IFERROR(__xludf.DUMMYFUNCTION("""COMPUTED_VALUE"""),"Leganés")</f>
        <v>Leganés</v>
      </c>
      <c r="I1666" s="6" t="str">
        <f ca="1">IFERROR(__xludf.DUMMYFUNCTION("""COMPUTED_VALUE"""),"C20256318282684")</f>
        <v>C20256318282684</v>
      </c>
      <c r="J1666" s="6" t="str">
        <f ca="1">IFERROR(__xludf.DUMMYFUNCTION("""COMPUTED_VALUE"""),"ROSALIA SANCHEZ PERONA")</f>
        <v>ROSALIA SANCHEZ PERONA</v>
      </c>
      <c r="K1666" s="6">
        <f ca="1">IFERROR(__xludf.DUMMYFUNCTION("""COMPUTED_VALUE"""),2)</f>
        <v>2</v>
      </c>
      <c r="L1666" s="139">
        <f ca="1">IFERROR(__xludf.DUMMYFUNCTION("""COMPUTED_VALUE"""),2718.18)</f>
        <v>2718.18</v>
      </c>
      <c r="M1666" s="6" t="str">
        <f ca="1">IFERROR(__xludf.DUMMYFUNCTION("""COMPUTED_VALUE"""),"03 ORL")</f>
        <v>03 ORL</v>
      </c>
      <c r="N1666" s="6" t="str">
        <f ca="1">IFERROR(__xludf.DUMMYFUNCTION("""COMPUTED_VALUE"""),"06 ORL")</f>
        <v>06 ORL</v>
      </c>
      <c r="O1666" s="6" t="str">
        <f ca="1">IFERROR(__xludf.DUMMYFUNCTION("""COMPUTED_VALUE"""),"Dra, Ana Ruiz Fornells Noreña")</f>
        <v>Dra, Ana Ruiz Fornells Noreña</v>
      </c>
      <c r="P1666" s="6" t="str">
        <f ca="1">IFERROR(__xludf.DUMMYFUNCTION("""COMPUTED_VALUE"""),"Maika Blázquez (Madrid)")</f>
        <v>Maika Blázquez (Madrid)</v>
      </c>
    </row>
    <row r="1667" spans="2:16">
      <c r="B1667" s="6">
        <f ca="1">IFERROR(__xludf.DUMMYFUNCTION("""COMPUTED_VALUE"""),2025)</f>
        <v>2025</v>
      </c>
      <c r="C1667" s="6">
        <f ca="1">IFERROR(__xludf.DUMMYFUNCTION("""COMPUTED_VALUE"""),12)</f>
        <v>12</v>
      </c>
      <c r="D1667" s="6" t="str">
        <f ca="1">IFERROR(__xludf.DUMMYFUNCTION("""COMPUTED_VALUE"""),"NO")</f>
        <v>NO</v>
      </c>
      <c r="E1667" s="6" t="str">
        <f ca="1">IFERROR(__xludf.DUMMYFUNCTION("""COMPUTED_VALUE"""),"Madrid- Moratalaz")</f>
        <v>Madrid- Moratalaz</v>
      </c>
      <c r="F1667" s="16">
        <f ca="1">IFERROR(__xludf.DUMMYFUNCTION("""COMPUTED_VALUE"""),46009)</f>
        <v>46009</v>
      </c>
      <c r="G1667" s="16">
        <f ca="1">IFERROR(__xludf.DUMMYFUNCTION("""COMPUTED_VALUE"""),45968)</f>
        <v>45968</v>
      </c>
      <c r="H1667" s="6" t="str">
        <f ca="1">IFERROR(__xludf.DUMMYFUNCTION("""COMPUTED_VALUE"""),"Moratalaz")</f>
        <v>Moratalaz</v>
      </c>
      <c r="I1667" s="6" t="str">
        <f ca="1">IFERROR(__xludf.DUMMYFUNCTION("""COMPUTED_VALUE"""),"C202511785520923292")</f>
        <v>C202511785520923292</v>
      </c>
      <c r="J1667" s="6" t="str">
        <f ca="1">IFERROR(__xludf.DUMMYFUNCTION("""COMPUTED_VALUE"""),"MARIA TERESA VELAZQUEZ MADRUGA")</f>
        <v>MARIA TERESA VELAZQUEZ MADRUGA</v>
      </c>
      <c r="K1667" s="6">
        <f ca="1">IFERROR(__xludf.DUMMYFUNCTION("""COMPUTED_VALUE"""),2)</f>
        <v>2</v>
      </c>
      <c r="L1667" s="139">
        <f ca="1">IFERROR(__xludf.DUMMYFUNCTION("""COMPUTED_VALUE"""),3631.82)</f>
        <v>3631.82</v>
      </c>
      <c r="M1667" s="6" t="str">
        <f ca="1">IFERROR(__xludf.DUMMYFUNCTION("""COMPUTED_VALUE"""),"03 ORL")</f>
        <v>03 ORL</v>
      </c>
      <c r="N1667" s="6" t="str">
        <f ca="1">IFERROR(__xludf.DUMMYFUNCTION("""COMPUTED_VALUE"""),"06 ORL")</f>
        <v>06 ORL</v>
      </c>
      <c r="O1667" s="6" t="str">
        <f ca="1">IFERROR(__xludf.DUMMYFUNCTION("""COMPUTED_VALUE"""),"Dr, Esteban Scola Pliego")</f>
        <v>Dr, Esteban Scola Pliego</v>
      </c>
      <c r="P1667" s="6" t="str">
        <f ca="1">IFERROR(__xludf.DUMMYFUNCTION("""COMPUTED_VALUE"""),"Maika Blázquez (Madrid)")</f>
        <v>Maika Blázquez (Madrid)</v>
      </c>
    </row>
    <row r="1668" spans="2:16">
      <c r="B1668" s="6">
        <f ca="1">IFERROR(__xludf.DUMMYFUNCTION("""COMPUTED_VALUE"""),2025)</f>
        <v>2025</v>
      </c>
      <c r="C1668" s="6">
        <f ca="1">IFERROR(__xludf.DUMMYFUNCTION("""COMPUTED_VALUE"""),12)</f>
        <v>12</v>
      </c>
      <c r="D1668" s="6" t="str">
        <f ca="1">IFERROR(__xludf.DUMMYFUNCTION("""COMPUTED_VALUE"""),"NO")</f>
        <v>NO</v>
      </c>
      <c r="E1668" s="6" t="str">
        <f ca="1">IFERROR(__xludf.DUMMYFUNCTION("""COMPUTED_VALUE"""),"Madrid- Galileo")</f>
        <v>Madrid- Galileo</v>
      </c>
      <c r="F1668" s="16">
        <f ca="1">IFERROR(__xludf.DUMMYFUNCTION("""COMPUTED_VALUE"""),46009)</f>
        <v>46009</v>
      </c>
      <c r="G1668" s="16">
        <f ca="1">IFERROR(__xludf.DUMMYFUNCTION("""COMPUTED_VALUE"""),45918)</f>
        <v>45918</v>
      </c>
      <c r="H1668" s="6" t="str">
        <f ca="1">IFERROR(__xludf.DUMMYFUNCTION("""COMPUTED_VALUE"""),"Moncloa")</f>
        <v>Moncloa</v>
      </c>
      <c r="I1668" s="6" t="str">
        <f ca="1">IFERROR(__xludf.DUMMYFUNCTION("""COMPUTED_VALUE"""),"C2025926102152562")</f>
        <v>C2025926102152562</v>
      </c>
      <c r="J1668" s="6" t="str">
        <f ca="1">IFERROR(__xludf.DUMMYFUNCTION("""COMPUTED_VALUE"""),"FRANCISCO ERNESTO RUIZ")</f>
        <v>FRANCISCO ERNESTO RUIZ</v>
      </c>
      <c r="K1668" s="6">
        <f ca="1">IFERROR(__xludf.DUMMYFUNCTION("""COMPUTED_VALUE"""),2)</f>
        <v>2</v>
      </c>
      <c r="L1668" s="139">
        <f ca="1">IFERROR(__xludf.DUMMYFUNCTION("""COMPUTED_VALUE"""),3710)</f>
        <v>3710</v>
      </c>
      <c r="M1668" s="6" t="str">
        <f ca="1">IFERROR(__xludf.DUMMYFUNCTION("""COMPUTED_VALUE"""),"03 ORL")</f>
        <v>03 ORL</v>
      </c>
      <c r="N1668" s="6" t="str">
        <f ca="1">IFERROR(__xludf.DUMMYFUNCTION("""COMPUTED_VALUE"""),"06 ORL")</f>
        <v>06 ORL</v>
      </c>
      <c r="O1668" s="6" t="str">
        <f ca="1">IFERROR(__xludf.DUMMYFUNCTION("""COMPUTED_VALUE"""),"Dr, José Gustavo Barroso Braojos")</f>
        <v>Dr, José Gustavo Barroso Braojos</v>
      </c>
      <c r="P1668" s="6" t="str">
        <f ca="1">IFERROR(__xludf.DUMMYFUNCTION("""COMPUTED_VALUE"""),"Maika Blázquez (Madrid)")</f>
        <v>Maika Blázquez (Madrid)</v>
      </c>
    </row>
    <row r="1669" spans="2:16">
      <c r="B1669" s="6">
        <f ca="1">IFERROR(__xludf.DUMMYFUNCTION("""COMPUTED_VALUE"""),2025)</f>
        <v>2025</v>
      </c>
      <c r="C1669" s="6">
        <f ca="1">IFERROR(__xludf.DUMMYFUNCTION("""COMPUTED_VALUE"""),12)</f>
        <v>12</v>
      </c>
      <c r="D1669" s="6" t="str">
        <f ca="1">IFERROR(__xludf.DUMMYFUNCTION("""COMPUTED_VALUE"""),"NO")</f>
        <v>NO</v>
      </c>
      <c r="E1669" s="6" t="str">
        <f ca="1">IFERROR(__xludf.DUMMYFUNCTION("""COMPUTED_VALUE"""),"Leganés")</f>
        <v>Leganés</v>
      </c>
      <c r="F1669" s="16">
        <f ca="1">IFERROR(__xludf.DUMMYFUNCTION("""COMPUTED_VALUE"""),46010)</f>
        <v>46010</v>
      </c>
      <c r="G1669" s="16">
        <f ca="1">IFERROR(__xludf.DUMMYFUNCTION("""COMPUTED_VALUE"""),45972)</f>
        <v>45972</v>
      </c>
      <c r="H1669" s="6" t="str">
        <f ca="1">IFERROR(__xludf.DUMMYFUNCTION("""COMPUTED_VALUE"""),"Leganés")</f>
        <v>Leganés</v>
      </c>
      <c r="I1669" s="6" t="str">
        <f ca="1">IFERROR(__xludf.DUMMYFUNCTION("""COMPUTED_VALUE"""),"C202511119184318475")</f>
        <v>C202511119184318475</v>
      </c>
      <c r="J1669" s="6" t="str">
        <f ca="1">IFERROR(__xludf.DUMMYFUNCTION("""COMPUTED_VALUE"""),"CARMEN LAFUENTE ROMERO")</f>
        <v>CARMEN LAFUENTE ROMERO</v>
      </c>
      <c r="K1669" s="6">
        <f ca="1">IFERROR(__xludf.DUMMYFUNCTION("""COMPUTED_VALUE"""),2)</f>
        <v>2</v>
      </c>
      <c r="L1669" s="139">
        <f ca="1">IFERROR(__xludf.DUMMYFUNCTION("""COMPUTED_VALUE"""),3450)</f>
        <v>3450</v>
      </c>
      <c r="M1669" s="6" t="str">
        <f ca="1">IFERROR(__xludf.DUMMYFUNCTION("""COMPUTED_VALUE"""),"03 ORL")</f>
        <v>03 ORL</v>
      </c>
      <c r="N1669" s="6" t="str">
        <f ca="1">IFERROR(__xludf.DUMMYFUNCTION("""COMPUTED_VALUE"""),"06 ORL")</f>
        <v>06 ORL</v>
      </c>
      <c r="O1669" s="6" t="str">
        <f ca="1">IFERROR(__xludf.DUMMYFUNCTION("""COMPUTED_VALUE"""),"Dra, Mar Lasso de la Vega Zamora")</f>
        <v>Dra, Mar Lasso de la Vega Zamora</v>
      </c>
      <c r="P1669" s="6" t="str">
        <f ca="1">IFERROR(__xludf.DUMMYFUNCTION("""COMPUTED_VALUE"""),"Maika Blázquez (Madrid)")</f>
        <v>Maika Blázquez (Madrid)</v>
      </c>
    </row>
    <row r="1670" spans="2:16">
      <c r="B1670" s="6">
        <f ca="1">IFERROR(__xludf.DUMMYFUNCTION("""COMPUTED_VALUE"""),2025)</f>
        <v>2025</v>
      </c>
      <c r="C1670" s="6">
        <f ca="1">IFERROR(__xludf.DUMMYFUNCTION("""COMPUTED_VALUE"""),12)</f>
        <v>12</v>
      </c>
      <c r="D1670" s="6" t="str">
        <f ca="1">IFERROR(__xludf.DUMMYFUNCTION("""COMPUTED_VALUE"""),"NO")</f>
        <v>NO</v>
      </c>
      <c r="E1670" s="6" t="str">
        <f ca="1">IFERROR(__xludf.DUMMYFUNCTION("""COMPUTED_VALUE"""),"Sevilla- Ciencias")</f>
        <v>Sevilla- Ciencias</v>
      </c>
      <c r="F1670" s="16">
        <f ca="1">IFERROR(__xludf.DUMMYFUNCTION("""COMPUTED_VALUE"""),46010)</f>
        <v>46010</v>
      </c>
      <c r="G1670" s="16">
        <f ca="1">IFERROR(__xludf.DUMMYFUNCTION("""COMPUTED_VALUE"""),45545)</f>
        <v>45545</v>
      </c>
      <c r="H1670" s="6" t="str">
        <f ca="1">IFERROR(__xludf.DUMMYFUNCTION("""COMPUTED_VALUE"""),"Sevilla Este")</f>
        <v>Sevilla Este</v>
      </c>
      <c r="I1670" s="6" t="str">
        <f ca="1">IFERROR(__xludf.DUMMYFUNCTION("""COMPUTED_VALUE"""),"SEVE-292")</f>
        <v>SEVE-292</v>
      </c>
      <c r="J1670" s="6" t="str">
        <f ca="1">IFERROR(__xludf.DUMMYFUNCTION("""COMPUTED_VALUE"""),"MANUEL CUBERO CASCAJOSA")</f>
        <v>MANUEL CUBERO CASCAJOSA</v>
      </c>
      <c r="K1670" s="6">
        <f ca="1">IFERROR(__xludf.DUMMYFUNCTION("""COMPUTED_VALUE"""),1)</f>
        <v>1</v>
      </c>
      <c r="L1670" s="139">
        <f ca="1">IFERROR(__xludf.DUMMYFUNCTION("""COMPUTED_VALUE"""),2000)</f>
        <v>2000</v>
      </c>
      <c r="M1670" s="6" t="str">
        <f ca="1">IFERROR(__xludf.DUMMYFUNCTION("""COMPUTED_VALUE"""),"01 MARKETING ON LINE")</f>
        <v>01 MARKETING ON LINE</v>
      </c>
      <c r="N1670" s="6" t="str">
        <f ca="1">IFERROR(__xludf.DUMMYFUNCTION("""COMPUTED_VALUE"""),"04 AUDIFONO,ES")</f>
        <v>04 AUDIFONO,ES</v>
      </c>
      <c r="O1670" s="6" t="str">
        <f ca="1">IFERROR(__xludf.DUMMYFUNCTION("""COMPUTED_VALUE"""),"Dra, Elena Molina Fernández")</f>
        <v>Dra, Elena Molina Fernández</v>
      </c>
      <c r="P1670" s="6" t="str">
        <f ca="1">IFERROR(__xludf.DUMMYFUNCTION("""COMPUTED_VALUE"""),"Luis Alberto Rodríguez (Andalucía y Badajoz)")</f>
        <v>Luis Alberto Rodríguez (Andalucía y Badajoz)</v>
      </c>
    </row>
    <row r="1671" spans="2:16">
      <c r="B1671" s="6">
        <f ca="1">IFERROR(__xludf.DUMMYFUNCTION("""COMPUTED_VALUE"""),2025)</f>
        <v>2025</v>
      </c>
      <c r="C1671" s="6">
        <f ca="1">IFERROR(__xludf.DUMMYFUNCTION("""COMPUTED_VALUE"""),12)</f>
        <v>12</v>
      </c>
      <c r="D1671" s="6" t="str">
        <f ca="1">IFERROR(__xludf.DUMMYFUNCTION("""COMPUTED_VALUE"""),"NO")</f>
        <v>NO</v>
      </c>
      <c r="E1671" s="6" t="str">
        <f ca="1">IFERROR(__xludf.DUMMYFUNCTION("""COMPUTED_VALUE"""),"Madrid- La Oca")</f>
        <v>Madrid- La Oca</v>
      </c>
      <c r="F1671" s="16">
        <f ca="1">IFERROR(__xludf.DUMMYFUNCTION("""COMPUTED_VALUE"""),46010)</f>
        <v>46010</v>
      </c>
      <c r="G1671" s="16">
        <f ca="1">IFERROR(__xludf.DUMMYFUNCTION("""COMPUTED_VALUE"""),45981)</f>
        <v>45981</v>
      </c>
      <c r="H1671" s="6" t="str">
        <f ca="1">IFERROR(__xludf.DUMMYFUNCTION("""COMPUTED_VALUE"""),"La Oca")</f>
        <v>La Oca</v>
      </c>
      <c r="I1671" s="6" t="str">
        <f ca="1">IFERROR(__xludf.DUMMYFUNCTION("""COMPUTED_VALUE"""),"C202511201641232702")</f>
        <v>C202511201641232702</v>
      </c>
      <c r="J1671" s="6" t="str">
        <f ca="1">IFERROR(__xludf.DUMMYFUNCTION("""COMPUTED_VALUE"""),"BENITO ANTOLIN SERRANO")</f>
        <v>BENITO ANTOLIN SERRANO</v>
      </c>
      <c r="K1671" s="6">
        <f ca="1">IFERROR(__xludf.DUMMYFUNCTION("""COMPUTED_VALUE"""),2)</f>
        <v>2</v>
      </c>
      <c r="L1671" s="139">
        <f ca="1">IFERROR(__xludf.DUMMYFUNCTION("""COMPUTED_VALUE"""),2582.27)</f>
        <v>2582.27</v>
      </c>
      <c r="M1671" s="6" t="str">
        <f ca="1">IFERROR(__xludf.DUMMYFUNCTION("""COMPUTED_VALUE"""),"03 ORL")</f>
        <v>03 ORL</v>
      </c>
      <c r="N1671" s="6" t="str">
        <f ca="1">IFERROR(__xludf.DUMMYFUNCTION("""COMPUTED_VALUE"""),"06 ORL")</f>
        <v>06 ORL</v>
      </c>
      <c r="O1671" s="6" t="str">
        <f ca="1">IFERROR(__xludf.DUMMYFUNCTION("""COMPUTED_VALUE"""),"Dr, Félix Rodríguez Paz")</f>
        <v>Dr, Félix Rodríguez Paz</v>
      </c>
      <c r="P1671" s="6" t="str">
        <f ca="1">IFERROR(__xludf.DUMMYFUNCTION("""COMPUTED_VALUE"""),"Maika Blázquez (Madrid)")</f>
        <v>Maika Blázquez (Madrid)</v>
      </c>
    </row>
    <row r="1672" spans="2:16">
      <c r="B1672" s="6">
        <f ca="1">IFERROR(__xludf.DUMMYFUNCTION("""COMPUTED_VALUE"""),2025)</f>
        <v>2025</v>
      </c>
      <c r="C1672" s="6">
        <f ca="1">IFERROR(__xludf.DUMMYFUNCTION("""COMPUTED_VALUE"""),12)</f>
        <v>12</v>
      </c>
      <c r="D1672" s="6" t="str">
        <f ca="1">IFERROR(__xludf.DUMMYFUNCTION("""COMPUTED_VALUE"""),"NO")</f>
        <v>NO</v>
      </c>
      <c r="E1672" s="6" t="str">
        <f ca="1">IFERROR(__xludf.DUMMYFUNCTION("""COMPUTED_VALUE"""),"Madrid- Canillas")</f>
        <v>Madrid- Canillas</v>
      </c>
      <c r="F1672" s="16">
        <f ca="1">IFERROR(__xludf.DUMMYFUNCTION("""COMPUTED_VALUE"""),46010)</f>
        <v>46010</v>
      </c>
      <c r="G1672" s="16">
        <f ca="1">IFERROR(__xludf.DUMMYFUNCTION("""COMPUTED_VALUE"""),45993)</f>
        <v>45993</v>
      </c>
      <c r="H1672" s="6" t="str">
        <f ca="1">IFERROR(__xludf.DUMMYFUNCTION("""COMPUTED_VALUE"""),"Canillas")</f>
        <v>Canillas</v>
      </c>
      <c r="I1672" s="6" t="str">
        <f ca="1">IFERROR(__xludf.DUMMYFUNCTION("""COMPUTED_VALUE"""),"C202512210375407030")</f>
        <v>C202512210375407030</v>
      </c>
      <c r="J1672" s="6" t="str">
        <f ca="1">IFERROR(__xludf.DUMMYFUNCTION("""COMPUTED_VALUE"""),"RAMIRO ANTÓN MARÍA")</f>
        <v>RAMIRO ANTÓN MARÍA</v>
      </c>
      <c r="K1672" s="6">
        <f ca="1">IFERROR(__xludf.DUMMYFUNCTION("""COMPUTED_VALUE"""),2)</f>
        <v>2</v>
      </c>
      <c r="L1672" s="139">
        <f ca="1">IFERROR(__xludf.DUMMYFUNCTION("""COMPUTED_VALUE"""),4136.36)</f>
        <v>4136.3599999999997</v>
      </c>
      <c r="M1672" s="6" t="str">
        <f ca="1">IFERROR(__xludf.DUMMYFUNCTION("""COMPUTED_VALUE"""),"03 ORL")</f>
        <v>03 ORL</v>
      </c>
      <c r="N1672" s="6" t="str">
        <f ca="1">IFERROR(__xludf.DUMMYFUNCTION("""COMPUTED_VALUE"""),"06 ORL")</f>
        <v>06 ORL</v>
      </c>
      <c r="O1672" s="6" t="str">
        <f ca="1">IFERROR(__xludf.DUMMYFUNCTION("""COMPUTED_VALUE"""),"Dr, José Gustavo Barroso Braojos")</f>
        <v>Dr, José Gustavo Barroso Braojos</v>
      </c>
      <c r="P1672" s="6" t="str">
        <f ca="1">IFERROR(__xludf.DUMMYFUNCTION("""COMPUTED_VALUE"""),"Maika Blázquez (Madrid)")</f>
        <v>Maika Blázquez (Madrid)</v>
      </c>
    </row>
    <row r="1673" spans="2:16">
      <c r="B1673" s="6">
        <f ca="1">IFERROR(__xludf.DUMMYFUNCTION("""COMPUTED_VALUE"""),2025)</f>
        <v>2025</v>
      </c>
      <c r="C1673" s="6">
        <f ca="1">IFERROR(__xludf.DUMMYFUNCTION("""COMPUTED_VALUE"""),12)</f>
        <v>12</v>
      </c>
      <c r="D1673" s="6" t="str">
        <f ca="1">IFERROR(__xludf.DUMMYFUNCTION("""COMPUTED_VALUE"""),"NO")</f>
        <v>NO</v>
      </c>
      <c r="E1673" s="6" t="str">
        <f ca="1">IFERROR(__xludf.DUMMYFUNCTION("""COMPUTED_VALUE"""),"Madrid- Canillas")</f>
        <v>Madrid- Canillas</v>
      </c>
      <c r="F1673" s="16">
        <f ca="1">IFERROR(__xludf.DUMMYFUNCTION("""COMPUTED_VALUE"""),46010)</f>
        <v>46010</v>
      </c>
      <c r="G1673" s="16">
        <f ca="1">IFERROR(__xludf.DUMMYFUNCTION("""COMPUTED_VALUE"""),45985)</f>
        <v>45985</v>
      </c>
      <c r="H1673" s="6" t="str">
        <f ca="1">IFERROR(__xludf.DUMMYFUNCTION("""COMPUTED_VALUE"""),"Canillas")</f>
        <v>Canillas</v>
      </c>
      <c r="I1673" s="6" t="str">
        <f ca="1">IFERROR(__xludf.DUMMYFUNCTION("""COMPUTED_VALUE"""),"C202511249411289262")</f>
        <v>C202511249411289262</v>
      </c>
      <c r="J1673" s="6" t="str">
        <f ca="1">IFERROR(__xludf.DUMMYFUNCTION("""COMPUTED_VALUE"""),"ÁNGELES ELSA MORO GAFO")</f>
        <v>ÁNGELES ELSA MORO GAFO</v>
      </c>
      <c r="K1673" s="6">
        <f ca="1">IFERROR(__xludf.DUMMYFUNCTION("""COMPUTED_VALUE"""),2)</f>
        <v>2</v>
      </c>
      <c r="L1673" s="139">
        <f ca="1">IFERROR(__xludf.DUMMYFUNCTION("""COMPUTED_VALUE"""),2718.18)</f>
        <v>2718.18</v>
      </c>
      <c r="M1673" s="6" t="str">
        <f ca="1">IFERROR(__xludf.DUMMYFUNCTION("""COMPUTED_VALUE"""),"03 ORL")</f>
        <v>03 ORL</v>
      </c>
      <c r="N1673" s="6" t="str">
        <f ca="1">IFERROR(__xludf.DUMMYFUNCTION("""COMPUTED_VALUE"""),"06 ORL")</f>
        <v>06 ORL</v>
      </c>
      <c r="O1673" s="6" t="str">
        <f ca="1">IFERROR(__xludf.DUMMYFUNCTION("""COMPUTED_VALUE"""),"Dr, José Gustavo Barroso Braojos")</f>
        <v>Dr, José Gustavo Barroso Braojos</v>
      </c>
      <c r="P1673" s="6" t="str">
        <f ca="1">IFERROR(__xludf.DUMMYFUNCTION("""COMPUTED_VALUE"""),"Maika Blázquez (Madrid)")</f>
        <v>Maika Blázquez (Madrid)</v>
      </c>
    </row>
    <row r="1674" spans="2:16">
      <c r="B1674" s="6">
        <f ca="1">IFERROR(__xludf.DUMMYFUNCTION("""COMPUTED_VALUE"""),2025)</f>
        <v>2025</v>
      </c>
      <c r="C1674" s="6">
        <f ca="1">IFERROR(__xludf.DUMMYFUNCTION("""COMPUTED_VALUE"""),12)</f>
        <v>12</v>
      </c>
      <c r="D1674" s="6" t="str">
        <f ca="1">IFERROR(__xludf.DUMMYFUNCTION("""COMPUTED_VALUE"""),"NO")</f>
        <v>NO</v>
      </c>
      <c r="E1674" s="6" t="str">
        <f ca="1">IFERROR(__xludf.DUMMYFUNCTION("""COMPUTED_VALUE"""),"Madrid- Monforte de Lemos")</f>
        <v>Madrid- Monforte de Lemos</v>
      </c>
      <c r="F1674" s="16">
        <f ca="1">IFERROR(__xludf.DUMMYFUNCTION("""COMPUTED_VALUE"""),46010)</f>
        <v>46010</v>
      </c>
      <c r="G1674" s="16">
        <f ca="1">IFERROR(__xludf.DUMMYFUNCTION("""COMPUTED_VALUE"""),46003)</f>
        <v>46003</v>
      </c>
      <c r="H1674" s="6" t="str">
        <f ca="1">IFERROR(__xludf.DUMMYFUNCTION("""COMPUTED_VALUE"""),"La Vaguada")</f>
        <v>La Vaguada</v>
      </c>
      <c r="I1674" s="6" t="str">
        <f ca="1">IFERROR(__xludf.DUMMYFUNCTION("""COMPUTED_VALUE"""),"C202512121230235851")</f>
        <v>C202512121230235851</v>
      </c>
      <c r="J1674" s="6" t="str">
        <f ca="1">IFERROR(__xludf.DUMMYFUNCTION("""COMPUTED_VALUE"""),"PEDRO CUMMINGS DONADIO")</f>
        <v>PEDRO CUMMINGS DONADIO</v>
      </c>
      <c r="K1674" s="6">
        <f ca="1">IFERROR(__xludf.DUMMYFUNCTION("""COMPUTED_VALUE"""),2)</f>
        <v>2</v>
      </c>
      <c r="L1674" s="139">
        <f ca="1">IFERROR(__xludf.DUMMYFUNCTION("""COMPUTED_VALUE"""),4136.36)</f>
        <v>4136.3599999999997</v>
      </c>
      <c r="M1674" s="6" t="str">
        <f ca="1">IFERROR(__xludf.DUMMYFUNCTION("""COMPUTED_VALUE"""),"03 ORL")</f>
        <v>03 ORL</v>
      </c>
      <c r="N1674" s="6" t="str">
        <f ca="1">IFERROR(__xludf.DUMMYFUNCTION("""COMPUTED_VALUE"""),"06 ORL")</f>
        <v>06 ORL</v>
      </c>
      <c r="O1674" s="6" t="str">
        <f ca="1">IFERROR(__xludf.DUMMYFUNCTION("""COMPUTED_VALUE"""),"Dra, Laura Gálvez Gazo")</f>
        <v>Dra, Laura Gálvez Gazo</v>
      </c>
      <c r="P1674" s="6" t="str">
        <f ca="1">IFERROR(__xludf.DUMMYFUNCTION("""COMPUTED_VALUE"""),"Maika Blázquez (Madrid)")</f>
        <v>Maika Blázquez (Madrid)</v>
      </c>
    </row>
    <row r="1675" spans="2:16">
      <c r="B1675" s="6">
        <f ca="1">IFERROR(__xludf.DUMMYFUNCTION("""COMPUTED_VALUE"""),2025)</f>
        <v>2025</v>
      </c>
      <c r="C1675" s="6">
        <f ca="1">IFERROR(__xludf.DUMMYFUNCTION("""COMPUTED_VALUE"""),12)</f>
        <v>12</v>
      </c>
      <c r="D1675" s="6" t="str">
        <f ca="1">IFERROR(__xludf.DUMMYFUNCTION("""COMPUTED_VALUE"""),"NO")</f>
        <v>NO</v>
      </c>
      <c r="E1675" s="6" t="str">
        <f ca="1">IFERROR(__xludf.DUMMYFUNCTION("""COMPUTED_VALUE"""),"Murcia")</f>
        <v>Murcia</v>
      </c>
      <c r="F1675" s="16">
        <f ca="1">IFERROR(__xludf.DUMMYFUNCTION("""COMPUTED_VALUE"""),46010)</f>
        <v>46010</v>
      </c>
      <c r="G1675" s="16">
        <f ca="1">IFERROR(__xludf.DUMMYFUNCTION("""COMPUTED_VALUE"""),45987)</f>
        <v>45987</v>
      </c>
      <c r="H1675" s="6" t="str">
        <f ca="1">IFERROR(__xludf.DUMMYFUNCTION("""COMPUTED_VALUE"""),"Murcia")</f>
        <v>Murcia</v>
      </c>
      <c r="I1675" s="6" t="str">
        <f ca="1">IFERROR(__xludf.DUMMYFUNCTION("""COMPUTED_VALUE"""),"C202511261112103448")</f>
        <v>C202511261112103448</v>
      </c>
      <c r="J1675" s="6" t="str">
        <f ca="1">IFERROR(__xludf.DUMMYFUNCTION("""COMPUTED_VALUE"""),"BRAHIM KIROUANE")</f>
        <v>BRAHIM KIROUANE</v>
      </c>
      <c r="K1675" s="6">
        <f ca="1">IFERROR(__xludf.DUMMYFUNCTION("""COMPUTED_VALUE"""),2)</f>
        <v>2</v>
      </c>
      <c r="L1675" s="139">
        <f ca="1">IFERROR(__xludf.DUMMYFUNCTION("""COMPUTED_VALUE"""),2718.18)</f>
        <v>2718.18</v>
      </c>
      <c r="M1675" s="6" t="str">
        <f ca="1">IFERROR(__xludf.DUMMYFUNCTION("""COMPUTED_VALUE"""),"03 ORL")</f>
        <v>03 ORL</v>
      </c>
      <c r="N1675" s="6" t="str">
        <f ca="1">IFERROR(__xludf.DUMMYFUNCTION("""COMPUTED_VALUE"""),"06 ORL")</f>
        <v>06 ORL</v>
      </c>
      <c r="O1675" s="6" t="str">
        <f ca="1">IFERROR(__xludf.DUMMYFUNCTION("""COMPUTED_VALUE"""),"Dr, Jesús Miguel Iniesta Turpín")</f>
        <v>Dr, Jesús Miguel Iniesta Turpín</v>
      </c>
      <c r="P1675" s="6" t="str">
        <f ca="1">IFERROR(__xludf.DUMMYFUNCTION("""COMPUTED_VALUE"""),"Iván Sánchez (Levante Y Albacete)")</f>
        <v>Iván Sánchez (Levante Y Albacete)</v>
      </c>
    </row>
    <row r="1676" spans="2:16">
      <c r="B1676" s="6">
        <f ca="1">IFERROR(__xludf.DUMMYFUNCTION("""COMPUTED_VALUE"""),2025)</f>
        <v>2025</v>
      </c>
      <c r="C1676" s="6">
        <f ca="1">IFERROR(__xludf.DUMMYFUNCTION("""COMPUTED_VALUE"""),12)</f>
        <v>12</v>
      </c>
      <c r="D1676" s="6" t="str">
        <f ca="1">IFERROR(__xludf.DUMMYFUNCTION("""COMPUTED_VALUE"""),"NO")</f>
        <v>NO</v>
      </c>
      <c r="E1676" s="6" t="str">
        <f ca="1">IFERROR(__xludf.DUMMYFUNCTION("""COMPUTED_VALUE"""),"Logroño")</f>
        <v>Logroño</v>
      </c>
      <c r="F1676" s="16">
        <f ca="1">IFERROR(__xludf.DUMMYFUNCTION("""COMPUTED_VALUE"""),46010)</f>
        <v>46010</v>
      </c>
      <c r="G1676" s="16">
        <f ca="1">IFERROR(__xludf.DUMMYFUNCTION("""COMPUTED_VALUE"""),45974)</f>
        <v>45974</v>
      </c>
      <c r="H1676" s="6" t="str">
        <f ca="1">IFERROR(__xludf.DUMMYFUNCTION("""COMPUTED_VALUE"""),"Logroño")</f>
        <v>Logroño</v>
      </c>
      <c r="I1676" s="6" t="str">
        <f ca="1">IFERROR(__xludf.DUMMYFUNCTION("""COMPUTED_VALUE"""),"C202511131422066053")</f>
        <v>C202511131422066053</v>
      </c>
      <c r="J1676" s="6" t="str">
        <f ca="1">IFERROR(__xludf.DUMMYFUNCTION("""COMPUTED_VALUE"""),"AGUSTIN GONZALEZ ELIAS")</f>
        <v>AGUSTIN GONZALEZ ELIAS</v>
      </c>
      <c r="K1676" s="6">
        <f ca="1">IFERROR(__xludf.DUMMYFUNCTION("""COMPUTED_VALUE"""),2)</f>
        <v>2</v>
      </c>
      <c r="L1676" s="139">
        <f ca="1">IFERROR(__xludf.DUMMYFUNCTION("""COMPUTED_VALUE"""),2718.18)</f>
        <v>2718.18</v>
      </c>
      <c r="M1676" s="6" t="str">
        <f ca="1">IFERROR(__xludf.DUMMYFUNCTION("""COMPUTED_VALUE"""),"03 ORL")</f>
        <v>03 ORL</v>
      </c>
      <c r="N1676" s="6" t="str">
        <f ca="1">IFERROR(__xludf.DUMMYFUNCTION("""COMPUTED_VALUE"""),"06 ORL")</f>
        <v>06 ORL</v>
      </c>
      <c r="O1676" s="6" t="str">
        <f ca="1">IFERROR(__xludf.DUMMYFUNCTION("""COMPUTED_VALUE"""),"No recuerda ORL")</f>
        <v>No recuerda ORL</v>
      </c>
      <c r="P1676" s="6"/>
    </row>
    <row r="1677" spans="2:16">
      <c r="B1677" s="6">
        <f ca="1">IFERROR(__xludf.DUMMYFUNCTION("""COMPUTED_VALUE"""),2025)</f>
        <v>2025</v>
      </c>
      <c r="C1677" s="6">
        <f ca="1">IFERROR(__xludf.DUMMYFUNCTION("""COMPUTED_VALUE"""),12)</f>
        <v>12</v>
      </c>
      <c r="D1677" s="6" t="str">
        <f ca="1">IFERROR(__xludf.DUMMYFUNCTION("""COMPUTED_VALUE"""),"SI")</f>
        <v>SI</v>
      </c>
      <c r="E1677" s="6" t="str">
        <f ca="1">IFERROR(__xludf.DUMMYFUNCTION("""COMPUTED_VALUE"""),"Madrid- Canillas")</f>
        <v>Madrid- Canillas</v>
      </c>
      <c r="F1677" s="16">
        <f ca="1">IFERROR(__xludf.DUMMYFUNCTION("""COMPUTED_VALUE"""),46010)</f>
        <v>46010</v>
      </c>
      <c r="G1677" s="16">
        <f ca="1">IFERROR(__xludf.DUMMYFUNCTION("""COMPUTED_VALUE"""),45973)</f>
        <v>45973</v>
      </c>
      <c r="H1677" s="6" t="str">
        <f ca="1">IFERROR(__xludf.DUMMYFUNCTION("""COMPUTED_VALUE"""),"Canillas")</f>
        <v>Canillas</v>
      </c>
      <c r="I1677" s="6" t="str">
        <f ca="1">IFERROR(__xludf.DUMMYFUNCTION("""COMPUTED_VALUE"""),"C202511121646140757")</f>
        <v>C202511121646140757</v>
      </c>
      <c r="J1677" s="6" t="str">
        <f ca="1">IFERROR(__xludf.DUMMYFUNCTION("""COMPUTED_VALUE"""),"JOSE MARIA  JIMENEZ HERNANDEZ")</f>
        <v>JOSE MARIA  JIMENEZ HERNANDEZ</v>
      </c>
      <c r="K1677" s="6">
        <f ca="1">IFERROR(__xludf.DUMMYFUNCTION("""COMPUTED_VALUE"""),2)</f>
        <v>2</v>
      </c>
      <c r="L1677" s="139">
        <f ca="1">IFERROR(__xludf.DUMMYFUNCTION("""COMPUTED_VALUE"""),4136.36)</f>
        <v>4136.3599999999997</v>
      </c>
      <c r="M1677" s="6" t="str">
        <f ca="1">IFERROR(__xludf.DUMMYFUNCTION("""COMPUTED_VALUE"""),"03 ORL")</f>
        <v>03 ORL</v>
      </c>
      <c r="N1677" s="6" t="str">
        <f ca="1">IFERROR(__xludf.DUMMYFUNCTION("""COMPUTED_VALUE"""),"06 ORL")</f>
        <v>06 ORL</v>
      </c>
      <c r="O1677" s="6" t="str">
        <f ca="1">IFERROR(__xludf.DUMMYFUNCTION("""COMPUTED_VALUE"""),"Dr, Alejandro Harguindey Antoli-Candela")</f>
        <v>Dr, Alejandro Harguindey Antoli-Candela</v>
      </c>
      <c r="P1677" s="6" t="str">
        <f ca="1">IFERROR(__xludf.DUMMYFUNCTION("""COMPUTED_VALUE"""),"Maika Blázquez (Madrid)")</f>
        <v>Maika Blázquez (Madrid)</v>
      </c>
    </row>
    <row r="1678" spans="2:16">
      <c r="B1678" s="6">
        <f ca="1">IFERROR(__xludf.DUMMYFUNCTION("""COMPUTED_VALUE"""),2025)</f>
        <v>2025</v>
      </c>
      <c r="C1678" s="6">
        <f ca="1">IFERROR(__xludf.DUMMYFUNCTION("""COMPUTED_VALUE"""),12)</f>
        <v>12</v>
      </c>
      <c r="D1678" s="6" t="str">
        <f ca="1">IFERROR(__xludf.DUMMYFUNCTION("""COMPUTED_VALUE"""),"NO")</f>
        <v>NO</v>
      </c>
      <c r="E1678" s="6" t="str">
        <f ca="1">IFERROR(__xludf.DUMMYFUNCTION("""COMPUTED_VALUE"""),"Jerez de la Frontera")</f>
        <v>Jerez de la Frontera</v>
      </c>
      <c r="F1678" s="16">
        <f ca="1">IFERROR(__xludf.DUMMYFUNCTION("""COMPUTED_VALUE"""),46013)</f>
        <v>46013</v>
      </c>
      <c r="G1678" s="16">
        <f ca="1">IFERROR(__xludf.DUMMYFUNCTION("""COMPUTED_VALUE"""),45982)</f>
        <v>45982</v>
      </c>
      <c r="H1678" s="6" t="str">
        <f ca="1">IFERROR(__xludf.DUMMYFUNCTION("""COMPUTED_VALUE"""),"Jerez")</f>
        <v>Jerez</v>
      </c>
      <c r="I1678" s="6" t="str">
        <f ca="1">IFERROR(__xludf.DUMMYFUNCTION("""COMPUTED_VALUE"""),"C202511211119163932")</f>
        <v>C202511211119163932</v>
      </c>
      <c r="J1678" s="6" t="str">
        <f ca="1">IFERROR(__xludf.DUMMYFUNCTION("""COMPUTED_VALUE"""),"MARIA ROSARIO ALVAREZ GONZALEZ")</f>
        <v>MARIA ROSARIO ALVAREZ GONZALEZ</v>
      </c>
      <c r="K1678" s="6">
        <f ca="1">IFERROR(__xludf.DUMMYFUNCTION("""COMPUTED_VALUE"""),2)</f>
        <v>2</v>
      </c>
      <c r="L1678" s="139">
        <f ca="1">IFERROR(__xludf.DUMMYFUNCTION("""COMPUTED_VALUE"""),2718.19)</f>
        <v>2718.19</v>
      </c>
      <c r="M1678" s="6" t="str">
        <f ca="1">IFERROR(__xludf.DUMMYFUNCTION("""COMPUTED_VALUE"""),"03 ORL")</f>
        <v>03 ORL</v>
      </c>
      <c r="N1678" s="6" t="str">
        <f ca="1">IFERROR(__xludf.DUMMYFUNCTION("""COMPUTED_VALUE"""),"06 ORL")</f>
        <v>06 ORL</v>
      </c>
      <c r="O1678" s="6" t="str">
        <f ca="1">IFERROR(__xludf.DUMMYFUNCTION("""COMPUTED_VALUE"""),"Dra, Maria Del Carmen Salom Coveñas")</f>
        <v>Dra, Maria Del Carmen Salom Coveñas</v>
      </c>
      <c r="P1678" s="6" t="str">
        <f ca="1">IFERROR(__xludf.DUMMYFUNCTION("""COMPUTED_VALUE"""),"Luis Alberto Rodríguez (Andalucía y Badajoz)")</f>
        <v>Luis Alberto Rodríguez (Andalucía y Badajoz)</v>
      </c>
    </row>
    <row r="1679" spans="2:16">
      <c r="B1679" s="6">
        <f ca="1">IFERROR(__xludf.DUMMYFUNCTION("""COMPUTED_VALUE"""),2025)</f>
        <v>2025</v>
      </c>
      <c r="C1679" s="6">
        <f ca="1">IFERROR(__xludf.DUMMYFUNCTION("""COMPUTED_VALUE"""),12)</f>
        <v>12</v>
      </c>
      <c r="D1679" s="6" t="str">
        <f ca="1">IFERROR(__xludf.DUMMYFUNCTION("""COMPUTED_VALUE"""),"NO")</f>
        <v>NO</v>
      </c>
      <c r="E1679" s="6" t="str">
        <f ca="1">IFERROR(__xludf.DUMMYFUNCTION("""COMPUTED_VALUE"""),"Torrejón de Ardoz")</f>
        <v>Torrejón de Ardoz</v>
      </c>
      <c r="F1679" s="16">
        <f ca="1">IFERROR(__xludf.DUMMYFUNCTION("""COMPUTED_VALUE"""),46013)</f>
        <v>46013</v>
      </c>
      <c r="G1679" s="16">
        <f ca="1">IFERROR(__xludf.DUMMYFUNCTION("""COMPUTED_VALUE"""),45981)</f>
        <v>45981</v>
      </c>
      <c r="H1679" s="6" t="str">
        <f ca="1">IFERROR(__xludf.DUMMYFUNCTION("""COMPUTED_VALUE"""),"Torrejón")</f>
        <v>Torrejón</v>
      </c>
      <c r="I1679" s="6" t="str">
        <f ca="1">IFERROR(__xludf.DUMMYFUNCTION("""COMPUTED_VALUE"""),"C202511201734355763")</f>
        <v>C202511201734355763</v>
      </c>
      <c r="J1679" s="6" t="str">
        <f ca="1">IFERROR(__xludf.DUMMYFUNCTION("""COMPUTED_VALUE"""),"JOSEFA SANCHEZ TENA")</f>
        <v>JOSEFA SANCHEZ TENA</v>
      </c>
      <c r="K1679" s="6">
        <f ca="1">IFERROR(__xludf.DUMMYFUNCTION("""COMPUTED_VALUE"""),2)</f>
        <v>2</v>
      </c>
      <c r="L1679" s="139">
        <f ca="1">IFERROR(__xludf.DUMMYFUNCTION("""COMPUTED_VALUE"""),2718.18)</f>
        <v>2718.18</v>
      </c>
      <c r="M1679" s="6" t="str">
        <f ca="1">IFERROR(__xludf.DUMMYFUNCTION("""COMPUTED_VALUE"""),"03 ORL")</f>
        <v>03 ORL</v>
      </c>
      <c r="N1679" s="6" t="str">
        <f ca="1">IFERROR(__xludf.DUMMYFUNCTION("""COMPUTED_VALUE"""),"06 ORL")</f>
        <v>06 ORL</v>
      </c>
      <c r="O1679" s="6" t="str">
        <f ca="1">IFERROR(__xludf.DUMMYFUNCTION("""COMPUTED_VALUE"""),"Dr, Abel Bogoya Castaño")</f>
        <v>Dr, Abel Bogoya Castaño</v>
      </c>
      <c r="P1679" s="6" t="str">
        <f ca="1">IFERROR(__xludf.DUMMYFUNCTION("""COMPUTED_VALUE"""),"Lisandro Russian (Madrid, Cáceres, Toledo, Talavera Y Logroño)")</f>
        <v>Lisandro Russian (Madrid, Cáceres, Toledo, Talavera Y Logroño)</v>
      </c>
    </row>
    <row r="1680" spans="2:16">
      <c r="B1680" s="6">
        <f ca="1">IFERROR(__xludf.DUMMYFUNCTION("""COMPUTED_VALUE"""),2025)</f>
        <v>2025</v>
      </c>
      <c r="C1680" s="6">
        <f ca="1">IFERROR(__xludf.DUMMYFUNCTION("""COMPUTED_VALUE"""),12)</f>
        <v>12</v>
      </c>
      <c r="D1680" s="6" t="str">
        <f ca="1">IFERROR(__xludf.DUMMYFUNCTION("""COMPUTED_VALUE"""),"NO")</f>
        <v>NO</v>
      </c>
      <c r="E1680" s="6" t="str">
        <f ca="1">IFERROR(__xludf.DUMMYFUNCTION("""COMPUTED_VALUE"""),"Madrid- Monforte de Lemos")</f>
        <v>Madrid- Monforte de Lemos</v>
      </c>
      <c r="F1680" s="16">
        <f ca="1">IFERROR(__xludf.DUMMYFUNCTION("""COMPUTED_VALUE"""),46013)</f>
        <v>46013</v>
      </c>
      <c r="G1680" s="16">
        <f ca="1">IFERROR(__xludf.DUMMYFUNCTION("""COMPUTED_VALUE"""),45996)</f>
        <v>45996</v>
      </c>
      <c r="H1680" s="6" t="str">
        <f ca="1">IFERROR(__xludf.DUMMYFUNCTION("""COMPUTED_VALUE"""),"La Vaguada")</f>
        <v>La Vaguada</v>
      </c>
      <c r="I1680" s="6" t="str">
        <f ca="1">IFERROR(__xludf.DUMMYFUNCTION("""COMPUTED_VALUE"""),"C202512514574325442")</f>
        <v>C202512514574325442</v>
      </c>
      <c r="J1680" s="6" t="str">
        <f ca="1">IFERROR(__xludf.DUMMYFUNCTION("""COMPUTED_VALUE"""),"ENCARNACION  DE PABLO RODRIGUEZ")</f>
        <v>ENCARNACION  DE PABLO RODRIGUEZ</v>
      </c>
      <c r="K1680" s="6">
        <f ca="1">IFERROR(__xludf.DUMMYFUNCTION("""COMPUTED_VALUE"""),2)</f>
        <v>2</v>
      </c>
      <c r="L1680" s="139">
        <f ca="1">IFERROR(__xludf.DUMMYFUNCTION("""COMPUTED_VALUE"""),2718.18)</f>
        <v>2718.18</v>
      </c>
      <c r="M1680" s="6" t="str">
        <f ca="1">IFERROR(__xludf.DUMMYFUNCTION("""COMPUTED_VALUE"""),"03 ORL")</f>
        <v>03 ORL</v>
      </c>
      <c r="N1680" s="6" t="str">
        <f ca="1">IFERROR(__xludf.DUMMYFUNCTION("""COMPUTED_VALUE"""),"06 ORL")</f>
        <v>06 ORL</v>
      </c>
      <c r="O1680" s="6" t="str">
        <f ca="1">IFERROR(__xludf.DUMMYFUNCTION("""COMPUTED_VALUE"""),"Dr, Álvaro Sánchez de Arriba")</f>
        <v>Dr, Álvaro Sánchez de Arriba</v>
      </c>
      <c r="P1680" s="6" t="str">
        <f ca="1">IFERROR(__xludf.DUMMYFUNCTION("""COMPUTED_VALUE"""),"Lisandro Russian (Madrid, Cáceres, Toledo, Talavera Y Logroño)")</f>
        <v>Lisandro Russian (Madrid, Cáceres, Toledo, Talavera Y Logroño)</v>
      </c>
    </row>
    <row r="1681" spans="2:16">
      <c r="B1681" s="6">
        <f ca="1">IFERROR(__xludf.DUMMYFUNCTION("""COMPUTED_VALUE"""),2025)</f>
        <v>2025</v>
      </c>
      <c r="C1681" s="6">
        <f ca="1">IFERROR(__xludf.DUMMYFUNCTION("""COMPUTED_VALUE"""),12)</f>
        <v>12</v>
      </c>
      <c r="D1681" s="6" t="str">
        <f ca="1">IFERROR(__xludf.DUMMYFUNCTION("""COMPUTED_VALUE"""),"NO")</f>
        <v>NO</v>
      </c>
      <c r="E1681" s="6" t="str">
        <f ca="1">IFERROR(__xludf.DUMMYFUNCTION("""COMPUTED_VALUE"""),"Salamanca")</f>
        <v>Salamanca</v>
      </c>
      <c r="F1681" s="16">
        <f ca="1">IFERROR(__xludf.DUMMYFUNCTION("""COMPUTED_VALUE"""),46013)</f>
        <v>46013</v>
      </c>
      <c r="G1681" s="16">
        <f ca="1">IFERROR(__xludf.DUMMYFUNCTION("""COMPUTED_VALUE"""),45971)</f>
        <v>45971</v>
      </c>
      <c r="H1681" s="6" t="str">
        <f ca="1">IFERROR(__xludf.DUMMYFUNCTION("""COMPUTED_VALUE"""),"Salamanca")</f>
        <v>Salamanca</v>
      </c>
      <c r="I1681" s="6" t="str">
        <f ca="1">IFERROR(__xludf.DUMMYFUNCTION("""COMPUTED_VALUE"""),"SLM-652")</f>
        <v>SLM-652</v>
      </c>
      <c r="J1681" s="6" t="str">
        <f ca="1">IFERROR(__xludf.DUMMYFUNCTION("""COMPUTED_VALUE"""),"JOAQUINA GUTIERREZ SANCHEZ")</f>
        <v>JOAQUINA GUTIERREZ SANCHEZ</v>
      </c>
      <c r="K1681" s="6">
        <f ca="1">IFERROR(__xludf.DUMMYFUNCTION("""COMPUTED_VALUE"""),2)</f>
        <v>2</v>
      </c>
      <c r="L1681" s="139">
        <f ca="1">IFERROR(__xludf.DUMMYFUNCTION("""COMPUTED_VALUE"""),3730)</f>
        <v>3730</v>
      </c>
      <c r="M1681" s="6" t="str">
        <f ca="1">IFERROR(__xludf.DUMMYFUNCTION("""COMPUTED_VALUE"""),"03 ORL")</f>
        <v>03 ORL</v>
      </c>
      <c r="N1681" s="6" t="str">
        <f ca="1">IFERROR(__xludf.DUMMYFUNCTION("""COMPUTED_VALUE"""),"06 ORL")</f>
        <v>06 ORL</v>
      </c>
      <c r="O1681" s="6" t="str">
        <f ca="1">IFERROR(__xludf.DUMMYFUNCTION("""COMPUTED_VALUE"""),"Dr, Ángel Muñoz Herrera")</f>
        <v>Dr, Ángel Muñoz Herrera</v>
      </c>
      <c r="P1681" s="6" t="str">
        <f ca="1">IFERROR(__xludf.DUMMYFUNCTION("""COMPUTED_VALUE"""),"Alberto Moreno (Madrid)")</f>
        <v>Alberto Moreno (Madrid)</v>
      </c>
    </row>
    <row r="1682" spans="2:16">
      <c r="B1682" s="6">
        <f ca="1">IFERROR(__xludf.DUMMYFUNCTION("""COMPUTED_VALUE"""),2025)</f>
        <v>2025</v>
      </c>
      <c r="C1682" s="6">
        <f ca="1">IFERROR(__xludf.DUMMYFUNCTION("""COMPUTED_VALUE"""),12)</f>
        <v>12</v>
      </c>
      <c r="D1682" s="6" t="str">
        <f ca="1">IFERROR(__xludf.DUMMYFUNCTION("""COMPUTED_VALUE"""),"NO")</f>
        <v>NO</v>
      </c>
      <c r="E1682" s="6" t="str">
        <f ca="1">IFERROR(__xludf.DUMMYFUNCTION("""COMPUTED_VALUE"""),"Madrid- Monforte de Lemos")</f>
        <v>Madrid- Monforte de Lemos</v>
      </c>
      <c r="F1682" s="16">
        <f ca="1">IFERROR(__xludf.DUMMYFUNCTION("""COMPUTED_VALUE"""),46013)</f>
        <v>46013</v>
      </c>
      <c r="G1682" s="16">
        <f ca="1">IFERROR(__xludf.DUMMYFUNCTION("""COMPUTED_VALUE"""),45958)</f>
        <v>45958</v>
      </c>
      <c r="H1682" s="6" t="str">
        <f ca="1">IFERROR(__xludf.DUMMYFUNCTION("""COMPUTED_VALUE"""),"La Vaguada")</f>
        <v>La Vaguada</v>
      </c>
      <c r="I1682" s="6" t="str">
        <f ca="1">IFERROR(__xludf.DUMMYFUNCTION("""COMPUTED_VALUE"""),"C202510281634456406")</f>
        <v>C202510281634456406</v>
      </c>
      <c r="J1682" s="6" t="str">
        <f ca="1">IFERROR(__xludf.DUMMYFUNCTION("""COMPUTED_VALUE"""),"CONCEPCION CATALAN SERRANO")</f>
        <v>CONCEPCION CATALAN SERRANO</v>
      </c>
      <c r="K1682" s="6">
        <f ca="1">IFERROR(__xludf.DUMMYFUNCTION("""COMPUTED_VALUE"""),2)</f>
        <v>2</v>
      </c>
      <c r="L1682" s="139">
        <f ca="1">IFERROR(__xludf.DUMMYFUNCTION("""COMPUTED_VALUE"""),3631.82)</f>
        <v>3631.82</v>
      </c>
      <c r="M1682" s="6" t="str">
        <f ca="1">IFERROR(__xludf.DUMMYFUNCTION("""COMPUTED_VALUE"""),"03 ORL")</f>
        <v>03 ORL</v>
      </c>
      <c r="N1682" s="6" t="str">
        <f ca="1">IFERROR(__xludf.DUMMYFUNCTION("""COMPUTED_VALUE"""),"06 ORL")</f>
        <v>06 ORL</v>
      </c>
      <c r="O1682" s="6" t="str">
        <f ca="1">IFERROR(__xludf.DUMMYFUNCTION("""COMPUTED_VALUE"""),"Dr, Guillermo San Juan de la Moreta")</f>
        <v>Dr, Guillermo San Juan de la Moreta</v>
      </c>
      <c r="P1682" s="6" t="str">
        <f ca="1">IFERROR(__xludf.DUMMYFUNCTION("""COMPUTED_VALUE"""),"Maika Blázquez (Madrid)")</f>
        <v>Maika Blázquez (Madrid)</v>
      </c>
    </row>
    <row r="1683" spans="2:16">
      <c r="B1683" s="6">
        <f ca="1">IFERROR(__xludf.DUMMYFUNCTION("""COMPUTED_VALUE"""),2025)</f>
        <v>2025</v>
      </c>
      <c r="C1683" s="6">
        <f ca="1">IFERROR(__xludf.DUMMYFUNCTION("""COMPUTED_VALUE"""),12)</f>
        <v>12</v>
      </c>
      <c r="D1683" s="6" t="str">
        <f ca="1">IFERROR(__xludf.DUMMYFUNCTION("""COMPUTED_VALUE"""),"NO")</f>
        <v>NO</v>
      </c>
      <c r="E1683" s="6" t="str">
        <f ca="1">IFERROR(__xludf.DUMMYFUNCTION("""COMPUTED_VALUE"""),"Vilanova")</f>
        <v>Vilanova</v>
      </c>
      <c r="F1683" s="16">
        <f ca="1">IFERROR(__xludf.DUMMYFUNCTION("""COMPUTED_VALUE"""),46013)</f>
        <v>46013</v>
      </c>
      <c r="G1683" s="16">
        <f ca="1">IFERROR(__xludf.DUMMYFUNCTION("""COMPUTED_VALUE"""),45972)</f>
        <v>45972</v>
      </c>
      <c r="H1683" s="6" t="str">
        <f ca="1">IFERROR(__xludf.DUMMYFUNCTION("""COMPUTED_VALUE"""),"Vilanova")</f>
        <v>Vilanova</v>
      </c>
      <c r="I1683" s="6" t="str">
        <f ca="1">IFERROR(__xludf.DUMMYFUNCTION("""COMPUTED_VALUE"""),"C202511118254330379")</f>
        <v>C202511118254330379</v>
      </c>
      <c r="J1683" s="6" t="str">
        <f ca="1">IFERROR(__xludf.DUMMYFUNCTION("""COMPUTED_VALUE"""),"FRANCISCA MARIA JESUS GONZALEZ MUÑOZ")</f>
        <v>FRANCISCA MARIA JESUS GONZALEZ MUÑOZ</v>
      </c>
      <c r="K1683" s="6">
        <f ca="1">IFERROR(__xludf.DUMMYFUNCTION("""COMPUTED_VALUE"""),2)</f>
        <v>2</v>
      </c>
      <c r="L1683" s="139">
        <f ca="1">IFERROR(__xludf.DUMMYFUNCTION("""COMPUTED_VALUE"""),4136.36)</f>
        <v>4136.3599999999997</v>
      </c>
      <c r="M1683" s="6" t="str">
        <f ca="1">IFERROR(__xludf.DUMMYFUNCTION("""COMPUTED_VALUE"""),"03 ORL")</f>
        <v>03 ORL</v>
      </c>
      <c r="N1683" s="6" t="str">
        <f ca="1">IFERROR(__xludf.DUMMYFUNCTION("""COMPUTED_VALUE"""),"06 ORL")</f>
        <v>06 ORL</v>
      </c>
      <c r="O1683" s="6" t="str">
        <f ca="1">IFERROR(__xludf.DUMMYFUNCTION("""COMPUTED_VALUE"""),"Dr, Enrique Romero Van Abeleen")</f>
        <v>Dr, Enrique Romero Van Abeleen</v>
      </c>
      <c r="P1683" s="6" t="str">
        <f ca="1">IFERROR(__xludf.DUMMYFUNCTION("""COMPUTED_VALUE"""),"Mercè Cabrera (Cataluña Y Baleares)")</f>
        <v>Mercè Cabrera (Cataluña Y Baleares)</v>
      </c>
    </row>
    <row r="1684" spans="2:16">
      <c r="B1684" s="6">
        <f ca="1">IFERROR(__xludf.DUMMYFUNCTION("""COMPUTED_VALUE"""),2025)</f>
        <v>2025</v>
      </c>
      <c r="C1684" s="6">
        <f ca="1">IFERROR(__xludf.DUMMYFUNCTION("""COMPUTED_VALUE"""),12)</f>
        <v>12</v>
      </c>
      <c r="D1684" s="6" t="str">
        <f ca="1">IFERROR(__xludf.DUMMYFUNCTION("""COMPUTED_VALUE"""),"NO")</f>
        <v>NO</v>
      </c>
      <c r="E1684" s="6" t="str">
        <f ca="1">IFERROR(__xludf.DUMMYFUNCTION("""COMPUTED_VALUE"""),"Valladolid")</f>
        <v>Valladolid</v>
      </c>
      <c r="F1684" s="16">
        <f ca="1">IFERROR(__xludf.DUMMYFUNCTION("""COMPUTED_VALUE"""),46013)</f>
        <v>46013</v>
      </c>
      <c r="G1684" s="16">
        <f ca="1">IFERROR(__xludf.DUMMYFUNCTION("""COMPUTED_VALUE"""),45960)</f>
        <v>45960</v>
      </c>
      <c r="H1684" s="6" t="str">
        <f ca="1">IFERROR(__xludf.DUMMYFUNCTION("""COMPUTED_VALUE"""),"Valladolid")</f>
        <v>Valladolid</v>
      </c>
      <c r="I1684" s="6" t="str">
        <f ca="1">IFERROR(__xludf.DUMMYFUNCTION("""COMPUTED_VALUE"""),"VLL-472")</f>
        <v>VLL-472</v>
      </c>
      <c r="J1684" s="6" t="str">
        <f ca="1">IFERROR(__xludf.DUMMYFUNCTION("""COMPUTED_VALUE"""),"MIGUEL LOPEZ ROBLES")</f>
        <v>MIGUEL LOPEZ ROBLES</v>
      </c>
      <c r="K1684" s="6">
        <f ca="1">IFERROR(__xludf.DUMMYFUNCTION("""COMPUTED_VALUE"""),2)</f>
        <v>2</v>
      </c>
      <c r="L1684" s="139">
        <f ca="1">IFERROR(__xludf.DUMMYFUNCTION("""COMPUTED_VALUE"""),4431.82)</f>
        <v>4431.82</v>
      </c>
      <c r="M1684" s="6" t="str">
        <f ca="1">IFERROR(__xludf.DUMMYFUNCTION("""COMPUTED_VALUE"""),"03 ORL")</f>
        <v>03 ORL</v>
      </c>
      <c r="N1684" s="6" t="str">
        <f ca="1">IFERROR(__xludf.DUMMYFUNCTION("""COMPUTED_VALUE"""),"06 ORL")</f>
        <v>06 ORL</v>
      </c>
      <c r="O1684" s="6" t="str">
        <f ca="1">IFERROR(__xludf.DUMMYFUNCTION("""COMPUTED_VALUE"""),"Dr, Carlos Miguel Salvador Martínez")</f>
        <v>Dr, Carlos Miguel Salvador Martínez</v>
      </c>
      <c r="P1684" s="6" t="str">
        <f ca="1">IFERROR(__xludf.DUMMYFUNCTION("""COMPUTED_VALUE"""),"Alberto Moreno (Madrid)")</f>
        <v>Alberto Moreno (Madrid)</v>
      </c>
    </row>
    <row r="1685" spans="2:16">
      <c r="B1685" s="6">
        <f ca="1">IFERROR(__xludf.DUMMYFUNCTION("""COMPUTED_VALUE"""),2025)</f>
        <v>2025</v>
      </c>
      <c r="C1685" s="6">
        <f ca="1">IFERROR(__xludf.DUMMYFUNCTION("""COMPUTED_VALUE"""),12)</f>
        <v>12</v>
      </c>
      <c r="D1685" s="6" t="str">
        <f ca="1">IFERROR(__xludf.DUMMYFUNCTION("""COMPUTED_VALUE"""),"NO")</f>
        <v>NO</v>
      </c>
      <c r="E1685" s="6" t="str">
        <f ca="1">IFERROR(__xludf.DUMMYFUNCTION("""COMPUTED_VALUE"""),"Jerez de la Frontera")</f>
        <v>Jerez de la Frontera</v>
      </c>
      <c r="F1685" s="16">
        <f ca="1">IFERROR(__xludf.DUMMYFUNCTION("""COMPUTED_VALUE"""),46013)</f>
        <v>46013</v>
      </c>
      <c r="G1685" s="16">
        <f ca="1">IFERROR(__xludf.DUMMYFUNCTION("""COMPUTED_VALUE"""),45980)</f>
        <v>45980</v>
      </c>
      <c r="H1685" s="6" t="str">
        <f ca="1">IFERROR(__xludf.DUMMYFUNCTION("""COMPUTED_VALUE"""),"Jerez")</f>
        <v>Jerez</v>
      </c>
      <c r="I1685" s="6" t="str">
        <f ca="1">IFERROR(__xludf.DUMMYFUNCTION("""COMPUTED_VALUE"""),"C202511191014344161")</f>
        <v>C202511191014344161</v>
      </c>
      <c r="J1685" s="6" t="str">
        <f ca="1">IFERROR(__xludf.DUMMYFUNCTION("""COMPUTED_VALUE"""),"DEBORA PINTEÑO ORTEGA")</f>
        <v>DEBORA PINTEÑO ORTEGA</v>
      </c>
      <c r="K1685" s="6">
        <f ca="1">IFERROR(__xludf.DUMMYFUNCTION("""COMPUTED_VALUE"""),2)</f>
        <v>2</v>
      </c>
      <c r="L1685" s="139">
        <f ca="1">IFERROR(__xludf.DUMMYFUNCTION("""COMPUTED_VALUE"""),4136.36)</f>
        <v>4136.3599999999997</v>
      </c>
      <c r="M1685" s="6" t="str">
        <f ca="1">IFERROR(__xludf.DUMMYFUNCTION("""COMPUTED_VALUE"""),"03 ORL")</f>
        <v>03 ORL</v>
      </c>
      <c r="N1685" s="6" t="str">
        <f ca="1">IFERROR(__xludf.DUMMYFUNCTION("""COMPUTED_VALUE"""),"06 ORL")</f>
        <v>06 ORL</v>
      </c>
      <c r="O1685" s="6" t="str">
        <f ca="1">IFERROR(__xludf.DUMMYFUNCTION("""COMPUTED_VALUE"""),"Dra, Maria Del Carmen Salom Coveñas")</f>
        <v>Dra, Maria Del Carmen Salom Coveñas</v>
      </c>
      <c r="P1685" s="6" t="str">
        <f ca="1">IFERROR(__xludf.DUMMYFUNCTION("""COMPUTED_VALUE"""),"Luis Alberto Rodríguez (Andalucía y Badajoz)")</f>
        <v>Luis Alberto Rodríguez (Andalucía y Badajoz)</v>
      </c>
    </row>
    <row r="1686" spans="2:16">
      <c r="B1686" s="6">
        <f ca="1">IFERROR(__xludf.DUMMYFUNCTION("""COMPUTED_VALUE"""),2025)</f>
        <v>2025</v>
      </c>
      <c r="C1686" s="6">
        <f ca="1">IFERROR(__xludf.DUMMYFUNCTION("""COMPUTED_VALUE"""),12)</f>
        <v>12</v>
      </c>
      <c r="D1686" s="6" t="str">
        <f ca="1">IFERROR(__xludf.DUMMYFUNCTION("""COMPUTED_VALUE"""),"NO")</f>
        <v>NO</v>
      </c>
      <c r="E1686" s="6" t="str">
        <f ca="1">IFERROR(__xludf.DUMMYFUNCTION("""COMPUTED_VALUE"""),"Ourense")</f>
        <v>Ourense</v>
      </c>
      <c r="F1686" s="16">
        <f ca="1">IFERROR(__xludf.DUMMYFUNCTION("""COMPUTED_VALUE"""),46013)</f>
        <v>46013</v>
      </c>
      <c r="G1686" s="16">
        <f ca="1">IFERROR(__xludf.DUMMYFUNCTION("""COMPUTED_VALUE"""),45978)</f>
        <v>45978</v>
      </c>
      <c r="H1686" s="6" t="str">
        <f ca="1">IFERROR(__xludf.DUMMYFUNCTION("""COMPUTED_VALUE"""),"Orense")</f>
        <v>Orense</v>
      </c>
      <c r="I1686" s="6" t="str">
        <f ca="1">IFERROR(__xludf.DUMMYFUNCTION("""COMPUTED_VALUE"""),"C202511171184946055")</f>
        <v>C202511171184946055</v>
      </c>
      <c r="J1686" s="6" t="str">
        <f ca="1">IFERROR(__xludf.DUMMYFUNCTION("""COMPUTED_VALUE"""),"MARIA LUISA GARRIDO PRIETO")</f>
        <v>MARIA LUISA GARRIDO PRIETO</v>
      </c>
      <c r="K1686" s="6">
        <f ca="1">IFERROR(__xludf.DUMMYFUNCTION("""COMPUTED_VALUE"""),2)</f>
        <v>2</v>
      </c>
      <c r="L1686" s="139">
        <f ca="1">IFERROR(__xludf.DUMMYFUNCTION("""COMPUTED_VALUE"""),3450)</f>
        <v>3450</v>
      </c>
      <c r="M1686" s="6" t="str">
        <f ca="1">IFERROR(__xludf.DUMMYFUNCTION("""COMPUTED_VALUE"""),"03 ORL")</f>
        <v>03 ORL</v>
      </c>
      <c r="N1686" s="6" t="str">
        <f ca="1">IFERROR(__xludf.DUMMYFUNCTION("""COMPUTED_VALUE"""),"06 ORL")</f>
        <v>06 ORL</v>
      </c>
      <c r="O1686" s="6" t="str">
        <f ca="1">IFERROR(__xludf.DUMMYFUNCTION("""COMPUTED_VALUE"""),"Dra, María Rey Marcos")</f>
        <v>Dra, María Rey Marcos</v>
      </c>
      <c r="P1686" s="6" t="str">
        <f ca="1">IFERROR(__xludf.DUMMYFUNCTION("""COMPUTED_VALUE"""),"Roberto Pereira (Galicia)")</f>
        <v>Roberto Pereira (Galicia)</v>
      </c>
    </row>
    <row r="1687" spans="2:16">
      <c r="B1687" s="6">
        <f ca="1">IFERROR(__xludf.DUMMYFUNCTION("""COMPUTED_VALUE"""),2025)</f>
        <v>2025</v>
      </c>
      <c r="C1687" s="6">
        <f ca="1">IFERROR(__xludf.DUMMYFUNCTION("""COMPUTED_VALUE"""),12)</f>
        <v>12</v>
      </c>
      <c r="D1687" s="6" t="str">
        <f ca="1">IFERROR(__xludf.DUMMYFUNCTION("""COMPUTED_VALUE"""),"NO")</f>
        <v>NO</v>
      </c>
      <c r="E1687" s="6" t="str">
        <f ca="1">IFERROR(__xludf.DUMMYFUNCTION("""COMPUTED_VALUE"""),"Alicante")</f>
        <v>Alicante</v>
      </c>
      <c r="F1687" s="16">
        <f ca="1">IFERROR(__xludf.DUMMYFUNCTION("""COMPUTED_VALUE"""),46013)</f>
        <v>46013</v>
      </c>
      <c r="G1687" s="16">
        <f ca="1">IFERROR(__xludf.DUMMYFUNCTION("""COMPUTED_VALUE"""),45985)</f>
        <v>45985</v>
      </c>
      <c r="H1687" s="6" t="str">
        <f ca="1">IFERROR(__xludf.DUMMYFUNCTION("""COMPUTED_VALUE"""),"Alicante")</f>
        <v>Alicante</v>
      </c>
      <c r="I1687" s="6" t="str">
        <f ca="1">IFERROR(__xludf.DUMMYFUNCTION("""COMPUTED_VALUE"""),"C202511241521418500")</f>
        <v>C202511241521418500</v>
      </c>
      <c r="J1687" s="6" t="str">
        <f ca="1">IFERROR(__xludf.DUMMYFUNCTION("""COMPUTED_VALUE"""),"EMILIO GARCIA SABOSIL")</f>
        <v>EMILIO GARCIA SABOSIL</v>
      </c>
      <c r="K1687" s="6">
        <f ca="1">IFERROR(__xludf.DUMMYFUNCTION("""COMPUTED_VALUE"""),1)</f>
        <v>1</v>
      </c>
      <c r="L1687" s="139">
        <f ca="1">IFERROR(__xludf.DUMMYFUNCTION("""COMPUTED_VALUE"""),1631.82)</f>
        <v>1631.82</v>
      </c>
      <c r="M1687" s="6" t="str">
        <f ca="1">IFERROR(__xludf.DUMMYFUNCTION("""COMPUTED_VALUE"""),"03 ORL")</f>
        <v>03 ORL</v>
      </c>
      <c r="N1687" s="6" t="str">
        <f ca="1">IFERROR(__xludf.DUMMYFUNCTION("""COMPUTED_VALUE"""),"06 ORL")</f>
        <v>06 ORL</v>
      </c>
      <c r="O1687" s="6" t="str">
        <f ca="1">IFERROR(__xludf.DUMMYFUNCTION("""COMPUTED_VALUE"""),"Dr, Guillermo Severá Ferrandiz")</f>
        <v>Dr, Guillermo Severá Ferrandiz</v>
      </c>
      <c r="P1687" s="6" t="str">
        <f ca="1">IFERROR(__xludf.DUMMYFUNCTION("""COMPUTED_VALUE"""),"Iván Sánchez (Levante Y Albacete)")</f>
        <v>Iván Sánchez (Levante Y Albacete)</v>
      </c>
    </row>
    <row r="1688" spans="2:16">
      <c r="B1688" s="6">
        <f ca="1">IFERROR(__xludf.DUMMYFUNCTION("""COMPUTED_VALUE"""),2025)</f>
        <v>2025</v>
      </c>
      <c r="C1688" s="6">
        <f ca="1">IFERROR(__xludf.DUMMYFUNCTION("""COMPUTED_VALUE"""),12)</f>
        <v>12</v>
      </c>
      <c r="D1688" s="6" t="str">
        <f ca="1">IFERROR(__xludf.DUMMYFUNCTION("""COMPUTED_VALUE"""),"NO")</f>
        <v>NO</v>
      </c>
      <c r="E1688" s="6" t="str">
        <f ca="1">IFERROR(__xludf.DUMMYFUNCTION("""COMPUTED_VALUE"""),"Logroño")</f>
        <v>Logroño</v>
      </c>
      <c r="F1688" s="16">
        <f ca="1">IFERROR(__xludf.DUMMYFUNCTION("""COMPUTED_VALUE"""),46013)</f>
        <v>46013</v>
      </c>
      <c r="G1688" s="16">
        <f ca="1">IFERROR(__xludf.DUMMYFUNCTION("""COMPUTED_VALUE"""),45951)</f>
        <v>45951</v>
      </c>
      <c r="H1688" s="6" t="str">
        <f ca="1">IFERROR(__xludf.DUMMYFUNCTION("""COMPUTED_VALUE"""),"Logroño")</f>
        <v>Logroño</v>
      </c>
      <c r="I1688" s="6" t="str">
        <f ca="1">IFERROR(__xludf.DUMMYFUNCTION("""COMPUTED_VALUE"""),"C202510211018174929")</f>
        <v>C202510211018174929</v>
      </c>
      <c r="J1688" s="6" t="str">
        <f ca="1">IFERROR(__xludf.DUMMYFUNCTION("""COMPUTED_VALUE"""),"ENRIQUE OYAGA SERRANO")</f>
        <v>ENRIQUE OYAGA SERRANO</v>
      </c>
      <c r="K1688" s="6">
        <f ca="1">IFERROR(__xludf.DUMMYFUNCTION("""COMPUTED_VALUE"""),2)</f>
        <v>2</v>
      </c>
      <c r="L1688" s="139">
        <f ca="1">IFERROR(__xludf.DUMMYFUNCTION("""COMPUTED_VALUE"""),3631.82)</f>
        <v>3631.82</v>
      </c>
      <c r="M1688" s="6" t="str">
        <f ca="1">IFERROR(__xludf.DUMMYFUNCTION("""COMPUTED_VALUE"""),"03 ORL")</f>
        <v>03 ORL</v>
      </c>
      <c r="N1688" s="6" t="str">
        <f ca="1">IFERROR(__xludf.DUMMYFUNCTION("""COMPUTED_VALUE"""),"06 ORL")</f>
        <v>06 ORL</v>
      </c>
      <c r="O1688" s="6" t="str">
        <f ca="1">IFERROR(__xludf.DUMMYFUNCTION("""COMPUTED_VALUE"""),"Dr, Garikoitz Calzada Uriondo")</f>
        <v>Dr, Garikoitz Calzada Uriondo</v>
      </c>
      <c r="P1688" s="6" t="str">
        <f ca="1">IFERROR(__xludf.DUMMYFUNCTION("""COMPUTED_VALUE"""),"Lisandro Russian (Madrid, Cáceres, Toledo, Talavera Y Logroño)")</f>
        <v>Lisandro Russian (Madrid, Cáceres, Toledo, Talavera Y Logroño)</v>
      </c>
    </row>
    <row r="1689" spans="2:16">
      <c r="B1689" s="6">
        <f ca="1">IFERROR(__xludf.DUMMYFUNCTION("""COMPUTED_VALUE"""),2025)</f>
        <v>2025</v>
      </c>
      <c r="C1689" s="6">
        <f ca="1">IFERROR(__xludf.DUMMYFUNCTION("""COMPUTED_VALUE"""),12)</f>
        <v>12</v>
      </c>
      <c r="D1689" s="6" t="str">
        <f ca="1">IFERROR(__xludf.DUMMYFUNCTION("""COMPUTED_VALUE"""),"NO")</f>
        <v>NO</v>
      </c>
      <c r="E1689" s="6" t="str">
        <f ca="1">IFERROR(__xludf.DUMMYFUNCTION("""COMPUTED_VALUE"""),"Murcia")</f>
        <v>Murcia</v>
      </c>
      <c r="F1689" s="16">
        <f ca="1">IFERROR(__xludf.DUMMYFUNCTION("""COMPUTED_VALUE"""),46013)</f>
        <v>46013</v>
      </c>
      <c r="G1689" s="16">
        <f ca="1">IFERROR(__xludf.DUMMYFUNCTION("""COMPUTED_VALUE"""),45966)</f>
        <v>45966</v>
      </c>
      <c r="H1689" s="6" t="str">
        <f ca="1">IFERROR(__xludf.DUMMYFUNCTION("""COMPUTED_VALUE"""),"Murcia")</f>
        <v>Murcia</v>
      </c>
      <c r="I1689" s="6" t="str">
        <f ca="1">IFERROR(__xludf.DUMMYFUNCTION("""COMPUTED_VALUE"""),"C202511517254180811")</f>
        <v>C202511517254180811</v>
      </c>
      <c r="J1689" s="6" t="str">
        <f ca="1">IFERROR(__xludf.DUMMYFUNCTION("""COMPUTED_VALUE"""),"JOSEFA HERRERO ORTIGOSA")</f>
        <v>JOSEFA HERRERO ORTIGOSA</v>
      </c>
      <c r="K1689" s="6">
        <f ca="1">IFERROR(__xludf.DUMMYFUNCTION("""COMPUTED_VALUE"""),1)</f>
        <v>1</v>
      </c>
      <c r="L1689" s="139">
        <f ca="1">IFERROR(__xludf.DUMMYFUNCTION("""COMPUTED_VALUE"""),1983.64)</f>
        <v>1983.64</v>
      </c>
      <c r="M1689" s="6" t="str">
        <f ca="1">IFERROR(__xludf.DUMMYFUNCTION("""COMPUTED_VALUE"""),"03 ORL")</f>
        <v>03 ORL</v>
      </c>
      <c r="N1689" s="6" t="str">
        <f ca="1">IFERROR(__xludf.DUMMYFUNCTION("""COMPUTED_VALUE"""),"06 ORL")</f>
        <v>06 ORL</v>
      </c>
      <c r="O1689" s="6" t="str">
        <f ca="1">IFERROR(__xludf.DUMMYFUNCTION("""COMPUTED_VALUE"""),"Dr, Alejandro Harguindey Antoli-Candela")</f>
        <v>Dr, Alejandro Harguindey Antoli-Candela</v>
      </c>
      <c r="P1689" s="6" t="str">
        <f ca="1">IFERROR(__xludf.DUMMYFUNCTION("""COMPUTED_VALUE"""),"Maika Blázquez (Madrid)")</f>
        <v>Maika Blázquez (Madrid)</v>
      </c>
    </row>
    <row r="1690" spans="2:16">
      <c r="B1690" s="6">
        <f ca="1">IFERROR(__xludf.DUMMYFUNCTION("""COMPUTED_VALUE"""),2025)</f>
        <v>2025</v>
      </c>
      <c r="C1690" s="6">
        <f ca="1">IFERROR(__xludf.DUMMYFUNCTION("""COMPUTED_VALUE"""),12)</f>
        <v>12</v>
      </c>
      <c r="D1690" s="6" t="str">
        <f ca="1">IFERROR(__xludf.DUMMYFUNCTION("""COMPUTED_VALUE"""),"NO")</f>
        <v>NO</v>
      </c>
      <c r="E1690" s="6" t="str">
        <f ca="1">IFERROR(__xludf.DUMMYFUNCTION("""COMPUTED_VALUE"""),"Salamanca")</f>
        <v>Salamanca</v>
      </c>
      <c r="F1690" s="16">
        <f ca="1">IFERROR(__xludf.DUMMYFUNCTION("""COMPUTED_VALUE"""),46013)</f>
        <v>46013</v>
      </c>
      <c r="G1690" s="16">
        <f ca="1">IFERROR(__xludf.DUMMYFUNCTION("""COMPUTED_VALUE"""),45975)</f>
        <v>45975</v>
      </c>
      <c r="H1690" s="6" t="str">
        <f ca="1">IFERROR(__xludf.DUMMYFUNCTION("""COMPUTED_VALUE"""),"Salamanca")</f>
        <v>Salamanca</v>
      </c>
      <c r="I1690" s="6" t="str">
        <f ca="1">IFERROR(__xludf.DUMMYFUNCTION("""COMPUTED_VALUE"""),"SLM-659")</f>
        <v>SLM-659</v>
      </c>
      <c r="J1690" s="6" t="str">
        <f ca="1">IFERROR(__xludf.DUMMYFUNCTION("""COMPUTED_VALUE"""),"MARIA DE LOS ANGELES AMIGO ROMERO")</f>
        <v>MARIA DE LOS ANGELES AMIGO ROMERO</v>
      </c>
      <c r="K1690" s="6">
        <f ca="1">IFERROR(__xludf.DUMMYFUNCTION("""COMPUTED_VALUE"""),2)</f>
        <v>2</v>
      </c>
      <c r="L1690" s="139">
        <f ca="1">IFERROR(__xludf.DUMMYFUNCTION("""COMPUTED_VALUE"""),2974.55)</f>
        <v>2974.55</v>
      </c>
      <c r="M1690" s="6" t="str">
        <f ca="1">IFERROR(__xludf.DUMMYFUNCTION("""COMPUTED_VALUE"""),"01 MARKETING ON LINE")</f>
        <v>01 MARKETING ON LINE</v>
      </c>
      <c r="N1690" s="6" t="str">
        <f ca="1">IFERROR(__xludf.DUMMYFUNCTION("""COMPUTED_VALUE"""),"01 WEB AUDICOST")</f>
        <v>01 WEB AUDICOST</v>
      </c>
      <c r="O1690" s="6" t="str">
        <f ca="1">IFERROR(__xludf.DUMMYFUNCTION("""COMPUTED_VALUE"""),"WEB RAQUEL GARCÍA")</f>
        <v>WEB RAQUEL GARCÍA</v>
      </c>
      <c r="P1690" s="6"/>
    </row>
    <row r="1691" spans="2:16">
      <c r="B1691" s="6">
        <f ca="1">IFERROR(__xludf.DUMMYFUNCTION("""COMPUTED_VALUE"""),2025)</f>
        <v>2025</v>
      </c>
      <c r="C1691" s="6">
        <f ca="1">IFERROR(__xludf.DUMMYFUNCTION("""COMPUTED_VALUE"""),12)</f>
        <v>12</v>
      </c>
      <c r="D1691" s="6" t="str">
        <f ca="1">IFERROR(__xludf.DUMMYFUNCTION("""COMPUTED_VALUE"""),"NO")</f>
        <v>NO</v>
      </c>
      <c r="E1691" s="6" t="str">
        <f ca="1">IFERROR(__xludf.DUMMYFUNCTION("""COMPUTED_VALUE"""),"León")</f>
        <v>León</v>
      </c>
      <c r="F1691" s="16">
        <f ca="1">IFERROR(__xludf.DUMMYFUNCTION("""COMPUTED_VALUE"""),46014)</f>
        <v>46014</v>
      </c>
      <c r="G1691" s="16">
        <f ca="1">IFERROR(__xludf.DUMMYFUNCTION("""COMPUTED_VALUE"""),46014)</f>
        <v>46014</v>
      </c>
      <c r="H1691" s="6" t="str">
        <f ca="1">IFERROR(__xludf.DUMMYFUNCTION("""COMPUTED_VALUE"""),"León")</f>
        <v>León</v>
      </c>
      <c r="I1691" s="6" t="str">
        <f ca="1">IFERROR(__xludf.DUMMYFUNCTION("""COMPUTED_VALUE"""),"LEO-597")</f>
        <v>LEO-597</v>
      </c>
      <c r="J1691" s="6" t="str">
        <f ca="1">IFERROR(__xludf.DUMMYFUNCTION("""COMPUTED_VALUE"""),"JOSEFA GORGOJO BORBUJO")</f>
        <v>JOSEFA GORGOJO BORBUJO</v>
      </c>
      <c r="K1691" s="6">
        <f ca="1">IFERROR(__xludf.DUMMYFUNCTION("""COMPUTED_VALUE"""),2)</f>
        <v>2</v>
      </c>
      <c r="L1691" s="139">
        <f ca="1">IFERROR(__xludf.DUMMYFUNCTION("""COMPUTED_VALUE"""),4090.91)</f>
        <v>4090.91</v>
      </c>
      <c r="M1691" s="6" t="str">
        <f ca="1">IFERROR(__xludf.DUMMYFUNCTION("""COMPUTED_VALUE"""),"03 ORL")</f>
        <v>03 ORL</v>
      </c>
      <c r="N1691" s="6" t="str">
        <f ca="1">IFERROR(__xludf.DUMMYFUNCTION("""COMPUTED_VALUE"""),"06 ORL")</f>
        <v>06 ORL</v>
      </c>
      <c r="O1691" s="6" t="str">
        <f ca="1">IFERROR(__xludf.DUMMYFUNCTION("""COMPUTED_VALUE"""),"No Recuerda Orl")</f>
        <v>No Recuerda Orl</v>
      </c>
      <c r="P1691" s="6" t="str">
        <f ca="1">IFERROR(__xludf.DUMMYFUNCTION("""COMPUTED_VALUE"""),"Alberto Moreno (Madrid)")</f>
        <v>Alberto Moreno (Madrid)</v>
      </c>
    </row>
    <row r="1692" spans="2:16">
      <c r="B1692" s="6">
        <f ca="1">IFERROR(__xludf.DUMMYFUNCTION("""COMPUTED_VALUE"""),2025)</f>
        <v>2025</v>
      </c>
      <c r="C1692" s="6">
        <f ca="1">IFERROR(__xludf.DUMMYFUNCTION("""COMPUTED_VALUE"""),12)</f>
        <v>12</v>
      </c>
      <c r="D1692" s="6" t="str">
        <f ca="1">IFERROR(__xludf.DUMMYFUNCTION("""COMPUTED_VALUE"""),"NO")</f>
        <v>NO</v>
      </c>
      <c r="E1692" s="6" t="str">
        <f ca="1">IFERROR(__xludf.DUMMYFUNCTION("""COMPUTED_VALUE"""),"Jerez de la Frontera")</f>
        <v>Jerez de la Frontera</v>
      </c>
      <c r="F1692" s="16">
        <f ca="1">IFERROR(__xludf.DUMMYFUNCTION("""COMPUTED_VALUE"""),46014)</f>
        <v>46014</v>
      </c>
      <c r="G1692" s="16">
        <f ca="1">IFERROR(__xludf.DUMMYFUNCTION("""COMPUTED_VALUE"""),45992)</f>
        <v>45992</v>
      </c>
      <c r="H1692" s="6" t="str">
        <f ca="1">IFERROR(__xludf.DUMMYFUNCTION("""COMPUTED_VALUE"""),"Jerez")</f>
        <v>Jerez</v>
      </c>
      <c r="I1692" s="6" t="str">
        <f ca="1">IFERROR(__xludf.DUMMYFUNCTION("""COMPUTED_VALUE"""),"C202512116342917389")</f>
        <v>C202512116342917389</v>
      </c>
      <c r="J1692" s="6" t="str">
        <f ca="1">IFERROR(__xludf.DUMMYFUNCTION("""COMPUTED_VALUE"""),"JUAN MIGUEL  MORALES FRANCO")</f>
        <v>JUAN MIGUEL  MORALES FRANCO</v>
      </c>
      <c r="K1692" s="6">
        <f ca="1">IFERROR(__xludf.DUMMYFUNCTION("""COMPUTED_VALUE"""),2)</f>
        <v>2</v>
      </c>
      <c r="L1692" s="139">
        <f ca="1">IFERROR(__xludf.DUMMYFUNCTION("""COMPUTED_VALUE"""),2718.18)</f>
        <v>2718.18</v>
      </c>
      <c r="M1692" s="6" t="str">
        <f ca="1">IFERROR(__xludf.DUMMYFUNCTION("""COMPUTED_VALUE"""),"03 ORL")</f>
        <v>03 ORL</v>
      </c>
      <c r="N1692" s="6" t="str">
        <f ca="1">IFERROR(__xludf.DUMMYFUNCTION("""COMPUTED_VALUE"""),"06 ORL")</f>
        <v>06 ORL</v>
      </c>
      <c r="O1692" s="6" t="str">
        <f ca="1">IFERROR(__xludf.DUMMYFUNCTION("""COMPUTED_VALUE"""),"Dr, Guillermo Sierra Galera")</f>
        <v>Dr, Guillermo Sierra Galera</v>
      </c>
      <c r="P1692" s="6" t="str">
        <f ca="1">IFERROR(__xludf.DUMMYFUNCTION("""COMPUTED_VALUE"""),"Luis Alberto Rodríguez (Andalucía y Badajoz)")</f>
        <v>Luis Alberto Rodríguez (Andalucía y Badajoz)</v>
      </c>
    </row>
    <row r="1693" spans="2:16">
      <c r="B1693" s="6">
        <f ca="1">IFERROR(__xludf.DUMMYFUNCTION("""COMPUTED_VALUE"""),2025)</f>
        <v>2025</v>
      </c>
      <c r="C1693" s="6">
        <f ca="1">IFERROR(__xludf.DUMMYFUNCTION("""COMPUTED_VALUE"""),12)</f>
        <v>12</v>
      </c>
      <c r="D1693" s="6" t="str">
        <f ca="1">IFERROR(__xludf.DUMMYFUNCTION("""COMPUTED_VALUE"""),"NO")</f>
        <v>NO</v>
      </c>
      <c r="E1693" s="6" t="str">
        <f ca="1">IFERROR(__xludf.DUMMYFUNCTION("""COMPUTED_VALUE"""),"Alicante")</f>
        <v>Alicante</v>
      </c>
      <c r="F1693" s="16">
        <f ca="1">IFERROR(__xludf.DUMMYFUNCTION("""COMPUTED_VALUE"""),46014)</f>
        <v>46014</v>
      </c>
      <c r="G1693" s="16">
        <f ca="1">IFERROR(__xludf.DUMMYFUNCTION("""COMPUTED_VALUE"""),45979)</f>
        <v>45979</v>
      </c>
      <c r="H1693" s="6" t="str">
        <f ca="1">IFERROR(__xludf.DUMMYFUNCTION("""COMPUTED_VALUE"""),"Alicante")</f>
        <v>Alicante</v>
      </c>
      <c r="I1693" s="6" t="str">
        <f ca="1">IFERROR(__xludf.DUMMYFUNCTION("""COMPUTED_VALUE"""),"C202511181130106575")</f>
        <v>C202511181130106575</v>
      </c>
      <c r="J1693" s="6" t="str">
        <f ca="1">IFERROR(__xludf.DUMMYFUNCTION("""COMPUTED_VALUE"""),"YAIR RODRIGUEZ YANCI")</f>
        <v>YAIR RODRIGUEZ YANCI</v>
      </c>
      <c r="K1693" s="6">
        <f ca="1">IFERROR(__xludf.DUMMYFUNCTION("""COMPUTED_VALUE"""),2)</f>
        <v>2</v>
      </c>
      <c r="L1693" s="139">
        <f ca="1">IFERROR(__xludf.DUMMYFUNCTION("""COMPUTED_VALUE"""),4000.91)</f>
        <v>4000.91</v>
      </c>
      <c r="M1693" s="6" t="str">
        <f ca="1">IFERROR(__xludf.DUMMYFUNCTION("""COMPUTED_VALUE"""),"03 ORL")</f>
        <v>03 ORL</v>
      </c>
      <c r="N1693" s="6" t="str">
        <f ca="1">IFERROR(__xludf.DUMMYFUNCTION("""COMPUTED_VALUE"""),"06 ORL")</f>
        <v>06 ORL</v>
      </c>
      <c r="O1693" s="6" t="str">
        <f ca="1">IFERROR(__xludf.DUMMYFUNCTION("""COMPUTED_VALUE"""),"Dra, Maria Rosario Ferrandiz García")</f>
        <v>Dra, Maria Rosario Ferrandiz García</v>
      </c>
      <c r="P1693" s="6" t="str">
        <f ca="1">IFERROR(__xludf.DUMMYFUNCTION("""COMPUTED_VALUE"""),"Iván Sánchez (Levante Y Albacete)")</f>
        <v>Iván Sánchez (Levante Y Albacete)</v>
      </c>
    </row>
    <row r="1694" spans="2:16">
      <c r="B1694" s="6">
        <f ca="1">IFERROR(__xludf.DUMMYFUNCTION("""COMPUTED_VALUE"""),2025)</f>
        <v>2025</v>
      </c>
      <c r="C1694" s="6">
        <f ca="1">IFERROR(__xludf.DUMMYFUNCTION("""COMPUTED_VALUE"""),12)</f>
        <v>12</v>
      </c>
      <c r="D1694" s="6" t="str">
        <f ca="1">IFERROR(__xludf.DUMMYFUNCTION("""COMPUTED_VALUE"""),"NO")</f>
        <v>NO</v>
      </c>
      <c r="E1694" s="6" t="str">
        <f ca="1">IFERROR(__xludf.DUMMYFUNCTION("""COMPUTED_VALUE"""),"Ponferrada")</f>
        <v>Ponferrada</v>
      </c>
      <c r="F1694" s="16">
        <f ca="1">IFERROR(__xludf.DUMMYFUNCTION("""COMPUTED_VALUE"""),46014)</f>
        <v>46014</v>
      </c>
      <c r="G1694" s="16">
        <f ca="1">IFERROR(__xludf.DUMMYFUNCTION("""COMPUTED_VALUE"""),45873)</f>
        <v>45873</v>
      </c>
      <c r="H1694" s="6" t="str">
        <f ca="1">IFERROR(__xludf.DUMMYFUNCTION("""COMPUTED_VALUE"""),"Ponferrada")</f>
        <v>Ponferrada</v>
      </c>
      <c r="I1694" s="6" t="str">
        <f ca="1">IFERROR(__xludf.DUMMYFUNCTION("""COMPUTED_VALUE"""),"PON-962")</f>
        <v>PON-962</v>
      </c>
      <c r="J1694" s="6" t="str">
        <f ca="1">IFERROR(__xludf.DUMMYFUNCTION("""COMPUTED_VALUE"""),"ELENA BELLO RAMOS")</f>
        <v>ELENA BELLO RAMOS</v>
      </c>
      <c r="K1694" s="6">
        <f ca="1">IFERROR(__xludf.DUMMYFUNCTION("""COMPUTED_VALUE"""),2)</f>
        <v>2</v>
      </c>
      <c r="L1694" s="139">
        <f ca="1">IFERROR(__xludf.DUMMYFUNCTION("""COMPUTED_VALUE"""),1923.08)</f>
        <v>1923.08</v>
      </c>
      <c r="M1694" s="6" t="str">
        <f ca="1">IFERROR(__xludf.DUMMYFUNCTION("""COMPUTED_VALUE"""),"03 ORL")</f>
        <v>03 ORL</v>
      </c>
      <c r="N1694" s="6" t="str">
        <f ca="1">IFERROR(__xludf.DUMMYFUNCTION("""COMPUTED_VALUE"""),"06 ORL")</f>
        <v>06 ORL</v>
      </c>
      <c r="O1694" s="6" t="str">
        <f ca="1">IFERROR(__xludf.DUMMYFUNCTION("""COMPUTED_VALUE"""),"No recuerda ORL")</f>
        <v>No recuerda ORL</v>
      </c>
      <c r="P1694" s="6" t="str">
        <f ca="1">IFERROR(__xludf.DUMMYFUNCTION("""COMPUTED_VALUE"""),"Alberto Moreno (Madrid)")</f>
        <v>Alberto Moreno (Madrid)</v>
      </c>
    </row>
    <row r="1695" spans="2:16">
      <c r="B1695" s="6">
        <f ca="1">IFERROR(__xludf.DUMMYFUNCTION("""COMPUTED_VALUE"""),2025)</f>
        <v>2025</v>
      </c>
      <c r="C1695" s="6">
        <f ca="1">IFERROR(__xludf.DUMMYFUNCTION("""COMPUTED_VALUE"""),12)</f>
        <v>12</v>
      </c>
      <c r="D1695" s="6" t="str">
        <f ca="1">IFERROR(__xludf.DUMMYFUNCTION("""COMPUTED_VALUE"""),"NO")</f>
        <v>NO</v>
      </c>
      <c r="E1695" s="6" t="str">
        <f ca="1">IFERROR(__xludf.DUMMYFUNCTION("""COMPUTED_VALUE"""),"Madrid- Moratalaz")</f>
        <v>Madrid- Moratalaz</v>
      </c>
      <c r="F1695" s="16">
        <f ca="1">IFERROR(__xludf.DUMMYFUNCTION("""COMPUTED_VALUE"""),46014)</f>
        <v>46014</v>
      </c>
      <c r="G1695" s="16">
        <f ca="1">IFERROR(__xludf.DUMMYFUNCTION("""COMPUTED_VALUE"""),45992)</f>
        <v>45992</v>
      </c>
      <c r="H1695" s="6" t="str">
        <f ca="1">IFERROR(__xludf.DUMMYFUNCTION("""COMPUTED_VALUE"""),"Moratalaz")</f>
        <v>Moratalaz</v>
      </c>
      <c r="I1695" s="6" t="str">
        <f ca="1">IFERROR(__xludf.DUMMYFUNCTION("""COMPUTED_VALUE"""),"C202512111279187347")</f>
        <v>C202512111279187347</v>
      </c>
      <c r="J1695" s="6" t="str">
        <f ca="1">IFERROR(__xludf.DUMMYFUNCTION("""COMPUTED_VALUE"""),"CARLOS HUMBERTO CALDERON JAVE")</f>
        <v>CARLOS HUMBERTO CALDERON JAVE</v>
      </c>
      <c r="K1695" s="6">
        <f ca="1">IFERROR(__xludf.DUMMYFUNCTION("""COMPUTED_VALUE"""),1)</f>
        <v>1</v>
      </c>
      <c r="L1695" s="139">
        <f ca="1">IFERROR(__xludf.DUMMYFUNCTION("""COMPUTED_VALUE"""),2722.73)</f>
        <v>2722.73</v>
      </c>
      <c r="M1695" s="6" t="str">
        <f ca="1">IFERROR(__xludf.DUMMYFUNCTION("""COMPUTED_VALUE"""),"03 ORL")</f>
        <v>03 ORL</v>
      </c>
      <c r="N1695" s="6" t="str">
        <f ca="1">IFERROR(__xludf.DUMMYFUNCTION("""COMPUTED_VALUE"""),"06 ORL")</f>
        <v>06 ORL</v>
      </c>
      <c r="O1695" s="6" t="str">
        <f ca="1">IFERROR(__xludf.DUMMYFUNCTION("""COMPUTED_VALUE"""),"Dr, Ignacio Aristegui Torrano")</f>
        <v>Dr, Ignacio Aristegui Torrano</v>
      </c>
      <c r="P1695" s="6" t="str">
        <f ca="1">IFERROR(__xludf.DUMMYFUNCTION("""COMPUTED_VALUE"""),"Maika Blázquez (Madrid)")</f>
        <v>Maika Blázquez (Madrid)</v>
      </c>
    </row>
    <row r="1696" spans="2:16">
      <c r="B1696" s="6">
        <f ca="1">IFERROR(__xludf.DUMMYFUNCTION("""COMPUTED_VALUE"""),2025)</f>
        <v>2025</v>
      </c>
      <c r="C1696" s="6">
        <f ca="1">IFERROR(__xludf.DUMMYFUNCTION("""COMPUTED_VALUE"""),12)</f>
        <v>12</v>
      </c>
      <c r="D1696" s="6" t="str">
        <f ca="1">IFERROR(__xludf.DUMMYFUNCTION("""COMPUTED_VALUE"""),"NO")</f>
        <v>NO</v>
      </c>
      <c r="E1696" s="6" t="str">
        <f ca="1">IFERROR(__xludf.DUMMYFUNCTION("""COMPUTED_VALUE"""),"Albacete")</f>
        <v>Albacete</v>
      </c>
      <c r="F1696" s="16">
        <f ca="1">IFERROR(__xludf.DUMMYFUNCTION("""COMPUTED_VALUE"""),46014)</f>
        <v>46014</v>
      </c>
      <c r="G1696" s="16">
        <f ca="1">IFERROR(__xludf.DUMMYFUNCTION("""COMPUTED_VALUE"""),45980)</f>
        <v>45980</v>
      </c>
      <c r="H1696" s="6" t="str">
        <f ca="1">IFERROR(__xludf.DUMMYFUNCTION("""COMPUTED_VALUE"""),"Albacete")</f>
        <v>Albacete</v>
      </c>
      <c r="I1696" s="6" t="str">
        <f ca="1">IFERROR(__xludf.DUMMYFUNCTION("""COMPUTED_VALUE"""),"C202511191128215519")</f>
        <v>C202511191128215519</v>
      </c>
      <c r="J1696" s="6" t="str">
        <f ca="1">IFERROR(__xludf.DUMMYFUNCTION("""COMPUTED_VALUE"""),"ANTONIO PUERTA BERNAD")</f>
        <v>ANTONIO PUERTA BERNAD</v>
      </c>
      <c r="K1696" s="6">
        <f ca="1">IFERROR(__xludf.DUMMYFUNCTION("""COMPUTED_VALUE"""),2)</f>
        <v>2</v>
      </c>
      <c r="L1696" s="139">
        <f ca="1">IFERROR(__xludf.DUMMYFUNCTION("""COMPUTED_VALUE"""),3631.82)</f>
        <v>3631.82</v>
      </c>
      <c r="M1696" s="6" t="str">
        <f ca="1">IFERROR(__xludf.DUMMYFUNCTION("""COMPUTED_VALUE"""),"04 TIENDA")</f>
        <v>04 TIENDA</v>
      </c>
      <c r="N1696" s="6" t="str">
        <f ca="1">IFERROR(__xludf.DUMMYFUNCTION("""COMPUTED_VALUE"""),"07 BOCA/BOCA")</f>
        <v>07 BOCA/BOCA</v>
      </c>
      <c r="O1696" s="6" t="str">
        <f ca="1">IFERROR(__xludf.DUMMYFUNCTION("""COMPUTED_VALUE"""),"Dra, Alejandra Jara Maquilón")</f>
        <v>Dra, Alejandra Jara Maquilón</v>
      </c>
      <c r="P1696" s="6" t="str">
        <f ca="1">IFERROR(__xludf.DUMMYFUNCTION("""COMPUTED_VALUE"""),"Iván Sánchez (Levante Y Albacete)")</f>
        <v>Iván Sánchez (Levante Y Albacete)</v>
      </c>
    </row>
    <row r="1697" spans="2:16">
      <c r="B1697" s="6">
        <f ca="1">IFERROR(__xludf.DUMMYFUNCTION("""COMPUTED_VALUE"""),2025)</f>
        <v>2025</v>
      </c>
      <c r="C1697" s="6">
        <f ca="1">IFERROR(__xludf.DUMMYFUNCTION("""COMPUTED_VALUE"""),12)</f>
        <v>12</v>
      </c>
      <c r="D1697" s="6" t="str">
        <f ca="1">IFERROR(__xludf.DUMMYFUNCTION("""COMPUTED_VALUE"""),"SI")</f>
        <v>SI</v>
      </c>
      <c r="E1697" s="6" t="str">
        <f ca="1">IFERROR(__xludf.DUMMYFUNCTION("""COMPUTED_VALUE"""),"Logroño")</f>
        <v>Logroño</v>
      </c>
      <c r="F1697" s="16">
        <f ca="1">IFERROR(__xludf.DUMMYFUNCTION("""COMPUTED_VALUE"""),46014)</f>
        <v>46014</v>
      </c>
      <c r="G1697" s="16">
        <f ca="1">IFERROR(__xludf.DUMMYFUNCTION("""COMPUTED_VALUE"""),45978)</f>
        <v>45978</v>
      </c>
      <c r="H1697" s="6" t="str">
        <f ca="1">IFERROR(__xludf.DUMMYFUNCTION("""COMPUTED_VALUE"""),"Logroño")</f>
        <v>Logroño</v>
      </c>
      <c r="I1697" s="6" t="str">
        <f ca="1">IFERROR(__xludf.DUMMYFUNCTION("""COMPUTED_VALUE"""),"C202511171085228584")</f>
        <v>C202511171085228584</v>
      </c>
      <c r="J1697" s="6" t="str">
        <f ca="1">IFERROR(__xludf.DUMMYFUNCTION("""COMPUTED_VALUE"""),"ANGELA VAL AUSEJO")</f>
        <v>ANGELA VAL AUSEJO</v>
      </c>
      <c r="K1697" s="6">
        <f ca="1">IFERROR(__xludf.DUMMYFUNCTION("""COMPUTED_VALUE"""),2)</f>
        <v>2</v>
      </c>
      <c r="L1697" s="139">
        <f ca="1">IFERROR(__xludf.DUMMYFUNCTION("""COMPUTED_VALUE"""),4309.55)</f>
        <v>4309.55</v>
      </c>
      <c r="M1697" s="6" t="str">
        <f ca="1">IFERROR(__xludf.DUMMYFUNCTION("""COMPUTED_VALUE"""),"03 ORL")</f>
        <v>03 ORL</v>
      </c>
      <c r="N1697" s="6" t="str">
        <f ca="1">IFERROR(__xludf.DUMMYFUNCTION("""COMPUTED_VALUE"""),"06 ORL")</f>
        <v>06 ORL</v>
      </c>
      <c r="O1697" s="6" t="str">
        <f ca="1">IFERROR(__xludf.DUMMYFUNCTION("""COMPUTED_VALUE"""),"Dr, Fernando Salazar Barcelona")</f>
        <v>Dr, Fernando Salazar Barcelona</v>
      </c>
      <c r="P1697" s="6" t="str">
        <f ca="1">IFERROR(__xludf.DUMMYFUNCTION("""COMPUTED_VALUE"""),"Lisandro Russian (Madrid, Cáceres, Toledo, Talavera Y Logroño)")</f>
        <v>Lisandro Russian (Madrid, Cáceres, Toledo, Talavera Y Logroño)</v>
      </c>
    </row>
    <row r="1698" spans="2:16">
      <c r="B1698" s="6">
        <f ca="1">IFERROR(__xludf.DUMMYFUNCTION("""COMPUTED_VALUE"""),2025)</f>
        <v>2025</v>
      </c>
      <c r="C1698" s="6">
        <f ca="1">IFERROR(__xludf.DUMMYFUNCTION("""COMPUTED_VALUE"""),12)</f>
        <v>12</v>
      </c>
      <c r="D1698" s="6" t="str">
        <f ca="1">IFERROR(__xludf.DUMMYFUNCTION("""COMPUTED_VALUE"""),"NO")</f>
        <v>NO</v>
      </c>
      <c r="E1698" s="6" t="str">
        <f ca="1">IFERROR(__xludf.DUMMYFUNCTION("""COMPUTED_VALUE"""),"Ponferrada")</f>
        <v>Ponferrada</v>
      </c>
      <c r="F1698" s="16">
        <f ca="1">IFERROR(__xludf.DUMMYFUNCTION("""COMPUTED_VALUE"""),46014)</f>
        <v>46014</v>
      </c>
      <c r="G1698" s="16">
        <f ca="1">IFERROR(__xludf.DUMMYFUNCTION("""COMPUTED_VALUE"""),45902)</f>
        <v>45902</v>
      </c>
      <c r="H1698" s="6" t="str">
        <f ca="1">IFERROR(__xludf.DUMMYFUNCTION("""COMPUTED_VALUE"""),"Ponferrada")</f>
        <v>Ponferrada</v>
      </c>
      <c r="I1698" s="6" t="str">
        <f ca="1">IFERROR(__xludf.DUMMYFUNCTION("""COMPUTED_VALUE"""),"PON-978")</f>
        <v>PON-978</v>
      </c>
      <c r="J1698" s="6" t="str">
        <f ca="1">IFERROR(__xludf.DUMMYFUNCTION("""COMPUTED_VALUE"""),"JUAN NORBERTO REIMONDEZ DIAZ QUIJANO")</f>
        <v>JUAN NORBERTO REIMONDEZ DIAZ QUIJANO</v>
      </c>
      <c r="K1698" s="6">
        <f ca="1">IFERROR(__xludf.DUMMYFUNCTION("""COMPUTED_VALUE"""),2)</f>
        <v>2</v>
      </c>
      <c r="L1698" s="139">
        <f ca="1">IFERROR(__xludf.DUMMYFUNCTION("""COMPUTED_VALUE"""),3545.45)</f>
        <v>3545.45</v>
      </c>
      <c r="M1698" s="6" t="str">
        <f ca="1">IFERROR(__xludf.DUMMYFUNCTION("""COMPUTED_VALUE"""),"03 ORL")</f>
        <v>03 ORL</v>
      </c>
      <c r="N1698" s="6" t="str">
        <f ca="1">IFERROR(__xludf.DUMMYFUNCTION("""COMPUTED_VALUE"""),"06 ORL")</f>
        <v>06 ORL</v>
      </c>
      <c r="O1698" s="6" t="str">
        <f ca="1">IFERROR(__xludf.DUMMYFUNCTION("""COMPUTED_VALUE"""),"Dra, Mónica Granda Rosales")</f>
        <v>Dra, Mónica Granda Rosales</v>
      </c>
      <c r="P1698" s="6" t="str">
        <f ca="1">IFERROR(__xludf.DUMMYFUNCTION("""COMPUTED_VALUE"""),"Alberto Moreno (Madrid)")</f>
        <v>Alberto Moreno (Madrid)</v>
      </c>
    </row>
    <row r="1699" spans="2:16">
      <c r="B1699" s="6">
        <f ca="1">IFERROR(__xludf.DUMMYFUNCTION("""COMPUTED_VALUE"""),2025)</f>
        <v>2025</v>
      </c>
      <c r="C1699" s="6">
        <f ca="1">IFERROR(__xludf.DUMMYFUNCTION("""COMPUTED_VALUE"""),12)</f>
        <v>12</v>
      </c>
      <c r="D1699" s="6" t="str">
        <f ca="1">IFERROR(__xludf.DUMMYFUNCTION("""COMPUTED_VALUE"""),"NO")</f>
        <v>NO</v>
      </c>
      <c r="E1699" s="6" t="str">
        <f ca="1">IFERROR(__xludf.DUMMYFUNCTION("""COMPUTED_VALUE"""),"Getafe")</f>
        <v>Getafe</v>
      </c>
      <c r="F1699" s="16">
        <f ca="1">IFERROR(__xludf.DUMMYFUNCTION("""COMPUTED_VALUE"""),46014)</f>
        <v>46014</v>
      </c>
      <c r="G1699" s="16">
        <f ca="1">IFERROR(__xludf.DUMMYFUNCTION("""COMPUTED_VALUE"""),45947)</f>
        <v>45947</v>
      </c>
      <c r="H1699" s="6" t="str">
        <f ca="1">IFERROR(__xludf.DUMMYFUNCTION("""COMPUTED_VALUE"""),"Getafe")</f>
        <v>Getafe</v>
      </c>
      <c r="I1699" s="6" t="str">
        <f ca="1">IFERROR(__xludf.DUMMYFUNCTION("""COMPUTED_VALUE"""),"C202510178333038599")</f>
        <v>C202510178333038599</v>
      </c>
      <c r="J1699" s="6" t="str">
        <f ca="1">IFERROR(__xludf.DUMMYFUNCTION("""COMPUTED_VALUE"""),"PETRA PÉREZ VAQUERO")</f>
        <v>PETRA PÉREZ VAQUERO</v>
      </c>
      <c r="K1699" s="6">
        <f ca="1">IFERROR(__xludf.DUMMYFUNCTION("""COMPUTED_VALUE"""),2)</f>
        <v>2</v>
      </c>
      <c r="L1699" s="139">
        <f ca="1">IFERROR(__xludf.DUMMYFUNCTION("""COMPUTED_VALUE"""),2718.18)</f>
        <v>2718.18</v>
      </c>
      <c r="M1699" s="6" t="str">
        <f ca="1">IFERROR(__xludf.DUMMYFUNCTION("""COMPUTED_VALUE"""),"03 ORL")</f>
        <v>03 ORL</v>
      </c>
      <c r="N1699" s="6" t="str">
        <f ca="1">IFERROR(__xludf.DUMMYFUNCTION("""COMPUTED_VALUE"""),"06 ORL")</f>
        <v>06 ORL</v>
      </c>
      <c r="O1699" s="6" t="str">
        <f ca="1">IFERROR(__xludf.DUMMYFUNCTION("""COMPUTED_VALUE"""),"Dr, Antonio Rodríguez Rivero")</f>
        <v>Dr, Antonio Rodríguez Rivero</v>
      </c>
      <c r="P1699" s="6" t="str">
        <f ca="1">IFERROR(__xludf.DUMMYFUNCTION("""COMPUTED_VALUE"""),"Maika Blázquez (Madrid)")</f>
        <v>Maika Blázquez (Madrid)</v>
      </c>
    </row>
    <row r="1700" spans="2:16">
      <c r="B1700" s="6">
        <f ca="1">IFERROR(__xludf.DUMMYFUNCTION("""COMPUTED_VALUE"""),2025)</f>
        <v>2025</v>
      </c>
      <c r="C1700" s="6">
        <f ca="1">IFERROR(__xludf.DUMMYFUNCTION("""COMPUTED_VALUE"""),12)</f>
        <v>12</v>
      </c>
      <c r="D1700" s="6" t="str">
        <f ca="1">IFERROR(__xludf.DUMMYFUNCTION("""COMPUTED_VALUE"""),"NO")</f>
        <v>NO</v>
      </c>
      <c r="E1700" s="6" t="str">
        <f ca="1">IFERROR(__xludf.DUMMYFUNCTION("""COMPUTED_VALUE"""),"Alicante")</f>
        <v>Alicante</v>
      </c>
      <c r="F1700" s="16">
        <f ca="1">IFERROR(__xludf.DUMMYFUNCTION("""COMPUTED_VALUE"""),46014)</f>
        <v>46014</v>
      </c>
      <c r="G1700" s="16">
        <f ca="1">IFERROR(__xludf.DUMMYFUNCTION("""COMPUTED_VALUE"""),45985)</f>
        <v>45985</v>
      </c>
      <c r="H1700" s="6" t="str">
        <f ca="1">IFERROR(__xludf.DUMMYFUNCTION("""COMPUTED_VALUE"""),"Alicante")</f>
        <v>Alicante</v>
      </c>
      <c r="I1700" s="6" t="str">
        <f ca="1">IFERROR(__xludf.DUMMYFUNCTION("""COMPUTED_VALUE"""),"C202511241134157908")</f>
        <v>C202511241134157908</v>
      </c>
      <c r="J1700" s="6" t="str">
        <f ca="1">IFERROR(__xludf.DUMMYFUNCTION("""COMPUTED_VALUE"""),"JUAN JOSE SANCHEZ MENARGUEZ")</f>
        <v>JUAN JOSE SANCHEZ MENARGUEZ</v>
      </c>
      <c r="K1700" s="6">
        <f ca="1">IFERROR(__xludf.DUMMYFUNCTION("""COMPUTED_VALUE"""),2)</f>
        <v>2</v>
      </c>
      <c r="L1700" s="139">
        <f ca="1">IFERROR(__xludf.DUMMYFUNCTION("""COMPUTED_VALUE"""),4536.36)</f>
        <v>4536.3599999999997</v>
      </c>
      <c r="M1700" s="6" t="str">
        <f ca="1">IFERROR(__xludf.DUMMYFUNCTION("""COMPUTED_VALUE"""),"03 ORL")</f>
        <v>03 ORL</v>
      </c>
      <c r="N1700" s="6" t="str">
        <f ca="1">IFERROR(__xludf.DUMMYFUNCTION("""COMPUTED_VALUE"""),"06 ORL")</f>
        <v>06 ORL</v>
      </c>
      <c r="O1700" s="6" t="str">
        <f ca="1">IFERROR(__xludf.DUMMYFUNCTION("""COMPUTED_VALUE"""),"Dra, Isabel Menaches Guardiola")</f>
        <v>Dra, Isabel Menaches Guardiola</v>
      </c>
      <c r="P1700" s="6" t="str">
        <f ca="1">IFERROR(__xludf.DUMMYFUNCTION("""COMPUTED_VALUE"""),"Iván Sánchez (Levante Y Albacete)")</f>
        <v>Iván Sánchez (Levante Y Albacete)</v>
      </c>
    </row>
    <row r="1701" spans="2:16">
      <c r="B1701" s="6">
        <f ca="1">IFERROR(__xludf.DUMMYFUNCTION("""COMPUTED_VALUE"""),2025)</f>
        <v>2025</v>
      </c>
      <c r="C1701" s="6">
        <f ca="1">IFERROR(__xludf.DUMMYFUNCTION("""COMPUTED_VALUE"""),12)</f>
        <v>12</v>
      </c>
      <c r="D1701" s="6" t="str">
        <f ca="1">IFERROR(__xludf.DUMMYFUNCTION("""COMPUTED_VALUE"""),"NO")</f>
        <v>NO</v>
      </c>
      <c r="E1701" s="6" t="str">
        <f ca="1">IFERROR(__xludf.DUMMYFUNCTION("""COMPUTED_VALUE"""),"Fuenlabrada")</f>
        <v>Fuenlabrada</v>
      </c>
      <c r="F1701" s="16">
        <f ca="1">IFERROR(__xludf.DUMMYFUNCTION("""COMPUTED_VALUE"""),46015)</f>
        <v>46015</v>
      </c>
      <c r="G1701" s="16">
        <f ca="1">IFERROR(__xludf.DUMMYFUNCTION("""COMPUTED_VALUE"""),45986)</f>
        <v>45986</v>
      </c>
      <c r="H1701" s="6" t="str">
        <f ca="1">IFERROR(__xludf.DUMMYFUNCTION("""COMPUTED_VALUE"""),"Fuenlabrada")</f>
        <v>Fuenlabrada</v>
      </c>
      <c r="I1701" s="6" t="str">
        <f ca="1">IFERROR(__xludf.DUMMYFUNCTION("""COMPUTED_VALUE"""),"C202511251025534008")</f>
        <v>C202511251025534008</v>
      </c>
      <c r="J1701" s="6" t="str">
        <f ca="1">IFERROR(__xludf.DUMMYFUNCTION("""COMPUTED_VALUE"""),"GERMAN JURADO CONDE")</f>
        <v>GERMAN JURADO CONDE</v>
      </c>
      <c r="K1701" s="6">
        <f ca="1">IFERROR(__xludf.DUMMYFUNCTION("""COMPUTED_VALUE"""),2)</f>
        <v>2</v>
      </c>
      <c r="L1701" s="139">
        <f ca="1">IFERROR(__xludf.DUMMYFUNCTION("""COMPUTED_VALUE"""),2363.64)</f>
        <v>2363.64</v>
      </c>
      <c r="M1701" s="6" t="str">
        <f ca="1">IFERROR(__xludf.DUMMYFUNCTION("""COMPUTED_VALUE"""),"03 ORL")</f>
        <v>03 ORL</v>
      </c>
      <c r="N1701" s="6" t="str">
        <f ca="1">IFERROR(__xludf.DUMMYFUNCTION("""COMPUTED_VALUE"""),"06 ORL")</f>
        <v>06 ORL</v>
      </c>
      <c r="O1701" s="6" t="str">
        <f ca="1">IFERROR(__xludf.DUMMYFUNCTION("""COMPUTED_VALUE"""),"Dra, Estefania Miranda Sánchez")</f>
        <v>Dra, Estefania Miranda Sánchez</v>
      </c>
      <c r="P1701" s="6" t="str">
        <f ca="1">IFERROR(__xludf.DUMMYFUNCTION("""COMPUTED_VALUE"""),"Maika Blázquez (Madrid)")</f>
        <v>Maika Blázquez (Madrid)</v>
      </c>
    </row>
    <row r="1702" spans="2:16">
      <c r="B1702" s="6">
        <f ca="1">IFERROR(__xludf.DUMMYFUNCTION("""COMPUTED_VALUE"""),2025)</f>
        <v>2025</v>
      </c>
      <c r="C1702" s="6">
        <f ca="1">IFERROR(__xludf.DUMMYFUNCTION("""COMPUTED_VALUE"""),12)</f>
        <v>12</v>
      </c>
      <c r="D1702" s="6" t="str">
        <f ca="1">IFERROR(__xludf.DUMMYFUNCTION("""COMPUTED_VALUE"""),"NO")</f>
        <v>NO</v>
      </c>
      <c r="E1702" s="6" t="str">
        <f ca="1">IFERROR(__xludf.DUMMYFUNCTION("""COMPUTED_VALUE"""),"Madrid- Costa Rica")</f>
        <v>Madrid- Costa Rica</v>
      </c>
      <c r="F1702" s="16">
        <f ca="1">IFERROR(__xludf.DUMMYFUNCTION("""COMPUTED_VALUE"""),46015)</f>
        <v>46015</v>
      </c>
      <c r="G1702" s="16">
        <f ca="1">IFERROR(__xludf.DUMMYFUNCTION("""COMPUTED_VALUE"""),45975)</f>
        <v>45975</v>
      </c>
      <c r="H1702" s="6" t="str">
        <f ca="1">IFERROR(__xludf.DUMMYFUNCTION("""COMPUTED_VALUE"""),"Costa Rica")</f>
        <v>Costa Rica</v>
      </c>
      <c r="I1702" s="6" t="str">
        <f ca="1">IFERROR(__xludf.DUMMYFUNCTION("""COMPUTED_VALUE"""),"C202511149312336389")</f>
        <v>C202511149312336389</v>
      </c>
      <c r="J1702" s="6" t="str">
        <f ca="1">IFERROR(__xludf.DUMMYFUNCTION("""COMPUTED_VALUE"""),"FRANCISCO FULGENCIO BUENDIA GOMEZ")</f>
        <v>FRANCISCO FULGENCIO BUENDIA GOMEZ</v>
      </c>
      <c r="K1702" s="6">
        <f ca="1">IFERROR(__xludf.DUMMYFUNCTION("""COMPUTED_VALUE"""),2)</f>
        <v>2</v>
      </c>
      <c r="L1702" s="139">
        <f ca="1">IFERROR(__xludf.DUMMYFUNCTION("""COMPUTED_VALUE"""),4136.36)</f>
        <v>4136.3599999999997</v>
      </c>
      <c r="M1702" s="6" t="str">
        <f ca="1">IFERROR(__xludf.DUMMYFUNCTION("""COMPUTED_VALUE"""),"03 ORL")</f>
        <v>03 ORL</v>
      </c>
      <c r="N1702" s="6" t="str">
        <f ca="1">IFERROR(__xludf.DUMMYFUNCTION("""COMPUTED_VALUE"""),"22 AUDIOMETRIA CLINICA")</f>
        <v>22 AUDIOMETRIA CLINICA</v>
      </c>
      <c r="O1702" s="6" t="str">
        <f ca="1">IFERROR(__xludf.DUMMYFUNCTION("""COMPUTED_VALUE"""),"Dr, Antonio Rodríguez Rivero")</f>
        <v>Dr, Antonio Rodríguez Rivero</v>
      </c>
      <c r="P1702" s="6" t="str">
        <f ca="1">IFERROR(__xludf.DUMMYFUNCTION("""COMPUTED_VALUE"""),"Maika Blázquez (Madrid)")</f>
        <v>Maika Blázquez (Madrid)</v>
      </c>
    </row>
    <row r="1703" spans="2:16">
      <c r="B1703" s="6">
        <f ca="1">IFERROR(__xludf.DUMMYFUNCTION("""COMPUTED_VALUE"""),2025)</f>
        <v>2025</v>
      </c>
      <c r="C1703" s="6">
        <f ca="1">IFERROR(__xludf.DUMMYFUNCTION("""COMPUTED_VALUE"""),12)</f>
        <v>12</v>
      </c>
      <c r="D1703" s="6" t="str">
        <f ca="1">IFERROR(__xludf.DUMMYFUNCTION("""COMPUTED_VALUE"""),"NO")</f>
        <v>NO</v>
      </c>
      <c r="E1703" s="6" t="str">
        <f ca="1">IFERROR(__xludf.DUMMYFUNCTION("""COMPUTED_VALUE"""),"Culleredo")</f>
        <v>Culleredo</v>
      </c>
      <c r="F1703" s="16">
        <f ca="1">IFERROR(__xludf.DUMMYFUNCTION("""COMPUTED_VALUE"""),46017)</f>
        <v>46017</v>
      </c>
      <c r="G1703" s="16">
        <f ca="1">IFERROR(__xludf.DUMMYFUNCTION("""COMPUTED_VALUE"""),45979)</f>
        <v>45979</v>
      </c>
      <c r="H1703" s="6" t="str">
        <f ca="1">IFERROR(__xludf.DUMMYFUNCTION("""COMPUTED_VALUE"""),"Culleredo")</f>
        <v>Culleredo</v>
      </c>
      <c r="I1703" s="6" t="str">
        <f ca="1">IFERROR(__xludf.DUMMYFUNCTION("""COMPUTED_VALUE"""),"CULL-122")</f>
        <v>CULL-122</v>
      </c>
      <c r="J1703" s="6" t="str">
        <f ca="1">IFERROR(__xludf.DUMMYFUNCTION("""COMPUTED_VALUE"""),"TANIA SEIJAS SOUTO")</f>
        <v>TANIA SEIJAS SOUTO</v>
      </c>
      <c r="K1703" s="6">
        <f ca="1">IFERROR(__xludf.DUMMYFUNCTION("""COMPUTED_VALUE"""),2)</f>
        <v>2</v>
      </c>
      <c r="L1703" s="139">
        <f ca="1">IFERROR(__xludf.DUMMYFUNCTION("""COMPUTED_VALUE"""),3545.45)</f>
        <v>3545.45</v>
      </c>
      <c r="M1703" s="6" t="str">
        <f ca="1">IFERROR(__xludf.DUMMYFUNCTION("""COMPUTED_VALUE"""),"03 ORL")</f>
        <v>03 ORL</v>
      </c>
      <c r="N1703" s="6" t="str">
        <f ca="1">IFERROR(__xludf.DUMMYFUNCTION("""COMPUTED_VALUE"""),"06 ORL")</f>
        <v>06 ORL</v>
      </c>
      <c r="O1703" s="6" t="str">
        <f ca="1">IFERROR(__xludf.DUMMYFUNCTION("""COMPUTED_VALUE"""),"Dr. Miguel Mayo Yáñez")</f>
        <v>Dr. Miguel Mayo Yáñez</v>
      </c>
      <c r="P1703" s="6" t="str">
        <f ca="1">IFERROR(__xludf.DUMMYFUNCTION("""COMPUTED_VALUE"""),"Roberto Pereira (Galicia)")</f>
        <v>Roberto Pereira (Galicia)</v>
      </c>
    </row>
    <row r="1704" spans="2:16">
      <c r="B1704" s="6">
        <f ca="1">IFERROR(__xludf.DUMMYFUNCTION("""COMPUTED_VALUE"""),2025)</f>
        <v>2025</v>
      </c>
      <c r="C1704" s="6">
        <f ca="1">IFERROR(__xludf.DUMMYFUNCTION("""COMPUTED_VALUE"""),12)</f>
        <v>12</v>
      </c>
      <c r="D1704" s="6" t="str">
        <f ca="1">IFERROR(__xludf.DUMMYFUNCTION("""COMPUTED_VALUE"""),"NO")</f>
        <v>NO</v>
      </c>
      <c r="E1704" s="6" t="str">
        <f ca="1">IFERROR(__xludf.DUMMYFUNCTION("""COMPUTED_VALUE"""),"Cáceres")</f>
        <v>Cáceres</v>
      </c>
      <c r="F1704" s="16">
        <f ca="1">IFERROR(__xludf.DUMMYFUNCTION("""COMPUTED_VALUE"""),46017)</f>
        <v>46017</v>
      </c>
      <c r="G1704" s="16">
        <f ca="1">IFERROR(__xludf.DUMMYFUNCTION("""COMPUTED_VALUE"""),45992)</f>
        <v>45992</v>
      </c>
      <c r="H1704" s="6" t="str">
        <f ca="1">IFERROR(__xludf.DUMMYFUNCTION("""COMPUTED_VALUE"""),"Cáceres")</f>
        <v>Cáceres</v>
      </c>
      <c r="I1704" s="6" t="str">
        <f ca="1">IFERROR(__xludf.DUMMYFUNCTION("""COMPUTED_VALUE"""),"C202512110554407508")</f>
        <v>C202512110554407508</v>
      </c>
      <c r="J1704" s="6" t="str">
        <f ca="1">IFERROR(__xludf.DUMMYFUNCTION("""COMPUTED_VALUE"""),"MARTIN DELGADO IZQUIERDO")</f>
        <v>MARTIN DELGADO IZQUIERDO</v>
      </c>
      <c r="K1704" s="6">
        <f ca="1">IFERROR(__xludf.DUMMYFUNCTION("""COMPUTED_VALUE"""),2)</f>
        <v>2</v>
      </c>
      <c r="L1704" s="139">
        <f ca="1">IFERROR(__xludf.DUMMYFUNCTION("""COMPUTED_VALUE"""),3440)</f>
        <v>3440</v>
      </c>
      <c r="M1704" s="6" t="str">
        <f ca="1">IFERROR(__xludf.DUMMYFUNCTION("""COMPUTED_VALUE"""),"03 ORL")</f>
        <v>03 ORL</v>
      </c>
      <c r="N1704" s="6" t="str">
        <f ca="1">IFERROR(__xludf.DUMMYFUNCTION("""COMPUTED_VALUE"""),"06 ORL")</f>
        <v>06 ORL</v>
      </c>
      <c r="O1704" s="6" t="str">
        <f ca="1">IFERROR(__xludf.DUMMYFUNCTION("""COMPUTED_VALUE"""),"Dr, Manuel Martí Peña")</f>
        <v>Dr, Manuel Martí Peña</v>
      </c>
      <c r="P1704" s="6" t="str">
        <f ca="1">IFERROR(__xludf.DUMMYFUNCTION("""COMPUTED_VALUE"""),"Lisandro Russian (Madrid, Cáceres, Toledo, Talavera Y Logroño)")</f>
        <v>Lisandro Russian (Madrid, Cáceres, Toledo, Talavera Y Logroño)</v>
      </c>
    </row>
    <row r="1705" spans="2:16">
      <c r="B1705" s="6">
        <f ca="1">IFERROR(__xludf.DUMMYFUNCTION("""COMPUTED_VALUE"""),2025)</f>
        <v>2025</v>
      </c>
      <c r="C1705" s="6">
        <f ca="1">IFERROR(__xludf.DUMMYFUNCTION("""COMPUTED_VALUE"""),12)</f>
        <v>12</v>
      </c>
      <c r="D1705" s="6" t="str">
        <f ca="1">IFERROR(__xludf.DUMMYFUNCTION("""COMPUTED_VALUE"""),"NO")</f>
        <v>NO</v>
      </c>
      <c r="E1705" s="6" t="str">
        <f ca="1">IFERROR(__xludf.DUMMYFUNCTION("""COMPUTED_VALUE"""),"Valladolid")</f>
        <v>Valladolid</v>
      </c>
      <c r="F1705" s="16">
        <f ca="1">IFERROR(__xludf.DUMMYFUNCTION("""COMPUTED_VALUE"""),46017)</f>
        <v>46017</v>
      </c>
      <c r="G1705" s="16">
        <f ca="1">IFERROR(__xludf.DUMMYFUNCTION("""COMPUTED_VALUE"""),45973)</f>
        <v>45973</v>
      </c>
      <c r="H1705" s="6" t="str">
        <f ca="1">IFERROR(__xludf.DUMMYFUNCTION("""COMPUTED_VALUE"""),"Valladolid")</f>
        <v>Valladolid</v>
      </c>
      <c r="I1705" s="6" t="str">
        <f ca="1">IFERROR(__xludf.DUMMYFUNCTION("""COMPUTED_VALUE"""),"VLL-481")</f>
        <v>VLL-481</v>
      </c>
      <c r="J1705" s="6" t="str">
        <f ca="1">IFERROR(__xludf.DUMMYFUNCTION("""COMPUTED_VALUE"""),"MARIA JESUS MIGUEL CASTRILLO")</f>
        <v>MARIA JESUS MIGUEL CASTRILLO</v>
      </c>
      <c r="K1705" s="6">
        <f ca="1">IFERROR(__xludf.DUMMYFUNCTION("""COMPUTED_VALUE"""),2)</f>
        <v>2</v>
      </c>
      <c r="L1705" s="139">
        <f ca="1">IFERROR(__xludf.DUMMYFUNCTION("""COMPUTED_VALUE"""),3522.73)</f>
        <v>3522.73</v>
      </c>
      <c r="M1705" s="6" t="str">
        <f ca="1">IFERROR(__xludf.DUMMYFUNCTION("""COMPUTED_VALUE"""),"03 ORL")</f>
        <v>03 ORL</v>
      </c>
      <c r="N1705" s="6" t="str">
        <f ca="1">IFERROR(__xludf.DUMMYFUNCTION("""COMPUTED_VALUE"""),"06 ORL")</f>
        <v>06 ORL</v>
      </c>
      <c r="O1705" s="6" t="str">
        <f ca="1">IFERROR(__xludf.DUMMYFUNCTION("""COMPUTED_VALUE"""),"Dra, Antonia Carranza Calleja")</f>
        <v>Dra, Antonia Carranza Calleja</v>
      </c>
      <c r="P1705" s="6" t="str">
        <f ca="1">IFERROR(__xludf.DUMMYFUNCTION("""COMPUTED_VALUE"""),"Alberto Moreno (Madrid)")</f>
        <v>Alberto Moreno (Madrid)</v>
      </c>
    </row>
    <row r="1706" spans="2:16">
      <c r="B1706" s="6">
        <f ca="1">IFERROR(__xludf.DUMMYFUNCTION("""COMPUTED_VALUE"""),2025)</f>
        <v>2025</v>
      </c>
      <c r="C1706" s="6">
        <f ca="1">IFERROR(__xludf.DUMMYFUNCTION("""COMPUTED_VALUE"""),12)</f>
        <v>12</v>
      </c>
      <c r="D1706" s="6" t="str">
        <f ca="1">IFERROR(__xludf.DUMMYFUNCTION("""COMPUTED_VALUE"""),"NO")</f>
        <v>NO</v>
      </c>
      <c r="E1706" s="6" t="str">
        <f ca="1">IFERROR(__xludf.DUMMYFUNCTION("""COMPUTED_VALUE"""),"Cáceres")</f>
        <v>Cáceres</v>
      </c>
      <c r="F1706" s="16">
        <f ca="1">IFERROR(__xludf.DUMMYFUNCTION("""COMPUTED_VALUE"""),46017)</f>
        <v>46017</v>
      </c>
      <c r="G1706" s="16">
        <f ca="1">IFERROR(__xludf.DUMMYFUNCTION("""COMPUTED_VALUE"""),45985)</f>
        <v>45985</v>
      </c>
      <c r="H1706" s="6" t="str">
        <f ca="1">IFERROR(__xludf.DUMMYFUNCTION("""COMPUTED_VALUE"""),"Cáceres")</f>
        <v>Cáceres</v>
      </c>
      <c r="I1706" s="6" t="str">
        <f ca="1">IFERROR(__xludf.DUMMYFUNCTION("""COMPUTED_VALUE"""),"C202511241735025505")</f>
        <v>C202511241735025505</v>
      </c>
      <c r="J1706" s="6" t="str">
        <f ca="1">IFERROR(__xludf.DUMMYFUNCTION("""COMPUTED_VALUE"""),"CARMEN ALONSO MANZANO")</f>
        <v>CARMEN ALONSO MANZANO</v>
      </c>
      <c r="K1706" s="6">
        <f ca="1">IFERROR(__xludf.DUMMYFUNCTION("""COMPUTED_VALUE"""),2)</f>
        <v>2</v>
      </c>
      <c r="L1706" s="139">
        <f ca="1">IFERROR(__xludf.DUMMYFUNCTION("""COMPUTED_VALUE"""),4990.91)</f>
        <v>4990.91</v>
      </c>
      <c r="M1706" s="6" t="str">
        <f ca="1">IFERROR(__xludf.DUMMYFUNCTION("""COMPUTED_VALUE"""),"03 ORL")</f>
        <v>03 ORL</v>
      </c>
      <c r="N1706" s="6" t="str">
        <f ca="1">IFERROR(__xludf.DUMMYFUNCTION("""COMPUTED_VALUE"""),"06 ORL")</f>
        <v>06 ORL</v>
      </c>
      <c r="O1706" s="6" t="str">
        <f ca="1">IFERROR(__xludf.DUMMYFUNCTION("""COMPUTED_VALUE"""),"Dr, Javier García Gómez")</f>
        <v>Dr, Javier García Gómez</v>
      </c>
      <c r="P1706" s="6" t="str">
        <f ca="1">IFERROR(__xludf.DUMMYFUNCTION("""COMPUTED_VALUE"""),"Lisandro Russian (Madrid, Cáceres, Toledo, Talavera Y Logroño)")</f>
        <v>Lisandro Russian (Madrid, Cáceres, Toledo, Talavera Y Logroño)</v>
      </c>
    </row>
    <row r="1707" spans="2:16">
      <c r="B1707" s="6">
        <f ca="1">IFERROR(__xludf.DUMMYFUNCTION("""COMPUTED_VALUE"""),2025)</f>
        <v>2025</v>
      </c>
      <c r="C1707" s="6">
        <f ca="1">IFERROR(__xludf.DUMMYFUNCTION("""COMPUTED_VALUE"""),12)</f>
        <v>12</v>
      </c>
      <c r="D1707" s="6" t="str">
        <f ca="1">IFERROR(__xludf.DUMMYFUNCTION("""COMPUTED_VALUE"""),"NO")</f>
        <v>NO</v>
      </c>
      <c r="E1707" s="6" t="str">
        <f ca="1">IFERROR(__xludf.DUMMYFUNCTION("""COMPUTED_VALUE"""),"Cáceres")</f>
        <v>Cáceres</v>
      </c>
      <c r="F1707" s="16">
        <f ca="1">IFERROR(__xludf.DUMMYFUNCTION("""COMPUTED_VALUE"""),46017)</f>
        <v>46017</v>
      </c>
      <c r="G1707" s="16">
        <f ca="1">IFERROR(__xludf.DUMMYFUNCTION("""COMPUTED_VALUE"""),45986)</f>
        <v>45986</v>
      </c>
      <c r="H1707" s="6" t="str">
        <f ca="1">IFERROR(__xludf.DUMMYFUNCTION("""COMPUTED_VALUE"""),"Cáceres")</f>
        <v>Cáceres</v>
      </c>
      <c r="I1707" s="6" t="str">
        <f ca="1">IFERROR(__xludf.DUMMYFUNCTION("""COMPUTED_VALUE"""),"C202511251212495621")</f>
        <v>C202511251212495621</v>
      </c>
      <c r="J1707" s="6" t="str">
        <f ca="1">IFERROR(__xludf.DUMMYFUNCTION("""COMPUTED_VALUE"""),"JOSE MANUEL FERNANDEZ SANCHEZ")</f>
        <v>JOSE MANUEL FERNANDEZ SANCHEZ</v>
      </c>
      <c r="K1707" s="6">
        <f ca="1">IFERROR(__xludf.DUMMYFUNCTION("""COMPUTED_VALUE"""),2)</f>
        <v>2</v>
      </c>
      <c r="L1707" s="139">
        <f ca="1">IFERROR(__xludf.DUMMYFUNCTION("""COMPUTED_VALUE"""),3940.91)</f>
        <v>3940.91</v>
      </c>
      <c r="M1707" s="6" t="str">
        <f ca="1">IFERROR(__xludf.DUMMYFUNCTION("""COMPUTED_VALUE"""),"03 ORL")</f>
        <v>03 ORL</v>
      </c>
      <c r="N1707" s="6" t="str">
        <f ca="1">IFERROR(__xludf.DUMMYFUNCTION("""COMPUTED_VALUE"""),"06 ORL")</f>
        <v>06 ORL</v>
      </c>
      <c r="O1707" s="6" t="str">
        <f ca="1">IFERROR(__xludf.DUMMYFUNCTION("""COMPUTED_VALUE"""),"Dr, Andrés Paulino Herrera")</f>
        <v>Dr, Andrés Paulino Herrera</v>
      </c>
      <c r="P1707" s="6" t="str">
        <f ca="1">IFERROR(__xludf.DUMMYFUNCTION("""COMPUTED_VALUE"""),"Lisandro Russian (Madrid, Cáceres, Toledo, Talavera Y Logroño)")</f>
        <v>Lisandro Russian (Madrid, Cáceres, Toledo, Talavera Y Logroño)</v>
      </c>
    </row>
    <row r="1708" spans="2:16">
      <c r="B1708" s="6">
        <f ca="1">IFERROR(__xludf.DUMMYFUNCTION("""COMPUTED_VALUE"""),2025)</f>
        <v>2025</v>
      </c>
      <c r="C1708" s="6">
        <f ca="1">IFERROR(__xludf.DUMMYFUNCTION("""COMPUTED_VALUE"""),12)</f>
        <v>12</v>
      </c>
      <c r="D1708" s="6" t="str">
        <f ca="1">IFERROR(__xludf.DUMMYFUNCTION("""COMPUTED_VALUE"""),"NO")</f>
        <v>NO</v>
      </c>
      <c r="E1708" s="6" t="str">
        <f ca="1">IFERROR(__xludf.DUMMYFUNCTION("""COMPUTED_VALUE"""),"Leganés")</f>
        <v>Leganés</v>
      </c>
      <c r="F1708" s="16">
        <f ca="1">IFERROR(__xludf.DUMMYFUNCTION("""COMPUTED_VALUE"""),46017)</f>
        <v>46017</v>
      </c>
      <c r="G1708" s="16">
        <f ca="1">IFERROR(__xludf.DUMMYFUNCTION("""COMPUTED_VALUE"""),45975)</f>
        <v>45975</v>
      </c>
      <c r="H1708" s="6" t="str">
        <f ca="1">IFERROR(__xludf.DUMMYFUNCTION("""COMPUTED_VALUE"""),"Leganés")</f>
        <v>Leganés</v>
      </c>
      <c r="I1708" s="6" t="str">
        <f ca="1">IFERROR(__xludf.DUMMYFUNCTION("""COMPUTED_VALUE"""),"C202511148554597075")</f>
        <v>C202511148554597075</v>
      </c>
      <c r="J1708" s="6" t="str">
        <f ca="1">IFERROR(__xludf.DUMMYFUNCTION("""COMPUTED_VALUE"""),"LUISA DORREGO TAPIA")</f>
        <v>LUISA DORREGO TAPIA</v>
      </c>
      <c r="K1708" s="6">
        <f ca="1">IFERROR(__xludf.DUMMYFUNCTION("""COMPUTED_VALUE"""),2)</f>
        <v>2</v>
      </c>
      <c r="L1708" s="139">
        <f ca="1">IFERROR(__xludf.DUMMYFUNCTION("""COMPUTED_VALUE"""),2581.82)</f>
        <v>2581.8200000000002</v>
      </c>
      <c r="M1708" s="6" t="str">
        <f ca="1">IFERROR(__xludf.DUMMYFUNCTION("""COMPUTED_VALUE"""),"03 ORL")</f>
        <v>03 ORL</v>
      </c>
      <c r="N1708" s="6" t="str">
        <f ca="1">IFERROR(__xludf.DUMMYFUNCTION("""COMPUTED_VALUE"""),"06 ORL")</f>
        <v>06 ORL</v>
      </c>
      <c r="O1708" s="6" t="str">
        <f ca="1">IFERROR(__xludf.DUMMYFUNCTION("""COMPUTED_VALUE"""),"Dra, Mar Lasso de la Vega Zamora")</f>
        <v>Dra, Mar Lasso de la Vega Zamora</v>
      </c>
      <c r="P1708" s="6" t="str">
        <f ca="1">IFERROR(__xludf.DUMMYFUNCTION("""COMPUTED_VALUE"""),"Maika Blázquez (Madrid)")</f>
        <v>Maika Blázquez (Madrid)</v>
      </c>
    </row>
    <row r="1709" spans="2:16">
      <c r="B1709" s="6">
        <f ca="1">IFERROR(__xludf.DUMMYFUNCTION("""COMPUTED_VALUE"""),2025)</f>
        <v>2025</v>
      </c>
      <c r="C1709" s="6">
        <f ca="1">IFERROR(__xludf.DUMMYFUNCTION("""COMPUTED_VALUE"""),12)</f>
        <v>12</v>
      </c>
      <c r="D1709" s="6" t="str">
        <f ca="1">IFERROR(__xludf.DUMMYFUNCTION("""COMPUTED_VALUE"""),"NO")</f>
        <v>NO</v>
      </c>
      <c r="E1709" s="6" t="str">
        <f ca="1">IFERROR(__xludf.DUMMYFUNCTION("""COMPUTED_VALUE"""),"Leganés")</f>
        <v>Leganés</v>
      </c>
      <c r="F1709" s="16">
        <f ca="1">IFERROR(__xludf.DUMMYFUNCTION("""COMPUTED_VALUE"""),46017)</f>
        <v>46017</v>
      </c>
      <c r="G1709" s="16">
        <f ca="1">IFERROR(__xludf.DUMMYFUNCTION("""COMPUTED_VALUE"""),45987)</f>
        <v>45987</v>
      </c>
      <c r="H1709" s="6" t="str">
        <f ca="1">IFERROR(__xludf.DUMMYFUNCTION("""COMPUTED_VALUE"""),"Leganés")</f>
        <v>Leganés</v>
      </c>
      <c r="I1709" s="6" t="str">
        <f ca="1">IFERROR(__xludf.DUMMYFUNCTION("""COMPUTED_VALUE"""),"C202511269295490696")</f>
        <v>C202511269295490696</v>
      </c>
      <c r="J1709" s="6" t="str">
        <f ca="1">IFERROR(__xludf.DUMMYFUNCTION("""COMPUTED_VALUE"""),"ADELA DE LA MATA FERNÁNDEZ")</f>
        <v>ADELA DE LA MATA FERNÁNDEZ</v>
      </c>
      <c r="K1709" s="6">
        <f ca="1">IFERROR(__xludf.DUMMYFUNCTION("""COMPUTED_VALUE"""),1)</f>
        <v>1</v>
      </c>
      <c r="L1709" s="139">
        <f ca="1">IFERROR(__xludf.DUMMYFUNCTION("""COMPUTED_VALUE"""),2233.64)</f>
        <v>2233.64</v>
      </c>
      <c r="M1709" s="6" t="str">
        <f ca="1">IFERROR(__xludf.DUMMYFUNCTION("""COMPUTED_VALUE"""),"03 ORL")</f>
        <v>03 ORL</v>
      </c>
      <c r="N1709" s="6" t="str">
        <f ca="1">IFERROR(__xludf.DUMMYFUNCTION("""COMPUTED_VALUE"""),"06 ORL")</f>
        <v>06 ORL</v>
      </c>
      <c r="O1709" s="6" t="str">
        <f ca="1">IFERROR(__xludf.DUMMYFUNCTION("""COMPUTED_VALUE"""),"Dr, Fabio Fernández Mateos")</f>
        <v>Dr, Fabio Fernández Mateos</v>
      </c>
      <c r="P1709" s="6" t="str">
        <f ca="1">IFERROR(__xludf.DUMMYFUNCTION("""COMPUTED_VALUE"""),"Maika Blázquez (Madrid)")</f>
        <v>Maika Blázquez (Madrid)</v>
      </c>
    </row>
    <row r="1710" spans="2:16">
      <c r="B1710" s="6">
        <f ca="1">IFERROR(__xludf.DUMMYFUNCTION("""COMPUTED_VALUE"""),2025)</f>
        <v>2025</v>
      </c>
      <c r="C1710" s="6">
        <f ca="1">IFERROR(__xludf.DUMMYFUNCTION("""COMPUTED_VALUE"""),12)</f>
        <v>12</v>
      </c>
      <c r="D1710" s="6" t="str">
        <f ca="1">IFERROR(__xludf.DUMMYFUNCTION("""COMPUTED_VALUE"""),"NO")</f>
        <v>NO</v>
      </c>
      <c r="E1710" s="6" t="str">
        <f ca="1">IFERROR(__xludf.DUMMYFUNCTION("""COMPUTED_VALUE"""),"Murcia")</f>
        <v>Murcia</v>
      </c>
      <c r="F1710" s="16">
        <f ca="1">IFERROR(__xludf.DUMMYFUNCTION("""COMPUTED_VALUE"""),46017)</f>
        <v>46017</v>
      </c>
      <c r="G1710" s="16">
        <f ca="1">IFERROR(__xludf.DUMMYFUNCTION("""COMPUTED_VALUE"""),45943)</f>
        <v>45943</v>
      </c>
      <c r="H1710" s="6" t="str">
        <f ca="1">IFERROR(__xludf.DUMMYFUNCTION("""COMPUTED_VALUE"""),"Murcia")</f>
        <v>Murcia</v>
      </c>
      <c r="I1710" s="6" t="str">
        <f ca="1">IFERROR(__xludf.DUMMYFUNCTION("""COMPUTED_VALUE"""),"C202510131053415806")</f>
        <v>C202510131053415806</v>
      </c>
      <c r="J1710" s="6" t="str">
        <f ca="1">IFERROR(__xludf.DUMMYFUNCTION("""COMPUTED_VALUE"""),"JOSE MARTINEZ GARCERAN")</f>
        <v>JOSE MARTINEZ GARCERAN</v>
      </c>
      <c r="K1710" s="6">
        <f ca="1">IFERROR(__xludf.DUMMYFUNCTION("""COMPUTED_VALUE"""),2)</f>
        <v>2</v>
      </c>
      <c r="L1710" s="139">
        <f ca="1">IFERROR(__xludf.DUMMYFUNCTION("""COMPUTED_VALUE"""),3631.82)</f>
        <v>3631.82</v>
      </c>
      <c r="M1710" s="6" t="str">
        <f ca="1">IFERROR(__xludf.DUMMYFUNCTION("""COMPUTED_VALUE"""),"03 ORL")</f>
        <v>03 ORL</v>
      </c>
      <c r="N1710" s="6" t="str">
        <f ca="1">IFERROR(__xludf.DUMMYFUNCTION("""COMPUTED_VALUE"""),"06 ORL")</f>
        <v>06 ORL</v>
      </c>
      <c r="O1710" s="6" t="str">
        <f ca="1">IFERROR(__xludf.DUMMYFUNCTION("""COMPUTED_VALUE"""),"Dra, María López Robles")</f>
        <v>Dra, María López Robles</v>
      </c>
      <c r="P1710" s="6" t="str">
        <f ca="1">IFERROR(__xludf.DUMMYFUNCTION("""COMPUTED_VALUE"""),"Iván Sánchez (Levante Y Albacete)")</f>
        <v>Iván Sánchez (Levante Y Albacete)</v>
      </c>
    </row>
    <row r="1711" spans="2:16">
      <c r="B1711" s="6">
        <f ca="1">IFERROR(__xludf.DUMMYFUNCTION("""COMPUTED_VALUE"""),2025)</f>
        <v>2025</v>
      </c>
      <c r="C1711" s="6">
        <f ca="1">IFERROR(__xludf.DUMMYFUNCTION("""COMPUTED_VALUE"""),12)</f>
        <v>12</v>
      </c>
      <c r="D1711" s="6" t="str">
        <f ca="1">IFERROR(__xludf.DUMMYFUNCTION("""COMPUTED_VALUE"""),"SI")</f>
        <v>SI</v>
      </c>
      <c r="E1711" s="6" t="str">
        <f ca="1">IFERROR(__xludf.DUMMYFUNCTION("""COMPUTED_VALUE"""),"Alicante")</f>
        <v>Alicante</v>
      </c>
      <c r="F1711" s="16">
        <f ca="1">IFERROR(__xludf.DUMMYFUNCTION("""COMPUTED_VALUE"""),46017)</f>
        <v>46017</v>
      </c>
      <c r="G1711" s="16">
        <f ca="1">IFERROR(__xludf.DUMMYFUNCTION("""COMPUTED_VALUE"""),45981)</f>
        <v>45981</v>
      </c>
      <c r="H1711" s="6" t="str">
        <f ca="1">IFERROR(__xludf.DUMMYFUNCTION("""COMPUTED_VALUE"""),"Alicante")</f>
        <v>Alicante</v>
      </c>
      <c r="I1711" s="6" t="str">
        <f ca="1">IFERROR(__xludf.DUMMYFUNCTION("""COMPUTED_VALUE"""),"C202511201240300206")</f>
        <v>C202511201240300206</v>
      </c>
      <c r="J1711" s="6" t="str">
        <f ca="1">IFERROR(__xludf.DUMMYFUNCTION("""COMPUTED_VALUE"""),"FATIMA LAZARO LOPEZ")</f>
        <v>FATIMA LAZARO LOPEZ</v>
      </c>
      <c r="K1711" s="6">
        <f ca="1">IFERROR(__xludf.DUMMYFUNCTION("""COMPUTED_VALUE"""),2)</f>
        <v>2</v>
      </c>
      <c r="L1711" s="139">
        <f ca="1">IFERROR(__xludf.DUMMYFUNCTION("""COMPUTED_VALUE"""),4536.36)</f>
        <v>4536.3599999999997</v>
      </c>
      <c r="M1711" s="6" t="str">
        <f ca="1">IFERROR(__xludf.DUMMYFUNCTION("""COMPUTED_VALUE"""),"03 ORL")</f>
        <v>03 ORL</v>
      </c>
      <c r="N1711" s="6" t="str">
        <f ca="1">IFERROR(__xludf.DUMMYFUNCTION("""COMPUTED_VALUE"""),"06 ORL")</f>
        <v>06 ORL</v>
      </c>
      <c r="O1711" s="6" t="str">
        <f ca="1">IFERROR(__xludf.DUMMYFUNCTION("""COMPUTED_VALUE"""),"Dra, Irene Monjas Canovas")</f>
        <v>Dra, Irene Monjas Canovas</v>
      </c>
      <c r="P1711" s="6" t="str">
        <f ca="1">IFERROR(__xludf.DUMMYFUNCTION("""COMPUTED_VALUE"""),"Iván Sánchez (Levante Y Albacete)")</f>
        <v>Iván Sánchez (Levante Y Albacete)</v>
      </c>
    </row>
    <row r="1712" spans="2:16">
      <c r="B1712" s="6">
        <f ca="1">IFERROR(__xludf.DUMMYFUNCTION("""COMPUTED_VALUE"""),2025)</f>
        <v>2025</v>
      </c>
      <c r="C1712" s="6">
        <f ca="1">IFERROR(__xludf.DUMMYFUNCTION("""COMPUTED_VALUE"""),12)</f>
        <v>12</v>
      </c>
      <c r="D1712" s="6" t="str">
        <f ca="1">IFERROR(__xludf.DUMMYFUNCTION("""COMPUTED_VALUE"""),"NO")</f>
        <v>NO</v>
      </c>
      <c r="E1712" s="6" t="str">
        <f ca="1">IFERROR(__xludf.DUMMYFUNCTION("""COMPUTED_VALUE"""),"Leganés")</f>
        <v>Leganés</v>
      </c>
      <c r="F1712" s="16">
        <f ca="1">IFERROR(__xludf.DUMMYFUNCTION("""COMPUTED_VALUE"""),46020)</f>
        <v>46020</v>
      </c>
      <c r="G1712" s="16">
        <f ca="1">IFERROR(__xludf.DUMMYFUNCTION("""COMPUTED_VALUE"""),45951)</f>
        <v>45951</v>
      </c>
      <c r="H1712" s="6" t="str">
        <f ca="1">IFERROR(__xludf.DUMMYFUNCTION("""COMPUTED_VALUE"""),"Leganés")</f>
        <v>Leganés</v>
      </c>
      <c r="I1712" s="6" t="str">
        <f ca="1">IFERROR(__xludf.DUMMYFUNCTION("""COMPUTED_VALUE"""),"C202510211014295809")</f>
        <v>C202510211014295809</v>
      </c>
      <c r="J1712" s="6" t="str">
        <f ca="1">IFERROR(__xludf.DUMMYFUNCTION("""COMPUTED_VALUE"""),"MARIANO GARCIA GARCIA")</f>
        <v>MARIANO GARCIA GARCIA</v>
      </c>
      <c r="K1712" s="6">
        <f ca="1">IFERROR(__xludf.DUMMYFUNCTION("""COMPUTED_VALUE"""),1)</f>
        <v>1</v>
      </c>
      <c r="L1712" s="139">
        <f ca="1">IFERROR(__xludf.DUMMYFUNCTION("""COMPUTED_VALUE"""),1036.36)</f>
        <v>1036.3599999999999</v>
      </c>
      <c r="M1712" s="6" t="str">
        <f ca="1">IFERROR(__xludf.DUMMYFUNCTION("""COMPUTED_VALUE"""),"03 ORL")</f>
        <v>03 ORL</v>
      </c>
      <c r="N1712" s="6" t="str">
        <f ca="1">IFERROR(__xludf.DUMMYFUNCTION("""COMPUTED_VALUE"""),"06 ORL")</f>
        <v>06 ORL</v>
      </c>
      <c r="O1712" s="6" t="str">
        <f ca="1">IFERROR(__xludf.DUMMYFUNCTION("""COMPUTED_VALUE"""),"Dra, Elena Martín Bejerano")</f>
        <v>Dra, Elena Martín Bejerano</v>
      </c>
      <c r="P1712" s="6" t="str">
        <f ca="1">IFERROR(__xludf.DUMMYFUNCTION("""COMPUTED_VALUE"""),"Maika Blázquez (Madrid)")</f>
        <v>Maika Blázquez (Madrid)</v>
      </c>
    </row>
    <row r="1713" spans="2:16">
      <c r="B1713" s="6">
        <f ca="1">IFERROR(__xludf.DUMMYFUNCTION("""COMPUTED_VALUE"""),2025)</f>
        <v>2025</v>
      </c>
      <c r="C1713" s="6">
        <f ca="1">IFERROR(__xludf.DUMMYFUNCTION("""COMPUTED_VALUE"""),12)</f>
        <v>12</v>
      </c>
      <c r="D1713" s="6" t="str">
        <f ca="1">IFERROR(__xludf.DUMMYFUNCTION("""COMPUTED_VALUE"""),"NO")</f>
        <v>NO</v>
      </c>
      <c r="E1713" s="6" t="str">
        <f ca="1">IFERROR(__xludf.DUMMYFUNCTION("""COMPUTED_VALUE"""),"Alicante")</f>
        <v>Alicante</v>
      </c>
      <c r="F1713" s="16">
        <f ca="1">IFERROR(__xludf.DUMMYFUNCTION("""COMPUTED_VALUE"""),46020)</f>
        <v>46020</v>
      </c>
      <c r="G1713" s="16">
        <f ca="1">IFERROR(__xludf.DUMMYFUNCTION("""COMPUTED_VALUE"""),45980)</f>
        <v>45980</v>
      </c>
      <c r="H1713" s="6" t="str">
        <f ca="1">IFERROR(__xludf.DUMMYFUNCTION("""COMPUTED_VALUE"""),"Alicante")</f>
        <v>Alicante</v>
      </c>
      <c r="I1713" s="6" t="str">
        <f ca="1">IFERROR(__xludf.DUMMYFUNCTION("""COMPUTED_VALUE"""),"C202511191611779531")</f>
        <v>C202511191611779531</v>
      </c>
      <c r="J1713" s="6" t="str">
        <f ca="1">IFERROR(__xludf.DUMMYFUNCTION("""COMPUTED_VALUE"""),"MARIA JOSE  DELGADO PICAZO")</f>
        <v>MARIA JOSE  DELGADO PICAZO</v>
      </c>
      <c r="K1713" s="6">
        <f ca="1">IFERROR(__xludf.DUMMYFUNCTION("""COMPUTED_VALUE"""),2)</f>
        <v>2</v>
      </c>
      <c r="L1713" s="139">
        <f ca="1">IFERROR(__xludf.DUMMYFUNCTION("""COMPUTED_VALUE"""),4136.36)</f>
        <v>4136.3599999999997</v>
      </c>
      <c r="M1713" s="6" t="str">
        <f ca="1">IFERROR(__xludf.DUMMYFUNCTION("""COMPUTED_VALUE"""),"03 ORL")</f>
        <v>03 ORL</v>
      </c>
      <c r="N1713" s="6" t="str">
        <f ca="1">IFERROR(__xludf.DUMMYFUNCTION("""COMPUTED_VALUE"""),"06 ORL")</f>
        <v>06 ORL</v>
      </c>
      <c r="O1713" s="6" t="str">
        <f ca="1">IFERROR(__xludf.DUMMYFUNCTION("""COMPUTED_VALUE"""),"Dra, Irene Monjas Canovas")</f>
        <v>Dra, Irene Monjas Canovas</v>
      </c>
      <c r="P1713" s="6" t="str">
        <f ca="1">IFERROR(__xludf.DUMMYFUNCTION("""COMPUTED_VALUE"""),"Iván Sánchez (Levante Y Albacete)")</f>
        <v>Iván Sánchez (Levante Y Albacete)</v>
      </c>
    </row>
    <row r="1714" spans="2:16">
      <c r="B1714" s="6">
        <f ca="1">IFERROR(__xludf.DUMMYFUNCTION("""COMPUTED_VALUE"""),2025)</f>
        <v>2025</v>
      </c>
      <c r="C1714" s="6">
        <f ca="1">IFERROR(__xludf.DUMMYFUNCTION("""COMPUTED_VALUE"""),12)</f>
        <v>12</v>
      </c>
      <c r="D1714" s="6" t="str">
        <f ca="1">IFERROR(__xludf.DUMMYFUNCTION("""COMPUTED_VALUE"""),"NO")</f>
        <v>NO</v>
      </c>
      <c r="E1714" s="6" t="str">
        <f ca="1">IFERROR(__xludf.DUMMYFUNCTION("""COMPUTED_VALUE"""),"Leganés")</f>
        <v>Leganés</v>
      </c>
      <c r="F1714" s="16">
        <f ca="1">IFERROR(__xludf.DUMMYFUNCTION("""COMPUTED_VALUE"""),46020)</f>
        <v>46020</v>
      </c>
      <c r="G1714" s="16">
        <f ca="1">IFERROR(__xludf.DUMMYFUNCTION("""COMPUTED_VALUE"""),45978)</f>
        <v>45978</v>
      </c>
      <c r="H1714" s="6" t="str">
        <f ca="1">IFERROR(__xludf.DUMMYFUNCTION("""COMPUTED_VALUE"""),"Leganés")</f>
        <v>Leganés</v>
      </c>
      <c r="I1714" s="6" t="str">
        <f ca="1">IFERROR(__xludf.DUMMYFUNCTION("""COMPUTED_VALUE"""),"C202511171044490999")</f>
        <v>C202511171044490999</v>
      </c>
      <c r="J1714" s="6" t="str">
        <f ca="1">IFERROR(__xludf.DUMMYFUNCTION("""COMPUTED_VALUE"""),"FRANCISCA MIJARRA SANCHEZ")</f>
        <v>FRANCISCA MIJARRA SANCHEZ</v>
      </c>
      <c r="K1714" s="6">
        <f ca="1">IFERROR(__xludf.DUMMYFUNCTION("""COMPUTED_VALUE"""),2)</f>
        <v>2</v>
      </c>
      <c r="L1714" s="139">
        <f ca="1">IFERROR(__xludf.DUMMYFUNCTION("""COMPUTED_VALUE"""),2718.18)</f>
        <v>2718.18</v>
      </c>
      <c r="M1714" s="6" t="str">
        <f ca="1">IFERROR(__xludf.DUMMYFUNCTION("""COMPUTED_VALUE"""),"03 ORL")</f>
        <v>03 ORL</v>
      </c>
      <c r="N1714" s="6" t="str">
        <f ca="1">IFERROR(__xludf.DUMMYFUNCTION("""COMPUTED_VALUE"""),"06 ORL")</f>
        <v>06 ORL</v>
      </c>
      <c r="O1714" s="6" t="str">
        <f ca="1">IFERROR(__xludf.DUMMYFUNCTION("""COMPUTED_VALUE"""),"Dra, Desirée Méndez Brenderbache")</f>
        <v>Dra, Desirée Méndez Brenderbache</v>
      </c>
      <c r="P1714" s="6" t="str">
        <f ca="1">IFERROR(__xludf.DUMMYFUNCTION("""COMPUTED_VALUE"""),"Maika Blázquez (Madrid)")</f>
        <v>Maika Blázquez (Madrid)</v>
      </c>
    </row>
    <row r="1715" spans="2:16">
      <c r="B1715" s="6">
        <f ca="1">IFERROR(__xludf.DUMMYFUNCTION("""COMPUTED_VALUE"""),2025)</f>
        <v>2025</v>
      </c>
      <c r="C1715" s="6">
        <f ca="1">IFERROR(__xludf.DUMMYFUNCTION("""COMPUTED_VALUE"""),12)</f>
        <v>12</v>
      </c>
      <c r="D1715" s="6" t="str">
        <f ca="1">IFERROR(__xludf.DUMMYFUNCTION("""COMPUTED_VALUE"""),"NO")</f>
        <v>NO</v>
      </c>
      <c r="E1715" s="6" t="str">
        <f ca="1">IFERROR(__xludf.DUMMYFUNCTION("""COMPUTED_VALUE"""),"Torrejón de Ardoz")</f>
        <v>Torrejón de Ardoz</v>
      </c>
      <c r="F1715" s="16">
        <f ca="1">IFERROR(__xludf.DUMMYFUNCTION("""COMPUTED_VALUE"""),46020)</f>
        <v>46020</v>
      </c>
      <c r="G1715" s="16">
        <f ca="1">IFERROR(__xludf.DUMMYFUNCTION("""COMPUTED_VALUE"""),45965)</f>
        <v>45965</v>
      </c>
      <c r="H1715" s="6" t="str">
        <f ca="1">IFERROR(__xludf.DUMMYFUNCTION("""COMPUTED_VALUE"""),"Torrejón")</f>
        <v>Torrejón</v>
      </c>
      <c r="I1715" s="6" t="str">
        <f ca="1">IFERROR(__xludf.DUMMYFUNCTION("""COMPUTED_VALUE"""),"C202511418582072340")</f>
        <v>C202511418582072340</v>
      </c>
      <c r="J1715" s="6" t="str">
        <f ca="1">IFERROR(__xludf.DUMMYFUNCTION("""COMPUTED_VALUE"""),"MARI CARMEN SALAZAR PEREZ")</f>
        <v>MARI CARMEN SALAZAR PEREZ</v>
      </c>
      <c r="K1715" s="6">
        <f ca="1">IFERROR(__xludf.DUMMYFUNCTION("""COMPUTED_VALUE"""),2)</f>
        <v>2</v>
      </c>
      <c r="L1715" s="139">
        <f ca="1">IFERROR(__xludf.DUMMYFUNCTION("""COMPUTED_VALUE"""),3631.82)</f>
        <v>3631.82</v>
      </c>
      <c r="M1715" s="6" t="str">
        <f ca="1">IFERROR(__xludf.DUMMYFUNCTION("""COMPUTED_VALUE"""),"03 ORL")</f>
        <v>03 ORL</v>
      </c>
      <c r="N1715" s="6" t="str">
        <f ca="1">IFERROR(__xludf.DUMMYFUNCTION("""COMPUTED_VALUE"""),"06 ORL")</f>
        <v>06 ORL</v>
      </c>
      <c r="O1715" s="6" t="str">
        <f ca="1">IFERROR(__xludf.DUMMYFUNCTION("""COMPUTED_VALUE"""),"Dra, Lorena Sanz López")</f>
        <v>Dra, Lorena Sanz López</v>
      </c>
      <c r="P1715" s="6" t="str">
        <f ca="1">IFERROR(__xludf.DUMMYFUNCTION("""COMPUTED_VALUE"""),"Maika Blázquez (Madrid)")</f>
        <v>Maika Blázquez (Madrid)</v>
      </c>
    </row>
    <row r="1716" spans="2:16">
      <c r="B1716" s="6">
        <f ca="1">IFERROR(__xludf.DUMMYFUNCTION("""COMPUTED_VALUE"""),2025)</f>
        <v>2025</v>
      </c>
      <c r="C1716" s="6">
        <f ca="1">IFERROR(__xludf.DUMMYFUNCTION("""COMPUTED_VALUE"""),12)</f>
        <v>12</v>
      </c>
      <c r="D1716" s="6" t="str">
        <f ca="1">IFERROR(__xludf.DUMMYFUNCTION("""COMPUTED_VALUE"""),"NO")</f>
        <v>NO</v>
      </c>
      <c r="E1716" s="6" t="str">
        <f ca="1">IFERROR(__xludf.DUMMYFUNCTION("""COMPUTED_VALUE"""),"Valencia- Parra")</f>
        <v>Valencia- Parra</v>
      </c>
      <c r="F1716" s="16">
        <f ca="1">IFERROR(__xludf.DUMMYFUNCTION("""COMPUTED_VALUE"""),46020)</f>
        <v>46020</v>
      </c>
      <c r="G1716" s="16">
        <f ca="1">IFERROR(__xludf.DUMMYFUNCTION("""COMPUTED_VALUE"""),45966)</f>
        <v>45966</v>
      </c>
      <c r="H1716" s="6" t="str">
        <f ca="1">IFERROR(__xludf.DUMMYFUNCTION("""COMPUTED_VALUE"""),"Valencia- Parra")</f>
        <v>Valencia- Parra</v>
      </c>
      <c r="I1716" s="6" t="str">
        <f ca="1">IFERROR(__xludf.DUMMYFUNCTION("""COMPUTED_VALUE"""),"C202511593338529474")</f>
        <v>C202511593338529474</v>
      </c>
      <c r="J1716" s="6" t="str">
        <f ca="1">IFERROR(__xludf.DUMMYFUNCTION("""COMPUTED_VALUE"""),"CARLOS ALBERTO MADRID MARCHISIO")</f>
        <v>CARLOS ALBERTO MADRID MARCHISIO</v>
      </c>
      <c r="K1716" s="6">
        <f ca="1">IFERROR(__xludf.DUMMYFUNCTION("""COMPUTED_VALUE"""),2)</f>
        <v>2</v>
      </c>
      <c r="L1716" s="139">
        <f ca="1">IFERROR(__xludf.DUMMYFUNCTION("""COMPUTED_VALUE"""),3631.82)</f>
        <v>3631.82</v>
      </c>
      <c r="M1716" s="6" t="str">
        <f ca="1">IFERROR(__xludf.DUMMYFUNCTION("""COMPUTED_VALUE"""),"03 ORL")</f>
        <v>03 ORL</v>
      </c>
      <c r="N1716" s="6" t="str">
        <f ca="1">IFERROR(__xludf.DUMMYFUNCTION("""COMPUTED_VALUE"""),"06 ORL")</f>
        <v>06 ORL</v>
      </c>
      <c r="O1716" s="6" t="str">
        <f ca="1">IFERROR(__xludf.DUMMYFUNCTION("""COMPUTED_VALUE"""),"Dr, Abel Guzmán Calvete")</f>
        <v>Dr, Abel Guzmán Calvete</v>
      </c>
      <c r="P1716" s="6" t="str">
        <f ca="1">IFERROR(__xludf.DUMMYFUNCTION("""COMPUTED_VALUE"""),"Ramon Ferrando(Valencia)")</f>
        <v>Ramon Ferrando(Valencia)</v>
      </c>
    </row>
    <row r="1717" spans="2:16">
      <c r="B1717" s="6">
        <f ca="1">IFERROR(__xludf.DUMMYFUNCTION("""COMPUTED_VALUE"""),2025)</f>
        <v>2025</v>
      </c>
      <c r="C1717" s="6">
        <f ca="1">IFERROR(__xludf.DUMMYFUNCTION("""COMPUTED_VALUE"""),12)</f>
        <v>12</v>
      </c>
      <c r="D1717" s="6" t="str">
        <f ca="1">IFERROR(__xludf.DUMMYFUNCTION("""COMPUTED_VALUE"""),"NO")</f>
        <v>NO</v>
      </c>
      <c r="E1717" s="6" t="str">
        <f ca="1">IFERROR(__xludf.DUMMYFUNCTION("""COMPUTED_VALUE"""),"Cáceres")</f>
        <v>Cáceres</v>
      </c>
      <c r="F1717" s="16">
        <f ca="1">IFERROR(__xludf.DUMMYFUNCTION("""COMPUTED_VALUE"""),46020)</f>
        <v>46020</v>
      </c>
      <c r="G1717" s="16">
        <f ca="1">IFERROR(__xludf.DUMMYFUNCTION("""COMPUTED_VALUE"""),45986)</f>
        <v>45986</v>
      </c>
      <c r="H1717" s="6" t="str">
        <f ca="1">IFERROR(__xludf.DUMMYFUNCTION("""COMPUTED_VALUE"""),"Cáceres")</f>
        <v>Cáceres</v>
      </c>
      <c r="I1717" s="6" t="str">
        <f ca="1">IFERROR(__xludf.DUMMYFUNCTION("""COMPUTED_VALUE"""),"C202511251126246042")</f>
        <v>C202511251126246042</v>
      </c>
      <c r="J1717" s="6" t="str">
        <f ca="1">IFERROR(__xludf.DUMMYFUNCTION("""COMPUTED_VALUE"""),"JOSEFA RECIO FERNANDEZ")</f>
        <v>JOSEFA RECIO FERNANDEZ</v>
      </c>
      <c r="K1717" s="6">
        <f ca="1">IFERROR(__xludf.DUMMYFUNCTION("""COMPUTED_VALUE"""),2)</f>
        <v>2</v>
      </c>
      <c r="L1717" s="139">
        <f ca="1">IFERROR(__xludf.DUMMYFUNCTION("""COMPUTED_VALUE"""),3678.18)</f>
        <v>3678.18</v>
      </c>
      <c r="M1717" s="6" t="str">
        <f ca="1">IFERROR(__xludf.DUMMYFUNCTION("""COMPUTED_VALUE"""),"03 ORL")</f>
        <v>03 ORL</v>
      </c>
      <c r="N1717" s="6" t="str">
        <f ca="1">IFERROR(__xludf.DUMMYFUNCTION("""COMPUTED_VALUE"""),"06 ORL")</f>
        <v>06 ORL</v>
      </c>
      <c r="O1717" s="6" t="str">
        <f ca="1">IFERROR(__xludf.DUMMYFUNCTION("""COMPUTED_VALUE"""),"Dr, Manuel Cañete Domínguez")</f>
        <v>Dr, Manuel Cañete Domínguez</v>
      </c>
      <c r="P1717" s="6" t="str">
        <f ca="1">IFERROR(__xludf.DUMMYFUNCTION("""COMPUTED_VALUE"""),"Lisandro Russian (Madrid, Cáceres, Toledo, Talavera Y Logroño)")</f>
        <v>Lisandro Russian (Madrid, Cáceres, Toledo, Talavera Y Logroño)</v>
      </c>
    </row>
    <row r="1718" spans="2:16">
      <c r="B1718" s="6">
        <f ca="1">IFERROR(__xludf.DUMMYFUNCTION("""COMPUTED_VALUE"""),2025)</f>
        <v>2025</v>
      </c>
      <c r="C1718" s="6">
        <f ca="1">IFERROR(__xludf.DUMMYFUNCTION("""COMPUTED_VALUE"""),12)</f>
        <v>12</v>
      </c>
      <c r="D1718" s="6" t="str">
        <f ca="1">IFERROR(__xludf.DUMMYFUNCTION("""COMPUTED_VALUE"""),"NO")</f>
        <v>NO</v>
      </c>
      <c r="E1718" s="6" t="str">
        <f ca="1">IFERROR(__xludf.DUMMYFUNCTION("""COMPUTED_VALUE"""),"Cáceres")</f>
        <v>Cáceres</v>
      </c>
      <c r="F1718" s="16">
        <f ca="1">IFERROR(__xludf.DUMMYFUNCTION("""COMPUTED_VALUE"""),46020)</f>
        <v>46020</v>
      </c>
      <c r="G1718" s="16">
        <f ca="1">IFERROR(__xludf.DUMMYFUNCTION("""COMPUTED_VALUE"""),45986)</f>
        <v>45986</v>
      </c>
      <c r="H1718" s="6" t="str">
        <f ca="1">IFERROR(__xludf.DUMMYFUNCTION("""COMPUTED_VALUE"""),"Cáceres")</f>
        <v>Cáceres</v>
      </c>
      <c r="I1718" s="6" t="str">
        <f ca="1">IFERROR(__xludf.DUMMYFUNCTION("""COMPUTED_VALUE"""),"C202511251046053377")</f>
        <v>C202511251046053377</v>
      </c>
      <c r="J1718" s="6" t="str">
        <f ca="1">IFERROR(__xludf.DUMMYFUNCTION("""COMPUTED_VALUE"""),"ELENA POLO MARTIN")</f>
        <v>ELENA POLO MARTIN</v>
      </c>
      <c r="K1718" s="6">
        <f ca="1">IFERROR(__xludf.DUMMYFUNCTION("""COMPUTED_VALUE"""),2)</f>
        <v>2</v>
      </c>
      <c r="L1718" s="139">
        <f ca="1">IFERROR(__xludf.DUMMYFUNCTION("""COMPUTED_VALUE"""),3640.91)</f>
        <v>3640.91</v>
      </c>
      <c r="M1718" s="6" t="str">
        <f ca="1">IFERROR(__xludf.DUMMYFUNCTION("""COMPUTED_VALUE"""),"03 ORL")</f>
        <v>03 ORL</v>
      </c>
      <c r="N1718" s="6" t="str">
        <f ca="1">IFERROR(__xludf.DUMMYFUNCTION("""COMPUTED_VALUE"""),"06 ORL")</f>
        <v>06 ORL</v>
      </c>
      <c r="O1718" s="6" t="str">
        <f ca="1">IFERROR(__xludf.DUMMYFUNCTION("""COMPUTED_VALUE"""),"Dra, María Romero Marchante")</f>
        <v>Dra, María Romero Marchante</v>
      </c>
      <c r="P1718" s="6" t="str">
        <f ca="1">IFERROR(__xludf.DUMMYFUNCTION("""COMPUTED_VALUE"""),"Lisandro Russian (Madrid, Cáceres, Toledo, Talavera Y Logroño)")</f>
        <v>Lisandro Russian (Madrid, Cáceres, Toledo, Talavera Y Logroño)</v>
      </c>
    </row>
    <row r="1719" spans="2:16">
      <c r="B1719" s="6">
        <f ca="1">IFERROR(__xludf.DUMMYFUNCTION("""COMPUTED_VALUE"""),2025)</f>
        <v>2025</v>
      </c>
      <c r="C1719" s="6">
        <f ca="1">IFERROR(__xludf.DUMMYFUNCTION("""COMPUTED_VALUE"""),12)</f>
        <v>12</v>
      </c>
      <c r="D1719" s="6" t="str">
        <f ca="1">IFERROR(__xludf.DUMMYFUNCTION("""COMPUTED_VALUE"""),"NO")</f>
        <v>NO</v>
      </c>
      <c r="E1719" s="6" t="str">
        <f ca="1">IFERROR(__xludf.DUMMYFUNCTION("""COMPUTED_VALUE"""),"Sevilla- Montoto")</f>
        <v>Sevilla- Montoto</v>
      </c>
      <c r="F1719" s="16">
        <f ca="1">IFERROR(__xludf.DUMMYFUNCTION("""COMPUTED_VALUE"""),46020)</f>
        <v>46020</v>
      </c>
      <c r="G1719" s="16">
        <f ca="1">IFERROR(__xludf.DUMMYFUNCTION("""COMPUTED_VALUE"""),45987)</f>
        <v>45987</v>
      </c>
      <c r="H1719" s="6" t="str">
        <f ca="1">IFERROR(__xludf.DUMMYFUNCTION("""COMPUTED_VALUE"""),"Montoto")</f>
        <v>Montoto</v>
      </c>
      <c r="I1719" s="6" t="str">
        <f ca="1">IFERROR(__xludf.DUMMYFUNCTION("""COMPUTED_VALUE"""),"C202511261758146117")</f>
        <v>C202511261758146117</v>
      </c>
      <c r="J1719" s="6" t="str">
        <f ca="1">IFERROR(__xludf.DUMMYFUNCTION("""COMPUTED_VALUE"""),"DOLORES DIAZ HERRERA")</f>
        <v>DOLORES DIAZ HERRERA</v>
      </c>
      <c r="K1719" s="6">
        <f ca="1">IFERROR(__xludf.DUMMYFUNCTION("""COMPUTED_VALUE"""),2)</f>
        <v>2</v>
      </c>
      <c r="L1719" s="139">
        <f ca="1">IFERROR(__xludf.DUMMYFUNCTION("""COMPUTED_VALUE"""),2581.82)</f>
        <v>2581.8200000000002</v>
      </c>
      <c r="M1719" s="6" t="str">
        <f ca="1">IFERROR(__xludf.DUMMYFUNCTION("""COMPUTED_VALUE"""),"03 ORL")</f>
        <v>03 ORL</v>
      </c>
      <c r="N1719" s="6" t="str">
        <f ca="1">IFERROR(__xludf.DUMMYFUNCTION("""COMPUTED_VALUE"""),"06 ORL")</f>
        <v>06 ORL</v>
      </c>
      <c r="O1719" s="6" t="str">
        <f ca="1">IFERROR(__xludf.DUMMYFUNCTION("""COMPUTED_VALUE"""),"Dra, Estefanía Berrocal Postigo")</f>
        <v>Dra, Estefanía Berrocal Postigo</v>
      </c>
      <c r="P1719" s="6" t="str">
        <f ca="1">IFERROR(__xludf.DUMMYFUNCTION("""COMPUTED_VALUE"""),"Luis Alberto Rodríguez (Andalucía y Badajoz)")</f>
        <v>Luis Alberto Rodríguez (Andalucía y Badajoz)</v>
      </c>
    </row>
    <row r="1720" spans="2:16">
      <c r="B1720" s="6">
        <f ca="1">IFERROR(__xludf.DUMMYFUNCTION("""COMPUTED_VALUE"""),2025)</f>
        <v>2025</v>
      </c>
      <c r="C1720" s="6">
        <f ca="1">IFERROR(__xludf.DUMMYFUNCTION("""COMPUTED_VALUE"""),12)</f>
        <v>12</v>
      </c>
      <c r="D1720" s="6" t="str">
        <f ca="1">IFERROR(__xludf.DUMMYFUNCTION("""COMPUTED_VALUE"""),"NO")</f>
        <v>NO</v>
      </c>
      <c r="E1720" s="6" t="str">
        <f ca="1">IFERROR(__xludf.DUMMYFUNCTION("""COMPUTED_VALUE"""),"Getafe")</f>
        <v>Getafe</v>
      </c>
      <c r="F1720" s="16">
        <f ca="1">IFERROR(__xludf.DUMMYFUNCTION("""COMPUTED_VALUE"""),46020)</f>
        <v>46020</v>
      </c>
      <c r="G1720" s="16">
        <f ca="1">IFERROR(__xludf.DUMMYFUNCTION("""COMPUTED_VALUE"""),45986)</f>
        <v>45986</v>
      </c>
      <c r="H1720" s="6" t="str">
        <f ca="1">IFERROR(__xludf.DUMMYFUNCTION("""COMPUTED_VALUE"""),"Getafe")</f>
        <v>Getafe</v>
      </c>
      <c r="I1720" s="6" t="str">
        <f ca="1">IFERROR(__xludf.DUMMYFUNCTION("""COMPUTED_VALUE"""),"C202511251446166226")</f>
        <v>C202511251446166226</v>
      </c>
      <c r="J1720" s="6" t="str">
        <f ca="1">IFERROR(__xludf.DUMMYFUNCTION("""COMPUTED_VALUE"""),"AGUSTÍN ORTUETA ROCA")</f>
        <v>AGUSTÍN ORTUETA ROCA</v>
      </c>
      <c r="K1720" s="6">
        <f ca="1">IFERROR(__xludf.DUMMYFUNCTION("""COMPUTED_VALUE"""),1)</f>
        <v>1</v>
      </c>
      <c r="L1720" s="139">
        <f ca="1">IFERROR(__xludf.DUMMYFUNCTION("""COMPUTED_VALUE"""),2180.91)</f>
        <v>2180.91</v>
      </c>
      <c r="M1720" s="6" t="str">
        <f ca="1">IFERROR(__xludf.DUMMYFUNCTION("""COMPUTED_VALUE"""),"03 ORL")</f>
        <v>03 ORL</v>
      </c>
      <c r="N1720" s="6" t="str">
        <f ca="1">IFERROR(__xludf.DUMMYFUNCTION("""COMPUTED_VALUE"""),"06 ORL")</f>
        <v>06 ORL</v>
      </c>
      <c r="O1720" s="6" t="str">
        <f ca="1">IFERROR(__xludf.DUMMYFUNCTION("""COMPUTED_VALUE"""),"Dr, Jonathan Esteban Sánchez")</f>
        <v>Dr, Jonathan Esteban Sánchez</v>
      </c>
      <c r="P1720" s="6" t="str">
        <f ca="1">IFERROR(__xludf.DUMMYFUNCTION("""COMPUTED_VALUE"""),"Maika Blázquez (Madrid)")</f>
        <v>Maika Blázquez (Madrid)</v>
      </c>
    </row>
    <row r="1721" spans="2:16">
      <c r="B1721" s="6">
        <f ca="1">IFERROR(__xludf.DUMMYFUNCTION("""COMPUTED_VALUE"""),2025)</f>
        <v>2025</v>
      </c>
      <c r="C1721" s="6">
        <f ca="1">IFERROR(__xludf.DUMMYFUNCTION("""COMPUTED_VALUE"""),12)</f>
        <v>12</v>
      </c>
      <c r="D1721" s="6" t="str">
        <f ca="1">IFERROR(__xludf.DUMMYFUNCTION("""COMPUTED_VALUE"""),"NO")</f>
        <v>NO</v>
      </c>
      <c r="E1721" s="6" t="str">
        <f ca="1">IFERROR(__xludf.DUMMYFUNCTION("""COMPUTED_VALUE"""),"Madrid- Juan Bravo")</f>
        <v>Madrid- Juan Bravo</v>
      </c>
      <c r="F1721" s="16">
        <f ca="1">IFERROR(__xludf.DUMMYFUNCTION("""COMPUTED_VALUE"""),46020)</f>
        <v>46020</v>
      </c>
      <c r="G1721" s="16">
        <f ca="1">IFERROR(__xludf.DUMMYFUNCTION("""COMPUTED_VALUE"""),45987)</f>
        <v>45987</v>
      </c>
      <c r="H1721" s="6" t="str">
        <f ca="1">IFERROR(__xludf.DUMMYFUNCTION("""COMPUTED_VALUE"""),"Juan Bravo")</f>
        <v>Juan Bravo</v>
      </c>
      <c r="I1721" s="6" t="str">
        <f ca="1">IFERROR(__xludf.DUMMYFUNCTION("""COMPUTED_VALUE"""),"C202511261511281165")</f>
        <v>C202511261511281165</v>
      </c>
      <c r="J1721" s="6" t="str">
        <f ca="1">IFERROR(__xludf.DUMMYFUNCTION("""COMPUTED_VALUE"""),"CAROLINA CUENCA CASAIS")</f>
        <v>CAROLINA CUENCA CASAIS</v>
      </c>
      <c r="K1721" s="6">
        <f ca="1">IFERROR(__xludf.DUMMYFUNCTION("""COMPUTED_VALUE"""),1)</f>
        <v>1</v>
      </c>
      <c r="L1721" s="139">
        <f ca="1">IFERROR(__xludf.DUMMYFUNCTION("""COMPUTED_VALUE"""),2180.91)</f>
        <v>2180.91</v>
      </c>
      <c r="M1721" s="6" t="str">
        <f ca="1">IFERROR(__xludf.DUMMYFUNCTION("""COMPUTED_VALUE"""),"03 ORL")</f>
        <v>03 ORL</v>
      </c>
      <c r="N1721" s="6" t="str">
        <f ca="1">IFERROR(__xludf.DUMMYFUNCTION("""COMPUTED_VALUE"""),"06 ORL")</f>
        <v>06 ORL</v>
      </c>
      <c r="O1721" s="6" t="str">
        <f ca="1">IFERROR(__xludf.DUMMYFUNCTION("""COMPUTED_VALUE"""),"Dr, Carlos Barajas del Rosal")</f>
        <v>Dr, Carlos Barajas del Rosal</v>
      </c>
      <c r="P1721" s="6" t="str">
        <f ca="1">IFERROR(__xludf.DUMMYFUNCTION("""COMPUTED_VALUE"""),"Lisandro Russian (Madrid, Cáceres, Toledo, Talavera Y Logroño)")</f>
        <v>Lisandro Russian (Madrid, Cáceres, Toledo, Talavera Y Logroño)</v>
      </c>
    </row>
    <row r="1722" spans="2:16">
      <c r="B1722" s="6">
        <f ca="1">IFERROR(__xludf.DUMMYFUNCTION("""COMPUTED_VALUE"""),2025)</f>
        <v>2025</v>
      </c>
      <c r="C1722" s="6">
        <f ca="1">IFERROR(__xludf.DUMMYFUNCTION("""COMPUTED_VALUE"""),12)</f>
        <v>12</v>
      </c>
      <c r="D1722" s="6" t="str">
        <f ca="1">IFERROR(__xludf.DUMMYFUNCTION("""COMPUTED_VALUE"""),"NO")</f>
        <v>NO</v>
      </c>
      <c r="E1722" s="6" t="str">
        <f ca="1">IFERROR(__xludf.DUMMYFUNCTION("""COMPUTED_VALUE"""),"Albacete")</f>
        <v>Albacete</v>
      </c>
      <c r="F1722" s="16">
        <f ca="1">IFERROR(__xludf.DUMMYFUNCTION("""COMPUTED_VALUE"""),46020)</f>
        <v>46020</v>
      </c>
      <c r="G1722" s="16">
        <f ca="1">IFERROR(__xludf.DUMMYFUNCTION("""COMPUTED_VALUE"""),45973)</f>
        <v>45973</v>
      </c>
      <c r="H1722" s="6" t="str">
        <f ca="1">IFERROR(__xludf.DUMMYFUNCTION("""COMPUTED_VALUE"""),"Albacete")</f>
        <v>Albacete</v>
      </c>
      <c r="I1722" s="6" t="str">
        <f ca="1">IFERROR(__xludf.DUMMYFUNCTION("""COMPUTED_VALUE"""),"C202511121263086318")</f>
        <v>C202511121263086318</v>
      </c>
      <c r="J1722" s="6" t="str">
        <f ca="1">IFERROR(__xludf.DUMMYFUNCTION("""COMPUTED_VALUE"""),"AITOR CUADRADO GÓMEZ")</f>
        <v>AITOR CUADRADO GÓMEZ</v>
      </c>
      <c r="K1722" s="6">
        <f ca="1">IFERROR(__xludf.DUMMYFUNCTION("""COMPUTED_VALUE"""),1)</f>
        <v>1</v>
      </c>
      <c r="L1722" s="139">
        <f ca="1">IFERROR(__xludf.DUMMYFUNCTION("""COMPUTED_VALUE"""),2463.64)</f>
        <v>2463.64</v>
      </c>
      <c r="M1722" s="6" t="str">
        <f ca="1">IFERROR(__xludf.DUMMYFUNCTION("""COMPUTED_VALUE"""),"03 ORL")</f>
        <v>03 ORL</v>
      </c>
      <c r="N1722" s="6" t="str">
        <f ca="1">IFERROR(__xludf.DUMMYFUNCTION("""COMPUTED_VALUE"""),"06 ORL")</f>
        <v>06 ORL</v>
      </c>
      <c r="O1722" s="6" t="str">
        <f ca="1">IFERROR(__xludf.DUMMYFUNCTION("""COMPUTED_VALUE"""),"Dra, Alejandra Jara Maquilón")</f>
        <v>Dra, Alejandra Jara Maquilón</v>
      </c>
      <c r="P1722" s="6" t="str">
        <f ca="1">IFERROR(__xludf.DUMMYFUNCTION("""COMPUTED_VALUE"""),"Iván Sánchez (Levante Y Albacete)")</f>
        <v>Iván Sánchez (Levante Y Albacete)</v>
      </c>
    </row>
    <row r="1723" spans="2:16">
      <c r="B1723" s="6">
        <f ca="1">IFERROR(__xludf.DUMMYFUNCTION("""COMPUTED_VALUE"""),2025)</f>
        <v>2025</v>
      </c>
      <c r="C1723" s="6">
        <f ca="1">IFERROR(__xludf.DUMMYFUNCTION("""COMPUTED_VALUE"""),12)</f>
        <v>12</v>
      </c>
      <c r="D1723" s="6" t="str">
        <f ca="1">IFERROR(__xludf.DUMMYFUNCTION("""COMPUTED_VALUE"""),"NO")</f>
        <v>NO</v>
      </c>
      <c r="E1723" s="6" t="str">
        <f ca="1">IFERROR(__xludf.DUMMYFUNCTION("""COMPUTED_VALUE"""),"Huelva")</f>
        <v>Huelva</v>
      </c>
      <c r="F1723" s="16">
        <f ca="1">IFERROR(__xludf.DUMMYFUNCTION("""COMPUTED_VALUE"""),46020)</f>
        <v>46020</v>
      </c>
      <c r="G1723" s="16">
        <f ca="1">IFERROR(__xludf.DUMMYFUNCTION("""COMPUTED_VALUE"""),45973)</f>
        <v>45973</v>
      </c>
      <c r="H1723" s="6" t="str">
        <f ca="1">IFERROR(__xludf.DUMMYFUNCTION("""COMPUTED_VALUE"""),"Huelva")</f>
        <v>Huelva</v>
      </c>
      <c r="I1723" s="6" t="str">
        <f ca="1">IFERROR(__xludf.DUMMYFUNCTION("""COMPUTED_VALUE"""),"C202511121537579266")</f>
        <v>C202511121537579266</v>
      </c>
      <c r="J1723" s="6" t="str">
        <f ca="1">IFERROR(__xludf.DUMMYFUNCTION("""COMPUTED_VALUE"""),"MANUELA CAMACHO CANDELA")</f>
        <v>MANUELA CAMACHO CANDELA</v>
      </c>
      <c r="K1723" s="6">
        <f ca="1">IFERROR(__xludf.DUMMYFUNCTION("""COMPUTED_VALUE"""),2)</f>
        <v>2</v>
      </c>
      <c r="L1723" s="139">
        <f ca="1">IFERROR(__xludf.DUMMYFUNCTION("""COMPUTED_VALUE"""),2718.18)</f>
        <v>2718.18</v>
      </c>
      <c r="M1723" s="6" t="str">
        <f ca="1">IFERROR(__xludf.DUMMYFUNCTION("""COMPUTED_VALUE"""),"03 ORL")</f>
        <v>03 ORL</v>
      </c>
      <c r="N1723" s="6" t="str">
        <f ca="1">IFERROR(__xludf.DUMMYFUNCTION("""COMPUTED_VALUE"""),"06 ORL")</f>
        <v>06 ORL</v>
      </c>
      <c r="O1723" s="6" t="str">
        <f ca="1">IFERROR(__xludf.DUMMYFUNCTION("""COMPUTED_VALUE"""),"Dr, Antonio Cortés Lladó")</f>
        <v>Dr, Antonio Cortés Lladó</v>
      </c>
      <c r="P1723" s="6" t="str">
        <f ca="1">IFERROR(__xludf.DUMMYFUNCTION("""COMPUTED_VALUE"""),"Luis Alberto Rodríguez (Andalucía y Badajoz)")</f>
        <v>Luis Alberto Rodríguez (Andalucía y Badajoz)</v>
      </c>
    </row>
    <row r="1724" spans="2:16">
      <c r="B1724" s="6">
        <f ca="1">IFERROR(__xludf.DUMMYFUNCTION("""COMPUTED_VALUE"""),2025)</f>
        <v>2025</v>
      </c>
      <c r="C1724" s="6">
        <f ca="1">IFERROR(__xludf.DUMMYFUNCTION("""COMPUTED_VALUE"""),12)</f>
        <v>12</v>
      </c>
      <c r="D1724" s="6" t="str">
        <f ca="1">IFERROR(__xludf.DUMMYFUNCTION("""COMPUTED_VALUE"""),"SI")</f>
        <v>SI</v>
      </c>
      <c r="E1724" s="6" t="str">
        <f ca="1">IFERROR(__xludf.DUMMYFUNCTION("""COMPUTED_VALUE"""),"Almería")</f>
        <v>Almería</v>
      </c>
      <c r="F1724" s="16">
        <f ca="1">IFERROR(__xludf.DUMMYFUNCTION("""COMPUTED_VALUE"""),46020)</f>
        <v>46020</v>
      </c>
      <c r="G1724" s="16">
        <f ca="1">IFERROR(__xludf.DUMMYFUNCTION("""COMPUTED_VALUE"""),45972)</f>
        <v>45972</v>
      </c>
      <c r="H1724" s="6" t="str">
        <f ca="1">IFERROR(__xludf.DUMMYFUNCTION("""COMPUTED_VALUE"""),"Almería")</f>
        <v>Almería</v>
      </c>
      <c r="I1724" s="6" t="str">
        <f ca="1">IFERROR(__xludf.DUMMYFUNCTION("""COMPUTED_VALUE"""),"C202511111117495526")</f>
        <v>C202511111117495526</v>
      </c>
      <c r="J1724" s="6" t="str">
        <f ca="1">IFERROR(__xludf.DUMMYFUNCTION("""COMPUTED_VALUE"""),"JESUS GARRIDO CASTRO")</f>
        <v>JESUS GARRIDO CASTRO</v>
      </c>
      <c r="K1724" s="6">
        <f ca="1">IFERROR(__xludf.DUMMYFUNCTION("""COMPUTED_VALUE"""),1)</f>
        <v>1</v>
      </c>
      <c r="L1724" s="139">
        <f ca="1">IFERROR(__xludf.DUMMYFUNCTION("""COMPUTED_VALUE"""),2180.91)</f>
        <v>2180.91</v>
      </c>
      <c r="M1724" s="6" t="str">
        <f ca="1">IFERROR(__xludf.DUMMYFUNCTION("""COMPUTED_VALUE"""),"03 ORL")</f>
        <v>03 ORL</v>
      </c>
      <c r="N1724" s="6" t="str">
        <f ca="1">IFERROR(__xludf.DUMMYFUNCTION("""COMPUTED_VALUE"""),"06 ORL")</f>
        <v>06 ORL</v>
      </c>
      <c r="O1724" s="6" t="str">
        <f ca="1">IFERROR(__xludf.DUMMYFUNCTION("""COMPUTED_VALUE"""),"Dr, Javier Padilla Cabello")</f>
        <v>Dr, Javier Padilla Cabello</v>
      </c>
      <c r="P1724" s="6" t="str">
        <f ca="1">IFERROR(__xludf.DUMMYFUNCTION("""COMPUTED_VALUE"""),"Ramon Ferrando(Valencia)")</f>
        <v>Ramon Ferrando(Valencia)</v>
      </c>
    </row>
    <row r="1725" spans="2:16">
      <c r="B1725" s="6">
        <f ca="1">IFERROR(__xludf.DUMMYFUNCTION("""COMPUTED_VALUE"""),2025)</f>
        <v>2025</v>
      </c>
      <c r="C1725" s="6">
        <f ca="1">IFERROR(__xludf.DUMMYFUNCTION("""COMPUTED_VALUE"""),12)</f>
        <v>12</v>
      </c>
      <c r="D1725" s="6" t="str">
        <f ca="1">IFERROR(__xludf.DUMMYFUNCTION("""COMPUTED_VALUE"""),"NO")</f>
        <v>NO</v>
      </c>
      <c r="E1725" s="6" t="str">
        <f ca="1">IFERROR(__xludf.DUMMYFUNCTION("""COMPUTED_VALUE"""),"Cáceres")</f>
        <v>Cáceres</v>
      </c>
      <c r="F1725" s="16">
        <f ca="1">IFERROR(__xludf.DUMMYFUNCTION("""COMPUTED_VALUE"""),46020)</f>
        <v>46020</v>
      </c>
      <c r="G1725" s="16">
        <f ca="1">IFERROR(__xludf.DUMMYFUNCTION("""COMPUTED_VALUE"""),45993)</f>
        <v>45993</v>
      </c>
      <c r="H1725" s="6" t="str">
        <f ca="1">IFERROR(__xludf.DUMMYFUNCTION("""COMPUTED_VALUE"""),"Cáceres")</f>
        <v>Cáceres</v>
      </c>
      <c r="I1725" s="6" t="str">
        <f ca="1">IFERROR(__xludf.DUMMYFUNCTION("""COMPUTED_VALUE"""),"C202512212557837550")</f>
        <v>C202512212557837550</v>
      </c>
      <c r="J1725" s="6" t="str">
        <f ca="1">IFERROR(__xludf.DUMMYFUNCTION("""COMPUTED_VALUE"""),"ANGEL SANDIN MORA")</f>
        <v>ANGEL SANDIN MORA</v>
      </c>
      <c r="K1725" s="6">
        <f ca="1">IFERROR(__xludf.DUMMYFUNCTION("""COMPUTED_VALUE"""),2)</f>
        <v>2</v>
      </c>
      <c r="L1725" s="139">
        <f ca="1">IFERROR(__xludf.DUMMYFUNCTION("""COMPUTED_VALUE"""),3440)</f>
        <v>3440</v>
      </c>
      <c r="M1725" s="6" t="str">
        <f ca="1">IFERROR(__xludf.DUMMYFUNCTION("""COMPUTED_VALUE"""),"03 ORL")</f>
        <v>03 ORL</v>
      </c>
      <c r="N1725" s="6" t="str">
        <f ca="1">IFERROR(__xludf.DUMMYFUNCTION("""COMPUTED_VALUE"""),"06 ORL")</f>
        <v>06 ORL</v>
      </c>
      <c r="O1725" s="6" t="str">
        <f ca="1">IFERROR(__xludf.DUMMYFUNCTION("""COMPUTED_VALUE"""),"Dr, Andrés Paulino Herrera")</f>
        <v>Dr, Andrés Paulino Herrera</v>
      </c>
      <c r="P1725" s="6" t="str">
        <f ca="1">IFERROR(__xludf.DUMMYFUNCTION("""COMPUTED_VALUE"""),"Lisandro Russian (Madrid, Cáceres, Toledo, Talavera Y Logroño)")</f>
        <v>Lisandro Russian (Madrid, Cáceres, Toledo, Talavera Y Logroño)</v>
      </c>
    </row>
    <row r="1726" spans="2:16">
      <c r="B1726" s="6">
        <f ca="1">IFERROR(__xludf.DUMMYFUNCTION("""COMPUTED_VALUE"""),2025)</f>
        <v>2025</v>
      </c>
      <c r="C1726" s="6">
        <f ca="1">IFERROR(__xludf.DUMMYFUNCTION("""COMPUTED_VALUE"""),12)</f>
        <v>12</v>
      </c>
      <c r="D1726" s="6" t="str">
        <f ca="1">IFERROR(__xludf.DUMMYFUNCTION("""COMPUTED_VALUE"""),"NO")</f>
        <v>NO</v>
      </c>
      <c r="E1726" s="6" t="str">
        <f ca="1">IFERROR(__xludf.DUMMYFUNCTION("""COMPUTED_VALUE"""),"Cáceres")</f>
        <v>Cáceres</v>
      </c>
      <c r="F1726" s="16">
        <f ca="1">IFERROR(__xludf.DUMMYFUNCTION("""COMPUTED_VALUE"""),46021)</f>
        <v>46021</v>
      </c>
      <c r="G1726" s="16">
        <f ca="1">IFERROR(__xludf.DUMMYFUNCTION("""COMPUTED_VALUE"""),45992)</f>
        <v>45992</v>
      </c>
      <c r="H1726" s="6" t="str">
        <f ca="1">IFERROR(__xludf.DUMMYFUNCTION("""COMPUTED_VALUE"""),"Cáceres")</f>
        <v>Cáceres</v>
      </c>
      <c r="I1726" s="6" t="str">
        <f ca="1">IFERROR(__xludf.DUMMYFUNCTION("""COMPUTED_VALUE"""),"C202512193859345294")</f>
        <v>C202512193859345294</v>
      </c>
      <c r="J1726" s="6" t="str">
        <f ca="1">IFERROR(__xludf.DUMMYFUNCTION("""COMPUTED_VALUE"""),"REMEDIOS  MARTIN ORDIALES")</f>
        <v>REMEDIOS  MARTIN ORDIALES</v>
      </c>
      <c r="K1726" s="6">
        <f ca="1">IFERROR(__xludf.DUMMYFUNCTION("""COMPUTED_VALUE"""),1)</f>
        <v>1</v>
      </c>
      <c r="L1726" s="139">
        <f ca="1">IFERROR(__xludf.DUMMYFUNCTION("""COMPUTED_VALUE"""),1881.82)</f>
        <v>1881.82</v>
      </c>
      <c r="M1726" s="6" t="str">
        <f ca="1">IFERROR(__xludf.DUMMYFUNCTION("""COMPUTED_VALUE"""),"03 ORL")</f>
        <v>03 ORL</v>
      </c>
      <c r="N1726" s="6" t="str">
        <f ca="1">IFERROR(__xludf.DUMMYFUNCTION("""COMPUTED_VALUE"""),"06 ORL")</f>
        <v>06 ORL</v>
      </c>
      <c r="O1726" s="6" t="str">
        <f ca="1">IFERROR(__xludf.DUMMYFUNCTION("""COMPUTED_VALUE"""),"Dra, Daniela Carolina Laguado Bulgheroni")</f>
        <v>Dra, Daniela Carolina Laguado Bulgheroni</v>
      </c>
      <c r="P1726" s="6" t="str">
        <f ca="1">IFERROR(__xludf.DUMMYFUNCTION("""COMPUTED_VALUE"""),"Lisandro Russian (Madrid, Cáceres, Toledo, Talavera Y Logroño)")</f>
        <v>Lisandro Russian (Madrid, Cáceres, Toledo, Talavera Y Logroño)</v>
      </c>
    </row>
    <row r="1727" spans="2:16">
      <c r="B1727" s="6">
        <f ca="1">IFERROR(__xludf.DUMMYFUNCTION("""COMPUTED_VALUE"""),2025)</f>
        <v>2025</v>
      </c>
      <c r="C1727" s="6">
        <f ca="1">IFERROR(__xludf.DUMMYFUNCTION("""COMPUTED_VALUE"""),12)</f>
        <v>12</v>
      </c>
      <c r="D1727" s="6" t="str">
        <f ca="1">IFERROR(__xludf.DUMMYFUNCTION("""COMPUTED_VALUE"""),"NO")</f>
        <v>NO</v>
      </c>
      <c r="E1727" s="6" t="str">
        <f ca="1">IFERROR(__xludf.DUMMYFUNCTION("""COMPUTED_VALUE"""),"Leganés")</f>
        <v>Leganés</v>
      </c>
      <c r="F1727" s="16">
        <f ca="1">IFERROR(__xludf.DUMMYFUNCTION("""COMPUTED_VALUE"""),46021)</f>
        <v>46021</v>
      </c>
      <c r="G1727" s="16">
        <f ca="1">IFERROR(__xludf.DUMMYFUNCTION("""COMPUTED_VALUE"""),45957)</f>
        <v>45957</v>
      </c>
      <c r="H1727" s="6" t="str">
        <f ca="1">IFERROR(__xludf.DUMMYFUNCTION("""COMPUTED_VALUE"""),"Leganés")</f>
        <v>Leganés</v>
      </c>
      <c r="I1727" s="6" t="str">
        <f ca="1">IFERROR(__xludf.DUMMYFUNCTION("""COMPUTED_VALUE"""),"C202510271625891811")</f>
        <v>C202510271625891811</v>
      </c>
      <c r="J1727" s="6" t="str">
        <f ca="1">IFERROR(__xludf.DUMMYFUNCTION("""COMPUTED_VALUE"""),"JOSEFA SOLIS MENA")</f>
        <v>JOSEFA SOLIS MENA</v>
      </c>
      <c r="K1727" s="6">
        <f ca="1">IFERROR(__xludf.DUMMYFUNCTION("""COMPUTED_VALUE"""),2)</f>
        <v>2</v>
      </c>
      <c r="L1727" s="139">
        <f ca="1">IFERROR(__xludf.DUMMYFUNCTION("""COMPUTED_VALUE"""),3631.82)</f>
        <v>3631.82</v>
      </c>
      <c r="M1727" s="6" t="str">
        <f ca="1">IFERROR(__xludf.DUMMYFUNCTION("""COMPUTED_VALUE"""),"03 ORL")</f>
        <v>03 ORL</v>
      </c>
      <c r="N1727" s="6" t="str">
        <f ca="1">IFERROR(__xludf.DUMMYFUNCTION("""COMPUTED_VALUE"""),"06 ORL")</f>
        <v>06 ORL</v>
      </c>
      <c r="O1727" s="6" t="str">
        <f ca="1">IFERROR(__xludf.DUMMYFUNCTION("""COMPUTED_VALUE"""),"Dra, Ana Ruiz Fornells Noreña")</f>
        <v>Dra, Ana Ruiz Fornells Noreña</v>
      </c>
      <c r="P1727" s="6" t="str">
        <f ca="1">IFERROR(__xludf.DUMMYFUNCTION("""COMPUTED_VALUE"""),"Maika Blázquez (Madrid)")</f>
        <v>Maika Blázquez (Madrid)</v>
      </c>
    </row>
    <row r="1728" spans="2:16">
      <c r="B1728" s="6">
        <f ca="1">IFERROR(__xludf.DUMMYFUNCTION("""COMPUTED_VALUE"""),2025)</f>
        <v>2025</v>
      </c>
      <c r="C1728" s="6">
        <f ca="1">IFERROR(__xludf.DUMMYFUNCTION("""COMPUTED_VALUE"""),12)</f>
        <v>12</v>
      </c>
      <c r="D1728" s="6" t="str">
        <f ca="1">IFERROR(__xludf.DUMMYFUNCTION("""COMPUTED_VALUE"""),"NO")</f>
        <v>NO</v>
      </c>
      <c r="E1728" s="6" t="str">
        <f ca="1">IFERROR(__xludf.DUMMYFUNCTION("""COMPUTED_VALUE"""),"Valencia- Cádiz")</f>
        <v>Valencia- Cádiz</v>
      </c>
      <c r="F1728" s="16">
        <f ca="1">IFERROR(__xludf.DUMMYFUNCTION("""COMPUTED_VALUE"""),46021)</f>
        <v>46021</v>
      </c>
      <c r="G1728" s="16">
        <f ca="1">IFERROR(__xludf.DUMMYFUNCTION("""COMPUTED_VALUE"""),45973)</f>
        <v>45973</v>
      </c>
      <c r="H1728" s="6" t="str">
        <f ca="1">IFERROR(__xludf.DUMMYFUNCTION("""COMPUTED_VALUE"""),"Valencia- Cádiz")</f>
        <v>Valencia- Cádiz</v>
      </c>
      <c r="I1728" s="6" t="str">
        <f ca="1">IFERROR(__xludf.DUMMYFUNCTION("""COMPUTED_VALUE"""),"C202511121752841356")</f>
        <v>C202511121752841356</v>
      </c>
      <c r="J1728" s="6" t="str">
        <f ca="1">IFERROR(__xludf.DUMMYFUNCTION("""COMPUTED_VALUE"""),"JUAN IGNACIO GRAU DICENTA")</f>
        <v>JUAN IGNACIO GRAU DICENTA</v>
      </c>
      <c r="K1728" s="6">
        <f ca="1">IFERROR(__xludf.DUMMYFUNCTION("""COMPUTED_VALUE"""),2)</f>
        <v>2</v>
      </c>
      <c r="L1728" s="139">
        <f ca="1">IFERROR(__xludf.DUMMYFUNCTION("""COMPUTED_VALUE"""),4536.36)</f>
        <v>4536.3599999999997</v>
      </c>
      <c r="M1728" s="6" t="str">
        <f ca="1">IFERROR(__xludf.DUMMYFUNCTION("""COMPUTED_VALUE"""),"03 ORL")</f>
        <v>03 ORL</v>
      </c>
      <c r="N1728" s="6" t="str">
        <f ca="1">IFERROR(__xludf.DUMMYFUNCTION("""COMPUTED_VALUE"""),"06 ORL")</f>
        <v>06 ORL</v>
      </c>
      <c r="O1728" s="6" t="str">
        <f ca="1">IFERROR(__xludf.DUMMYFUNCTION("""COMPUTED_VALUE"""),"Dra, Inmaculada Puíg González")</f>
        <v>Dra, Inmaculada Puíg González</v>
      </c>
      <c r="P1728" s="6" t="str">
        <f ca="1">IFERROR(__xludf.DUMMYFUNCTION("""COMPUTED_VALUE"""),"Iván Sánchez (Levante Y Albacete)")</f>
        <v>Iván Sánchez (Levante Y Albacete)</v>
      </c>
    </row>
    <row r="1729" spans="2:16">
      <c r="B1729" s="6">
        <f ca="1">IFERROR(__xludf.DUMMYFUNCTION("""COMPUTED_VALUE"""),2025)</f>
        <v>2025</v>
      </c>
      <c r="C1729" s="6">
        <f ca="1">IFERROR(__xludf.DUMMYFUNCTION("""COMPUTED_VALUE"""),12)</f>
        <v>12</v>
      </c>
      <c r="D1729" s="6" t="str">
        <f ca="1">IFERROR(__xludf.DUMMYFUNCTION("""COMPUTED_VALUE"""),"NO")</f>
        <v>NO</v>
      </c>
      <c r="E1729" s="6" t="str">
        <f ca="1">IFERROR(__xludf.DUMMYFUNCTION("""COMPUTED_VALUE"""),"Madrid- Juan Bravo")</f>
        <v>Madrid- Juan Bravo</v>
      </c>
      <c r="F1729" s="16">
        <f ca="1">IFERROR(__xludf.DUMMYFUNCTION("""COMPUTED_VALUE"""),46021)</f>
        <v>46021</v>
      </c>
      <c r="G1729" s="16">
        <f ca="1">IFERROR(__xludf.DUMMYFUNCTION("""COMPUTED_VALUE"""),45992)</f>
        <v>45992</v>
      </c>
      <c r="H1729" s="6" t="str">
        <f ca="1">IFERROR(__xludf.DUMMYFUNCTION("""COMPUTED_VALUE"""),"Juan Bravo")</f>
        <v>Juan Bravo</v>
      </c>
      <c r="I1729" s="6" t="str">
        <f ca="1">IFERROR(__xludf.DUMMYFUNCTION("""COMPUTED_VALUE"""),"C202512116345827671")</f>
        <v>C202512116345827671</v>
      </c>
      <c r="J1729" s="6" t="str">
        <f ca="1">IFERROR(__xludf.DUMMYFUNCTION("""COMPUTED_VALUE"""),"ISIDORO MARBAN PABON")</f>
        <v>ISIDORO MARBAN PABON</v>
      </c>
      <c r="K1729" s="6">
        <f ca="1">IFERROR(__xludf.DUMMYFUNCTION("""COMPUTED_VALUE"""),2)</f>
        <v>2</v>
      </c>
      <c r="L1729" s="139">
        <f ca="1">IFERROR(__xludf.DUMMYFUNCTION("""COMPUTED_VALUE"""),2582.27)</f>
        <v>2582.27</v>
      </c>
      <c r="M1729" s="6" t="str">
        <f ca="1">IFERROR(__xludf.DUMMYFUNCTION("""COMPUTED_VALUE"""),"03 ORL")</f>
        <v>03 ORL</v>
      </c>
      <c r="N1729" s="6" t="str">
        <f ca="1">IFERROR(__xludf.DUMMYFUNCTION("""COMPUTED_VALUE"""),"06 ORL")</f>
        <v>06 ORL</v>
      </c>
      <c r="O1729" s="6" t="str">
        <f ca="1">IFERROR(__xludf.DUMMYFUNCTION("""COMPUTED_VALUE"""),"Dr, Carlos Barajas del Rosal")</f>
        <v>Dr, Carlos Barajas del Rosal</v>
      </c>
      <c r="P1729" s="6" t="str">
        <f ca="1">IFERROR(__xludf.DUMMYFUNCTION("""COMPUTED_VALUE"""),"Lisandro Russian (Madrid, Cáceres, Toledo, Talavera Y Logroño)")</f>
        <v>Lisandro Russian (Madrid, Cáceres, Toledo, Talavera Y Logroño)</v>
      </c>
    </row>
    <row r="1730" spans="2:16">
      <c r="B1730" s="6">
        <f ca="1">IFERROR(__xludf.DUMMYFUNCTION("""COMPUTED_VALUE"""),2025)</f>
        <v>2025</v>
      </c>
      <c r="C1730" s="6">
        <f ca="1">IFERROR(__xludf.DUMMYFUNCTION("""COMPUTED_VALUE"""),12)</f>
        <v>12</v>
      </c>
      <c r="D1730" s="6" t="str">
        <f ca="1">IFERROR(__xludf.DUMMYFUNCTION("""COMPUTED_VALUE"""),"NO")</f>
        <v>NO</v>
      </c>
      <c r="E1730" s="6" t="str">
        <f ca="1">IFERROR(__xludf.DUMMYFUNCTION("""COMPUTED_VALUE"""),"Logroño")</f>
        <v>Logroño</v>
      </c>
      <c r="F1730" s="16">
        <f ca="1">IFERROR(__xludf.DUMMYFUNCTION("""COMPUTED_VALUE"""),46021)</f>
        <v>46021</v>
      </c>
      <c r="G1730" s="16">
        <f ca="1">IFERROR(__xludf.DUMMYFUNCTION("""COMPUTED_VALUE"""),45588)</f>
        <v>45588</v>
      </c>
      <c r="H1730" s="6" t="str">
        <f ca="1">IFERROR(__xludf.DUMMYFUNCTION("""COMPUTED_VALUE"""),"Logroño")</f>
        <v>Logroño</v>
      </c>
      <c r="I1730" s="6" t="str">
        <f ca="1">IFERROR(__xludf.DUMMYFUNCTION("""COMPUTED_VALUE"""),"LOG-1420")</f>
        <v>LOG-1420</v>
      </c>
      <c r="J1730" s="6" t="str">
        <f ca="1">IFERROR(__xludf.DUMMYFUNCTION("""COMPUTED_VALUE"""),"EDUARDO ARISTE AISA")</f>
        <v>EDUARDO ARISTE AISA</v>
      </c>
      <c r="K1730" s="6">
        <f ca="1">IFERROR(__xludf.DUMMYFUNCTION("""COMPUTED_VALUE"""),2)</f>
        <v>2</v>
      </c>
      <c r="L1730" s="139">
        <f ca="1">IFERROR(__xludf.DUMMYFUNCTION("""COMPUTED_VALUE"""),2718.18)</f>
        <v>2718.18</v>
      </c>
      <c r="M1730" s="6" t="str">
        <f ca="1">IFERROR(__xludf.DUMMYFUNCTION("""COMPUTED_VALUE"""),"03 ORL")</f>
        <v>03 ORL</v>
      </c>
      <c r="N1730" s="6" t="str">
        <f ca="1">IFERROR(__xludf.DUMMYFUNCTION("""COMPUTED_VALUE"""),"06 ORL")</f>
        <v>06 ORL</v>
      </c>
      <c r="O1730" s="6" t="str">
        <f ca="1">IFERROR(__xludf.DUMMYFUNCTION("""COMPUTED_VALUE"""),"Dr, Fernando Salazar Barcelona")</f>
        <v>Dr, Fernando Salazar Barcelona</v>
      </c>
      <c r="P1730" s="6" t="str">
        <f ca="1">IFERROR(__xludf.DUMMYFUNCTION("""COMPUTED_VALUE"""),"Lisandro Russian (Madrid, Cáceres, Toledo, Talavera Y Logroño)")</f>
        <v>Lisandro Russian (Madrid, Cáceres, Toledo, Talavera Y Logroño)</v>
      </c>
    </row>
    <row r="1731" spans="2:16">
      <c r="B1731" s="6">
        <f ca="1">IFERROR(__xludf.DUMMYFUNCTION("""COMPUTED_VALUE"""),2025)</f>
        <v>2025</v>
      </c>
      <c r="C1731" s="6">
        <f ca="1">IFERROR(__xludf.DUMMYFUNCTION("""COMPUTED_VALUE"""),12)</f>
        <v>12</v>
      </c>
      <c r="D1731" s="6" t="str">
        <f ca="1">IFERROR(__xludf.DUMMYFUNCTION("""COMPUTED_VALUE"""),"NO")</f>
        <v>NO</v>
      </c>
      <c r="E1731" s="6" t="str">
        <f ca="1">IFERROR(__xludf.DUMMYFUNCTION("""COMPUTED_VALUE"""),"Alicante")</f>
        <v>Alicante</v>
      </c>
      <c r="F1731" s="16">
        <f ca="1">IFERROR(__xludf.DUMMYFUNCTION("""COMPUTED_VALUE"""),46021)</f>
        <v>46021</v>
      </c>
      <c r="G1731" s="16">
        <f ca="1">IFERROR(__xludf.DUMMYFUNCTION("""COMPUTED_VALUE"""),45989)</f>
        <v>45989</v>
      </c>
      <c r="H1731" s="6" t="str">
        <f ca="1">IFERROR(__xludf.DUMMYFUNCTION("""COMPUTED_VALUE"""),"Alicante")</f>
        <v>Alicante</v>
      </c>
      <c r="I1731" s="6" t="str">
        <f ca="1">IFERROR(__xludf.DUMMYFUNCTION("""COMPUTED_VALUE"""),"C202511281155475652")</f>
        <v>C202511281155475652</v>
      </c>
      <c r="J1731" s="6" t="str">
        <f ca="1">IFERROR(__xludf.DUMMYFUNCTION("""COMPUTED_VALUE"""),"MARIA DEL CARMEN ORTIZ GARCIA")</f>
        <v>MARIA DEL CARMEN ORTIZ GARCIA</v>
      </c>
      <c r="K1731" s="6">
        <f ca="1">IFERROR(__xludf.DUMMYFUNCTION("""COMPUTED_VALUE"""),1)</f>
        <v>1</v>
      </c>
      <c r="L1731" s="139">
        <f ca="1">IFERROR(__xludf.DUMMYFUNCTION("""COMPUTED_VALUE"""),2180.91)</f>
        <v>2180.91</v>
      </c>
      <c r="M1731" s="6" t="str">
        <f ca="1">IFERROR(__xludf.DUMMYFUNCTION("""COMPUTED_VALUE"""),"03 ORL")</f>
        <v>03 ORL</v>
      </c>
      <c r="N1731" s="6" t="str">
        <f ca="1">IFERROR(__xludf.DUMMYFUNCTION("""COMPUTED_VALUE"""),"06 ORL")</f>
        <v>06 ORL</v>
      </c>
      <c r="O1731" s="6" t="str">
        <f ca="1">IFERROR(__xludf.DUMMYFUNCTION("""COMPUTED_VALUE"""),"Dr, Francisco Pastor Beviá")</f>
        <v>Dr, Francisco Pastor Beviá</v>
      </c>
      <c r="P1731" s="6" t="str">
        <f ca="1">IFERROR(__xludf.DUMMYFUNCTION("""COMPUTED_VALUE"""),"Iván Sánchez (Levante Y Albacete)")</f>
        <v>Iván Sánchez (Levante Y Albacete)</v>
      </c>
    </row>
    <row r="1732" spans="2:16">
      <c r="B1732" s="6">
        <f ca="1">IFERROR(__xludf.DUMMYFUNCTION("""COMPUTED_VALUE"""),2025)</f>
        <v>2025</v>
      </c>
      <c r="C1732" s="6">
        <f ca="1">IFERROR(__xludf.DUMMYFUNCTION("""COMPUTED_VALUE"""),12)</f>
        <v>12</v>
      </c>
      <c r="D1732" s="6" t="str">
        <f ca="1">IFERROR(__xludf.DUMMYFUNCTION("""COMPUTED_VALUE"""),"NO")</f>
        <v>NO</v>
      </c>
      <c r="E1732" s="6" t="str">
        <f ca="1">IFERROR(__xludf.DUMMYFUNCTION("""COMPUTED_VALUE"""),"Albacete")</f>
        <v>Albacete</v>
      </c>
      <c r="F1732" s="16">
        <f ca="1">IFERROR(__xludf.DUMMYFUNCTION("""COMPUTED_VALUE"""),46021)</f>
        <v>46021</v>
      </c>
      <c r="G1732" s="16">
        <f ca="1">IFERROR(__xludf.DUMMYFUNCTION("""COMPUTED_VALUE"""),45994)</f>
        <v>45994</v>
      </c>
      <c r="H1732" s="6" t="str">
        <f ca="1">IFERROR(__xludf.DUMMYFUNCTION("""COMPUTED_VALUE"""),"Albacete")</f>
        <v>Albacete</v>
      </c>
      <c r="I1732" s="6" t="str">
        <f ca="1">IFERROR(__xludf.DUMMYFUNCTION("""COMPUTED_VALUE"""),"C202512317323185359")</f>
        <v>C202512317323185359</v>
      </c>
      <c r="J1732" s="6" t="str">
        <f ca="1">IFERROR(__xludf.DUMMYFUNCTION("""COMPUTED_VALUE"""),"JOSE VICENTE MARTINEZ JARABO")</f>
        <v>JOSE VICENTE MARTINEZ JARABO</v>
      </c>
      <c r="K1732" s="6">
        <f ca="1">IFERROR(__xludf.DUMMYFUNCTION("""COMPUTED_VALUE"""),2)</f>
        <v>2</v>
      </c>
      <c r="L1732" s="139">
        <f ca="1">IFERROR(__xludf.DUMMYFUNCTION("""COMPUTED_VALUE"""),3631.82)</f>
        <v>3631.82</v>
      </c>
      <c r="M1732" s="6" t="str">
        <f ca="1">IFERROR(__xludf.DUMMYFUNCTION("""COMPUTED_VALUE"""),"03 ORL")</f>
        <v>03 ORL</v>
      </c>
      <c r="N1732" s="6" t="str">
        <f ca="1">IFERROR(__xludf.DUMMYFUNCTION("""COMPUTED_VALUE"""),"06 ORL")</f>
        <v>06 ORL</v>
      </c>
      <c r="O1732" s="6" t="str">
        <f ca="1">IFERROR(__xludf.DUMMYFUNCTION("""COMPUTED_VALUE"""),"Dr, Pedro Seguí Moya")</f>
        <v>Dr, Pedro Seguí Moya</v>
      </c>
      <c r="P1732" s="6" t="str">
        <f ca="1">IFERROR(__xludf.DUMMYFUNCTION("""COMPUTED_VALUE"""),"Iván Sánchez (Levante Y Albacete)")</f>
        <v>Iván Sánchez (Levante Y Albacete)</v>
      </c>
    </row>
    <row r="1733" spans="2:16">
      <c r="B1733" s="6">
        <f ca="1">IFERROR(__xludf.DUMMYFUNCTION("""COMPUTED_VALUE"""),2025)</f>
        <v>2025</v>
      </c>
      <c r="C1733" s="6">
        <f ca="1">IFERROR(__xludf.DUMMYFUNCTION("""COMPUTED_VALUE"""),12)</f>
        <v>12</v>
      </c>
      <c r="D1733" s="6" t="str">
        <f ca="1">IFERROR(__xludf.DUMMYFUNCTION("""COMPUTED_VALUE"""),"NO")</f>
        <v>NO</v>
      </c>
      <c r="E1733" s="6" t="str">
        <f ca="1">IFERROR(__xludf.DUMMYFUNCTION("""COMPUTED_VALUE"""),"Murcia")</f>
        <v>Murcia</v>
      </c>
      <c r="F1733" s="16">
        <f ca="1">IFERROR(__xludf.DUMMYFUNCTION("""COMPUTED_VALUE"""),46021)</f>
        <v>46021</v>
      </c>
      <c r="G1733" s="16">
        <f ca="1">IFERROR(__xludf.DUMMYFUNCTION("""COMPUTED_VALUE"""),45982)</f>
        <v>45982</v>
      </c>
      <c r="H1733" s="6" t="str">
        <f ca="1">IFERROR(__xludf.DUMMYFUNCTION("""COMPUTED_VALUE"""),"Murcia")</f>
        <v>Murcia</v>
      </c>
      <c r="I1733" s="6" t="str">
        <f ca="1">IFERROR(__xludf.DUMMYFUNCTION("""COMPUTED_VALUE"""),"C202511211112637430")</f>
        <v>C202511211112637430</v>
      </c>
      <c r="J1733" s="6" t="str">
        <f ca="1">IFERROR(__xludf.DUMMYFUNCTION("""COMPUTED_VALUE"""),"ASCENSION LOSA RODRIGUEZ")</f>
        <v>ASCENSION LOSA RODRIGUEZ</v>
      </c>
      <c r="K1733" s="6">
        <f ca="1">IFERROR(__xludf.DUMMYFUNCTION("""COMPUTED_VALUE"""),2)</f>
        <v>2</v>
      </c>
      <c r="L1733" s="139">
        <f ca="1">IFERROR(__xludf.DUMMYFUNCTION("""COMPUTED_VALUE"""),2718.19)</f>
        <v>2718.19</v>
      </c>
      <c r="M1733" s="6" t="str">
        <f ca="1">IFERROR(__xludf.DUMMYFUNCTION("""COMPUTED_VALUE"""),"03 ORL")</f>
        <v>03 ORL</v>
      </c>
      <c r="N1733" s="6" t="str">
        <f ca="1">IFERROR(__xludf.DUMMYFUNCTION("""COMPUTED_VALUE"""),"06 ORL")</f>
        <v>06 ORL</v>
      </c>
      <c r="O1733" s="6" t="str">
        <f ca="1">IFERROR(__xludf.DUMMYFUNCTION("""COMPUTED_VALUE"""),"Dra, María Agustina Sevilla García")</f>
        <v>Dra, María Agustina Sevilla García</v>
      </c>
      <c r="P1733" s="6" t="str">
        <f ca="1">IFERROR(__xludf.DUMMYFUNCTION("""COMPUTED_VALUE"""),"Iván Sánchez (Levante Y Albacete)")</f>
        <v>Iván Sánchez (Levante Y Albacete)</v>
      </c>
    </row>
    <row r="1734" spans="2:16">
      <c r="B1734" s="6">
        <f ca="1">IFERROR(__xludf.DUMMYFUNCTION("""COMPUTED_VALUE"""),2025)</f>
        <v>2025</v>
      </c>
      <c r="C1734" s="6">
        <f ca="1">IFERROR(__xludf.DUMMYFUNCTION("""COMPUTED_VALUE"""),12)</f>
        <v>12</v>
      </c>
      <c r="D1734" s="6" t="str">
        <f ca="1">IFERROR(__xludf.DUMMYFUNCTION("""COMPUTED_VALUE"""),"NO")</f>
        <v>NO</v>
      </c>
      <c r="E1734" s="6" t="str">
        <f ca="1">IFERROR(__xludf.DUMMYFUNCTION("""COMPUTED_VALUE"""),"Murcia")</f>
        <v>Murcia</v>
      </c>
      <c r="F1734" s="16">
        <f ca="1">IFERROR(__xludf.DUMMYFUNCTION("""COMPUTED_VALUE"""),46021)</f>
        <v>46021</v>
      </c>
      <c r="G1734" s="16">
        <f ca="1">IFERROR(__xludf.DUMMYFUNCTION("""COMPUTED_VALUE"""),45994)</f>
        <v>45994</v>
      </c>
      <c r="H1734" s="6" t="str">
        <f ca="1">IFERROR(__xludf.DUMMYFUNCTION("""COMPUTED_VALUE"""),"Murcia")</f>
        <v>Murcia</v>
      </c>
      <c r="I1734" s="6" t="str">
        <f ca="1">IFERROR(__xludf.DUMMYFUNCTION("""COMPUTED_VALUE"""),"C202512310464231022")</f>
        <v>C202512310464231022</v>
      </c>
      <c r="J1734" s="6" t="str">
        <f ca="1">IFERROR(__xludf.DUMMYFUNCTION("""COMPUTED_VALUE"""),"OMAIRA ANDREA HIDALGO SANCHEZ")</f>
        <v>OMAIRA ANDREA HIDALGO SANCHEZ</v>
      </c>
      <c r="K1734" s="6">
        <f ca="1">IFERROR(__xludf.DUMMYFUNCTION("""COMPUTED_VALUE"""),1)</f>
        <v>1</v>
      </c>
      <c r="L1734" s="139">
        <f ca="1">IFERROR(__xludf.DUMMYFUNCTION("""COMPUTED_VALUE"""),2357.73)</f>
        <v>2357.73</v>
      </c>
      <c r="M1734" s="6" t="str">
        <f ca="1">IFERROR(__xludf.DUMMYFUNCTION("""COMPUTED_VALUE"""),"03 ORL")</f>
        <v>03 ORL</v>
      </c>
      <c r="N1734" s="6" t="str">
        <f ca="1">IFERROR(__xludf.DUMMYFUNCTION("""COMPUTED_VALUE"""),"06 ORL")</f>
        <v>06 ORL</v>
      </c>
      <c r="O1734" s="6" t="str">
        <f ca="1">IFERROR(__xludf.DUMMYFUNCTION("""COMPUTED_VALUE"""),"Dra, Laura Guillamon Vivancos")</f>
        <v>Dra, Laura Guillamon Vivancos</v>
      </c>
      <c r="P1734" s="6" t="str">
        <f ca="1">IFERROR(__xludf.DUMMYFUNCTION("""COMPUTED_VALUE"""),"Iván Sánchez (Levante Y Albacete)")</f>
        <v>Iván Sánchez (Levante Y Albacete)</v>
      </c>
    </row>
    <row r="1735" spans="2:16">
      <c r="B1735" s="6">
        <f ca="1">IFERROR(__xludf.DUMMYFUNCTION("""COMPUTED_VALUE"""),2025)</f>
        <v>2025</v>
      </c>
      <c r="C1735" s="6">
        <f ca="1">IFERROR(__xludf.DUMMYFUNCTION("""COMPUTED_VALUE"""),12)</f>
        <v>12</v>
      </c>
      <c r="D1735" s="6" t="str">
        <f ca="1">IFERROR(__xludf.DUMMYFUNCTION("""COMPUTED_VALUE"""),"NO")</f>
        <v>NO</v>
      </c>
      <c r="E1735" s="6" t="str">
        <f ca="1">IFERROR(__xludf.DUMMYFUNCTION("""COMPUTED_VALUE"""),"Valencia- Cádiz")</f>
        <v>Valencia- Cádiz</v>
      </c>
      <c r="F1735" s="16">
        <f ca="1">IFERROR(__xludf.DUMMYFUNCTION("""COMPUTED_VALUE"""),46021)</f>
        <v>46021</v>
      </c>
      <c r="G1735" s="16">
        <f ca="1">IFERROR(__xludf.DUMMYFUNCTION("""COMPUTED_VALUE"""),45978)</f>
        <v>45978</v>
      </c>
      <c r="H1735" s="6" t="str">
        <f ca="1">IFERROR(__xludf.DUMMYFUNCTION("""COMPUTED_VALUE"""),"Valencia- Cádiz")</f>
        <v>Valencia- Cádiz</v>
      </c>
      <c r="I1735" s="6" t="str">
        <f ca="1">IFERROR(__xludf.DUMMYFUNCTION("""COMPUTED_VALUE"""),"C202511179265857428")</f>
        <v>C202511179265857428</v>
      </c>
      <c r="J1735" s="6" t="str">
        <f ca="1">IFERROR(__xludf.DUMMYFUNCTION("""COMPUTED_VALUE"""),"AGUSTINA CANO RUIZ")</f>
        <v>AGUSTINA CANO RUIZ</v>
      </c>
      <c r="K1735" s="6">
        <f ca="1">IFERROR(__xludf.DUMMYFUNCTION("""COMPUTED_VALUE"""),2)</f>
        <v>2</v>
      </c>
      <c r="L1735" s="139">
        <f ca="1">IFERROR(__xludf.DUMMYFUNCTION("""COMPUTED_VALUE"""),2718.18)</f>
        <v>2718.18</v>
      </c>
      <c r="M1735" s="6" t="str">
        <f ca="1">IFERROR(__xludf.DUMMYFUNCTION("""COMPUTED_VALUE"""),"03 ORL")</f>
        <v>03 ORL</v>
      </c>
      <c r="N1735" s="6" t="str">
        <f ca="1">IFERROR(__xludf.DUMMYFUNCTION("""COMPUTED_VALUE"""),"06 ORL")</f>
        <v>06 ORL</v>
      </c>
      <c r="O1735" s="6" t="str">
        <f ca="1">IFERROR(__xludf.DUMMYFUNCTION("""COMPUTED_VALUE"""),"Dra, Paula Martínez-Ruiz De Apocada")</f>
        <v>Dra, Paula Martínez-Ruiz De Apocada</v>
      </c>
      <c r="P1735" s="6" t="str">
        <f ca="1">IFERROR(__xludf.DUMMYFUNCTION("""COMPUTED_VALUE"""),"Ramon Ferrando(Valencia)")</f>
        <v>Ramon Ferrando(Valencia)</v>
      </c>
    </row>
    <row r="1736" spans="2:16">
      <c r="B1736" s="6">
        <f ca="1">IFERROR(__xludf.DUMMYFUNCTION("""COMPUTED_VALUE"""),2025)</f>
        <v>2025</v>
      </c>
      <c r="C1736" s="6">
        <f ca="1">IFERROR(__xludf.DUMMYFUNCTION("""COMPUTED_VALUE"""),12)</f>
        <v>12</v>
      </c>
      <c r="D1736" s="6" t="str">
        <f ca="1">IFERROR(__xludf.DUMMYFUNCTION("""COMPUTED_VALUE"""),"NO")</f>
        <v>NO</v>
      </c>
      <c r="E1736" s="6" t="str">
        <f ca="1">IFERROR(__xludf.DUMMYFUNCTION("""COMPUTED_VALUE"""),"Logroño")</f>
        <v>Logroño</v>
      </c>
      <c r="F1736" s="16">
        <f ca="1">IFERROR(__xludf.DUMMYFUNCTION("""COMPUTED_VALUE"""),46021)</f>
        <v>46021</v>
      </c>
      <c r="G1736" s="16">
        <f ca="1">IFERROR(__xludf.DUMMYFUNCTION("""COMPUTED_VALUE"""),45982)</f>
        <v>45982</v>
      </c>
      <c r="H1736" s="6" t="str">
        <f ca="1">IFERROR(__xludf.DUMMYFUNCTION("""COMPUTED_VALUE"""),"Logroño")</f>
        <v>Logroño</v>
      </c>
      <c r="I1736" s="6" t="str">
        <f ca="1">IFERROR(__xludf.DUMMYFUNCTION("""COMPUTED_VALUE"""),"C202511211413372148")</f>
        <v>C202511211413372148</v>
      </c>
      <c r="J1736" s="6" t="str">
        <f ca="1">IFERROR(__xludf.DUMMYFUNCTION("""COMPUTED_VALUE"""),"ASUNCION GONZALEZ IBAÑEZ")</f>
        <v>ASUNCION GONZALEZ IBAÑEZ</v>
      </c>
      <c r="K1736" s="6">
        <f ca="1">IFERROR(__xludf.DUMMYFUNCTION("""COMPUTED_VALUE"""),2)</f>
        <v>2</v>
      </c>
      <c r="L1736" s="139">
        <f ca="1">IFERROR(__xludf.DUMMYFUNCTION("""COMPUTED_VALUE"""),3450.23)</f>
        <v>3450.23</v>
      </c>
      <c r="M1736" s="6" t="str">
        <f ca="1">IFERROR(__xludf.DUMMYFUNCTION("""COMPUTED_VALUE"""),"04 TIENDA")</f>
        <v>04 TIENDA</v>
      </c>
      <c r="N1736" s="6" t="str">
        <f ca="1">IFERROR(__xludf.DUMMYFUNCTION("""COMPUTED_VALUE"""),"07 BOCA/BOCA")</f>
        <v>07 BOCA/BOCA</v>
      </c>
      <c r="O1736" s="6" t="str">
        <f ca="1">IFERROR(__xludf.DUMMYFUNCTION("""COMPUTED_VALUE"""),"Dra, Cristina Ibañez Muñoz")</f>
        <v>Dra, Cristina Ibañez Muñoz</v>
      </c>
      <c r="P1736" s="6" t="str">
        <f ca="1">IFERROR(__xludf.DUMMYFUNCTION("""COMPUTED_VALUE"""),"Lisandro Russian (Madrid, Cáceres, Toledo, Talavera Y Logroño)")</f>
        <v>Lisandro Russian (Madrid, Cáceres, Toledo, Talavera Y Logroño)</v>
      </c>
    </row>
    <row r="1737" spans="2:16">
      <c r="B1737" s="6">
        <f ca="1">IFERROR(__xludf.DUMMYFUNCTION("""COMPUTED_VALUE"""),2025)</f>
        <v>2025</v>
      </c>
      <c r="C1737" s="6">
        <f ca="1">IFERROR(__xludf.DUMMYFUNCTION("""COMPUTED_VALUE"""),12)</f>
        <v>12</v>
      </c>
      <c r="D1737" s="6" t="str">
        <f ca="1">IFERROR(__xludf.DUMMYFUNCTION("""COMPUTED_VALUE"""),"NO")</f>
        <v>NO</v>
      </c>
      <c r="E1737" s="6" t="str">
        <f ca="1">IFERROR(__xludf.DUMMYFUNCTION("""COMPUTED_VALUE"""),"Logroño")</f>
        <v>Logroño</v>
      </c>
      <c r="F1737" s="16">
        <f ca="1">IFERROR(__xludf.DUMMYFUNCTION("""COMPUTED_VALUE"""),46021)</f>
        <v>46021</v>
      </c>
      <c r="G1737" s="16">
        <f ca="1">IFERROR(__xludf.DUMMYFUNCTION("""COMPUTED_VALUE"""),45951)</f>
        <v>45951</v>
      </c>
      <c r="H1737" s="6" t="str">
        <f ca="1">IFERROR(__xludf.DUMMYFUNCTION("""COMPUTED_VALUE"""),"Logroño")</f>
        <v>Logroño</v>
      </c>
      <c r="I1737" s="6" t="str">
        <f ca="1">IFERROR(__xludf.DUMMYFUNCTION("""COMPUTED_VALUE"""),"C202510211735269943")</f>
        <v>C202510211735269943</v>
      </c>
      <c r="J1737" s="6" t="str">
        <f ca="1">IFERROR(__xludf.DUMMYFUNCTION("""COMPUTED_VALUE"""),"CARMEN CHACON JIMENEZ")</f>
        <v>CARMEN CHACON JIMENEZ</v>
      </c>
      <c r="K1737" s="6">
        <f ca="1">IFERROR(__xludf.DUMMYFUNCTION("""COMPUTED_VALUE"""),2)</f>
        <v>2</v>
      </c>
      <c r="L1737" s="139">
        <f ca="1">IFERROR(__xludf.DUMMYFUNCTION("""COMPUTED_VALUE"""),3929.55)</f>
        <v>3929.55</v>
      </c>
      <c r="M1737" s="6" t="str">
        <f ca="1">IFERROR(__xludf.DUMMYFUNCTION("""COMPUTED_VALUE"""),"03 ORL")</f>
        <v>03 ORL</v>
      </c>
      <c r="N1737" s="6" t="str">
        <f ca="1">IFERROR(__xludf.DUMMYFUNCTION("""COMPUTED_VALUE"""),"06 ORL")</f>
        <v>06 ORL</v>
      </c>
      <c r="O1737" s="6" t="str">
        <f ca="1">IFERROR(__xludf.DUMMYFUNCTION("""COMPUTED_VALUE"""),"Dr, Garikoitz Calzada Uriondo")</f>
        <v>Dr, Garikoitz Calzada Uriondo</v>
      </c>
      <c r="P1737" s="6" t="str">
        <f ca="1">IFERROR(__xludf.DUMMYFUNCTION("""COMPUTED_VALUE"""),"Lisandro Russian (Madrid, Cáceres, Toledo, Talavera Y Logroño)")</f>
        <v>Lisandro Russian (Madrid, Cáceres, Toledo, Talavera Y Logroño)</v>
      </c>
    </row>
    <row r="1738" spans="2:16">
      <c r="B1738" s="6">
        <f ca="1">IFERROR(__xludf.DUMMYFUNCTION("""COMPUTED_VALUE"""),2025)</f>
        <v>2025</v>
      </c>
      <c r="C1738" s="6">
        <f ca="1">IFERROR(__xludf.DUMMYFUNCTION("""COMPUTED_VALUE"""),12)</f>
        <v>12</v>
      </c>
      <c r="D1738" s="6" t="str">
        <f ca="1">IFERROR(__xludf.DUMMYFUNCTION("""COMPUTED_VALUE"""),"NO")</f>
        <v>NO</v>
      </c>
      <c r="E1738" s="6" t="str">
        <f ca="1">IFERROR(__xludf.DUMMYFUNCTION("""COMPUTED_VALUE"""),"Madrid- Galileo")</f>
        <v>Madrid- Galileo</v>
      </c>
      <c r="F1738" s="16">
        <f ca="1">IFERROR(__xludf.DUMMYFUNCTION("""COMPUTED_VALUE"""),46021)</f>
        <v>46021</v>
      </c>
      <c r="G1738" s="16">
        <f ca="1">IFERROR(__xludf.DUMMYFUNCTION("""COMPUTED_VALUE"""),45978)</f>
        <v>45978</v>
      </c>
      <c r="H1738" s="6" t="str">
        <f ca="1">IFERROR(__xludf.DUMMYFUNCTION("""COMPUTED_VALUE"""),"Moncloa")</f>
        <v>Moncloa</v>
      </c>
      <c r="I1738" s="6" t="str">
        <f ca="1">IFERROR(__xludf.DUMMYFUNCTION("""COMPUTED_VALUE"""),"C202511171133555602")</f>
        <v>C202511171133555602</v>
      </c>
      <c r="J1738" s="6" t="str">
        <f ca="1">IFERROR(__xludf.DUMMYFUNCTION("""COMPUTED_VALUE"""),"MARIA NIEVES GARCIA DE LAS PEÑAS")</f>
        <v>MARIA NIEVES GARCIA DE LAS PEÑAS</v>
      </c>
      <c r="K1738" s="6">
        <f ca="1">IFERROR(__xludf.DUMMYFUNCTION("""COMPUTED_VALUE"""),2)</f>
        <v>2</v>
      </c>
      <c r="L1738" s="139">
        <f ca="1">IFERROR(__xludf.DUMMYFUNCTION("""COMPUTED_VALUE"""),2718.18)</f>
        <v>2718.18</v>
      </c>
      <c r="M1738" s="6" t="str">
        <f ca="1">IFERROR(__xludf.DUMMYFUNCTION("""COMPUTED_VALUE"""),"03 ORL")</f>
        <v>03 ORL</v>
      </c>
      <c r="N1738" s="6" t="str">
        <f ca="1">IFERROR(__xludf.DUMMYFUNCTION("""COMPUTED_VALUE"""),"06 ORL")</f>
        <v>06 ORL</v>
      </c>
      <c r="O1738" s="6" t="str">
        <f ca="1">IFERROR(__xludf.DUMMYFUNCTION("""COMPUTED_VALUE"""),"Dr, Iván Muerte Moreno")</f>
        <v>Dr, Iván Muerte Moreno</v>
      </c>
      <c r="P1738" s="6" t="str">
        <f ca="1">IFERROR(__xludf.DUMMYFUNCTION("""COMPUTED_VALUE"""),"Lisandro Russian (Madrid, Cáceres, Toledo, Talavera Y Logroño)")</f>
        <v>Lisandro Russian (Madrid, Cáceres, Toledo, Talavera Y Logroño)</v>
      </c>
    </row>
    <row r="1739" spans="2:16">
      <c r="B1739" s="6">
        <f ca="1">IFERROR(__xludf.DUMMYFUNCTION("""COMPUTED_VALUE"""),2025)</f>
        <v>2025</v>
      </c>
      <c r="C1739" s="6">
        <f ca="1">IFERROR(__xludf.DUMMYFUNCTION("""COMPUTED_VALUE"""),12)</f>
        <v>12</v>
      </c>
      <c r="D1739" s="6" t="str">
        <f ca="1">IFERROR(__xludf.DUMMYFUNCTION("""COMPUTED_VALUE"""),"NO")</f>
        <v>NO</v>
      </c>
      <c r="E1739" s="6" t="str">
        <f ca="1">IFERROR(__xludf.DUMMYFUNCTION("""COMPUTED_VALUE"""),"Madrid- Galileo")</f>
        <v>Madrid- Galileo</v>
      </c>
      <c r="F1739" s="16">
        <f ca="1">IFERROR(__xludf.DUMMYFUNCTION("""COMPUTED_VALUE"""),46021)</f>
        <v>46021</v>
      </c>
      <c r="G1739" s="16">
        <f ca="1">IFERROR(__xludf.DUMMYFUNCTION("""COMPUTED_VALUE"""),45964)</f>
        <v>45964</v>
      </c>
      <c r="H1739" s="6" t="str">
        <f ca="1">IFERROR(__xludf.DUMMYFUNCTION("""COMPUTED_VALUE"""),"Moncloa")</f>
        <v>Moncloa</v>
      </c>
      <c r="I1739" s="6" t="str">
        <f ca="1">IFERROR(__xludf.DUMMYFUNCTION("""COMPUTED_VALUE"""),"C20251131118208418")</f>
        <v>C20251131118208418</v>
      </c>
      <c r="J1739" s="6" t="str">
        <f ca="1">IFERROR(__xludf.DUMMYFUNCTION("""COMPUTED_VALUE"""),"ANGEL ALEJANDRO ESTRADA CHIRINOS")</f>
        <v>ANGEL ALEJANDRO ESTRADA CHIRINOS</v>
      </c>
      <c r="K1739" s="6">
        <f ca="1">IFERROR(__xludf.DUMMYFUNCTION("""COMPUTED_VALUE"""),2)</f>
        <v>2</v>
      </c>
      <c r="L1739" s="139">
        <f ca="1">IFERROR(__xludf.DUMMYFUNCTION("""COMPUTED_VALUE"""),3631.82)</f>
        <v>3631.82</v>
      </c>
      <c r="M1739" s="6" t="str">
        <f ca="1">IFERROR(__xludf.DUMMYFUNCTION("""COMPUTED_VALUE"""),"03 ORL")</f>
        <v>03 ORL</v>
      </c>
      <c r="N1739" s="6" t="str">
        <f ca="1">IFERROR(__xludf.DUMMYFUNCTION("""COMPUTED_VALUE"""),"06 ORL")</f>
        <v>06 ORL</v>
      </c>
      <c r="O1739" s="6" t="str">
        <f ca="1">IFERROR(__xludf.DUMMYFUNCTION("""COMPUTED_VALUE"""),"Dra, Beatriz Arana Fernández")</f>
        <v>Dra, Beatriz Arana Fernández</v>
      </c>
      <c r="P1739" s="6" t="str">
        <f ca="1">IFERROR(__xludf.DUMMYFUNCTION("""COMPUTED_VALUE"""),"Maika Blázquez (Madrid)")</f>
        <v>Maika Blázquez (Madrid)</v>
      </c>
    </row>
    <row r="1740" spans="2:16">
      <c r="B1740" s="6">
        <f ca="1">IFERROR(__xludf.DUMMYFUNCTION("""COMPUTED_VALUE"""),2025)</f>
        <v>2025</v>
      </c>
      <c r="C1740" s="6">
        <f ca="1">IFERROR(__xludf.DUMMYFUNCTION("""COMPUTED_VALUE"""),12)</f>
        <v>12</v>
      </c>
      <c r="D1740" s="6" t="str">
        <f ca="1">IFERROR(__xludf.DUMMYFUNCTION("""COMPUTED_VALUE"""),"NO")</f>
        <v>NO</v>
      </c>
      <c r="E1740" s="6" t="str">
        <f ca="1">IFERROR(__xludf.DUMMYFUNCTION("""COMPUTED_VALUE"""),"Fuenlabrada")</f>
        <v>Fuenlabrada</v>
      </c>
      <c r="F1740" s="16">
        <f ca="1">IFERROR(__xludf.DUMMYFUNCTION("""COMPUTED_VALUE"""),46022)</f>
        <v>46022</v>
      </c>
      <c r="G1740" s="16">
        <f ca="1">IFERROR(__xludf.DUMMYFUNCTION("""COMPUTED_VALUE"""),45946)</f>
        <v>45946</v>
      </c>
      <c r="H1740" s="6" t="str">
        <f ca="1">IFERROR(__xludf.DUMMYFUNCTION("""COMPUTED_VALUE"""),"Fuenlabrada")</f>
        <v>Fuenlabrada</v>
      </c>
      <c r="I1740" s="6" t="str">
        <f ca="1">IFERROR(__xludf.DUMMYFUNCTION("""COMPUTED_VALUE"""),"C202510161191942907")</f>
        <v>C202510161191942907</v>
      </c>
      <c r="J1740" s="6" t="str">
        <f ca="1">IFERROR(__xludf.DUMMYFUNCTION("""COMPUTED_VALUE"""),"MARIA DEL CARMEN LAPAZ BARBA")</f>
        <v>MARIA DEL CARMEN LAPAZ BARBA</v>
      </c>
      <c r="K1740" s="6">
        <f ca="1">IFERROR(__xludf.DUMMYFUNCTION("""COMPUTED_VALUE"""),1)</f>
        <v>1</v>
      </c>
      <c r="L1740" s="139">
        <f ca="1">IFERROR(__xludf.DUMMYFUNCTION("""COMPUTED_VALUE"""),1359.09)</f>
        <v>1359.09</v>
      </c>
      <c r="M1740" s="6" t="str">
        <f ca="1">IFERROR(__xludf.DUMMYFUNCTION("""COMPUTED_VALUE"""),"03 ORL")</f>
        <v>03 ORL</v>
      </c>
      <c r="N1740" s="6" t="str">
        <f ca="1">IFERROR(__xludf.DUMMYFUNCTION("""COMPUTED_VALUE"""),"06 ORL")</f>
        <v>06 ORL</v>
      </c>
      <c r="O1740" s="6" t="str">
        <f ca="1">IFERROR(__xludf.DUMMYFUNCTION("""COMPUTED_VALUE"""),"Dra, Estefania Miranda Sánchez")</f>
        <v>Dra, Estefania Miranda Sánchez</v>
      </c>
      <c r="P1740" s="6" t="str">
        <f ca="1">IFERROR(__xludf.DUMMYFUNCTION("""COMPUTED_VALUE"""),"Maika Blázquez (Madrid)")</f>
        <v>Maika Blázquez (Madrid)</v>
      </c>
    </row>
    <row r="1741" spans="2:16">
      <c r="B1741" s="6">
        <f ca="1">IFERROR(__xludf.DUMMYFUNCTION("""COMPUTED_VALUE"""),2025)</f>
        <v>2025</v>
      </c>
      <c r="C1741" s="6">
        <f ca="1">IFERROR(__xludf.DUMMYFUNCTION("""COMPUTED_VALUE"""),12)</f>
        <v>12</v>
      </c>
      <c r="D1741" s="6" t="str">
        <f ca="1">IFERROR(__xludf.DUMMYFUNCTION("""COMPUTED_VALUE"""),"NO")</f>
        <v>NO</v>
      </c>
      <c r="E1741" s="6" t="str">
        <f ca="1">IFERROR(__xludf.DUMMYFUNCTION("""COMPUTED_VALUE"""),"Cáceres")</f>
        <v>Cáceres</v>
      </c>
      <c r="F1741" s="16">
        <f ca="1">IFERROR(__xludf.DUMMYFUNCTION("""COMPUTED_VALUE"""),46022)</f>
        <v>46022</v>
      </c>
      <c r="G1741" s="16">
        <f ca="1">IFERROR(__xludf.DUMMYFUNCTION("""COMPUTED_VALUE"""),45986)</f>
        <v>45986</v>
      </c>
      <c r="H1741" s="6" t="str">
        <f ca="1">IFERROR(__xludf.DUMMYFUNCTION("""COMPUTED_VALUE"""),"Cáceres")</f>
        <v>Cáceres</v>
      </c>
      <c r="I1741" s="6" t="str">
        <f ca="1">IFERROR(__xludf.DUMMYFUNCTION("""COMPUTED_VALUE"""),"C202511251231359232")</f>
        <v>C202511251231359232</v>
      </c>
      <c r="J1741" s="6" t="str">
        <f ca="1">IFERROR(__xludf.DUMMYFUNCTION("""COMPUTED_VALUE"""),"JOSE MIGUEL RODILLA SANCHEZ")</f>
        <v>JOSE MIGUEL RODILLA SANCHEZ</v>
      </c>
      <c r="K1741" s="6">
        <f ca="1">IFERROR(__xludf.DUMMYFUNCTION("""COMPUTED_VALUE"""),2)</f>
        <v>2</v>
      </c>
      <c r="L1741" s="139">
        <f ca="1">IFERROR(__xludf.DUMMYFUNCTION("""COMPUTED_VALUE"""),4045.45)</f>
        <v>4045.45</v>
      </c>
      <c r="M1741" s="6" t="str">
        <f ca="1">IFERROR(__xludf.DUMMYFUNCTION("""COMPUTED_VALUE"""),"03 ORL")</f>
        <v>03 ORL</v>
      </c>
      <c r="N1741" s="6" t="str">
        <f ca="1">IFERROR(__xludf.DUMMYFUNCTION("""COMPUTED_VALUE"""),"06 ORL")</f>
        <v>06 ORL</v>
      </c>
      <c r="O1741" s="6" t="str">
        <f ca="1">IFERROR(__xludf.DUMMYFUNCTION("""COMPUTED_VALUE"""),"Dra, Isabel Bustillo García")</f>
        <v>Dra, Isabel Bustillo García</v>
      </c>
      <c r="P1741" s="6" t="str">
        <f ca="1">IFERROR(__xludf.DUMMYFUNCTION("""COMPUTED_VALUE"""),"Lisandro Russian (Madrid, Cáceres, Toledo, Talavera Y Logroño)")</f>
        <v>Lisandro Russian (Madrid, Cáceres, Toledo, Talavera Y Logroño)</v>
      </c>
    </row>
    <row r="1742" spans="2:16">
      <c r="B1742" s="6">
        <f ca="1">IFERROR(__xludf.DUMMYFUNCTION("""COMPUTED_VALUE"""),2025)</f>
        <v>2025</v>
      </c>
      <c r="C1742" s="6">
        <f ca="1">IFERROR(__xludf.DUMMYFUNCTION("""COMPUTED_VALUE"""),12)</f>
        <v>12</v>
      </c>
      <c r="D1742" s="6" t="str">
        <f ca="1">IFERROR(__xludf.DUMMYFUNCTION("""COMPUTED_VALUE"""),"NO")</f>
        <v>NO</v>
      </c>
      <c r="E1742" s="6" t="str">
        <f ca="1">IFERROR(__xludf.DUMMYFUNCTION("""COMPUTED_VALUE"""),"San Javier")</f>
        <v>San Javier</v>
      </c>
      <c r="F1742" s="16">
        <f ca="1">IFERROR(__xludf.DUMMYFUNCTION("""COMPUTED_VALUE"""),46022)</f>
        <v>46022</v>
      </c>
      <c r="G1742" s="16">
        <f ca="1">IFERROR(__xludf.DUMMYFUNCTION("""COMPUTED_VALUE"""),45965)</f>
        <v>45965</v>
      </c>
      <c r="H1742" s="6" t="str">
        <f ca="1">IFERROR(__xludf.DUMMYFUNCTION("""COMPUTED_VALUE"""),"San Javier")</f>
        <v>San Javier</v>
      </c>
      <c r="I1742" s="6" t="str">
        <f ca="1">IFERROR(__xludf.DUMMYFUNCTION("""COMPUTED_VALUE"""),"C202511492022679732")</f>
        <v>C202511492022679732</v>
      </c>
      <c r="J1742" s="6" t="str">
        <f ca="1">IFERROR(__xludf.DUMMYFUNCTION("""COMPUTED_VALUE"""),"MIGUEL MOLINA HEREDIA")</f>
        <v>MIGUEL MOLINA HEREDIA</v>
      </c>
      <c r="K1742" s="6">
        <f ca="1">IFERROR(__xludf.DUMMYFUNCTION("""COMPUTED_VALUE"""),1)</f>
        <v>1</v>
      </c>
      <c r="L1742" s="139">
        <f ca="1">IFERROR(__xludf.DUMMYFUNCTION("""COMPUTED_VALUE"""),2162.73)</f>
        <v>2162.73</v>
      </c>
      <c r="M1742" s="6" t="str">
        <f ca="1">IFERROR(__xludf.DUMMYFUNCTION("""COMPUTED_VALUE"""),"03 ORL")</f>
        <v>03 ORL</v>
      </c>
      <c r="N1742" s="6" t="str">
        <f ca="1">IFERROR(__xludf.DUMMYFUNCTION("""COMPUTED_VALUE"""),"06 ORL")</f>
        <v>06 ORL</v>
      </c>
      <c r="O1742" s="6" t="str">
        <f ca="1">IFERROR(__xludf.DUMMYFUNCTION("""COMPUTED_VALUE"""),"Dra, Alba Molina Moreno")</f>
        <v>Dra, Alba Molina Moreno</v>
      </c>
      <c r="P1742" s="6" t="str">
        <f ca="1">IFERROR(__xludf.DUMMYFUNCTION("""COMPUTED_VALUE"""),"Iván Sánchez (Levante Y Albacete)")</f>
        <v>Iván Sánchez (Levante Y Albacete)</v>
      </c>
    </row>
    <row r="1743" spans="2:16">
      <c r="B1743" s="6">
        <f ca="1">IFERROR(__xludf.DUMMYFUNCTION("""COMPUTED_VALUE"""),2025)</f>
        <v>2025</v>
      </c>
      <c r="C1743" s="6">
        <f ca="1">IFERROR(__xludf.DUMMYFUNCTION("""COMPUTED_VALUE"""),12)</f>
        <v>12</v>
      </c>
      <c r="D1743" s="6" t="str">
        <f ca="1">IFERROR(__xludf.DUMMYFUNCTION("""COMPUTED_VALUE"""),"NO")</f>
        <v>NO</v>
      </c>
      <c r="E1743" s="6" t="str">
        <f ca="1">IFERROR(__xludf.DUMMYFUNCTION("""COMPUTED_VALUE"""),"Sevilla- Montoto")</f>
        <v>Sevilla- Montoto</v>
      </c>
      <c r="F1743" s="16">
        <f ca="1">IFERROR(__xludf.DUMMYFUNCTION("""COMPUTED_VALUE"""),46022)</f>
        <v>46022</v>
      </c>
      <c r="G1743" s="16">
        <f ca="1">IFERROR(__xludf.DUMMYFUNCTION("""COMPUTED_VALUE"""),45958)</f>
        <v>45958</v>
      </c>
      <c r="H1743" s="6" t="str">
        <f ca="1">IFERROR(__xludf.DUMMYFUNCTION("""COMPUTED_VALUE"""),"Montoto")</f>
        <v>Montoto</v>
      </c>
      <c r="I1743" s="6" t="str">
        <f ca="1">IFERROR(__xludf.DUMMYFUNCTION("""COMPUTED_VALUE"""),"C202510281722132524")</f>
        <v>C202510281722132524</v>
      </c>
      <c r="J1743" s="6" t="str">
        <f ca="1">IFERROR(__xludf.DUMMYFUNCTION("""COMPUTED_VALUE"""),"FRANCISCO LORA ZAMORA")</f>
        <v>FRANCISCO LORA ZAMORA</v>
      </c>
      <c r="K1743" s="6">
        <f ca="1">IFERROR(__xludf.DUMMYFUNCTION("""COMPUTED_VALUE"""),2)</f>
        <v>2</v>
      </c>
      <c r="L1743" s="139">
        <f ca="1">IFERROR(__xludf.DUMMYFUNCTION("""COMPUTED_VALUE"""),3800)</f>
        <v>3800</v>
      </c>
      <c r="M1743" s="6" t="str">
        <f ca="1">IFERROR(__xludf.DUMMYFUNCTION("""COMPUTED_VALUE"""),"03 ORL")</f>
        <v>03 ORL</v>
      </c>
      <c r="N1743" s="6" t="str">
        <f ca="1">IFERROR(__xludf.DUMMYFUNCTION("""COMPUTED_VALUE"""),"06 ORL")</f>
        <v>06 ORL</v>
      </c>
      <c r="O1743" s="6" t="str">
        <f ca="1">IFERROR(__xludf.DUMMYFUNCTION("""COMPUTED_VALUE"""),"Dra, Estefanía Berrocal Postigo")</f>
        <v>Dra, Estefanía Berrocal Postigo</v>
      </c>
      <c r="P1743" s="6" t="str">
        <f ca="1">IFERROR(__xludf.DUMMYFUNCTION("""COMPUTED_VALUE"""),"Luis Alberto Rodríguez (Andalucía y Badajoz)")</f>
        <v>Luis Alberto Rodríguez (Andalucía y Badajoz)</v>
      </c>
    </row>
    <row r="1744" spans="2:16">
      <c r="B1744" s="6">
        <f ca="1">IFERROR(__xludf.DUMMYFUNCTION("""COMPUTED_VALUE"""),2025)</f>
        <v>2025</v>
      </c>
      <c r="C1744" s="6">
        <f ca="1">IFERROR(__xludf.DUMMYFUNCTION("""COMPUTED_VALUE"""),12)</f>
        <v>12</v>
      </c>
      <c r="D1744" s="6" t="str">
        <f ca="1">IFERROR(__xludf.DUMMYFUNCTION("""COMPUTED_VALUE"""),"NO")</f>
        <v>NO</v>
      </c>
      <c r="E1744" s="6" t="str">
        <f ca="1">IFERROR(__xludf.DUMMYFUNCTION("""COMPUTED_VALUE"""),"Madrid- La Oca")</f>
        <v>Madrid- La Oca</v>
      </c>
      <c r="F1744" s="16">
        <f ca="1">IFERROR(__xludf.DUMMYFUNCTION("""COMPUTED_VALUE"""),46022)</f>
        <v>46022</v>
      </c>
      <c r="G1744" s="16">
        <f ca="1">IFERROR(__xludf.DUMMYFUNCTION("""COMPUTED_VALUE"""),46002)</f>
        <v>46002</v>
      </c>
      <c r="H1744" s="6" t="str">
        <f ca="1">IFERROR(__xludf.DUMMYFUNCTION("""COMPUTED_VALUE"""),"La Oca")</f>
        <v>La Oca</v>
      </c>
      <c r="I1744" s="6" t="str">
        <f ca="1">IFERROR(__xludf.DUMMYFUNCTION("""COMPUTED_VALUE"""),"C202512111233575181")</f>
        <v>C202512111233575181</v>
      </c>
      <c r="J1744" s="6" t="str">
        <f ca="1">IFERROR(__xludf.DUMMYFUNCTION("""COMPUTED_VALUE"""),"DIMITRANKA PETKOVA TODOROVA")</f>
        <v>DIMITRANKA PETKOVA TODOROVA</v>
      </c>
      <c r="K1744" s="6">
        <f ca="1">IFERROR(__xludf.DUMMYFUNCTION("""COMPUTED_VALUE"""),2)</f>
        <v>2</v>
      </c>
      <c r="L1744" s="139">
        <f ca="1">IFERROR(__xludf.DUMMYFUNCTION("""COMPUTED_VALUE"""),2718.18)</f>
        <v>2718.18</v>
      </c>
      <c r="M1744" s="6" t="str">
        <f ca="1">IFERROR(__xludf.DUMMYFUNCTION("""COMPUTED_VALUE"""),"03 ORL")</f>
        <v>03 ORL</v>
      </c>
      <c r="N1744" s="6" t="str">
        <f ca="1">IFERROR(__xludf.DUMMYFUNCTION("""COMPUTED_VALUE"""),"06 ORL")</f>
        <v>06 ORL</v>
      </c>
      <c r="O1744" s="6" t="str">
        <f ca="1">IFERROR(__xludf.DUMMYFUNCTION("""COMPUTED_VALUE"""),"Dr, Félix Rodríguez Paz")</f>
        <v>Dr, Félix Rodríguez Paz</v>
      </c>
      <c r="P1744" s="6" t="str">
        <f ca="1">IFERROR(__xludf.DUMMYFUNCTION("""COMPUTED_VALUE"""),"Maika Blázquez (Madrid)")</f>
        <v>Maika Blázquez (Madrid)</v>
      </c>
    </row>
    <row r="1745" spans="2:16">
      <c r="B1745" s="6">
        <f ca="1">IFERROR(__xludf.DUMMYFUNCTION("""COMPUTED_VALUE"""),2025)</f>
        <v>2025</v>
      </c>
      <c r="C1745" s="6">
        <f ca="1">IFERROR(__xludf.DUMMYFUNCTION("""COMPUTED_VALUE"""),12)</f>
        <v>12</v>
      </c>
      <c r="D1745" s="6" t="str">
        <f ca="1">IFERROR(__xludf.DUMMYFUNCTION("""COMPUTED_VALUE"""),"NO")</f>
        <v>NO</v>
      </c>
      <c r="E1745" s="6" t="str">
        <f ca="1">IFERROR(__xludf.DUMMYFUNCTION("""COMPUTED_VALUE"""),"Madrid- Monforte de Lemos")</f>
        <v>Madrid- Monforte de Lemos</v>
      </c>
      <c r="F1745" s="16">
        <f ca="1">IFERROR(__xludf.DUMMYFUNCTION("""COMPUTED_VALUE"""),46022)</f>
        <v>46022</v>
      </c>
      <c r="G1745" s="16">
        <f ca="1">IFERROR(__xludf.DUMMYFUNCTION("""COMPUTED_VALUE"""),46003)</f>
        <v>46003</v>
      </c>
      <c r="H1745" s="6" t="str">
        <f ca="1">IFERROR(__xludf.DUMMYFUNCTION("""COMPUTED_VALUE"""),"La Vaguada")</f>
        <v>La Vaguada</v>
      </c>
      <c r="I1745" s="6" t="str">
        <f ca="1">IFERROR(__xludf.DUMMYFUNCTION("""COMPUTED_VALUE"""),"C202512121059282488")</f>
        <v>C202512121059282488</v>
      </c>
      <c r="J1745" s="6" t="str">
        <f ca="1">IFERROR(__xludf.DUMMYFUNCTION("""COMPUTED_VALUE"""),"TOMAS COBO OLVERA")</f>
        <v>TOMAS COBO OLVERA</v>
      </c>
      <c r="K1745" s="6">
        <f ca="1">IFERROR(__xludf.DUMMYFUNCTION("""COMPUTED_VALUE"""),2)</f>
        <v>2</v>
      </c>
      <c r="L1745" s="139">
        <f ca="1">IFERROR(__xludf.DUMMYFUNCTION("""COMPUTED_VALUE"""),4136.36)</f>
        <v>4136.3599999999997</v>
      </c>
      <c r="M1745" s="6" t="str">
        <f ca="1">IFERROR(__xludf.DUMMYFUNCTION("""COMPUTED_VALUE"""),"03 ORL")</f>
        <v>03 ORL</v>
      </c>
      <c r="N1745" s="6" t="str">
        <f ca="1">IFERROR(__xludf.DUMMYFUNCTION("""COMPUTED_VALUE"""),"06 ORL")</f>
        <v>06 ORL</v>
      </c>
      <c r="O1745" s="6" t="str">
        <f ca="1">IFERROR(__xludf.DUMMYFUNCTION("""COMPUTED_VALUE"""),"Dr, Guillermo San Juan de la Moreta")</f>
        <v>Dr, Guillermo San Juan de la Moreta</v>
      </c>
      <c r="P1745" s="6" t="str">
        <f ca="1">IFERROR(__xludf.DUMMYFUNCTION("""COMPUTED_VALUE"""),"Maika Blázquez (Madrid)")</f>
        <v>Maika Blázquez (Madrid)</v>
      </c>
    </row>
    <row r="1746" spans="2:16">
      <c r="B1746" s="6">
        <f ca="1">IFERROR(__xludf.DUMMYFUNCTION("""COMPUTED_VALUE"""),2025)</f>
        <v>2025</v>
      </c>
      <c r="C1746" s="6">
        <f ca="1">IFERROR(__xludf.DUMMYFUNCTION("""COMPUTED_VALUE"""),12)</f>
        <v>12</v>
      </c>
      <c r="D1746" s="6" t="str">
        <f ca="1">IFERROR(__xludf.DUMMYFUNCTION("""COMPUTED_VALUE"""),"NO")</f>
        <v>NO</v>
      </c>
      <c r="E1746" s="6" t="str">
        <f ca="1">IFERROR(__xludf.DUMMYFUNCTION("""COMPUTED_VALUE"""),"Salamanca")</f>
        <v>Salamanca</v>
      </c>
      <c r="F1746" s="16">
        <f ca="1">IFERROR(__xludf.DUMMYFUNCTION("""COMPUTED_VALUE"""),46022)</f>
        <v>46022</v>
      </c>
      <c r="G1746" s="16">
        <f ca="1">IFERROR(__xludf.DUMMYFUNCTION("""COMPUTED_VALUE"""),45971)</f>
        <v>45971</v>
      </c>
      <c r="H1746" s="6" t="str">
        <f ca="1">IFERROR(__xludf.DUMMYFUNCTION("""COMPUTED_VALUE"""),"Salamanca")</f>
        <v>Salamanca</v>
      </c>
      <c r="I1746" s="6" t="str">
        <f ca="1">IFERROR(__xludf.DUMMYFUNCTION("""COMPUTED_VALUE"""),"SLM-655")</f>
        <v>SLM-655</v>
      </c>
      <c r="J1746" s="6" t="str">
        <f ca="1">IFERROR(__xludf.DUMMYFUNCTION("""COMPUTED_VALUE"""),"JOSE RAMON SERRANO PIEDECASAS")</f>
        <v>JOSE RAMON SERRANO PIEDECASAS</v>
      </c>
      <c r="K1746" s="6">
        <f ca="1">IFERROR(__xludf.DUMMYFUNCTION("""COMPUTED_VALUE"""),2)</f>
        <v>2</v>
      </c>
      <c r="L1746" s="139">
        <f ca="1">IFERROR(__xludf.DUMMYFUNCTION("""COMPUTED_VALUE"""),3730)</f>
        <v>3730</v>
      </c>
      <c r="M1746" s="6" t="str">
        <f ca="1">IFERROR(__xludf.DUMMYFUNCTION("""COMPUTED_VALUE"""),"03 ORL")</f>
        <v>03 ORL</v>
      </c>
      <c r="N1746" s="6" t="str">
        <f ca="1">IFERROR(__xludf.DUMMYFUNCTION("""COMPUTED_VALUE"""),"06 ORL")</f>
        <v>06 ORL</v>
      </c>
      <c r="O1746" s="6" t="str">
        <f ca="1">IFERROR(__xludf.DUMMYFUNCTION("""COMPUTED_VALUE"""),"Dr, Ángel Muñoz Herrera")</f>
        <v>Dr, Ángel Muñoz Herrera</v>
      </c>
      <c r="P1746" s="6" t="str">
        <f ca="1">IFERROR(__xludf.DUMMYFUNCTION("""COMPUTED_VALUE"""),"Alberto Moreno (Madrid)")</f>
        <v>Alberto Moreno (Madrid)</v>
      </c>
    </row>
    <row r="1747" spans="2:16">
      <c r="B1747" s="6">
        <f ca="1">IFERROR(__xludf.DUMMYFUNCTION("""COMPUTED_VALUE"""),2025)</f>
        <v>2025</v>
      </c>
      <c r="C1747" s="6">
        <f ca="1">IFERROR(__xludf.DUMMYFUNCTION("""COMPUTED_VALUE"""),12)</f>
        <v>12</v>
      </c>
      <c r="D1747" s="6" t="str">
        <f ca="1">IFERROR(__xludf.DUMMYFUNCTION("""COMPUTED_VALUE"""),"NO")</f>
        <v>NO</v>
      </c>
      <c r="E1747" s="6" t="str">
        <f ca="1">IFERROR(__xludf.DUMMYFUNCTION("""COMPUTED_VALUE"""),"Logroño")</f>
        <v>Logroño</v>
      </c>
      <c r="F1747" s="16">
        <f ca="1">IFERROR(__xludf.DUMMYFUNCTION("""COMPUTED_VALUE"""),46022)</f>
        <v>46022</v>
      </c>
      <c r="G1747" s="16">
        <f ca="1">IFERROR(__xludf.DUMMYFUNCTION("""COMPUTED_VALUE"""),45995)</f>
        <v>45995</v>
      </c>
      <c r="H1747" s="6" t="str">
        <f ca="1">IFERROR(__xludf.DUMMYFUNCTION("""COMPUTED_VALUE"""),"Logroño")</f>
        <v>Logroño</v>
      </c>
      <c r="I1747" s="6" t="str">
        <f ca="1">IFERROR(__xludf.DUMMYFUNCTION("""COMPUTED_VALUE"""),"C202512493338206635")</f>
        <v>C202512493338206635</v>
      </c>
      <c r="J1747" s="6" t="str">
        <f ca="1">IFERROR(__xludf.DUMMYFUNCTION("""COMPUTED_VALUE"""),"ANA OROSIA JIMENEZ JIMENEZ")</f>
        <v>ANA OROSIA JIMENEZ JIMENEZ</v>
      </c>
      <c r="K1747" s="6">
        <f ca="1">IFERROR(__xludf.DUMMYFUNCTION("""COMPUTED_VALUE"""),2)</f>
        <v>2</v>
      </c>
      <c r="L1747" s="139">
        <f ca="1">IFERROR(__xludf.DUMMYFUNCTION("""COMPUTED_VALUE"""),4000)</f>
        <v>4000</v>
      </c>
      <c r="M1747" s="6" t="str">
        <f ca="1">IFERROR(__xludf.DUMMYFUNCTION("""COMPUTED_VALUE"""),"02 MARKETING OFF LINE")</f>
        <v>02 MARKETING OFF LINE</v>
      </c>
      <c r="N1747" s="6" t="str">
        <f ca="1">IFERROR(__xludf.DUMMYFUNCTION("""COMPUTED_VALUE"""),"08 TELEMARKETING LISTADO EXTERNO")</f>
        <v>08 TELEMARKETING LISTADO EXTERNO</v>
      </c>
      <c r="O1747" s="6" t="str">
        <f ca="1">IFERROR(__xludf.DUMMYFUNCTION("""COMPUTED_VALUE"""),"Dr, Garikoitz Calzada Uriondo")</f>
        <v>Dr, Garikoitz Calzada Uriondo</v>
      </c>
      <c r="P1747" s="6" t="str">
        <f ca="1">IFERROR(__xludf.DUMMYFUNCTION("""COMPUTED_VALUE"""),"Lisandro Russian (Madrid, Cáceres, Toledo, Talavera Y Logroño)")</f>
        <v>Lisandro Russian (Madrid, Cáceres, Toledo, Talavera Y Logroño)</v>
      </c>
    </row>
    <row r="1748" spans="2:16">
      <c r="B1748" s="6">
        <f ca="1">IFERROR(__xludf.DUMMYFUNCTION("""COMPUTED_VALUE"""),2025)</f>
        <v>2025</v>
      </c>
      <c r="C1748" s="6">
        <f ca="1">IFERROR(__xludf.DUMMYFUNCTION("""COMPUTED_VALUE"""),12)</f>
        <v>12</v>
      </c>
      <c r="D1748" s="6" t="str">
        <f ca="1">IFERROR(__xludf.DUMMYFUNCTION("""COMPUTED_VALUE"""),"NO")</f>
        <v>NO</v>
      </c>
      <c r="E1748" s="6" t="str">
        <f ca="1">IFERROR(__xludf.DUMMYFUNCTION("""COMPUTED_VALUE"""),"Madrid- La Oca")</f>
        <v>Madrid- La Oca</v>
      </c>
      <c r="F1748" s="16">
        <f ca="1">IFERROR(__xludf.DUMMYFUNCTION("""COMPUTED_VALUE"""),46008)</f>
        <v>46008</v>
      </c>
      <c r="G1748" s="16">
        <f ca="1">IFERROR(__xludf.DUMMYFUNCTION("""COMPUTED_VALUE"""),45939)</f>
        <v>45939</v>
      </c>
      <c r="H1748" s="6" t="str">
        <f ca="1">IFERROR(__xludf.DUMMYFUNCTION("""COMPUTED_VALUE"""),"La Oca")</f>
        <v>La Oca</v>
      </c>
      <c r="I1748" s="6" t="str">
        <f ca="1">IFERROR(__xludf.DUMMYFUNCTION("""COMPUTED_VALUE"""),"C202511715351412")</f>
        <v>C202511715351412</v>
      </c>
      <c r="J1748" s="6" t="str">
        <f ca="1">IFERROR(__xludf.DUMMYFUNCTION("""COMPUTED_VALUE"""),"MIGUEL ANGEL GOMEZ OREJANA")</f>
        <v>MIGUEL ANGEL GOMEZ OREJANA</v>
      </c>
      <c r="K1748" s="6">
        <f ca="1">IFERROR(__xludf.DUMMYFUNCTION("""COMPUTED_VALUE"""),2)</f>
        <v>2</v>
      </c>
      <c r="L1748" s="139">
        <f ca="1">IFERROR(__xludf.DUMMYFUNCTION("""COMPUTED_VALUE"""),2718.18)</f>
        <v>2718.18</v>
      </c>
      <c r="M1748" s="6" t="str">
        <f ca="1">IFERROR(__xludf.DUMMYFUNCTION("""COMPUTED_VALUE"""),"03 ORL")</f>
        <v>03 ORL</v>
      </c>
      <c r="N1748" s="6" t="str">
        <f ca="1">IFERROR(__xludf.DUMMYFUNCTION("""COMPUTED_VALUE"""),"06 ORL")</f>
        <v>06 ORL</v>
      </c>
      <c r="O1748" s="6" t="str">
        <f ca="1">IFERROR(__xludf.DUMMYFUNCTION("""COMPUTED_VALUE"""),"Dr, Joaquín Alacio Casero")</f>
        <v>Dr, Joaquín Alacio Casero</v>
      </c>
      <c r="P1748" s="6" t="str">
        <f ca="1">IFERROR(__xludf.DUMMYFUNCTION("""COMPUTED_VALUE"""),"Maika Blázquez (Madrid)")</f>
        <v>Maika Blázquez (Madrid)</v>
      </c>
    </row>
    <row r="1749" spans="2:16">
      <c r="B1749" s="6">
        <f ca="1">IFERROR(__xludf.DUMMYFUNCTION("""COMPUTED_VALUE"""),2025)</f>
        <v>2025</v>
      </c>
      <c r="C1749" s="6">
        <f ca="1">IFERROR(__xludf.DUMMYFUNCTION("""COMPUTED_VALUE"""),12)</f>
        <v>12</v>
      </c>
      <c r="D1749" s="6" t="str">
        <f ca="1">IFERROR(__xludf.DUMMYFUNCTION("""COMPUTED_VALUE"""),"NO")</f>
        <v>NO</v>
      </c>
      <c r="E1749" s="6" t="str">
        <f ca="1">IFERROR(__xludf.DUMMYFUNCTION("""COMPUTED_VALUE"""),"Torrejón de Ardoz")</f>
        <v>Torrejón de Ardoz</v>
      </c>
      <c r="F1749" s="16">
        <f ca="1">IFERROR(__xludf.DUMMYFUNCTION("""COMPUTED_VALUE"""),46020)</f>
        <v>46020</v>
      </c>
      <c r="G1749" s="16">
        <f ca="1">IFERROR(__xludf.DUMMYFUNCTION("""COMPUTED_VALUE"""),45946)</f>
        <v>45946</v>
      </c>
      <c r="H1749" s="6" t="str">
        <f ca="1">IFERROR(__xludf.DUMMYFUNCTION("""COMPUTED_VALUE"""),"Torrejón")</f>
        <v>Torrejón</v>
      </c>
      <c r="I1749" s="6" t="str">
        <f ca="1">IFERROR(__xludf.DUMMYFUNCTION("""COMPUTED_VALUE"""),"C202510161727576979")</f>
        <v>C202510161727576979</v>
      </c>
      <c r="J1749" s="6" t="str">
        <f ca="1">IFERROR(__xludf.DUMMYFUNCTION("""COMPUTED_VALUE"""),"ISABEL CASTILLO ALMENDROTE")</f>
        <v>ISABEL CASTILLO ALMENDROTE</v>
      </c>
      <c r="K1749" s="6">
        <f ca="1">IFERROR(__xludf.DUMMYFUNCTION("""COMPUTED_VALUE"""),2)</f>
        <v>2</v>
      </c>
      <c r="L1749" s="139">
        <f ca="1">IFERROR(__xludf.DUMMYFUNCTION("""COMPUTED_VALUE"""),4136.36)</f>
        <v>4136.3599999999997</v>
      </c>
      <c r="M1749" s="6" t="str">
        <f ca="1">IFERROR(__xludf.DUMMYFUNCTION("""COMPUTED_VALUE"""),"03 ORL")</f>
        <v>03 ORL</v>
      </c>
      <c r="N1749" s="6" t="str">
        <f ca="1">IFERROR(__xludf.DUMMYFUNCTION("""COMPUTED_VALUE"""),"06 ORL")</f>
        <v>06 ORL</v>
      </c>
      <c r="O1749" s="6" t="str">
        <f ca="1">IFERROR(__xludf.DUMMYFUNCTION("""COMPUTED_VALUE"""),"Dra, María Garrote Garrote")</f>
        <v>Dra, María Garrote Garrote</v>
      </c>
      <c r="P1749" s="6" t="str">
        <f ca="1">IFERROR(__xludf.DUMMYFUNCTION("""COMPUTED_VALUE"""),"Maika Blázquez (Madrid)")</f>
        <v>Maika Blázquez (Madrid)</v>
      </c>
    </row>
  </sheetData>
  <conditionalFormatting sqref="J1:J2848">
    <cfRule type="cellIs" dxfId="1" priority="1" operator="less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2003"/>
  <sheetViews>
    <sheetView workbookViewId="0"/>
  </sheetViews>
  <sheetFormatPr baseColWidth="10" defaultColWidth="12.6640625" defaultRowHeight="15" customHeight="1"/>
  <cols>
    <col min="2" max="2" width="22.6640625" customWidth="1"/>
    <col min="3" max="3" width="15.6640625" customWidth="1"/>
    <col min="4" max="4" width="8.6640625" customWidth="1"/>
    <col min="5" max="5" width="18.83203125" customWidth="1"/>
    <col min="6" max="6" width="24" customWidth="1"/>
  </cols>
  <sheetData>
    <row r="1" spans="1:13">
      <c r="A1" s="141" t="s">
        <v>49</v>
      </c>
      <c r="B1" s="112" t="s">
        <v>54</v>
      </c>
      <c r="C1" s="141" t="s">
        <v>279</v>
      </c>
      <c r="D1" s="112" t="s">
        <v>280</v>
      </c>
      <c r="E1" s="113" t="s">
        <v>281</v>
      </c>
      <c r="F1" s="114" t="s">
        <v>282</v>
      </c>
      <c r="G1" s="112" t="s">
        <v>283</v>
      </c>
      <c r="H1" s="112" t="s">
        <v>284</v>
      </c>
      <c r="J1" s="1"/>
    </row>
    <row r="2" spans="1:13" ht="16">
      <c r="A2" s="1">
        <v>1</v>
      </c>
      <c r="B2" s="117" t="s">
        <v>1</v>
      </c>
      <c r="C2" s="124" t="s">
        <v>320</v>
      </c>
      <c r="D2" s="117"/>
      <c r="E2" s="118" t="s">
        <v>321</v>
      </c>
      <c r="F2" s="119" t="s">
        <v>322</v>
      </c>
      <c r="G2" s="1">
        <v>2</v>
      </c>
      <c r="H2" s="140"/>
      <c r="I2" s="140"/>
      <c r="J2" s="140"/>
      <c r="K2" s="140"/>
      <c r="L2" s="140"/>
      <c r="M2" s="140"/>
    </row>
    <row r="3" spans="1:13" ht="16">
      <c r="A3" s="1">
        <v>1</v>
      </c>
      <c r="B3" s="117" t="s">
        <v>1</v>
      </c>
      <c r="C3" s="124" t="s">
        <v>320</v>
      </c>
      <c r="D3" s="117"/>
      <c r="E3" s="118" t="s">
        <v>321</v>
      </c>
      <c r="F3" s="119" t="s">
        <v>323</v>
      </c>
      <c r="G3" s="4">
        <v>1</v>
      </c>
      <c r="I3" s="140"/>
      <c r="J3" s="140"/>
      <c r="K3" s="140"/>
      <c r="L3" s="140"/>
      <c r="M3" s="140"/>
    </row>
    <row r="4" spans="1:13" ht="12" customHeight="1">
      <c r="A4" s="1">
        <v>1</v>
      </c>
      <c r="B4" s="117" t="s">
        <v>1</v>
      </c>
      <c r="C4" s="124" t="s">
        <v>320</v>
      </c>
      <c r="D4" s="1"/>
      <c r="E4" s="120" t="s">
        <v>28</v>
      </c>
      <c r="F4" s="119" t="s">
        <v>324</v>
      </c>
      <c r="G4" s="1">
        <v>2</v>
      </c>
      <c r="H4" s="140"/>
      <c r="I4" s="140"/>
      <c r="J4" s="140"/>
      <c r="K4" s="140"/>
      <c r="L4" s="140"/>
      <c r="M4" s="140"/>
    </row>
    <row r="5" spans="1:13" ht="16">
      <c r="A5" s="1">
        <v>1</v>
      </c>
      <c r="B5" s="117" t="s">
        <v>1</v>
      </c>
      <c r="C5" s="124" t="s">
        <v>320</v>
      </c>
      <c r="D5" s="1"/>
      <c r="E5" s="120" t="s">
        <v>325</v>
      </c>
      <c r="F5" s="119" t="s">
        <v>326</v>
      </c>
      <c r="G5" s="1">
        <v>2</v>
      </c>
      <c r="H5" s="140"/>
      <c r="I5" s="140"/>
      <c r="J5" s="140"/>
      <c r="K5" s="140"/>
      <c r="L5" s="140"/>
      <c r="M5" s="140"/>
    </row>
    <row r="6" spans="1:13" ht="16">
      <c r="A6" s="1">
        <v>1</v>
      </c>
      <c r="B6" s="117" t="s">
        <v>1</v>
      </c>
      <c r="C6" s="124" t="s">
        <v>320</v>
      </c>
      <c r="D6" s="1"/>
      <c r="E6" s="120" t="s">
        <v>327</v>
      </c>
      <c r="F6" s="119" t="s">
        <v>328</v>
      </c>
      <c r="G6" s="1">
        <v>2</v>
      </c>
      <c r="H6" s="140"/>
      <c r="I6" s="140"/>
      <c r="J6" s="140"/>
      <c r="K6" s="140"/>
      <c r="L6" s="140"/>
      <c r="M6" s="140"/>
    </row>
    <row r="7" spans="1:13" ht="16">
      <c r="A7" s="1">
        <v>1</v>
      </c>
      <c r="B7" s="117" t="s">
        <v>1</v>
      </c>
      <c r="C7" s="124" t="s">
        <v>320</v>
      </c>
      <c r="D7" s="1"/>
      <c r="E7" s="120" t="s">
        <v>22</v>
      </c>
      <c r="F7" s="119" t="s">
        <v>329</v>
      </c>
      <c r="G7" s="1">
        <v>2</v>
      </c>
      <c r="H7" s="140"/>
      <c r="I7" s="140"/>
      <c r="J7" s="140"/>
      <c r="K7" s="140"/>
      <c r="L7" s="140"/>
      <c r="M7" s="140"/>
    </row>
    <row r="8" spans="1:13" ht="16">
      <c r="A8" s="1">
        <v>1</v>
      </c>
      <c r="B8" s="117" t="s">
        <v>1</v>
      </c>
      <c r="C8" s="121" t="s">
        <v>330</v>
      </c>
      <c r="D8" s="1"/>
      <c r="E8" s="120" t="s">
        <v>28</v>
      </c>
      <c r="F8" s="119" t="s">
        <v>331</v>
      </c>
      <c r="G8" s="1">
        <v>2</v>
      </c>
      <c r="H8" s="140"/>
      <c r="I8" s="140"/>
      <c r="J8" s="140"/>
      <c r="K8" s="140"/>
      <c r="L8" s="140"/>
      <c r="M8" s="140"/>
    </row>
    <row r="9" spans="1:13" ht="16">
      <c r="A9" s="1">
        <v>1</v>
      </c>
      <c r="B9" s="117" t="s">
        <v>1</v>
      </c>
      <c r="C9" s="116" t="s">
        <v>330</v>
      </c>
      <c r="D9" s="115"/>
      <c r="E9" s="120" t="s">
        <v>28</v>
      </c>
      <c r="F9" s="122" t="s">
        <v>332</v>
      </c>
      <c r="G9" s="123">
        <v>2</v>
      </c>
      <c r="H9" s="140"/>
      <c r="I9" s="140"/>
      <c r="J9" s="140"/>
      <c r="K9" s="140"/>
      <c r="L9" s="140"/>
      <c r="M9" s="140"/>
    </row>
    <row r="10" spans="1:13" ht="16">
      <c r="A10" s="1">
        <v>1</v>
      </c>
      <c r="B10" s="117" t="s">
        <v>5</v>
      </c>
      <c r="C10" s="116" t="s">
        <v>320</v>
      </c>
      <c r="D10" s="115"/>
      <c r="E10" s="118" t="s">
        <v>333</v>
      </c>
      <c r="F10" s="122" t="s">
        <v>334</v>
      </c>
      <c r="G10" s="123">
        <v>1</v>
      </c>
      <c r="H10" s="140"/>
      <c r="I10" s="140"/>
      <c r="J10" s="140"/>
      <c r="K10" s="140"/>
      <c r="L10" s="140"/>
      <c r="M10" s="140"/>
    </row>
    <row r="11" spans="1:13" ht="16">
      <c r="A11" s="1">
        <v>1</v>
      </c>
      <c r="B11" s="117" t="s">
        <v>5</v>
      </c>
      <c r="C11" s="116" t="s">
        <v>320</v>
      </c>
      <c r="D11" s="115"/>
      <c r="E11" s="118" t="s">
        <v>335</v>
      </c>
      <c r="F11" s="122" t="s">
        <v>336</v>
      </c>
      <c r="G11" s="123">
        <v>1</v>
      </c>
      <c r="H11" s="140"/>
      <c r="I11" s="140"/>
      <c r="J11" s="140"/>
      <c r="K11" s="140"/>
      <c r="L11" s="140"/>
      <c r="M11" s="140"/>
    </row>
    <row r="12" spans="1:13" ht="16">
      <c r="A12" s="1">
        <v>1</v>
      </c>
      <c r="B12" s="117" t="s">
        <v>5</v>
      </c>
      <c r="C12" s="116" t="s">
        <v>320</v>
      </c>
      <c r="D12" s="115"/>
      <c r="E12" s="118" t="s">
        <v>337</v>
      </c>
      <c r="F12" s="122" t="s">
        <v>338</v>
      </c>
      <c r="G12" s="123">
        <v>2</v>
      </c>
      <c r="H12" s="140"/>
      <c r="I12" s="140"/>
      <c r="J12" s="140"/>
      <c r="K12" s="140"/>
      <c r="L12" s="140"/>
      <c r="M12" s="140"/>
    </row>
    <row r="13" spans="1:13" ht="16">
      <c r="A13" s="1">
        <v>1</v>
      </c>
      <c r="B13" s="117" t="s">
        <v>339</v>
      </c>
      <c r="C13" s="124" t="s">
        <v>340</v>
      </c>
      <c r="D13" s="117"/>
      <c r="E13" s="118" t="s">
        <v>341</v>
      </c>
      <c r="F13" s="125" t="s">
        <v>342</v>
      </c>
      <c r="G13" s="126">
        <v>2</v>
      </c>
      <c r="H13" s="140"/>
      <c r="I13" s="140"/>
      <c r="J13" s="140"/>
      <c r="K13" s="140"/>
      <c r="L13" s="140"/>
      <c r="M13" s="140"/>
    </row>
    <row r="14" spans="1:13" ht="16">
      <c r="A14" s="142">
        <v>1</v>
      </c>
      <c r="B14" s="117" t="s">
        <v>339</v>
      </c>
      <c r="C14" s="124" t="s">
        <v>340</v>
      </c>
      <c r="D14" s="117"/>
      <c r="E14" s="118" t="s">
        <v>341</v>
      </c>
      <c r="F14" s="125" t="s">
        <v>343</v>
      </c>
      <c r="G14" s="126">
        <v>2</v>
      </c>
      <c r="H14" s="140"/>
      <c r="I14" s="140"/>
      <c r="J14" s="140"/>
      <c r="K14" s="140"/>
      <c r="L14" s="140"/>
      <c r="M14" s="140"/>
    </row>
    <row r="15" spans="1:13" ht="16">
      <c r="A15" s="4">
        <v>1</v>
      </c>
      <c r="B15" s="117" t="s">
        <v>339</v>
      </c>
      <c r="C15" s="124" t="s">
        <v>340</v>
      </c>
      <c r="D15" s="117"/>
      <c r="E15" s="118" t="s">
        <v>341</v>
      </c>
      <c r="F15" s="125" t="s">
        <v>344</v>
      </c>
      <c r="G15" s="126">
        <v>1</v>
      </c>
      <c r="H15" s="140"/>
      <c r="I15" s="140"/>
      <c r="J15" s="140"/>
      <c r="K15" s="140"/>
      <c r="L15" s="140"/>
      <c r="M15" s="140"/>
    </row>
    <row r="16" spans="1:13" ht="16">
      <c r="A16" s="115">
        <v>2</v>
      </c>
      <c r="B16" s="117" t="s">
        <v>5</v>
      </c>
      <c r="C16" s="124" t="s">
        <v>320</v>
      </c>
      <c r="D16" s="117"/>
      <c r="E16" s="118" t="s">
        <v>11</v>
      </c>
      <c r="F16" s="125" t="s">
        <v>345</v>
      </c>
      <c r="G16" s="117">
        <v>2</v>
      </c>
      <c r="I16" s="140"/>
      <c r="J16" s="140"/>
      <c r="K16" s="140"/>
      <c r="L16" s="140"/>
      <c r="M16" s="140"/>
    </row>
    <row r="17" spans="1:13" ht="16">
      <c r="A17" s="115">
        <v>2</v>
      </c>
      <c r="B17" s="117" t="s">
        <v>5</v>
      </c>
      <c r="C17" s="124" t="s">
        <v>346</v>
      </c>
      <c r="D17" s="117"/>
      <c r="E17" s="118" t="s">
        <v>347</v>
      </c>
      <c r="F17" s="125" t="s">
        <v>348</v>
      </c>
      <c r="G17" s="117">
        <v>2</v>
      </c>
      <c r="I17" s="140"/>
      <c r="J17" s="140"/>
      <c r="K17" s="140"/>
      <c r="L17" s="140"/>
      <c r="M17" s="140"/>
    </row>
    <row r="18" spans="1:13" ht="16">
      <c r="A18" s="115">
        <v>2</v>
      </c>
      <c r="B18" s="117" t="s">
        <v>1</v>
      </c>
      <c r="C18" s="124" t="s">
        <v>320</v>
      </c>
      <c r="D18" s="117"/>
      <c r="E18" s="118" t="s">
        <v>349</v>
      </c>
      <c r="F18" s="125" t="s">
        <v>350</v>
      </c>
      <c r="G18" s="117">
        <v>2</v>
      </c>
      <c r="I18" s="140"/>
      <c r="J18" s="140"/>
      <c r="K18" s="140"/>
      <c r="L18" s="140"/>
      <c r="M18" s="140"/>
    </row>
    <row r="19" spans="1:13" ht="16">
      <c r="A19" s="115">
        <v>2</v>
      </c>
      <c r="B19" s="117" t="s">
        <v>1</v>
      </c>
      <c r="C19" s="124" t="s">
        <v>320</v>
      </c>
      <c r="D19" s="117"/>
      <c r="E19" s="118" t="s">
        <v>351</v>
      </c>
      <c r="F19" s="125" t="s">
        <v>352</v>
      </c>
      <c r="G19" s="117">
        <v>2</v>
      </c>
      <c r="I19" s="140"/>
      <c r="J19" s="140"/>
      <c r="K19" s="140"/>
      <c r="L19" s="140"/>
      <c r="M19" s="140"/>
    </row>
    <row r="20" spans="1:13" ht="16">
      <c r="A20" s="115">
        <v>2</v>
      </c>
      <c r="B20" s="117" t="s">
        <v>1</v>
      </c>
      <c r="C20" s="124" t="s">
        <v>320</v>
      </c>
      <c r="D20" s="117"/>
      <c r="E20" s="118" t="s">
        <v>17</v>
      </c>
      <c r="F20" s="125" t="s">
        <v>353</v>
      </c>
      <c r="G20" s="117">
        <v>2</v>
      </c>
      <c r="I20" s="140"/>
      <c r="J20" s="140"/>
      <c r="K20" s="140"/>
      <c r="L20" s="140"/>
      <c r="M20" s="140"/>
    </row>
    <row r="21" spans="1:13" ht="16">
      <c r="A21" s="115">
        <v>2</v>
      </c>
      <c r="B21" s="117" t="s">
        <v>1</v>
      </c>
      <c r="C21" s="124" t="s">
        <v>320</v>
      </c>
      <c r="D21" s="117"/>
      <c r="E21" s="118" t="s">
        <v>15</v>
      </c>
      <c r="F21" s="125" t="s">
        <v>354</v>
      </c>
      <c r="G21" s="117">
        <v>1</v>
      </c>
      <c r="I21" s="140"/>
      <c r="J21" s="140"/>
      <c r="K21" s="140"/>
      <c r="L21" s="140"/>
      <c r="M21" s="140"/>
    </row>
    <row r="22" spans="1:13" ht="16">
      <c r="A22" s="115">
        <v>2</v>
      </c>
      <c r="B22" s="117" t="s">
        <v>1</v>
      </c>
      <c r="C22" s="124" t="s">
        <v>320</v>
      </c>
      <c r="D22" s="117"/>
      <c r="E22" s="118" t="s">
        <v>355</v>
      </c>
      <c r="F22" s="125" t="s">
        <v>356</v>
      </c>
      <c r="G22" s="117">
        <v>1</v>
      </c>
      <c r="I22" s="140"/>
      <c r="J22" s="140"/>
      <c r="K22" s="140"/>
      <c r="L22" s="140"/>
      <c r="M22" s="140"/>
    </row>
    <row r="23" spans="1:13" ht="16">
      <c r="A23" s="115">
        <v>2</v>
      </c>
      <c r="B23" s="117" t="s">
        <v>339</v>
      </c>
      <c r="C23" s="124" t="s">
        <v>340</v>
      </c>
      <c r="D23" s="117"/>
      <c r="E23" s="118" t="s">
        <v>341</v>
      </c>
      <c r="F23" s="1" t="s">
        <v>357</v>
      </c>
      <c r="G23" s="1">
        <v>2</v>
      </c>
      <c r="H23" s="117"/>
      <c r="I23" s="140"/>
      <c r="J23" s="140"/>
      <c r="K23" s="140"/>
      <c r="L23" s="140"/>
      <c r="M23" s="140"/>
    </row>
    <row r="24" spans="1:13" ht="16">
      <c r="A24" s="115">
        <v>2</v>
      </c>
      <c r="B24" s="117" t="s">
        <v>339</v>
      </c>
      <c r="C24" s="124" t="s">
        <v>340</v>
      </c>
      <c r="D24" s="117"/>
      <c r="E24" s="118" t="s">
        <v>341</v>
      </c>
      <c r="F24" s="1" t="s">
        <v>358</v>
      </c>
      <c r="G24" s="1">
        <v>2</v>
      </c>
      <c r="H24" s="117"/>
      <c r="I24" s="140"/>
      <c r="J24" s="140"/>
      <c r="K24" s="140"/>
      <c r="L24" s="140"/>
      <c r="M24" s="140"/>
    </row>
    <row r="25" spans="1:13" ht="16">
      <c r="A25" s="115">
        <v>2</v>
      </c>
      <c r="B25" s="117" t="s">
        <v>339</v>
      </c>
      <c r="C25" s="124" t="s">
        <v>340</v>
      </c>
      <c r="D25" s="1"/>
      <c r="E25" s="120" t="s">
        <v>359</v>
      </c>
      <c r="F25" s="1" t="s">
        <v>360</v>
      </c>
      <c r="G25" s="1">
        <v>2</v>
      </c>
      <c r="H25" s="140"/>
      <c r="I25" s="140"/>
      <c r="J25" s="140"/>
      <c r="K25" s="140"/>
      <c r="L25" s="140"/>
      <c r="M25" s="140"/>
    </row>
    <row r="26" spans="1:13" ht="16">
      <c r="A26" s="115">
        <v>2</v>
      </c>
      <c r="B26" s="117" t="s">
        <v>339</v>
      </c>
      <c r="C26" s="124" t="s">
        <v>340</v>
      </c>
      <c r="D26" s="1"/>
      <c r="E26" s="120" t="s">
        <v>361</v>
      </c>
      <c r="F26" s="1" t="s">
        <v>362</v>
      </c>
      <c r="G26" s="1">
        <v>2</v>
      </c>
      <c r="H26" s="140"/>
      <c r="I26" s="140"/>
      <c r="J26" s="140"/>
      <c r="K26" s="140"/>
      <c r="L26" s="140"/>
      <c r="M26" s="140"/>
    </row>
    <row r="27" spans="1:13" ht="16">
      <c r="A27" s="115">
        <v>3</v>
      </c>
      <c r="B27" s="117" t="s">
        <v>5</v>
      </c>
      <c r="C27" s="124" t="s">
        <v>320</v>
      </c>
      <c r="D27" s="128"/>
      <c r="E27" s="129" t="s">
        <v>363</v>
      </c>
      <c r="F27" s="125" t="s">
        <v>364</v>
      </c>
      <c r="G27" s="117">
        <v>2</v>
      </c>
      <c r="I27" s="140"/>
      <c r="J27" s="140"/>
      <c r="K27" s="140"/>
      <c r="L27" s="140"/>
      <c r="M27" s="140"/>
    </row>
    <row r="28" spans="1:13" ht="16">
      <c r="A28" s="115">
        <v>3</v>
      </c>
      <c r="B28" s="117" t="s">
        <v>5</v>
      </c>
      <c r="C28" s="130" t="s">
        <v>320</v>
      </c>
      <c r="D28" s="128"/>
      <c r="E28" s="129" t="s">
        <v>365</v>
      </c>
      <c r="F28" s="131" t="s">
        <v>366</v>
      </c>
      <c r="G28" s="6">
        <v>2</v>
      </c>
      <c r="I28" s="140"/>
      <c r="J28" s="140"/>
      <c r="K28" s="140"/>
      <c r="L28" s="140"/>
      <c r="M28" s="140"/>
    </row>
    <row r="29" spans="1:13" ht="16">
      <c r="A29" s="115">
        <v>3</v>
      </c>
      <c r="B29" s="117" t="s">
        <v>5</v>
      </c>
      <c r="C29" s="143" t="s">
        <v>320</v>
      </c>
      <c r="D29" s="128"/>
      <c r="E29" s="129" t="s">
        <v>337</v>
      </c>
      <c r="F29" s="133" t="s">
        <v>367</v>
      </c>
      <c r="G29" s="140">
        <v>2</v>
      </c>
      <c r="I29" s="140"/>
      <c r="J29" s="140"/>
      <c r="K29" s="140"/>
      <c r="L29" s="140"/>
      <c r="M29" s="140"/>
    </row>
    <row r="30" spans="1:13" ht="16">
      <c r="A30" s="115">
        <v>3</v>
      </c>
      <c r="B30" s="117" t="s">
        <v>1</v>
      </c>
      <c r="C30" s="124" t="s">
        <v>320</v>
      </c>
      <c r="D30" s="1"/>
      <c r="E30" s="120" t="s">
        <v>28</v>
      </c>
      <c r="F30" s="119" t="s">
        <v>368</v>
      </c>
      <c r="G30" s="1">
        <v>1</v>
      </c>
      <c r="I30" s="140"/>
      <c r="J30" s="140"/>
      <c r="K30" s="140"/>
      <c r="L30" s="140"/>
      <c r="M30" s="140"/>
    </row>
    <row r="31" spans="1:13" ht="16">
      <c r="A31" s="115">
        <v>3</v>
      </c>
      <c r="B31" s="117" t="s">
        <v>1</v>
      </c>
      <c r="C31" s="124" t="s">
        <v>320</v>
      </c>
      <c r="E31" s="120" t="s">
        <v>369</v>
      </c>
      <c r="F31" s="119" t="s">
        <v>370</v>
      </c>
      <c r="G31" s="1">
        <v>2</v>
      </c>
      <c r="I31" s="140"/>
      <c r="J31" s="140"/>
      <c r="K31" s="140"/>
      <c r="L31" s="140"/>
      <c r="M31" s="140"/>
    </row>
    <row r="32" spans="1:13" ht="16">
      <c r="A32" s="115">
        <v>3</v>
      </c>
      <c r="B32" s="117" t="s">
        <v>1</v>
      </c>
      <c r="C32" s="124" t="s">
        <v>320</v>
      </c>
      <c r="E32" s="120" t="s">
        <v>369</v>
      </c>
      <c r="F32" s="119" t="s">
        <v>371</v>
      </c>
      <c r="G32" s="1">
        <v>1</v>
      </c>
      <c r="I32" s="140"/>
      <c r="J32" s="140"/>
      <c r="K32" s="140"/>
      <c r="L32" s="140"/>
      <c r="M32" s="140"/>
    </row>
    <row r="33" spans="1:9" ht="16">
      <c r="A33" s="115">
        <v>3</v>
      </c>
      <c r="B33" s="117" t="s">
        <v>1</v>
      </c>
      <c r="C33" s="124" t="s">
        <v>320</v>
      </c>
      <c r="D33" s="1" t="s">
        <v>19</v>
      </c>
      <c r="E33" s="120" t="s">
        <v>20</v>
      </c>
      <c r="F33" s="119" t="s">
        <v>372</v>
      </c>
      <c r="G33" s="1">
        <v>2</v>
      </c>
    </row>
    <row r="34" spans="1:9" ht="16">
      <c r="A34" s="115">
        <v>3</v>
      </c>
      <c r="B34" s="117" t="s">
        <v>1</v>
      </c>
      <c r="C34" s="124" t="s">
        <v>320</v>
      </c>
      <c r="D34" s="6" t="s">
        <v>34</v>
      </c>
      <c r="E34" s="120" t="s">
        <v>35</v>
      </c>
      <c r="F34" s="119" t="s">
        <v>373</v>
      </c>
      <c r="G34" s="1">
        <v>2</v>
      </c>
    </row>
    <row r="35" spans="1:9" ht="16">
      <c r="A35" s="1">
        <v>3</v>
      </c>
      <c r="B35" s="117" t="s">
        <v>307</v>
      </c>
      <c r="C35" s="117" t="s">
        <v>340</v>
      </c>
      <c r="E35" s="118" t="s">
        <v>341</v>
      </c>
      <c r="F35" s="117" t="s">
        <v>374</v>
      </c>
      <c r="G35" s="126">
        <v>2</v>
      </c>
    </row>
    <row r="36" spans="1:9" ht="16">
      <c r="A36" s="1">
        <v>3</v>
      </c>
      <c r="B36" s="117" t="s">
        <v>307</v>
      </c>
      <c r="C36" s="117" t="s">
        <v>340</v>
      </c>
      <c r="E36" s="118" t="s">
        <v>375</v>
      </c>
      <c r="F36" s="117" t="s">
        <v>376</v>
      </c>
      <c r="G36" s="123">
        <v>1</v>
      </c>
    </row>
    <row r="37" spans="1:9" ht="16">
      <c r="A37" s="1">
        <v>3</v>
      </c>
      <c r="B37" s="117" t="s">
        <v>307</v>
      </c>
      <c r="C37" s="117" t="s">
        <v>340</v>
      </c>
      <c r="D37" s="6" t="s">
        <v>39</v>
      </c>
      <c r="E37" s="118" t="s">
        <v>359</v>
      </c>
      <c r="F37" s="117" t="s">
        <v>377</v>
      </c>
      <c r="G37" s="126">
        <v>2</v>
      </c>
    </row>
    <row r="38" spans="1:9" ht="16">
      <c r="A38" s="1">
        <v>3</v>
      </c>
      <c r="B38" s="117" t="s">
        <v>307</v>
      </c>
      <c r="C38" s="117" t="s">
        <v>340</v>
      </c>
      <c r="D38" s="6" t="s">
        <v>39</v>
      </c>
      <c r="E38" s="118" t="s">
        <v>359</v>
      </c>
      <c r="F38" s="117" t="s">
        <v>378</v>
      </c>
      <c r="G38" s="126">
        <v>2</v>
      </c>
    </row>
    <row r="39" spans="1:9" ht="16">
      <c r="A39" s="1">
        <v>3</v>
      </c>
      <c r="B39" s="117" t="s">
        <v>307</v>
      </c>
      <c r="C39" s="117" t="s">
        <v>340</v>
      </c>
      <c r="D39" s="6" t="s">
        <v>39</v>
      </c>
      <c r="E39" s="118" t="s">
        <v>359</v>
      </c>
      <c r="F39" s="117" t="s">
        <v>379</v>
      </c>
      <c r="G39" s="126">
        <v>2</v>
      </c>
    </row>
    <row r="40" spans="1:9" ht="16">
      <c r="A40" s="1">
        <v>4</v>
      </c>
      <c r="B40" s="115" t="s">
        <v>1</v>
      </c>
      <c r="C40" s="1" t="s">
        <v>320</v>
      </c>
      <c r="D40" s="6" t="s">
        <v>21</v>
      </c>
      <c r="E40" s="134" t="s">
        <v>22</v>
      </c>
      <c r="F40" s="119" t="s">
        <v>380</v>
      </c>
      <c r="G40" s="1">
        <v>2</v>
      </c>
    </row>
    <row r="41" spans="1:9" ht="16">
      <c r="A41" s="1">
        <v>4</v>
      </c>
      <c r="B41" s="117" t="s">
        <v>1</v>
      </c>
      <c r="C41" s="1" t="s">
        <v>320</v>
      </c>
      <c r="D41" s="1" t="s">
        <v>381</v>
      </c>
      <c r="E41" s="135" t="s">
        <v>16</v>
      </c>
      <c r="F41" s="1" t="s">
        <v>382</v>
      </c>
      <c r="G41" s="1">
        <v>2</v>
      </c>
    </row>
    <row r="42" spans="1:9" ht="16">
      <c r="A42" s="1">
        <v>4</v>
      </c>
      <c r="B42" s="117" t="s">
        <v>307</v>
      </c>
      <c r="C42" s="117" t="s">
        <v>340</v>
      </c>
      <c r="E42" s="136" t="s">
        <v>361</v>
      </c>
      <c r="F42" s="137" t="s">
        <v>383</v>
      </c>
      <c r="G42" s="1">
        <v>2</v>
      </c>
    </row>
    <row r="43" spans="1:9" ht="16">
      <c r="A43" s="1">
        <v>4</v>
      </c>
      <c r="B43" s="117" t="s">
        <v>307</v>
      </c>
      <c r="C43" s="117" t="s">
        <v>340</v>
      </c>
      <c r="D43" s="1"/>
      <c r="E43" s="118" t="s">
        <v>359</v>
      </c>
      <c r="F43" s="137" t="s">
        <v>384</v>
      </c>
      <c r="G43" s="1">
        <v>2</v>
      </c>
    </row>
    <row r="44" spans="1:9" ht="16">
      <c r="A44" s="1">
        <v>5</v>
      </c>
      <c r="B44" s="117" t="s">
        <v>1</v>
      </c>
      <c r="C44" s="1" t="s">
        <v>286</v>
      </c>
      <c r="E44" s="120" t="s">
        <v>385</v>
      </c>
      <c r="F44" s="119" t="s">
        <v>386</v>
      </c>
      <c r="G44" s="1">
        <v>2</v>
      </c>
    </row>
    <row r="45" spans="1:9" ht="16">
      <c r="A45" s="1">
        <v>5</v>
      </c>
      <c r="B45" s="117" t="s">
        <v>1</v>
      </c>
      <c r="C45" s="1" t="s">
        <v>286</v>
      </c>
      <c r="E45" s="120" t="s">
        <v>387</v>
      </c>
      <c r="F45" s="119" t="s">
        <v>388</v>
      </c>
      <c r="G45" s="1">
        <v>2</v>
      </c>
      <c r="H45" s="1" t="s">
        <v>389</v>
      </c>
      <c r="I45" s="22">
        <v>45805</v>
      </c>
    </row>
    <row r="46" spans="1:9" ht="16">
      <c r="A46" s="1">
        <v>5</v>
      </c>
      <c r="B46" s="117" t="s">
        <v>1</v>
      </c>
      <c r="C46" s="1" t="s">
        <v>286</v>
      </c>
      <c r="E46" s="120" t="s">
        <v>20</v>
      </c>
      <c r="F46" s="119" t="s">
        <v>390</v>
      </c>
      <c r="G46" s="1">
        <v>2</v>
      </c>
      <c r="H46" s="1" t="s">
        <v>391</v>
      </c>
      <c r="I46" s="1" t="s">
        <v>392</v>
      </c>
    </row>
    <row r="47" spans="1:9" ht="16">
      <c r="A47" s="1">
        <v>5</v>
      </c>
      <c r="B47" s="117" t="s">
        <v>1</v>
      </c>
      <c r="C47" s="1" t="s">
        <v>286</v>
      </c>
      <c r="E47" s="120" t="s">
        <v>20</v>
      </c>
      <c r="F47" s="119" t="s">
        <v>393</v>
      </c>
      <c r="G47" s="1">
        <v>2</v>
      </c>
      <c r="H47" s="1" t="s">
        <v>391</v>
      </c>
      <c r="I47" s="1" t="s">
        <v>392</v>
      </c>
    </row>
    <row r="48" spans="1:9" ht="16">
      <c r="A48" s="1">
        <v>5</v>
      </c>
      <c r="B48" s="117" t="s">
        <v>1</v>
      </c>
      <c r="C48" s="1" t="s">
        <v>286</v>
      </c>
      <c r="E48" s="120" t="s">
        <v>355</v>
      </c>
      <c r="F48" s="119" t="s">
        <v>394</v>
      </c>
      <c r="G48" s="1">
        <v>2</v>
      </c>
      <c r="H48" s="1" t="s">
        <v>395</v>
      </c>
      <c r="I48" s="1" t="s">
        <v>392</v>
      </c>
    </row>
    <row r="49" spans="1:8" ht="16">
      <c r="A49" s="1">
        <v>5</v>
      </c>
      <c r="B49" s="117" t="s">
        <v>1</v>
      </c>
      <c r="C49" s="1" t="s">
        <v>320</v>
      </c>
      <c r="E49" s="120" t="s">
        <v>24</v>
      </c>
      <c r="F49" s="119" t="s">
        <v>396</v>
      </c>
      <c r="G49" s="1">
        <v>2</v>
      </c>
      <c r="H49" s="1" t="s">
        <v>397</v>
      </c>
    </row>
    <row r="50" spans="1:8" ht="16">
      <c r="A50" s="1">
        <v>5</v>
      </c>
      <c r="B50" s="117" t="s">
        <v>1</v>
      </c>
      <c r="C50" s="1" t="s">
        <v>320</v>
      </c>
      <c r="E50" s="120" t="s">
        <v>398</v>
      </c>
      <c r="F50" s="119" t="s">
        <v>399</v>
      </c>
      <c r="G50" s="1">
        <v>2</v>
      </c>
      <c r="H50" s="1" t="s">
        <v>397</v>
      </c>
    </row>
    <row r="51" spans="1:8" ht="16">
      <c r="A51" s="1">
        <v>6</v>
      </c>
      <c r="B51" s="117" t="s">
        <v>1</v>
      </c>
      <c r="C51" s="1" t="s">
        <v>286</v>
      </c>
      <c r="E51" s="120" t="s">
        <v>400</v>
      </c>
      <c r="F51" s="119" t="s">
        <v>401</v>
      </c>
      <c r="G51" s="1">
        <v>2</v>
      </c>
    </row>
    <row r="52" spans="1:8" ht="16">
      <c r="A52" s="1">
        <v>6</v>
      </c>
      <c r="B52" s="117" t="s">
        <v>1</v>
      </c>
      <c r="C52" s="1" t="s">
        <v>286</v>
      </c>
      <c r="E52" s="120" t="s">
        <v>402</v>
      </c>
      <c r="F52" s="119" t="s">
        <v>403</v>
      </c>
      <c r="G52" s="1">
        <v>2</v>
      </c>
    </row>
    <row r="53" spans="1:8">
      <c r="A53" s="1">
        <v>6</v>
      </c>
      <c r="B53" s="1" t="s">
        <v>1</v>
      </c>
      <c r="C53" s="1" t="s">
        <v>286</v>
      </c>
      <c r="E53" s="120" t="s">
        <v>22</v>
      </c>
      <c r="F53" s="119" t="s">
        <v>404</v>
      </c>
      <c r="G53" s="1">
        <v>2</v>
      </c>
    </row>
    <row r="54" spans="1:8">
      <c r="A54" s="1">
        <v>6</v>
      </c>
      <c r="B54" s="1" t="s">
        <v>1</v>
      </c>
      <c r="C54" s="1" t="s">
        <v>286</v>
      </c>
      <c r="E54" s="120" t="s">
        <v>287</v>
      </c>
      <c r="F54" s="119" t="s">
        <v>405</v>
      </c>
      <c r="G54" s="1">
        <v>2</v>
      </c>
    </row>
    <row r="55" spans="1:8">
      <c r="A55" s="1">
        <v>6</v>
      </c>
      <c r="B55" s="1" t="s">
        <v>1</v>
      </c>
      <c r="C55" s="1" t="s">
        <v>286</v>
      </c>
      <c r="E55" s="120" t="s">
        <v>406</v>
      </c>
      <c r="F55" s="120" t="s">
        <v>407</v>
      </c>
      <c r="G55" s="1">
        <v>2</v>
      </c>
    </row>
    <row r="56" spans="1:8">
      <c r="A56" s="1">
        <v>7</v>
      </c>
      <c r="B56" s="1" t="s">
        <v>1</v>
      </c>
      <c r="C56" s="1" t="s">
        <v>286</v>
      </c>
      <c r="E56" s="120" t="s">
        <v>408</v>
      </c>
      <c r="F56" s="119" t="s">
        <v>409</v>
      </c>
      <c r="G56" s="1">
        <v>2</v>
      </c>
    </row>
    <row r="57" spans="1:8">
      <c r="A57" s="1">
        <v>7</v>
      </c>
      <c r="B57" s="1" t="s">
        <v>1</v>
      </c>
      <c r="C57" s="1" t="s">
        <v>286</v>
      </c>
      <c r="E57" s="120" t="s">
        <v>410</v>
      </c>
      <c r="F57" s="119" t="s">
        <v>411</v>
      </c>
      <c r="G57" s="1">
        <v>2</v>
      </c>
    </row>
    <row r="58" spans="1:8">
      <c r="A58" s="1">
        <v>9</v>
      </c>
      <c r="B58" s="1" t="s">
        <v>5</v>
      </c>
      <c r="C58" s="1" t="s">
        <v>320</v>
      </c>
      <c r="E58" s="120" t="s">
        <v>412</v>
      </c>
      <c r="F58" s="119" t="s">
        <v>413</v>
      </c>
      <c r="G58" s="1">
        <v>2</v>
      </c>
    </row>
    <row r="59" spans="1:8">
      <c r="A59" s="1">
        <v>9</v>
      </c>
      <c r="B59" s="1" t="s">
        <v>1</v>
      </c>
      <c r="C59" s="1" t="s">
        <v>286</v>
      </c>
      <c r="E59" s="120" t="s">
        <v>406</v>
      </c>
      <c r="F59" s="119" t="s">
        <v>414</v>
      </c>
      <c r="G59" s="1">
        <v>1</v>
      </c>
    </row>
    <row r="60" spans="1:8">
      <c r="A60" s="1">
        <v>9</v>
      </c>
      <c r="B60" s="1" t="s">
        <v>1</v>
      </c>
      <c r="C60" s="1" t="s">
        <v>320</v>
      </c>
      <c r="E60" s="120" t="s">
        <v>24</v>
      </c>
      <c r="F60" s="119" t="s">
        <v>415</v>
      </c>
      <c r="G60" s="1">
        <v>2</v>
      </c>
    </row>
    <row r="61" spans="1:8">
      <c r="A61" s="1">
        <v>9</v>
      </c>
      <c r="B61" s="1" t="s">
        <v>1</v>
      </c>
      <c r="C61" s="1" t="s">
        <v>346</v>
      </c>
      <c r="E61" s="120" t="s">
        <v>416</v>
      </c>
      <c r="F61" s="119" t="s">
        <v>417</v>
      </c>
      <c r="G61" s="1">
        <v>2</v>
      </c>
    </row>
    <row r="62" spans="1:8">
      <c r="A62" s="1">
        <v>10</v>
      </c>
      <c r="B62" s="1" t="s">
        <v>1</v>
      </c>
      <c r="C62" s="1" t="s">
        <v>320</v>
      </c>
      <c r="E62" s="1" t="s">
        <v>22</v>
      </c>
      <c r="F62" s="120" t="s">
        <v>418</v>
      </c>
      <c r="G62" s="1">
        <v>1</v>
      </c>
    </row>
    <row r="63" spans="1:8">
      <c r="A63" s="1">
        <v>10</v>
      </c>
      <c r="B63" s="1" t="s">
        <v>5</v>
      </c>
      <c r="C63" s="1" t="s">
        <v>346</v>
      </c>
      <c r="E63" s="120" t="s">
        <v>6</v>
      </c>
      <c r="F63" s="119" t="s">
        <v>419</v>
      </c>
      <c r="G63" s="1">
        <v>2</v>
      </c>
    </row>
    <row r="64" spans="1:8">
      <c r="A64" s="1">
        <v>10</v>
      </c>
      <c r="B64" s="1" t="s">
        <v>5</v>
      </c>
      <c r="C64" s="1" t="s">
        <v>346</v>
      </c>
      <c r="E64" s="120" t="s">
        <v>420</v>
      </c>
      <c r="F64" s="119" t="s">
        <v>421</v>
      </c>
      <c r="G64" s="1">
        <v>2</v>
      </c>
    </row>
    <row r="65" spans="1:7">
      <c r="A65" s="1">
        <v>11</v>
      </c>
      <c r="B65" s="1" t="s">
        <v>1</v>
      </c>
      <c r="C65" s="1" t="s">
        <v>320</v>
      </c>
      <c r="E65" s="138" t="s">
        <v>23</v>
      </c>
      <c r="F65" s="119" t="s">
        <v>422</v>
      </c>
      <c r="G65" s="1">
        <v>2</v>
      </c>
    </row>
    <row r="66" spans="1:7">
      <c r="A66" s="1">
        <v>11</v>
      </c>
      <c r="B66" s="1" t="s">
        <v>1</v>
      </c>
      <c r="C66" s="1" t="s">
        <v>320</v>
      </c>
      <c r="E66" s="138" t="s">
        <v>23</v>
      </c>
      <c r="F66" s="119" t="s">
        <v>423</v>
      </c>
      <c r="G66" s="1">
        <v>2</v>
      </c>
    </row>
    <row r="67" spans="1:7">
      <c r="A67" s="1">
        <v>11</v>
      </c>
      <c r="B67" s="1" t="s">
        <v>1</v>
      </c>
      <c r="C67" s="1" t="s">
        <v>320</v>
      </c>
      <c r="E67" s="120" t="s">
        <v>25</v>
      </c>
      <c r="F67" s="119" t="s">
        <v>424</v>
      </c>
      <c r="G67" s="1">
        <v>2</v>
      </c>
    </row>
    <row r="68" spans="1:7">
      <c r="A68" s="1">
        <v>11</v>
      </c>
      <c r="B68" s="1" t="s">
        <v>1</v>
      </c>
      <c r="C68" s="1" t="s">
        <v>320</v>
      </c>
      <c r="E68" s="120" t="s">
        <v>24</v>
      </c>
      <c r="F68" s="119" t="s">
        <v>425</v>
      </c>
      <c r="G68" s="1">
        <v>2</v>
      </c>
    </row>
    <row r="69" spans="1:7">
      <c r="E69" s="135"/>
      <c r="F69" s="131"/>
    </row>
    <row r="70" spans="1:7">
      <c r="E70" s="135"/>
      <c r="F70" s="131"/>
    </row>
    <row r="71" spans="1:7">
      <c r="E71" s="135"/>
      <c r="F71" s="131"/>
    </row>
    <row r="72" spans="1:7">
      <c r="E72" s="135"/>
      <c r="F72" s="131"/>
    </row>
    <row r="73" spans="1:7">
      <c r="E73" s="135"/>
      <c r="F73" s="131"/>
    </row>
    <row r="74" spans="1:7">
      <c r="E74" s="135"/>
      <c r="F74" s="131"/>
    </row>
    <row r="75" spans="1:7">
      <c r="E75" s="135"/>
      <c r="F75" s="131"/>
    </row>
    <row r="76" spans="1:7">
      <c r="E76" s="135"/>
      <c r="F76" s="131"/>
    </row>
    <row r="77" spans="1:7">
      <c r="E77" s="135"/>
      <c r="F77" s="131"/>
    </row>
    <row r="78" spans="1:7">
      <c r="E78" s="135"/>
      <c r="F78" s="131"/>
    </row>
    <row r="79" spans="1:7">
      <c r="E79" s="135"/>
      <c r="F79" s="131"/>
    </row>
    <row r="80" spans="1:7">
      <c r="E80" s="135"/>
      <c r="F80" s="131"/>
    </row>
    <row r="81" spans="5:6">
      <c r="E81" s="135"/>
      <c r="F81" s="131"/>
    </row>
    <row r="82" spans="5:6">
      <c r="E82" s="135"/>
      <c r="F82" s="131"/>
    </row>
    <row r="83" spans="5:6">
      <c r="E83" s="135"/>
      <c r="F83" s="131"/>
    </row>
    <row r="84" spans="5:6">
      <c r="E84" s="135"/>
      <c r="F84" s="131"/>
    </row>
    <row r="85" spans="5:6">
      <c r="E85" s="135"/>
      <c r="F85" s="131"/>
    </row>
    <row r="86" spans="5:6">
      <c r="E86" s="135"/>
      <c r="F86" s="131"/>
    </row>
    <row r="87" spans="5:6">
      <c r="E87" s="135"/>
      <c r="F87" s="131"/>
    </row>
    <row r="88" spans="5:6">
      <c r="E88" s="135"/>
      <c r="F88" s="131"/>
    </row>
    <row r="89" spans="5:6">
      <c r="E89" s="135"/>
      <c r="F89" s="131"/>
    </row>
    <row r="90" spans="5:6">
      <c r="E90" s="135"/>
      <c r="F90" s="131"/>
    </row>
    <row r="91" spans="5:6">
      <c r="E91" s="135"/>
      <c r="F91" s="131"/>
    </row>
    <row r="92" spans="5:6">
      <c r="E92" s="135"/>
      <c r="F92" s="131"/>
    </row>
    <row r="93" spans="5:6">
      <c r="E93" s="135"/>
      <c r="F93" s="131"/>
    </row>
    <row r="94" spans="5:6">
      <c r="E94" s="135"/>
      <c r="F94" s="131"/>
    </row>
    <row r="95" spans="5:6">
      <c r="E95" s="135"/>
      <c r="F95" s="131"/>
    </row>
    <row r="96" spans="5:6">
      <c r="E96" s="135"/>
      <c r="F96" s="131"/>
    </row>
    <row r="97" spans="5:6">
      <c r="E97" s="135"/>
      <c r="F97" s="131"/>
    </row>
    <row r="98" spans="5:6">
      <c r="E98" s="135"/>
      <c r="F98" s="131"/>
    </row>
    <row r="99" spans="5:6">
      <c r="E99" s="135"/>
      <c r="F99" s="131"/>
    </row>
    <row r="100" spans="5:6">
      <c r="E100" s="135"/>
      <c r="F100" s="131"/>
    </row>
    <row r="101" spans="5:6">
      <c r="E101" s="135"/>
      <c r="F101" s="131"/>
    </row>
    <row r="102" spans="5:6">
      <c r="E102" s="135"/>
      <c r="F102" s="131"/>
    </row>
    <row r="103" spans="5:6">
      <c r="E103" s="135"/>
      <c r="F103" s="131"/>
    </row>
    <row r="104" spans="5:6">
      <c r="E104" s="135"/>
      <c r="F104" s="131"/>
    </row>
    <row r="105" spans="5:6">
      <c r="E105" s="135"/>
      <c r="F105" s="131"/>
    </row>
    <row r="106" spans="5:6">
      <c r="E106" s="135"/>
      <c r="F106" s="131"/>
    </row>
    <row r="107" spans="5:6">
      <c r="E107" s="135"/>
      <c r="F107" s="131"/>
    </row>
    <row r="108" spans="5:6">
      <c r="E108" s="135"/>
      <c r="F108" s="131"/>
    </row>
    <row r="109" spans="5:6">
      <c r="E109" s="135"/>
      <c r="F109" s="131"/>
    </row>
    <row r="110" spans="5:6">
      <c r="E110" s="135"/>
      <c r="F110" s="131"/>
    </row>
    <row r="111" spans="5:6">
      <c r="E111" s="135"/>
      <c r="F111" s="131"/>
    </row>
    <row r="112" spans="5:6">
      <c r="E112" s="135"/>
      <c r="F112" s="131"/>
    </row>
    <row r="113" spans="5:6">
      <c r="E113" s="135"/>
      <c r="F113" s="131"/>
    </row>
    <row r="114" spans="5:6">
      <c r="E114" s="135"/>
      <c r="F114" s="131"/>
    </row>
    <row r="115" spans="5:6">
      <c r="E115" s="135"/>
      <c r="F115" s="131"/>
    </row>
    <row r="116" spans="5:6">
      <c r="E116" s="135"/>
      <c r="F116" s="131"/>
    </row>
    <row r="117" spans="5:6">
      <c r="E117" s="135"/>
      <c r="F117" s="131"/>
    </row>
    <row r="118" spans="5:6">
      <c r="E118" s="135"/>
      <c r="F118" s="131"/>
    </row>
    <row r="119" spans="5:6">
      <c r="E119" s="135"/>
      <c r="F119" s="131"/>
    </row>
    <row r="120" spans="5:6">
      <c r="E120" s="135"/>
      <c r="F120" s="131"/>
    </row>
    <row r="121" spans="5:6">
      <c r="E121" s="135"/>
      <c r="F121" s="131"/>
    </row>
    <row r="122" spans="5:6">
      <c r="E122" s="135"/>
      <c r="F122" s="131"/>
    </row>
    <row r="123" spans="5:6">
      <c r="E123" s="135"/>
      <c r="F123" s="131"/>
    </row>
    <row r="124" spans="5:6">
      <c r="E124" s="135"/>
      <c r="F124" s="131"/>
    </row>
    <row r="125" spans="5:6">
      <c r="E125" s="135"/>
      <c r="F125" s="131"/>
    </row>
    <row r="126" spans="5:6">
      <c r="E126" s="135"/>
      <c r="F126" s="131"/>
    </row>
    <row r="127" spans="5:6">
      <c r="E127" s="135"/>
      <c r="F127" s="131"/>
    </row>
    <row r="128" spans="5:6">
      <c r="E128" s="135"/>
      <c r="F128" s="131"/>
    </row>
    <row r="129" spans="5:6">
      <c r="E129" s="135"/>
      <c r="F129" s="131"/>
    </row>
    <row r="130" spans="5:6">
      <c r="E130" s="135"/>
      <c r="F130" s="131"/>
    </row>
    <row r="131" spans="5:6">
      <c r="E131" s="135"/>
      <c r="F131" s="131"/>
    </row>
    <row r="132" spans="5:6">
      <c r="E132" s="135"/>
      <c r="F132" s="131"/>
    </row>
    <row r="133" spans="5:6">
      <c r="E133" s="135"/>
      <c r="F133" s="131"/>
    </row>
    <row r="134" spans="5:6">
      <c r="E134" s="135"/>
      <c r="F134" s="131"/>
    </row>
    <row r="135" spans="5:6">
      <c r="E135" s="135"/>
      <c r="F135" s="131"/>
    </row>
    <row r="136" spans="5:6">
      <c r="E136" s="135"/>
      <c r="F136" s="131"/>
    </row>
    <row r="137" spans="5:6">
      <c r="E137" s="135"/>
      <c r="F137" s="131"/>
    </row>
    <row r="138" spans="5:6">
      <c r="E138" s="135"/>
      <c r="F138" s="131"/>
    </row>
    <row r="139" spans="5:6">
      <c r="E139" s="135"/>
      <c r="F139" s="131"/>
    </row>
    <row r="140" spans="5:6">
      <c r="E140" s="135"/>
      <c r="F140" s="131"/>
    </row>
    <row r="141" spans="5:6">
      <c r="E141" s="135"/>
      <c r="F141" s="131"/>
    </row>
    <row r="142" spans="5:6">
      <c r="E142" s="135"/>
      <c r="F142" s="131"/>
    </row>
    <row r="143" spans="5:6">
      <c r="E143" s="135"/>
      <c r="F143" s="131"/>
    </row>
    <row r="144" spans="5:6">
      <c r="E144" s="135"/>
      <c r="F144" s="131"/>
    </row>
    <row r="145" spans="5:6">
      <c r="E145" s="135"/>
      <c r="F145" s="131"/>
    </row>
    <row r="146" spans="5:6">
      <c r="E146" s="135"/>
      <c r="F146" s="131"/>
    </row>
    <row r="147" spans="5:6">
      <c r="E147" s="135"/>
      <c r="F147" s="131"/>
    </row>
    <row r="148" spans="5:6">
      <c r="E148" s="135"/>
      <c r="F148" s="131"/>
    </row>
    <row r="149" spans="5:6">
      <c r="E149" s="135"/>
      <c r="F149" s="131"/>
    </row>
    <row r="150" spans="5:6">
      <c r="E150" s="135"/>
      <c r="F150" s="131"/>
    </row>
    <row r="151" spans="5:6">
      <c r="E151" s="135"/>
      <c r="F151" s="131"/>
    </row>
    <row r="152" spans="5:6">
      <c r="E152" s="135"/>
      <c r="F152" s="131"/>
    </row>
    <row r="153" spans="5:6">
      <c r="E153" s="135"/>
      <c r="F153" s="131"/>
    </row>
    <row r="154" spans="5:6">
      <c r="E154" s="135"/>
      <c r="F154" s="131"/>
    </row>
    <row r="155" spans="5:6">
      <c r="E155" s="135"/>
      <c r="F155" s="131"/>
    </row>
    <row r="156" spans="5:6">
      <c r="E156" s="135"/>
      <c r="F156" s="131"/>
    </row>
    <row r="157" spans="5:6">
      <c r="E157" s="135"/>
      <c r="F157" s="131"/>
    </row>
    <row r="158" spans="5:6">
      <c r="E158" s="135"/>
      <c r="F158" s="131"/>
    </row>
    <row r="159" spans="5:6">
      <c r="E159" s="135"/>
      <c r="F159" s="131"/>
    </row>
    <row r="160" spans="5:6">
      <c r="E160" s="135"/>
      <c r="F160" s="131"/>
    </row>
    <row r="161" spans="5:6">
      <c r="E161" s="135"/>
      <c r="F161" s="131"/>
    </row>
    <row r="162" spans="5:6">
      <c r="E162" s="135"/>
      <c r="F162" s="131"/>
    </row>
    <row r="163" spans="5:6">
      <c r="E163" s="135"/>
      <c r="F163" s="131"/>
    </row>
    <row r="164" spans="5:6">
      <c r="E164" s="135"/>
      <c r="F164" s="131"/>
    </row>
    <row r="165" spans="5:6">
      <c r="E165" s="135"/>
      <c r="F165" s="131"/>
    </row>
    <row r="166" spans="5:6">
      <c r="E166" s="135"/>
      <c r="F166" s="131"/>
    </row>
    <row r="167" spans="5:6">
      <c r="E167" s="135"/>
      <c r="F167" s="131"/>
    </row>
    <row r="168" spans="5:6">
      <c r="E168" s="135"/>
      <c r="F168" s="131"/>
    </row>
    <row r="169" spans="5:6">
      <c r="E169" s="135"/>
      <c r="F169" s="131"/>
    </row>
    <row r="170" spans="5:6">
      <c r="E170" s="135"/>
      <c r="F170" s="131"/>
    </row>
    <row r="171" spans="5:6">
      <c r="E171" s="135"/>
      <c r="F171" s="131"/>
    </row>
    <row r="172" spans="5:6">
      <c r="E172" s="135"/>
      <c r="F172" s="131"/>
    </row>
    <row r="173" spans="5:6">
      <c r="E173" s="135"/>
      <c r="F173" s="131"/>
    </row>
    <row r="174" spans="5:6">
      <c r="E174" s="135"/>
      <c r="F174" s="131"/>
    </row>
    <row r="175" spans="5:6">
      <c r="E175" s="135"/>
      <c r="F175" s="131"/>
    </row>
    <row r="176" spans="5:6">
      <c r="E176" s="135"/>
      <c r="F176" s="131"/>
    </row>
    <row r="177" spans="5:6">
      <c r="E177" s="135"/>
      <c r="F177" s="131"/>
    </row>
    <row r="178" spans="5:6">
      <c r="E178" s="135"/>
      <c r="F178" s="131"/>
    </row>
    <row r="179" spans="5:6">
      <c r="E179" s="135"/>
      <c r="F179" s="131"/>
    </row>
    <row r="180" spans="5:6">
      <c r="E180" s="135"/>
      <c r="F180" s="131"/>
    </row>
    <row r="181" spans="5:6">
      <c r="E181" s="135"/>
      <c r="F181" s="131"/>
    </row>
    <row r="182" spans="5:6">
      <c r="E182" s="135"/>
      <c r="F182" s="131"/>
    </row>
    <row r="183" spans="5:6">
      <c r="E183" s="135"/>
      <c r="F183" s="131"/>
    </row>
    <row r="184" spans="5:6">
      <c r="E184" s="135"/>
      <c r="F184" s="131"/>
    </row>
    <row r="185" spans="5:6">
      <c r="E185" s="135"/>
      <c r="F185" s="131"/>
    </row>
    <row r="186" spans="5:6">
      <c r="E186" s="135"/>
      <c r="F186" s="131"/>
    </row>
    <row r="187" spans="5:6">
      <c r="E187" s="135"/>
      <c r="F187" s="131"/>
    </row>
    <row r="188" spans="5:6">
      <c r="E188" s="135"/>
      <c r="F188" s="131"/>
    </row>
    <row r="189" spans="5:6">
      <c r="E189" s="135"/>
      <c r="F189" s="131"/>
    </row>
    <row r="190" spans="5:6">
      <c r="E190" s="135"/>
      <c r="F190" s="131"/>
    </row>
    <row r="191" spans="5:6">
      <c r="E191" s="135"/>
      <c r="F191" s="131"/>
    </row>
    <row r="192" spans="5:6">
      <c r="E192" s="135"/>
      <c r="F192" s="131"/>
    </row>
    <row r="193" spans="5:6">
      <c r="E193" s="135"/>
      <c r="F193" s="131"/>
    </row>
    <row r="194" spans="5:6">
      <c r="E194" s="135"/>
      <c r="F194" s="131"/>
    </row>
    <row r="195" spans="5:6">
      <c r="E195" s="135"/>
      <c r="F195" s="131"/>
    </row>
    <row r="196" spans="5:6">
      <c r="E196" s="135"/>
      <c r="F196" s="131"/>
    </row>
    <row r="197" spans="5:6">
      <c r="E197" s="135"/>
      <c r="F197" s="131"/>
    </row>
    <row r="198" spans="5:6">
      <c r="E198" s="135"/>
      <c r="F198" s="131"/>
    </row>
    <row r="199" spans="5:6">
      <c r="E199" s="135"/>
      <c r="F199" s="131"/>
    </row>
    <row r="200" spans="5:6">
      <c r="E200" s="135"/>
      <c r="F200" s="131"/>
    </row>
    <row r="201" spans="5:6">
      <c r="E201" s="135"/>
      <c r="F201" s="131"/>
    </row>
    <row r="202" spans="5:6">
      <c r="E202" s="135"/>
      <c r="F202" s="131"/>
    </row>
    <row r="203" spans="5:6">
      <c r="E203" s="135"/>
      <c r="F203" s="131"/>
    </row>
    <row r="204" spans="5:6">
      <c r="E204" s="135"/>
      <c r="F204" s="131"/>
    </row>
    <row r="205" spans="5:6">
      <c r="E205" s="135"/>
      <c r="F205" s="131"/>
    </row>
    <row r="206" spans="5:6">
      <c r="E206" s="135"/>
      <c r="F206" s="131"/>
    </row>
    <row r="207" spans="5:6">
      <c r="E207" s="135"/>
      <c r="F207" s="131"/>
    </row>
    <row r="208" spans="5:6">
      <c r="E208" s="135"/>
      <c r="F208" s="131"/>
    </row>
    <row r="209" spans="5:6">
      <c r="E209" s="135"/>
      <c r="F209" s="131"/>
    </row>
    <row r="210" spans="5:6">
      <c r="E210" s="135"/>
      <c r="F210" s="131"/>
    </row>
    <row r="211" spans="5:6">
      <c r="E211" s="135"/>
      <c r="F211" s="131"/>
    </row>
    <row r="212" spans="5:6">
      <c r="E212" s="135"/>
      <c r="F212" s="131"/>
    </row>
    <row r="213" spans="5:6">
      <c r="E213" s="135"/>
      <c r="F213" s="131"/>
    </row>
    <row r="214" spans="5:6">
      <c r="E214" s="135"/>
      <c r="F214" s="131"/>
    </row>
    <row r="215" spans="5:6">
      <c r="E215" s="135"/>
      <c r="F215" s="131"/>
    </row>
    <row r="216" spans="5:6">
      <c r="E216" s="135"/>
      <c r="F216" s="131"/>
    </row>
    <row r="217" spans="5:6">
      <c r="E217" s="135"/>
      <c r="F217" s="131"/>
    </row>
    <row r="218" spans="5:6">
      <c r="E218" s="135"/>
      <c r="F218" s="131"/>
    </row>
    <row r="219" spans="5:6">
      <c r="E219" s="135"/>
      <c r="F219" s="131"/>
    </row>
    <row r="220" spans="5:6">
      <c r="E220" s="135"/>
      <c r="F220" s="131"/>
    </row>
    <row r="221" spans="5:6">
      <c r="E221" s="135"/>
      <c r="F221" s="131"/>
    </row>
    <row r="222" spans="5:6">
      <c r="E222" s="135"/>
      <c r="F222" s="131"/>
    </row>
    <row r="223" spans="5:6">
      <c r="E223" s="135"/>
      <c r="F223" s="131"/>
    </row>
    <row r="224" spans="5:6">
      <c r="E224" s="135"/>
      <c r="F224" s="131"/>
    </row>
    <row r="225" spans="5:6">
      <c r="E225" s="135"/>
      <c r="F225" s="131"/>
    </row>
    <row r="226" spans="5:6">
      <c r="E226" s="135"/>
      <c r="F226" s="131"/>
    </row>
    <row r="227" spans="5:6">
      <c r="E227" s="135"/>
      <c r="F227" s="131"/>
    </row>
    <row r="228" spans="5:6">
      <c r="E228" s="135"/>
      <c r="F228" s="131"/>
    </row>
    <row r="229" spans="5:6">
      <c r="E229" s="135"/>
      <c r="F229" s="131"/>
    </row>
    <row r="230" spans="5:6">
      <c r="E230" s="135"/>
      <c r="F230" s="131"/>
    </row>
    <row r="231" spans="5:6">
      <c r="E231" s="135"/>
      <c r="F231" s="131"/>
    </row>
    <row r="232" spans="5:6">
      <c r="E232" s="135"/>
      <c r="F232" s="131"/>
    </row>
    <row r="233" spans="5:6">
      <c r="E233" s="135"/>
      <c r="F233" s="131"/>
    </row>
    <row r="234" spans="5:6">
      <c r="E234" s="135"/>
      <c r="F234" s="131"/>
    </row>
    <row r="235" spans="5:6">
      <c r="E235" s="135"/>
      <c r="F235" s="131"/>
    </row>
    <row r="236" spans="5:6">
      <c r="E236" s="135"/>
      <c r="F236" s="131"/>
    </row>
    <row r="237" spans="5:6">
      <c r="E237" s="135"/>
      <c r="F237" s="131"/>
    </row>
    <row r="238" spans="5:6">
      <c r="E238" s="135"/>
      <c r="F238" s="131"/>
    </row>
    <row r="239" spans="5:6">
      <c r="E239" s="135"/>
      <c r="F239" s="131"/>
    </row>
    <row r="240" spans="5:6">
      <c r="E240" s="135"/>
      <c r="F240" s="131"/>
    </row>
    <row r="241" spans="5:6">
      <c r="E241" s="135"/>
      <c r="F241" s="131"/>
    </row>
    <row r="242" spans="5:6">
      <c r="E242" s="135"/>
      <c r="F242" s="131"/>
    </row>
    <row r="243" spans="5:6">
      <c r="E243" s="135"/>
      <c r="F243" s="131"/>
    </row>
    <row r="244" spans="5:6">
      <c r="E244" s="135"/>
      <c r="F244" s="131"/>
    </row>
    <row r="245" spans="5:6">
      <c r="E245" s="135"/>
      <c r="F245" s="131"/>
    </row>
    <row r="246" spans="5:6">
      <c r="E246" s="135"/>
      <c r="F246" s="131"/>
    </row>
    <row r="247" spans="5:6">
      <c r="E247" s="135"/>
      <c r="F247" s="131"/>
    </row>
    <row r="248" spans="5:6">
      <c r="E248" s="135"/>
      <c r="F248" s="131"/>
    </row>
    <row r="249" spans="5:6">
      <c r="E249" s="135"/>
      <c r="F249" s="131"/>
    </row>
    <row r="250" spans="5:6">
      <c r="E250" s="135"/>
      <c r="F250" s="131"/>
    </row>
    <row r="251" spans="5:6">
      <c r="E251" s="135"/>
      <c r="F251" s="131"/>
    </row>
    <row r="252" spans="5:6">
      <c r="E252" s="135"/>
      <c r="F252" s="131"/>
    </row>
    <row r="253" spans="5:6">
      <c r="E253" s="135"/>
      <c r="F253" s="131"/>
    </row>
    <row r="254" spans="5:6">
      <c r="E254" s="135"/>
      <c r="F254" s="131"/>
    </row>
    <row r="255" spans="5:6">
      <c r="E255" s="135"/>
      <c r="F255" s="131"/>
    </row>
    <row r="256" spans="5:6">
      <c r="E256" s="135"/>
      <c r="F256" s="131"/>
    </row>
    <row r="257" spans="5:6">
      <c r="E257" s="135"/>
      <c r="F257" s="131"/>
    </row>
    <row r="258" spans="5:6">
      <c r="E258" s="135"/>
      <c r="F258" s="131"/>
    </row>
    <row r="259" spans="5:6">
      <c r="E259" s="135"/>
      <c r="F259" s="131"/>
    </row>
    <row r="260" spans="5:6">
      <c r="E260" s="135"/>
      <c r="F260" s="131"/>
    </row>
    <row r="261" spans="5:6">
      <c r="E261" s="135"/>
      <c r="F261" s="131"/>
    </row>
    <row r="262" spans="5:6">
      <c r="E262" s="135"/>
      <c r="F262" s="131"/>
    </row>
    <row r="263" spans="5:6">
      <c r="E263" s="135"/>
      <c r="F263" s="131"/>
    </row>
    <row r="264" spans="5:6">
      <c r="E264" s="135"/>
      <c r="F264" s="131"/>
    </row>
    <row r="265" spans="5:6">
      <c r="E265" s="135"/>
      <c r="F265" s="131"/>
    </row>
    <row r="266" spans="5:6">
      <c r="E266" s="135"/>
      <c r="F266" s="131"/>
    </row>
    <row r="267" spans="5:6">
      <c r="E267" s="135"/>
      <c r="F267" s="131"/>
    </row>
    <row r="268" spans="5:6">
      <c r="E268" s="135"/>
      <c r="F268" s="131"/>
    </row>
    <row r="269" spans="5:6">
      <c r="E269" s="135"/>
      <c r="F269" s="131"/>
    </row>
    <row r="270" spans="5:6">
      <c r="E270" s="135"/>
      <c r="F270" s="131"/>
    </row>
    <row r="271" spans="5:6">
      <c r="E271" s="135"/>
      <c r="F271" s="131"/>
    </row>
    <row r="272" spans="5:6">
      <c r="E272" s="135"/>
      <c r="F272" s="131"/>
    </row>
    <row r="273" spans="5:6">
      <c r="E273" s="135"/>
      <c r="F273" s="131"/>
    </row>
    <row r="274" spans="5:6">
      <c r="E274" s="135"/>
      <c r="F274" s="131"/>
    </row>
    <row r="275" spans="5:6">
      <c r="E275" s="135"/>
      <c r="F275" s="131"/>
    </row>
    <row r="276" spans="5:6">
      <c r="E276" s="135"/>
      <c r="F276" s="131"/>
    </row>
    <row r="277" spans="5:6">
      <c r="E277" s="135"/>
      <c r="F277" s="131"/>
    </row>
    <row r="278" spans="5:6">
      <c r="E278" s="135"/>
      <c r="F278" s="131"/>
    </row>
    <row r="279" spans="5:6">
      <c r="E279" s="135"/>
      <c r="F279" s="131"/>
    </row>
    <row r="280" spans="5:6">
      <c r="E280" s="135"/>
      <c r="F280" s="131"/>
    </row>
    <row r="281" spans="5:6">
      <c r="E281" s="135"/>
      <c r="F281" s="131"/>
    </row>
    <row r="282" spans="5:6">
      <c r="E282" s="135"/>
      <c r="F282" s="131"/>
    </row>
    <row r="283" spans="5:6">
      <c r="E283" s="135"/>
      <c r="F283" s="131"/>
    </row>
    <row r="284" spans="5:6">
      <c r="E284" s="135"/>
      <c r="F284" s="131"/>
    </row>
    <row r="285" spans="5:6">
      <c r="E285" s="135"/>
      <c r="F285" s="131"/>
    </row>
    <row r="286" spans="5:6">
      <c r="E286" s="135"/>
      <c r="F286" s="131"/>
    </row>
    <row r="287" spans="5:6">
      <c r="E287" s="135"/>
      <c r="F287" s="131"/>
    </row>
    <row r="288" spans="5:6">
      <c r="E288" s="135"/>
      <c r="F288" s="131"/>
    </row>
    <row r="289" spans="5:6">
      <c r="E289" s="135"/>
      <c r="F289" s="131"/>
    </row>
    <row r="290" spans="5:6">
      <c r="E290" s="135"/>
      <c r="F290" s="131"/>
    </row>
    <row r="291" spans="5:6">
      <c r="E291" s="135"/>
      <c r="F291" s="131"/>
    </row>
    <row r="292" spans="5:6">
      <c r="E292" s="135"/>
      <c r="F292" s="131"/>
    </row>
    <row r="293" spans="5:6">
      <c r="E293" s="135"/>
      <c r="F293" s="131"/>
    </row>
    <row r="294" spans="5:6">
      <c r="E294" s="135"/>
      <c r="F294" s="131"/>
    </row>
    <row r="295" spans="5:6">
      <c r="E295" s="135"/>
      <c r="F295" s="131"/>
    </row>
    <row r="296" spans="5:6">
      <c r="E296" s="135"/>
      <c r="F296" s="131"/>
    </row>
    <row r="297" spans="5:6">
      <c r="E297" s="135"/>
      <c r="F297" s="131"/>
    </row>
    <row r="298" spans="5:6">
      <c r="E298" s="135"/>
      <c r="F298" s="131"/>
    </row>
    <row r="299" spans="5:6">
      <c r="E299" s="135"/>
      <c r="F299" s="131"/>
    </row>
    <row r="300" spans="5:6">
      <c r="E300" s="135"/>
      <c r="F300" s="131"/>
    </row>
    <row r="301" spans="5:6">
      <c r="E301" s="135"/>
      <c r="F301" s="131"/>
    </row>
    <row r="302" spans="5:6">
      <c r="E302" s="135"/>
      <c r="F302" s="131"/>
    </row>
    <row r="303" spans="5:6">
      <c r="E303" s="135"/>
      <c r="F303" s="131"/>
    </row>
    <row r="304" spans="5:6">
      <c r="E304" s="135"/>
      <c r="F304" s="131"/>
    </row>
    <row r="305" spans="5:6">
      <c r="E305" s="135"/>
      <c r="F305" s="131"/>
    </row>
    <row r="306" spans="5:6">
      <c r="E306" s="135"/>
      <c r="F306" s="131"/>
    </row>
    <row r="307" spans="5:6">
      <c r="E307" s="135"/>
      <c r="F307" s="131"/>
    </row>
    <row r="308" spans="5:6">
      <c r="E308" s="135"/>
      <c r="F308" s="131"/>
    </row>
    <row r="309" spans="5:6">
      <c r="E309" s="135"/>
      <c r="F309" s="131"/>
    </row>
    <row r="310" spans="5:6">
      <c r="E310" s="135"/>
      <c r="F310" s="131"/>
    </row>
    <row r="311" spans="5:6">
      <c r="E311" s="135"/>
      <c r="F311" s="131"/>
    </row>
    <row r="312" spans="5:6">
      <c r="E312" s="135"/>
      <c r="F312" s="131"/>
    </row>
    <row r="313" spans="5:6">
      <c r="E313" s="135"/>
      <c r="F313" s="131"/>
    </row>
    <row r="314" spans="5:6">
      <c r="E314" s="135"/>
      <c r="F314" s="131"/>
    </row>
    <row r="315" spans="5:6">
      <c r="E315" s="135"/>
      <c r="F315" s="131"/>
    </row>
    <row r="316" spans="5:6">
      <c r="E316" s="135"/>
      <c r="F316" s="131"/>
    </row>
    <row r="317" spans="5:6">
      <c r="E317" s="135"/>
      <c r="F317" s="131"/>
    </row>
    <row r="318" spans="5:6">
      <c r="E318" s="135"/>
      <c r="F318" s="131"/>
    </row>
    <row r="319" spans="5:6">
      <c r="E319" s="135"/>
      <c r="F319" s="131"/>
    </row>
    <row r="320" spans="5:6">
      <c r="E320" s="135"/>
      <c r="F320" s="131"/>
    </row>
    <row r="321" spans="5:6">
      <c r="E321" s="135"/>
      <c r="F321" s="131"/>
    </row>
    <row r="322" spans="5:6">
      <c r="E322" s="135"/>
      <c r="F322" s="131"/>
    </row>
    <row r="323" spans="5:6">
      <c r="E323" s="135"/>
      <c r="F323" s="131"/>
    </row>
    <row r="324" spans="5:6">
      <c r="E324" s="135"/>
      <c r="F324" s="131"/>
    </row>
    <row r="325" spans="5:6">
      <c r="E325" s="135"/>
      <c r="F325" s="131"/>
    </row>
    <row r="326" spans="5:6">
      <c r="E326" s="135"/>
      <c r="F326" s="131"/>
    </row>
    <row r="327" spans="5:6">
      <c r="E327" s="135"/>
      <c r="F327" s="131"/>
    </row>
    <row r="328" spans="5:6">
      <c r="E328" s="135"/>
      <c r="F328" s="131"/>
    </row>
    <row r="329" spans="5:6">
      <c r="E329" s="135"/>
      <c r="F329" s="131"/>
    </row>
    <row r="330" spans="5:6">
      <c r="E330" s="135"/>
      <c r="F330" s="131"/>
    </row>
    <row r="331" spans="5:6">
      <c r="E331" s="135"/>
      <c r="F331" s="131"/>
    </row>
    <row r="332" spans="5:6">
      <c r="E332" s="135"/>
      <c r="F332" s="131"/>
    </row>
    <row r="333" spans="5:6">
      <c r="E333" s="135"/>
      <c r="F333" s="131"/>
    </row>
    <row r="334" spans="5:6">
      <c r="E334" s="135"/>
      <c r="F334" s="131"/>
    </row>
    <row r="335" spans="5:6">
      <c r="E335" s="135"/>
      <c r="F335" s="131"/>
    </row>
    <row r="336" spans="5:6">
      <c r="E336" s="135"/>
      <c r="F336" s="131"/>
    </row>
    <row r="337" spans="5:6">
      <c r="E337" s="135"/>
      <c r="F337" s="131"/>
    </row>
    <row r="338" spans="5:6">
      <c r="E338" s="135"/>
      <c r="F338" s="131"/>
    </row>
    <row r="339" spans="5:6">
      <c r="E339" s="135"/>
      <c r="F339" s="131"/>
    </row>
    <row r="340" spans="5:6">
      <c r="E340" s="135"/>
      <c r="F340" s="131"/>
    </row>
    <row r="341" spans="5:6">
      <c r="E341" s="135"/>
      <c r="F341" s="131"/>
    </row>
    <row r="342" spans="5:6">
      <c r="E342" s="135"/>
      <c r="F342" s="131"/>
    </row>
    <row r="343" spans="5:6">
      <c r="E343" s="135"/>
      <c r="F343" s="131"/>
    </row>
    <row r="344" spans="5:6">
      <c r="E344" s="135"/>
      <c r="F344" s="131"/>
    </row>
    <row r="345" spans="5:6">
      <c r="E345" s="135"/>
      <c r="F345" s="131"/>
    </row>
    <row r="346" spans="5:6">
      <c r="E346" s="135"/>
      <c r="F346" s="131"/>
    </row>
    <row r="347" spans="5:6">
      <c r="E347" s="135"/>
      <c r="F347" s="131"/>
    </row>
    <row r="348" spans="5:6">
      <c r="E348" s="135"/>
      <c r="F348" s="131"/>
    </row>
    <row r="349" spans="5:6">
      <c r="E349" s="135"/>
      <c r="F349" s="131"/>
    </row>
    <row r="350" spans="5:6">
      <c r="E350" s="135"/>
      <c r="F350" s="131"/>
    </row>
    <row r="351" spans="5:6">
      <c r="E351" s="135"/>
      <c r="F351" s="131"/>
    </row>
    <row r="352" spans="5:6">
      <c r="E352" s="135"/>
      <c r="F352" s="131"/>
    </row>
    <row r="353" spans="5:6">
      <c r="E353" s="135"/>
      <c r="F353" s="131"/>
    </row>
    <row r="354" spans="5:6">
      <c r="E354" s="135"/>
      <c r="F354" s="131"/>
    </row>
    <row r="355" spans="5:6">
      <c r="E355" s="135"/>
      <c r="F355" s="131"/>
    </row>
    <row r="356" spans="5:6">
      <c r="E356" s="135"/>
      <c r="F356" s="131"/>
    </row>
    <row r="357" spans="5:6">
      <c r="E357" s="135"/>
      <c r="F357" s="131"/>
    </row>
    <row r="358" spans="5:6">
      <c r="E358" s="135"/>
      <c r="F358" s="131"/>
    </row>
    <row r="359" spans="5:6">
      <c r="E359" s="135"/>
      <c r="F359" s="131"/>
    </row>
    <row r="360" spans="5:6">
      <c r="E360" s="135"/>
      <c r="F360" s="131"/>
    </row>
    <row r="361" spans="5:6">
      <c r="E361" s="135"/>
      <c r="F361" s="131"/>
    </row>
    <row r="362" spans="5:6">
      <c r="E362" s="135"/>
      <c r="F362" s="131"/>
    </row>
    <row r="363" spans="5:6">
      <c r="E363" s="135"/>
      <c r="F363" s="131"/>
    </row>
    <row r="364" spans="5:6">
      <c r="E364" s="135"/>
      <c r="F364" s="131"/>
    </row>
    <row r="365" spans="5:6">
      <c r="E365" s="135"/>
      <c r="F365" s="131"/>
    </row>
    <row r="366" spans="5:6">
      <c r="E366" s="135"/>
      <c r="F366" s="131"/>
    </row>
    <row r="367" spans="5:6">
      <c r="E367" s="135"/>
      <c r="F367" s="131"/>
    </row>
    <row r="368" spans="5:6">
      <c r="E368" s="135"/>
      <c r="F368" s="131"/>
    </row>
    <row r="369" spans="5:6">
      <c r="E369" s="135"/>
      <c r="F369" s="131"/>
    </row>
    <row r="370" spans="5:6">
      <c r="E370" s="135"/>
      <c r="F370" s="131"/>
    </row>
    <row r="371" spans="5:6">
      <c r="E371" s="135"/>
      <c r="F371" s="131"/>
    </row>
    <row r="372" spans="5:6">
      <c r="E372" s="135"/>
      <c r="F372" s="131"/>
    </row>
    <row r="373" spans="5:6">
      <c r="E373" s="135"/>
      <c r="F373" s="131"/>
    </row>
    <row r="374" spans="5:6">
      <c r="E374" s="135"/>
      <c r="F374" s="131"/>
    </row>
    <row r="375" spans="5:6">
      <c r="E375" s="135"/>
      <c r="F375" s="131"/>
    </row>
    <row r="376" spans="5:6">
      <c r="E376" s="135"/>
      <c r="F376" s="131"/>
    </row>
    <row r="377" spans="5:6">
      <c r="E377" s="135"/>
      <c r="F377" s="131"/>
    </row>
    <row r="378" spans="5:6">
      <c r="E378" s="135"/>
      <c r="F378" s="131"/>
    </row>
    <row r="379" spans="5:6">
      <c r="E379" s="135"/>
      <c r="F379" s="131"/>
    </row>
    <row r="380" spans="5:6">
      <c r="E380" s="135"/>
      <c r="F380" s="131"/>
    </row>
    <row r="381" spans="5:6">
      <c r="E381" s="135"/>
      <c r="F381" s="131"/>
    </row>
    <row r="382" spans="5:6">
      <c r="E382" s="135"/>
      <c r="F382" s="131"/>
    </row>
    <row r="383" spans="5:6">
      <c r="E383" s="135"/>
      <c r="F383" s="131"/>
    </row>
    <row r="384" spans="5:6">
      <c r="E384" s="135"/>
      <c r="F384" s="131"/>
    </row>
    <row r="385" spans="5:6">
      <c r="E385" s="135"/>
      <c r="F385" s="131"/>
    </row>
    <row r="386" spans="5:6">
      <c r="E386" s="135"/>
      <c r="F386" s="131"/>
    </row>
    <row r="387" spans="5:6">
      <c r="E387" s="135"/>
      <c r="F387" s="131"/>
    </row>
    <row r="388" spans="5:6">
      <c r="E388" s="135"/>
      <c r="F388" s="131"/>
    </row>
    <row r="389" spans="5:6">
      <c r="E389" s="135"/>
      <c r="F389" s="131"/>
    </row>
    <row r="390" spans="5:6">
      <c r="E390" s="135"/>
      <c r="F390" s="131"/>
    </row>
    <row r="391" spans="5:6">
      <c r="E391" s="135"/>
      <c r="F391" s="131"/>
    </row>
    <row r="392" spans="5:6">
      <c r="E392" s="135"/>
      <c r="F392" s="131"/>
    </row>
    <row r="393" spans="5:6">
      <c r="E393" s="135"/>
      <c r="F393" s="131"/>
    </row>
    <row r="394" spans="5:6">
      <c r="E394" s="135"/>
      <c r="F394" s="131"/>
    </row>
    <row r="395" spans="5:6">
      <c r="E395" s="135"/>
      <c r="F395" s="131"/>
    </row>
    <row r="396" spans="5:6">
      <c r="E396" s="135"/>
      <c r="F396" s="131"/>
    </row>
    <row r="397" spans="5:6">
      <c r="E397" s="135"/>
      <c r="F397" s="131"/>
    </row>
    <row r="398" spans="5:6">
      <c r="E398" s="135"/>
      <c r="F398" s="131"/>
    </row>
    <row r="399" spans="5:6">
      <c r="E399" s="135"/>
      <c r="F399" s="131"/>
    </row>
    <row r="400" spans="5:6">
      <c r="E400" s="135"/>
      <c r="F400" s="131"/>
    </row>
    <row r="401" spans="5:6">
      <c r="E401" s="135"/>
      <c r="F401" s="131"/>
    </row>
    <row r="402" spans="5:6">
      <c r="E402" s="135"/>
      <c r="F402" s="131"/>
    </row>
    <row r="403" spans="5:6">
      <c r="E403" s="135"/>
      <c r="F403" s="131"/>
    </row>
    <row r="404" spans="5:6">
      <c r="E404" s="135"/>
      <c r="F404" s="131"/>
    </row>
    <row r="405" spans="5:6">
      <c r="E405" s="135"/>
      <c r="F405" s="131"/>
    </row>
    <row r="406" spans="5:6">
      <c r="E406" s="135"/>
      <c r="F406" s="131"/>
    </row>
    <row r="407" spans="5:6">
      <c r="E407" s="135"/>
      <c r="F407" s="131"/>
    </row>
    <row r="408" spans="5:6">
      <c r="E408" s="135"/>
      <c r="F408" s="131"/>
    </row>
    <row r="409" spans="5:6">
      <c r="E409" s="135"/>
      <c r="F409" s="131"/>
    </row>
    <row r="410" spans="5:6">
      <c r="E410" s="135"/>
      <c r="F410" s="131"/>
    </row>
    <row r="411" spans="5:6">
      <c r="E411" s="135"/>
      <c r="F411" s="131"/>
    </row>
    <row r="412" spans="5:6">
      <c r="E412" s="135"/>
      <c r="F412" s="131"/>
    </row>
    <row r="413" spans="5:6">
      <c r="E413" s="135"/>
      <c r="F413" s="131"/>
    </row>
    <row r="414" spans="5:6">
      <c r="E414" s="135"/>
      <c r="F414" s="131"/>
    </row>
    <row r="415" spans="5:6">
      <c r="E415" s="135"/>
      <c r="F415" s="131"/>
    </row>
    <row r="416" spans="5:6">
      <c r="E416" s="135"/>
      <c r="F416" s="131"/>
    </row>
    <row r="417" spans="5:6">
      <c r="E417" s="135"/>
      <c r="F417" s="131"/>
    </row>
    <row r="418" spans="5:6">
      <c r="E418" s="135"/>
      <c r="F418" s="131"/>
    </row>
    <row r="419" spans="5:6">
      <c r="E419" s="135"/>
      <c r="F419" s="131"/>
    </row>
    <row r="420" spans="5:6">
      <c r="E420" s="135"/>
      <c r="F420" s="131"/>
    </row>
    <row r="421" spans="5:6">
      <c r="E421" s="135"/>
      <c r="F421" s="131"/>
    </row>
    <row r="422" spans="5:6">
      <c r="E422" s="135"/>
      <c r="F422" s="131"/>
    </row>
    <row r="423" spans="5:6">
      <c r="E423" s="135"/>
      <c r="F423" s="131"/>
    </row>
    <row r="424" spans="5:6">
      <c r="E424" s="135"/>
      <c r="F424" s="131"/>
    </row>
    <row r="425" spans="5:6">
      <c r="E425" s="135"/>
      <c r="F425" s="131"/>
    </row>
    <row r="426" spans="5:6">
      <c r="E426" s="135"/>
      <c r="F426" s="131"/>
    </row>
    <row r="427" spans="5:6">
      <c r="E427" s="135"/>
      <c r="F427" s="131"/>
    </row>
    <row r="428" spans="5:6">
      <c r="E428" s="135"/>
      <c r="F428" s="131"/>
    </row>
    <row r="429" spans="5:6">
      <c r="E429" s="135"/>
      <c r="F429" s="131"/>
    </row>
    <row r="430" spans="5:6">
      <c r="E430" s="135"/>
      <c r="F430" s="131"/>
    </row>
    <row r="431" spans="5:6">
      <c r="E431" s="135"/>
      <c r="F431" s="131"/>
    </row>
    <row r="432" spans="5:6">
      <c r="E432" s="135"/>
      <c r="F432" s="131"/>
    </row>
    <row r="433" spans="5:6">
      <c r="E433" s="135"/>
      <c r="F433" s="131"/>
    </row>
    <row r="434" spans="5:6">
      <c r="E434" s="135"/>
      <c r="F434" s="131"/>
    </row>
    <row r="435" spans="5:6">
      <c r="E435" s="135"/>
      <c r="F435" s="131"/>
    </row>
    <row r="436" spans="5:6">
      <c r="E436" s="135"/>
      <c r="F436" s="131"/>
    </row>
    <row r="437" spans="5:6">
      <c r="E437" s="135"/>
      <c r="F437" s="131"/>
    </row>
    <row r="438" spans="5:6">
      <c r="E438" s="135"/>
      <c r="F438" s="131"/>
    </row>
    <row r="439" spans="5:6">
      <c r="E439" s="135"/>
      <c r="F439" s="131"/>
    </row>
    <row r="440" spans="5:6">
      <c r="E440" s="135"/>
      <c r="F440" s="131"/>
    </row>
    <row r="441" spans="5:6">
      <c r="E441" s="135"/>
      <c r="F441" s="131"/>
    </row>
    <row r="442" spans="5:6">
      <c r="E442" s="135"/>
      <c r="F442" s="131"/>
    </row>
    <row r="443" spans="5:6">
      <c r="E443" s="135"/>
      <c r="F443" s="131"/>
    </row>
    <row r="444" spans="5:6">
      <c r="E444" s="135"/>
      <c r="F444" s="131"/>
    </row>
    <row r="445" spans="5:6">
      <c r="E445" s="135"/>
      <c r="F445" s="131"/>
    </row>
    <row r="446" spans="5:6">
      <c r="E446" s="135"/>
      <c r="F446" s="131"/>
    </row>
    <row r="447" spans="5:6">
      <c r="E447" s="135"/>
      <c r="F447" s="131"/>
    </row>
    <row r="448" spans="5:6">
      <c r="E448" s="135"/>
      <c r="F448" s="131"/>
    </row>
    <row r="449" spans="5:6">
      <c r="E449" s="135"/>
      <c r="F449" s="131"/>
    </row>
    <row r="450" spans="5:6">
      <c r="E450" s="135"/>
      <c r="F450" s="131"/>
    </row>
    <row r="451" spans="5:6">
      <c r="E451" s="135"/>
      <c r="F451" s="131"/>
    </row>
    <row r="452" spans="5:6">
      <c r="E452" s="135"/>
      <c r="F452" s="131"/>
    </row>
    <row r="453" spans="5:6">
      <c r="E453" s="135"/>
      <c r="F453" s="131"/>
    </row>
    <row r="454" spans="5:6">
      <c r="E454" s="135"/>
      <c r="F454" s="131"/>
    </row>
    <row r="455" spans="5:6">
      <c r="E455" s="135"/>
      <c r="F455" s="131"/>
    </row>
    <row r="456" spans="5:6">
      <c r="E456" s="135"/>
      <c r="F456" s="131"/>
    </row>
    <row r="457" spans="5:6">
      <c r="E457" s="135"/>
      <c r="F457" s="131"/>
    </row>
    <row r="458" spans="5:6">
      <c r="E458" s="135"/>
      <c r="F458" s="131"/>
    </row>
    <row r="459" spans="5:6">
      <c r="E459" s="135"/>
      <c r="F459" s="131"/>
    </row>
    <row r="460" spans="5:6">
      <c r="E460" s="135"/>
      <c r="F460" s="131"/>
    </row>
    <row r="461" spans="5:6">
      <c r="E461" s="135"/>
      <c r="F461" s="131"/>
    </row>
    <row r="462" spans="5:6">
      <c r="E462" s="135"/>
      <c r="F462" s="131"/>
    </row>
    <row r="463" spans="5:6">
      <c r="E463" s="135"/>
      <c r="F463" s="131"/>
    </row>
    <row r="464" spans="5:6">
      <c r="E464" s="135"/>
      <c r="F464" s="131"/>
    </row>
    <row r="465" spans="5:6">
      <c r="E465" s="135"/>
      <c r="F465" s="131"/>
    </row>
    <row r="466" spans="5:6">
      <c r="E466" s="135"/>
      <c r="F466" s="131"/>
    </row>
    <row r="467" spans="5:6">
      <c r="E467" s="135"/>
      <c r="F467" s="131"/>
    </row>
    <row r="468" spans="5:6">
      <c r="E468" s="135"/>
      <c r="F468" s="131"/>
    </row>
    <row r="469" spans="5:6">
      <c r="E469" s="135"/>
      <c r="F469" s="131"/>
    </row>
    <row r="470" spans="5:6">
      <c r="E470" s="135"/>
      <c r="F470" s="131"/>
    </row>
    <row r="471" spans="5:6">
      <c r="E471" s="135"/>
      <c r="F471" s="131"/>
    </row>
    <row r="472" spans="5:6">
      <c r="E472" s="135"/>
      <c r="F472" s="131"/>
    </row>
    <row r="473" spans="5:6">
      <c r="E473" s="135"/>
      <c r="F473" s="131"/>
    </row>
    <row r="474" spans="5:6">
      <c r="E474" s="135"/>
      <c r="F474" s="131"/>
    </row>
    <row r="475" spans="5:6">
      <c r="E475" s="135"/>
      <c r="F475" s="131"/>
    </row>
    <row r="476" spans="5:6">
      <c r="E476" s="135"/>
      <c r="F476" s="131"/>
    </row>
    <row r="477" spans="5:6">
      <c r="E477" s="135"/>
      <c r="F477" s="131"/>
    </row>
    <row r="478" spans="5:6">
      <c r="E478" s="135"/>
      <c r="F478" s="131"/>
    </row>
    <row r="479" spans="5:6">
      <c r="E479" s="135"/>
      <c r="F479" s="131"/>
    </row>
    <row r="480" spans="5:6">
      <c r="E480" s="135"/>
      <c r="F480" s="131"/>
    </row>
    <row r="481" spans="5:6">
      <c r="E481" s="135"/>
      <c r="F481" s="131"/>
    </row>
    <row r="482" spans="5:6">
      <c r="E482" s="135"/>
      <c r="F482" s="131"/>
    </row>
    <row r="483" spans="5:6">
      <c r="E483" s="135"/>
      <c r="F483" s="131"/>
    </row>
    <row r="484" spans="5:6">
      <c r="E484" s="135"/>
      <c r="F484" s="131"/>
    </row>
    <row r="485" spans="5:6">
      <c r="E485" s="135"/>
      <c r="F485" s="131"/>
    </row>
    <row r="486" spans="5:6">
      <c r="E486" s="135"/>
      <c r="F486" s="131"/>
    </row>
    <row r="487" spans="5:6">
      <c r="E487" s="135"/>
      <c r="F487" s="131"/>
    </row>
    <row r="488" spans="5:6">
      <c r="E488" s="135"/>
      <c r="F488" s="131"/>
    </row>
    <row r="489" spans="5:6">
      <c r="E489" s="135"/>
      <c r="F489" s="131"/>
    </row>
    <row r="490" spans="5:6">
      <c r="E490" s="135"/>
      <c r="F490" s="131"/>
    </row>
    <row r="491" spans="5:6">
      <c r="E491" s="135"/>
      <c r="F491" s="131"/>
    </row>
    <row r="492" spans="5:6">
      <c r="E492" s="135"/>
      <c r="F492" s="131"/>
    </row>
    <row r="493" spans="5:6">
      <c r="E493" s="135"/>
      <c r="F493" s="131"/>
    </row>
    <row r="494" spans="5:6">
      <c r="E494" s="135"/>
      <c r="F494" s="131"/>
    </row>
    <row r="495" spans="5:6">
      <c r="E495" s="135"/>
      <c r="F495" s="131"/>
    </row>
    <row r="496" spans="5:6">
      <c r="E496" s="135"/>
      <c r="F496" s="131"/>
    </row>
    <row r="497" spans="5:6">
      <c r="E497" s="135"/>
      <c r="F497" s="131"/>
    </row>
    <row r="498" spans="5:6">
      <c r="E498" s="135"/>
      <c r="F498" s="131"/>
    </row>
    <row r="499" spans="5:6">
      <c r="E499" s="135"/>
      <c r="F499" s="131"/>
    </row>
    <row r="500" spans="5:6">
      <c r="E500" s="135"/>
      <c r="F500" s="131"/>
    </row>
    <row r="501" spans="5:6">
      <c r="E501" s="135"/>
      <c r="F501" s="131"/>
    </row>
    <row r="502" spans="5:6">
      <c r="E502" s="135"/>
      <c r="F502" s="131"/>
    </row>
    <row r="503" spans="5:6">
      <c r="E503" s="135"/>
      <c r="F503" s="131"/>
    </row>
    <row r="504" spans="5:6">
      <c r="E504" s="135"/>
      <c r="F504" s="131"/>
    </row>
    <row r="505" spans="5:6">
      <c r="E505" s="135"/>
      <c r="F505" s="131"/>
    </row>
    <row r="506" spans="5:6">
      <c r="E506" s="135"/>
      <c r="F506" s="131"/>
    </row>
    <row r="507" spans="5:6">
      <c r="E507" s="135"/>
      <c r="F507" s="131"/>
    </row>
    <row r="508" spans="5:6">
      <c r="E508" s="135"/>
      <c r="F508" s="131"/>
    </row>
    <row r="509" spans="5:6">
      <c r="E509" s="135"/>
      <c r="F509" s="131"/>
    </row>
    <row r="510" spans="5:6">
      <c r="E510" s="135"/>
      <c r="F510" s="131"/>
    </row>
    <row r="511" spans="5:6">
      <c r="E511" s="135"/>
      <c r="F511" s="131"/>
    </row>
    <row r="512" spans="5:6">
      <c r="E512" s="135"/>
      <c r="F512" s="131"/>
    </row>
    <row r="513" spans="5:6">
      <c r="E513" s="135"/>
      <c r="F513" s="131"/>
    </row>
    <row r="514" spans="5:6">
      <c r="E514" s="135"/>
      <c r="F514" s="131"/>
    </row>
    <row r="515" spans="5:6">
      <c r="E515" s="135"/>
      <c r="F515" s="131"/>
    </row>
    <row r="516" spans="5:6">
      <c r="E516" s="135"/>
      <c r="F516" s="131"/>
    </row>
    <row r="517" spans="5:6">
      <c r="E517" s="135"/>
      <c r="F517" s="131"/>
    </row>
    <row r="518" spans="5:6">
      <c r="E518" s="135"/>
      <c r="F518" s="131"/>
    </row>
    <row r="519" spans="5:6">
      <c r="E519" s="135"/>
      <c r="F519" s="131"/>
    </row>
    <row r="520" spans="5:6">
      <c r="E520" s="135"/>
      <c r="F520" s="131"/>
    </row>
    <row r="521" spans="5:6">
      <c r="E521" s="135"/>
      <c r="F521" s="131"/>
    </row>
    <row r="522" spans="5:6">
      <c r="E522" s="135"/>
      <c r="F522" s="131"/>
    </row>
    <row r="523" spans="5:6">
      <c r="E523" s="135"/>
      <c r="F523" s="131"/>
    </row>
    <row r="524" spans="5:6">
      <c r="E524" s="135"/>
      <c r="F524" s="131"/>
    </row>
    <row r="525" spans="5:6">
      <c r="E525" s="135"/>
      <c r="F525" s="131"/>
    </row>
    <row r="526" spans="5:6">
      <c r="E526" s="135"/>
      <c r="F526" s="131"/>
    </row>
    <row r="527" spans="5:6">
      <c r="E527" s="135"/>
      <c r="F527" s="131"/>
    </row>
    <row r="528" spans="5:6">
      <c r="E528" s="135"/>
      <c r="F528" s="131"/>
    </row>
    <row r="529" spans="5:6">
      <c r="E529" s="135"/>
      <c r="F529" s="131"/>
    </row>
    <row r="530" spans="5:6">
      <c r="E530" s="135"/>
      <c r="F530" s="131"/>
    </row>
    <row r="531" spans="5:6">
      <c r="E531" s="135"/>
      <c r="F531" s="131"/>
    </row>
    <row r="532" spans="5:6">
      <c r="E532" s="135"/>
      <c r="F532" s="131"/>
    </row>
    <row r="533" spans="5:6">
      <c r="E533" s="135"/>
      <c r="F533" s="131"/>
    </row>
    <row r="534" spans="5:6">
      <c r="E534" s="135"/>
      <c r="F534" s="131"/>
    </row>
    <row r="535" spans="5:6">
      <c r="E535" s="135"/>
      <c r="F535" s="131"/>
    </row>
    <row r="536" spans="5:6">
      <c r="E536" s="135"/>
      <c r="F536" s="131"/>
    </row>
    <row r="537" spans="5:6">
      <c r="E537" s="135"/>
      <c r="F537" s="131"/>
    </row>
    <row r="538" spans="5:6">
      <c r="E538" s="135"/>
      <c r="F538" s="131"/>
    </row>
    <row r="539" spans="5:6">
      <c r="E539" s="135"/>
      <c r="F539" s="131"/>
    </row>
    <row r="540" spans="5:6">
      <c r="E540" s="135"/>
      <c r="F540" s="131"/>
    </row>
    <row r="541" spans="5:6">
      <c r="E541" s="135"/>
      <c r="F541" s="131"/>
    </row>
    <row r="542" spans="5:6">
      <c r="E542" s="135"/>
      <c r="F542" s="131"/>
    </row>
    <row r="543" spans="5:6">
      <c r="E543" s="135"/>
      <c r="F543" s="131"/>
    </row>
    <row r="544" spans="5:6">
      <c r="E544" s="135"/>
      <c r="F544" s="131"/>
    </row>
    <row r="545" spans="5:6">
      <c r="E545" s="135"/>
      <c r="F545" s="131"/>
    </row>
    <row r="546" spans="5:6">
      <c r="E546" s="135"/>
      <c r="F546" s="131"/>
    </row>
    <row r="547" spans="5:6">
      <c r="E547" s="135"/>
      <c r="F547" s="131"/>
    </row>
    <row r="548" spans="5:6">
      <c r="E548" s="135"/>
      <c r="F548" s="131"/>
    </row>
    <row r="549" spans="5:6">
      <c r="E549" s="135"/>
      <c r="F549" s="131"/>
    </row>
    <row r="550" spans="5:6">
      <c r="E550" s="135"/>
      <c r="F550" s="131"/>
    </row>
    <row r="551" spans="5:6">
      <c r="E551" s="135"/>
      <c r="F551" s="131"/>
    </row>
    <row r="552" spans="5:6">
      <c r="E552" s="135"/>
      <c r="F552" s="131"/>
    </row>
    <row r="553" spans="5:6">
      <c r="E553" s="135"/>
      <c r="F553" s="131"/>
    </row>
    <row r="554" spans="5:6">
      <c r="E554" s="135"/>
      <c r="F554" s="131"/>
    </row>
    <row r="555" spans="5:6">
      <c r="E555" s="135"/>
      <c r="F555" s="131"/>
    </row>
    <row r="556" spans="5:6">
      <c r="E556" s="135"/>
      <c r="F556" s="131"/>
    </row>
    <row r="557" spans="5:6">
      <c r="E557" s="135"/>
      <c r="F557" s="131"/>
    </row>
    <row r="558" spans="5:6">
      <c r="E558" s="135"/>
      <c r="F558" s="131"/>
    </row>
    <row r="559" spans="5:6">
      <c r="E559" s="135"/>
      <c r="F559" s="131"/>
    </row>
    <row r="560" spans="5:6">
      <c r="E560" s="135"/>
      <c r="F560" s="131"/>
    </row>
    <row r="561" spans="5:6">
      <c r="E561" s="135"/>
      <c r="F561" s="131"/>
    </row>
    <row r="562" spans="5:6">
      <c r="E562" s="135"/>
      <c r="F562" s="131"/>
    </row>
    <row r="563" spans="5:6">
      <c r="E563" s="135"/>
      <c r="F563" s="131"/>
    </row>
    <row r="564" spans="5:6">
      <c r="E564" s="135"/>
      <c r="F564" s="131"/>
    </row>
    <row r="565" spans="5:6">
      <c r="E565" s="135"/>
      <c r="F565" s="131"/>
    </row>
    <row r="566" spans="5:6">
      <c r="E566" s="135"/>
      <c r="F566" s="131"/>
    </row>
    <row r="567" spans="5:6">
      <c r="E567" s="135"/>
      <c r="F567" s="131"/>
    </row>
    <row r="568" spans="5:6">
      <c r="E568" s="135"/>
      <c r="F568" s="131"/>
    </row>
    <row r="569" spans="5:6">
      <c r="E569" s="135"/>
      <c r="F569" s="131"/>
    </row>
    <row r="570" spans="5:6">
      <c r="E570" s="135"/>
      <c r="F570" s="131"/>
    </row>
    <row r="571" spans="5:6">
      <c r="E571" s="135"/>
      <c r="F571" s="131"/>
    </row>
    <row r="572" spans="5:6">
      <c r="E572" s="135"/>
      <c r="F572" s="131"/>
    </row>
    <row r="573" spans="5:6">
      <c r="E573" s="135"/>
      <c r="F573" s="131"/>
    </row>
    <row r="574" spans="5:6">
      <c r="E574" s="135"/>
      <c r="F574" s="131"/>
    </row>
    <row r="575" spans="5:6">
      <c r="E575" s="135"/>
      <c r="F575" s="131"/>
    </row>
    <row r="576" spans="5:6">
      <c r="E576" s="135"/>
      <c r="F576" s="131"/>
    </row>
    <row r="577" spans="5:6">
      <c r="E577" s="135"/>
      <c r="F577" s="131"/>
    </row>
    <row r="578" spans="5:6">
      <c r="E578" s="135"/>
      <c r="F578" s="131"/>
    </row>
    <row r="579" spans="5:6">
      <c r="E579" s="135"/>
      <c r="F579" s="131"/>
    </row>
    <row r="580" spans="5:6">
      <c r="E580" s="135"/>
      <c r="F580" s="131"/>
    </row>
    <row r="581" spans="5:6">
      <c r="E581" s="135"/>
      <c r="F581" s="131"/>
    </row>
    <row r="582" spans="5:6">
      <c r="E582" s="135"/>
      <c r="F582" s="131"/>
    </row>
    <row r="583" spans="5:6">
      <c r="E583" s="135"/>
      <c r="F583" s="131"/>
    </row>
    <row r="584" spans="5:6">
      <c r="E584" s="135"/>
      <c r="F584" s="131"/>
    </row>
    <row r="585" spans="5:6">
      <c r="E585" s="135"/>
      <c r="F585" s="131"/>
    </row>
    <row r="586" spans="5:6">
      <c r="E586" s="135"/>
      <c r="F586" s="131"/>
    </row>
    <row r="587" spans="5:6">
      <c r="E587" s="135"/>
      <c r="F587" s="131"/>
    </row>
    <row r="588" spans="5:6">
      <c r="E588" s="135"/>
      <c r="F588" s="131"/>
    </row>
    <row r="589" spans="5:6">
      <c r="E589" s="135"/>
      <c r="F589" s="131"/>
    </row>
    <row r="590" spans="5:6">
      <c r="E590" s="135"/>
      <c r="F590" s="131"/>
    </row>
    <row r="591" spans="5:6">
      <c r="E591" s="135"/>
      <c r="F591" s="131"/>
    </row>
    <row r="592" spans="5:6">
      <c r="E592" s="135"/>
      <c r="F592" s="131"/>
    </row>
    <row r="593" spans="5:6">
      <c r="E593" s="135"/>
      <c r="F593" s="131"/>
    </row>
    <row r="594" spans="5:6">
      <c r="E594" s="135"/>
      <c r="F594" s="131"/>
    </row>
    <row r="595" spans="5:6">
      <c r="E595" s="135"/>
      <c r="F595" s="131"/>
    </row>
    <row r="596" spans="5:6">
      <c r="E596" s="135"/>
      <c r="F596" s="131"/>
    </row>
    <row r="597" spans="5:6">
      <c r="E597" s="135"/>
      <c r="F597" s="131"/>
    </row>
    <row r="598" spans="5:6">
      <c r="E598" s="135"/>
      <c r="F598" s="131"/>
    </row>
    <row r="599" spans="5:6">
      <c r="E599" s="135"/>
      <c r="F599" s="131"/>
    </row>
    <row r="600" spans="5:6">
      <c r="E600" s="135"/>
      <c r="F600" s="131"/>
    </row>
    <row r="601" spans="5:6">
      <c r="E601" s="135"/>
      <c r="F601" s="131"/>
    </row>
    <row r="602" spans="5:6">
      <c r="E602" s="135"/>
      <c r="F602" s="131"/>
    </row>
    <row r="603" spans="5:6">
      <c r="E603" s="135"/>
      <c r="F603" s="131"/>
    </row>
    <row r="604" spans="5:6">
      <c r="E604" s="135"/>
      <c r="F604" s="131"/>
    </row>
    <row r="605" spans="5:6">
      <c r="E605" s="135"/>
      <c r="F605" s="131"/>
    </row>
    <row r="606" spans="5:6">
      <c r="E606" s="135"/>
      <c r="F606" s="131"/>
    </row>
    <row r="607" spans="5:6">
      <c r="E607" s="135"/>
      <c r="F607" s="131"/>
    </row>
    <row r="608" spans="5:6">
      <c r="E608" s="135"/>
      <c r="F608" s="131"/>
    </row>
    <row r="609" spans="5:6">
      <c r="E609" s="135"/>
      <c r="F609" s="131"/>
    </row>
    <row r="610" spans="5:6">
      <c r="E610" s="135"/>
      <c r="F610" s="131"/>
    </row>
    <row r="611" spans="5:6">
      <c r="E611" s="135"/>
      <c r="F611" s="131"/>
    </row>
    <row r="612" spans="5:6">
      <c r="E612" s="135"/>
      <c r="F612" s="131"/>
    </row>
    <row r="613" spans="5:6">
      <c r="E613" s="135"/>
      <c r="F613" s="131"/>
    </row>
    <row r="614" spans="5:6">
      <c r="E614" s="135"/>
      <c r="F614" s="131"/>
    </row>
    <row r="615" spans="5:6">
      <c r="E615" s="135"/>
      <c r="F615" s="131"/>
    </row>
    <row r="616" spans="5:6">
      <c r="E616" s="135"/>
      <c r="F616" s="131"/>
    </row>
    <row r="617" spans="5:6">
      <c r="E617" s="135"/>
      <c r="F617" s="131"/>
    </row>
    <row r="618" spans="5:6">
      <c r="E618" s="135"/>
      <c r="F618" s="131"/>
    </row>
    <row r="619" spans="5:6">
      <c r="E619" s="135"/>
      <c r="F619" s="131"/>
    </row>
    <row r="620" spans="5:6">
      <c r="E620" s="135"/>
      <c r="F620" s="131"/>
    </row>
    <row r="621" spans="5:6">
      <c r="E621" s="135"/>
      <c r="F621" s="131"/>
    </row>
    <row r="622" spans="5:6">
      <c r="E622" s="135"/>
      <c r="F622" s="131"/>
    </row>
    <row r="623" spans="5:6">
      <c r="E623" s="135"/>
      <c r="F623" s="131"/>
    </row>
    <row r="624" spans="5:6">
      <c r="E624" s="135"/>
      <c r="F624" s="131"/>
    </row>
    <row r="625" spans="5:6">
      <c r="E625" s="135"/>
      <c r="F625" s="131"/>
    </row>
    <row r="626" spans="5:6">
      <c r="E626" s="135"/>
      <c r="F626" s="131"/>
    </row>
    <row r="627" spans="5:6">
      <c r="E627" s="135"/>
      <c r="F627" s="131"/>
    </row>
    <row r="628" spans="5:6">
      <c r="E628" s="135"/>
      <c r="F628" s="131"/>
    </row>
    <row r="629" spans="5:6">
      <c r="E629" s="135"/>
      <c r="F629" s="131"/>
    </row>
    <row r="630" spans="5:6">
      <c r="E630" s="135"/>
      <c r="F630" s="131"/>
    </row>
    <row r="631" spans="5:6">
      <c r="E631" s="135"/>
      <c r="F631" s="131"/>
    </row>
    <row r="632" spans="5:6">
      <c r="E632" s="135"/>
      <c r="F632" s="131"/>
    </row>
    <row r="633" spans="5:6">
      <c r="E633" s="135"/>
      <c r="F633" s="131"/>
    </row>
    <row r="634" spans="5:6">
      <c r="E634" s="135"/>
      <c r="F634" s="131"/>
    </row>
    <row r="635" spans="5:6">
      <c r="E635" s="135"/>
      <c r="F635" s="131"/>
    </row>
    <row r="636" spans="5:6">
      <c r="E636" s="135"/>
      <c r="F636" s="131"/>
    </row>
    <row r="637" spans="5:6">
      <c r="E637" s="135"/>
      <c r="F637" s="131"/>
    </row>
    <row r="638" spans="5:6">
      <c r="E638" s="135"/>
      <c r="F638" s="131"/>
    </row>
    <row r="639" spans="5:6">
      <c r="E639" s="135"/>
      <c r="F639" s="131"/>
    </row>
    <row r="640" spans="5:6">
      <c r="E640" s="135"/>
      <c r="F640" s="131"/>
    </row>
    <row r="641" spans="5:6">
      <c r="E641" s="135"/>
      <c r="F641" s="131"/>
    </row>
    <row r="642" spans="5:6">
      <c r="E642" s="135"/>
      <c r="F642" s="131"/>
    </row>
    <row r="643" spans="5:6">
      <c r="E643" s="135"/>
      <c r="F643" s="131"/>
    </row>
    <row r="644" spans="5:6">
      <c r="E644" s="135"/>
      <c r="F644" s="131"/>
    </row>
    <row r="645" spans="5:6">
      <c r="E645" s="135"/>
      <c r="F645" s="131"/>
    </row>
    <row r="646" spans="5:6">
      <c r="E646" s="135"/>
      <c r="F646" s="131"/>
    </row>
    <row r="647" spans="5:6">
      <c r="E647" s="135"/>
      <c r="F647" s="131"/>
    </row>
    <row r="648" spans="5:6">
      <c r="E648" s="135"/>
      <c r="F648" s="131"/>
    </row>
    <row r="649" spans="5:6">
      <c r="E649" s="135"/>
      <c r="F649" s="131"/>
    </row>
    <row r="650" spans="5:6">
      <c r="E650" s="135"/>
      <c r="F650" s="131"/>
    </row>
    <row r="651" spans="5:6">
      <c r="E651" s="135"/>
      <c r="F651" s="131"/>
    </row>
    <row r="652" spans="5:6">
      <c r="E652" s="135"/>
      <c r="F652" s="131"/>
    </row>
    <row r="653" spans="5:6">
      <c r="E653" s="135"/>
      <c r="F653" s="131"/>
    </row>
    <row r="654" spans="5:6">
      <c r="E654" s="135"/>
      <c r="F654" s="131"/>
    </row>
    <row r="655" spans="5:6">
      <c r="E655" s="135"/>
      <c r="F655" s="131"/>
    </row>
    <row r="656" spans="5:6">
      <c r="E656" s="135"/>
      <c r="F656" s="131"/>
    </row>
    <row r="657" spans="5:6">
      <c r="E657" s="135"/>
      <c r="F657" s="131"/>
    </row>
    <row r="658" spans="5:6">
      <c r="E658" s="135"/>
      <c r="F658" s="131"/>
    </row>
    <row r="659" spans="5:6">
      <c r="E659" s="135"/>
      <c r="F659" s="131"/>
    </row>
    <row r="660" spans="5:6">
      <c r="E660" s="135"/>
      <c r="F660" s="131"/>
    </row>
    <row r="661" spans="5:6">
      <c r="E661" s="135"/>
      <c r="F661" s="131"/>
    </row>
    <row r="662" spans="5:6">
      <c r="E662" s="135"/>
      <c r="F662" s="131"/>
    </row>
    <row r="663" spans="5:6">
      <c r="E663" s="135"/>
      <c r="F663" s="131"/>
    </row>
    <row r="664" spans="5:6">
      <c r="E664" s="135"/>
      <c r="F664" s="131"/>
    </row>
    <row r="665" spans="5:6">
      <c r="E665" s="135"/>
      <c r="F665" s="131"/>
    </row>
    <row r="666" spans="5:6">
      <c r="E666" s="135"/>
      <c r="F666" s="131"/>
    </row>
    <row r="667" spans="5:6">
      <c r="E667" s="135"/>
      <c r="F667" s="131"/>
    </row>
    <row r="668" spans="5:6">
      <c r="E668" s="135"/>
      <c r="F668" s="131"/>
    </row>
    <row r="669" spans="5:6">
      <c r="E669" s="135"/>
      <c r="F669" s="131"/>
    </row>
    <row r="670" spans="5:6">
      <c r="E670" s="135"/>
      <c r="F670" s="131"/>
    </row>
    <row r="671" spans="5:6">
      <c r="E671" s="135"/>
      <c r="F671" s="131"/>
    </row>
    <row r="672" spans="5:6">
      <c r="E672" s="135"/>
      <c r="F672" s="131"/>
    </row>
    <row r="673" spans="5:6">
      <c r="E673" s="135"/>
      <c r="F673" s="131"/>
    </row>
    <row r="674" spans="5:6">
      <c r="E674" s="135"/>
      <c r="F674" s="131"/>
    </row>
    <row r="675" spans="5:6">
      <c r="E675" s="135"/>
      <c r="F675" s="131"/>
    </row>
    <row r="676" spans="5:6">
      <c r="E676" s="135"/>
      <c r="F676" s="131"/>
    </row>
    <row r="677" spans="5:6">
      <c r="E677" s="135"/>
      <c r="F677" s="131"/>
    </row>
    <row r="678" spans="5:6">
      <c r="E678" s="135"/>
      <c r="F678" s="131"/>
    </row>
    <row r="679" spans="5:6">
      <c r="E679" s="135"/>
      <c r="F679" s="131"/>
    </row>
    <row r="680" spans="5:6">
      <c r="E680" s="135"/>
      <c r="F680" s="131"/>
    </row>
    <row r="681" spans="5:6">
      <c r="E681" s="135"/>
      <c r="F681" s="131"/>
    </row>
    <row r="682" spans="5:6">
      <c r="E682" s="135"/>
      <c r="F682" s="131"/>
    </row>
    <row r="683" spans="5:6">
      <c r="E683" s="135"/>
      <c r="F683" s="131"/>
    </row>
    <row r="684" spans="5:6">
      <c r="E684" s="135"/>
      <c r="F684" s="131"/>
    </row>
    <row r="685" spans="5:6">
      <c r="E685" s="135"/>
      <c r="F685" s="131"/>
    </row>
    <row r="686" spans="5:6">
      <c r="E686" s="135"/>
      <c r="F686" s="131"/>
    </row>
    <row r="687" spans="5:6">
      <c r="E687" s="135"/>
      <c r="F687" s="131"/>
    </row>
    <row r="688" spans="5:6">
      <c r="E688" s="135"/>
      <c r="F688" s="131"/>
    </row>
    <row r="689" spans="5:6">
      <c r="E689" s="135"/>
      <c r="F689" s="131"/>
    </row>
    <row r="690" spans="5:6">
      <c r="E690" s="135"/>
      <c r="F690" s="131"/>
    </row>
    <row r="691" spans="5:6">
      <c r="E691" s="135"/>
      <c r="F691" s="131"/>
    </row>
    <row r="692" spans="5:6">
      <c r="E692" s="135"/>
      <c r="F692" s="131"/>
    </row>
    <row r="693" spans="5:6">
      <c r="E693" s="135"/>
      <c r="F693" s="131"/>
    </row>
    <row r="694" spans="5:6">
      <c r="E694" s="135"/>
      <c r="F694" s="131"/>
    </row>
    <row r="695" spans="5:6">
      <c r="E695" s="135"/>
      <c r="F695" s="131"/>
    </row>
    <row r="696" spans="5:6">
      <c r="E696" s="135"/>
      <c r="F696" s="131"/>
    </row>
    <row r="697" spans="5:6">
      <c r="E697" s="135"/>
      <c r="F697" s="131"/>
    </row>
    <row r="698" spans="5:6">
      <c r="E698" s="135"/>
      <c r="F698" s="131"/>
    </row>
    <row r="699" spans="5:6">
      <c r="E699" s="135"/>
      <c r="F699" s="131"/>
    </row>
    <row r="700" spans="5:6">
      <c r="E700" s="135"/>
      <c r="F700" s="131"/>
    </row>
    <row r="701" spans="5:6">
      <c r="E701" s="135"/>
      <c r="F701" s="131"/>
    </row>
    <row r="702" spans="5:6">
      <c r="E702" s="135"/>
      <c r="F702" s="131"/>
    </row>
    <row r="703" spans="5:6">
      <c r="E703" s="135"/>
      <c r="F703" s="131"/>
    </row>
    <row r="704" spans="5:6">
      <c r="E704" s="135"/>
      <c r="F704" s="131"/>
    </row>
    <row r="705" spans="5:6">
      <c r="E705" s="135"/>
      <c r="F705" s="131"/>
    </row>
    <row r="706" spans="5:6">
      <c r="E706" s="135"/>
      <c r="F706" s="131"/>
    </row>
    <row r="707" spans="5:6">
      <c r="E707" s="135"/>
      <c r="F707" s="131"/>
    </row>
    <row r="708" spans="5:6">
      <c r="E708" s="135"/>
      <c r="F708" s="131"/>
    </row>
    <row r="709" spans="5:6">
      <c r="E709" s="135"/>
      <c r="F709" s="131"/>
    </row>
    <row r="710" spans="5:6">
      <c r="E710" s="135"/>
      <c r="F710" s="131"/>
    </row>
    <row r="711" spans="5:6">
      <c r="E711" s="135"/>
      <c r="F711" s="131"/>
    </row>
    <row r="712" spans="5:6">
      <c r="E712" s="135"/>
      <c r="F712" s="131"/>
    </row>
    <row r="713" spans="5:6">
      <c r="E713" s="135"/>
      <c r="F713" s="131"/>
    </row>
    <row r="714" spans="5:6">
      <c r="E714" s="135"/>
      <c r="F714" s="131"/>
    </row>
    <row r="715" spans="5:6">
      <c r="E715" s="135"/>
      <c r="F715" s="131"/>
    </row>
    <row r="716" spans="5:6">
      <c r="E716" s="135"/>
      <c r="F716" s="131"/>
    </row>
    <row r="717" spans="5:6">
      <c r="E717" s="135"/>
      <c r="F717" s="131"/>
    </row>
    <row r="718" spans="5:6">
      <c r="E718" s="135"/>
      <c r="F718" s="131"/>
    </row>
    <row r="719" spans="5:6">
      <c r="E719" s="135"/>
      <c r="F719" s="131"/>
    </row>
    <row r="720" spans="5:6">
      <c r="E720" s="135"/>
      <c r="F720" s="131"/>
    </row>
    <row r="721" spans="5:6">
      <c r="E721" s="135"/>
      <c r="F721" s="131"/>
    </row>
    <row r="722" spans="5:6">
      <c r="E722" s="135"/>
      <c r="F722" s="131"/>
    </row>
    <row r="723" spans="5:6">
      <c r="E723" s="135"/>
      <c r="F723" s="131"/>
    </row>
    <row r="724" spans="5:6">
      <c r="E724" s="135"/>
      <c r="F724" s="131"/>
    </row>
    <row r="725" spans="5:6">
      <c r="E725" s="135"/>
      <c r="F725" s="131"/>
    </row>
    <row r="726" spans="5:6">
      <c r="E726" s="135"/>
      <c r="F726" s="131"/>
    </row>
    <row r="727" spans="5:6">
      <c r="E727" s="135"/>
      <c r="F727" s="131"/>
    </row>
    <row r="728" spans="5:6">
      <c r="E728" s="135"/>
      <c r="F728" s="131"/>
    </row>
    <row r="729" spans="5:6">
      <c r="E729" s="135"/>
      <c r="F729" s="131"/>
    </row>
    <row r="730" spans="5:6">
      <c r="E730" s="135"/>
      <c r="F730" s="131"/>
    </row>
    <row r="731" spans="5:6">
      <c r="E731" s="135"/>
      <c r="F731" s="131"/>
    </row>
    <row r="732" spans="5:6">
      <c r="E732" s="135"/>
      <c r="F732" s="131"/>
    </row>
    <row r="733" spans="5:6">
      <c r="E733" s="135"/>
      <c r="F733" s="131"/>
    </row>
    <row r="734" spans="5:6">
      <c r="E734" s="135"/>
      <c r="F734" s="131"/>
    </row>
    <row r="735" spans="5:6">
      <c r="E735" s="135"/>
      <c r="F735" s="131"/>
    </row>
    <row r="736" spans="5:6">
      <c r="E736" s="135"/>
      <c r="F736" s="131"/>
    </row>
    <row r="737" spans="5:6">
      <c r="E737" s="135"/>
      <c r="F737" s="131"/>
    </row>
    <row r="738" spans="5:6">
      <c r="E738" s="135"/>
      <c r="F738" s="131"/>
    </row>
    <row r="739" spans="5:6">
      <c r="E739" s="135"/>
      <c r="F739" s="131"/>
    </row>
    <row r="740" spans="5:6">
      <c r="E740" s="135"/>
      <c r="F740" s="131"/>
    </row>
    <row r="741" spans="5:6">
      <c r="E741" s="135"/>
      <c r="F741" s="131"/>
    </row>
    <row r="742" spans="5:6">
      <c r="E742" s="135"/>
      <c r="F742" s="131"/>
    </row>
    <row r="743" spans="5:6">
      <c r="E743" s="135"/>
      <c r="F743" s="131"/>
    </row>
    <row r="744" spans="5:6">
      <c r="E744" s="135"/>
      <c r="F744" s="131"/>
    </row>
    <row r="745" spans="5:6">
      <c r="E745" s="135"/>
      <c r="F745" s="131"/>
    </row>
    <row r="746" spans="5:6">
      <c r="E746" s="135"/>
      <c r="F746" s="131"/>
    </row>
    <row r="747" spans="5:6">
      <c r="E747" s="135"/>
      <c r="F747" s="131"/>
    </row>
    <row r="748" spans="5:6">
      <c r="E748" s="135"/>
      <c r="F748" s="131"/>
    </row>
    <row r="749" spans="5:6">
      <c r="E749" s="135"/>
      <c r="F749" s="131"/>
    </row>
    <row r="750" spans="5:6">
      <c r="E750" s="135"/>
      <c r="F750" s="131"/>
    </row>
    <row r="751" spans="5:6">
      <c r="E751" s="135"/>
      <c r="F751" s="131"/>
    </row>
    <row r="752" spans="5:6">
      <c r="E752" s="135"/>
      <c r="F752" s="131"/>
    </row>
    <row r="753" spans="5:6">
      <c r="E753" s="135"/>
      <c r="F753" s="131"/>
    </row>
    <row r="754" spans="5:6">
      <c r="E754" s="135"/>
      <c r="F754" s="131"/>
    </row>
    <row r="755" spans="5:6">
      <c r="E755" s="135"/>
      <c r="F755" s="131"/>
    </row>
    <row r="756" spans="5:6">
      <c r="E756" s="135"/>
      <c r="F756" s="131"/>
    </row>
    <row r="757" spans="5:6">
      <c r="E757" s="135"/>
      <c r="F757" s="131"/>
    </row>
    <row r="758" spans="5:6">
      <c r="E758" s="135"/>
      <c r="F758" s="131"/>
    </row>
    <row r="759" spans="5:6">
      <c r="E759" s="135"/>
      <c r="F759" s="131"/>
    </row>
    <row r="760" spans="5:6">
      <c r="E760" s="135"/>
      <c r="F760" s="131"/>
    </row>
    <row r="761" spans="5:6">
      <c r="E761" s="135"/>
      <c r="F761" s="131"/>
    </row>
    <row r="762" spans="5:6">
      <c r="E762" s="135"/>
      <c r="F762" s="131"/>
    </row>
    <row r="763" spans="5:6">
      <c r="E763" s="135"/>
      <c r="F763" s="131"/>
    </row>
    <row r="764" spans="5:6">
      <c r="E764" s="135"/>
      <c r="F764" s="131"/>
    </row>
    <row r="765" spans="5:6">
      <c r="E765" s="135"/>
      <c r="F765" s="131"/>
    </row>
    <row r="766" spans="5:6">
      <c r="E766" s="135"/>
      <c r="F766" s="131"/>
    </row>
    <row r="767" spans="5:6">
      <c r="E767" s="135"/>
      <c r="F767" s="131"/>
    </row>
    <row r="768" spans="5:6">
      <c r="E768" s="135"/>
      <c r="F768" s="131"/>
    </row>
    <row r="769" spans="5:6">
      <c r="E769" s="135"/>
      <c r="F769" s="131"/>
    </row>
    <row r="770" spans="5:6">
      <c r="E770" s="135"/>
      <c r="F770" s="131"/>
    </row>
    <row r="771" spans="5:6">
      <c r="E771" s="135"/>
      <c r="F771" s="131"/>
    </row>
    <row r="772" spans="5:6">
      <c r="E772" s="135"/>
      <c r="F772" s="131"/>
    </row>
    <row r="773" spans="5:6">
      <c r="E773" s="135"/>
      <c r="F773" s="131"/>
    </row>
    <row r="774" spans="5:6">
      <c r="E774" s="135"/>
      <c r="F774" s="131"/>
    </row>
    <row r="775" spans="5:6">
      <c r="E775" s="135"/>
      <c r="F775" s="131"/>
    </row>
    <row r="776" spans="5:6">
      <c r="E776" s="135"/>
      <c r="F776" s="131"/>
    </row>
    <row r="777" spans="5:6">
      <c r="E777" s="135"/>
      <c r="F777" s="131"/>
    </row>
    <row r="778" spans="5:6">
      <c r="E778" s="135"/>
      <c r="F778" s="131"/>
    </row>
    <row r="779" spans="5:6">
      <c r="E779" s="135"/>
      <c r="F779" s="131"/>
    </row>
    <row r="780" spans="5:6">
      <c r="E780" s="135"/>
      <c r="F780" s="131"/>
    </row>
    <row r="781" spans="5:6">
      <c r="E781" s="135"/>
      <c r="F781" s="131"/>
    </row>
    <row r="782" spans="5:6">
      <c r="E782" s="135"/>
      <c r="F782" s="131"/>
    </row>
    <row r="783" spans="5:6">
      <c r="E783" s="135"/>
      <c r="F783" s="131"/>
    </row>
    <row r="784" spans="5:6">
      <c r="E784" s="135"/>
      <c r="F784" s="131"/>
    </row>
    <row r="785" spans="5:6">
      <c r="E785" s="135"/>
      <c r="F785" s="131"/>
    </row>
    <row r="786" spans="5:6">
      <c r="E786" s="135"/>
      <c r="F786" s="131"/>
    </row>
    <row r="787" spans="5:6">
      <c r="E787" s="135"/>
      <c r="F787" s="131"/>
    </row>
    <row r="788" spans="5:6">
      <c r="E788" s="135"/>
      <c r="F788" s="131"/>
    </row>
    <row r="789" spans="5:6">
      <c r="E789" s="135"/>
      <c r="F789" s="131"/>
    </row>
    <row r="790" spans="5:6">
      <c r="E790" s="135"/>
      <c r="F790" s="131"/>
    </row>
    <row r="791" spans="5:6">
      <c r="E791" s="135"/>
      <c r="F791" s="131"/>
    </row>
    <row r="792" spans="5:6">
      <c r="E792" s="135"/>
      <c r="F792" s="131"/>
    </row>
    <row r="793" spans="5:6">
      <c r="E793" s="135"/>
      <c r="F793" s="131"/>
    </row>
    <row r="794" spans="5:6">
      <c r="E794" s="135"/>
      <c r="F794" s="131"/>
    </row>
    <row r="795" spans="5:6">
      <c r="E795" s="135"/>
      <c r="F795" s="131"/>
    </row>
    <row r="796" spans="5:6">
      <c r="E796" s="135"/>
      <c r="F796" s="131"/>
    </row>
    <row r="797" spans="5:6">
      <c r="E797" s="135"/>
      <c r="F797" s="131"/>
    </row>
    <row r="798" spans="5:6">
      <c r="E798" s="135"/>
      <c r="F798" s="131"/>
    </row>
    <row r="799" spans="5:6">
      <c r="E799" s="135"/>
      <c r="F799" s="131"/>
    </row>
    <row r="800" spans="5:6">
      <c r="E800" s="135"/>
      <c r="F800" s="131"/>
    </row>
    <row r="801" spans="5:6">
      <c r="E801" s="135"/>
      <c r="F801" s="131"/>
    </row>
    <row r="802" spans="5:6">
      <c r="E802" s="135"/>
      <c r="F802" s="131"/>
    </row>
    <row r="803" spans="5:6">
      <c r="E803" s="135"/>
      <c r="F803" s="131"/>
    </row>
    <row r="804" spans="5:6">
      <c r="E804" s="135"/>
      <c r="F804" s="131"/>
    </row>
    <row r="805" spans="5:6">
      <c r="E805" s="135"/>
      <c r="F805" s="131"/>
    </row>
    <row r="806" spans="5:6">
      <c r="E806" s="135"/>
      <c r="F806" s="131"/>
    </row>
    <row r="807" spans="5:6">
      <c r="E807" s="135"/>
      <c r="F807" s="131"/>
    </row>
    <row r="808" spans="5:6">
      <c r="E808" s="135"/>
      <c r="F808" s="131"/>
    </row>
    <row r="809" spans="5:6">
      <c r="E809" s="135"/>
      <c r="F809" s="131"/>
    </row>
    <row r="810" spans="5:6">
      <c r="E810" s="135"/>
      <c r="F810" s="131"/>
    </row>
    <row r="811" spans="5:6">
      <c r="E811" s="135"/>
      <c r="F811" s="131"/>
    </row>
    <row r="812" spans="5:6">
      <c r="E812" s="135"/>
      <c r="F812" s="131"/>
    </row>
    <row r="813" spans="5:6">
      <c r="E813" s="135"/>
      <c r="F813" s="131"/>
    </row>
    <row r="814" spans="5:6">
      <c r="E814" s="135"/>
      <c r="F814" s="131"/>
    </row>
    <row r="815" spans="5:6">
      <c r="E815" s="135"/>
      <c r="F815" s="131"/>
    </row>
    <row r="816" spans="5:6">
      <c r="E816" s="135"/>
      <c r="F816" s="131"/>
    </row>
    <row r="817" spans="5:6">
      <c r="E817" s="135"/>
      <c r="F817" s="131"/>
    </row>
    <row r="818" spans="5:6">
      <c r="E818" s="135"/>
      <c r="F818" s="131"/>
    </row>
    <row r="819" spans="5:6">
      <c r="E819" s="135"/>
      <c r="F819" s="131"/>
    </row>
    <row r="820" spans="5:6">
      <c r="E820" s="135"/>
      <c r="F820" s="131"/>
    </row>
    <row r="821" spans="5:6">
      <c r="E821" s="135"/>
      <c r="F821" s="131"/>
    </row>
    <row r="822" spans="5:6">
      <c r="E822" s="135"/>
      <c r="F822" s="131"/>
    </row>
    <row r="823" spans="5:6">
      <c r="E823" s="135"/>
      <c r="F823" s="131"/>
    </row>
    <row r="824" spans="5:6">
      <c r="E824" s="135"/>
      <c r="F824" s="131"/>
    </row>
    <row r="825" spans="5:6">
      <c r="E825" s="135"/>
      <c r="F825" s="131"/>
    </row>
    <row r="826" spans="5:6">
      <c r="E826" s="135"/>
      <c r="F826" s="131"/>
    </row>
    <row r="827" spans="5:6">
      <c r="E827" s="135"/>
      <c r="F827" s="131"/>
    </row>
    <row r="828" spans="5:6">
      <c r="E828" s="135"/>
      <c r="F828" s="131"/>
    </row>
    <row r="829" spans="5:6">
      <c r="E829" s="135"/>
      <c r="F829" s="131"/>
    </row>
    <row r="830" spans="5:6">
      <c r="E830" s="135"/>
      <c r="F830" s="131"/>
    </row>
    <row r="831" spans="5:6">
      <c r="E831" s="135"/>
      <c r="F831" s="131"/>
    </row>
    <row r="832" spans="5:6">
      <c r="E832" s="135"/>
      <c r="F832" s="131"/>
    </row>
    <row r="833" spans="5:6">
      <c r="E833" s="135"/>
      <c r="F833" s="131"/>
    </row>
    <row r="834" spans="5:6">
      <c r="E834" s="135"/>
      <c r="F834" s="131"/>
    </row>
    <row r="835" spans="5:6">
      <c r="E835" s="135"/>
      <c r="F835" s="131"/>
    </row>
    <row r="836" spans="5:6">
      <c r="E836" s="135"/>
      <c r="F836" s="131"/>
    </row>
    <row r="837" spans="5:6">
      <c r="E837" s="135"/>
      <c r="F837" s="131"/>
    </row>
    <row r="838" spans="5:6">
      <c r="E838" s="135"/>
      <c r="F838" s="131"/>
    </row>
    <row r="839" spans="5:6">
      <c r="E839" s="135"/>
      <c r="F839" s="131"/>
    </row>
    <row r="840" spans="5:6">
      <c r="E840" s="135"/>
      <c r="F840" s="131"/>
    </row>
    <row r="841" spans="5:6">
      <c r="E841" s="135"/>
      <c r="F841" s="131"/>
    </row>
    <row r="842" spans="5:6">
      <c r="E842" s="135"/>
      <c r="F842" s="131"/>
    </row>
    <row r="843" spans="5:6">
      <c r="E843" s="135"/>
      <c r="F843" s="131"/>
    </row>
    <row r="844" spans="5:6">
      <c r="E844" s="135"/>
      <c r="F844" s="131"/>
    </row>
    <row r="845" spans="5:6">
      <c r="E845" s="135"/>
      <c r="F845" s="131"/>
    </row>
    <row r="846" spans="5:6">
      <c r="E846" s="135"/>
      <c r="F846" s="131"/>
    </row>
    <row r="847" spans="5:6">
      <c r="E847" s="135"/>
      <c r="F847" s="131"/>
    </row>
    <row r="848" spans="5:6">
      <c r="E848" s="135"/>
      <c r="F848" s="131"/>
    </row>
    <row r="849" spans="5:6">
      <c r="E849" s="135"/>
      <c r="F849" s="131"/>
    </row>
    <row r="850" spans="5:6">
      <c r="E850" s="135"/>
      <c r="F850" s="131"/>
    </row>
    <row r="851" spans="5:6">
      <c r="E851" s="135"/>
      <c r="F851" s="131"/>
    </row>
    <row r="852" spans="5:6">
      <c r="E852" s="135"/>
      <c r="F852" s="131"/>
    </row>
    <row r="853" spans="5:6">
      <c r="E853" s="135"/>
      <c r="F853" s="131"/>
    </row>
    <row r="854" spans="5:6">
      <c r="E854" s="135"/>
      <c r="F854" s="131"/>
    </row>
    <row r="855" spans="5:6">
      <c r="E855" s="135"/>
      <c r="F855" s="131"/>
    </row>
    <row r="856" spans="5:6">
      <c r="E856" s="135"/>
      <c r="F856" s="131"/>
    </row>
    <row r="857" spans="5:6">
      <c r="E857" s="135"/>
      <c r="F857" s="131"/>
    </row>
    <row r="858" spans="5:6">
      <c r="E858" s="135"/>
      <c r="F858" s="131"/>
    </row>
    <row r="859" spans="5:6">
      <c r="E859" s="135"/>
      <c r="F859" s="131"/>
    </row>
    <row r="860" spans="5:6">
      <c r="E860" s="135"/>
      <c r="F860" s="131"/>
    </row>
    <row r="861" spans="5:6">
      <c r="E861" s="135"/>
      <c r="F861" s="131"/>
    </row>
    <row r="862" spans="5:6">
      <c r="E862" s="135"/>
      <c r="F862" s="131"/>
    </row>
    <row r="863" spans="5:6">
      <c r="E863" s="135"/>
      <c r="F863" s="131"/>
    </row>
    <row r="864" spans="5:6">
      <c r="E864" s="135"/>
      <c r="F864" s="131"/>
    </row>
    <row r="865" spans="5:6">
      <c r="E865" s="135"/>
      <c r="F865" s="131"/>
    </row>
    <row r="866" spans="5:6">
      <c r="E866" s="135"/>
      <c r="F866" s="131"/>
    </row>
    <row r="867" spans="5:6">
      <c r="E867" s="135"/>
      <c r="F867" s="131"/>
    </row>
    <row r="868" spans="5:6">
      <c r="E868" s="135"/>
      <c r="F868" s="131"/>
    </row>
    <row r="869" spans="5:6">
      <c r="E869" s="135"/>
      <c r="F869" s="131"/>
    </row>
    <row r="870" spans="5:6">
      <c r="E870" s="135"/>
      <c r="F870" s="131"/>
    </row>
    <row r="871" spans="5:6">
      <c r="E871" s="135"/>
      <c r="F871" s="131"/>
    </row>
    <row r="872" spans="5:6">
      <c r="E872" s="135"/>
      <c r="F872" s="131"/>
    </row>
    <row r="873" spans="5:6">
      <c r="E873" s="135"/>
      <c r="F873" s="131"/>
    </row>
    <row r="874" spans="5:6">
      <c r="E874" s="135"/>
      <c r="F874" s="131"/>
    </row>
    <row r="875" spans="5:6">
      <c r="E875" s="135"/>
      <c r="F875" s="131"/>
    </row>
    <row r="876" spans="5:6">
      <c r="E876" s="135"/>
      <c r="F876" s="131"/>
    </row>
    <row r="877" spans="5:6">
      <c r="E877" s="135"/>
      <c r="F877" s="131"/>
    </row>
    <row r="878" spans="5:6">
      <c r="E878" s="135"/>
      <c r="F878" s="131"/>
    </row>
    <row r="879" spans="5:6">
      <c r="E879" s="135"/>
      <c r="F879" s="131"/>
    </row>
    <row r="880" spans="5:6">
      <c r="E880" s="135"/>
      <c r="F880" s="131"/>
    </row>
    <row r="881" spans="5:6">
      <c r="E881" s="135"/>
      <c r="F881" s="131"/>
    </row>
    <row r="882" spans="5:6">
      <c r="E882" s="135"/>
      <c r="F882" s="131"/>
    </row>
    <row r="883" spans="5:6">
      <c r="E883" s="135"/>
      <c r="F883" s="131"/>
    </row>
    <row r="884" spans="5:6">
      <c r="E884" s="135"/>
      <c r="F884" s="131"/>
    </row>
    <row r="885" spans="5:6">
      <c r="E885" s="135"/>
      <c r="F885" s="131"/>
    </row>
    <row r="886" spans="5:6">
      <c r="E886" s="135"/>
      <c r="F886" s="131"/>
    </row>
    <row r="887" spans="5:6">
      <c r="E887" s="135"/>
      <c r="F887" s="131"/>
    </row>
    <row r="888" spans="5:6">
      <c r="E888" s="135"/>
      <c r="F888" s="131"/>
    </row>
    <row r="889" spans="5:6">
      <c r="E889" s="135"/>
      <c r="F889" s="131"/>
    </row>
    <row r="890" spans="5:6">
      <c r="E890" s="135"/>
      <c r="F890" s="131"/>
    </row>
    <row r="891" spans="5:6">
      <c r="E891" s="135"/>
      <c r="F891" s="131"/>
    </row>
    <row r="892" spans="5:6">
      <c r="E892" s="135"/>
      <c r="F892" s="131"/>
    </row>
    <row r="893" spans="5:6">
      <c r="E893" s="135"/>
      <c r="F893" s="131"/>
    </row>
    <row r="894" spans="5:6">
      <c r="E894" s="135"/>
      <c r="F894" s="131"/>
    </row>
    <row r="895" spans="5:6">
      <c r="E895" s="135"/>
      <c r="F895" s="131"/>
    </row>
    <row r="896" spans="5:6">
      <c r="E896" s="135"/>
      <c r="F896" s="131"/>
    </row>
    <row r="897" spans="5:6">
      <c r="E897" s="135"/>
      <c r="F897" s="131"/>
    </row>
    <row r="898" spans="5:6">
      <c r="E898" s="135"/>
      <c r="F898" s="131"/>
    </row>
    <row r="899" spans="5:6">
      <c r="E899" s="135"/>
      <c r="F899" s="131"/>
    </row>
    <row r="900" spans="5:6">
      <c r="E900" s="135"/>
      <c r="F900" s="131"/>
    </row>
    <row r="901" spans="5:6">
      <c r="E901" s="135"/>
      <c r="F901" s="131"/>
    </row>
    <row r="902" spans="5:6">
      <c r="E902" s="135"/>
      <c r="F902" s="131"/>
    </row>
    <row r="903" spans="5:6">
      <c r="E903" s="135"/>
      <c r="F903" s="131"/>
    </row>
    <row r="904" spans="5:6">
      <c r="E904" s="135"/>
      <c r="F904" s="131"/>
    </row>
    <row r="905" spans="5:6">
      <c r="E905" s="135"/>
      <c r="F905" s="131"/>
    </row>
    <row r="906" spans="5:6">
      <c r="E906" s="135"/>
      <c r="F906" s="131"/>
    </row>
    <row r="907" spans="5:6">
      <c r="E907" s="135"/>
      <c r="F907" s="131"/>
    </row>
    <row r="908" spans="5:6">
      <c r="E908" s="135"/>
      <c r="F908" s="131"/>
    </row>
    <row r="909" spans="5:6">
      <c r="E909" s="135"/>
      <c r="F909" s="131"/>
    </row>
    <row r="910" spans="5:6">
      <c r="E910" s="135"/>
      <c r="F910" s="131"/>
    </row>
    <row r="911" spans="5:6">
      <c r="E911" s="135"/>
      <c r="F911" s="131"/>
    </row>
    <row r="912" spans="5:6">
      <c r="E912" s="135"/>
      <c r="F912" s="131"/>
    </row>
    <row r="913" spans="5:6">
      <c r="E913" s="135"/>
      <c r="F913" s="131"/>
    </row>
    <row r="914" spans="5:6">
      <c r="E914" s="135"/>
      <c r="F914" s="131"/>
    </row>
    <row r="915" spans="5:6">
      <c r="E915" s="135"/>
      <c r="F915" s="131"/>
    </row>
    <row r="916" spans="5:6">
      <c r="E916" s="135"/>
      <c r="F916" s="131"/>
    </row>
    <row r="917" spans="5:6">
      <c r="E917" s="135"/>
      <c r="F917" s="131"/>
    </row>
    <row r="918" spans="5:6">
      <c r="E918" s="135"/>
      <c r="F918" s="131"/>
    </row>
    <row r="919" spans="5:6">
      <c r="E919" s="135"/>
      <c r="F919" s="131"/>
    </row>
    <row r="920" spans="5:6">
      <c r="E920" s="135"/>
      <c r="F920" s="131"/>
    </row>
    <row r="921" spans="5:6">
      <c r="E921" s="135"/>
      <c r="F921" s="131"/>
    </row>
    <row r="922" spans="5:6">
      <c r="E922" s="135"/>
      <c r="F922" s="131"/>
    </row>
    <row r="923" spans="5:6">
      <c r="E923" s="135"/>
      <c r="F923" s="131"/>
    </row>
    <row r="924" spans="5:6">
      <c r="E924" s="135"/>
      <c r="F924" s="131"/>
    </row>
    <row r="925" spans="5:6">
      <c r="E925" s="135"/>
      <c r="F925" s="131"/>
    </row>
    <row r="926" spans="5:6">
      <c r="E926" s="135"/>
      <c r="F926" s="131"/>
    </row>
    <row r="927" spans="5:6">
      <c r="E927" s="135"/>
      <c r="F927" s="131"/>
    </row>
    <row r="928" spans="5:6">
      <c r="E928" s="135"/>
      <c r="F928" s="131"/>
    </row>
    <row r="929" spans="5:6">
      <c r="E929" s="135"/>
      <c r="F929" s="131"/>
    </row>
    <row r="930" spans="5:6">
      <c r="E930" s="135"/>
      <c r="F930" s="131"/>
    </row>
    <row r="931" spans="5:6">
      <c r="E931" s="135"/>
      <c r="F931" s="131"/>
    </row>
    <row r="932" spans="5:6">
      <c r="E932" s="135"/>
      <c r="F932" s="131"/>
    </row>
    <row r="933" spans="5:6">
      <c r="E933" s="135"/>
      <c r="F933" s="131"/>
    </row>
    <row r="934" spans="5:6">
      <c r="E934" s="135"/>
      <c r="F934" s="131"/>
    </row>
    <row r="935" spans="5:6">
      <c r="E935" s="135"/>
      <c r="F935" s="131"/>
    </row>
    <row r="936" spans="5:6">
      <c r="E936" s="135"/>
      <c r="F936" s="131"/>
    </row>
    <row r="937" spans="5:6">
      <c r="E937" s="135"/>
      <c r="F937" s="131"/>
    </row>
    <row r="938" spans="5:6">
      <c r="E938" s="135"/>
      <c r="F938" s="131"/>
    </row>
    <row r="939" spans="5:6">
      <c r="E939" s="135"/>
      <c r="F939" s="131"/>
    </row>
    <row r="940" spans="5:6">
      <c r="E940" s="135"/>
      <c r="F940" s="131"/>
    </row>
    <row r="941" spans="5:6">
      <c r="E941" s="135"/>
      <c r="F941" s="131"/>
    </row>
    <row r="942" spans="5:6">
      <c r="E942" s="135"/>
      <c r="F942" s="131"/>
    </row>
    <row r="943" spans="5:6">
      <c r="E943" s="135"/>
      <c r="F943" s="131"/>
    </row>
    <row r="944" spans="5:6">
      <c r="E944" s="135"/>
      <c r="F944" s="131"/>
    </row>
    <row r="945" spans="5:6">
      <c r="E945" s="135"/>
      <c r="F945" s="131"/>
    </row>
    <row r="946" spans="5:6">
      <c r="E946" s="135"/>
      <c r="F946" s="131"/>
    </row>
    <row r="947" spans="5:6">
      <c r="E947" s="135"/>
      <c r="F947" s="131"/>
    </row>
    <row r="948" spans="5:6">
      <c r="E948" s="135"/>
      <c r="F948" s="131"/>
    </row>
    <row r="949" spans="5:6">
      <c r="E949" s="135"/>
      <c r="F949" s="131"/>
    </row>
    <row r="950" spans="5:6">
      <c r="E950" s="135"/>
      <c r="F950" s="131"/>
    </row>
    <row r="951" spans="5:6">
      <c r="E951" s="135"/>
      <c r="F951" s="131"/>
    </row>
    <row r="952" spans="5:6">
      <c r="E952" s="135"/>
      <c r="F952" s="131"/>
    </row>
    <row r="953" spans="5:6">
      <c r="E953" s="135"/>
      <c r="F953" s="131"/>
    </row>
    <row r="954" spans="5:6">
      <c r="E954" s="135"/>
      <c r="F954" s="131"/>
    </row>
    <row r="955" spans="5:6">
      <c r="E955" s="135"/>
      <c r="F955" s="131"/>
    </row>
    <row r="956" spans="5:6">
      <c r="E956" s="135"/>
      <c r="F956" s="131"/>
    </row>
    <row r="957" spans="5:6">
      <c r="E957" s="135"/>
      <c r="F957" s="131"/>
    </row>
    <row r="958" spans="5:6">
      <c r="E958" s="135"/>
      <c r="F958" s="131"/>
    </row>
    <row r="959" spans="5:6">
      <c r="E959" s="135"/>
      <c r="F959" s="131"/>
    </row>
    <row r="960" spans="5:6">
      <c r="E960" s="135"/>
      <c r="F960" s="131"/>
    </row>
    <row r="961" spans="5:6">
      <c r="E961" s="135"/>
      <c r="F961" s="131"/>
    </row>
    <row r="962" spans="5:6">
      <c r="E962" s="135"/>
      <c r="F962" s="131"/>
    </row>
    <row r="963" spans="5:6">
      <c r="E963" s="135"/>
      <c r="F963" s="131"/>
    </row>
    <row r="964" spans="5:6">
      <c r="E964" s="135"/>
      <c r="F964" s="131"/>
    </row>
    <row r="965" spans="5:6">
      <c r="E965" s="135"/>
      <c r="F965" s="131"/>
    </row>
    <row r="966" spans="5:6">
      <c r="E966" s="135"/>
      <c r="F966" s="131"/>
    </row>
    <row r="967" spans="5:6">
      <c r="E967" s="135"/>
      <c r="F967" s="131"/>
    </row>
    <row r="968" spans="5:6">
      <c r="E968" s="135"/>
      <c r="F968" s="131"/>
    </row>
    <row r="969" spans="5:6">
      <c r="E969" s="135"/>
      <c r="F969" s="131"/>
    </row>
    <row r="970" spans="5:6">
      <c r="E970" s="135"/>
      <c r="F970" s="131"/>
    </row>
    <row r="971" spans="5:6">
      <c r="E971" s="135"/>
      <c r="F971" s="131"/>
    </row>
    <row r="972" spans="5:6">
      <c r="E972" s="135"/>
      <c r="F972" s="131"/>
    </row>
    <row r="973" spans="5:6">
      <c r="E973" s="135"/>
      <c r="F973" s="131"/>
    </row>
    <row r="974" spans="5:6">
      <c r="E974" s="135"/>
      <c r="F974" s="131"/>
    </row>
    <row r="975" spans="5:6">
      <c r="E975" s="135"/>
      <c r="F975" s="131"/>
    </row>
    <row r="976" spans="5:6">
      <c r="E976" s="135"/>
      <c r="F976" s="131"/>
    </row>
    <row r="977" spans="5:6">
      <c r="E977" s="135"/>
      <c r="F977" s="131"/>
    </row>
    <row r="978" spans="5:6">
      <c r="E978" s="135"/>
      <c r="F978" s="131"/>
    </row>
    <row r="979" spans="5:6">
      <c r="E979" s="135"/>
      <c r="F979" s="131"/>
    </row>
    <row r="980" spans="5:6">
      <c r="E980" s="135"/>
      <c r="F980" s="131"/>
    </row>
    <row r="981" spans="5:6">
      <c r="E981" s="135"/>
      <c r="F981" s="131"/>
    </row>
    <row r="982" spans="5:6">
      <c r="E982" s="135"/>
      <c r="F982" s="131"/>
    </row>
    <row r="983" spans="5:6">
      <c r="E983" s="135"/>
      <c r="F983" s="131"/>
    </row>
    <row r="984" spans="5:6">
      <c r="E984" s="135"/>
      <c r="F984" s="131"/>
    </row>
    <row r="985" spans="5:6">
      <c r="E985" s="135"/>
      <c r="F985" s="131"/>
    </row>
    <row r="986" spans="5:6">
      <c r="E986" s="135"/>
      <c r="F986" s="131"/>
    </row>
    <row r="987" spans="5:6">
      <c r="E987" s="135"/>
      <c r="F987" s="131"/>
    </row>
    <row r="988" spans="5:6">
      <c r="E988" s="135"/>
      <c r="F988" s="131"/>
    </row>
    <row r="989" spans="5:6">
      <c r="E989" s="135"/>
      <c r="F989" s="131"/>
    </row>
    <row r="990" spans="5:6">
      <c r="E990" s="135"/>
      <c r="F990" s="131"/>
    </row>
    <row r="991" spans="5:6">
      <c r="E991" s="135"/>
      <c r="F991" s="131"/>
    </row>
    <row r="992" spans="5:6">
      <c r="E992" s="135"/>
      <c r="F992" s="131"/>
    </row>
    <row r="993" spans="5:6">
      <c r="E993" s="135"/>
      <c r="F993" s="131"/>
    </row>
    <row r="994" spans="5:6">
      <c r="E994" s="135"/>
      <c r="F994" s="131"/>
    </row>
    <row r="995" spans="5:6">
      <c r="E995" s="135"/>
      <c r="F995" s="131"/>
    </row>
    <row r="996" spans="5:6">
      <c r="E996" s="135"/>
      <c r="F996" s="131"/>
    </row>
    <row r="997" spans="5:6">
      <c r="E997" s="135"/>
      <c r="F997" s="131"/>
    </row>
    <row r="998" spans="5:6">
      <c r="E998" s="135"/>
      <c r="F998" s="131"/>
    </row>
    <row r="999" spans="5:6">
      <c r="E999" s="135"/>
      <c r="F999" s="131"/>
    </row>
    <row r="1000" spans="5:6">
      <c r="E1000" s="135"/>
      <c r="F1000" s="131"/>
    </row>
    <row r="1001" spans="5:6">
      <c r="E1001" s="135"/>
      <c r="F1001" s="131"/>
    </row>
    <row r="1002" spans="5:6">
      <c r="E1002" s="135"/>
      <c r="F1002" s="131"/>
    </row>
    <row r="1003" spans="5:6">
      <c r="E1003" s="135"/>
      <c r="F1003" s="131"/>
    </row>
    <row r="1004" spans="5:6">
      <c r="E1004" s="135"/>
      <c r="F1004" s="131"/>
    </row>
    <row r="1005" spans="5:6">
      <c r="E1005" s="135"/>
      <c r="F1005" s="131"/>
    </row>
    <row r="1006" spans="5:6">
      <c r="E1006" s="135"/>
      <c r="F1006" s="131"/>
    </row>
    <row r="1007" spans="5:6">
      <c r="E1007" s="135"/>
      <c r="F1007" s="131"/>
    </row>
    <row r="1008" spans="5:6">
      <c r="E1008" s="135"/>
      <c r="F1008" s="131"/>
    </row>
    <row r="1009" spans="5:6">
      <c r="E1009" s="135"/>
      <c r="F1009" s="131"/>
    </row>
    <row r="1010" spans="5:6">
      <c r="E1010" s="135"/>
      <c r="F1010" s="131"/>
    </row>
    <row r="1011" spans="5:6">
      <c r="E1011" s="135"/>
      <c r="F1011" s="131"/>
    </row>
    <row r="1012" spans="5:6">
      <c r="E1012" s="135"/>
      <c r="F1012" s="131"/>
    </row>
    <row r="1013" spans="5:6">
      <c r="E1013" s="135"/>
      <c r="F1013" s="131"/>
    </row>
    <row r="1014" spans="5:6">
      <c r="E1014" s="135"/>
      <c r="F1014" s="131"/>
    </row>
    <row r="1015" spans="5:6">
      <c r="E1015" s="135"/>
      <c r="F1015" s="131"/>
    </row>
    <row r="1016" spans="5:6">
      <c r="E1016" s="135"/>
      <c r="F1016" s="131"/>
    </row>
    <row r="1017" spans="5:6">
      <c r="E1017" s="135"/>
      <c r="F1017" s="131"/>
    </row>
    <row r="1018" spans="5:6">
      <c r="E1018" s="135"/>
      <c r="F1018" s="131"/>
    </row>
    <row r="1019" spans="5:6">
      <c r="E1019" s="135"/>
      <c r="F1019" s="131"/>
    </row>
    <row r="1020" spans="5:6">
      <c r="E1020" s="135"/>
      <c r="F1020" s="131"/>
    </row>
    <row r="1021" spans="5:6">
      <c r="E1021" s="135"/>
      <c r="F1021" s="131"/>
    </row>
    <row r="1022" spans="5:6">
      <c r="E1022" s="135"/>
      <c r="F1022" s="131"/>
    </row>
    <row r="1023" spans="5:6">
      <c r="E1023" s="135"/>
      <c r="F1023" s="131"/>
    </row>
    <row r="1024" spans="5:6">
      <c r="E1024" s="135"/>
      <c r="F1024" s="131"/>
    </row>
    <row r="1025" spans="5:6">
      <c r="E1025" s="135"/>
      <c r="F1025" s="131"/>
    </row>
    <row r="1026" spans="5:6">
      <c r="E1026" s="135"/>
      <c r="F1026" s="131"/>
    </row>
    <row r="1027" spans="5:6">
      <c r="E1027" s="135"/>
      <c r="F1027" s="131"/>
    </row>
    <row r="1028" spans="5:6">
      <c r="E1028" s="135"/>
      <c r="F1028" s="131"/>
    </row>
    <row r="1029" spans="5:6">
      <c r="E1029" s="135"/>
      <c r="F1029" s="131"/>
    </row>
    <row r="1030" spans="5:6">
      <c r="E1030" s="135"/>
      <c r="F1030" s="131"/>
    </row>
    <row r="1031" spans="5:6">
      <c r="E1031" s="135"/>
      <c r="F1031" s="131"/>
    </row>
    <row r="1032" spans="5:6">
      <c r="E1032" s="135"/>
      <c r="F1032" s="131"/>
    </row>
    <row r="1033" spans="5:6">
      <c r="E1033" s="135"/>
      <c r="F1033" s="131"/>
    </row>
    <row r="1034" spans="5:6">
      <c r="E1034" s="135"/>
      <c r="F1034" s="131"/>
    </row>
    <row r="1035" spans="5:6">
      <c r="E1035" s="135"/>
      <c r="F1035" s="131"/>
    </row>
    <row r="1036" spans="5:6">
      <c r="E1036" s="135"/>
      <c r="F1036" s="131"/>
    </row>
    <row r="1037" spans="5:6">
      <c r="E1037" s="135"/>
      <c r="F1037" s="131"/>
    </row>
    <row r="1038" spans="5:6">
      <c r="E1038" s="135"/>
      <c r="F1038" s="131"/>
    </row>
    <row r="1039" spans="5:6">
      <c r="E1039" s="135"/>
      <c r="F1039" s="131"/>
    </row>
    <row r="1040" spans="5:6">
      <c r="E1040" s="135"/>
      <c r="F1040" s="131"/>
    </row>
    <row r="1041" spans="5:6">
      <c r="E1041" s="135"/>
      <c r="F1041" s="131"/>
    </row>
    <row r="1042" spans="5:6">
      <c r="E1042" s="135"/>
      <c r="F1042" s="131"/>
    </row>
    <row r="1043" spans="5:6">
      <c r="E1043" s="135"/>
      <c r="F1043" s="131"/>
    </row>
    <row r="1044" spans="5:6">
      <c r="E1044" s="135"/>
      <c r="F1044" s="131"/>
    </row>
    <row r="1045" spans="5:6">
      <c r="E1045" s="135"/>
      <c r="F1045" s="131"/>
    </row>
    <row r="1046" spans="5:6">
      <c r="E1046" s="135"/>
      <c r="F1046" s="131"/>
    </row>
    <row r="1047" spans="5:6">
      <c r="E1047" s="135"/>
      <c r="F1047" s="131"/>
    </row>
    <row r="1048" spans="5:6">
      <c r="E1048" s="135"/>
      <c r="F1048" s="131"/>
    </row>
    <row r="1049" spans="5:6">
      <c r="E1049" s="135"/>
      <c r="F1049" s="131"/>
    </row>
    <row r="1050" spans="5:6">
      <c r="E1050" s="135"/>
      <c r="F1050" s="131"/>
    </row>
    <row r="1051" spans="5:6">
      <c r="E1051" s="135"/>
      <c r="F1051" s="131"/>
    </row>
    <row r="1052" spans="5:6">
      <c r="E1052" s="135"/>
      <c r="F1052" s="131"/>
    </row>
    <row r="1053" spans="5:6">
      <c r="E1053" s="135"/>
      <c r="F1053" s="131"/>
    </row>
    <row r="1054" spans="5:6">
      <c r="E1054" s="135"/>
      <c r="F1054" s="131"/>
    </row>
    <row r="1055" spans="5:6">
      <c r="E1055" s="135"/>
      <c r="F1055" s="131"/>
    </row>
    <row r="1056" spans="5:6">
      <c r="E1056" s="135"/>
      <c r="F1056" s="131"/>
    </row>
    <row r="1057" spans="5:6">
      <c r="E1057" s="135"/>
      <c r="F1057" s="131"/>
    </row>
    <row r="1058" spans="5:6">
      <c r="E1058" s="135"/>
      <c r="F1058" s="131"/>
    </row>
    <row r="1059" spans="5:6">
      <c r="E1059" s="135"/>
      <c r="F1059" s="131"/>
    </row>
    <row r="1060" spans="5:6">
      <c r="E1060" s="135"/>
      <c r="F1060" s="131"/>
    </row>
    <row r="1061" spans="5:6">
      <c r="E1061" s="135"/>
      <c r="F1061" s="131"/>
    </row>
    <row r="1062" spans="5:6">
      <c r="E1062" s="135"/>
      <c r="F1062" s="131"/>
    </row>
    <row r="1063" spans="5:6">
      <c r="E1063" s="135"/>
      <c r="F1063" s="131"/>
    </row>
    <row r="1064" spans="5:6">
      <c r="E1064" s="135"/>
      <c r="F1064" s="131"/>
    </row>
    <row r="1065" spans="5:6">
      <c r="E1065" s="135"/>
      <c r="F1065" s="131"/>
    </row>
    <row r="1066" spans="5:6">
      <c r="E1066" s="135"/>
      <c r="F1066" s="131"/>
    </row>
    <row r="1067" spans="5:6">
      <c r="E1067" s="135"/>
      <c r="F1067" s="131"/>
    </row>
    <row r="1068" spans="5:6">
      <c r="E1068" s="135"/>
      <c r="F1068" s="131"/>
    </row>
    <row r="1069" spans="5:6">
      <c r="E1069" s="135"/>
      <c r="F1069" s="131"/>
    </row>
    <row r="1070" spans="5:6">
      <c r="E1070" s="135"/>
      <c r="F1070" s="131"/>
    </row>
    <row r="1071" spans="5:6">
      <c r="E1071" s="135"/>
      <c r="F1071" s="131"/>
    </row>
    <row r="1072" spans="5:6">
      <c r="E1072" s="135"/>
      <c r="F1072" s="131"/>
    </row>
    <row r="1073" spans="5:6">
      <c r="E1073" s="135"/>
      <c r="F1073" s="131"/>
    </row>
    <row r="1074" spans="5:6">
      <c r="E1074" s="135"/>
      <c r="F1074" s="131"/>
    </row>
    <row r="1075" spans="5:6">
      <c r="E1075" s="135"/>
      <c r="F1075" s="131"/>
    </row>
    <row r="1076" spans="5:6">
      <c r="E1076" s="135"/>
      <c r="F1076" s="131"/>
    </row>
    <row r="1077" spans="5:6">
      <c r="E1077" s="135"/>
      <c r="F1077" s="131"/>
    </row>
    <row r="1078" spans="5:6">
      <c r="E1078" s="135"/>
      <c r="F1078" s="131"/>
    </row>
    <row r="1079" spans="5:6">
      <c r="E1079" s="135"/>
      <c r="F1079" s="131"/>
    </row>
    <row r="1080" spans="5:6">
      <c r="E1080" s="135"/>
      <c r="F1080" s="131"/>
    </row>
    <row r="1081" spans="5:6">
      <c r="E1081" s="135"/>
      <c r="F1081" s="131"/>
    </row>
    <row r="1082" spans="5:6">
      <c r="E1082" s="135"/>
      <c r="F1082" s="131"/>
    </row>
    <row r="1083" spans="5:6">
      <c r="E1083" s="135"/>
      <c r="F1083" s="131"/>
    </row>
    <row r="1084" spans="5:6">
      <c r="E1084" s="135"/>
      <c r="F1084" s="131"/>
    </row>
    <row r="1085" spans="5:6">
      <c r="E1085" s="135"/>
      <c r="F1085" s="131"/>
    </row>
    <row r="1086" spans="5:6">
      <c r="E1086" s="135"/>
      <c r="F1086" s="131"/>
    </row>
    <row r="1087" spans="5:6">
      <c r="E1087" s="135"/>
      <c r="F1087" s="131"/>
    </row>
    <row r="1088" spans="5:6">
      <c r="E1088" s="135"/>
      <c r="F1088" s="131"/>
    </row>
    <row r="1089" spans="5:6">
      <c r="E1089" s="135"/>
      <c r="F1089" s="131"/>
    </row>
    <row r="1090" spans="5:6">
      <c r="E1090" s="135"/>
      <c r="F1090" s="131"/>
    </row>
    <row r="1091" spans="5:6">
      <c r="E1091" s="135"/>
      <c r="F1091" s="131"/>
    </row>
    <row r="1092" spans="5:6">
      <c r="E1092" s="135"/>
      <c r="F1092" s="131"/>
    </row>
    <row r="1093" spans="5:6">
      <c r="E1093" s="135"/>
      <c r="F1093" s="131"/>
    </row>
    <row r="1094" spans="5:6">
      <c r="E1094" s="135"/>
      <c r="F1094" s="131"/>
    </row>
    <row r="1095" spans="5:6">
      <c r="E1095" s="135"/>
      <c r="F1095" s="131"/>
    </row>
    <row r="1096" spans="5:6">
      <c r="E1096" s="135"/>
      <c r="F1096" s="131"/>
    </row>
    <row r="1097" spans="5:6">
      <c r="E1097" s="135"/>
      <c r="F1097" s="131"/>
    </row>
    <row r="1098" spans="5:6">
      <c r="E1098" s="135"/>
      <c r="F1098" s="131"/>
    </row>
    <row r="1099" spans="5:6">
      <c r="E1099" s="135"/>
      <c r="F1099" s="131"/>
    </row>
    <row r="1100" spans="5:6">
      <c r="E1100" s="135"/>
      <c r="F1100" s="131"/>
    </row>
    <row r="1101" spans="5:6">
      <c r="E1101" s="135"/>
      <c r="F1101" s="131"/>
    </row>
    <row r="1102" spans="5:6">
      <c r="E1102" s="135"/>
      <c r="F1102" s="131"/>
    </row>
    <row r="1103" spans="5:6">
      <c r="E1103" s="135"/>
      <c r="F1103" s="131"/>
    </row>
    <row r="1104" spans="5:6">
      <c r="E1104" s="135"/>
      <c r="F1104" s="131"/>
    </row>
    <row r="1105" spans="5:6">
      <c r="E1105" s="135"/>
      <c r="F1105" s="131"/>
    </row>
    <row r="1106" spans="5:6">
      <c r="E1106" s="135"/>
      <c r="F1106" s="131"/>
    </row>
    <row r="1107" spans="5:6">
      <c r="E1107" s="135"/>
      <c r="F1107" s="131"/>
    </row>
    <row r="1108" spans="5:6">
      <c r="E1108" s="135"/>
      <c r="F1108" s="131"/>
    </row>
    <row r="1109" spans="5:6">
      <c r="E1109" s="135"/>
      <c r="F1109" s="131"/>
    </row>
    <row r="1110" spans="5:6">
      <c r="E1110" s="135"/>
      <c r="F1110" s="131"/>
    </row>
    <row r="1111" spans="5:6">
      <c r="E1111" s="135"/>
      <c r="F1111" s="131"/>
    </row>
    <row r="1112" spans="5:6">
      <c r="E1112" s="135"/>
      <c r="F1112" s="131"/>
    </row>
    <row r="1113" spans="5:6">
      <c r="E1113" s="135"/>
      <c r="F1113" s="131"/>
    </row>
    <row r="1114" spans="5:6">
      <c r="E1114" s="135"/>
      <c r="F1114" s="131"/>
    </row>
    <row r="1115" spans="5:6">
      <c r="E1115" s="135"/>
      <c r="F1115" s="131"/>
    </row>
    <row r="1116" spans="5:6">
      <c r="E1116" s="135"/>
      <c r="F1116" s="131"/>
    </row>
    <row r="1117" spans="5:6">
      <c r="E1117" s="135"/>
      <c r="F1117" s="131"/>
    </row>
    <row r="1118" spans="5:6">
      <c r="E1118" s="135"/>
      <c r="F1118" s="131"/>
    </row>
    <row r="1119" spans="5:6">
      <c r="E1119" s="135"/>
      <c r="F1119" s="131"/>
    </row>
    <row r="1120" spans="5:6">
      <c r="E1120" s="135"/>
      <c r="F1120" s="131"/>
    </row>
    <row r="1121" spans="5:6">
      <c r="E1121" s="135"/>
      <c r="F1121" s="131"/>
    </row>
    <row r="1122" spans="5:6">
      <c r="E1122" s="135"/>
      <c r="F1122" s="131"/>
    </row>
    <row r="1123" spans="5:6">
      <c r="E1123" s="135"/>
      <c r="F1123" s="131"/>
    </row>
    <row r="1124" spans="5:6">
      <c r="E1124" s="135"/>
      <c r="F1124" s="131"/>
    </row>
    <row r="1125" spans="5:6">
      <c r="E1125" s="135"/>
      <c r="F1125" s="131"/>
    </row>
    <row r="1126" spans="5:6">
      <c r="E1126" s="135"/>
      <c r="F1126" s="131"/>
    </row>
    <row r="1127" spans="5:6">
      <c r="E1127" s="135"/>
      <c r="F1127" s="131"/>
    </row>
    <row r="1128" spans="5:6">
      <c r="E1128" s="135"/>
      <c r="F1128" s="131"/>
    </row>
    <row r="1129" spans="5:6">
      <c r="E1129" s="135"/>
      <c r="F1129" s="131"/>
    </row>
    <row r="1130" spans="5:6">
      <c r="E1130" s="135"/>
      <c r="F1130" s="131"/>
    </row>
    <row r="1131" spans="5:6">
      <c r="E1131" s="135"/>
      <c r="F1131" s="131"/>
    </row>
    <row r="1132" spans="5:6">
      <c r="E1132" s="135"/>
      <c r="F1132" s="131"/>
    </row>
    <row r="1133" spans="5:6">
      <c r="E1133" s="135"/>
      <c r="F1133" s="131"/>
    </row>
    <row r="1134" spans="5:6">
      <c r="E1134" s="135"/>
      <c r="F1134" s="131"/>
    </row>
    <row r="1135" spans="5:6">
      <c r="E1135" s="135"/>
      <c r="F1135" s="131"/>
    </row>
    <row r="1136" spans="5:6">
      <c r="E1136" s="135"/>
      <c r="F1136" s="131"/>
    </row>
    <row r="1137" spans="5:6">
      <c r="E1137" s="135"/>
      <c r="F1137" s="131"/>
    </row>
    <row r="1138" spans="5:6">
      <c r="E1138" s="135"/>
      <c r="F1138" s="131"/>
    </row>
    <row r="1139" spans="5:6">
      <c r="E1139" s="135"/>
      <c r="F1139" s="131"/>
    </row>
    <row r="1140" spans="5:6">
      <c r="E1140" s="135"/>
      <c r="F1140" s="131"/>
    </row>
    <row r="1141" spans="5:6">
      <c r="E1141" s="135"/>
      <c r="F1141" s="131"/>
    </row>
    <row r="1142" spans="5:6">
      <c r="E1142" s="135"/>
      <c r="F1142" s="131"/>
    </row>
    <row r="1143" spans="5:6">
      <c r="E1143" s="135"/>
      <c r="F1143" s="131"/>
    </row>
    <row r="1144" spans="5:6">
      <c r="E1144" s="135"/>
      <c r="F1144" s="131"/>
    </row>
    <row r="1145" spans="5:6">
      <c r="E1145" s="135"/>
      <c r="F1145" s="131"/>
    </row>
    <row r="1146" spans="5:6">
      <c r="E1146" s="135"/>
      <c r="F1146" s="131"/>
    </row>
    <row r="1147" spans="5:6">
      <c r="E1147" s="135"/>
      <c r="F1147" s="131"/>
    </row>
    <row r="1148" spans="5:6">
      <c r="E1148" s="135"/>
      <c r="F1148" s="131"/>
    </row>
    <row r="1149" spans="5:6">
      <c r="E1149" s="135"/>
      <c r="F1149" s="131"/>
    </row>
    <row r="1150" spans="5:6">
      <c r="E1150" s="135"/>
      <c r="F1150" s="131"/>
    </row>
    <row r="1151" spans="5:6">
      <c r="E1151" s="135"/>
      <c r="F1151" s="131"/>
    </row>
    <row r="1152" spans="5:6">
      <c r="E1152" s="135"/>
      <c r="F1152" s="131"/>
    </row>
    <row r="1153" spans="5:6">
      <c r="E1153" s="135"/>
      <c r="F1153" s="131"/>
    </row>
    <row r="1154" spans="5:6">
      <c r="E1154" s="135"/>
      <c r="F1154" s="131"/>
    </row>
    <row r="1155" spans="5:6">
      <c r="E1155" s="135"/>
      <c r="F1155" s="131"/>
    </row>
    <row r="1156" spans="5:6">
      <c r="E1156" s="135"/>
      <c r="F1156" s="131"/>
    </row>
    <row r="1157" spans="5:6">
      <c r="E1157" s="135"/>
      <c r="F1157" s="131"/>
    </row>
    <row r="1158" spans="5:6">
      <c r="E1158" s="135"/>
      <c r="F1158" s="131"/>
    </row>
    <row r="1159" spans="5:6">
      <c r="E1159" s="135"/>
      <c r="F1159" s="131"/>
    </row>
    <row r="1160" spans="5:6">
      <c r="E1160" s="135"/>
      <c r="F1160" s="131"/>
    </row>
    <row r="1161" spans="5:6">
      <c r="E1161" s="135"/>
      <c r="F1161" s="131"/>
    </row>
    <row r="1162" spans="5:6">
      <c r="E1162" s="135"/>
      <c r="F1162" s="131"/>
    </row>
    <row r="1163" spans="5:6">
      <c r="E1163" s="135"/>
      <c r="F1163" s="131"/>
    </row>
    <row r="1164" spans="5:6">
      <c r="E1164" s="135"/>
      <c r="F1164" s="131"/>
    </row>
    <row r="1165" spans="5:6">
      <c r="E1165" s="135"/>
      <c r="F1165" s="131"/>
    </row>
    <row r="1166" spans="5:6">
      <c r="E1166" s="135"/>
      <c r="F1166" s="131"/>
    </row>
    <row r="1167" spans="5:6">
      <c r="E1167" s="135"/>
      <c r="F1167" s="131"/>
    </row>
    <row r="1168" spans="5:6">
      <c r="E1168" s="135"/>
      <c r="F1168" s="131"/>
    </row>
    <row r="1169" spans="5:6">
      <c r="E1169" s="135"/>
      <c r="F1169" s="131"/>
    </row>
    <row r="1170" spans="5:6">
      <c r="E1170" s="135"/>
      <c r="F1170" s="131"/>
    </row>
    <row r="1171" spans="5:6">
      <c r="E1171" s="135"/>
      <c r="F1171" s="131"/>
    </row>
    <row r="1172" spans="5:6">
      <c r="E1172" s="135"/>
      <c r="F1172" s="131"/>
    </row>
    <row r="1173" spans="5:6">
      <c r="E1173" s="135"/>
      <c r="F1173" s="131"/>
    </row>
    <row r="1174" spans="5:6">
      <c r="E1174" s="135"/>
      <c r="F1174" s="131"/>
    </row>
    <row r="1175" spans="5:6">
      <c r="E1175" s="135"/>
      <c r="F1175" s="131"/>
    </row>
    <row r="1176" spans="5:6">
      <c r="E1176" s="135"/>
      <c r="F1176" s="131"/>
    </row>
    <row r="1177" spans="5:6">
      <c r="E1177" s="135"/>
      <c r="F1177" s="131"/>
    </row>
    <row r="1178" spans="5:6">
      <c r="E1178" s="135"/>
      <c r="F1178" s="131"/>
    </row>
    <row r="1179" spans="5:6">
      <c r="E1179" s="135"/>
      <c r="F1179" s="131"/>
    </row>
    <row r="1180" spans="5:6">
      <c r="E1180" s="135"/>
      <c r="F1180" s="131"/>
    </row>
    <row r="1181" spans="5:6">
      <c r="E1181" s="135"/>
      <c r="F1181" s="131"/>
    </row>
    <row r="1182" spans="5:6">
      <c r="E1182" s="135"/>
      <c r="F1182" s="131"/>
    </row>
    <row r="1183" spans="5:6">
      <c r="E1183" s="135"/>
      <c r="F1183" s="131"/>
    </row>
    <row r="1184" spans="5:6">
      <c r="E1184" s="135"/>
      <c r="F1184" s="131"/>
    </row>
    <row r="1185" spans="5:6">
      <c r="E1185" s="135"/>
      <c r="F1185" s="131"/>
    </row>
    <row r="1186" spans="5:6">
      <c r="E1186" s="135"/>
      <c r="F1186" s="131"/>
    </row>
    <row r="1187" spans="5:6">
      <c r="E1187" s="135"/>
      <c r="F1187" s="131"/>
    </row>
    <row r="1188" spans="5:6">
      <c r="E1188" s="135"/>
      <c r="F1188" s="131"/>
    </row>
    <row r="1189" spans="5:6">
      <c r="E1189" s="135"/>
      <c r="F1189" s="131"/>
    </row>
    <row r="1190" spans="5:6">
      <c r="E1190" s="135"/>
      <c r="F1190" s="131"/>
    </row>
    <row r="1191" spans="5:6">
      <c r="E1191" s="135"/>
      <c r="F1191" s="131"/>
    </row>
    <row r="1192" spans="5:6">
      <c r="E1192" s="135"/>
      <c r="F1192" s="131"/>
    </row>
    <row r="1193" spans="5:6">
      <c r="E1193" s="135"/>
      <c r="F1193" s="131"/>
    </row>
    <row r="1194" spans="5:6">
      <c r="E1194" s="135"/>
      <c r="F1194" s="131"/>
    </row>
    <row r="1195" spans="5:6">
      <c r="E1195" s="135"/>
      <c r="F1195" s="131"/>
    </row>
    <row r="1196" spans="5:6">
      <c r="E1196" s="135"/>
      <c r="F1196" s="131"/>
    </row>
    <row r="1197" spans="5:6">
      <c r="E1197" s="135"/>
      <c r="F1197" s="131"/>
    </row>
    <row r="1198" spans="5:6">
      <c r="E1198" s="135"/>
      <c r="F1198" s="131"/>
    </row>
    <row r="1199" spans="5:6">
      <c r="E1199" s="135"/>
      <c r="F1199" s="131"/>
    </row>
    <row r="1200" spans="5:6">
      <c r="E1200" s="135"/>
      <c r="F1200" s="131"/>
    </row>
    <row r="1201" spans="5:6">
      <c r="E1201" s="135"/>
      <c r="F1201" s="131"/>
    </row>
    <row r="1202" spans="5:6">
      <c r="E1202" s="135"/>
      <c r="F1202" s="131"/>
    </row>
    <row r="1203" spans="5:6">
      <c r="E1203" s="135"/>
      <c r="F1203" s="131"/>
    </row>
    <row r="1204" spans="5:6">
      <c r="E1204" s="135"/>
      <c r="F1204" s="131"/>
    </row>
    <row r="1205" spans="5:6">
      <c r="E1205" s="135"/>
      <c r="F1205" s="131"/>
    </row>
    <row r="1206" spans="5:6">
      <c r="E1206" s="135"/>
      <c r="F1206" s="131"/>
    </row>
    <row r="1207" spans="5:6">
      <c r="E1207" s="135"/>
      <c r="F1207" s="131"/>
    </row>
    <row r="1208" spans="5:6">
      <c r="E1208" s="135"/>
      <c r="F1208" s="131"/>
    </row>
    <row r="1209" spans="5:6">
      <c r="E1209" s="135"/>
      <c r="F1209" s="131"/>
    </row>
    <row r="1210" spans="5:6">
      <c r="E1210" s="135"/>
      <c r="F1210" s="131"/>
    </row>
    <row r="1211" spans="5:6">
      <c r="E1211" s="135"/>
      <c r="F1211" s="131"/>
    </row>
    <row r="1212" spans="5:6">
      <c r="E1212" s="135"/>
      <c r="F1212" s="131"/>
    </row>
    <row r="1213" spans="5:6">
      <c r="E1213" s="135"/>
      <c r="F1213" s="131"/>
    </row>
    <row r="1214" spans="5:6">
      <c r="E1214" s="135"/>
      <c r="F1214" s="131"/>
    </row>
    <row r="1215" spans="5:6">
      <c r="E1215" s="135"/>
      <c r="F1215" s="131"/>
    </row>
    <row r="1216" spans="5:6">
      <c r="E1216" s="135"/>
      <c r="F1216" s="131"/>
    </row>
    <row r="1217" spans="5:6">
      <c r="E1217" s="135"/>
      <c r="F1217" s="131"/>
    </row>
    <row r="1218" spans="5:6">
      <c r="E1218" s="135"/>
      <c r="F1218" s="131"/>
    </row>
    <row r="1219" spans="5:6">
      <c r="E1219" s="135"/>
      <c r="F1219" s="131"/>
    </row>
    <row r="1220" spans="5:6">
      <c r="E1220" s="135"/>
      <c r="F1220" s="131"/>
    </row>
    <row r="1221" spans="5:6">
      <c r="E1221" s="135"/>
      <c r="F1221" s="131"/>
    </row>
    <row r="1222" spans="5:6">
      <c r="E1222" s="135"/>
      <c r="F1222" s="131"/>
    </row>
    <row r="1223" spans="5:6">
      <c r="E1223" s="135"/>
      <c r="F1223" s="131"/>
    </row>
    <row r="1224" spans="5:6">
      <c r="E1224" s="135"/>
      <c r="F1224" s="131"/>
    </row>
    <row r="1225" spans="5:6">
      <c r="E1225" s="135"/>
      <c r="F1225" s="131"/>
    </row>
    <row r="1226" spans="5:6">
      <c r="E1226" s="135"/>
      <c r="F1226" s="131"/>
    </row>
    <row r="1227" spans="5:6">
      <c r="E1227" s="135"/>
      <c r="F1227" s="131"/>
    </row>
    <row r="1228" spans="5:6">
      <c r="E1228" s="135"/>
      <c r="F1228" s="131"/>
    </row>
    <row r="1229" spans="5:6">
      <c r="E1229" s="135"/>
      <c r="F1229" s="131"/>
    </row>
    <row r="1230" spans="5:6">
      <c r="E1230" s="135"/>
      <c r="F1230" s="131"/>
    </row>
    <row r="1231" spans="5:6">
      <c r="E1231" s="135"/>
      <c r="F1231" s="131"/>
    </row>
    <row r="1232" spans="5:6">
      <c r="E1232" s="135"/>
      <c r="F1232" s="131"/>
    </row>
    <row r="1233" spans="5:6">
      <c r="E1233" s="135"/>
      <c r="F1233" s="131"/>
    </row>
    <row r="1234" spans="5:6">
      <c r="E1234" s="135"/>
      <c r="F1234" s="131"/>
    </row>
    <row r="1235" spans="5:6">
      <c r="E1235" s="135"/>
      <c r="F1235" s="131"/>
    </row>
    <row r="1236" spans="5:6">
      <c r="E1236" s="135"/>
      <c r="F1236" s="131"/>
    </row>
    <row r="1237" spans="5:6">
      <c r="E1237" s="135"/>
      <c r="F1237" s="131"/>
    </row>
    <row r="1238" spans="5:6">
      <c r="E1238" s="135"/>
      <c r="F1238" s="131"/>
    </row>
    <row r="1239" spans="5:6">
      <c r="E1239" s="135"/>
      <c r="F1239" s="131"/>
    </row>
    <row r="1240" spans="5:6">
      <c r="E1240" s="135"/>
      <c r="F1240" s="131"/>
    </row>
    <row r="1241" spans="5:6">
      <c r="E1241" s="135"/>
      <c r="F1241" s="131"/>
    </row>
    <row r="1242" spans="5:6">
      <c r="E1242" s="135"/>
      <c r="F1242" s="131"/>
    </row>
    <row r="1243" spans="5:6">
      <c r="E1243" s="135"/>
      <c r="F1243" s="131"/>
    </row>
    <row r="1244" spans="5:6">
      <c r="E1244" s="135"/>
      <c r="F1244" s="131"/>
    </row>
    <row r="1245" spans="5:6">
      <c r="E1245" s="135"/>
      <c r="F1245" s="131"/>
    </row>
    <row r="1246" spans="5:6">
      <c r="E1246" s="135"/>
      <c r="F1246" s="131"/>
    </row>
    <row r="1247" spans="5:6">
      <c r="E1247" s="135"/>
      <c r="F1247" s="131"/>
    </row>
    <row r="1248" spans="5:6">
      <c r="E1248" s="135"/>
      <c r="F1248" s="131"/>
    </row>
    <row r="1249" spans="5:6">
      <c r="E1249" s="135"/>
      <c r="F1249" s="131"/>
    </row>
    <row r="1250" spans="5:6">
      <c r="E1250" s="135"/>
      <c r="F1250" s="131"/>
    </row>
    <row r="1251" spans="5:6">
      <c r="E1251" s="135"/>
      <c r="F1251" s="131"/>
    </row>
    <row r="1252" spans="5:6">
      <c r="E1252" s="135"/>
      <c r="F1252" s="131"/>
    </row>
    <row r="1253" spans="5:6">
      <c r="E1253" s="135"/>
      <c r="F1253" s="131"/>
    </row>
    <row r="1254" spans="5:6">
      <c r="E1254" s="135"/>
      <c r="F1254" s="131"/>
    </row>
    <row r="1255" spans="5:6">
      <c r="E1255" s="135"/>
      <c r="F1255" s="131"/>
    </row>
    <row r="1256" spans="5:6">
      <c r="E1256" s="135"/>
      <c r="F1256" s="131"/>
    </row>
    <row r="1257" spans="5:6">
      <c r="E1257" s="135"/>
      <c r="F1257" s="131"/>
    </row>
    <row r="1258" spans="5:6">
      <c r="E1258" s="135"/>
      <c r="F1258" s="131"/>
    </row>
    <row r="1259" spans="5:6">
      <c r="E1259" s="135"/>
      <c r="F1259" s="131"/>
    </row>
    <row r="1260" spans="5:6">
      <c r="E1260" s="135"/>
      <c r="F1260" s="131"/>
    </row>
    <row r="1261" spans="5:6">
      <c r="E1261" s="135"/>
      <c r="F1261" s="131"/>
    </row>
    <row r="1262" spans="5:6">
      <c r="E1262" s="135"/>
      <c r="F1262" s="131"/>
    </row>
    <row r="1263" spans="5:6">
      <c r="E1263" s="135"/>
      <c r="F1263" s="131"/>
    </row>
    <row r="1264" spans="5:6">
      <c r="E1264" s="135"/>
      <c r="F1264" s="131"/>
    </row>
    <row r="1265" spans="5:6">
      <c r="E1265" s="135"/>
      <c r="F1265" s="131"/>
    </row>
    <row r="1266" spans="5:6">
      <c r="E1266" s="135"/>
      <c r="F1266" s="131"/>
    </row>
    <row r="1267" spans="5:6">
      <c r="E1267" s="135"/>
      <c r="F1267" s="131"/>
    </row>
    <row r="1268" spans="5:6">
      <c r="E1268" s="135"/>
      <c r="F1268" s="131"/>
    </row>
    <row r="1269" spans="5:6">
      <c r="E1269" s="135"/>
      <c r="F1269" s="131"/>
    </row>
    <row r="1270" spans="5:6">
      <c r="E1270" s="135"/>
      <c r="F1270" s="131"/>
    </row>
    <row r="1271" spans="5:6">
      <c r="E1271" s="135"/>
      <c r="F1271" s="131"/>
    </row>
    <row r="1272" spans="5:6">
      <c r="E1272" s="135"/>
      <c r="F1272" s="131"/>
    </row>
    <row r="1273" spans="5:6">
      <c r="E1273" s="135"/>
      <c r="F1273" s="131"/>
    </row>
    <row r="1274" spans="5:6">
      <c r="E1274" s="135"/>
      <c r="F1274" s="131"/>
    </row>
    <row r="1275" spans="5:6">
      <c r="E1275" s="135"/>
      <c r="F1275" s="131"/>
    </row>
    <row r="1276" spans="5:6">
      <c r="E1276" s="135"/>
      <c r="F1276" s="131"/>
    </row>
    <row r="1277" spans="5:6">
      <c r="E1277" s="135"/>
      <c r="F1277" s="131"/>
    </row>
    <row r="1278" spans="5:6">
      <c r="E1278" s="135"/>
      <c r="F1278" s="131"/>
    </row>
    <row r="1279" spans="5:6">
      <c r="E1279" s="135"/>
      <c r="F1279" s="131"/>
    </row>
    <row r="1280" spans="5:6">
      <c r="E1280" s="135"/>
      <c r="F1280" s="131"/>
    </row>
    <row r="1281" spans="5:6">
      <c r="E1281" s="135"/>
      <c r="F1281" s="131"/>
    </row>
    <row r="1282" spans="5:6">
      <c r="E1282" s="135"/>
      <c r="F1282" s="131"/>
    </row>
    <row r="1283" spans="5:6">
      <c r="E1283" s="135"/>
      <c r="F1283" s="131"/>
    </row>
    <row r="1284" spans="5:6">
      <c r="E1284" s="135"/>
      <c r="F1284" s="131"/>
    </row>
    <row r="1285" spans="5:6">
      <c r="E1285" s="135"/>
      <c r="F1285" s="131"/>
    </row>
    <row r="1286" spans="5:6">
      <c r="E1286" s="135"/>
      <c r="F1286" s="131"/>
    </row>
    <row r="1287" spans="5:6">
      <c r="E1287" s="135"/>
      <c r="F1287" s="131"/>
    </row>
    <row r="1288" spans="5:6">
      <c r="E1288" s="135"/>
      <c r="F1288" s="131"/>
    </row>
    <row r="1289" spans="5:6">
      <c r="E1289" s="135"/>
      <c r="F1289" s="131"/>
    </row>
    <row r="1290" spans="5:6">
      <c r="E1290" s="135"/>
      <c r="F1290" s="131"/>
    </row>
    <row r="1291" spans="5:6">
      <c r="E1291" s="135"/>
      <c r="F1291" s="131"/>
    </row>
    <row r="1292" spans="5:6">
      <c r="E1292" s="135"/>
      <c r="F1292" s="131"/>
    </row>
    <row r="1293" spans="5:6">
      <c r="E1293" s="135"/>
      <c r="F1293" s="131"/>
    </row>
    <row r="1294" spans="5:6">
      <c r="E1294" s="135"/>
      <c r="F1294" s="131"/>
    </row>
    <row r="1295" spans="5:6">
      <c r="E1295" s="135"/>
      <c r="F1295" s="131"/>
    </row>
    <row r="1296" spans="5:6">
      <c r="E1296" s="135"/>
      <c r="F1296" s="131"/>
    </row>
    <row r="1297" spans="5:6">
      <c r="E1297" s="135"/>
      <c r="F1297" s="131"/>
    </row>
    <row r="1298" spans="5:6">
      <c r="E1298" s="135"/>
      <c r="F1298" s="131"/>
    </row>
    <row r="1299" spans="5:6">
      <c r="E1299" s="135"/>
      <c r="F1299" s="131"/>
    </row>
    <row r="1300" spans="5:6">
      <c r="E1300" s="135"/>
      <c r="F1300" s="131"/>
    </row>
    <row r="1301" spans="5:6">
      <c r="E1301" s="135"/>
      <c r="F1301" s="131"/>
    </row>
    <row r="1302" spans="5:6">
      <c r="E1302" s="135"/>
      <c r="F1302" s="131"/>
    </row>
    <row r="1303" spans="5:6">
      <c r="E1303" s="135"/>
      <c r="F1303" s="131"/>
    </row>
    <row r="1304" spans="5:6">
      <c r="E1304" s="135"/>
      <c r="F1304" s="131"/>
    </row>
    <row r="1305" spans="5:6">
      <c r="E1305" s="135"/>
      <c r="F1305" s="131"/>
    </row>
    <row r="1306" spans="5:6">
      <c r="E1306" s="135"/>
      <c r="F1306" s="131"/>
    </row>
    <row r="1307" spans="5:6">
      <c r="E1307" s="135"/>
      <c r="F1307" s="131"/>
    </row>
    <row r="1308" spans="5:6">
      <c r="E1308" s="135"/>
      <c r="F1308" s="131"/>
    </row>
    <row r="1309" spans="5:6">
      <c r="E1309" s="135"/>
      <c r="F1309" s="131"/>
    </row>
    <row r="1310" spans="5:6">
      <c r="E1310" s="135"/>
      <c r="F1310" s="131"/>
    </row>
    <row r="1311" spans="5:6">
      <c r="E1311" s="135"/>
      <c r="F1311" s="131"/>
    </row>
    <row r="1312" spans="5:6">
      <c r="E1312" s="135"/>
      <c r="F1312" s="131"/>
    </row>
    <row r="1313" spans="5:6">
      <c r="E1313" s="135"/>
      <c r="F1313" s="131"/>
    </row>
    <row r="1314" spans="5:6">
      <c r="E1314" s="135"/>
      <c r="F1314" s="131"/>
    </row>
    <row r="1315" spans="5:6">
      <c r="E1315" s="135"/>
      <c r="F1315" s="131"/>
    </row>
    <row r="1316" spans="5:6">
      <c r="E1316" s="135"/>
      <c r="F1316" s="131"/>
    </row>
    <row r="1317" spans="5:6">
      <c r="E1317" s="135"/>
      <c r="F1317" s="131"/>
    </row>
    <row r="1318" spans="5:6">
      <c r="E1318" s="135"/>
      <c r="F1318" s="131"/>
    </row>
    <row r="1319" spans="5:6">
      <c r="E1319" s="135"/>
      <c r="F1319" s="131"/>
    </row>
    <row r="1320" spans="5:6">
      <c r="E1320" s="135"/>
      <c r="F1320" s="131"/>
    </row>
    <row r="1321" spans="5:6">
      <c r="E1321" s="135"/>
      <c r="F1321" s="131"/>
    </row>
    <row r="1322" spans="5:6">
      <c r="E1322" s="135"/>
      <c r="F1322" s="131"/>
    </row>
    <row r="1323" spans="5:6">
      <c r="E1323" s="135"/>
      <c r="F1323" s="131"/>
    </row>
    <row r="1324" spans="5:6">
      <c r="E1324" s="135"/>
      <c r="F1324" s="131"/>
    </row>
    <row r="1325" spans="5:6">
      <c r="E1325" s="135"/>
      <c r="F1325" s="131"/>
    </row>
    <row r="1326" spans="5:6">
      <c r="E1326" s="135"/>
      <c r="F1326" s="131"/>
    </row>
    <row r="1327" spans="5:6">
      <c r="E1327" s="135"/>
      <c r="F1327" s="131"/>
    </row>
    <row r="1328" spans="5:6">
      <c r="E1328" s="135"/>
      <c r="F1328" s="131"/>
    </row>
    <row r="1329" spans="5:6">
      <c r="E1329" s="135"/>
      <c r="F1329" s="131"/>
    </row>
    <row r="1330" spans="5:6">
      <c r="E1330" s="135"/>
      <c r="F1330" s="131"/>
    </row>
    <row r="1331" spans="5:6">
      <c r="E1331" s="135"/>
      <c r="F1331" s="131"/>
    </row>
    <row r="1332" spans="5:6">
      <c r="E1332" s="135"/>
      <c r="F1332" s="131"/>
    </row>
    <row r="1333" spans="5:6">
      <c r="E1333" s="135"/>
      <c r="F1333" s="131"/>
    </row>
    <row r="1334" spans="5:6">
      <c r="E1334" s="135"/>
      <c r="F1334" s="131"/>
    </row>
    <row r="1335" spans="5:6">
      <c r="E1335" s="135"/>
      <c r="F1335" s="131"/>
    </row>
    <row r="1336" spans="5:6">
      <c r="E1336" s="135"/>
      <c r="F1336" s="131"/>
    </row>
    <row r="1337" spans="5:6">
      <c r="E1337" s="135"/>
      <c r="F1337" s="131"/>
    </row>
    <row r="1338" spans="5:6">
      <c r="E1338" s="135"/>
      <c r="F1338" s="131"/>
    </row>
    <row r="1339" spans="5:6">
      <c r="E1339" s="135"/>
      <c r="F1339" s="131"/>
    </row>
    <row r="1340" spans="5:6">
      <c r="E1340" s="135"/>
      <c r="F1340" s="131"/>
    </row>
    <row r="1341" spans="5:6">
      <c r="E1341" s="135"/>
      <c r="F1341" s="131"/>
    </row>
    <row r="1342" spans="5:6">
      <c r="E1342" s="135"/>
      <c r="F1342" s="131"/>
    </row>
    <row r="1343" spans="5:6">
      <c r="E1343" s="135"/>
      <c r="F1343" s="131"/>
    </row>
    <row r="1344" spans="5:6">
      <c r="E1344" s="135"/>
      <c r="F1344" s="131"/>
    </row>
    <row r="1345" spans="5:6">
      <c r="E1345" s="135"/>
      <c r="F1345" s="131"/>
    </row>
    <row r="1346" spans="5:6">
      <c r="E1346" s="135"/>
      <c r="F1346" s="131"/>
    </row>
    <row r="1347" spans="5:6">
      <c r="E1347" s="135"/>
      <c r="F1347" s="131"/>
    </row>
    <row r="1348" spans="5:6">
      <c r="E1348" s="135"/>
      <c r="F1348" s="131"/>
    </row>
    <row r="1349" spans="5:6">
      <c r="E1349" s="135"/>
      <c r="F1349" s="131"/>
    </row>
    <row r="1350" spans="5:6">
      <c r="E1350" s="135"/>
      <c r="F1350" s="131"/>
    </row>
    <row r="1351" spans="5:6">
      <c r="E1351" s="135"/>
      <c r="F1351" s="131"/>
    </row>
    <row r="1352" spans="5:6">
      <c r="E1352" s="135"/>
      <c r="F1352" s="131"/>
    </row>
    <row r="1353" spans="5:6">
      <c r="E1353" s="135"/>
      <c r="F1353" s="131"/>
    </row>
    <row r="1354" spans="5:6">
      <c r="E1354" s="135"/>
      <c r="F1354" s="131"/>
    </row>
    <row r="1355" spans="5:6">
      <c r="E1355" s="135"/>
      <c r="F1355" s="131"/>
    </row>
    <row r="1356" spans="5:6">
      <c r="E1356" s="135"/>
      <c r="F1356" s="131"/>
    </row>
    <row r="1357" spans="5:6">
      <c r="E1357" s="135"/>
      <c r="F1357" s="131"/>
    </row>
    <row r="1358" spans="5:6">
      <c r="E1358" s="135"/>
      <c r="F1358" s="131"/>
    </row>
    <row r="1359" spans="5:6">
      <c r="E1359" s="135"/>
      <c r="F1359" s="131"/>
    </row>
    <row r="1360" spans="5:6">
      <c r="E1360" s="135"/>
      <c r="F1360" s="131"/>
    </row>
    <row r="1361" spans="5:6">
      <c r="E1361" s="135"/>
      <c r="F1361" s="131"/>
    </row>
    <row r="1362" spans="5:6">
      <c r="E1362" s="135"/>
      <c r="F1362" s="131"/>
    </row>
    <row r="1363" spans="5:6">
      <c r="E1363" s="135"/>
      <c r="F1363" s="131"/>
    </row>
    <row r="1364" spans="5:6">
      <c r="E1364" s="135"/>
      <c r="F1364" s="131"/>
    </row>
    <row r="1365" spans="5:6">
      <c r="E1365" s="135"/>
      <c r="F1365" s="131"/>
    </row>
    <row r="1366" spans="5:6">
      <c r="E1366" s="135"/>
      <c r="F1366" s="131"/>
    </row>
    <row r="1367" spans="5:6">
      <c r="E1367" s="135"/>
      <c r="F1367" s="131"/>
    </row>
    <row r="1368" spans="5:6">
      <c r="E1368" s="135"/>
      <c r="F1368" s="131"/>
    </row>
    <row r="1369" spans="5:6">
      <c r="E1369" s="135"/>
      <c r="F1369" s="131"/>
    </row>
    <row r="1370" spans="5:6">
      <c r="E1370" s="135"/>
      <c r="F1370" s="131"/>
    </row>
    <row r="1371" spans="5:6">
      <c r="E1371" s="135"/>
      <c r="F1371" s="131"/>
    </row>
    <row r="1372" spans="5:6">
      <c r="E1372" s="135"/>
      <c r="F1372" s="131"/>
    </row>
    <row r="1373" spans="5:6">
      <c r="E1373" s="135"/>
      <c r="F1373" s="131"/>
    </row>
    <row r="1374" spans="5:6">
      <c r="E1374" s="135"/>
      <c r="F1374" s="131"/>
    </row>
    <row r="1375" spans="5:6">
      <c r="E1375" s="135"/>
      <c r="F1375" s="131"/>
    </row>
    <row r="1376" spans="5:6">
      <c r="E1376" s="135"/>
      <c r="F1376" s="131"/>
    </row>
    <row r="1377" spans="5:6">
      <c r="E1377" s="135"/>
      <c r="F1377" s="131"/>
    </row>
    <row r="1378" spans="5:6">
      <c r="E1378" s="135"/>
      <c r="F1378" s="131"/>
    </row>
    <row r="1379" spans="5:6">
      <c r="E1379" s="135"/>
      <c r="F1379" s="131"/>
    </row>
    <row r="1380" spans="5:6">
      <c r="E1380" s="135"/>
      <c r="F1380" s="131"/>
    </row>
    <row r="1381" spans="5:6">
      <c r="E1381" s="135"/>
      <c r="F1381" s="131"/>
    </row>
    <row r="1382" spans="5:6">
      <c r="E1382" s="135"/>
      <c r="F1382" s="131"/>
    </row>
    <row r="1383" spans="5:6">
      <c r="E1383" s="135"/>
      <c r="F1383" s="131"/>
    </row>
    <row r="1384" spans="5:6">
      <c r="E1384" s="135"/>
      <c r="F1384" s="131"/>
    </row>
    <row r="1385" spans="5:6">
      <c r="E1385" s="135"/>
      <c r="F1385" s="131"/>
    </row>
    <row r="1386" spans="5:6">
      <c r="E1386" s="135"/>
      <c r="F1386" s="131"/>
    </row>
    <row r="1387" spans="5:6">
      <c r="E1387" s="135"/>
      <c r="F1387" s="131"/>
    </row>
    <row r="1388" spans="5:6">
      <c r="E1388" s="135"/>
      <c r="F1388" s="131"/>
    </row>
    <row r="1389" spans="5:6">
      <c r="E1389" s="135"/>
      <c r="F1389" s="131"/>
    </row>
    <row r="1390" spans="5:6">
      <c r="E1390" s="135"/>
      <c r="F1390" s="131"/>
    </row>
    <row r="1391" spans="5:6">
      <c r="E1391" s="135"/>
      <c r="F1391" s="131"/>
    </row>
    <row r="1392" spans="5:6">
      <c r="E1392" s="135"/>
      <c r="F1392" s="131"/>
    </row>
    <row r="1393" spans="5:6">
      <c r="E1393" s="135"/>
      <c r="F1393" s="131"/>
    </row>
    <row r="1394" spans="5:6">
      <c r="E1394" s="135"/>
      <c r="F1394" s="131"/>
    </row>
    <row r="1395" spans="5:6">
      <c r="E1395" s="135"/>
      <c r="F1395" s="131"/>
    </row>
    <row r="1396" spans="5:6">
      <c r="E1396" s="135"/>
      <c r="F1396" s="131"/>
    </row>
    <row r="1397" spans="5:6">
      <c r="E1397" s="135"/>
      <c r="F1397" s="131"/>
    </row>
    <row r="1398" spans="5:6">
      <c r="E1398" s="135"/>
      <c r="F1398" s="131"/>
    </row>
    <row r="1399" spans="5:6">
      <c r="E1399" s="135"/>
      <c r="F1399" s="131"/>
    </row>
    <row r="1400" spans="5:6">
      <c r="E1400" s="135"/>
      <c r="F1400" s="131"/>
    </row>
    <row r="1401" spans="5:6">
      <c r="E1401" s="135"/>
      <c r="F1401" s="131"/>
    </row>
    <row r="1402" spans="5:6">
      <c r="E1402" s="135"/>
      <c r="F1402" s="131"/>
    </row>
    <row r="1403" spans="5:6">
      <c r="E1403" s="135"/>
      <c r="F1403" s="131"/>
    </row>
    <row r="1404" spans="5:6">
      <c r="E1404" s="135"/>
      <c r="F1404" s="131"/>
    </row>
    <row r="1405" spans="5:6">
      <c r="E1405" s="135"/>
      <c r="F1405" s="131"/>
    </row>
    <row r="1406" spans="5:6">
      <c r="E1406" s="135"/>
      <c r="F1406" s="131"/>
    </row>
    <row r="1407" spans="5:6">
      <c r="E1407" s="135"/>
      <c r="F1407" s="131"/>
    </row>
    <row r="1408" spans="5:6">
      <c r="E1408" s="135"/>
      <c r="F1408" s="131"/>
    </row>
    <row r="1409" spans="5:6">
      <c r="E1409" s="135"/>
      <c r="F1409" s="131"/>
    </row>
    <row r="1410" spans="5:6">
      <c r="E1410" s="135"/>
      <c r="F1410" s="131"/>
    </row>
    <row r="1411" spans="5:6">
      <c r="E1411" s="135"/>
      <c r="F1411" s="131"/>
    </row>
    <row r="1412" spans="5:6">
      <c r="E1412" s="135"/>
      <c r="F1412" s="131"/>
    </row>
    <row r="1413" spans="5:6">
      <c r="E1413" s="135"/>
      <c r="F1413" s="131"/>
    </row>
    <row r="1414" spans="5:6">
      <c r="E1414" s="135"/>
      <c r="F1414" s="131"/>
    </row>
    <row r="1415" spans="5:6">
      <c r="E1415" s="135"/>
      <c r="F1415" s="131"/>
    </row>
    <row r="1416" spans="5:6">
      <c r="E1416" s="135"/>
      <c r="F1416" s="131"/>
    </row>
    <row r="1417" spans="5:6">
      <c r="E1417" s="135"/>
      <c r="F1417" s="131"/>
    </row>
    <row r="1418" spans="5:6">
      <c r="E1418" s="135"/>
      <c r="F1418" s="131"/>
    </row>
    <row r="1419" spans="5:6">
      <c r="E1419" s="135"/>
      <c r="F1419" s="131"/>
    </row>
    <row r="1420" spans="5:6">
      <c r="E1420" s="135"/>
      <c r="F1420" s="131"/>
    </row>
    <row r="1421" spans="5:6">
      <c r="E1421" s="135"/>
      <c r="F1421" s="131"/>
    </row>
    <row r="1422" spans="5:6">
      <c r="E1422" s="135"/>
      <c r="F1422" s="131"/>
    </row>
    <row r="1423" spans="5:6">
      <c r="E1423" s="135"/>
      <c r="F1423" s="131"/>
    </row>
    <row r="1424" spans="5:6">
      <c r="E1424" s="135"/>
      <c r="F1424" s="131"/>
    </row>
    <row r="1425" spans="5:6">
      <c r="E1425" s="135"/>
      <c r="F1425" s="131"/>
    </row>
    <row r="1426" spans="5:6">
      <c r="E1426" s="135"/>
      <c r="F1426" s="131"/>
    </row>
    <row r="1427" spans="5:6">
      <c r="E1427" s="135"/>
      <c r="F1427" s="131"/>
    </row>
    <row r="1428" spans="5:6">
      <c r="E1428" s="135"/>
      <c r="F1428" s="131"/>
    </row>
    <row r="1429" spans="5:6">
      <c r="E1429" s="135"/>
      <c r="F1429" s="131"/>
    </row>
    <row r="1430" spans="5:6">
      <c r="E1430" s="135"/>
      <c r="F1430" s="131"/>
    </row>
    <row r="1431" spans="5:6">
      <c r="E1431" s="135"/>
      <c r="F1431" s="131"/>
    </row>
    <row r="1432" spans="5:6">
      <c r="E1432" s="135"/>
      <c r="F1432" s="131"/>
    </row>
    <row r="1433" spans="5:6">
      <c r="E1433" s="135"/>
      <c r="F1433" s="131"/>
    </row>
    <row r="1434" spans="5:6">
      <c r="E1434" s="135"/>
      <c r="F1434" s="131"/>
    </row>
    <row r="1435" spans="5:6">
      <c r="E1435" s="135"/>
      <c r="F1435" s="131"/>
    </row>
    <row r="1436" spans="5:6">
      <c r="E1436" s="135"/>
      <c r="F1436" s="131"/>
    </row>
    <row r="1437" spans="5:6">
      <c r="E1437" s="135"/>
      <c r="F1437" s="131"/>
    </row>
    <row r="1438" spans="5:6">
      <c r="E1438" s="135"/>
      <c r="F1438" s="131"/>
    </row>
    <row r="1439" spans="5:6">
      <c r="E1439" s="135"/>
      <c r="F1439" s="131"/>
    </row>
    <row r="1440" spans="5:6">
      <c r="E1440" s="135"/>
      <c r="F1440" s="131"/>
    </row>
    <row r="1441" spans="5:6">
      <c r="E1441" s="135"/>
      <c r="F1441" s="131"/>
    </row>
    <row r="1442" spans="5:6">
      <c r="E1442" s="135"/>
      <c r="F1442" s="131"/>
    </row>
    <row r="1443" spans="5:6">
      <c r="E1443" s="135"/>
      <c r="F1443" s="131"/>
    </row>
    <row r="1444" spans="5:6">
      <c r="E1444" s="135"/>
      <c r="F1444" s="131"/>
    </row>
    <row r="1445" spans="5:6">
      <c r="E1445" s="135"/>
      <c r="F1445" s="131"/>
    </row>
    <row r="1446" spans="5:6">
      <c r="E1446" s="135"/>
      <c r="F1446" s="131"/>
    </row>
    <row r="1447" spans="5:6">
      <c r="E1447" s="135"/>
      <c r="F1447" s="131"/>
    </row>
    <row r="1448" spans="5:6">
      <c r="E1448" s="135"/>
      <c r="F1448" s="131"/>
    </row>
    <row r="1449" spans="5:6">
      <c r="E1449" s="135"/>
      <c r="F1449" s="131"/>
    </row>
    <row r="1450" spans="5:6">
      <c r="E1450" s="135"/>
      <c r="F1450" s="131"/>
    </row>
    <row r="1451" spans="5:6">
      <c r="E1451" s="135"/>
      <c r="F1451" s="131"/>
    </row>
    <row r="1452" spans="5:6">
      <c r="E1452" s="135"/>
      <c r="F1452" s="131"/>
    </row>
    <row r="1453" spans="5:6">
      <c r="E1453" s="135"/>
      <c r="F1453" s="131"/>
    </row>
    <row r="1454" spans="5:6">
      <c r="E1454" s="135"/>
      <c r="F1454" s="131"/>
    </row>
    <row r="1455" spans="5:6">
      <c r="E1455" s="135"/>
      <c r="F1455" s="131"/>
    </row>
    <row r="1456" spans="5:6">
      <c r="E1456" s="135"/>
      <c r="F1456" s="131"/>
    </row>
    <row r="1457" spans="5:6">
      <c r="E1457" s="135"/>
      <c r="F1457" s="131"/>
    </row>
    <row r="1458" spans="5:6">
      <c r="E1458" s="135"/>
      <c r="F1458" s="131"/>
    </row>
    <row r="1459" spans="5:6">
      <c r="E1459" s="135"/>
      <c r="F1459" s="131"/>
    </row>
    <row r="1460" spans="5:6">
      <c r="E1460" s="135"/>
      <c r="F1460" s="131"/>
    </row>
    <row r="1461" spans="5:6">
      <c r="E1461" s="135"/>
      <c r="F1461" s="131"/>
    </row>
    <row r="1462" spans="5:6">
      <c r="E1462" s="135"/>
      <c r="F1462" s="131"/>
    </row>
    <row r="1463" spans="5:6">
      <c r="E1463" s="135"/>
      <c r="F1463" s="131"/>
    </row>
    <row r="1464" spans="5:6">
      <c r="E1464" s="135"/>
      <c r="F1464" s="131"/>
    </row>
    <row r="1465" spans="5:6">
      <c r="E1465" s="135"/>
      <c r="F1465" s="131"/>
    </row>
    <row r="1466" spans="5:6">
      <c r="E1466" s="135"/>
      <c r="F1466" s="131"/>
    </row>
    <row r="1467" spans="5:6">
      <c r="E1467" s="135"/>
      <c r="F1467" s="131"/>
    </row>
    <row r="1468" spans="5:6">
      <c r="E1468" s="135"/>
      <c r="F1468" s="131"/>
    </row>
    <row r="1469" spans="5:6">
      <c r="E1469" s="135"/>
      <c r="F1469" s="131"/>
    </row>
    <row r="1470" spans="5:6">
      <c r="E1470" s="135"/>
      <c r="F1470" s="131"/>
    </row>
    <row r="1471" spans="5:6">
      <c r="E1471" s="135"/>
      <c r="F1471" s="131"/>
    </row>
    <row r="1472" spans="5:6">
      <c r="E1472" s="135"/>
      <c r="F1472" s="131"/>
    </row>
    <row r="1473" spans="5:6">
      <c r="E1473" s="135"/>
      <c r="F1473" s="131"/>
    </row>
    <row r="1474" spans="5:6">
      <c r="E1474" s="135"/>
      <c r="F1474" s="131"/>
    </row>
    <row r="1475" spans="5:6">
      <c r="E1475" s="135"/>
      <c r="F1475" s="131"/>
    </row>
    <row r="1476" spans="5:6">
      <c r="E1476" s="135"/>
      <c r="F1476" s="131"/>
    </row>
    <row r="1477" spans="5:6">
      <c r="E1477" s="135"/>
      <c r="F1477" s="131"/>
    </row>
    <row r="1478" spans="5:6">
      <c r="E1478" s="135"/>
      <c r="F1478" s="131"/>
    </row>
    <row r="1479" spans="5:6">
      <c r="E1479" s="135"/>
      <c r="F1479" s="131"/>
    </row>
    <row r="1480" spans="5:6">
      <c r="E1480" s="135"/>
      <c r="F1480" s="131"/>
    </row>
    <row r="1481" spans="5:6">
      <c r="E1481" s="135"/>
      <c r="F1481" s="131"/>
    </row>
    <row r="1482" spans="5:6">
      <c r="E1482" s="135"/>
      <c r="F1482" s="131"/>
    </row>
    <row r="1483" spans="5:6">
      <c r="E1483" s="135"/>
      <c r="F1483" s="131"/>
    </row>
    <row r="1484" spans="5:6">
      <c r="E1484" s="135"/>
      <c r="F1484" s="131"/>
    </row>
    <row r="1485" spans="5:6">
      <c r="E1485" s="135"/>
      <c r="F1485" s="131"/>
    </row>
    <row r="1486" spans="5:6">
      <c r="E1486" s="135"/>
      <c r="F1486" s="131"/>
    </row>
    <row r="1487" spans="5:6">
      <c r="E1487" s="135"/>
      <c r="F1487" s="131"/>
    </row>
    <row r="1488" spans="5:6">
      <c r="E1488" s="135"/>
      <c r="F1488" s="131"/>
    </row>
    <row r="1489" spans="5:6">
      <c r="E1489" s="135"/>
      <c r="F1489" s="131"/>
    </row>
    <row r="1490" spans="5:6">
      <c r="E1490" s="135"/>
      <c r="F1490" s="131"/>
    </row>
    <row r="1491" spans="5:6">
      <c r="E1491" s="135"/>
      <c r="F1491" s="131"/>
    </row>
    <row r="1492" spans="5:6">
      <c r="E1492" s="135"/>
      <c r="F1492" s="131"/>
    </row>
    <row r="1493" spans="5:6">
      <c r="E1493" s="135"/>
      <c r="F1493" s="131"/>
    </row>
    <row r="1494" spans="5:6">
      <c r="E1494" s="135"/>
      <c r="F1494" s="131"/>
    </row>
    <row r="1495" spans="5:6">
      <c r="E1495" s="135"/>
      <c r="F1495" s="131"/>
    </row>
    <row r="1496" spans="5:6">
      <c r="E1496" s="135"/>
      <c r="F1496" s="131"/>
    </row>
    <row r="1497" spans="5:6">
      <c r="E1497" s="135"/>
      <c r="F1497" s="131"/>
    </row>
    <row r="1498" spans="5:6">
      <c r="E1498" s="135"/>
      <c r="F1498" s="131"/>
    </row>
    <row r="1499" spans="5:6">
      <c r="E1499" s="135"/>
      <c r="F1499" s="131"/>
    </row>
    <row r="1500" spans="5:6">
      <c r="E1500" s="135"/>
      <c r="F1500" s="131"/>
    </row>
    <row r="1501" spans="5:6">
      <c r="E1501" s="135"/>
      <c r="F1501" s="131"/>
    </row>
    <row r="1502" spans="5:6">
      <c r="E1502" s="135"/>
      <c r="F1502" s="131"/>
    </row>
    <row r="1503" spans="5:6">
      <c r="E1503" s="135"/>
      <c r="F1503" s="131"/>
    </row>
    <row r="1504" spans="5:6">
      <c r="E1504" s="135"/>
      <c r="F1504" s="131"/>
    </row>
    <row r="1505" spans="5:6">
      <c r="E1505" s="135"/>
      <c r="F1505" s="131"/>
    </row>
    <row r="1506" spans="5:6">
      <c r="E1506" s="135"/>
      <c r="F1506" s="131"/>
    </row>
    <row r="1507" spans="5:6">
      <c r="E1507" s="135"/>
      <c r="F1507" s="131"/>
    </row>
    <row r="1508" spans="5:6">
      <c r="E1508" s="135"/>
      <c r="F1508" s="131"/>
    </row>
    <row r="1509" spans="5:6">
      <c r="E1509" s="135"/>
      <c r="F1509" s="131"/>
    </row>
    <row r="1510" spans="5:6">
      <c r="E1510" s="135"/>
      <c r="F1510" s="131"/>
    </row>
    <row r="1511" spans="5:6">
      <c r="E1511" s="135"/>
      <c r="F1511" s="131"/>
    </row>
    <row r="1512" spans="5:6">
      <c r="E1512" s="135"/>
      <c r="F1512" s="131"/>
    </row>
    <row r="1513" spans="5:6">
      <c r="E1513" s="135"/>
      <c r="F1513" s="131"/>
    </row>
    <row r="1514" spans="5:6">
      <c r="E1514" s="135"/>
      <c r="F1514" s="131"/>
    </row>
    <row r="1515" spans="5:6">
      <c r="E1515" s="135"/>
      <c r="F1515" s="131"/>
    </row>
    <row r="1516" spans="5:6">
      <c r="E1516" s="135"/>
      <c r="F1516" s="131"/>
    </row>
    <row r="1517" spans="5:6">
      <c r="E1517" s="135"/>
      <c r="F1517" s="131"/>
    </row>
    <row r="1518" spans="5:6">
      <c r="E1518" s="135"/>
      <c r="F1518" s="131"/>
    </row>
    <row r="1519" spans="5:6">
      <c r="E1519" s="135"/>
      <c r="F1519" s="131"/>
    </row>
    <row r="1520" spans="5:6">
      <c r="E1520" s="135"/>
      <c r="F1520" s="131"/>
    </row>
    <row r="1521" spans="5:6">
      <c r="E1521" s="135"/>
      <c r="F1521" s="131"/>
    </row>
    <row r="1522" spans="5:6">
      <c r="E1522" s="135"/>
      <c r="F1522" s="131"/>
    </row>
    <row r="1523" spans="5:6">
      <c r="E1523" s="135"/>
      <c r="F1523" s="131"/>
    </row>
    <row r="1524" spans="5:6">
      <c r="E1524" s="135"/>
      <c r="F1524" s="131"/>
    </row>
    <row r="1525" spans="5:6">
      <c r="E1525" s="135"/>
      <c r="F1525" s="131"/>
    </row>
    <row r="1526" spans="5:6">
      <c r="E1526" s="135"/>
      <c r="F1526" s="131"/>
    </row>
    <row r="1527" spans="5:6">
      <c r="E1527" s="135"/>
      <c r="F1527" s="131"/>
    </row>
    <row r="1528" spans="5:6">
      <c r="E1528" s="135"/>
      <c r="F1528" s="131"/>
    </row>
    <row r="1529" spans="5:6">
      <c r="E1529" s="135"/>
      <c r="F1529" s="131"/>
    </row>
    <row r="1530" spans="5:6">
      <c r="E1530" s="135"/>
      <c r="F1530" s="131"/>
    </row>
    <row r="1531" spans="5:6">
      <c r="E1531" s="135"/>
      <c r="F1531" s="131"/>
    </row>
    <row r="1532" spans="5:6">
      <c r="E1532" s="135"/>
      <c r="F1532" s="131"/>
    </row>
    <row r="1533" spans="5:6">
      <c r="E1533" s="135"/>
      <c r="F1533" s="131"/>
    </row>
    <row r="1534" spans="5:6">
      <c r="E1534" s="135"/>
      <c r="F1534" s="131"/>
    </row>
    <row r="1535" spans="5:6">
      <c r="E1535" s="135"/>
      <c r="F1535" s="131"/>
    </row>
    <row r="1536" spans="5:6">
      <c r="E1536" s="135"/>
      <c r="F1536" s="131"/>
    </row>
    <row r="1537" spans="5:6">
      <c r="E1537" s="135"/>
      <c r="F1537" s="131"/>
    </row>
    <row r="1538" spans="5:6">
      <c r="E1538" s="135"/>
      <c r="F1538" s="131"/>
    </row>
    <row r="1539" spans="5:6">
      <c r="E1539" s="135"/>
      <c r="F1539" s="131"/>
    </row>
    <row r="1540" spans="5:6">
      <c r="E1540" s="135"/>
      <c r="F1540" s="131"/>
    </row>
    <row r="1541" spans="5:6">
      <c r="E1541" s="135"/>
      <c r="F1541" s="131"/>
    </row>
    <row r="1542" spans="5:6">
      <c r="E1542" s="135"/>
      <c r="F1542" s="131"/>
    </row>
    <row r="1543" spans="5:6">
      <c r="E1543" s="135"/>
      <c r="F1543" s="131"/>
    </row>
    <row r="1544" spans="5:6">
      <c r="E1544" s="135"/>
      <c r="F1544" s="131"/>
    </row>
    <row r="1545" spans="5:6">
      <c r="E1545" s="135"/>
      <c r="F1545" s="131"/>
    </row>
    <row r="1546" spans="5:6">
      <c r="E1546" s="135"/>
      <c r="F1546" s="131"/>
    </row>
    <row r="1547" spans="5:6">
      <c r="E1547" s="135"/>
      <c r="F1547" s="131"/>
    </row>
    <row r="1548" spans="5:6">
      <c r="E1548" s="135"/>
      <c r="F1548" s="131"/>
    </row>
    <row r="1549" spans="5:6">
      <c r="E1549" s="135"/>
      <c r="F1549" s="131"/>
    </row>
    <row r="1550" spans="5:6">
      <c r="E1550" s="135"/>
      <c r="F1550" s="131"/>
    </row>
    <row r="1551" spans="5:6">
      <c r="E1551" s="135"/>
      <c r="F1551" s="131"/>
    </row>
    <row r="1552" spans="5:6">
      <c r="E1552" s="135"/>
      <c r="F1552" s="131"/>
    </row>
    <row r="1553" spans="5:6">
      <c r="E1553" s="135"/>
      <c r="F1553" s="131"/>
    </row>
    <row r="1554" spans="5:6">
      <c r="E1554" s="135"/>
      <c r="F1554" s="131"/>
    </row>
    <row r="1555" spans="5:6">
      <c r="E1555" s="135"/>
      <c r="F1555" s="131"/>
    </row>
    <row r="1556" spans="5:6">
      <c r="E1556" s="135"/>
      <c r="F1556" s="131"/>
    </row>
    <row r="1557" spans="5:6">
      <c r="E1557" s="135"/>
      <c r="F1557" s="131"/>
    </row>
    <row r="1558" spans="5:6">
      <c r="E1558" s="135"/>
      <c r="F1558" s="131"/>
    </row>
    <row r="1559" spans="5:6">
      <c r="E1559" s="135"/>
      <c r="F1559" s="131"/>
    </row>
    <row r="1560" spans="5:6">
      <c r="E1560" s="135"/>
      <c r="F1560" s="131"/>
    </row>
    <row r="1561" spans="5:6">
      <c r="E1561" s="135"/>
      <c r="F1561" s="131"/>
    </row>
    <row r="1562" spans="5:6">
      <c r="E1562" s="135"/>
      <c r="F1562" s="131"/>
    </row>
    <row r="1563" spans="5:6">
      <c r="E1563" s="135"/>
      <c r="F1563" s="131"/>
    </row>
    <row r="1564" spans="5:6">
      <c r="E1564" s="135"/>
      <c r="F1564" s="131"/>
    </row>
    <row r="1565" spans="5:6">
      <c r="E1565" s="135"/>
      <c r="F1565" s="131"/>
    </row>
    <row r="1566" spans="5:6">
      <c r="E1566" s="135"/>
      <c r="F1566" s="131"/>
    </row>
    <row r="1567" spans="5:6">
      <c r="E1567" s="135"/>
      <c r="F1567" s="131"/>
    </row>
    <row r="1568" spans="5:6">
      <c r="E1568" s="135"/>
      <c r="F1568" s="131"/>
    </row>
    <row r="1569" spans="5:6">
      <c r="E1569" s="135"/>
      <c r="F1569" s="131"/>
    </row>
    <row r="1570" spans="5:6">
      <c r="E1570" s="135"/>
      <c r="F1570" s="131"/>
    </row>
    <row r="1571" spans="5:6">
      <c r="E1571" s="135"/>
      <c r="F1571" s="131"/>
    </row>
    <row r="1572" spans="5:6">
      <c r="E1572" s="135"/>
      <c r="F1572" s="131"/>
    </row>
    <row r="1573" spans="5:6">
      <c r="E1573" s="135"/>
      <c r="F1573" s="131"/>
    </row>
    <row r="1574" spans="5:6">
      <c r="E1574" s="135"/>
      <c r="F1574" s="131"/>
    </row>
    <row r="1575" spans="5:6">
      <c r="E1575" s="135"/>
      <c r="F1575" s="131"/>
    </row>
    <row r="1576" spans="5:6">
      <c r="E1576" s="135"/>
      <c r="F1576" s="131"/>
    </row>
    <row r="1577" spans="5:6">
      <c r="E1577" s="135"/>
      <c r="F1577" s="131"/>
    </row>
    <row r="1578" spans="5:6">
      <c r="E1578" s="135"/>
      <c r="F1578" s="131"/>
    </row>
    <row r="1579" spans="5:6">
      <c r="E1579" s="135"/>
      <c r="F1579" s="131"/>
    </row>
    <row r="1580" spans="5:6">
      <c r="E1580" s="135"/>
      <c r="F1580" s="131"/>
    </row>
    <row r="1581" spans="5:6">
      <c r="E1581" s="135"/>
      <c r="F1581" s="131"/>
    </row>
    <row r="1582" spans="5:6">
      <c r="E1582" s="135"/>
      <c r="F1582" s="131"/>
    </row>
    <row r="1583" spans="5:6">
      <c r="E1583" s="135"/>
      <c r="F1583" s="131"/>
    </row>
    <row r="1584" spans="5:6">
      <c r="E1584" s="135"/>
      <c r="F1584" s="131"/>
    </row>
    <row r="1585" spans="5:6">
      <c r="E1585" s="135"/>
      <c r="F1585" s="131"/>
    </row>
    <row r="1586" spans="5:6">
      <c r="E1586" s="135"/>
      <c r="F1586" s="131"/>
    </row>
    <row r="1587" spans="5:6">
      <c r="E1587" s="135"/>
      <c r="F1587" s="131"/>
    </row>
    <row r="1588" spans="5:6">
      <c r="E1588" s="135"/>
      <c r="F1588" s="131"/>
    </row>
    <row r="1589" spans="5:6">
      <c r="E1589" s="135"/>
      <c r="F1589" s="131"/>
    </row>
    <row r="1590" spans="5:6">
      <c r="E1590" s="135"/>
      <c r="F1590" s="131"/>
    </row>
    <row r="1591" spans="5:6">
      <c r="E1591" s="135"/>
      <c r="F1591" s="131"/>
    </row>
    <row r="1592" spans="5:6">
      <c r="E1592" s="135"/>
      <c r="F1592" s="131"/>
    </row>
    <row r="1593" spans="5:6">
      <c r="E1593" s="135"/>
      <c r="F1593" s="131"/>
    </row>
    <row r="1594" spans="5:6">
      <c r="E1594" s="135"/>
      <c r="F1594" s="131"/>
    </row>
    <row r="1595" spans="5:6">
      <c r="E1595" s="135"/>
      <c r="F1595" s="131"/>
    </row>
    <row r="1596" spans="5:6">
      <c r="E1596" s="135"/>
      <c r="F1596" s="131"/>
    </row>
    <row r="1597" spans="5:6">
      <c r="E1597" s="135"/>
      <c r="F1597" s="131"/>
    </row>
    <row r="1598" spans="5:6">
      <c r="E1598" s="135"/>
      <c r="F1598" s="131"/>
    </row>
    <row r="1599" spans="5:6">
      <c r="E1599" s="135"/>
      <c r="F1599" s="131"/>
    </row>
    <row r="1600" spans="5:6">
      <c r="E1600" s="135"/>
      <c r="F1600" s="131"/>
    </row>
    <row r="1601" spans="5:6">
      <c r="E1601" s="135"/>
      <c r="F1601" s="131"/>
    </row>
    <row r="1602" spans="5:6">
      <c r="E1602" s="135"/>
      <c r="F1602" s="131"/>
    </row>
    <row r="1603" spans="5:6">
      <c r="E1603" s="135"/>
      <c r="F1603" s="131"/>
    </row>
    <row r="1604" spans="5:6">
      <c r="E1604" s="135"/>
      <c r="F1604" s="131"/>
    </row>
    <row r="1605" spans="5:6">
      <c r="E1605" s="135"/>
      <c r="F1605" s="131"/>
    </row>
    <row r="1606" spans="5:6">
      <c r="E1606" s="135"/>
      <c r="F1606" s="131"/>
    </row>
    <row r="1607" spans="5:6">
      <c r="E1607" s="135"/>
      <c r="F1607" s="131"/>
    </row>
    <row r="1608" spans="5:6">
      <c r="E1608" s="135"/>
      <c r="F1608" s="131"/>
    </row>
    <row r="1609" spans="5:6">
      <c r="E1609" s="135"/>
      <c r="F1609" s="131"/>
    </row>
    <row r="1610" spans="5:6">
      <c r="E1610" s="135"/>
      <c r="F1610" s="131"/>
    </row>
    <row r="1611" spans="5:6">
      <c r="E1611" s="135"/>
      <c r="F1611" s="131"/>
    </row>
    <row r="1612" spans="5:6">
      <c r="E1612" s="135"/>
      <c r="F1612" s="131"/>
    </row>
    <row r="1613" spans="5:6">
      <c r="E1613" s="135"/>
      <c r="F1613" s="131"/>
    </row>
    <row r="1614" spans="5:6">
      <c r="E1614" s="135"/>
      <c r="F1614" s="131"/>
    </row>
    <row r="1615" spans="5:6">
      <c r="E1615" s="135"/>
      <c r="F1615" s="131"/>
    </row>
    <row r="1616" spans="5:6">
      <c r="E1616" s="135"/>
      <c r="F1616" s="131"/>
    </row>
    <row r="1617" spans="5:6">
      <c r="E1617" s="135"/>
      <c r="F1617" s="131"/>
    </row>
    <row r="1618" spans="5:6">
      <c r="E1618" s="135"/>
      <c r="F1618" s="131"/>
    </row>
    <row r="1619" spans="5:6">
      <c r="E1619" s="135"/>
      <c r="F1619" s="131"/>
    </row>
    <row r="1620" spans="5:6">
      <c r="E1620" s="135"/>
      <c r="F1620" s="131"/>
    </row>
    <row r="1621" spans="5:6">
      <c r="E1621" s="135"/>
      <c r="F1621" s="131"/>
    </row>
    <row r="1622" spans="5:6">
      <c r="E1622" s="135"/>
      <c r="F1622" s="131"/>
    </row>
    <row r="1623" spans="5:6">
      <c r="E1623" s="135"/>
      <c r="F1623" s="131"/>
    </row>
    <row r="1624" spans="5:6">
      <c r="E1624" s="135"/>
      <c r="F1624" s="131"/>
    </row>
    <row r="1625" spans="5:6">
      <c r="E1625" s="135"/>
      <c r="F1625" s="131"/>
    </row>
    <row r="1626" spans="5:6">
      <c r="E1626" s="135"/>
      <c r="F1626" s="131"/>
    </row>
    <row r="1627" spans="5:6">
      <c r="E1627" s="135"/>
      <c r="F1627" s="131"/>
    </row>
    <row r="1628" spans="5:6">
      <c r="E1628" s="135"/>
      <c r="F1628" s="131"/>
    </row>
    <row r="1629" spans="5:6">
      <c r="E1629" s="135"/>
      <c r="F1629" s="131"/>
    </row>
    <row r="1630" spans="5:6">
      <c r="E1630" s="135"/>
      <c r="F1630" s="131"/>
    </row>
    <row r="1631" spans="5:6">
      <c r="E1631" s="135"/>
      <c r="F1631" s="131"/>
    </row>
    <row r="1632" spans="5:6">
      <c r="E1632" s="135"/>
      <c r="F1632" s="131"/>
    </row>
    <row r="1633" spans="5:6">
      <c r="E1633" s="135"/>
      <c r="F1633" s="131"/>
    </row>
    <row r="1634" spans="5:6">
      <c r="E1634" s="135"/>
      <c r="F1634" s="131"/>
    </row>
    <row r="1635" spans="5:6">
      <c r="E1635" s="135"/>
      <c r="F1635" s="131"/>
    </row>
    <row r="1636" spans="5:6">
      <c r="E1636" s="135"/>
      <c r="F1636" s="131"/>
    </row>
    <row r="1637" spans="5:6">
      <c r="E1637" s="135"/>
      <c r="F1637" s="131"/>
    </row>
    <row r="1638" spans="5:6">
      <c r="E1638" s="135"/>
      <c r="F1638" s="131"/>
    </row>
    <row r="1639" spans="5:6">
      <c r="E1639" s="135"/>
      <c r="F1639" s="131"/>
    </row>
    <row r="1640" spans="5:6">
      <c r="E1640" s="135"/>
      <c r="F1640" s="131"/>
    </row>
    <row r="1641" spans="5:6">
      <c r="E1641" s="135"/>
      <c r="F1641" s="131"/>
    </row>
    <row r="1642" spans="5:6">
      <c r="E1642" s="135"/>
      <c r="F1642" s="131"/>
    </row>
    <row r="1643" spans="5:6">
      <c r="E1643" s="135"/>
      <c r="F1643" s="131"/>
    </row>
    <row r="1644" spans="5:6">
      <c r="E1644" s="135"/>
      <c r="F1644" s="131"/>
    </row>
    <row r="1645" spans="5:6">
      <c r="E1645" s="135"/>
      <c r="F1645" s="131"/>
    </row>
    <row r="1646" spans="5:6">
      <c r="E1646" s="135"/>
      <c r="F1646" s="131"/>
    </row>
    <row r="1647" spans="5:6">
      <c r="E1647" s="135"/>
      <c r="F1647" s="131"/>
    </row>
    <row r="1648" spans="5:6">
      <c r="E1648" s="135"/>
      <c r="F1648" s="131"/>
    </row>
    <row r="1649" spans="5:6">
      <c r="E1649" s="135"/>
      <c r="F1649" s="131"/>
    </row>
    <row r="1650" spans="5:6">
      <c r="E1650" s="135"/>
      <c r="F1650" s="131"/>
    </row>
    <row r="1651" spans="5:6">
      <c r="E1651" s="135"/>
      <c r="F1651" s="131"/>
    </row>
    <row r="1652" spans="5:6">
      <c r="E1652" s="135"/>
      <c r="F1652" s="131"/>
    </row>
    <row r="1653" spans="5:6">
      <c r="E1653" s="135"/>
      <c r="F1653" s="131"/>
    </row>
    <row r="1654" spans="5:6">
      <c r="E1654" s="135"/>
      <c r="F1654" s="131"/>
    </row>
    <row r="1655" spans="5:6">
      <c r="E1655" s="135"/>
      <c r="F1655" s="131"/>
    </row>
    <row r="1656" spans="5:6">
      <c r="E1656" s="135"/>
      <c r="F1656" s="131"/>
    </row>
    <row r="1657" spans="5:6">
      <c r="E1657" s="135"/>
      <c r="F1657" s="131"/>
    </row>
    <row r="1658" spans="5:6">
      <c r="E1658" s="135"/>
      <c r="F1658" s="131"/>
    </row>
    <row r="1659" spans="5:6">
      <c r="E1659" s="135"/>
      <c r="F1659" s="131"/>
    </row>
    <row r="1660" spans="5:6">
      <c r="E1660" s="135"/>
      <c r="F1660" s="131"/>
    </row>
    <row r="1661" spans="5:6">
      <c r="E1661" s="135"/>
      <c r="F1661" s="131"/>
    </row>
    <row r="1662" spans="5:6">
      <c r="E1662" s="135"/>
      <c r="F1662" s="131"/>
    </row>
    <row r="1663" spans="5:6">
      <c r="E1663" s="135"/>
      <c r="F1663" s="131"/>
    </row>
    <row r="1664" spans="5:6">
      <c r="E1664" s="135"/>
      <c r="F1664" s="131"/>
    </row>
    <row r="1665" spans="5:6">
      <c r="E1665" s="135"/>
      <c r="F1665" s="131"/>
    </row>
    <row r="1666" spans="5:6">
      <c r="E1666" s="135"/>
      <c r="F1666" s="131"/>
    </row>
    <row r="1667" spans="5:6">
      <c r="E1667" s="135"/>
      <c r="F1667" s="131"/>
    </row>
    <row r="1668" spans="5:6">
      <c r="E1668" s="135"/>
      <c r="F1668" s="131"/>
    </row>
    <row r="1669" spans="5:6">
      <c r="E1669" s="135"/>
      <c r="F1669" s="131"/>
    </row>
    <row r="1670" spans="5:6">
      <c r="E1670" s="135"/>
      <c r="F1670" s="131"/>
    </row>
    <row r="1671" spans="5:6">
      <c r="E1671" s="135"/>
      <c r="F1671" s="131"/>
    </row>
    <row r="1672" spans="5:6">
      <c r="E1672" s="135"/>
      <c r="F1672" s="131"/>
    </row>
    <row r="1673" spans="5:6">
      <c r="E1673" s="135"/>
      <c r="F1673" s="131"/>
    </row>
    <row r="1674" spans="5:6">
      <c r="E1674" s="135"/>
      <c r="F1674" s="131"/>
    </row>
    <row r="1675" spans="5:6">
      <c r="E1675" s="135"/>
      <c r="F1675" s="131"/>
    </row>
    <row r="1676" spans="5:6">
      <c r="E1676" s="135"/>
      <c r="F1676" s="131"/>
    </row>
    <row r="1677" spans="5:6">
      <c r="E1677" s="135"/>
      <c r="F1677" s="131"/>
    </row>
    <row r="1678" spans="5:6">
      <c r="E1678" s="135"/>
      <c r="F1678" s="131"/>
    </row>
    <row r="1679" spans="5:6">
      <c r="E1679" s="135"/>
      <c r="F1679" s="131"/>
    </row>
    <row r="1680" spans="5:6">
      <c r="E1680" s="135"/>
      <c r="F1680" s="131"/>
    </row>
    <row r="1681" spans="5:6">
      <c r="E1681" s="135"/>
      <c r="F1681" s="131"/>
    </row>
    <row r="1682" spans="5:6">
      <c r="E1682" s="135"/>
      <c r="F1682" s="131"/>
    </row>
    <row r="1683" spans="5:6">
      <c r="E1683" s="135"/>
      <c r="F1683" s="131"/>
    </row>
    <row r="1684" spans="5:6">
      <c r="E1684" s="135"/>
      <c r="F1684" s="131"/>
    </row>
    <row r="1685" spans="5:6">
      <c r="E1685" s="135"/>
      <c r="F1685" s="131"/>
    </row>
    <row r="1686" spans="5:6">
      <c r="E1686" s="135"/>
      <c r="F1686" s="131"/>
    </row>
    <row r="1687" spans="5:6">
      <c r="E1687" s="135"/>
      <c r="F1687" s="131"/>
    </row>
    <row r="1688" spans="5:6">
      <c r="E1688" s="135"/>
      <c r="F1688" s="131"/>
    </row>
    <row r="1689" spans="5:6">
      <c r="E1689" s="135"/>
      <c r="F1689" s="131"/>
    </row>
    <row r="1690" spans="5:6">
      <c r="E1690" s="135"/>
      <c r="F1690" s="131"/>
    </row>
    <row r="1691" spans="5:6">
      <c r="E1691" s="135"/>
      <c r="F1691" s="131"/>
    </row>
    <row r="1692" spans="5:6">
      <c r="E1692" s="135"/>
      <c r="F1692" s="131"/>
    </row>
    <row r="1693" spans="5:6">
      <c r="E1693" s="135"/>
      <c r="F1693" s="131"/>
    </row>
    <row r="1694" spans="5:6">
      <c r="E1694" s="135"/>
      <c r="F1694" s="131"/>
    </row>
    <row r="1695" spans="5:6">
      <c r="E1695" s="135"/>
      <c r="F1695" s="131"/>
    </row>
    <row r="1696" spans="5:6">
      <c r="E1696" s="135"/>
      <c r="F1696" s="131"/>
    </row>
    <row r="1697" spans="5:6">
      <c r="E1697" s="135"/>
      <c r="F1697" s="131"/>
    </row>
    <row r="1698" spans="5:6">
      <c r="E1698" s="135"/>
      <c r="F1698" s="131"/>
    </row>
    <row r="1699" spans="5:6">
      <c r="E1699" s="135"/>
      <c r="F1699" s="131"/>
    </row>
    <row r="1700" spans="5:6">
      <c r="E1700" s="135"/>
      <c r="F1700" s="131"/>
    </row>
    <row r="1701" spans="5:6">
      <c r="E1701" s="135"/>
      <c r="F1701" s="131"/>
    </row>
    <row r="1702" spans="5:6">
      <c r="E1702" s="135"/>
      <c r="F1702" s="131"/>
    </row>
    <row r="1703" spans="5:6">
      <c r="E1703" s="135"/>
      <c r="F1703" s="131"/>
    </row>
    <row r="1704" spans="5:6">
      <c r="E1704" s="135"/>
      <c r="F1704" s="131"/>
    </row>
    <row r="1705" spans="5:6">
      <c r="E1705" s="135"/>
      <c r="F1705" s="131"/>
    </row>
    <row r="1706" spans="5:6">
      <c r="E1706" s="135"/>
      <c r="F1706" s="131"/>
    </row>
    <row r="1707" spans="5:6">
      <c r="E1707" s="135"/>
      <c r="F1707" s="131"/>
    </row>
    <row r="1708" spans="5:6">
      <c r="E1708" s="135"/>
      <c r="F1708" s="131"/>
    </row>
    <row r="1709" spans="5:6">
      <c r="E1709" s="135"/>
      <c r="F1709" s="131"/>
    </row>
    <row r="1710" spans="5:6">
      <c r="E1710" s="135"/>
      <c r="F1710" s="131"/>
    </row>
    <row r="1711" spans="5:6">
      <c r="E1711" s="135"/>
      <c r="F1711" s="131"/>
    </row>
    <row r="1712" spans="5:6">
      <c r="E1712" s="135"/>
      <c r="F1712" s="131"/>
    </row>
    <row r="1713" spans="5:6">
      <c r="E1713" s="135"/>
      <c r="F1713" s="131"/>
    </row>
    <row r="1714" spans="5:6">
      <c r="E1714" s="135"/>
      <c r="F1714" s="131"/>
    </row>
    <row r="1715" spans="5:6">
      <c r="E1715" s="135"/>
      <c r="F1715" s="131"/>
    </row>
    <row r="1716" spans="5:6">
      <c r="E1716" s="135"/>
      <c r="F1716" s="131"/>
    </row>
    <row r="1717" spans="5:6">
      <c r="E1717" s="135"/>
      <c r="F1717" s="131"/>
    </row>
    <row r="1718" spans="5:6">
      <c r="E1718" s="135"/>
      <c r="F1718" s="131"/>
    </row>
    <row r="1719" spans="5:6">
      <c r="E1719" s="135"/>
      <c r="F1719" s="131"/>
    </row>
    <row r="1720" spans="5:6">
      <c r="E1720" s="135"/>
      <c r="F1720" s="131"/>
    </row>
    <row r="1721" spans="5:6">
      <c r="E1721" s="135"/>
      <c r="F1721" s="131"/>
    </row>
    <row r="1722" spans="5:6">
      <c r="E1722" s="135"/>
      <c r="F1722" s="131"/>
    </row>
    <row r="1723" spans="5:6">
      <c r="E1723" s="135"/>
      <c r="F1723" s="131"/>
    </row>
    <row r="1724" spans="5:6">
      <c r="E1724" s="135"/>
      <c r="F1724" s="131"/>
    </row>
    <row r="1725" spans="5:6">
      <c r="E1725" s="135"/>
      <c r="F1725" s="131"/>
    </row>
    <row r="1726" spans="5:6">
      <c r="E1726" s="135"/>
      <c r="F1726" s="131"/>
    </row>
    <row r="1727" spans="5:6">
      <c r="E1727" s="135"/>
      <c r="F1727" s="131"/>
    </row>
    <row r="1728" spans="5:6">
      <c r="E1728" s="135"/>
      <c r="F1728" s="131"/>
    </row>
    <row r="1729" spans="5:6">
      <c r="E1729" s="135"/>
      <c r="F1729" s="131"/>
    </row>
    <row r="1730" spans="5:6">
      <c r="E1730" s="135"/>
      <c r="F1730" s="131"/>
    </row>
    <row r="1731" spans="5:6">
      <c r="E1731" s="135"/>
      <c r="F1731" s="131"/>
    </row>
    <row r="1732" spans="5:6">
      <c r="E1732" s="135"/>
      <c r="F1732" s="131"/>
    </row>
    <row r="1733" spans="5:6">
      <c r="E1733" s="135"/>
      <c r="F1733" s="131"/>
    </row>
    <row r="1734" spans="5:6">
      <c r="E1734" s="135"/>
      <c r="F1734" s="131"/>
    </row>
    <row r="1735" spans="5:6">
      <c r="E1735" s="135"/>
      <c r="F1735" s="131"/>
    </row>
    <row r="1736" spans="5:6">
      <c r="E1736" s="135"/>
      <c r="F1736" s="131"/>
    </row>
    <row r="1737" spans="5:6">
      <c r="E1737" s="135"/>
      <c r="F1737" s="131"/>
    </row>
    <row r="1738" spans="5:6">
      <c r="E1738" s="135"/>
      <c r="F1738" s="131"/>
    </row>
    <row r="1739" spans="5:6">
      <c r="E1739" s="135"/>
      <c r="F1739" s="131"/>
    </row>
    <row r="1740" spans="5:6">
      <c r="E1740" s="135"/>
      <c r="F1740" s="131"/>
    </row>
    <row r="1741" spans="5:6">
      <c r="E1741" s="135"/>
      <c r="F1741" s="131"/>
    </row>
    <row r="1742" spans="5:6">
      <c r="E1742" s="135"/>
      <c r="F1742" s="131"/>
    </row>
    <row r="1743" spans="5:6">
      <c r="E1743" s="135"/>
      <c r="F1743" s="131"/>
    </row>
    <row r="1744" spans="5:6">
      <c r="E1744" s="135"/>
      <c r="F1744" s="131"/>
    </row>
    <row r="1745" spans="5:6">
      <c r="E1745" s="135"/>
      <c r="F1745" s="131"/>
    </row>
    <row r="1746" spans="5:6">
      <c r="E1746" s="135"/>
      <c r="F1746" s="131"/>
    </row>
    <row r="1747" spans="5:6">
      <c r="E1747" s="135"/>
      <c r="F1747" s="131"/>
    </row>
    <row r="1748" spans="5:6">
      <c r="E1748" s="135"/>
      <c r="F1748" s="131"/>
    </row>
    <row r="1749" spans="5:6">
      <c r="E1749" s="135"/>
      <c r="F1749" s="131"/>
    </row>
    <row r="1750" spans="5:6">
      <c r="E1750" s="135"/>
      <c r="F1750" s="131"/>
    </row>
    <row r="1751" spans="5:6">
      <c r="E1751" s="135"/>
      <c r="F1751" s="131"/>
    </row>
    <row r="1752" spans="5:6">
      <c r="E1752" s="135"/>
      <c r="F1752" s="131"/>
    </row>
    <row r="1753" spans="5:6">
      <c r="E1753" s="135"/>
      <c r="F1753" s="131"/>
    </row>
    <row r="1754" spans="5:6">
      <c r="E1754" s="135"/>
      <c r="F1754" s="131"/>
    </row>
    <row r="1755" spans="5:6">
      <c r="E1755" s="135"/>
      <c r="F1755" s="131"/>
    </row>
    <row r="1756" spans="5:6">
      <c r="E1756" s="135"/>
      <c r="F1756" s="131"/>
    </row>
    <row r="1757" spans="5:6">
      <c r="E1757" s="135"/>
      <c r="F1757" s="131"/>
    </row>
    <row r="1758" spans="5:6">
      <c r="E1758" s="135"/>
      <c r="F1758" s="131"/>
    </row>
    <row r="1759" spans="5:6">
      <c r="E1759" s="135"/>
      <c r="F1759" s="131"/>
    </row>
    <row r="1760" spans="5:6">
      <c r="E1760" s="135"/>
      <c r="F1760" s="131"/>
    </row>
    <row r="1761" spans="5:6">
      <c r="E1761" s="135"/>
      <c r="F1761" s="131"/>
    </row>
    <row r="1762" spans="5:6">
      <c r="E1762" s="135"/>
      <c r="F1762" s="131"/>
    </row>
    <row r="1763" spans="5:6">
      <c r="E1763" s="135"/>
      <c r="F1763" s="131"/>
    </row>
    <row r="1764" spans="5:6">
      <c r="E1764" s="135"/>
      <c r="F1764" s="131"/>
    </row>
    <row r="1765" spans="5:6">
      <c r="E1765" s="135"/>
      <c r="F1765" s="131"/>
    </row>
    <row r="1766" spans="5:6">
      <c r="E1766" s="135"/>
      <c r="F1766" s="131"/>
    </row>
    <row r="1767" spans="5:6">
      <c r="E1767" s="135"/>
      <c r="F1767" s="131"/>
    </row>
    <row r="1768" spans="5:6">
      <c r="E1768" s="135"/>
      <c r="F1768" s="131"/>
    </row>
    <row r="1769" spans="5:6">
      <c r="E1769" s="135"/>
      <c r="F1769" s="131"/>
    </row>
    <row r="1770" spans="5:6">
      <c r="E1770" s="135"/>
      <c r="F1770" s="131"/>
    </row>
    <row r="1771" spans="5:6">
      <c r="E1771" s="135"/>
      <c r="F1771" s="131"/>
    </row>
    <row r="1772" spans="5:6">
      <c r="E1772" s="135"/>
      <c r="F1772" s="131"/>
    </row>
    <row r="1773" spans="5:6">
      <c r="E1773" s="135"/>
      <c r="F1773" s="131"/>
    </row>
    <row r="1774" spans="5:6">
      <c r="E1774" s="135"/>
      <c r="F1774" s="131"/>
    </row>
    <row r="1775" spans="5:6">
      <c r="E1775" s="135"/>
      <c r="F1775" s="131"/>
    </row>
    <row r="1776" spans="5:6">
      <c r="E1776" s="135"/>
      <c r="F1776" s="131"/>
    </row>
    <row r="1777" spans="5:6">
      <c r="E1777" s="135"/>
      <c r="F1777" s="131"/>
    </row>
    <row r="1778" spans="5:6">
      <c r="E1778" s="135"/>
      <c r="F1778" s="131"/>
    </row>
    <row r="1779" spans="5:6">
      <c r="E1779" s="135"/>
      <c r="F1779" s="131"/>
    </row>
    <row r="1780" spans="5:6">
      <c r="E1780" s="135"/>
      <c r="F1780" s="131"/>
    </row>
    <row r="1781" spans="5:6">
      <c r="E1781" s="135"/>
      <c r="F1781" s="131"/>
    </row>
    <row r="1782" spans="5:6">
      <c r="E1782" s="135"/>
      <c r="F1782" s="131"/>
    </row>
    <row r="1783" spans="5:6">
      <c r="E1783" s="135"/>
      <c r="F1783" s="131"/>
    </row>
    <row r="1784" spans="5:6">
      <c r="E1784" s="135"/>
      <c r="F1784" s="131"/>
    </row>
    <row r="1785" spans="5:6">
      <c r="E1785" s="135"/>
      <c r="F1785" s="131"/>
    </row>
    <row r="1786" spans="5:6">
      <c r="E1786" s="135"/>
      <c r="F1786" s="131"/>
    </row>
    <row r="1787" spans="5:6">
      <c r="E1787" s="135"/>
      <c r="F1787" s="131"/>
    </row>
    <row r="1788" spans="5:6">
      <c r="E1788" s="135"/>
      <c r="F1788" s="131"/>
    </row>
    <row r="1789" spans="5:6">
      <c r="E1789" s="135"/>
      <c r="F1789" s="131"/>
    </row>
    <row r="1790" spans="5:6">
      <c r="E1790" s="135"/>
      <c r="F1790" s="131"/>
    </row>
    <row r="1791" spans="5:6">
      <c r="E1791" s="135"/>
      <c r="F1791" s="131"/>
    </row>
    <row r="1792" spans="5:6">
      <c r="E1792" s="135"/>
      <c r="F1792" s="131"/>
    </row>
    <row r="1793" spans="5:6">
      <c r="E1793" s="135"/>
      <c r="F1793" s="131"/>
    </row>
    <row r="1794" spans="5:6">
      <c r="E1794" s="135"/>
      <c r="F1794" s="131"/>
    </row>
    <row r="1795" spans="5:6">
      <c r="E1795" s="135"/>
      <c r="F1795" s="131"/>
    </row>
    <row r="1796" spans="5:6">
      <c r="E1796" s="135"/>
      <c r="F1796" s="131"/>
    </row>
    <row r="1797" spans="5:6">
      <c r="E1797" s="135"/>
      <c r="F1797" s="131"/>
    </row>
    <row r="1798" spans="5:6">
      <c r="E1798" s="135"/>
      <c r="F1798" s="131"/>
    </row>
    <row r="1799" spans="5:6">
      <c r="E1799" s="135"/>
      <c r="F1799" s="131"/>
    </row>
    <row r="1800" spans="5:6">
      <c r="E1800" s="135"/>
      <c r="F1800" s="131"/>
    </row>
    <row r="1801" spans="5:6">
      <c r="E1801" s="135"/>
      <c r="F1801" s="131"/>
    </row>
    <row r="1802" spans="5:6">
      <c r="E1802" s="135"/>
      <c r="F1802" s="131"/>
    </row>
    <row r="1803" spans="5:6">
      <c r="E1803" s="135"/>
      <c r="F1803" s="131"/>
    </row>
    <row r="1804" spans="5:6">
      <c r="E1804" s="135"/>
      <c r="F1804" s="131"/>
    </row>
    <row r="1805" spans="5:6">
      <c r="E1805" s="135"/>
      <c r="F1805" s="131"/>
    </row>
    <row r="1806" spans="5:6">
      <c r="E1806" s="135"/>
      <c r="F1806" s="131"/>
    </row>
    <row r="1807" spans="5:6">
      <c r="E1807" s="135"/>
      <c r="F1807" s="131"/>
    </row>
    <row r="1808" spans="5:6">
      <c r="E1808" s="135"/>
      <c r="F1808" s="131"/>
    </row>
    <row r="1809" spans="5:6">
      <c r="E1809" s="135"/>
      <c r="F1809" s="131"/>
    </row>
    <row r="1810" spans="5:6">
      <c r="E1810" s="135"/>
      <c r="F1810" s="131"/>
    </row>
    <row r="1811" spans="5:6">
      <c r="E1811" s="135"/>
      <c r="F1811" s="131"/>
    </row>
    <row r="1812" spans="5:6">
      <c r="E1812" s="135"/>
      <c r="F1812" s="131"/>
    </row>
    <row r="1813" spans="5:6">
      <c r="E1813" s="135"/>
      <c r="F1813" s="131"/>
    </row>
    <row r="1814" spans="5:6">
      <c r="E1814" s="135"/>
      <c r="F1814" s="131"/>
    </row>
    <row r="1815" spans="5:6">
      <c r="E1815" s="135"/>
      <c r="F1815" s="131"/>
    </row>
    <row r="1816" spans="5:6">
      <c r="E1816" s="135"/>
      <c r="F1816" s="131"/>
    </row>
    <row r="1817" spans="5:6">
      <c r="E1817" s="135"/>
      <c r="F1817" s="131"/>
    </row>
    <row r="1818" spans="5:6">
      <c r="E1818" s="135"/>
      <c r="F1818" s="131"/>
    </row>
    <row r="1819" spans="5:6">
      <c r="E1819" s="135"/>
      <c r="F1819" s="131"/>
    </row>
    <row r="1820" spans="5:6">
      <c r="E1820" s="135"/>
      <c r="F1820" s="131"/>
    </row>
    <row r="1821" spans="5:6">
      <c r="E1821" s="135"/>
      <c r="F1821" s="131"/>
    </row>
    <row r="1822" spans="5:6">
      <c r="E1822" s="135"/>
      <c r="F1822" s="131"/>
    </row>
    <row r="1823" spans="5:6">
      <c r="E1823" s="135"/>
      <c r="F1823" s="131"/>
    </row>
    <row r="1824" spans="5:6">
      <c r="E1824" s="135"/>
      <c r="F1824" s="131"/>
    </row>
    <row r="1825" spans="5:6">
      <c r="E1825" s="135"/>
      <c r="F1825" s="131"/>
    </row>
    <row r="1826" spans="5:6">
      <c r="E1826" s="135"/>
      <c r="F1826" s="131"/>
    </row>
    <row r="1827" spans="5:6">
      <c r="E1827" s="135"/>
      <c r="F1827" s="131"/>
    </row>
    <row r="1828" spans="5:6">
      <c r="E1828" s="135"/>
      <c r="F1828" s="131"/>
    </row>
    <row r="1829" spans="5:6">
      <c r="E1829" s="135"/>
      <c r="F1829" s="131"/>
    </row>
    <row r="1830" spans="5:6">
      <c r="E1830" s="135"/>
      <c r="F1830" s="131"/>
    </row>
    <row r="1831" spans="5:6">
      <c r="E1831" s="135"/>
      <c r="F1831" s="131"/>
    </row>
    <row r="1832" spans="5:6">
      <c r="E1832" s="135"/>
      <c r="F1832" s="131"/>
    </row>
    <row r="1833" spans="5:6">
      <c r="E1833" s="135"/>
      <c r="F1833" s="131"/>
    </row>
    <row r="1834" spans="5:6">
      <c r="E1834" s="135"/>
      <c r="F1834" s="131"/>
    </row>
    <row r="1835" spans="5:6">
      <c r="E1835" s="135"/>
      <c r="F1835" s="131"/>
    </row>
    <row r="1836" spans="5:6">
      <c r="E1836" s="135"/>
      <c r="F1836" s="131"/>
    </row>
    <row r="1837" spans="5:6">
      <c r="E1837" s="135"/>
      <c r="F1837" s="131"/>
    </row>
    <row r="1838" spans="5:6">
      <c r="E1838" s="135"/>
      <c r="F1838" s="131"/>
    </row>
    <row r="1839" spans="5:6">
      <c r="E1839" s="135"/>
      <c r="F1839" s="131"/>
    </row>
    <row r="1840" spans="5:6">
      <c r="E1840" s="135"/>
      <c r="F1840" s="131"/>
    </row>
    <row r="1841" spans="5:6">
      <c r="E1841" s="135"/>
      <c r="F1841" s="131"/>
    </row>
    <row r="1842" spans="5:6">
      <c r="E1842" s="135"/>
      <c r="F1842" s="131"/>
    </row>
    <row r="1843" spans="5:6">
      <c r="E1843" s="135"/>
      <c r="F1843" s="131"/>
    </row>
    <row r="1844" spans="5:6">
      <c r="E1844" s="135"/>
      <c r="F1844" s="131"/>
    </row>
    <row r="1845" spans="5:6">
      <c r="E1845" s="135"/>
      <c r="F1845" s="131"/>
    </row>
    <row r="1846" spans="5:6">
      <c r="E1846" s="135"/>
      <c r="F1846" s="131"/>
    </row>
    <row r="1847" spans="5:6">
      <c r="E1847" s="135"/>
      <c r="F1847" s="131"/>
    </row>
    <row r="1848" spans="5:6">
      <c r="E1848" s="135"/>
      <c r="F1848" s="131"/>
    </row>
    <row r="1849" spans="5:6">
      <c r="E1849" s="135"/>
      <c r="F1849" s="131"/>
    </row>
    <row r="1850" spans="5:6">
      <c r="E1850" s="135"/>
      <c r="F1850" s="131"/>
    </row>
    <row r="1851" spans="5:6">
      <c r="E1851" s="135"/>
      <c r="F1851" s="131"/>
    </row>
    <row r="1852" spans="5:6">
      <c r="E1852" s="135"/>
      <c r="F1852" s="131"/>
    </row>
    <row r="1853" spans="5:6">
      <c r="E1853" s="135"/>
      <c r="F1853" s="131"/>
    </row>
    <row r="1854" spans="5:6">
      <c r="E1854" s="135"/>
      <c r="F1854" s="131"/>
    </row>
    <row r="1855" spans="5:6">
      <c r="E1855" s="135"/>
      <c r="F1855" s="131"/>
    </row>
    <row r="1856" spans="5:6">
      <c r="E1856" s="135"/>
      <c r="F1856" s="131"/>
    </row>
    <row r="1857" spans="5:6">
      <c r="E1857" s="135"/>
      <c r="F1857" s="131"/>
    </row>
    <row r="1858" spans="5:6">
      <c r="E1858" s="135"/>
      <c r="F1858" s="131"/>
    </row>
    <row r="1859" spans="5:6">
      <c r="E1859" s="135"/>
      <c r="F1859" s="131"/>
    </row>
    <row r="1860" spans="5:6">
      <c r="E1860" s="135"/>
      <c r="F1860" s="131"/>
    </row>
    <row r="1861" spans="5:6">
      <c r="E1861" s="135"/>
      <c r="F1861" s="131"/>
    </row>
    <row r="1862" spans="5:6">
      <c r="E1862" s="135"/>
      <c r="F1862" s="131"/>
    </row>
    <row r="1863" spans="5:6">
      <c r="E1863" s="135"/>
      <c r="F1863" s="131"/>
    </row>
    <row r="1864" spans="5:6">
      <c r="E1864" s="135"/>
      <c r="F1864" s="131"/>
    </row>
    <row r="1865" spans="5:6">
      <c r="E1865" s="135"/>
      <c r="F1865" s="131"/>
    </row>
    <row r="1866" spans="5:6">
      <c r="E1866" s="135"/>
      <c r="F1866" s="131"/>
    </row>
    <row r="1867" spans="5:6">
      <c r="E1867" s="135"/>
      <c r="F1867" s="131"/>
    </row>
    <row r="1868" spans="5:6">
      <c r="E1868" s="135"/>
      <c r="F1868" s="131"/>
    </row>
    <row r="1869" spans="5:6">
      <c r="E1869" s="135"/>
      <c r="F1869" s="131"/>
    </row>
    <row r="1870" spans="5:6">
      <c r="E1870" s="135"/>
      <c r="F1870" s="131"/>
    </row>
    <row r="1871" spans="5:6">
      <c r="E1871" s="135"/>
      <c r="F1871" s="131"/>
    </row>
    <row r="1872" spans="5:6">
      <c r="E1872" s="135"/>
      <c r="F1872" s="131"/>
    </row>
    <row r="1873" spans="5:6">
      <c r="E1873" s="135"/>
      <c r="F1873" s="131"/>
    </row>
    <row r="1874" spans="5:6">
      <c r="E1874" s="135"/>
      <c r="F1874" s="131"/>
    </row>
    <row r="1875" spans="5:6">
      <c r="E1875" s="135"/>
      <c r="F1875" s="131"/>
    </row>
    <row r="1876" spans="5:6">
      <c r="E1876" s="135"/>
      <c r="F1876" s="131"/>
    </row>
    <row r="1877" spans="5:6">
      <c r="E1877" s="135"/>
      <c r="F1877" s="131"/>
    </row>
    <row r="1878" spans="5:6">
      <c r="E1878" s="135"/>
      <c r="F1878" s="131"/>
    </row>
    <row r="1879" spans="5:6">
      <c r="E1879" s="135"/>
      <c r="F1879" s="131"/>
    </row>
    <row r="1880" spans="5:6">
      <c r="E1880" s="135"/>
      <c r="F1880" s="131"/>
    </row>
    <row r="1881" spans="5:6">
      <c r="E1881" s="135"/>
      <c r="F1881" s="131"/>
    </row>
    <row r="1882" spans="5:6">
      <c r="E1882" s="135"/>
      <c r="F1882" s="131"/>
    </row>
    <row r="1883" spans="5:6">
      <c r="E1883" s="135"/>
      <c r="F1883" s="131"/>
    </row>
    <row r="1884" spans="5:6">
      <c r="E1884" s="135"/>
      <c r="F1884" s="131"/>
    </row>
    <row r="1885" spans="5:6">
      <c r="E1885" s="135"/>
      <c r="F1885" s="131"/>
    </row>
    <row r="1886" spans="5:6">
      <c r="E1886" s="135"/>
      <c r="F1886" s="131"/>
    </row>
    <row r="1887" spans="5:6">
      <c r="E1887" s="135"/>
      <c r="F1887" s="131"/>
    </row>
    <row r="1888" spans="5:6">
      <c r="E1888" s="135"/>
      <c r="F1888" s="131"/>
    </row>
    <row r="1889" spans="5:6">
      <c r="E1889" s="135"/>
      <c r="F1889" s="131"/>
    </row>
    <row r="1890" spans="5:6">
      <c r="E1890" s="135"/>
      <c r="F1890" s="131"/>
    </row>
    <row r="1891" spans="5:6">
      <c r="E1891" s="135"/>
      <c r="F1891" s="131"/>
    </row>
    <row r="1892" spans="5:6">
      <c r="E1892" s="135"/>
      <c r="F1892" s="131"/>
    </row>
    <row r="1893" spans="5:6">
      <c r="E1893" s="135"/>
      <c r="F1893" s="131"/>
    </row>
    <row r="1894" spans="5:6">
      <c r="E1894" s="135"/>
      <c r="F1894" s="131"/>
    </row>
    <row r="1895" spans="5:6">
      <c r="E1895" s="135"/>
      <c r="F1895" s="131"/>
    </row>
    <row r="1896" spans="5:6">
      <c r="E1896" s="135"/>
      <c r="F1896" s="131"/>
    </row>
    <row r="1897" spans="5:6">
      <c r="E1897" s="135"/>
      <c r="F1897" s="131"/>
    </row>
    <row r="1898" spans="5:6">
      <c r="E1898" s="135"/>
      <c r="F1898" s="131"/>
    </row>
    <row r="1899" spans="5:6">
      <c r="E1899" s="135"/>
      <c r="F1899" s="131"/>
    </row>
    <row r="1900" spans="5:6">
      <c r="E1900" s="135"/>
      <c r="F1900" s="131"/>
    </row>
    <row r="1901" spans="5:6">
      <c r="E1901" s="135"/>
      <c r="F1901" s="131"/>
    </row>
    <row r="1902" spans="5:6">
      <c r="E1902" s="135"/>
      <c r="F1902" s="131"/>
    </row>
    <row r="1903" spans="5:6">
      <c r="E1903" s="135"/>
      <c r="F1903" s="131"/>
    </row>
    <row r="1904" spans="5:6">
      <c r="E1904" s="135"/>
      <c r="F1904" s="131"/>
    </row>
    <row r="1905" spans="5:6">
      <c r="E1905" s="135"/>
      <c r="F1905" s="131"/>
    </row>
    <row r="1906" spans="5:6">
      <c r="E1906" s="135"/>
      <c r="F1906" s="131"/>
    </row>
    <row r="1907" spans="5:6">
      <c r="E1907" s="135"/>
      <c r="F1907" s="131"/>
    </row>
    <row r="1908" spans="5:6">
      <c r="E1908" s="135"/>
      <c r="F1908" s="131"/>
    </row>
    <row r="1909" spans="5:6">
      <c r="E1909" s="135"/>
      <c r="F1909" s="131"/>
    </row>
    <row r="1910" spans="5:6">
      <c r="E1910" s="135"/>
      <c r="F1910" s="131"/>
    </row>
    <row r="1911" spans="5:6">
      <c r="E1911" s="135"/>
      <c r="F1911" s="131"/>
    </row>
    <row r="1912" spans="5:6">
      <c r="E1912" s="135"/>
      <c r="F1912" s="131"/>
    </row>
    <row r="1913" spans="5:6">
      <c r="E1913" s="135"/>
      <c r="F1913" s="131"/>
    </row>
    <row r="1914" spans="5:6">
      <c r="E1914" s="135"/>
      <c r="F1914" s="131"/>
    </row>
    <row r="1915" spans="5:6">
      <c r="E1915" s="135"/>
      <c r="F1915" s="131"/>
    </row>
    <row r="1916" spans="5:6">
      <c r="E1916" s="135"/>
      <c r="F1916" s="131"/>
    </row>
    <row r="1917" spans="5:6">
      <c r="E1917" s="135"/>
      <c r="F1917" s="131"/>
    </row>
    <row r="1918" spans="5:6">
      <c r="E1918" s="135"/>
      <c r="F1918" s="131"/>
    </row>
    <row r="1919" spans="5:6">
      <c r="E1919" s="135"/>
      <c r="F1919" s="131"/>
    </row>
    <row r="1920" spans="5:6">
      <c r="E1920" s="135"/>
      <c r="F1920" s="131"/>
    </row>
    <row r="1921" spans="5:6">
      <c r="E1921" s="135"/>
      <c r="F1921" s="131"/>
    </row>
    <row r="1922" spans="5:6">
      <c r="E1922" s="135"/>
      <c r="F1922" s="131"/>
    </row>
    <row r="1923" spans="5:6">
      <c r="E1923" s="135"/>
      <c r="F1923" s="131"/>
    </row>
    <row r="1924" spans="5:6">
      <c r="E1924" s="135"/>
      <c r="F1924" s="131"/>
    </row>
    <row r="1925" spans="5:6">
      <c r="E1925" s="135"/>
      <c r="F1925" s="131"/>
    </row>
    <row r="1926" spans="5:6">
      <c r="E1926" s="135"/>
      <c r="F1926" s="131"/>
    </row>
    <row r="1927" spans="5:6">
      <c r="E1927" s="135"/>
      <c r="F1927" s="131"/>
    </row>
    <row r="1928" spans="5:6">
      <c r="E1928" s="135"/>
      <c r="F1928" s="131"/>
    </row>
    <row r="1929" spans="5:6">
      <c r="E1929" s="135"/>
      <c r="F1929" s="131"/>
    </row>
    <row r="1930" spans="5:6">
      <c r="E1930" s="135"/>
      <c r="F1930" s="131"/>
    </row>
    <row r="1931" spans="5:6">
      <c r="E1931" s="135"/>
      <c r="F1931" s="131"/>
    </row>
    <row r="1932" spans="5:6">
      <c r="E1932" s="135"/>
      <c r="F1932" s="131"/>
    </row>
    <row r="1933" spans="5:6">
      <c r="E1933" s="135"/>
      <c r="F1933" s="131"/>
    </row>
    <row r="1934" spans="5:6">
      <c r="E1934" s="135"/>
      <c r="F1934" s="131"/>
    </row>
    <row r="1935" spans="5:6">
      <c r="E1935" s="135"/>
      <c r="F1935" s="131"/>
    </row>
    <row r="1936" spans="5:6">
      <c r="E1936" s="135"/>
      <c r="F1936" s="131"/>
    </row>
    <row r="1937" spans="5:6">
      <c r="E1937" s="135"/>
      <c r="F1937" s="131"/>
    </row>
    <row r="1938" spans="5:6">
      <c r="E1938" s="135"/>
      <c r="F1938" s="131"/>
    </row>
    <row r="1939" spans="5:6">
      <c r="E1939" s="135"/>
      <c r="F1939" s="131"/>
    </row>
    <row r="1940" spans="5:6">
      <c r="E1940" s="135"/>
      <c r="F1940" s="131"/>
    </row>
    <row r="1941" spans="5:6">
      <c r="E1941" s="135"/>
      <c r="F1941" s="131"/>
    </row>
    <row r="1942" spans="5:6">
      <c r="E1942" s="135"/>
      <c r="F1942" s="131"/>
    </row>
    <row r="1943" spans="5:6">
      <c r="E1943" s="135"/>
      <c r="F1943" s="131"/>
    </row>
    <row r="1944" spans="5:6">
      <c r="E1944" s="135"/>
      <c r="F1944" s="131"/>
    </row>
    <row r="1945" spans="5:6">
      <c r="E1945" s="135"/>
      <c r="F1945" s="131"/>
    </row>
    <row r="1946" spans="5:6">
      <c r="E1946" s="135"/>
      <c r="F1946" s="131"/>
    </row>
    <row r="1947" spans="5:6">
      <c r="E1947" s="135"/>
      <c r="F1947" s="131"/>
    </row>
    <row r="1948" spans="5:6">
      <c r="E1948" s="135"/>
      <c r="F1948" s="131"/>
    </row>
    <row r="1949" spans="5:6">
      <c r="E1949" s="135"/>
      <c r="F1949" s="131"/>
    </row>
    <row r="1950" spans="5:6">
      <c r="E1950" s="135"/>
      <c r="F1950" s="131"/>
    </row>
    <row r="1951" spans="5:6">
      <c r="E1951" s="135"/>
      <c r="F1951" s="131"/>
    </row>
    <row r="1952" spans="5:6">
      <c r="E1952" s="135"/>
      <c r="F1952" s="131"/>
    </row>
    <row r="1953" spans="5:6">
      <c r="E1953" s="135"/>
      <c r="F1953" s="131"/>
    </row>
    <row r="1954" spans="5:6">
      <c r="E1954" s="135"/>
      <c r="F1954" s="131"/>
    </row>
    <row r="1955" spans="5:6">
      <c r="E1955" s="135"/>
      <c r="F1955" s="131"/>
    </row>
    <row r="1956" spans="5:6">
      <c r="E1956" s="135"/>
      <c r="F1956" s="131"/>
    </row>
    <row r="1957" spans="5:6">
      <c r="E1957" s="135"/>
      <c r="F1957" s="131"/>
    </row>
    <row r="1958" spans="5:6">
      <c r="E1958" s="135"/>
      <c r="F1958" s="131"/>
    </row>
    <row r="1959" spans="5:6">
      <c r="E1959" s="135"/>
      <c r="F1959" s="131"/>
    </row>
    <row r="1960" spans="5:6">
      <c r="E1960" s="135"/>
      <c r="F1960" s="131"/>
    </row>
    <row r="1961" spans="5:6">
      <c r="E1961" s="135"/>
      <c r="F1961" s="131"/>
    </row>
    <row r="1962" spans="5:6">
      <c r="E1962" s="135"/>
      <c r="F1962" s="131"/>
    </row>
    <row r="1963" spans="5:6">
      <c r="E1963" s="135"/>
      <c r="F1963" s="131"/>
    </row>
    <row r="1964" spans="5:6">
      <c r="E1964" s="135"/>
      <c r="F1964" s="131"/>
    </row>
    <row r="1965" spans="5:6">
      <c r="E1965" s="135"/>
      <c r="F1965" s="131"/>
    </row>
    <row r="1966" spans="5:6">
      <c r="E1966" s="135"/>
      <c r="F1966" s="131"/>
    </row>
    <row r="1967" spans="5:6">
      <c r="E1967" s="135"/>
      <c r="F1967" s="131"/>
    </row>
    <row r="1968" spans="5:6">
      <c r="E1968" s="135"/>
      <c r="F1968" s="131"/>
    </row>
    <row r="1969" spans="5:6">
      <c r="E1969" s="135"/>
      <c r="F1969" s="131"/>
    </row>
    <row r="1970" spans="5:6">
      <c r="E1970" s="135"/>
      <c r="F1970" s="131"/>
    </row>
    <row r="1971" spans="5:6">
      <c r="E1971" s="135"/>
      <c r="F1971" s="131"/>
    </row>
    <row r="1972" spans="5:6">
      <c r="E1972" s="135"/>
      <c r="F1972" s="131"/>
    </row>
    <row r="1973" spans="5:6">
      <c r="E1973" s="135"/>
      <c r="F1973" s="131"/>
    </row>
    <row r="1974" spans="5:6">
      <c r="E1974" s="135"/>
      <c r="F1974" s="131"/>
    </row>
    <row r="1975" spans="5:6">
      <c r="E1975" s="135"/>
      <c r="F1975" s="131"/>
    </row>
    <row r="1976" spans="5:6">
      <c r="E1976" s="135"/>
      <c r="F1976" s="131"/>
    </row>
    <row r="1977" spans="5:6">
      <c r="E1977" s="135"/>
      <c r="F1977" s="131"/>
    </row>
    <row r="1978" spans="5:6">
      <c r="E1978" s="135"/>
      <c r="F1978" s="131"/>
    </row>
    <row r="1979" spans="5:6">
      <c r="E1979" s="135"/>
      <c r="F1979" s="131"/>
    </row>
    <row r="1980" spans="5:6">
      <c r="E1980" s="135"/>
      <c r="F1980" s="131"/>
    </row>
    <row r="1981" spans="5:6">
      <c r="E1981" s="135"/>
      <c r="F1981" s="131"/>
    </row>
    <row r="1982" spans="5:6">
      <c r="E1982" s="135"/>
      <c r="F1982" s="131"/>
    </row>
    <row r="1983" spans="5:6">
      <c r="E1983" s="135"/>
      <c r="F1983" s="131"/>
    </row>
    <row r="1984" spans="5:6">
      <c r="E1984" s="135"/>
      <c r="F1984" s="131"/>
    </row>
    <row r="1985" spans="5:6">
      <c r="E1985" s="135"/>
      <c r="F1985" s="131"/>
    </row>
    <row r="1986" spans="5:6">
      <c r="E1986" s="135"/>
      <c r="F1986" s="131"/>
    </row>
    <row r="1987" spans="5:6">
      <c r="E1987" s="135"/>
      <c r="F1987" s="131"/>
    </row>
    <row r="1988" spans="5:6">
      <c r="E1988" s="135"/>
      <c r="F1988" s="131"/>
    </row>
    <row r="1989" spans="5:6">
      <c r="E1989" s="135"/>
      <c r="F1989" s="131"/>
    </row>
    <row r="1990" spans="5:6">
      <c r="E1990" s="135"/>
      <c r="F1990" s="131"/>
    </row>
    <row r="1991" spans="5:6">
      <c r="E1991" s="135"/>
      <c r="F1991" s="131"/>
    </row>
    <row r="1992" spans="5:6">
      <c r="E1992" s="135"/>
      <c r="F1992" s="131"/>
    </row>
    <row r="1993" spans="5:6">
      <c r="E1993" s="135"/>
      <c r="F1993" s="131"/>
    </row>
    <row r="1994" spans="5:6">
      <c r="E1994" s="135"/>
      <c r="F1994" s="131"/>
    </row>
    <row r="1995" spans="5:6">
      <c r="E1995" s="135"/>
      <c r="F1995" s="131"/>
    </row>
    <row r="1996" spans="5:6">
      <c r="E1996" s="135"/>
      <c r="F1996" s="131"/>
    </row>
    <row r="1997" spans="5:6">
      <c r="E1997" s="135"/>
      <c r="F1997" s="131"/>
    </row>
    <row r="1998" spans="5:6">
      <c r="E1998" s="135"/>
      <c r="F1998" s="131"/>
    </row>
    <row r="1999" spans="5:6">
      <c r="E1999" s="135"/>
      <c r="F1999" s="131"/>
    </row>
    <row r="2000" spans="5:6">
      <c r="E2000" s="135"/>
      <c r="F2000" s="131"/>
    </row>
    <row r="2001" spans="5:6">
      <c r="E2001" s="135"/>
      <c r="F2001" s="131"/>
    </row>
    <row r="2002" spans="5:6">
      <c r="E2002" s="135"/>
      <c r="F2002" s="131"/>
    </row>
    <row r="2003" spans="5:6">
      <c r="E2003" s="135"/>
      <c r="F2003" s="1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2061"/>
  <sheetViews>
    <sheetView workbookViewId="0"/>
  </sheetViews>
  <sheetFormatPr baseColWidth="10" defaultColWidth="12.6640625" defaultRowHeight="15" customHeight="1"/>
  <cols>
    <col min="4" max="4" width="9.83203125" customWidth="1"/>
    <col min="5" max="5" width="19.1640625" customWidth="1"/>
    <col min="6" max="6" width="7.5" customWidth="1"/>
    <col min="7" max="7" width="20.5" customWidth="1"/>
    <col min="8" max="8" width="29.5" customWidth="1"/>
    <col min="9" max="9" width="16.6640625" customWidth="1"/>
    <col min="10" max="10" width="16.1640625" customWidth="1"/>
    <col min="11" max="11" width="39.1640625" customWidth="1"/>
  </cols>
  <sheetData>
    <row r="1" spans="1:27">
      <c r="A1" s="144" t="s">
        <v>306</v>
      </c>
      <c r="B1" s="145" t="s">
        <v>426</v>
      </c>
      <c r="C1" s="146" t="s">
        <v>427</v>
      </c>
      <c r="D1" s="147" t="s">
        <v>428</v>
      </c>
      <c r="E1" s="148" t="s">
        <v>59</v>
      </c>
      <c r="F1" s="148" t="s">
        <v>429</v>
      </c>
      <c r="G1" s="148" t="s">
        <v>430</v>
      </c>
      <c r="H1" s="149" t="str">
        <f ca="1">IFERROR(__xludf.DUMMYFUNCTION("TRIM(REGEXREPLACE(I1, ""^\s*dr(a)?\.?\s*"", """"))
"),"Orl")</f>
        <v>Orl</v>
      </c>
      <c r="I1" s="148" t="s">
        <v>431</v>
      </c>
      <c r="J1" s="148" t="s">
        <v>54</v>
      </c>
      <c r="K1" s="150" t="s">
        <v>432</v>
      </c>
      <c r="L1" s="148" t="s">
        <v>433</v>
      </c>
      <c r="M1" s="148" t="s">
        <v>434</v>
      </c>
      <c r="N1" s="151" t="s">
        <v>435</v>
      </c>
      <c r="O1" s="152" t="s">
        <v>436</v>
      </c>
      <c r="P1" s="148" t="s">
        <v>437</v>
      </c>
      <c r="Q1" s="152" t="s">
        <v>438</v>
      </c>
      <c r="R1" s="153" t="s">
        <v>316</v>
      </c>
      <c r="S1" s="153" t="s">
        <v>316</v>
      </c>
      <c r="T1" s="153" t="s">
        <v>316</v>
      </c>
      <c r="U1" s="153" t="s">
        <v>316</v>
      </c>
      <c r="V1" s="153" t="s">
        <v>316</v>
      </c>
      <c r="W1" s="153" t="s">
        <v>316</v>
      </c>
      <c r="X1" s="153" t="s">
        <v>316</v>
      </c>
      <c r="Y1" s="153" t="s">
        <v>316</v>
      </c>
      <c r="Z1" s="153" t="s">
        <v>316</v>
      </c>
      <c r="AA1" s="153" t="s">
        <v>316</v>
      </c>
    </row>
    <row r="2" spans="1:27" ht="18" customHeight="1">
      <c r="A2" s="154">
        <v>1</v>
      </c>
      <c r="B2" s="155" t="s">
        <v>439</v>
      </c>
      <c r="C2" s="156">
        <v>45272</v>
      </c>
      <c r="D2" s="155" t="s">
        <v>440</v>
      </c>
      <c r="E2" s="149" t="s">
        <v>109</v>
      </c>
      <c r="F2" s="149" t="s">
        <v>441</v>
      </c>
      <c r="G2" s="149" t="s">
        <v>442</v>
      </c>
      <c r="H2" s="149" t="str">
        <f t="shared" ref="H2:H256" si="0">TRIM(SUBSTITUTE(SUBSTITUTE(SUBSTITUTE(SUBSTITUTE(I2,"DR. ",""),"DRA. ",""),"DR ",""),"DRA ",""))</f>
        <v>ANTONIO RODRÍGUEZ RIVERO</v>
      </c>
      <c r="I2" s="149" t="s">
        <v>443</v>
      </c>
      <c r="J2" s="153" t="s">
        <v>444</v>
      </c>
      <c r="K2" s="149" t="s">
        <v>445</v>
      </c>
      <c r="L2" s="157">
        <v>45293</v>
      </c>
      <c r="M2" s="158"/>
      <c r="N2" s="159">
        <v>2</v>
      </c>
      <c r="O2" s="160" t="s">
        <v>446</v>
      </c>
      <c r="P2" s="161">
        <v>3604.55</v>
      </c>
      <c r="Q2" s="162">
        <v>45272</v>
      </c>
      <c r="R2" s="153"/>
      <c r="S2" s="153"/>
      <c r="T2" s="153"/>
      <c r="U2" s="153"/>
      <c r="V2" s="153"/>
      <c r="W2" s="153"/>
      <c r="X2" s="153"/>
      <c r="Y2" s="153"/>
      <c r="Z2" s="153"/>
      <c r="AA2" s="153"/>
    </row>
    <row r="3" spans="1:27">
      <c r="A3" s="154">
        <v>1</v>
      </c>
      <c r="B3" s="155" t="s">
        <v>439</v>
      </c>
      <c r="C3" s="156">
        <v>45273</v>
      </c>
      <c r="D3" s="155" t="s">
        <v>440</v>
      </c>
      <c r="E3" s="149" t="s">
        <v>109</v>
      </c>
      <c r="F3" s="149" t="s">
        <v>441</v>
      </c>
      <c r="G3" s="149" t="s">
        <v>442</v>
      </c>
      <c r="H3" s="149" t="str">
        <f t="shared" si="0"/>
        <v>MARÍA GARROTE GARROTE</v>
      </c>
      <c r="I3" s="149" t="s">
        <v>447</v>
      </c>
      <c r="J3" s="153" t="s">
        <v>444</v>
      </c>
      <c r="K3" s="149" t="s">
        <v>448</v>
      </c>
      <c r="L3" s="157">
        <v>45293</v>
      </c>
      <c r="M3" s="158"/>
      <c r="N3" s="159">
        <v>2</v>
      </c>
      <c r="O3" s="160" t="s">
        <v>449</v>
      </c>
      <c r="P3" s="161">
        <v>2780.91</v>
      </c>
      <c r="Q3" s="162">
        <v>45273</v>
      </c>
      <c r="R3" s="153"/>
      <c r="S3" s="153"/>
      <c r="T3" s="153"/>
      <c r="U3" s="153"/>
      <c r="V3" s="153"/>
      <c r="W3" s="153"/>
      <c r="X3" s="153"/>
      <c r="Y3" s="153"/>
      <c r="Z3" s="153"/>
      <c r="AA3" s="153"/>
    </row>
    <row r="4" spans="1:27">
      <c r="A4" s="154">
        <v>1</v>
      </c>
      <c r="B4" s="155" t="s">
        <v>439</v>
      </c>
      <c r="C4" s="156">
        <v>45245</v>
      </c>
      <c r="D4" s="155" t="s">
        <v>440</v>
      </c>
      <c r="E4" s="149" t="s">
        <v>314</v>
      </c>
      <c r="F4" s="149" t="s">
        <v>450</v>
      </c>
      <c r="G4" s="149" t="s">
        <v>451</v>
      </c>
      <c r="H4" s="149" t="str">
        <f t="shared" si="0"/>
        <v>ELVYLINS VARGAS YGLESIA</v>
      </c>
      <c r="I4" s="149" t="s">
        <v>452</v>
      </c>
      <c r="J4" s="153" t="s">
        <v>444</v>
      </c>
      <c r="K4" s="149" t="s">
        <v>453</v>
      </c>
      <c r="L4" s="157">
        <v>45293</v>
      </c>
      <c r="M4" s="158"/>
      <c r="N4" s="163">
        <v>2</v>
      </c>
      <c r="O4" s="160" t="s">
        <v>446</v>
      </c>
      <c r="P4" s="161">
        <v>3812.5</v>
      </c>
      <c r="Q4" s="162">
        <v>45245</v>
      </c>
      <c r="R4" s="153"/>
      <c r="S4" s="153"/>
      <c r="T4" s="153"/>
      <c r="U4" s="153"/>
      <c r="V4" s="153"/>
      <c r="W4" s="153"/>
      <c r="X4" s="153"/>
      <c r="Y4" s="153"/>
      <c r="Z4" s="153"/>
      <c r="AA4" s="153"/>
    </row>
    <row r="5" spans="1:27">
      <c r="A5" s="154">
        <v>1</v>
      </c>
      <c r="B5" s="155" t="s">
        <v>439</v>
      </c>
      <c r="C5" s="156">
        <v>45240</v>
      </c>
      <c r="D5" s="155" t="s">
        <v>440</v>
      </c>
      <c r="E5" s="160" t="s">
        <v>312</v>
      </c>
      <c r="F5" s="160" t="s">
        <v>441</v>
      </c>
      <c r="G5" s="160" t="s">
        <v>442</v>
      </c>
      <c r="H5" s="149" t="str">
        <f t="shared" si="0"/>
        <v>JORGE BENITO JIMÉNEZ</v>
      </c>
      <c r="I5" s="149" t="s">
        <v>454</v>
      </c>
      <c r="J5" s="153" t="s">
        <v>455</v>
      </c>
      <c r="K5" s="160" t="s">
        <v>456</v>
      </c>
      <c r="L5" s="157">
        <v>45293</v>
      </c>
      <c r="M5" s="164"/>
      <c r="N5" s="163">
        <v>1</v>
      </c>
      <c r="O5" s="165" t="s">
        <v>449</v>
      </c>
      <c r="P5" s="161">
        <v>1759.09</v>
      </c>
      <c r="Q5" s="162">
        <v>45240</v>
      </c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7">
      <c r="A6" s="154">
        <v>1</v>
      </c>
      <c r="B6" s="155" t="s">
        <v>439</v>
      </c>
      <c r="C6" s="156">
        <v>45265</v>
      </c>
      <c r="D6" s="155" t="s">
        <v>440</v>
      </c>
      <c r="E6" s="149" t="s">
        <v>239</v>
      </c>
      <c r="F6" s="149" t="s">
        <v>441</v>
      </c>
      <c r="G6" s="149" t="s">
        <v>442</v>
      </c>
      <c r="H6" s="149" t="str">
        <f t="shared" si="0"/>
        <v>LUCIA PRIETO SÁNCHEZ DE LA PUERTA</v>
      </c>
      <c r="I6" s="149" t="s">
        <v>457</v>
      </c>
      <c r="J6" s="153" t="s">
        <v>455</v>
      </c>
      <c r="K6" s="149" t="s">
        <v>458</v>
      </c>
      <c r="L6" s="157">
        <v>45293</v>
      </c>
      <c r="M6" s="158"/>
      <c r="N6" s="163">
        <v>1</v>
      </c>
      <c r="O6" s="165" t="s">
        <v>449</v>
      </c>
      <c r="P6" s="161">
        <v>1572.73</v>
      </c>
      <c r="Q6" s="162">
        <v>45265</v>
      </c>
      <c r="R6" s="153"/>
      <c r="S6" s="153"/>
      <c r="T6" s="153"/>
      <c r="U6" s="153"/>
      <c r="V6" s="153"/>
      <c r="W6" s="153"/>
      <c r="X6" s="153"/>
      <c r="Y6" s="153"/>
      <c r="Z6" s="153"/>
      <c r="AA6" s="153"/>
    </row>
    <row r="7" spans="1:27">
      <c r="A7" s="154">
        <v>1</v>
      </c>
      <c r="B7" s="155" t="s">
        <v>439</v>
      </c>
      <c r="C7" s="156">
        <v>45252</v>
      </c>
      <c r="D7" s="155" t="s">
        <v>440</v>
      </c>
      <c r="E7" s="149" t="s">
        <v>239</v>
      </c>
      <c r="F7" s="149" t="s">
        <v>441</v>
      </c>
      <c r="G7" s="149" t="s">
        <v>442</v>
      </c>
      <c r="H7" s="149" t="str">
        <f t="shared" si="0"/>
        <v>LUCIA PRIETO SÁNCHEZ DE LA PUERTA</v>
      </c>
      <c r="I7" s="149" t="s">
        <v>457</v>
      </c>
      <c r="J7" s="153" t="s">
        <v>455</v>
      </c>
      <c r="K7" s="149" t="s">
        <v>459</v>
      </c>
      <c r="L7" s="157">
        <v>45293</v>
      </c>
      <c r="M7" s="158"/>
      <c r="N7" s="163">
        <v>2</v>
      </c>
      <c r="O7" s="165" t="s">
        <v>446</v>
      </c>
      <c r="P7" s="161">
        <v>3786.36</v>
      </c>
      <c r="Q7" s="162">
        <v>45252</v>
      </c>
      <c r="R7" s="153"/>
      <c r="S7" s="153"/>
      <c r="T7" s="153"/>
      <c r="U7" s="153"/>
      <c r="V7" s="153"/>
      <c r="W7" s="153"/>
      <c r="X7" s="153"/>
      <c r="Y7" s="153"/>
      <c r="Z7" s="153"/>
      <c r="AA7" s="153"/>
    </row>
    <row r="8" spans="1:27">
      <c r="A8" s="154">
        <v>1</v>
      </c>
      <c r="B8" s="155" t="s">
        <v>439</v>
      </c>
      <c r="C8" s="156">
        <v>45250</v>
      </c>
      <c r="D8" s="155" t="s">
        <v>440</v>
      </c>
      <c r="E8" s="149" t="s">
        <v>460</v>
      </c>
      <c r="F8" s="149" t="s">
        <v>441</v>
      </c>
      <c r="G8" s="149" t="s">
        <v>442</v>
      </c>
      <c r="H8" s="149" t="str">
        <f t="shared" si="0"/>
        <v>LINO ENGUIDANOS HERNANDORENA</v>
      </c>
      <c r="I8" s="149" t="s">
        <v>461</v>
      </c>
      <c r="J8" s="149" t="s">
        <v>462</v>
      </c>
      <c r="K8" s="149" t="s">
        <v>463</v>
      </c>
      <c r="L8" s="157">
        <v>45294</v>
      </c>
      <c r="M8" s="158"/>
      <c r="N8" s="163">
        <v>2</v>
      </c>
      <c r="O8" s="160" t="s">
        <v>446</v>
      </c>
      <c r="P8" s="161">
        <v>3424.32</v>
      </c>
      <c r="Q8" s="162">
        <v>45250</v>
      </c>
      <c r="R8" s="153"/>
      <c r="S8" s="153"/>
      <c r="T8" s="153"/>
      <c r="U8" s="153"/>
      <c r="V8" s="153"/>
      <c r="W8" s="153"/>
      <c r="X8" s="153"/>
      <c r="Y8" s="153"/>
      <c r="Z8" s="153"/>
      <c r="AA8" s="153"/>
    </row>
    <row r="9" spans="1:27">
      <c r="A9" s="154">
        <v>1</v>
      </c>
      <c r="B9" s="155" t="s">
        <v>439</v>
      </c>
      <c r="C9" s="156">
        <v>45259</v>
      </c>
      <c r="D9" s="155" t="s">
        <v>440</v>
      </c>
      <c r="E9" s="149" t="s">
        <v>317</v>
      </c>
      <c r="F9" s="149" t="s">
        <v>441</v>
      </c>
      <c r="G9" s="149" t="s">
        <v>442</v>
      </c>
      <c r="H9" s="149" t="str">
        <f t="shared" si="0"/>
        <v>FRANCISCO PASTOR BEVIÁ</v>
      </c>
      <c r="I9" s="149" t="s">
        <v>464</v>
      </c>
      <c r="J9" s="153" t="s">
        <v>462</v>
      </c>
      <c r="K9" s="149" t="s">
        <v>465</v>
      </c>
      <c r="L9" s="157">
        <v>45294</v>
      </c>
      <c r="M9" s="158"/>
      <c r="N9" s="163">
        <v>2</v>
      </c>
      <c r="O9" s="160" t="s">
        <v>466</v>
      </c>
      <c r="P9" s="161">
        <v>4586.3599999999997</v>
      </c>
      <c r="Q9" s="162">
        <v>45259</v>
      </c>
      <c r="R9" s="153"/>
      <c r="S9" s="153"/>
      <c r="T9" s="153"/>
      <c r="U9" s="153"/>
      <c r="V9" s="153"/>
      <c r="W9" s="153"/>
      <c r="X9" s="153"/>
      <c r="Y9" s="153"/>
      <c r="Z9" s="153"/>
      <c r="AA9" s="153"/>
    </row>
    <row r="10" spans="1:27">
      <c r="A10" s="154">
        <v>1</v>
      </c>
      <c r="B10" s="155" t="s">
        <v>439</v>
      </c>
      <c r="C10" s="156">
        <v>45090</v>
      </c>
      <c r="D10" s="155" t="s">
        <v>440</v>
      </c>
      <c r="E10" s="149" t="s">
        <v>311</v>
      </c>
      <c r="F10" s="149" t="s">
        <v>441</v>
      </c>
      <c r="G10" s="149" t="s">
        <v>442</v>
      </c>
      <c r="H10" s="149" t="str">
        <f t="shared" si="0"/>
        <v>ELISABETH AMARILLO ESPITIA</v>
      </c>
      <c r="I10" s="149" t="s">
        <v>467</v>
      </c>
      <c r="J10" s="153" t="s">
        <v>444</v>
      </c>
      <c r="K10" s="149" t="s">
        <v>468</v>
      </c>
      <c r="L10" s="157">
        <v>45294</v>
      </c>
      <c r="M10" s="158"/>
      <c r="N10" s="163">
        <v>2</v>
      </c>
      <c r="O10" s="160" t="s">
        <v>446</v>
      </c>
      <c r="P10" s="161">
        <v>3604.55</v>
      </c>
      <c r="Q10" s="162">
        <v>45090</v>
      </c>
      <c r="R10" s="153"/>
      <c r="S10" s="153"/>
      <c r="T10" s="153"/>
      <c r="U10" s="153"/>
      <c r="V10" s="153"/>
      <c r="W10" s="153"/>
      <c r="X10" s="153"/>
      <c r="Y10" s="153"/>
      <c r="Z10" s="153"/>
      <c r="AA10" s="153"/>
    </row>
    <row r="11" spans="1:27">
      <c r="A11" s="154">
        <v>1</v>
      </c>
      <c r="B11" s="155" t="s">
        <v>439</v>
      </c>
      <c r="C11" s="156">
        <v>45257</v>
      </c>
      <c r="D11" s="155" t="s">
        <v>440</v>
      </c>
      <c r="E11" s="149" t="s">
        <v>313</v>
      </c>
      <c r="F11" s="149" t="s">
        <v>441</v>
      </c>
      <c r="G11" s="149" t="s">
        <v>442</v>
      </c>
      <c r="H11" s="149" t="str">
        <f t="shared" si="0"/>
        <v>NO REUERDA ORL</v>
      </c>
      <c r="I11" s="149" t="s">
        <v>469</v>
      </c>
      <c r="J11" s="149" t="s">
        <v>444</v>
      </c>
      <c r="K11" s="149" t="s">
        <v>470</v>
      </c>
      <c r="L11" s="157">
        <v>45294</v>
      </c>
      <c r="M11" s="158"/>
      <c r="N11" s="163">
        <v>2</v>
      </c>
      <c r="O11" s="160" t="s">
        <v>449</v>
      </c>
      <c r="P11" s="161">
        <v>2780.91</v>
      </c>
      <c r="Q11" s="162">
        <v>45257</v>
      </c>
      <c r="R11" s="153"/>
      <c r="S11" s="153"/>
      <c r="T11" s="153"/>
      <c r="U11" s="153"/>
      <c r="V11" s="153"/>
      <c r="W11" s="153"/>
      <c r="X11" s="153"/>
      <c r="Y11" s="153"/>
      <c r="Z11" s="153"/>
      <c r="AA11" s="153"/>
    </row>
    <row r="12" spans="1:27">
      <c r="A12" s="154">
        <v>1</v>
      </c>
      <c r="B12" s="155" t="s">
        <v>439</v>
      </c>
      <c r="C12" s="156">
        <v>45245</v>
      </c>
      <c r="D12" s="155" t="s">
        <v>440</v>
      </c>
      <c r="E12" s="149" t="s">
        <v>471</v>
      </c>
      <c r="F12" s="149" t="s">
        <v>441</v>
      </c>
      <c r="G12" s="149" t="s">
        <v>442</v>
      </c>
      <c r="H12" s="149" t="str">
        <f t="shared" si="0"/>
        <v>MANUEL ACUÑA GARCÍA</v>
      </c>
      <c r="I12" s="149" t="s">
        <v>472</v>
      </c>
      <c r="J12" s="149" t="s">
        <v>473</v>
      </c>
      <c r="K12" s="149" t="s">
        <v>474</v>
      </c>
      <c r="L12" s="157">
        <v>45294</v>
      </c>
      <c r="M12" s="158"/>
      <c r="N12" s="163">
        <v>2</v>
      </c>
      <c r="O12" s="165" t="s">
        <v>446</v>
      </c>
      <c r="P12" s="161">
        <v>3424.33</v>
      </c>
      <c r="Q12" s="162">
        <v>45245</v>
      </c>
      <c r="R12" s="153"/>
      <c r="S12" s="153"/>
      <c r="T12" s="153"/>
      <c r="U12" s="153"/>
      <c r="V12" s="153"/>
      <c r="W12" s="153"/>
      <c r="X12" s="153"/>
      <c r="Y12" s="153"/>
      <c r="Z12" s="153"/>
      <c r="AA12" s="153"/>
    </row>
    <row r="13" spans="1:27">
      <c r="A13" s="154">
        <v>1</v>
      </c>
      <c r="B13" s="155" t="s">
        <v>439</v>
      </c>
      <c r="C13" s="156">
        <v>45250</v>
      </c>
      <c r="D13" s="155" t="s">
        <v>440</v>
      </c>
      <c r="E13" s="149" t="s">
        <v>475</v>
      </c>
      <c r="F13" s="149" t="s">
        <v>441</v>
      </c>
      <c r="G13" s="149" t="s">
        <v>442</v>
      </c>
      <c r="H13" s="149" t="str">
        <f t="shared" si="0"/>
        <v>MÓNICA GRANDA ROSALES</v>
      </c>
      <c r="I13" s="149" t="s">
        <v>476</v>
      </c>
      <c r="J13" s="149" t="s">
        <v>477</v>
      </c>
      <c r="K13" s="149" t="s">
        <v>478</v>
      </c>
      <c r="L13" s="157">
        <v>45294</v>
      </c>
      <c r="M13" s="158"/>
      <c r="N13" s="163">
        <v>2</v>
      </c>
      <c r="O13" s="165" t="s">
        <v>446</v>
      </c>
      <c r="P13" s="161">
        <v>3454.55</v>
      </c>
      <c r="Q13" s="162">
        <v>45250</v>
      </c>
      <c r="R13" s="153"/>
      <c r="S13" s="153"/>
      <c r="T13" s="153"/>
      <c r="U13" s="153"/>
      <c r="V13" s="153"/>
      <c r="W13" s="153"/>
      <c r="X13" s="153"/>
      <c r="Y13" s="153"/>
      <c r="Z13" s="153"/>
      <c r="AA13" s="153"/>
    </row>
    <row r="14" spans="1:27">
      <c r="A14" s="154">
        <v>1</v>
      </c>
      <c r="B14" s="155" t="s">
        <v>439</v>
      </c>
      <c r="C14" s="156">
        <v>45251</v>
      </c>
      <c r="D14" s="155" t="s">
        <v>440</v>
      </c>
      <c r="E14" s="149" t="s">
        <v>271</v>
      </c>
      <c r="F14" s="149" t="s">
        <v>441</v>
      </c>
      <c r="G14" s="149" t="s">
        <v>442</v>
      </c>
      <c r="H14" s="149" t="str">
        <f t="shared" si="0"/>
        <v>JAIME SANABRIA BRASSART</v>
      </c>
      <c r="I14" s="149" t="s">
        <v>479</v>
      </c>
      <c r="J14" s="153" t="s">
        <v>477</v>
      </c>
      <c r="K14" s="149" t="s">
        <v>480</v>
      </c>
      <c r="L14" s="157">
        <v>45295</v>
      </c>
      <c r="M14" s="158"/>
      <c r="N14" s="163">
        <v>2</v>
      </c>
      <c r="O14" s="160" t="s">
        <v>446</v>
      </c>
      <c r="P14" s="161">
        <v>3604.55</v>
      </c>
      <c r="Q14" s="162">
        <v>45251</v>
      </c>
      <c r="R14" s="153"/>
      <c r="S14" s="153"/>
      <c r="T14" s="153"/>
      <c r="U14" s="153"/>
      <c r="V14" s="153"/>
      <c r="W14" s="153"/>
      <c r="X14" s="153"/>
      <c r="Y14" s="153"/>
      <c r="Z14" s="153"/>
      <c r="AA14" s="153"/>
    </row>
    <row r="15" spans="1:27">
      <c r="A15" s="154">
        <v>1</v>
      </c>
      <c r="B15" s="155" t="s">
        <v>439</v>
      </c>
      <c r="C15" s="156">
        <v>45257</v>
      </c>
      <c r="D15" s="155" t="s">
        <v>440</v>
      </c>
      <c r="E15" s="149" t="s">
        <v>98</v>
      </c>
      <c r="F15" s="149" t="s">
        <v>441</v>
      </c>
      <c r="G15" s="149" t="s">
        <v>442</v>
      </c>
      <c r="H15" s="149" t="str">
        <f t="shared" si="0"/>
        <v>IGNACIO ALBALADEJO DEVIS</v>
      </c>
      <c r="I15" s="149" t="s">
        <v>481</v>
      </c>
      <c r="J15" s="153" t="s">
        <v>462</v>
      </c>
      <c r="K15" s="149" t="s">
        <v>482</v>
      </c>
      <c r="L15" s="157">
        <v>45295</v>
      </c>
      <c r="M15" s="158"/>
      <c r="N15" s="163">
        <v>2</v>
      </c>
      <c r="O15" s="160" t="s">
        <v>449</v>
      </c>
      <c r="P15" s="161">
        <v>2780.91</v>
      </c>
      <c r="Q15" s="162">
        <v>45257</v>
      </c>
      <c r="R15" s="153"/>
      <c r="S15" s="153"/>
      <c r="T15" s="153"/>
      <c r="U15" s="153"/>
      <c r="V15" s="153"/>
      <c r="W15" s="153"/>
      <c r="X15" s="153"/>
      <c r="Y15" s="153"/>
      <c r="Z15" s="153"/>
      <c r="AA15" s="153"/>
    </row>
    <row r="16" spans="1:27">
      <c r="A16" s="154">
        <v>1</v>
      </c>
      <c r="B16" s="155" t="s">
        <v>439</v>
      </c>
      <c r="C16" s="156">
        <v>45258</v>
      </c>
      <c r="D16" s="166" t="s">
        <v>440</v>
      </c>
      <c r="E16" s="149" t="s">
        <v>150</v>
      </c>
      <c r="F16" s="149" t="s">
        <v>441</v>
      </c>
      <c r="G16" s="149" t="s">
        <v>442</v>
      </c>
      <c r="H16" s="149" t="str">
        <f t="shared" si="0"/>
        <v>LUÍS MARTÍNEZ BERNABEU</v>
      </c>
      <c r="I16" s="149" t="s">
        <v>483</v>
      </c>
      <c r="J16" s="149" t="s">
        <v>462</v>
      </c>
      <c r="K16" s="149" t="s">
        <v>484</v>
      </c>
      <c r="L16" s="157">
        <v>45295</v>
      </c>
      <c r="M16" s="158"/>
      <c r="N16" s="163">
        <v>2</v>
      </c>
      <c r="O16" s="165" t="s">
        <v>449</v>
      </c>
      <c r="P16" s="161">
        <v>2780.91</v>
      </c>
      <c r="Q16" s="162">
        <v>45258</v>
      </c>
      <c r="R16" s="153"/>
      <c r="S16" s="153"/>
      <c r="T16" s="153"/>
      <c r="U16" s="153"/>
      <c r="V16" s="153"/>
      <c r="W16" s="153"/>
      <c r="X16" s="153"/>
      <c r="Y16" s="153"/>
      <c r="Z16" s="153"/>
      <c r="AA16" s="153"/>
    </row>
    <row r="17" spans="1:27">
      <c r="A17" s="154">
        <v>1</v>
      </c>
      <c r="B17" s="155" t="s">
        <v>439</v>
      </c>
      <c r="C17" s="156">
        <v>45243</v>
      </c>
      <c r="D17" s="155" t="s">
        <v>440</v>
      </c>
      <c r="E17" s="149" t="s">
        <v>485</v>
      </c>
      <c r="F17" s="149" t="s">
        <v>441</v>
      </c>
      <c r="G17" s="149" t="s">
        <v>442</v>
      </c>
      <c r="H17" s="149" t="str">
        <f t="shared" si="0"/>
        <v>PATRICIA VIVEROS DIEZ</v>
      </c>
      <c r="I17" s="149" t="s">
        <v>486</v>
      </c>
      <c r="J17" s="153" t="s">
        <v>473</v>
      </c>
      <c r="K17" s="149" t="s">
        <v>487</v>
      </c>
      <c r="L17" s="157">
        <v>45295</v>
      </c>
      <c r="M17" s="158"/>
      <c r="N17" s="163">
        <v>2</v>
      </c>
      <c r="O17" s="165" t="s">
        <v>446</v>
      </c>
      <c r="P17" s="161">
        <v>3522.73</v>
      </c>
      <c r="Q17" s="162">
        <v>45243</v>
      </c>
      <c r="R17" s="153"/>
      <c r="S17" s="153"/>
      <c r="T17" s="153"/>
      <c r="U17" s="153"/>
      <c r="V17" s="153"/>
      <c r="W17" s="153"/>
      <c r="X17" s="153"/>
      <c r="Y17" s="153"/>
      <c r="Z17" s="153"/>
      <c r="AA17" s="153"/>
    </row>
    <row r="18" spans="1:27">
      <c r="A18" s="154">
        <v>1</v>
      </c>
      <c r="B18" s="155" t="s">
        <v>439</v>
      </c>
      <c r="C18" s="156">
        <v>44984</v>
      </c>
      <c r="D18" s="166" t="s">
        <v>440</v>
      </c>
      <c r="E18" s="149" t="s">
        <v>311</v>
      </c>
      <c r="F18" s="149" t="s">
        <v>441</v>
      </c>
      <c r="G18" s="149" t="s">
        <v>442</v>
      </c>
      <c r="H18" s="149" t="str">
        <f t="shared" si="0"/>
        <v>VICTORIA GARCÍA PECES</v>
      </c>
      <c r="I18" s="149" t="s">
        <v>488</v>
      </c>
      <c r="J18" s="149" t="s">
        <v>444</v>
      </c>
      <c r="K18" s="149" t="s">
        <v>489</v>
      </c>
      <c r="L18" s="157">
        <v>45296</v>
      </c>
      <c r="M18" s="158"/>
      <c r="N18" s="163">
        <v>1</v>
      </c>
      <c r="O18" s="160" t="s">
        <v>446</v>
      </c>
      <c r="P18" s="161">
        <v>2134.5500000000002</v>
      </c>
      <c r="Q18" s="162">
        <v>44984</v>
      </c>
      <c r="R18" s="153"/>
      <c r="S18" s="153"/>
      <c r="T18" s="153"/>
      <c r="U18" s="153"/>
      <c r="V18" s="153"/>
      <c r="W18" s="153"/>
      <c r="X18" s="153"/>
      <c r="Y18" s="153"/>
      <c r="Z18" s="153"/>
      <c r="AA18" s="153"/>
    </row>
    <row r="19" spans="1:27">
      <c r="A19" s="154">
        <v>1</v>
      </c>
      <c r="B19" s="155" t="s">
        <v>439</v>
      </c>
      <c r="C19" s="156">
        <v>45272</v>
      </c>
      <c r="D19" s="155" t="s">
        <v>440</v>
      </c>
      <c r="E19" s="149" t="s">
        <v>109</v>
      </c>
      <c r="F19" s="149" t="s">
        <v>441</v>
      </c>
      <c r="G19" s="149" t="s">
        <v>442</v>
      </c>
      <c r="H19" s="149" t="str">
        <f t="shared" si="0"/>
        <v>ANTONIO RODRÍGUEZ RIVERO</v>
      </c>
      <c r="I19" s="149" t="s">
        <v>443</v>
      </c>
      <c r="J19" s="153" t="s">
        <v>444</v>
      </c>
      <c r="K19" s="149" t="s">
        <v>490</v>
      </c>
      <c r="L19" s="157">
        <v>45296</v>
      </c>
      <c r="M19" s="158"/>
      <c r="N19" s="163">
        <v>2</v>
      </c>
      <c r="O19" s="160" t="s">
        <v>446</v>
      </c>
      <c r="P19" s="161">
        <v>3604.55</v>
      </c>
      <c r="Q19" s="162">
        <v>45272</v>
      </c>
      <c r="R19" s="153"/>
      <c r="S19" s="153"/>
      <c r="T19" s="153"/>
      <c r="U19" s="153"/>
      <c r="V19" s="153"/>
      <c r="W19" s="153"/>
      <c r="X19" s="153"/>
      <c r="Y19" s="153"/>
      <c r="Z19" s="153"/>
      <c r="AA19" s="153"/>
    </row>
    <row r="20" spans="1:27">
      <c r="A20" s="154">
        <v>1</v>
      </c>
      <c r="B20" s="155" t="s">
        <v>439</v>
      </c>
      <c r="C20" s="156">
        <v>45281</v>
      </c>
      <c r="D20" s="155" t="s">
        <v>440</v>
      </c>
      <c r="E20" s="149" t="s">
        <v>311</v>
      </c>
      <c r="F20" s="149" t="s">
        <v>441</v>
      </c>
      <c r="G20" s="149" t="s">
        <v>442</v>
      </c>
      <c r="H20" s="149" t="str">
        <f t="shared" si="0"/>
        <v>ITHZEL MARIA VILLARREAL PATIÑO</v>
      </c>
      <c r="I20" s="149" t="s">
        <v>491</v>
      </c>
      <c r="J20" s="153" t="s">
        <v>444</v>
      </c>
      <c r="K20" s="149" t="s">
        <v>492</v>
      </c>
      <c r="L20" s="157">
        <v>45299</v>
      </c>
      <c r="M20" s="158"/>
      <c r="N20" s="163">
        <v>2</v>
      </c>
      <c r="O20" s="160" t="s">
        <v>449</v>
      </c>
      <c r="P20" s="161">
        <v>2780.91</v>
      </c>
      <c r="Q20" s="162">
        <v>45281</v>
      </c>
      <c r="R20" s="153"/>
      <c r="S20" s="153"/>
      <c r="T20" s="153"/>
      <c r="U20" s="153"/>
      <c r="V20" s="153"/>
      <c r="W20" s="153"/>
      <c r="X20" s="153"/>
      <c r="Y20" s="153"/>
      <c r="Z20" s="153"/>
      <c r="AA20" s="153"/>
    </row>
    <row r="21" spans="1:27">
      <c r="A21" s="154">
        <v>1</v>
      </c>
      <c r="B21" s="155" t="s">
        <v>439</v>
      </c>
      <c r="C21" s="156">
        <v>45197</v>
      </c>
      <c r="D21" s="166" t="s">
        <v>440</v>
      </c>
      <c r="E21" s="149" t="s">
        <v>309</v>
      </c>
      <c r="F21" s="149" t="s">
        <v>441</v>
      </c>
      <c r="G21" s="149" t="s">
        <v>442</v>
      </c>
      <c r="H21" s="149" t="str">
        <f t="shared" si="0"/>
        <v>MARÍA SANTILLÁN SÁNCHEZ</v>
      </c>
      <c r="I21" s="149" t="s">
        <v>493</v>
      </c>
      <c r="J21" s="149" t="s">
        <v>444</v>
      </c>
      <c r="K21" s="149" t="s">
        <v>494</v>
      </c>
      <c r="L21" s="157">
        <v>45299</v>
      </c>
      <c r="M21" s="158"/>
      <c r="N21" s="159">
        <v>1</v>
      </c>
      <c r="O21" s="160" t="s">
        <v>446</v>
      </c>
      <c r="P21" s="161">
        <v>2162.5</v>
      </c>
      <c r="Q21" s="162">
        <v>45197</v>
      </c>
      <c r="R21" s="153"/>
      <c r="S21" s="153"/>
      <c r="T21" s="153"/>
      <c r="U21" s="153"/>
      <c r="V21" s="153"/>
      <c r="W21" s="153"/>
      <c r="X21" s="153"/>
      <c r="Y21" s="153"/>
      <c r="Z21" s="153"/>
      <c r="AA21" s="153"/>
    </row>
    <row r="22" spans="1:27">
      <c r="A22" s="154">
        <v>1</v>
      </c>
      <c r="B22" s="155" t="s">
        <v>439</v>
      </c>
      <c r="C22" s="156">
        <v>45240</v>
      </c>
      <c r="D22" s="155" t="s">
        <v>440</v>
      </c>
      <c r="E22" s="149" t="s">
        <v>309</v>
      </c>
      <c r="F22" s="149" t="s">
        <v>441</v>
      </c>
      <c r="G22" s="149" t="s">
        <v>442</v>
      </c>
      <c r="H22" s="149" t="str">
        <f t="shared" si="0"/>
        <v>CÉSAR CHARLES MARTÍNEZ</v>
      </c>
      <c r="I22" s="149" t="s">
        <v>495</v>
      </c>
      <c r="J22" s="153" t="s">
        <v>444</v>
      </c>
      <c r="K22" s="149" t="s">
        <v>496</v>
      </c>
      <c r="L22" s="157">
        <v>45299</v>
      </c>
      <c r="M22" s="158"/>
      <c r="N22" s="159">
        <v>2</v>
      </c>
      <c r="O22" s="160" t="s">
        <v>449</v>
      </c>
      <c r="P22" s="161">
        <v>2780.91</v>
      </c>
      <c r="Q22" s="162">
        <v>45240</v>
      </c>
      <c r="R22" s="153"/>
      <c r="S22" s="153"/>
      <c r="T22" s="153"/>
      <c r="U22" s="153"/>
      <c r="V22" s="153"/>
      <c r="W22" s="153"/>
      <c r="X22" s="153"/>
      <c r="Y22" s="153"/>
      <c r="Z22" s="153"/>
      <c r="AA22" s="153"/>
    </row>
    <row r="23" spans="1:27">
      <c r="A23" s="154">
        <v>1</v>
      </c>
      <c r="B23" s="155" t="s">
        <v>439</v>
      </c>
      <c r="C23" s="156">
        <v>45261</v>
      </c>
      <c r="D23" s="155" t="s">
        <v>440</v>
      </c>
      <c r="E23" s="160" t="s">
        <v>317</v>
      </c>
      <c r="F23" s="160" t="s">
        <v>441</v>
      </c>
      <c r="G23" s="160" t="s">
        <v>442</v>
      </c>
      <c r="H23" s="149" t="str">
        <f t="shared" si="0"/>
        <v>OSCAR ALEMÁN LÓPEZ</v>
      </c>
      <c r="I23" s="149" t="s">
        <v>497</v>
      </c>
      <c r="J23" s="153" t="s">
        <v>462</v>
      </c>
      <c r="K23" s="160" t="s">
        <v>498</v>
      </c>
      <c r="L23" s="157">
        <v>45300</v>
      </c>
      <c r="M23" s="158"/>
      <c r="N23" s="163">
        <v>2</v>
      </c>
      <c r="O23" s="160" t="s">
        <v>446</v>
      </c>
      <c r="P23" s="161">
        <v>3604.55</v>
      </c>
      <c r="Q23" s="162">
        <v>45261</v>
      </c>
      <c r="R23" s="153"/>
      <c r="S23" s="153"/>
      <c r="T23" s="153"/>
      <c r="U23" s="153"/>
      <c r="V23" s="153"/>
      <c r="W23" s="153"/>
      <c r="X23" s="153"/>
      <c r="Y23" s="153"/>
      <c r="Z23" s="153"/>
      <c r="AA23" s="153"/>
    </row>
    <row r="24" spans="1:27">
      <c r="A24" s="154">
        <v>1</v>
      </c>
      <c r="B24" s="155" t="s">
        <v>439</v>
      </c>
      <c r="C24" s="156">
        <v>45279</v>
      </c>
      <c r="D24" s="155" t="s">
        <v>440</v>
      </c>
      <c r="E24" s="149" t="s">
        <v>109</v>
      </c>
      <c r="F24" s="149" t="s">
        <v>441</v>
      </c>
      <c r="G24" s="149" t="s">
        <v>442</v>
      </c>
      <c r="H24" s="149" t="str">
        <f t="shared" si="0"/>
        <v>CRISTINA VADUVA</v>
      </c>
      <c r="I24" s="149" t="s">
        <v>499</v>
      </c>
      <c r="J24" s="153" t="s">
        <v>444</v>
      </c>
      <c r="K24" s="149" t="s">
        <v>500</v>
      </c>
      <c r="L24" s="157">
        <v>45300</v>
      </c>
      <c r="M24" s="158"/>
      <c r="N24" s="163">
        <v>2</v>
      </c>
      <c r="O24" s="160" t="s">
        <v>446</v>
      </c>
      <c r="P24" s="161">
        <v>3604.55</v>
      </c>
      <c r="Q24" s="162">
        <v>45279</v>
      </c>
      <c r="R24" s="153"/>
      <c r="S24" s="153"/>
      <c r="T24" s="153"/>
      <c r="U24" s="153"/>
      <c r="V24" s="153"/>
      <c r="W24" s="153"/>
      <c r="X24" s="153"/>
      <c r="Y24" s="153"/>
      <c r="Z24" s="153"/>
      <c r="AA24" s="153"/>
    </row>
    <row r="25" spans="1:27">
      <c r="A25" s="154">
        <v>1</v>
      </c>
      <c r="B25" s="155" t="s">
        <v>439</v>
      </c>
      <c r="C25" s="156">
        <v>45236</v>
      </c>
      <c r="D25" s="155" t="s">
        <v>440</v>
      </c>
      <c r="E25" s="149" t="s">
        <v>501</v>
      </c>
      <c r="F25" s="149" t="s">
        <v>441</v>
      </c>
      <c r="G25" s="149" t="s">
        <v>442</v>
      </c>
      <c r="H25" s="149" t="str">
        <f t="shared" si="0"/>
        <v>FERNANDO SALAZAR BARCELONA</v>
      </c>
      <c r="I25" s="149" t="s">
        <v>502</v>
      </c>
      <c r="J25" s="149" t="s">
        <v>477</v>
      </c>
      <c r="K25" s="149" t="s">
        <v>503</v>
      </c>
      <c r="L25" s="157">
        <v>45300</v>
      </c>
      <c r="M25" s="158"/>
      <c r="N25" s="163">
        <v>2</v>
      </c>
      <c r="O25" s="160" t="s">
        <v>446</v>
      </c>
      <c r="P25" s="161">
        <v>3090.91</v>
      </c>
      <c r="Q25" s="162">
        <v>45236</v>
      </c>
      <c r="R25" s="153"/>
      <c r="S25" s="153"/>
      <c r="T25" s="153"/>
      <c r="U25" s="153"/>
      <c r="V25" s="153"/>
      <c r="W25" s="153"/>
      <c r="X25" s="153"/>
      <c r="Y25" s="153"/>
      <c r="Z25" s="153"/>
      <c r="AA25" s="153"/>
    </row>
    <row r="26" spans="1:27">
      <c r="A26" s="154">
        <v>1</v>
      </c>
      <c r="B26" s="155" t="s">
        <v>439</v>
      </c>
      <c r="C26" s="156">
        <v>45257</v>
      </c>
      <c r="D26" s="166" t="s">
        <v>440</v>
      </c>
      <c r="E26" s="149" t="s">
        <v>271</v>
      </c>
      <c r="F26" s="149" t="s">
        <v>441</v>
      </c>
      <c r="G26" s="149" t="s">
        <v>442</v>
      </c>
      <c r="H26" s="149" t="str">
        <f t="shared" si="0"/>
        <v>JULIO LÓPEZ MOYA</v>
      </c>
      <c r="I26" s="149" t="s">
        <v>504</v>
      </c>
      <c r="J26" s="149" t="s">
        <v>444</v>
      </c>
      <c r="K26" s="149" t="s">
        <v>505</v>
      </c>
      <c r="L26" s="157">
        <v>45300</v>
      </c>
      <c r="M26" s="158"/>
      <c r="N26" s="163">
        <v>2</v>
      </c>
      <c r="O26" s="160" t="s">
        <v>466</v>
      </c>
      <c r="P26" s="161">
        <v>4222.7299999999996</v>
      </c>
      <c r="Q26" s="162">
        <v>45257</v>
      </c>
      <c r="R26" s="153"/>
      <c r="S26" s="153"/>
      <c r="T26" s="153"/>
      <c r="U26" s="153"/>
      <c r="V26" s="153"/>
      <c r="W26" s="153"/>
      <c r="X26" s="153"/>
      <c r="Y26" s="153"/>
      <c r="Z26" s="153"/>
      <c r="AA26" s="153"/>
    </row>
    <row r="27" spans="1:27">
      <c r="A27" s="154">
        <v>1</v>
      </c>
      <c r="B27" s="155" t="s">
        <v>439</v>
      </c>
      <c r="C27" s="156">
        <v>45250</v>
      </c>
      <c r="D27" s="155" t="s">
        <v>440</v>
      </c>
      <c r="E27" s="149" t="s">
        <v>506</v>
      </c>
      <c r="F27" s="149" t="s">
        <v>441</v>
      </c>
      <c r="G27" s="149" t="s">
        <v>442</v>
      </c>
      <c r="H27" s="149" t="str">
        <f t="shared" si="0"/>
        <v>MARÍA JESÚS CORNEJO DOMÍNGUEZ</v>
      </c>
      <c r="I27" s="149" t="s">
        <v>507</v>
      </c>
      <c r="J27" s="153" t="s">
        <v>473</v>
      </c>
      <c r="K27" s="149" t="s">
        <v>508</v>
      </c>
      <c r="L27" s="157">
        <v>45300</v>
      </c>
      <c r="M27" s="158"/>
      <c r="N27" s="163">
        <v>1</v>
      </c>
      <c r="O27" s="165" t="s">
        <v>446</v>
      </c>
      <c r="P27" s="161">
        <v>2162.73</v>
      </c>
      <c r="Q27" s="162">
        <v>45250</v>
      </c>
      <c r="R27" s="153"/>
      <c r="S27" s="153"/>
      <c r="T27" s="153"/>
      <c r="U27" s="153"/>
      <c r="V27" s="153"/>
      <c r="W27" s="153"/>
      <c r="X27" s="153"/>
      <c r="Y27" s="153"/>
      <c r="Z27" s="153"/>
      <c r="AA27" s="153"/>
    </row>
    <row r="28" spans="1:27">
      <c r="A28" s="154">
        <v>1</v>
      </c>
      <c r="B28" s="155" t="s">
        <v>439</v>
      </c>
      <c r="C28" s="156">
        <v>45132</v>
      </c>
      <c r="D28" s="155" t="s">
        <v>440</v>
      </c>
      <c r="E28" s="149" t="s">
        <v>239</v>
      </c>
      <c r="F28" s="149" t="s">
        <v>441</v>
      </c>
      <c r="G28" s="149" t="s">
        <v>442</v>
      </c>
      <c r="H28" s="149" t="str">
        <f t="shared" si="0"/>
        <v>MIGUEL ALBERTO RODRÍGUEZ PÉREZ</v>
      </c>
      <c r="I28" s="149" t="s">
        <v>509</v>
      </c>
      <c r="J28" s="153" t="s">
        <v>455</v>
      </c>
      <c r="K28" s="149" t="s">
        <v>510</v>
      </c>
      <c r="L28" s="157">
        <v>45300</v>
      </c>
      <c r="M28" s="158"/>
      <c r="N28" s="163">
        <v>1</v>
      </c>
      <c r="O28" s="165" t="s">
        <v>446</v>
      </c>
      <c r="P28" s="161">
        <v>2162.73</v>
      </c>
      <c r="Q28" s="162">
        <v>45132</v>
      </c>
      <c r="R28" s="153"/>
      <c r="S28" s="153"/>
      <c r="T28" s="153"/>
      <c r="U28" s="153"/>
      <c r="V28" s="153"/>
      <c r="W28" s="153"/>
      <c r="X28" s="153"/>
      <c r="Y28" s="153"/>
      <c r="Z28" s="153"/>
      <c r="AA28" s="153"/>
    </row>
    <row r="29" spans="1:27">
      <c r="A29" s="154">
        <v>1</v>
      </c>
      <c r="B29" s="155" t="s">
        <v>439</v>
      </c>
      <c r="C29" s="156">
        <v>45259</v>
      </c>
      <c r="D29" s="155" t="s">
        <v>440</v>
      </c>
      <c r="E29" s="149" t="s">
        <v>485</v>
      </c>
      <c r="F29" s="149" t="s">
        <v>441</v>
      </c>
      <c r="G29" s="149" t="s">
        <v>442</v>
      </c>
      <c r="H29" s="149" t="str">
        <f t="shared" si="0"/>
        <v>ANTONIA CARRANZA CALLEJA</v>
      </c>
      <c r="I29" s="149" t="s">
        <v>511</v>
      </c>
      <c r="J29" s="153" t="s">
        <v>473</v>
      </c>
      <c r="K29" s="149" t="s">
        <v>512</v>
      </c>
      <c r="L29" s="157">
        <v>45300</v>
      </c>
      <c r="M29" s="158"/>
      <c r="N29" s="163">
        <v>1</v>
      </c>
      <c r="O29" s="165" t="s">
        <v>513</v>
      </c>
      <c r="P29" s="161">
        <v>2307.27</v>
      </c>
      <c r="Q29" s="162">
        <v>45259</v>
      </c>
      <c r="R29" s="153"/>
      <c r="S29" s="153"/>
      <c r="T29" s="153"/>
      <c r="U29" s="153"/>
      <c r="V29" s="153"/>
      <c r="W29" s="153"/>
      <c r="X29" s="153"/>
      <c r="Y29" s="153"/>
      <c r="Z29" s="153"/>
      <c r="AA29" s="153"/>
    </row>
    <row r="30" spans="1:27">
      <c r="A30" s="154">
        <v>1</v>
      </c>
      <c r="B30" s="155" t="s">
        <v>439</v>
      </c>
      <c r="C30" s="156">
        <v>44167</v>
      </c>
      <c r="D30" s="155" t="s">
        <v>440</v>
      </c>
      <c r="E30" s="160" t="s">
        <v>514</v>
      </c>
      <c r="F30" s="160" t="s">
        <v>441</v>
      </c>
      <c r="G30" s="160" t="s">
        <v>442</v>
      </c>
      <c r="H30" s="149" t="str">
        <f t="shared" si="0"/>
        <v>ERNESTO VARELA MARTÍNEZ</v>
      </c>
      <c r="I30" s="149" t="s">
        <v>515</v>
      </c>
      <c r="J30" s="149" t="s">
        <v>516</v>
      </c>
      <c r="K30" s="160" t="s">
        <v>517</v>
      </c>
      <c r="L30" s="157">
        <v>45301</v>
      </c>
      <c r="M30" s="158"/>
      <c r="N30" s="163">
        <v>1</v>
      </c>
      <c r="O30" s="160" t="s">
        <v>518</v>
      </c>
      <c r="P30" s="161">
        <v>909.09</v>
      </c>
      <c r="Q30" s="162">
        <v>44167</v>
      </c>
      <c r="R30" s="153"/>
      <c r="S30" s="153"/>
      <c r="T30" s="153"/>
      <c r="U30" s="153"/>
      <c r="V30" s="153"/>
      <c r="W30" s="153"/>
      <c r="X30" s="153"/>
      <c r="Y30" s="153"/>
      <c r="Z30" s="153"/>
      <c r="AA30" s="153"/>
    </row>
    <row r="31" spans="1:27">
      <c r="A31" s="154">
        <v>1</v>
      </c>
      <c r="B31" s="155" t="s">
        <v>439</v>
      </c>
      <c r="C31" s="156">
        <v>45252</v>
      </c>
      <c r="D31" s="155" t="s">
        <v>440</v>
      </c>
      <c r="E31" s="149" t="s">
        <v>271</v>
      </c>
      <c r="F31" s="149" t="s">
        <v>441</v>
      </c>
      <c r="G31" s="149" t="s">
        <v>442</v>
      </c>
      <c r="H31" s="149" t="str">
        <f t="shared" si="0"/>
        <v>ANTONIO BUENO RÍOS</v>
      </c>
      <c r="I31" s="149" t="s">
        <v>519</v>
      </c>
      <c r="J31" s="153" t="s">
        <v>477</v>
      </c>
      <c r="K31" s="149" t="s">
        <v>520</v>
      </c>
      <c r="L31" s="157">
        <v>45301</v>
      </c>
      <c r="M31" s="158"/>
      <c r="N31" s="163">
        <v>2</v>
      </c>
      <c r="O31" s="160" t="s">
        <v>449</v>
      </c>
      <c r="P31" s="161">
        <v>2780.91</v>
      </c>
      <c r="Q31" s="162">
        <v>45252</v>
      </c>
      <c r="R31" s="153"/>
      <c r="S31" s="153"/>
      <c r="T31" s="153"/>
      <c r="U31" s="153"/>
      <c r="V31" s="153"/>
      <c r="W31" s="153"/>
      <c r="X31" s="153"/>
      <c r="Y31" s="153"/>
      <c r="Z31" s="153"/>
      <c r="AA31" s="153"/>
    </row>
    <row r="32" spans="1:27">
      <c r="A32" s="154">
        <v>1</v>
      </c>
      <c r="B32" s="155" t="s">
        <v>439</v>
      </c>
      <c r="C32" s="156">
        <v>45251</v>
      </c>
      <c r="D32" s="155" t="s">
        <v>440</v>
      </c>
      <c r="E32" s="149" t="s">
        <v>98</v>
      </c>
      <c r="F32" s="149" t="s">
        <v>441</v>
      </c>
      <c r="G32" s="149" t="s">
        <v>442</v>
      </c>
      <c r="H32" s="149" t="str">
        <f t="shared" si="0"/>
        <v>EMILIO SAURA SÁNCHEZ-PARRA</v>
      </c>
      <c r="I32" s="149" t="s">
        <v>521</v>
      </c>
      <c r="J32" s="153" t="s">
        <v>462</v>
      </c>
      <c r="K32" s="149" t="s">
        <v>522</v>
      </c>
      <c r="L32" s="157">
        <v>45301</v>
      </c>
      <c r="M32" s="164"/>
      <c r="N32" s="159">
        <v>2</v>
      </c>
      <c r="O32" s="160" t="s">
        <v>446</v>
      </c>
      <c r="P32" s="161">
        <v>3423.64</v>
      </c>
      <c r="Q32" s="162">
        <v>45251</v>
      </c>
      <c r="R32" s="153"/>
      <c r="S32" s="153"/>
      <c r="T32" s="153"/>
      <c r="U32" s="153"/>
      <c r="V32" s="153"/>
      <c r="W32" s="153"/>
      <c r="X32" s="153"/>
      <c r="Y32" s="153"/>
      <c r="Z32" s="153"/>
      <c r="AA32" s="153"/>
    </row>
    <row r="33" spans="1:27">
      <c r="A33" s="154">
        <v>1</v>
      </c>
      <c r="B33" s="155" t="s">
        <v>439</v>
      </c>
      <c r="C33" s="156">
        <v>45251</v>
      </c>
      <c r="D33" s="155" t="s">
        <v>440</v>
      </c>
      <c r="E33" s="149" t="s">
        <v>485</v>
      </c>
      <c r="F33" s="149" t="s">
        <v>441</v>
      </c>
      <c r="G33" s="149" t="s">
        <v>442</v>
      </c>
      <c r="H33" s="149" t="str">
        <f t="shared" si="0"/>
        <v>HUGO LARA SÁNCHEZ</v>
      </c>
      <c r="I33" s="149" t="s">
        <v>523</v>
      </c>
      <c r="J33" s="153" t="s">
        <v>473</v>
      </c>
      <c r="K33" s="149" t="s">
        <v>524</v>
      </c>
      <c r="L33" s="157">
        <v>45301</v>
      </c>
      <c r="M33" s="158"/>
      <c r="N33" s="163">
        <v>2</v>
      </c>
      <c r="O33" s="165" t="s">
        <v>446</v>
      </c>
      <c r="P33" s="161">
        <v>3522.73</v>
      </c>
      <c r="Q33" s="162">
        <v>45251</v>
      </c>
      <c r="R33" s="153"/>
      <c r="S33" s="153"/>
      <c r="T33" s="153"/>
      <c r="U33" s="153"/>
      <c r="V33" s="153"/>
      <c r="W33" s="153"/>
      <c r="X33" s="153"/>
      <c r="Y33" s="153"/>
      <c r="Z33" s="153"/>
      <c r="AA33" s="153"/>
    </row>
    <row r="34" spans="1:27">
      <c r="A34" s="154">
        <v>1</v>
      </c>
      <c r="B34" s="155" t="s">
        <v>439</v>
      </c>
      <c r="C34" s="156">
        <v>45265</v>
      </c>
      <c r="D34" s="155" t="s">
        <v>440</v>
      </c>
      <c r="E34" s="149" t="s">
        <v>525</v>
      </c>
      <c r="F34" s="149" t="s">
        <v>441</v>
      </c>
      <c r="G34" s="149" t="s">
        <v>442</v>
      </c>
      <c r="H34" s="149" t="str">
        <f t="shared" si="0"/>
        <v>PILAR CASTRO RUIZ</v>
      </c>
      <c r="I34" s="149" t="s">
        <v>526</v>
      </c>
      <c r="J34" s="153" t="s">
        <v>516</v>
      </c>
      <c r="K34" s="149" t="s">
        <v>527</v>
      </c>
      <c r="L34" s="157">
        <v>45301</v>
      </c>
      <c r="M34" s="158"/>
      <c r="N34" s="163">
        <v>2</v>
      </c>
      <c r="O34" s="165" t="s">
        <v>449</v>
      </c>
      <c r="P34" s="161">
        <v>3000</v>
      </c>
      <c r="Q34" s="162">
        <v>45265</v>
      </c>
      <c r="R34" s="153"/>
      <c r="S34" s="153"/>
      <c r="T34" s="153"/>
      <c r="U34" s="153"/>
      <c r="V34" s="153"/>
      <c r="W34" s="153"/>
      <c r="X34" s="153"/>
      <c r="Y34" s="153"/>
      <c r="Z34" s="153"/>
      <c r="AA34" s="153"/>
    </row>
    <row r="35" spans="1:27">
      <c r="A35" s="154">
        <v>1</v>
      </c>
      <c r="B35" s="155" t="s">
        <v>439</v>
      </c>
      <c r="C35" s="156">
        <v>45279</v>
      </c>
      <c r="D35" s="155" t="s">
        <v>440</v>
      </c>
      <c r="E35" s="149" t="s">
        <v>309</v>
      </c>
      <c r="F35" s="149" t="s">
        <v>441</v>
      </c>
      <c r="G35" s="149" t="s">
        <v>442</v>
      </c>
      <c r="H35" s="149" t="str">
        <f t="shared" si="0"/>
        <v>Alejandro Harguindey Antoli-Candela</v>
      </c>
      <c r="I35" s="149" t="s">
        <v>528</v>
      </c>
      <c r="J35" s="153" t="s">
        <v>444</v>
      </c>
      <c r="K35" s="149" t="s">
        <v>529</v>
      </c>
      <c r="L35" s="157">
        <v>45302</v>
      </c>
      <c r="M35" s="158"/>
      <c r="N35" s="163">
        <v>2</v>
      </c>
      <c r="O35" s="160" t="s">
        <v>466</v>
      </c>
      <c r="P35" s="161">
        <v>4222.7299999999996</v>
      </c>
      <c r="Q35" s="162">
        <v>45279</v>
      </c>
      <c r="R35" s="153"/>
      <c r="S35" s="153"/>
      <c r="T35" s="153"/>
      <c r="U35" s="153"/>
      <c r="V35" s="153"/>
      <c r="W35" s="153"/>
      <c r="X35" s="153"/>
      <c r="Y35" s="153"/>
      <c r="Z35" s="153"/>
      <c r="AA35" s="153"/>
    </row>
    <row r="36" spans="1:27">
      <c r="A36" s="154">
        <v>1</v>
      </c>
      <c r="B36" s="155" t="s">
        <v>439</v>
      </c>
      <c r="C36" s="156">
        <v>45236</v>
      </c>
      <c r="D36" s="155" t="s">
        <v>440</v>
      </c>
      <c r="E36" s="149" t="s">
        <v>530</v>
      </c>
      <c r="F36" s="149" t="s">
        <v>441</v>
      </c>
      <c r="G36" s="149" t="s">
        <v>442</v>
      </c>
      <c r="H36" s="149" t="str">
        <f t="shared" si="0"/>
        <v>JOAQUIM BROTO SUMALLA</v>
      </c>
      <c r="I36" s="149" t="s">
        <v>531</v>
      </c>
      <c r="J36" s="153" t="s">
        <v>532</v>
      </c>
      <c r="K36" s="149" t="s">
        <v>533</v>
      </c>
      <c r="L36" s="157">
        <v>45302</v>
      </c>
      <c r="M36" s="164"/>
      <c r="N36" s="163">
        <v>2</v>
      </c>
      <c r="O36" s="165" t="s">
        <v>518</v>
      </c>
      <c r="P36" s="161">
        <v>2318.1799999999998</v>
      </c>
      <c r="Q36" s="162">
        <v>45236</v>
      </c>
      <c r="R36" s="153"/>
      <c r="S36" s="153"/>
      <c r="T36" s="153"/>
      <c r="U36" s="153"/>
      <c r="V36" s="153"/>
      <c r="W36" s="153"/>
      <c r="X36" s="153"/>
      <c r="Y36" s="153"/>
      <c r="Z36" s="153"/>
      <c r="AA36" s="153"/>
    </row>
    <row r="37" spans="1:27">
      <c r="A37" s="154">
        <v>1</v>
      </c>
      <c r="B37" s="155" t="s">
        <v>439</v>
      </c>
      <c r="C37" s="156">
        <v>45265</v>
      </c>
      <c r="D37" s="155" t="s">
        <v>440</v>
      </c>
      <c r="E37" s="149" t="s">
        <v>115</v>
      </c>
      <c r="F37" s="149" t="s">
        <v>441</v>
      </c>
      <c r="G37" s="149" t="s">
        <v>442</v>
      </c>
      <c r="H37" s="149" t="str">
        <f t="shared" si="0"/>
        <v>LORENA SANZ LÓPEZ</v>
      </c>
      <c r="I37" s="149" t="s">
        <v>534</v>
      </c>
      <c r="J37" s="149" t="s">
        <v>444</v>
      </c>
      <c r="K37" s="149" t="s">
        <v>535</v>
      </c>
      <c r="L37" s="157">
        <v>45302</v>
      </c>
      <c r="M37" s="158"/>
      <c r="N37" s="163">
        <v>1</v>
      </c>
      <c r="O37" s="165" t="s">
        <v>466</v>
      </c>
      <c r="P37" s="161">
        <v>2409.09</v>
      </c>
      <c r="Q37" s="162">
        <v>45265</v>
      </c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27">
      <c r="A38" s="154">
        <v>1</v>
      </c>
      <c r="B38" s="155" t="s">
        <v>439</v>
      </c>
      <c r="C38" s="156">
        <v>45261</v>
      </c>
      <c r="D38" s="155" t="s">
        <v>440</v>
      </c>
      <c r="E38" s="149" t="s">
        <v>138</v>
      </c>
      <c r="F38" s="149" t="s">
        <v>441</v>
      </c>
      <c r="G38" s="149" t="s">
        <v>442</v>
      </c>
      <c r="H38" s="149" t="str">
        <f t="shared" si="0"/>
        <v>DARÍO AGUDELO GARCÍA</v>
      </c>
      <c r="I38" s="149" t="s">
        <v>536</v>
      </c>
      <c r="J38" s="153" t="s">
        <v>532</v>
      </c>
      <c r="K38" s="149" t="s">
        <v>537</v>
      </c>
      <c r="L38" s="157">
        <v>45303</v>
      </c>
      <c r="M38" s="158"/>
      <c r="N38" s="163">
        <v>2</v>
      </c>
      <c r="O38" s="160" t="s">
        <v>449</v>
      </c>
      <c r="P38" s="161">
        <v>2641.82</v>
      </c>
      <c r="Q38" s="162">
        <v>45261</v>
      </c>
      <c r="R38" s="153"/>
      <c r="S38" s="153"/>
      <c r="T38" s="153"/>
      <c r="U38" s="153"/>
      <c r="V38" s="153"/>
      <c r="W38" s="153"/>
      <c r="X38" s="153"/>
      <c r="Y38" s="153"/>
      <c r="Z38" s="153"/>
      <c r="AA38" s="153"/>
    </row>
    <row r="39" spans="1:27">
      <c r="A39" s="154">
        <v>1</v>
      </c>
      <c r="B39" s="155" t="s">
        <v>439</v>
      </c>
      <c r="C39" s="156">
        <v>45264</v>
      </c>
      <c r="D39" s="155" t="s">
        <v>440</v>
      </c>
      <c r="E39" s="149" t="s">
        <v>98</v>
      </c>
      <c r="F39" s="149" t="s">
        <v>441</v>
      </c>
      <c r="G39" s="149" t="s">
        <v>442</v>
      </c>
      <c r="H39" s="149" t="str">
        <f t="shared" si="0"/>
        <v>MARÍA AGUSTINA SEVILLA GARCÍA</v>
      </c>
      <c r="I39" s="149" t="s">
        <v>538</v>
      </c>
      <c r="J39" s="153" t="s">
        <v>462</v>
      </c>
      <c r="K39" s="149" t="s">
        <v>539</v>
      </c>
      <c r="L39" s="157">
        <v>45303</v>
      </c>
      <c r="M39" s="164"/>
      <c r="N39" s="159">
        <v>1</v>
      </c>
      <c r="O39" s="160" t="s">
        <v>446</v>
      </c>
      <c r="P39" s="161">
        <v>2162.73</v>
      </c>
      <c r="Q39" s="162">
        <v>45264</v>
      </c>
      <c r="R39" s="153"/>
      <c r="S39" s="153"/>
      <c r="T39" s="153"/>
      <c r="U39" s="153"/>
      <c r="V39" s="153"/>
      <c r="W39" s="153"/>
      <c r="X39" s="153"/>
      <c r="Y39" s="153"/>
      <c r="Z39" s="153"/>
      <c r="AA39" s="153"/>
    </row>
    <row r="40" spans="1:27">
      <c r="A40" s="154">
        <v>1</v>
      </c>
      <c r="B40" s="155" t="s">
        <v>439</v>
      </c>
      <c r="C40" s="156">
        <v>45275</v>
      </c>
      <c r="D40" s="155" t="s">
        <v>440</v>
      </c>
      <c r="E40" s="149" t="s">
        <v>239</v>
      </c>
      <c r="F40" s="149" t="s">
        <v>441</v>
      </c>
      <c r="G40" s="149" t="s">
        <v>442</v>
      </c>
      <c r="H40" s="149" t="str">
        <f t="shared" si="0"/>
        <v>LUIS FLORENCIO ALBA</v>
      </c>
      <c r="I40" s="149" t="s">
        <v>540</v>
      </c>
      <c r="J40" s="153" t="s">
        <v>455</v>
      </c>
      <c r="K40" s="149" t="s">
        <v>541</v>
      </c>
      <c r="L40" s="157">
        <v>45303</v>
      </c>
      <c r="M40" s="158"/>
      <c r="N40" s="159">
        <v>2</v>
      </c>
      <c r="O40" s="165" t="s">
        <v>446</v>
      </c>
      <c r="P40" s="161">
        <v>3786.36</v>
      </c>
      <c r="Q40" s="162">
        <v>45275</v>
      </c>
      <c r="R40" s="153"/>
      <c r="S40" s="153"/>
      <c r="T40" s="153"/>
      <c r="U40" s="153"/>
      <c r="V40" s="153"/>
      <c r="W40" s="153"/>
      <c r="X40" s="153"/>
      <c r="Y40" s="153"/>
      <c r="Z40" s="153"/>
      <c r="AA40" s="153"/>
    </row>
    <row r="41" spans="1:27">
      <c r="A41" s="154">
        <v>1</v>
      </c>
      <c r="B41" s="155" t="s">
        <v>439</v>
      </c>
      <c r="C41" s="156">
        <v>45264</v>
      </c>
      <c r="D41" s="155" t="s">
        <v>440</v>
      </c>
      <c r="E41" s="149" t="s">
        <v>239</v>
      </c>
      <c r="F41" s="149" t="s">
        <v>441</v>
      </c>
      <c r="G41" s="149" t="s">
        <v>442</v>
      </c>
      <c r="H41" s="149" t="str">
        <f t="shared" si="0"/>
        <v>FRANCISCO ANTONIO PÉREZ FERNÁNDEZ</v>
      </c>
      <c r="I41" s="149" t="s">
        <v>542</v>
      </c>
      <c r="J41" s="153" t="s">
        <v>455</v>
      </c>
      <c r="K41" s="149" t="s">
        <v>543</v>
      </c>
      <c r="L41" s="157">
        <v>45303</v>
      </c>
      <c r="M41" s="158"/>
      <c r="N41" s="159">
        <v>2</v>
      </c>
      <c r="O41" s="165" t="s">
        <v>449</v>
      </c>
      <c r="P41" s="161">
        <v>2653.64</v>
      </c>
      <c r="Q41" s="162">
        <v>45264</v>
      </c>
      <c r="R41" s="153"/>
      <c r="S41" s="153"/>
      <c r="T41" s="153"/>
      <c r="U41" s="153"/>
      <c r="V41" s="153"/>
      <c r="W41" s="153"/>
      <c r="X41" s="153"/>
      <c r="Y41" s="153"/>
      <c r="Z41" s="153"/>
      <c r="AA41" s="153"/>
    </row>
    <row r="42" spans="1:27">
      <c r="A42" s="154">
        <v>1</v>
      </c>
      <c r="B42" s="155" t="s">
        <v>439</v>
      </c>
      <c r="C42" s="156">
        <v>45254</v>
      </c>
      <c r="D42" s="155" t="s">
        <v>440</v>
      </c>
      <c r="E42" s="149" t="s">
        <v>138</v>
      </c>
      <c r="F42" s="160" t="s">
        <v>441</v>
      </c>
      <c r="G42" s="160" t="s">
        <v>442</v>
      </c>
      <c r="H42" s="149" t="str">
        <f t="shared" si="0"/>
        <v>EDUARDO LEHRER CORIAT</v>
      </c>
      <c r="I42" s="149" t="s">
        <v>544</v>
      </c>
      <c r="J42" s="153" t="s">
        <v>532</v>
      </c>
      <c r="K42" s="160" t="s">
        <v>545</v>
      </c>
      <c r="L42" s="157">
        <v>45306</v>
      </c>
      <c r="M42" s="158"/>
      <c r="N42" s="163">
        <v>2</v>
      </c>
      <c r="O42" s="160" t="s">
        <v>446</v>
      </c>
      <c r="P42" s="161">
        <v>3604.42</v>
      </c>
      <c r="Q42" s="162">
        <v>45254</v>
      </c>
      <c r="R42" s="153"/>
      <c r="S42" s="153"/>
      <c r="T42" s="153"/>
      <c r="U42" s="153"/>
      <c r="V42" s="153"/>
      <c r="W42" s="153"/>
      <c r="X42" s="153"/>
      <c r="Y42" s="153"/>
      <c r="Z42" s="153"/>
      <c r="AA42" s="153"/>
    </row>
    <row r="43" spans="1:27">
      <c r="A43" s="154">
        <v>1</v>
      </c>
      <c r="B43" s="155" t="s">
        <v>439</v>
      </c>
      <c r="C43" s="156">
        <v>45286</v>
      </c>
      <c r="D43" s="155" t="s">
        <v>440</v>
      </c>
      <c r="E43" s="160" t="s">
        <v>546</v>
      </c>
      <c r="F43" s="160" t="s">
        <v>441</v>
      </c>
      <c r="G43" s="160" t="s">
        <v>442</v>
      </c>
      <c r="H43" s="149" t="str">
        <f t="shared" si="0"/>
        <v>RAED MAQUED EL MAQUED</v>
      </c>
      <c r="I43" s="149" t="s">
        <v>547</v>
      </c>
      <c r="J43" s="153" t="s">
        <v>548</v>
      </c>
      <c r="K43" s="160" t="s">
        <v>549</v>
      </c>
      <c r="L43" s="157">
        <v>45306</v>
      </c>
      <c r="M43" s="158"/>
      <c r="N43" s="163">
        <v>2</v>
      </c>
      <c r="O43" s="160" t="s">
        <v>466</v>
      </c>
      <c r="P43" s="161">
        <v>3627.27</v>
      </c>
      <c r="Q43" s="162">
        <v>45286</v>
      </c>
      <c r="R43" s="153"/>
      <c r="S43" s="153"/>
      <c r="T43" s="153"/>
      <c r="U43" s="153"/>
      <c r="V43" s="153"/>
      <c r="W43" s="153"/>
      <c r="X43" s="153"/>
      <c r="Y43" s="153"/>
      <c r="Z43" s="153"/>
      <c r="AA43" s="153"/>
    </row>
    <row r="44" spans="1:27">
      <c r="A44" s="154">
        <v>1</v>
      </c>
      <c r="B44" s="155" t="s">
        <v>439</v>
      </c>
      <c r="C44" s="156">
        <v>45247</v>
      </c>
      <c r="D44" s="155" t="s">
        <v>440</v>
      </c>
      <c r="E44" s="149" t="s">
        <v>485</v>
      </c>
      <c r="F44" s="149" t="s">
        <v>450</v>
      </c>
      <c r="G44" s="149" t="s">
        <v>451</v>
      </c>
      <c r="H44" s="149" t="str">
        <f t="shared" si="0"/>
        <v>MARINA MADRIGAL REVUELTA</v>
      </c>
      <c r="I44" s="149" t="s">
        <v>550</v>
      </c>
      <c r="J44" s="153" t="s">
        <v>473</v>
      </c>
      <c r="K44" s="149" t="s">
        <v>551</v>
      </c>
      <c r="L44" s="157">
        <v>45306</v>
      </c>
      <c r="M44" s="158"/>
      <c r="N44" s="163">
        <v>2</v>
      </c>
      <c r="O44" s="165" t="s">
        <v>466</v>
      </c>
      <c r="P44" s="161">
        <v>3977.27</v>
      </c>
      <c r="Q44" s="162">
        <v>45247</v>
      </c>
      <c r="R44" s="153"/>
      <c r="S44" s="153"/>
      <c r="T44" s="153"/>
      <c r="U44" s="153"/>
      <c r="V44" s="153"/>
      <c r="W44" s="153"/>
      <c r="X44" s="153"/>
      <c r="Y44" s="153"/>
      <c r="Z44" s="153"/>
      <c r="AA44" s="153"/>
    </row>
    <row r="45" spans="1:27">
      <c r="A45" s="154">
        <v>1</v>
      </c>
      <c r="B45" s="155" t="s">
        <v>439</v>
      </c>
      <c r="C45" s="156">
        <v>45288</v>
      </c>
      <c r="D45" s="155" t="s">
        <v>440</v>
      </c>
      <c r="E45" s="149" t="s">
        <v>525</v>
      </c>
      <c r="F45" s="149" t="s">
        <v>441</v>
      </c>
      <c r="G45" s="149" t="s">
        <v>442</v>
      </c>
      <c r="H45" s="149" t="str">
        <f t="shared" si="0"/>
        <v>PILAR CASTRO RUIZ</v>
      </c>
      <c r="I45" s="149" t="s">
        <v>526</v>
      </c>
      <c r="J45" s="153" t="s">
        <v>516</v>
      </c>
      <c r="K45" s="149" t="s">
        <v>552</v>
      </c>
      <c r="L45" s="157">
        <v>45306</v>
      </c>
      <c r="M45" s="158"/>
      <c r="N45" s="163">
        <v>2</v>
      </c>
      <c r="O45" s="165" t="s">
        <v>449</v>
      </c>
      <c r="P45" s="161">
        <v>3000</v>
      </c>
      <c r="Q45" s="162">
        <v>45288</v>
      </c>
      <c r="R45" s="153"/>
      <c r="S45" s="153"/>
      <c r="T45" s="153"/>
      <c r="U45" s="153"/>
      <c r="V45" s="153"/>
      <c r="W45" s="153"/>
      <c r="X45" s="153"/>
      <c r="Y45" s="153"/>
      <c r="Z45" s="153"/>
      <c r="AA45" s="153"/>
    </row>
    <row r="46" spans="1:27">
      <c r="A46" s="154">
        <v>1</v>
      </c>
      <c r="B46" s="155" t="s">
        <v>439</v>
      </c>
      <c r="C46" s="156">
        <v>45250</v>
      </c>
      <c r="D46" s="155" t="s">
        <v>440</v>
      </c>
      <c r="E46" s="149" t="s">
        <v>553</v>
      </c>
      <c r="F46" s="149" t="s">
        <v>441</v>
      </c>
      <c r="G46" s="149" t="s">
        <v>442</v>
      </c>
      <c r="H46" s="149" t="str">
        <f t="shared" si="0"/>
        <v>CARLOS VIDAL REDONDO</v>
      </c>
      <c r="I46" s="149" t="s">
        <v>554</v>
      </c>
      <c r="J46" s="153" t="s">
        <v>516</v>
      </c>
      <c r="K46" s="149" t="s">
        <v>555</v>
      </c>
      <c r="L46" s="157">
        <v>45307</v>
      </c>
      <c r="M46" s="158"/>
      <c r="N46" s="159">
        <v>2</v>
      </c>
      <c r="O46" s="160" t="s">
        <v>449</v>
      </c>
      <c r="P46" s="161">
        <v>2700</v>
      </c>
      <c r="Q46" s="162">
        <v>45250</v>
      </c>
      <c r="R46" s="153"/>
      <c r="S46" s="153"/>
      <c r="T46" s="153"/>
      <c r="U46" s="153"/>
      <c r="V46" s="153"/>
      <c r="W46" s="153"/>
      <c r="X46" s="153"/>
      <c r="Y46" s="153"/>
      <c r="Z46" s="153"/>
      <c r="AA46" s="153"/>
    </row>
    <row r="47" spans="1:27">
      <c r="A47" s="154">
        <v>1</v>
      </c>
      <c r="B47" s="155" t="s">
        <v>439</v>
      </c>
      <c r="C47" s="156">
        <v>45261</v>
      </c>
      <c r="D47" s="155" t="s">
        <v>440</v>
      </c>
      <c r="E47" s="149" t="s">
        <v>311</v>
      </c>
      <c r="F47" s="149" t="s">
        <v>441</v>
      </c>
      <c r="G47" s="149" t="s">
        <v>442</v>
      </c>
      <c r="H47" s="149" t="str">
        <f t="shared" si="0"/>
        <v>ADOLFO TOLEDANO MUÑOZ</v>
      </c>
      <c r="I47" s="149" t="s">
        <v>556</v>
      </c>
      <c r="J47" s="153" t="s">
        <v>444</v>
      </c>
      <c r="K47" s="149" t="s">
        <v>557</v>
      </c>
      <c r="L47" s="157">
        <v>45307</v>
      </c>
      <c r="M47" s="164"/>
      <c r="N47" s="163">
        <v>2</v>
      </c>
      <c r="O47" s="160" t="s">
        <v>446</v>
      </c>
      <c r="P47" s="161">
        <v>3424.32</v>
      </c>
      <c r="Q47" s="162">
        <v>45261</v>
      </c>
      <c r="R47" s="153"/>
      <c r="S47" s="153"/>
      <c r="T47" s="153"/>
      <c r="U47" s="153"/>
      <c r="V47" s="153"/>
      <c r="W47" s="153"/>
      <c r="X47" s="153"/>
      <c r="Y47" s="153"/>
      <c r="Z47" s="153"/>
      <c r="AA47" s="153"/>
    </row>
    <row r="48" spans="1:27">
      <c r="A48" s="154">
        <v>1</v>
      </c>
      <c r="B48" s="155" t="s">
        <v>439</v>
      </c>
      <c r="C48" s="156">
        <v>45260</v>
      </c>
      <c r="D48" s="155" t="s">
        <v>440</v>
      </c>
      <c r="E48" s="149" t="s">
        <v>122</v>
      </c>
      <c r="F48" s="149" t="s">
        <v>441</v>
      </c>
      <c r="G48" s="149" t="s">
        <v>442</v>
      </c>
      <c r="H48" s="149" t="str">
        <f t="shared" si="0"/>
        <v>VICENTE MARTÍNEZ SANTOS</v>
      </c>
      <c r="I48" s="149" t="s">
        <v>558</v>
      </c>
      <c r="J48" s="153" t="s">
        <v>444</v>
      </c>
      <c r="K48" s="149" t="s">
        <v>559</v>
      </c>
      <c r="L48" s="157">
        <v>45307</v>
      </c>
      <c r="M48" s="158"/>
      <c r="N48" s="163">
        <v>2</v>
      </c>
      <c r="O48" s="160" t="s">
        <v>446</v>
      </c>
      <c r="P48" s="161">
        <v>3604.55</v>
      </c>
      <c r="Q48" s="162">
        <v>45260</v>
      </c>
      <c r="R48" s="153"/>
      <c r="S48" s="153"/>
      <c r="T48" s="153"/>
      <c r="U48" s="153"/>
      <c r="V48" s="153"/>
      <c r="W48" s="153"/>
      <c r="X48" s="153"/>
      <c r="Y48" s="153"/>
      <c r="Z48" s="153"/>
      <c r="AA48" s="153"/>
    </row>
    <row r="49" spans="1:27">
      <c r="A49" s="154">
        <v>1</v>
      </c>
      <c r="B49" s="155" t="s">
        <v>439</v>
      </c>
      <c r="C49" s="156">
        <v>45253</v>
      </c>
      <c r="D49" s="155" t="s">
        <v>440</v>
      </c>
      <c r="E49" s="160" t="s">
        <v>315</v>
      </c>
      <c r="F49" s="160" t="s">
        <v>441</v>
      </c>
      <c r="G49" s="160" t="s">
        <v>442</v>
      </c>
      <c r="H49" s="149" t="str">
        <f t="shared" si="0"/>
        <v>JOSÉ GUSTAVO BARROSO BRAOJOS</v>
      </c>
      <c r="I49" s="149" t="s">
        <v>560</v>
      </c>
      <c r="J49" s="153" t="s">
        <v>444</v>
      </c>
      <c r="K49" s="160" t="s">
        <v>561</v>
      </c>
      <c r="L49" s="157">
        <v>45307</v>
      </c>
      <c r="M49" s="158"/>
      <c r="N49" s="163">
        <v>2</v>
      </c>
      <c r="O49" s="160" t="s">
        <v>446</v>
      </c>
      <c r="P49" s="161">
        <v>2636.36</v>
      </c>
      <c r="Q49" s="162">
        <v>45253</v>
      </c>
      <c r="R49" s="153"/>
      <c r="S49" s="153"/>
      <c r="T49" s="153"/>
      <c r="U49" s="153"/>
      <c r="V49" s="153"/>
      <c r="W49" s="153"/>
      <c r="X49" s="153"/>
      <c r="Y49" s="153"/>
      <c r="Z49" s="153"/>
      <c r="AA49" s="153"/>
    </row>
    <row r="50" spans="1:27">
      <c r="A50" s="154">
        <v>1</v>
      </c>
      <c r="B50" s="155" t="s">
        <v>439</v>
      </c>
      <c r="C50" s="156">
        <v>45286</v>
      </c>
      <c r="D50" s="155" t="s">
        <v>440</v>
      </c>
      <c r="E50" s="149" t="s">
        <v>271</v>
      </c>
      <c r="F50" s="149" t="s">
        <v>441</v>
      </c>
      <c r="G50" s="149" t="s">
        <v>442</v>
      </c>
      <c r="H50" s="149" t="str">
        <f t="shared" si="0"/>
        <v>ANTONIO BUENO RÍOS</v>
      </c>
      <c r="I50" s="149" t="s">
        <v>519</v>
      </c>
      <c r="J50" s="153" t="s">
        <v>477</v>
      </c>
      <c r="K50" s="149" t="s">
        <v>562</v>
      </c>
      <c r="L50" s="157">
        <v>45307</v>
      </c>
      <c r="M50" s="164"/>
      <c r="N50" s="159">
        <v>2</v>
      </c>
      <c r="O50" s="160" t="s">
        <v>446</v>
      </c>
      <c r="P50" s="161">
        <v>3081.82</v>
      </c>
      <c r="Q50" s="162">
        <v>45286</v>
      </c>
      <c r="R50" s="153"/>
      <c r="S50" s="153"/>
      <c r="T50" s="153"/>
      <c r="U50" s="153"/>
      <c r="V50" s="153"/>
      <c r="W50" s="153"/>
      <c r="X50" s="153"/>
      <c r="Y50" s="153"/>
      <c r="Z50" s="153"/>
      <c r="AA50" s="153"/>
    </row>
    <row r="51" spans="1:27">
      <c r="A51" s="154">
        <v>1</v>
      </c>
      <c r="B51" s="155" t="s">
        <v>439</v>
      </c>
      <c r="C51" s="156">
        <v>45216</v>
      </c>
      <c r="D51" s="155" t="s">
        <v>440</v>
      </c>
      <c r="E51" s="149" t="s">
        <v>563</v>
      </c>
      <c r="F51" s="149" t="s">
        <v>441</v>
      </c>
      <c r="G51" s="149" t="s">
        <v>442</v>
      </c>
      <c r="H51" s="149" t="str">
        <f t="shared" si="0"/>
        <v>MARÍA TERESA HERRERA MERA</v>
      </c>
      <c r="I51" s="149" t="s">
        <v>564</v>
      </c>
      <c r="J51" s="149" t="s">
        <v>444</v>
      </c>
      <c r="K51" s="149" t="s">
        <v>565</v>
      </c>
      <c r="L51" s="157">
        <v>45307</v>
      </c>
      <c r="M51" s="158"/>
      <c r="N51" s="163">
        <v>1</v>
      </c>
      <c r="O51" s="160" t="s">
        <v>446</v>
      </c>
      <c r="P51" s="161">
        <v>2162.73</v>
      </c>
      <c r="Q51" s="162">
        <v>45216</v>
      </c>
      <c r="R51" s="153"/>
      <c r="S51" s="153"/>
      <c r="T51" s="153"/>
      <c r="U51" s="153"/>
      <c r="V51" s="153"/>
      <c r="W51" s="153"/>
      <c r="X51" s="153"/>
      <c r="Y51" s="153"/>
      <c r="Z51" s="153"/>
      <c r="AA51" s="153"/>
    </row>
    <row r="52" spans="1:27">
      <c r="A52" s="154">
        <v>1</v>
      </c>
      <c r="B52" s="155" t="s">
        <v>439</v>
      </c>
      <c r="C52" s="156">
        <v>45219</v>
      </c>
      <c r="D52" s="155" t="s">
        <v>440</v>
      </c>
      <c r="E52" s="149" t="s">
        <v>98</v>
      </c>
      <c r="F52" s="149" t="s">
        <v>441</v>
      </c>
      <c r="G52" s="149" t="s">
        <v>442</v>
      </c>
      <c r="H52" s="149" t="str">
        <f t="shared" si="0"/>
        <v>MARÍA AGUSTINA SEVILLA GARCÍA</v>
      </c>
      <c r="I52" s="149" t="s">
        <v>538</v>
      </c>
      <c r="J52" s="153" t="s">
        <v>462</v>
      </c>
      <c r="K52" s="149" t="s">
        <v>566</v>
      </c>
      <c r="L52" s="157">
        <v>45307</v>
      </c>
      <c r="M52" s="158"/>
      <c r="N52" s="163">
        <v>2</v>
      </c>
      <c r="O52" s="160" t="s">
        <v>446</v>
      </c>
      <c r="P52" s="161">
        <v>3604.5</v>
      </c>
      <c r="Q52" s="162">
        <v>45219</v>
      </c>
      <c r="R52" s="153"/>
      <c r="S52" s="153"/>
      <c r="T52" s="153"/>
      <c r="U52" s="153"/>
      <c r="V52" s="153"/>
      <c r="W52" s="153"/>
      <c r="X52" s="153"/>
      <c r="Y52" s="153"/>
      <c r="Z52" s="153"/>
      <c r="AA52" s="153"/>
    </row>
    <row r="53" spans="1:27">
      <c r="A53" s="154">
        <v>1</v>
      </c>
      <c r="B53" s="155" t="s">
        <v>439</v>
      </c>
      <c r="C53" s="156">
        <v>45267</v>
      </c>
      <c r="D53" s="155" t="s">
        <v>440</v>
      </c>
      <c r="E53" s="149" t="s">
        <v>98</v>
      </c>
      <c r="F53" s="149" t="s">
        <v>441</v>
      </c>
      <c r="G53" s="149" t="s">
        <v>442</v>
      </c>
      <c r="H53" s="149" t="str">
        <f t="shared" si="0"/>
        <v>VANIA NOVOA JUIZ</v>
      </c>
      <c r="I53" s="149" t="s">
        <v>567</v>
      </c>
      <c r="J53" s="153" t="s">
        <v>462</v>
      </c>
      <c r="K53" s="149" t="s">
        <v>568</v>
      </c>
      <c r="L53" s="157">
        <v>45307</v>
      </c>
      <c r="M53" s="158"/>
      <c r="N53" s="163">
        <v>2</v>
      </c>
      <c r="O53" s="160" t="s">
        <v>446</v>
      </c>
      <c r="P53" s="161">
        <v>3604.55</v>
      </c>
      <c r="Q53" s="162">
        <v>45267</v>
      </c>
      <c r="R53" s="153"/>
      <c r="S53" s="153"/>
      <c r="T53" s="153"/>
      <c r="U53" s="153"/>
      <c r="V53" s="153"/>
      <c r="W53" s="153"/>
      <c r="X53" s="153"/>
      <c r="Y53" s="153"/>
      <c r="Z53" s="153"/>
      <c r="AA53" s="153"/>
    </row>
    <row r="54" spans="1:27">
      <c r="A54" s="154">
        <v>1</v>
      </c>
      <c r="B54" s="155" t="s">
        <v>439</v>
      </c>
      <c r="C54" s="156">
        <v>45264</v>
      </c>
      <c r="D54" s="155" t="s">
        <v>440</v>
      </c>
      <c r="E54" s="149" t="s">
        <v>98</v>
      </c>
      <c r="F54" s="149" t="s">
        <v>441</v>
      </c>
      <c r="G54" s="149" t="s">
        <v>442</v>
      </c>
      <c r="H54" s="149" t="str">
        <f t="shared" si="0"/>
        <v>MARÍA AGUSTINA SEVILLA GARCÍA</v>
      </c>
      <c r="I54" s="149" t="s">
        <v>538</v>
      </c>
      <c r="J54" s="149" t="s">
        <v>462</v>
      </c>
      <c r="K54" s="149" t="s">
        <v>569</v>
      </c>
      <c r="L54" s="157">
        <v>45307</v>
      </c>
      <c r="M54" s="158"/>
      <c r="N54" s="159">
        <v>1</v>
      </c>
      <c r="O54" s="160" t="s">
        <v>446</v>
      </c>
      <c r="P54" s="161">
        <v>2054.5500000000002</v>
      </c>
      <c r="Q54" s="162">
        <v>45264</v>
      </c>
      <c r="R54" s="153"/>
      <c r="S54" s="153"/>
      <c r="T54" s="153"/>
      <c r="U54" s="153"/>
      <c r="V54" s="153"/>
      <c r="W54" s="153"/>
      <c r="X54" s="153"/>
      <c r="Y54" s="153"/>
      <c r="Z54" s="153"/>
      <c r="AA54" s="153"/>
    </row>
    <row r="55" spans="1:27">
      <c r="A55" s="154">
        <v>1</v>
      </c>
      <c r="B55" s="155" t="s">
        <v>439</v>
      </c>
      <c r="C55" s="156">
        <v>45258</v>
      </c>
      <c r="D55" s="155" t="s">
        <v>440</v>
      </c>
      <c r="E55" s="149" t="s">
        <v>506</v>
      </c>
      <c r="F55" s="149" t="s">
        <v>441</v>
      </c>
      <c r="G55" s="149" t="s">
        <v>442</v>
      </c>
      <c r="H55" s="149" t="str">
        <f t="shared" si="0"/>
        <v>MARÍA JESÚS CORNEJO DOMÍNGUEZ</v>
      </c>
      <c r="I55" s="149" t="s">
        <v>507</v>
      </c>
      <c r="J55" s="153" t="s">
        <v>473</v>
      </c>
      <c r="K55" s="149" t="s">
        <v>570</v>
      </c>
      <c r="L55" s="157">
        <v>45307</v>
      </c>
      <c r="M55" s="164"/>
      <c r="N55" s="159">
        <v>2</v>
      </c>
      <c r="O55" s="165" t="s">
        <v>446</v>
      </c>
      <c r="P55" s="161">
        <v>3604.55</v>
      </c>
      <c r="Q55" s="162">
        <v>45258</v>
      </c>
      <c r="R55" s="153"/>
      <c r="S55" s="153"/>
      <c r="T55" s="153"/>
      <c r="U55" s="153"/>
      <c r="V55" s="153"/>
      <c r="W55" s="153"/>
      <c r="X55" s="153"/>
      <c r="Y55" s="153"/>
      <c r="Z55" s="153"/>
      <c r="AA55" s="153"/>
    </row>
    <row r="56" spans="1:27">
      <c r="A56" s="154">
        <v>1</v>
      </c>
      <c r="B56" s="155" t="s">
        <v>439</v>
      </c>
      <c r="C56" s="156">
        <v>45288</v>
      </c>
      <c r="D56" s="155" t="s">
        <v>440</v>
      </c>
      <c r="E56" s="149" t="s">
        <v>571</v>
      </c>
      <c r="F56" s="149" t="s">
        <v>441</v>
      </c>
      <c r="G56" s="149" t="s">
        <v>442</v>
      </c>
      <c r="H56" s="149" t="str">
        <f t="shared" si="0"/>
        <v>JESÚS JOSÉ FRAILE RODRIGO</v>
      </c>
      <c r="I56" s="149" t="s">
        <v>572</v>
      </c>
      <c r="J56" s="153" t="s">
        <v>532</v>
      </c>
      <c r="K56" s="149" t="s">
        <v>573</v>
      </c>
      <c r="L56" s="157">
        <v>45307</v>
      </c>
      <c r="M56" s="158"/>
      <c r="N56" s="163">
        <v>2</v>
      </c>
      <c r="O56" s="165" t="s">
        <v>446</v>
      </c>
      <c r="P56" s="161">
        <v>3424.55</v>
      </c>
      <c r="Q56" s="162">
        <v>45288</v>
      </c>
      <c r="R56" s="153"/>
      <c r="S56" s="153"/>
      <c r="T56" s="153"/>
      <c r="U56" s="153"/>
      <c r="V56" s="153"/>
      <c r="W56" s="153"/>
      <c r="X56" s="153"/>
      <c r="Y56" s="153"/>
      <c r="Z56" s="153"/>
      <c r="AA56" s="153"/>
    </row>
    <row r="57" spans="1:27">
      <c r="A57" s="154">
        <v>1</v>
      </c>
      <c r="B57" s="155" t="s">
        <v>439</v>
      </c>
      <c r="C57" s="156">
        <v>45271</v>
      </c>
      <c r="D57" s="155" t="s">
        <v>440</v>
      </c>
      <c r="E57" s="149" t="s">
        <v>317</v>
      </c>
      <c r="F57" s="149" t="s">
        <v>441</v>
      </c>
      <c r="G57" s="149" t="s">
        <v>442</v>
      </c>
      <c r="H57" s="149" t="str">
        <f t="shared" si="0"/>
        <v>ALICIA MATEO ESPINOSA</v>
      </c>
      <c r="I57" s="149" t="s">
        <v>574</v>
      </c>
      <c r="J57" s="153" t="s">
        <v>462</v>
      </c>
      <c r="K57" s="149" t="s">
        <v>575</v>
      </c>
      <c r="L57" s="157">
        <v>45308</v>
      </c>
      <c r="M57" s="158"/>
      <c r="N57" s="163">
        <v>2</v>
      </c>
      <c r="O57" s="160" t="s">
        <v>446</v>
      </c>
      <c r="P57" s="161">
        <v>3604.55</v>
      </c>
      <c r="Q57" s="162">
        <v>45271</v>
      </c>
      <c r="R57" s="153"/>
      <c r="S57" s="153"/>
      <c r="T57" s="153"/>
      <c r="U57" s="153"/>
      <c r="V57" s="153"/>
      <c r="W57" s="153"/>
      <c r="X57" s="153"/>
      <c r="Y57" s="153"/>
      <c r="Z57" s="153"/>
      <c r="AA57" s="153"/>
    </row>
    <row r="58" spans="1:27">
      <c r="A58" s="154">
        <v>1</v>
      </c>
      <c r="B58" s="155" t="s">
        <v>439</v>
      </c>
      <c r="C58" s="156">
        <v>45273</v>
      </c>
      <c r="D58" s="155" t="s">
        <v>440</v>
      </c>
      <c r="E58" s="149" t="s">
        <v>311</v>
      </c>
      <c r="F58" s="149" t="s">
        <v>441</v>
      </c>
      <c r="G58" s="149" t="s">
        <v>442</v>
      </c>
      <c r="H58" s="149" t="str">
        <f t="shared" si="0"/>
        <v>VICTORIA GARCÍA PECES</v>
      </c>
      <c r="I58" s="149" t="s">
        <v>488</v>
      </c>
      <c r="J58" s="153" t="s">
        <v>444</v>
      </c>
      <c r="K58" s="149" t="s">
        <v>576</v>
      </c>
      <c r="L58" s="157">
        <v>45308</v>
      </c>
      <c r="M58" s="158"/>
      <c r="N58" s="163">
        <v>1</v>
      </c>
      <c r="O58" s="160" t="s">
        <v>446</v>
      </c>
      <c r="P58" s="161">
        <v>2162.73</v>
      </c>
      <c r="Q58" s="162">
        <v>45273</v>
      </c>
      <c r="R58" s="153"/>
      <c r="S58" s="153"/>
      <c r="T58" s="153"/>
      <c r="U58" s="153"/>
      <c r="V58" s="153"/>
      <c r="W58" s="153"/>
      <c r="X58" s="153"/>
      <c r="Y58" s="153"/>
      <c r="Z58" s="153"/>
      <c r="AA58" s="153"/>
    </row>
    <row r="59" spans="1:27">
      <c r="A59" s="154">
        <v>1</v>
      </c>
      <c r="B59" s="155" t="s">
        <v>439</v>
      </c>
      <c r="C59" s="156">
        <v>45239</v>
      </c>
      <c r="D59" s="155" t="s">
        <v>440</v>
      </c>
      <c r="E59" s="149" t="s">
        <v>475</v>
      </c>
      <c r="F59" s="149" t="s">
        <v>441</v>
      </c>
      <c r="G59" s="149" t="s">
        <v>442</v>
      </c>
      <c r="H59" s="149" t="str">
        <f t="shared" si="0"/>
        <v>MÓNICA GRANDA ROSALES</v>
      </c>
      <c r="I59" s="149" t="s">
        <v>476</v>
      </c>
      <c r="J59" s="153" t="s">
        <v>477</v>
      </c>
      <c r="K59" s="149" t="s">
        <v>577</v>
      </c>
      <c r="L59" s="157">
        <v>45308</v>
      </c>
      <c r="M59" s="164"/>
      <c r="N59" s="163">
        <v>2</v>
      </c>
      <c r="O59" s="165" t="s">
        <v>449</v>
      </c>
      <c r="P59" s="161">
        <v>2727.27</v>
      </c>
      <c r="Q59" s="162">
        <v>45239</v>
      </c>
      <c r="R59" s="153"/>
      <c r="S59" s="153"/>
      <c r="T59" s="153"/>
      <c r="U59" s="153"/>
      <c r="V59" s="153"/>
      <c r="W59" s="153"/>
      <c r="X59" s="153"/>
      <c r="Y59" s="153"/>
      <c r="Z59" s="153"/>
      <c r="AA59" s="153"/>
    </row>
    <row r="60" spans="1:27">
      <c r="A60" s="154">
        <v>1</v>
      </c>
      <c r="B60" s="155" t="s">
        <v>439</v>
      </c>
      <c r="C60" s="156">
        <v>45286</v>
      </c>
      <c r="D60" s="155" t="s">
        <v>440</v>
      </c>
      <c r="E60" s="149" t="s">
        <v>115</v>
      </c>
      <c r="F60" s="149" t="s">
        <v>441</v>
      </c>
      <c r="G60" s="149" t="s">
        <v>442</v>
      </c>
      <c r="H60" s="149" t="str">
        <f t="shared" si="0"/>
        <v>MARÍA GARROTE GARROTE</v>
      </c>
      <c r="I60" s="149" t="s">
        <v>447</v>
      </c>
      <c r="J60" s="149" t="s">
        <v>444</v>
      </c>
      <c r="K60" s="149" t="s">
        <v>578</v>
      </c>
      <c r="L60" s="157">
        <v>45308</v>
      </c>
      <c r="M60" s="158"/>
      <c r="N60" s="163">
        <v>2</v>
      </c>
      <c r="O60" s="165" t="s">
        <v>449</v>
      </c>
      <c r="P60" s="161">
        <v>2780.91</v>
      </c>
      <c r="Q60" s="162">
        <v>45286</v>
      </c>
      <c r="R60" s="153"/>
      <c r="S60" s="153"/>
      <c r="T60" s="153"/>
      <c r="U60" s="153"/>
      <c r="V60" s="153"/>
      <c r="W60" s="153"/>
      <c r="X60" s="153"/>
      <c r="Y60" s="153"/>
      <c r="Z60" s="153"/>
      <c r="AA60" s="153"/>
    </row>
    <row r="61" spans="1:27">
      <c r="A61" s="154">
        <v>1</v>
      </c>
      <c r="B61" s="155" t="s">
        <v>439</v>
      </c>
      <c r="C61" s="156">
        <v>45280</v>
      </c>
      <c r="D61" s="155" t="s">
        <v>440</v>
      </c>
      <c r="E61" s="149" t="s">
        <v>115</v>
      </c>
      <c r="F61" s="149" t="s">
        <v>441</v>
      </c>
      <c r="G61" s="149" t="s">
        <v>442</v>
      </c>
      <c r="H61" s="149" t="str">
        <f t="shared" si="0"/>
        <v>PALOMA PINACHO MARTÍNEZ</v>
      </c>
      <c r="I61" s="149" t="s">
        <v>579</v>
      </c>
      <c r="J61" s="153" t="s">
        <v>444</v>
      </c>
      <c r="K61" s="149" t="s">
        <v>580</v>
      </c>
      <c r="L61" s="157">
        <v>45309</v>
      </c>
      <c r="M61" s="158"/>
      <c r="N61" s="163">
        <v>1</v>
      </c>
      <c r="O61" s="165" t="s">
        <v>446</v>
      </c>
      <c r="P61" s="161">
        <v>2162.73</v>
      </c>
      <c r="Q61" s="162">
        <v>45280</v>
      </c>
      <c r="R61" s="153"/>
      <c r="S61" s="153"/>
      <c r="T61" s="153"/>
      <c r="U61" s="153"/>
      <c r="V61" s="153"/>
      <c r="W61" s="153"/>
      <c r="X61" s="153"/>
      <c r="Y61" s="153"/>
      <c r="Z61" s="153"/>
      <c r="AA61" s="153"/>
    </row>
    <row r="62" spans="1:27">
      <c r="A62" s="154">
        <v>1</v>
      </c>
      <c r="B62" s="155" t="s">
        <v>439</v>
      </c>
      <c r="C62" s="156">
        <v>45279</v>
      </c>
      <c r="D62" s="155" t="s">
        <v>440</v>
      </c>
      <c r="E62" s="160" t="s">
        <v>115</v>
      </c>
      <c r="F62" s="160" t="s">
        <v>441</v>
      </c>
      <c r="G62" s="160" t="s">
        <v>442</v>
      </c>
      <c r="H62" s="149" t="str">
        <f t="shared" si="0"/>
        <v>LORENA SANZ LÓPEZ</v>
      </c>
      <c r="I62" s="149" t="s">
        <v>534</v>
      </c>
      <c r="J62" s="149" t="s">
        <v>444</v>
      </c>
      <c r="K62" s="160" t="s">
        <v>581</v>
      </c>
      <c r="L62" s="157">
        <v>45309</v>
      </c>
      <c r="M62" s="158"/>
      <c r="N62" s="163">
        <v>2</v>
      </c>
      <c r="O62" s="165" t="s">
        <v>446</v>
      </c>
      <c r="P62" s="161">
        <v>3604.55</v>
      </c>
      <c r="Q62" s="162">
        <v>45279</v>
      </c>
      <c r="R62" s="153"/>
      <c r="S62" s="153"/>
      <c r="T62" s="153"/>
      <c r="U62" s="153"/>
      <c r="V62" s="153"/>
      <c r="W62" s="153"/>
      <c r="X62" s="153"/>
      <c r="Y62" s="153"/>
      <c r="Z62" s="153"/>
      <c r="AA62" s="153"/>
    </row>
    <row r="63" spans="1:27">
      <c r="A63" s="154">
        <v>1</v>
      </c>
      <c r="B63" s="155" t="s">
        <v>439</v>
      </c>
      <c r="C63" s="156">
        <v>44907</v>
      </c>
      <c r="D63" s="155" t="s">
        <v>440</v>
      </c>
      <c r="E63" s="149" t="s">
        <v>582</v>
      </c>
      <c r="F63" s="149" t="s">
        <v>441</v>
      </c>
      <c r="G63" s="149" t="s">
        <v>583</v>
      </c>
      <c r="H63" s="149" t="str">
        <f t="shared" si="0"/>
        <v>MERCEDES ÁLVAREZ-BUYLLA BLANCO</v>
      </c>
      <c r="I63" s="149" t="s">
        <v>584</v>
      </c>
      <c r="J63" s="153" t="s">
        <v>516</v>
      </c>
      <c r="K63" s="149" t="s">
        <v>585</v>
      </c>
      <c r="L63" s="157">
        <v>45310</v>
      </c>
      <c r="M63" s="158" t="s">
        <v>586</v>
      </c>
      <c r="N63" s="159">
        <v>2</v>
      </c>
      <c r="O63" s="160" t="s">
        <v>587</v>
      </c>
      <c r="P63" s="161">
        <v>3109.09</v>
      </c>
      <c r="Q63" s="162">
        <v>44907</v>
      </c>
      <c r="R63" s="153"/>
      <c r="S63" s="153"/>
      <c r="T63" s="153"/>
      <c r="U63" s="153"/>
      <c r="V63" s="153"/>
      <c r="W63" s="153"/>
      <c r="X63" s="153"/>
      <c r="Y63" s="153"/>
      <c r="Z63" s="153"/>
      <c r="AA63" s="153"/>
    </row>
    <row r="64" spans="1:27">
      <c r="A64" s="154">
        <v>1</v>
      </c>
      <c r="B64" s="155" t="s">
        <v>439</v>
      </c>
      <c r="C64" s="156">
        <v>45259</v>
      </c>
      <c r="D64" s="155" t="s">
        <v>440</v>
      </c>
      <c r="E64" s="149" t="s">
        <v>158</v>
      </c>
      <c r="F64" s="149" t="s">
        <v>441</v>
      </c>
      <c r="G64" s="149" t="s">
        <v>442</v>
      </c>
      <c r="H64" s="149" t="str">
        <f t="shared" si="0"/>
        <v>GARCÍA DOMÍNGUEZ</v>
      </c>
      <c r="I64" s="149" t="s">
        <v>588</v>
      </c>
      <c r="J64" s="153" t="s">
        <v>444</v>
      </c>
      <c r="K64" s="149" t="s">
        <v>589</v>
      </c>
      <c r="L64" s="157">
        <v>45310</v>
      </c>
      <c r="M64" s="164"/>
      <c r="N64" s="163">
        <v>2</v>
      </c>
      <c r="O64" s="160" t="s">
        <v>466</v>
      </c>
      <c r="P64" s="161">
        <v>4011.59</v>
      </c>
      <c r="Q64" s="162">
        <v>45259</v>
      </c>
      <c r="R64" s="153"/>
      <c r="S64" s="153"/>
      <c r="T64" s="153"/>
      <c r="U64" s="153"/>
      <c r="V64" s="153"/>
      <c r="W64" s="153"/>
      <c r="X64" s="153"/>
      <c r="Y64" s="153"/>
      <c r="Z64" s="153"/>
      <c r="AA64" s="153"/>
    </row>
    <row r="65" spans="1:27">
      <c r="A65" s="154">
        <v>1</v>
      </c>
      <c r="B65" s="155" t="s">
        <v>439</v>
      </c>
      <c r="C65" s="156">
        <v>45215</v>
      </c>
      <c r="D65" s="155" t="s">
        <v>440</v>
      </c>
      <c r="E65" s="149" t="s">
        <v>471</v>
      </c>
      <c r="F65" s="149" t="s">
        <v>441</v>
      </c>
      <c r="G65" s="149" t="s">
        <v>442</v>
      </c>
      <c r="H65" s="149" t="str">
        <f t="shared" si="0"/>
        <v>MANUEL ACUÑA GARCÍA</v>
      </c>
      <c r="I65" s="149" t="s">
        <v>472</v>
      </c>
      <c r="J65" s="153" t="s">
        <v>473</v>
      </c>
      <c r="K65" s="149" t="s">
        <v>590</v>
      </c>
      <c r="L65" s="157">
        <v>45310</v>
      </c>
      <c r="M65" s="158"/>
      <c r="N65" s="163">
        <v>2</v>
      </c>
      <c r="O65" s="165" t="s">
        <v>513</v>
      </c>
      <c r="P65" s="161">
        <v>4205.45</v>
      </c>
      <c r="Q65" s="162">
        <v>45215</v>
      </c>
      <c r="R65" s="153"/>
      <c r="S65" s="153"/>
      <c r="T65" s="153"/>
      <c r="U65" s="153"/>
      <c r="V65" s="153"/>
      <c r="W65" s="153"/>
      <c r="X65" s="153"/>
      <c r="Y65" s="153"/>
      <c r="Z65" s="153"/>
      <c r="AA65" s="153"/>
    </row>
    <row r="66" spans="1:27">
      <c r="A66" s="154">
        <v>1</v>
      </c>
      <c r="B66" s="155" t="s">
        <v>439</v>
      </c>
      <c r="C66" s="156">
        <v>45275</v>
      </c>
      <c r="D66" s="155" t="s">
        <v>440</v>
      </c>
      <c r="E66" s="149" t="s">
        <v>145</v>
      </c>
      <c r="F66" s="149" t="s">
        <v>441</v>
      </c>
      <c r="G66" s="149" t="s">
        <v>442</v>
      </c>
      <c r="H66" s="149" t="str">
        <f t="shared" si="0"/>
        <v>JESUS-MARIA GRASA PÉREZ</v>
      </c>
      <c r="I66" s="149" t="s">
        <v>591</v>
      </c>
      <c r="J66" s="153" t="s">
        <v>532</v>
      </c>
      <c r="K66" s="149" t="s">
        <v>592</v>
      </c>
      <c r="L66" s="157">
        <v>45313</v>
      </c>
      <c r="M66" s="158"/>
      <c r="N66" s="163">
        <v>2</v>
      </c>
      <c r="O66" s="160" t="s">
        <v>446</v>
      </c>
      <c r="P66" s="161">
        <v>3604.55</v>
      </c>
      <c r="Q66" s="162">
        <v>45275</v>
      </c>
      <c r="R66" s="153"/>
      <c r="S66" s="153"/>
      <c r="T66" s="153"/>
      <c r="U66" s="153"/>
      <c r="V66" s="153"/>
      <c r="W66" s="153"/>
      <c r="X66" s="153"/>
      <c r="Y66" s="153"/>
      <c r="Z66" s="153"/>
      <c r="AA66" s="153"/>
    </row>
    <row r="67" spans="1:27">
      <c r="A67" s="154">
        <v>1</v>
      </c>
      <c r="B67" s="155" t="s">
        <v>439</v>
      </c>
      <c r="C67" s="156">
        <v>45257</v>
      </c>
      <c r="D67" s="155" t="s">
        <v>440</v>
      </c>
      <c r="E67" s="149" t="s">
        <v>501</v>
      </c>
      <c r="F67" s="149" t="s">
        <v>441</v>
      </c>
      <c r="G67" s="149" t="s">
        <v>442</v>
      </c>
      <c r="H67" s="149" t="str">
        <f t="shared" si="0"/>
        <v>FERNANDO SALAZAR BARCELONA</v>
      </c>
      <c r="I67" s="149" t="s">
        <v>502</v>
      </c>
      <c r="J67" s="153" t="s">
        <v>477</v>
      </c>
      <c r="K67" s="149" t="s">
        <v>593</v>
      </c>
      <c r="L67" s="157">
        <v>45313</v>
      </c>
      <c r="M67" s="158"/>
      <c r="N67" s="163">
        <v>2</v>
      </c>
      <c r="O67" s="160" t="s">
        <v>446</v>
      </c>
      <c r="P67" s="161">
        <v>3272.73</v>
      </c>
      <c r="Q67" s="162">
        <v>45257</v>
      </c>
      <c r="R67" s="153"/>
      <c r="S67" s="153"/>
      <c r="T67" s="153"/>
      <c r="U67" s="153"/>
      <c r="V67" s="153"/>
      <c r="W67" s="153"/>
      <c r="X67" s="153"/>
      <c r="Y67" s="153"/>
      <c r="Z67" s="153"/>
      <c r="AA67" s="153"/>
    </row>
    <row r="68" spans="1:27">
      <c r="A68" s="154">
        <v>1</v>
      </c>
      <c r="B68" s="155" t="s">
        <v>439</v>
      </c>
      <c r="C68" s="156">
        <v>45068</v>
      </c>
      <c r="D68" s="155" t="s">
        <v>440</v>
      </c>
      <c r="E68" s="149" t="s">
        <v>98</v>
      </c>
      <c r="F68" s="149" t="s">
        <v>441</v>
      </c>
      <c r="G68" s="149" t="s">
        <v>442</v>
      </c>
      <c r="H68" s="149" t="str">
        <f t="shared" si="0"/>
        <v>JESÚS MIGUEL INIESTA TURPÍN</v>
      </c>
      <c r="I68" s="149" t="s">
        <v>594</v>
      </c>
      <c r="J68" s="153" t="s">
        <v>462</v>
      </c>
      <c r="K68" s="149" t="s">
        <v>595</v>
      </c>
      <c r="L68" s="157">
        <v>45313</v>
      </c>
      <c r="M68" s="158"/>
      <c r="N68" s="163">
        <v>2</v>
      </c>
      <c r="O68" s="160" t="s">
        <v>449</v>
      </c>
      <c r="P68" s="161">
        <v>2471.15</v>
      </c>
      <c r="Q68" s="162">
        <v>45068</v>
      </c>
      <c r="R68" s="153"/>
      <c r="S68" s="153"/>
      <c r="T68" s="153"/>
      <c r="U68" s="153"/>
      <c r="V68" s="153"/>
      <c r="W68" s="153"/>
      <c r="X68" s="153"/>
      <c r="Y68" s="153"/>
      <c r="Z68" s="153"/>
      <c r="AA68" s="153"/>
    </row>
    <row r="69" spans="1:27">
      <c r="A69" s="154">
        <v>1</v>
      </c>
      <c r="B69" s="155" t="s">
        <v>439</v>
      </c>
      <c r="C69" s="156">
        <v>45246</v>
      </c>
      <c r="D69" s="155" t="s">
        <v>440</v>
      </c>
      <c r="E69" s="149" t="s">
        <v>98</v>
      </c>
      <c r="F69" s="149" t="s">
        <v>441</v>
      </c>
      <c r="G69" s="149" t="s">
        <v>442</v>
      </c>
      <c r="H69" s="149" t="str">
        <f t="shared" si="0"/>
        <v>MARÍA AGUSTINA SEVILLA GARCÍA</v>
      </c>
      <c r="I69" s="149" t="s">
        <v>538</v>
      </c>
      <c r="J69" s="153" t="s">
        <v>462</v>
      </c>
      <c r="K69" s="149" t="s">
        <v>596</v>
      </c>
      <c r="L69" s="157">
        <v>45313</v>
      </c>
      <c r="M69" s="158"/>
      <c r="N69" s="163">
        <v>2</v>
      </c>
      <c r="O69" s="160" t="s">
        <v>466</v>
      </c>
      <c r="P69" s="161">
        <v>4222.7299999999996</v>
      </c>
      <c r="Q69" s="162">
        <v>45246</v>
      </c>
      <c r="R69" s="153"/>
      <c r="S69" s="153"/>
      <c r="T69" s="153"/>
      <c r="U69" s="153"/>
      <c r="V69" s="153"/>
      <c r="W69" s="153"/>
      <c r="X69" s="153"/>
      <c r="Y69" s="153"/>
      <c r="Z69" s="153"/>
      <c r="AA69" s="153"/>
    </row>
    <row r="70" spans="1:27">
      <c r="A70" s="154">
        <v>1</v>
      </c>
      <c r="B70" s="155" t="s">
        <v>439</v>
      </c>
      <c r="C70" s="156">
        <v>45282</v>
      </c>
      <c r="D70" s="155" t="s">
        <v>440</v>
      </c>
      <c r="E70" s="149" t="s">
        <v>115</v>
      </c>
      <c r="F70" s="149" t="s">
        <v>441</v>
      </c>
      <c r="G70" s="149" t="s">
        <v>442</v>
      </c>
      <c r="H70" s="149" t="str">
        <f t="shared" si="0"/>
        <v>PALOMA PINACHO MARTÍNEZ</v>
      </c>
      <c r="I70" s="149" t="s">
        <v>579</v>
      </c>
      <c r="J70" s="149" t="s">
        <v>444</v>
      </c>
      <c r="K70" s="149" t="s">
        <v>597</v>
      </c>
      <c r="L70" s="157">
        <v>45313</v>
      </c>
      <c r="M70" s="158"/>
      <c r="N70" s="163">
        <v>1</v>
      </c>
      <c r="O70" s="165" t="s">
        <v>446</v>
      </c>
      <c r="P70" s="161">
        <v>2162.73</v>
      </c>
      <c r="Q70" s="162">
        <v>45282</v>
      </c>
      <c r="R70" s="153"/>
      <c r="S70" s="153"/>
      <c r="T70" s="153"/>
      <c r="U70" s="153"/>
      <c r="V70" s="153"/>
      <c r="W70" s="153"/>
      <c r="X70" s="153"/>
      <c r="Y70" s="153"/>
      <c r="Z70" s="153"/>
      <c r="AA70" s="153"/>
    </row>
    <row r="71" spans="1:27">
      <c r="A71" s="154">
        <v>1</v>
      </c>
      <c r="B71" s="155" t="s">
        <v>439</v>
      </c>
      <c r="C71" s="156">
        <v>45272</v>
      </c>
      <c r="D71" s="155" t="s">
        <v>440</v>
      </c>
      <c r="E71" s="149" t="s">
        <v>485</v>
      </c>
      <c r="F71" s="149" t="s">
        <v>441</v>
      </c>
      <c r="G71" s="149" t="s">
        <v>442</v>
      </c>
      <c r="H71" s="149" t="str">
        <f t="shared" si="0"/>
        <v>MARINA MADRIGAL REVUELTA</v>
      </c>
      <c r="I71" s="149" t="s">
        <v>550</v>
      </c>
      <c r="J71" s="153" t="s">
        <v>473</v>
      </c>
      <c r="K71" s="149" t="s">
        <v>598</v>
      </c>
      <c r="L71" s="157">
        <v>45313</v>
      </c>
      <c r="M71" s="158"/>
      <c r="N71" s="163">
        <v>2</v>
      </c>
      <c r="O71" s="165" t="s">
        <v>466</v>
      </c>
      <c r="P71" s="161">
        <v>3977.27</v>
      </c>
      <c r="Q71" s="162">
        <v>45272</v>
      </c>
      <c r="R71" s="153"/>
      <c r="S71" s="153"/>
      <c r="T71" s="153"/>
      <c r="U71" s="153"/>
      <c r="V71" s="153"/>
      <c r="W71" s="153"/>
      <c r="X71" s="153"/>
      <c r="Y71" s="153"/>
      <c r="Z71" s="153"/>
      <c r="AA71" s="153"/>
    </row>
    <row r="72" spans="1:27">
      <c r="A72" s="154">
        <v>1</v>
      </c>
      <c r="B72" s="155" t="s">
        <v>439</v>
      </c>
      <c r="C72" s="156">
        <v>45289</v>
      </c>
      <c r="D72" s="155" t="s">
        <v>440</v>
      </c>
      <c r="E72" s="149" t="s">
        <v>571</v>
      </c>
      <c r="F72" s="149" t="s">
        <v>441</v>
      </c>
      <c r="G72" s="149" t="s">
        <v>442</v>
      </c>
      <c r="H72" s="149" t="str">
        <f t="shared" si="0"/>
        <v>JOSÉ MANUEL GARCÍA SOLANS-ESTERAS</v>
      </c>
      <c r="I72" s="149" t="s">
        <v>599</v>
      </c>
      <c r="J72" s="153" t="s">
        <v>532</v>
      </c>
      <c r="K72" s="149" t="s">
        <v>600</v>
      </c>
      <c r="L72" s="157">
        <v>45313</v>
      </c>
      <c r="M72" s="158"/>
      <c r="N72" s="163">
        <v>2</v>
      </c>
      <c r="O72" s="165" t="s">
        <v>446</v>
      </c>
      <c r="P72" s="161">
        <v>3604.55</v>
      </c>
      <c r="Q72" s="162">
        <v>45289</v>
      </c>
      <c r="R72" s="153"/>
      <c r="S72" s="153"/>
      <c r="T72" s="153"/>
      <c r="U72" s="153"/>
      <c r="V72" s="153"/>
      <c r="W72" s="153"/>
      <c r="X72" s="153"/>
      <c r="Y72" s="153"/>
      <c r="Z72" s="153"/>
      <c r="AA72" s="153"/>
    </row>
    <row r="73" spans="1:27">
      <c r="A73" s="154">
        <v>1</v>
      </c>
      <c r="B73" s="155" t="s">
        <v>439</v>
      </c>
      <c r="C73" s="156">
        <v>45295</v>
      </c>
      <c r="D73" s="155" t="s">
        <v>440</v>
      </c>
      <c r="E73" s="160" t="s">
        <v>601</v>
      </c>
      <c r="F73" s="160" t="s">
        <v>441</v>
      </c>
      <c r="G73" s="160" t="s">
        <v>442</v>
      </c>
      <c r="H73" s="149" t="str">
        <f t="shared" si="0"/>
        <v>JOSÉ EUGENIO ESTRADA GROMAZ</v>
      </c>
      <c r="I73" s="149" t="s">
        <v>602</v>
      </c>
      <c r="J73" s="153" t="s">
        <v>516</v>
      </c>
      <c r="K73" s="160" t="s">
        <v>603</v>
      </c>
      <c r="L73" s="157">
        <v>45314</v>
      </c>
      <c r="M73" s="158"/>
      <c r="N73" s="163">
        <v>2</v>
      </c>
      <c r="O73" s="160" t="s">
        <v>446</v>
      </c>
      <c r="P73" s="161">
        <v>3909.09</v>
      </c>
      <c r="Q73" s="162">
        <v>45295</v>
      </c>
      <c r="R73" s="153"/>
      <c r="S73" s="153"/>
      <c r="T73" s="153"/>
      <c r="U73" s="153"/>
      <c r="V73" s="153"/>
      <c r="W73" s="153"/>
      <c r="X73" s="153"/>
      <c r="Y73" s="153"/>
      <c r="Z73" s="153"/>
      <c r="AA73" s="153"/>
    </row>
    <row r="74" spans="1:27">
      <c r="A74" s="154">
        <v>1</v>
      </c>
      <c r="B74" s="155" t="s">
        <v>439</v>
      </c>
      <c r="C74" s="156">
        <v>45307</v>
      </c>
      <c r="D74" s="155" t="s">
        <v>440</v>
      </c>
      <c r="E74" s="149" t="s">
        <v>604</v>
      </c>
      <c r="F74" s="149" t="s">
        <v>441</v>
      </c>
      <c r="G74" s="149" t="s">
        <v>442</v>
      </c>
      <c r="H74" s="149" t="str">
        <f t="shared" si="0"/>
        <v>EDUARDO CABANAS RODRÍGUEZ</v>
      </c>
      <c r="I74" s="149" t="s">
        <v>605</v>
      </c>
      <c r="J74" s="153" t="s">
        <v>516</v>
      </c>
      <c r="K74" s="149" t="s">
        <v>606</v>
      </c>
      <c r="L74" s="157">
        <v>45314</v>
      </c>
      <c r="M74" s="158"/>
      <c r="N74" s="163">
        <v>2</v>
      </c>
      <c r="O74" s="160" t="s">
        <v>518</v>
      </c>
      <c r="P74" s="161">
        <v>2627.27</v>
      </c>
      <c r="Q74" s="162">
        <v>45307</v>
      </c>
      <c r="R74" s="153"/>
      <c r="S74" s="153"/>
      <c r="T74" s="153"/>
      <c r="U74" s="153"/>
      <c r="V74" s="153"/>
      <c r="W74" s="153"/>
      <c r="X74" s="153"/>
      <c r="Y74" s="153"/>
      <c r="Z74" s="153"/>
      <c r="AA74" s="153"/>
    </row>
    <row r="75" spans="1:27">
      <c r="A75" s="154">
        <v>1</v>
      </c>
      <c r="B75" s="155" t="s">
        <v>439</v>
      </c>
      <c r="C75" s="156">
        <v>45250</v>
      </c>
      <c r="D75" s="155" t="s">
        <v>440</v>
      </c>
      <c r="E75" s="149" t="s">
        <v>158</v>
      </c>
      <c r="F75" s="149" t="s">
        <v>441</v>
      </c>
      <c r="G75" s="149" t="s">
        <v>442</v>
      </c>
      <c r="H75" s="149" t="str">
        <f t="shared" si="0"/>
        <v>JAVIER GARCÍA DOMÍNGUEZ</v>
      </c>
      <c r="I75" s="149" t="s">
        <v>607</v>
      </c>
      <c r="J75" s="153" t="s">
        <v>444</v>
      </c>
      <c r="K75" s="149" t="s">
        <v>608</v>
      </c>
      <c r="L75" s="157">
        <v>45314</v>
      </c>
      <c r="M75" s="158"/>
      <c r="N75" s="163">
        <v>2</v>
      </c>
      <c r="O75" s="160" t="s">
        <v>449</v>
      </c>
      <c r="P75" s="161">
        <v>2641.59</v>
      </c>
      <c r="Q75" s="162">
        <v>45250</v>
      </c>
      <c r="R75" s="153"/>
      <c r="S75" s="153"/>
      <c r="T75" s="153"/>
      <c r="U75" s="153"/>
      <c r="V75" s="153"/>
      <c r="W75" s="153"/>
      <c r="X75" s="153"/>
      <c r="Y75" s="153"/>
      <c r="Z75" s="153"/>
      <c r="AA75" s="153"/>
    </row>
    <row r="76" spans="1:27">
      <c r="A76" s="154">
        <v>1</v>
      </c>
      <c r="B76" s="155" t="s">
        <v>439</v>
      </c>
      <c r="C76" s="156">
        <v>45250</v>
      </c>
      <c r="D76" s="155" t="s">
        <v>440</v>
      </c>
      <c r="E76" s="149" t="s">
        <v>158</v>
      </c>
      <c r="F76" s="149" t="s">
        <v>441</v>
      </c>
      <c r="G76" s="149" t="s">
        <v>442</v>
      </c>
      <c r="H76" s="149" t="str">
        <f t="shared" si="0"/>
        <v>JAVIER GARCÍA DOMÍNGUEZ</v>
      </c>
      <c r="I76" s="149" t="s">
        <v>607</v>
      </c>
      <c r="J76" s="153" t="s">
        <v>444</v>
      </c>
      <c r="K76" s="149" t="s">
        <v>609</v>
      </c>
      <c r="L76" s="157">
        <v>45314</v>
      </c>
      <c r="M76" s="158"/>
      <c r="N76" s="163">
        <v>1</v>
      </c>
      <c r="O76" s="160" t="s">
        <v>449</v>
      </c>
      <c r="P76" s="161">
        <v>1584.77</v>
      </c>
      <c r="Q76" s="162">
        <v>45250</v>
      </c>
      <c r="R76" s="153"/>
      <c r="S76" s="153"/>
      <c r="T76" s="153"/>
      <c r="U76" s="153"/>
      <c r="V76" s="153"/>
      <c r="W76" s="153"/>
      <c r="X76" s="153"/>
      <c r="Y76" s="153"/>
      <c r="Z76" s="153"/>
      <c r="AA76" s="153"/>
    </row>
    <row r="77" spans="1:27">
      <c r="A77" s="154">
        <v>1</v>
      </c>
      <c r="B77" s="155" t="s">
        <v>439</v>
      </c>
      <c r="C77" s="156">
        <v>45275</v>
      </c>
      <c r="D77" s="155" t="s">
        <v>440</v>
      </c>
      <c r="E77" s="149" t="s">
        <v>190</v>
      </c>
      <c r="F77" s="149" t="s">
        <v>441</v>
      </c>
      <c r="G77" s="149" t="s">
        <v>442</v>
      </c>
      <c r="H77" s="149" t="str">
        <f t="shared" si="0"/>
        <v>FRANCISCO GARCÍA PURRIÑOS</v>
      </c>
      <c r="I77" s="149" t="s">
        <v>610</v>
      </c>
      <c r="J77" s="153" t="s">
        <v>462</v>
      </c>
      <c r="K77" s="149" t="s">
        <v>611</v>
      </c>
      <c r="L77" s="157">
        <v>45314</v>
      </c>
      <c r="M77" s="164"/>
      <c r="N77" s="163">
        <v>2</v>
      </c>
      <c r="O77" s="165" t="s">
        <v>449</v>
      </c>
      <c r="P77" s="161">
        <v>2780.91</v>
      </c>
      <c r="Q77" s="162">
        <v>45275</v>
      </c>
      <c r="R77" s="153"/>
      <c r="S77" s="153"/>
      <c r="T77" s="153"/>
      <c r="U77" s="153"/>
      <c r="V77" s="153"/>
      <c r="W77" s="153"/>
      <c r="X77" s="153"/>
      <c r="Y77" s="153"/>
      <c r="Z77" s="153"/>
      <c r="AA77" s="153"/>
    </row>
    <row r="78" spans="1:27">
      <c r="A78" s="154">
        <v>1</v>
      </c>
      <c r="B78" s="155" t="s">
        <v>439</v>
      </c>
      <c r="C78" s="156">
        <v>45251</v>
      </c>
      <c r="D78" s="155" t="s">
        <v>440</v>
      </c>
      <c r="E78" s="149" t="s">
        <v>310</v>
      </c>
      <c r="F78" s="149" t="s">
        <v>441</v>
      </c>
      <c r="G78" s="149" t="s">
        <v>442</v>
      </c>
      <c r="H78" s="149" t="str">
        <f t="shared" si="0"/>
        <v>NO REUERDA ORL</v>
      </c>
      <c r="I78" s="149" t="s">
        <v>469</v>
      </c>
      <c r="J78" s="153" t="s">
        <v>532</v>
      </c>
      <c r="K78" s="149" t="s">
        <v>612</v>
      </c>
      <c r="L78" s="157">
        <v>45315</v>
      </c>
      <c r="M78" s="158"/>
      <c r="N78" s="163">
        <v>1</v>
      </c>
      <c r="O78" s="160" t="s">
        <v>446</v>
      </c>
      <c r="P78" s="161">
        <v>2162.73</v>
      </c>
      <c r="Q78" s="162">
        <v>45251</v>
      </c>
      <c r="R78" s="153"/>
      <c r="S78" s="153"/>
      <c r="T78" s="153"/>
      <c r="U78" s="153"/>
      <c r="V78" s="153"/>
      <c r="W78" s="153"/>
      <c r="X78" s="153"/>
      <c r="Y78" s="153"/>
      <c r="Z78" s="153"/>
      <c r="AA78" s="153"/>
    </row>
    <row r="79" spans="1:27">
      <c r="A79" s="154">
        <v>1</v>
      </c>
      <c r="B79" s="155" t="s">
        <v>439</v>
      </c>
      <c r="C79" s="156">
        <v>45288</v>
      </c>
      <c r="D79" s="155" t="s">
        <v>440</v>
      </c>
      <c r="E79" s="149" t="s">
        <v>109</v>
      </c>
      <c r="F79" s="149" t="s">
        <v>441</v>
      </c>
      <c r="G79" s="149" t="s">
        <v>442</v>
      </c>
      <c r="H79" s="149" t="str">
        <f t="shared" si="0"/>
        <v>GERARDO MONEDERO RODRIGO</v>
      </c>
      <c r="I79" s="149" t="s">
        <v>613</v>
      </c>
      <c r="J79" s="153" t="s">
        <v>444</v>
      </c>
      <c r="K79" s="149" t="s">
        <v>614</v>
      </c>
      <c r="L79" s="157">
        <v>45315</v>
      </c>
      <c r="M79" s="158"/>
      <c r="N79" s="159">
        <v>2</v>
      </c>
      <c r="O79" s="160" t="s">
        <v>449</v>
      </c>
      <c r="P79" s="161">
        <v>2780.87</v>
      </c>
      <c r="Q79" s="162">
        <v>45288</v>
      </c>
      <c r="R79" s="153"/>
      <c r="S79" s="153"/>
      <c r="T79" s="153"/>
      <c r="U79" s="153"/>
      <c r="V79" s="153"/>
      <c r="W79" s="153"/>
      <c r="X79" s="153"/>
      <c r="Y79" s="153"/>
      <c r="Z79" s="153"/>
      <c r="AA79" s="153"/>
    </row>
    <row r="80" spans="1:27">
      <c r="A80" s="154">
        <v>1</v>
      </c>
      <c r="B80" s="155" t="s">
        <v>439</v>
      </c>
      <c r="C80" s="156">
        <v>44848</v>
      </c>
      <c r="D80" s="155" t="s">
        <v>440</v>
      </c>
      <c r="E80" s="149" t="s">
        <v>122</v>
      </c>
      <c r="F80" s="149" t="s">
        <v>441</v>
      </c>
      <c r="G80" s="149" t="s">
        <v>442</v>
      </c>
      <c r="H80" s="149" t="str">
        <f t="shared" si="0"/>
        <v>JULIO LÓPEZ MOYA</v>
      </c>
      <c r="I80" s="149" t="s">
        <v>504</v>
      </c>
      <c r="J80" s="153" t="s">
        <v>444</v>
      </c>
      <c r="K80" s="149" t="s">
        <v>615</v>
      </c>
      <c r="L80" s="157">
        <v>45315</v>
      </c>
      <c r="M80" s="158"/>
      <c r="N80" s="163">
        <v>2</v>
      </c>
      <c r="O80" s="160" t="s">
        <v>466</v>
      </c>
      <c r="P80" s="161">
        <v>4222.7299999999996</v>
      </c>
      <c r="Q80" s="162">
        <v>44848</v>
      </c>
      <c r="R80" s="153"/>
      <c r="S80" s="153"/>
      <c r="T80" s="153"/>
      <c r="U80" s="153"/>
      <c r="V80" s="153"/>
      <c r="W80" s="153"/>
      <c r="X80" s="153"/>
      <c r="Y80" s="153"/>
      <c r="Z80" s="153"/>
      <c r="AA80" s="153"/>
    </row>
    <row r="81" spans="1:27">
      <c r="A81" s="154">
        <v>1</v>
      </c>
      <c r="B81" s="155" t="s">
        <v>439</v>
      </c>
      <c r="C81" s="156">
        <v>45261</v>
      </c>
      <c r="D81" s="155" t="s">
        <v>440</v>
      </c>
      <c r="E81" s="149" t="s">
        <v>309</v>
      </c>
      <c r="F81" s="149" t="s">
        <v>441</v>
      </c>
      <c r="G81" s="149" t="s">
        <v>442</v>
      </c>
      <c r="H81" s="149" t="str">
        <f t="shared" si="0"/>
        <v>Eviatar Friedlander</v>
      </c>
      <c r="I81" s="149" t="s">
        <v>616</v>
      </c>
      <c r="J81" s="153" t="s">
        <v>444</v>
      </c>
      <c r="K81" s="149" t="s">
        <v>617</v>
      </c>
      <c r="L81" s="157">
        <v>45315</v>
      </c>
      <c r="M81" s="158"/>
      <c r="N81" s="163">
        <v>1</v>
      </c>
      <c r="O81" s="160" t="s">
        <v>449</v>
      </c>
      <c r="P81" s="161">
        <v>1668.18</v>
      </c>
      <c r="Q81" s="162">
        <v>45261</v>
      </c>
      <c r="R81" s="153"/>
      <c r="S81" s="153"/>
      <c r="T81" s="153"/>
      <c r="U81" s="153"/>
      <c r="V81" s="153"/>
      <c r="W81" s="153"/>
      <c r="X81" s="153"/>
      <c r="Y81" s="153"/>
      <c r="Z81" s="153"/>
      <c r="AA81" s="153"/>
    </row>
    <row r="82" spans="1:27">
      <c r="A82" s="154">
        <v>1</v>
      </c>
      <c r="B82" s="155" t="s">
        <v>439</v>
      </c>
      <c r="C82" s="156">
        <v>45271</v>
      </c>
      <c r="D82" s="155" t="s">
        <v>440</v>
      </c>
      <c r="E82" s="149" t="s">
        <v>618</v>
      </c>
      <c r="F82" s="149" t="s">
        <v>441</v>
      </c>
      <c r="G82" s="149" t="s">
        <v>442</v>
      </c>
      <c r="H82" s="149" t="str">
        <f t="shared" si="0"/>
        <v>FERNANDO CRISTÓBAL</v>
      </c>
      <c r="I82" s="149" t="s">
        <v>619</v>
      </c>
      <c r="J82" s="153" t="s">
        <v>444</v>
      </c>
      <c r="K82" s="149" t="s">
        <v>620</v>
      </c>
      <c r="L82" s="157">
        <v>45315</v>
      </c>
      <c r="M82" s="158"/>
      <c r="N82" s="163">
        <v>2</v>
      </c>
      <c r="O82" s="160" t="s">
        <v>446</v>
      </c>
      <c r="P82" s="161">
        <v>3812.5</v>
      </c>
      <c r="Q82" s="162">
        <v>45271</v>
      </c>
      <c r="R82" s="153"/>
      <c r="S82" s="153"/>
      <c r="T82" s="153"/>
      <c r="U82" s="153"/>
      <c r="V82" s="153"/>
      <c r="W82" s="153"/>
      <c r="X82" s="153"/>
      <c r="Y82" s="153"/>
      <c r="Z82" s="153"/>
      <c r="AA82" s="153"/>
    </row>
    <row r="83" spans="1:27">
      <c r="A83" s="154">
        <v>1</v>
      </c>
      <c r="B83" s="155" t="s">
        <v>439</v>
      </c>
      <c r="C83" s="156">
        <v>45274</v>
      </c>
      <c r="D83" s="155" t="s">
        <v>440</v>
      </c>
      <c r="E83" s="149" t="s">
        <v>102</v>
      </c>
      <c r="F83" s="149" t="s">
        <v>441</v>
      </c>
      <c r="G83" s="149" t="s">
        <v>442</v>
      </c>
      <c r="H83" s="149" t="str">
        <f t="shared" si="0"/>
        <v>PAULA HERNÁNDEZ RUÍZ</v>
      </c>
      <c r="I83" s="149" t="s">
        <v>621</v>
      </c>
      <c r="J83" s="153" t="s">
        <v>462</v>
      </c>
      <c r="K83" s="149" t="s">
        <v>622</v>
      </c>
      <c r="L83" s="157">
        <v>45315</v>
      </c>
      <c r="M83" s="158"/>
      <c r="N83" s="159">
        <v>2</v>
      </c>
      <c r="O83" s="165" t="s">
        <v>449</v>
      </c>
      <c r="P83" s="161">
        <v>2780.91</v>
      </c>
      <c r="Q83" s="162">
        <v>45274</v>
      </c>
      <c r="R83" s="153"/>
      <c r="S83" s="153"/>
      <c r="T83" s="153"/>
      <c r="U83" s="153"/>
      <c r="V83" s="153"/>
      <c r="W83" s="153"/>
      <c r="X83" s="153"/>
      <c r="Y83" s="153"/>
      <c r="Z83" s="153"/>
      <c r="AA83" s="153"/>
    </row>
    <row r="84" spans="1:27">
      <c r="A84" s="154">
        <v>1</v>
      </c>
      <c r="B84" s="155" t="s">
        <v>439</v>
      </c>
      <c r="C84" s="156">
        <v>45271</v>
      </c>
      <c r="D84" s="155" t="s">
        <v>440</v>
      </c>
      <c r="E84" s="149" t="s">
        <v>506</v>
      </c>
      <c r="F84" s="149" t="s">
        <v>441</v>
      </c>
      <c r="G84" s="149" t="s">
        <v>442</v>
      </c>
      <c r="H84" s="149" t="str">
        <f t="shared" si="0"/>
        <v>PEDRO BLANCO PÉREZ,</v>
      </c>
      <c r="I84" s="149" t="s">
        <v>623</v>
      </c>
      <c r="J84" s="153" t="s">
        <v>473</v>
      </c>
      <c r="K84" s="149" t="s">
        <v>624</v>
      </c>
      <c r="L84" s="157">
        <v>45315</v>
      </c>
      <c r="M84" s="158"/>
      <c r="N84" s="163">
        <v>2</v>
      </c>
      <c r="O84" s="165" t="s">
        <v>449</v>
      </c>
      <c r="P84" s="161">
        <v>2780.91</v>
      </c>
      <c r="Q84" s="162">
        <v>45271</v>
      </c>
      <c r="R84" s="153"/>
      <c r="S84" s="153"/>
      <c r="T84" s="153"/>
      <c r="U84" s="153"/>
      <c r="V84" s="153"/>
      <c r="W84" s="153"/>
      <c r="X84" s="153"/>
      <c r="Y84" s="153"/>
      <c r="Z84" s="153"/>
      <c r="AA84" s="153"/>
    </row>
    <row r="85" spans="1:27">
      <c r="A85" s="154">
        <v>1</v>
      </c>
      <c r="B85" s="155" t="s">
        <v>439</v>
      </c>
      <c r="C85" s="156">
        <v>45257</v>
      </c>
      <c r="D85" s="155" t="s">
        <v>440</v>
      </c>
      <c r="E85" s="149" t="s">
        <v>145</v>
      </c>
      <c r="F85" s="149" t="s">
        <v>441</v>
      </c>
      <c r="G85" s="149" t="s">
        <v>442</v>
      </c>
      <c r="H85" s="149" t="str">
        <f t="shared" si="0"/>
        <v>JESUS-MARIA GRASA PÉREZ</v>
      </c>
      <c r="I85" s="167" t="s">
        <v>591</v>
      </c>
      <c r="J85" s="153" t="s">
        <v>532</v>
      </c>
      <c r="K85" s="149" t="s">
        <v>625</v>
      </c>
      <c r="L85" s="157">
        <v>45316</v>
      </c>
      <c r="M85" s="158"/>
      <c r="N85" s="163">
        <v>2</v>
      </c>
      <c r="O85" s="160" t="s">
        <v>466</v>
      </c>
      <c r="P85" s="161">
        <v>4011.54</v>
      </c>
      <c r="Q85" s="162">
        <v>45257</v>
      </c>
      <c r="R85" s="153"/>
      <c r="S85" s="153"/>
      <c r="T85" s="153"/>
      <c r="U85" s="153"/>
      <c r="V85" s="153"/>
      <c r="W85" s="153"/>
      <c r="X85" s="153"/>
      <c r="Y85" s="153"/>
      <c r="Z85" s="153"/>
      <c r="AA85" s="153"/>
    </row>
    <row r="86" spans="1:27">
      <c r="A86" s="154">
        <v>1</v>
      </c>
      <c r="B86" s="155" t="s">
        <v>439</v>
      </c>
      <c r="C86" s="156">
        <v>45236</v>
      </c>
      <c r="D86" s="155" t="s">
        <v>440</v>
      </c>
      <c r="E86" s="149" t="s">
        <v>501</v>
      </c>
      <c r="F86" s="149" t="s">
        <v>441</v>
      </c>
      <c r="G86" s="149" t="s">
        <v>442</v>
      </c>
      <c r="H86" s="149" t="str">
        <f t="shared" si="0"/>
        <v>FERNANDO SALAZAR BARCELONA</v>
      </c>
      <c r="I86" s="149" t="s">
        <v>502</v>
      </c>
      <c r="J86" s="153" t="s">
        <v>477</v>
      </c>
      <c r="K86" s="149" t="s">
        <v>626</v>
      </c>
      <c r="L86" s="157">
        <v>45316</v>
      </c>
      <c r="M86" s="158"/>
      <c r="N86" s="163">
        <v>2</v>
      </c>
      <c r="O86" s="160" t="s">
        <v>446</v>
      </c>
      <c r="P86" s="161">
        <v>3272.73</v>
      </c>
      <c r="Q86" s="162">
        <v>45236</v>
      </c>
      <c r="R86" s="153"/>
      <c r="S86" s="153"/>
      <c r="T86" s="153"/>
      <c r="U86" s="153"/>
      <c r="V86" s="153"/>
      <c r="W86" s="153"/>
      <c r="X86" s="153"/>
      <c r="Y86" s="153"/>
      <c r="Z86" s="153"/>
      <c r="AA86" s="153"/>
    </row>
    <row r="87" spans="1:27">
      <c r="A87" s="154">
        <v>1</v>
      </c>
      <c r="B87" s="155" t="s">
        <v>439</v>
      </c>
      <c r="C87" s="156">
        <v>45279</v>
      </c>
      <c r="D87" s="166" t="s">
        <v>440</v>
      </c>
      <c r="E87" s="149" t="s">
        <v>501</v>
      </c>
      <c r="F87" s="149" t="s">
        <v>441</v>
      </c>
      <c r="G87" s="149" t="s">
        <v>442</v>
      </c>
      <c r="H87" s="149" t="str">
        <f t="shared" si="0"/>
        <v>FERNANDO SALAZAR BARCELONA</v>
      </c>
      <c r="I87" s="149" t="s">
        <v>502</v>
      </c>
      <c r="J87" s="149" t="s">
        <v>477</v>
      </c>
      <c r="K87" s="149" t="s">
        <v>627</v>
      </c>
      <c r="L87" s="157">
        <v>45316</v>
      </c>
      <c r="M87" s="158"/>
      <c r="N87" s="163">
        <v>2</v>
      </c>
      <c r="O87" s="160" t="s">
        <v>446</v>
      </c>
      <c r="P87" s="161">
        <v>3272.73</v>
      </c>
      <c r="Q87" s="162">
        <v>45279</v>
      </c>
      <c r="R87" s="153"/>
      <c r="S87" s="153"/>
      <c r="T87" s="153"/>
      <c r="U87" s="153"/>
      <c r="V87" s="153"/>
      <c r="W87" s="153"/>
      <c r="X87" s="153"/>
      <c r="Y87" s="153"/>
      <c r="Z87" s="153"/>
      <c r="AA87" s="153"/>
    </row>
    <row r="88" spans="1:27">
      <c r="A88" s="154">
        <v>1</v>
      </c>
      <c r="B88" s="155" t="s">
        <v>439</v>
      </c>
      <c r="C88" s="156">
        <v>45300</v>
      </c>
      <c r="D88" s="155" t="s">
        <v>440</v>
      </c>
      <c r="E88" s="149" t="s">
        <v>618</v>
      </c>
      <c r="F88" s="149" t="s">
        <v>441</v>
      </c>
      <c r="G88" s="149" t="s">
        <v>442</v>
      </c>
      <c r="H88" s="149" t="str">
        <f t="shared" si="0"/>
        <v>ENRIQUE MELCOM DIEZ</v>
      </c>
      <c r="I88" s="149" t="s">
        <v>628</v>
      </c>
      <c r="J88" s="153" t="s">
        <v>548</v>
      </c>
      <c r="K88" s="149" t="s">
        <v>629</v>
      </c>
      <c r="L88" s="157">
        <v>45316</v>
      </c>
      <c r="M88" s="158"/>
      <c r="N88" s="163">
        <v>2</v>
      </c>
      <c r="O88" s="160" t="s">
        <v>446</v>
      </c>
      <c r="P88" s="161">
        <v>3604.55</v>
      </c>
      <c r="Q88" s="162">
        <v>45300</v>
      </c>
      <c r="R88" s="153"/>
      <c r="S88" s="153"/>
      <c r="T88" s="153"/>
      <c r="U88" s="153"/>
      <c r="V88" s="153"/>
      <c r="W88" s="153"/>
      <c r="X88" s="153"/>
      <c r="Y88" s="153"/>
      <c r="Z88" s="153"/>
      <c r="AA88" s="153"/>
    </row>
    <row r="89" spans="1:27">
      <c r="A89" s="154">
        <v>1</v>
      </c>
      <c r="B89" s="155" t="s">
        <v>439</v>
      </c>
      <c r="C89" s="156">
        <v>45056</v>
      </c>
      <c r="D89" s="155" t="s">
        <v>440</v>
      </c>
      <c r="E89" s="149" t="s">
        <v>98</v>
      </c>
      <c r="F89" s="149" t="s">
        <v>441</v>
      </c>
      <c r="G89" s="149" t="s">
        <v>442</v>
      </c>
      <c r="H89" s="149" t="str">
        <f t="shared" si="0"/>
        <v>JUAN PABLO PELEGRÍN HERNÁNDEZ</v>
      </c>
      <c r="I89" s="149" t="s">
        <v>630</v>
      </c>
      <c r="J89" s="153" t="s">
        <v>462</v>
      </c>
      <c r="K89" s="149" t="s">
        <v>631</v>
      </c>
      <c r="L89" s="157">
        <v>45316</v>
      </c>
      <c r="M89" s="158"/>
      <c r="N89" s="163">
        <v>2</v>
      </c>
      <c r="O89" s="160" t="s">
        <v>446</v>
      </c>
      <c r="P89" s="161">
        <v>3604.5</v>
      </c>
      <c r="Q89" s="162">
        <v>45056</v>
      </c>
      <c r="R89" s="153"/>
      <c r="S89" s="153"/>
      <c r="T89" s="153"/>
      <c r="U89" s="153"/>
      <c r="V89" s="153"/>
      <c r="W89" s="153"/>
      <c r="X89" s="153"/>
      <c r="Y89" s="153"/>
      <c r="Z89" s="153"/>
      <c r="AA89" s="153"/>
    </row>
    <row r="90" spans="1:27">
      <c r="A90" s="154">
        <v>1</v>
      </c>
      <c r="B90" s="155" t="s">
        <v>439</v>
      </c>
      <c r="C90" s="156">
        <v>45257</v>
      </c>
      <c r="D90" s="155" t="s">
        <v>440</v>
      </c>
      <c r="E90" s="149" t="s">
        <v>102</v>
      </c>
      <c r="F90" s="149" t="s">
        <v>441</v>
      </c>
      <c r="G90" s="149" t="s">
        <v>442</v>
      </c>
      <c r="H90" s="149" t="str">
        <f t="shared" si="0"/>
        <v>MARÍA AGUSTINA SEVILLA GARCÍA</v>
      </c>
      <c r="I90" s="149" t="s">
        <v>538</v>
      </c>
      <c r="J90" s="153" t="s">
        <v>462</v>
      </c>
      <c r="K90" s="149" t="s">
        <v>632</v>
      </c>
      <c r="L90" s="157">
        <v>45316</v>
      </c>
      <c r="M90" s="158"/>
      <c r="N90" s="163">
        <v>1</v>
      </c>
      <c r="O90" s="165" t="s">
        <v>449</v>
      </c>
      <c r="P90" s="161">
        <v>1668.18</v>
      </c>
      <c r="Q90" s="162">
        <v>45257</v>
      </c>
      <c r="R90" s="153"/>
      <c r="S90" s="153"/>
      <c r="T90" s="153"/>
      <c r="U90" s="153"/>
      <c r="V90" s="153"/>
      <c r="W90" s="153"/>
      <c r="X90" s="153"/>
      <c r="Y90" s="153"/>
      <c r="Z90" s="153"/>
      <c r="AA90" s="153"/>
    </row>
    <row r="91" spans="1:27">
      <c r="A91" s="154">
        <v>1</v>
      </c>
      <c r="B91" s="155" t="s">
        <v>439</v>
      </c>
      <c r="C91" s="156">
        <v>45280</v>
      </c>
      <c r="D91" s="155" t="s">
        <v>440</v>
      </c>
      <c r="E91" s="149" t="s">
        <v>471</v>
      </c>
      <c r="F91" s="149" t="s">
        <v>441</v>
      </c>
      <c r="G91" s="149" t="s">
        <v>442</v>
      </c>
      <c r="H91" s="149" t="str">
        <f t="shared" si="0"/>
        <v>CARLOS MIGUEL SALVADOR MARTÍNEZ</v>
      </c>
      <c r="I91" s="149" t="s">
        <v>633</v>
      </c>
      <c r="J91" s="153" t="s">
        <v>473</v>
      </c>
      <c r="K91" s="149" t="s">
        <v>634</v>
      </c>
      <c r="L91" s="157">
        <v>45316</v>
      </c>
      <c r="M91" s="158"/>
      <c r="N91" s="163">
        <v>2</v>
      </c>
      <c r="O91" s="165" t="s">
        <v>446</v>
      </c>
      <c r="P91" s="161">
        <v>3424.55</v>
      </c>
      <c r="Q91" s="162">
        <v>45280</v>
      </c>
      <c r="R91" s="153"/>
      <c r="S91" s="153"/>
      <c r="T91" s="153"/>
      <c r="U91" s="153"/>
      <c r="V91" s="153"/>
      <c r="W91" s="153"/>
      <c r="X91" s="153"/>
      <c r="Y91" s="153"/>
      <c r="Z91" s="153"/>
      <c r="AA91" s="153"/>
    </row>
    <row r="92" spans="1:27">
      <c r="A92" s="154">
        <v>1</v>
      </c>
      <c r="B92" s="155" t="s">
        <v>439</v>
      </c>
      <c r="C92" s="156">
        <v>45295</v>
      </c>
      <c r="D92" s="155" t="s">
        <v>440</v>
      </c>
      <c r="E92" s="160" t="s">
        <v>150</v>
      </c>
      <c r="F92" s="160" t="s">
        <v>441</v>
      </c>
      <c r="G92" s="160" t="s">
        <v>442</v>
      </c>
      <c r="H92" s="149" t="str">
        <f t="shared" si="0"/>
        <v>IGNACIO LLOPEZ CARRATALÁ</v>
      </c>
      <c r="I92" s="149" t="s">
        <v>635</v>
      </c>
      <c r="J92" s="153" t="s">
        <v>636</v>
      </c>
      <c r="K92" s="160" t="s">
        <v>637</v>
      </c>
      <c r="L92" s="157">
        <v>45316</v>
      </c>
      <c r="M92" s="158"/>
      <c r="N92" s="163">
        <v>2</v>
      </c>
      <c r="O92" s="165" t="s">
        <v>446</v>
      </c>
      <c r="P92" s="161">
        <v>3604.55</v>
      </c>
      <c r="Q92" s="162">
        <v>45295</v>
      </c>
      <c r="R92" s="153"/>
      <c r="S92" s="153"/>
      <c r="T92" s="153"/>
      <c r="U92" s="153"/>
      <c r="V92" s="153"/>
      <c r="W92" s="153"/>
      <c r="X92" s="153"/>
      <c r="Y92" s="153"/>
      <c r="Z92" s="153"/>
      <c r="AA92" s="153"/>
    </row>
    <row r="93" spans="1:27">
      <c r="A93" s="154">
        <v>1</v>
      </c>
      <c r="B93" s="155" t="s">
        <v>439</v>
      </c>
      <c r="C93" s="156">
        <v>45273</v>
      </c>
      <c r="D93" s="155" t="s">
        <v>440</v>
      </c>
      <c r="E93" s="149" t="s">
        <v>460</v>
      </c>
      <c r="F93" s="149" t="s">
        <v>441</v>
      </c>
      <c r="G93" s="149" t="s">
        <v>442</v>
      </c>
      <c r="H93" s="149" t="str">
        <f t="shared" si="0"/>
        <v>ISABEL POLO TOMÁS</v>
      </c>
      <c r="I93" s="149" t="s">
        <v>638</v>
      </c>
      <c r="J93" s="153" t="s">
        <v>462</v>
      </c>
      <c r="K93" s="149" t="s">
        <v>639</v>
      </c>
      <c r="L93" s="157">
        <v>45317</v>
      </c>
      <c r="M93" s="158"/>
      <c r="N93" s="163">
        <v>1</v>
      </c>
      <c r="O93" s="160" t="s">
        <v>446</v>
      </c>
      <c r="P93" s="161">
        <v>2162.73</v>
      </c>
      <c r="Q93" s="162">
        <v>45273</v>
      </c>
      <c r="R93" s="153"/>
      <c r="S93" s="153"/>
      <c r="T93" s="153"/>
      <c r="U93" s="153"/>
      <c r="V93" s="153"/>
      <c r="W93" s="153"/>
      <c r="X93" s="153"/>
      <c r="Y93" s="153"/>
      <c r="Z93" s="153"/>
      <c r="AA93" s="153"/>
    </row>
    <row r="94" spans="1:27">
      <c r="A94" s="154">
        <v>1</v>
      </c>
      <c r="B94" s="155" t="s">
        <v>439</v>
      </c>
      <c r="C94" s="156">
        <v>45302</v>
      </c>
      <c r="D94" s="155" t="s">
        <v>440</v>
      </c>
      <c r="E94" s="149" t="s">
        <v>546</v>
      </c>
      <c r="F94" s="149" t="s">
        <v>441</v>
      </c>
      <c r="G94" s="149" t="s">
        <v>442</v>
      </c>
      <c r="H94" s="149" t="str">
        <f t="shared" si="0"/>
        <v>Mª ISABEL CASTRO CANELADA</v>
      </c>
      <c r="I94" s="149" t="s">
        <v>640</v>
      </c>
      <c r="J94" s="153" t="s">
        <v>548</v>
      </c>
      <c r="K94" s="149" t="s">
        <v>641</v>
      </c>
      <c r="L94" s="157">
        <v>45317</v>
      </c>
      <c r="M94" s="158"/>
      <c r="N94" s="159">
        <v>2</v>
      </c>
      <c r="O94" s="160" t="s">
        <v>446</v>
      </c>
      <c r="P94" s="161">
        <v>3604.55</v>
      </c>
      <c r="Q94" s="162">
        <v>45302</v>
      </c>
      <c r="R94" s="153"/>
      <c r="S94" s="153"/>
      <c r="T94" s="153"/>
      <c r="U94" s="153"/>
      <c r="V94" s="153"/>
      <c r="W94" s="153"/>
      <c r="X94" s="153"/>
      <c r="Y94" s="153"/>
      <c r="Z94" s="153"/>
      <c r="AA94" s="153"/>
    </row>
    <row r="95" spans="1:27">
      <c r="A95" s="154">
        <v>1</v>
      </c>
      <c r="B95" s="155" t="s">
        <v>439</v>
      </c>
      <c r="C95" s="156">
        <v>45301</v>
      </c>
      <c r="D95" s="155" t="s">
        <v>440</v>
      </c>
      <c r="E95" s="149" t="s">
        <v>311</v>
      </c>
      <c r="F95" s="149" t="s">
        <v>441</v>
      </c>
      <c r="G95" s="149" t="s">
        <v>442</v>
      </c>
      <c r="H95" s="149" t="str">
        <f t="shared" si="0"/>
        <v>ITHZEL MARIA VILLARREAL PATIÑO</v>
      </c>
      <c r="I95" s="149" t="s">
        <v>491</v>
      </c>
      <c r="J95" s="149" t="s">
        <v>444</v>
      </c>
      <c r="K95" s="149" t="s">
        <v>642</v>
      </c>
      <c r="L95" s="157">
        <v>45317</v>
      </c>
      <c r="M95" s="158"/>
      <c r="N95" s="159">
        <v>1</v>
      </c>
      <c r="O95" s="160" t="s">
        <v>449</v>
      </c>
      <c r="P95" s="161">
        <v>1584.55</v>
      </c>
      <c r="Q95" s="162">
        <v>45301</v>
      </c>
      <c r="R95" s="153"/>
      <c r="S95" s="153"/>
      <c r="T95" s="153"/>
      <c r="U95" s="153"/>
      <c r="V95" s="153"/>
      <c r="W95" s="153"/>
      <c r="X95" s="153"/>
      <c r="Y95" s="153"/>
      <c r="Z95" s="153"/>
      <c r="AA95" s="153"/>
    </row>
    <row r="96" spans="1:27">
      <c r="A96" s="154">
        <v>1</v>
      </c>
      <c r="B96" s="155" t="s">
        <v>439</v>
      </c>
      <c r="C96" s="156">
        <v>45300</v>
      </c>
      <c r="D96" s="155" t="s">
        <v>440</v>
      </c>
      <c r="E96" s="149" t="s">
        <v>311</v>
      </c>
      <c r="F96" s="149" t="s">
        <v>441</v>
      </c>
      <c r="G96" s="149" t="s">
        <v>442</v>
      </c>
      <c r="H96" s="149" t="str">
        <f t="shared" si="0"/>
        <v>PALOMA MARTÍN- ARAGÓN MARTIÍ</v>
      </c>
      <c r="I96" s="149" t="s">
        <v>643</v>
      </c>
      <c r="J96" s="153" t="s">
        <v>444</v>
      </c>
      <c r="K96" s="149" t="s">
        <v>644</v>
      </c>
      <c r="L96" s="157">
        <v>45317</v>
      </c>
      <c r="M96" s="158"/>
      <c r="N96" s="163">
        <v>2</v>
      </c>
      <c r="O96" s="160" t="s">
        <v>446</v>
      </c>
      <c r="P96" s="161">
        <v>3424.32</v>
      </c>
      <c r="Q96" s="162">
        <v>45300</v>
      </c>
      <c r="R96" s="153"/>
      <c r="S96" s="153"/>
      <c r="T96" s="153"/>
      <c r="U96" s="153"/>
      <c r="V96" s="153"/>
      <c r="W96" s="153"/>
      <c r="X96" s="153"/>
      <c r="Y96" s="153"/>
      <c r="Z96" s="153"/>
      <c r="AA96" s="153"/>
    </row>
    <row r="97" spans="1:27">
      <c r="A97" s="154">
        <v>1</v>
      </c>
      <c r="B97" s="155" t="s">
        <v>439</v>
      </c>
      <c r="C97" s="156">
        <v>45300</v>
      </c>
      <c r="D97" s="155" t="s">
        <v>440</v>
      </c>
      <c r="E97" s="149" t="s">
        <v>311</v>
      </c>
      <c r="F97" s="149" t="s">
        <v>441</v>
      </c>
      <c r="G97" s="149" t="s">
        <v>442</v>
      </c>
      <c r="H97" s="149" t="str">
        <f t="shared" si="0"/>
        <v>VICTORIA GARCÍA PECES</v>
      </c>
      <c r="I97" s="149" t="s">
        <v>488</v>
      </c>
      <c r="J97" s="153" t="s">
        <v>444</v>
      </c>
      <c r="K97" s="149" t="s">
        <v>645</v>
      </c>
      <c r="L97" s="157">
        <v>45317</v>
      </c>
      <c r="M97" s="158"/>
      <c r="N97" s="163">
        <v>2</v>
      </c>
      <c r="O97" s="160" t="s">
        <v>466</v>
      </c>
      <c r="P97" s="161">
        <v>3617.86</v>
      </c>
      <c r="Q97" s="162">
        <v>45300</v>
      </c>
      <c r="R97" s="153"/>
      <c r="S97" s="153"/>
      <c r="T97" s="153"/>
      <c r="U97" s="153"/>
      <c r="V97" s="153"/>
      <c r="W97" s="153"/>
      <c r="X97" s="153"/>
      <c r="Y97" s="153"/>
      <c r="Z97" s="153"/>
      <c r="AA97" s="153"/>
    </row>
    <row r="98" spans="1:27">
      <c r="A98" s="154">
        <v>1</v>
      </c>
      <c r="B98" s="155" t="s">
        <v>439</v>
      </c>
      <c r="C98" s="156">
        <v>45301</v>
      </c>
      <c r="D98" s="155" t="s">
        <v>440</v>
      </c>
      <c r="E98" s="149" t="s">
        <v>311</v>
      </c>
      <c r="F98" s="149" t="s">
        <v>441</v>
      </c>
      <c r="G98" s="149" t="s">
        <v>442</v>
      </c>
      <c r="H98" s="149" t="str">
        <f t="shared" si="0"/>
        <v>VICTORIA GARCÍA PECES</v>
      </c>
      <c r="I98" s="149" t="s">
        <v>488</v>
      </c>
      <c r="J98" s="153" t="s">
        <v>444</v>
      </c>
      <c r="K98" s="149" t="s">
        <v>646</v>
      </c>
      <c r="L98" s="157">
        <v>45317</v>
      </c>
      <c r="M98" s="158"/>
      <c r="N98" s="163">
        <v>2</v>
      </c>
      <c r="O98" s="160" t="s">
        <v>466</v>
      </c>
      <c r="P98" s="161">
        <v>3618.61</v>
      </c>
      <c r="Q98" s="162">
        <v>45301</v>
      </c>
      <c r="R98" s="153"/>
      <c r="S98" s="153"/>
      <c r="T98" s="153"/>
      <c r="U98" s="153"/>
      <c r="V98" s="153"/>
      <c r="W98" s="153"/>
      <c r="X98" s="153"/>
      <c r="Y98" s="153"/>
      <c r="Z98" s="153"/>
      <c r="AA98" s="153"/>
    </row>
    <row r="99" spans="1:27">
      <c r="A99" s="154">
        <v>1</v>
      </c>
      <c r="B99" s="155" t="s">
        <v>439</v>
      </c>
      <c r="C99" s="156">
        <v>45294</v>
      </c>
      <c r="D99" s="155" t="s">
        <v>440</v>
      </c>
      <c r="E99" s="149" t="s">
        <v>109</v>
      </c>
      <c r="F99" s="149" t="s">
        <v>441</v>
      </c>
      <c r="G99" s="149" t="s">
        <v>442</v>
      </c>
      <c r="H99" s="149" t="str">
        <f t="shared" si="0"/>
        <v>ROSARIO GARCIA MONESCILLO</v>
      </c>
      <c r="I99" s="149" t="s">
        <v>647</v>
      </c>
      <c r="J99" s="153" t="s">
        <v>444</v>
      </c>
      <c r="K99" s="149" t="s">
        <v>648</v>
      </c>
      <c r="L99" s="157">
        <v>45317</v>
      </c>
      <c r="M99" s="158"/>
      <c r="N99" s="163">
        <v>2</v>
      </c>
      <c r="O99" s="160" t="s">
        <v>449</v>
      </c>
      <c r="P99" s="161">
        <v>2780.91</v>
      </c>
      <c r="Q99" s="162">
        <v>45294</v>
      </c>
      <c r="R99" s="153"/>
      <c r="S99" s="153"/>
      <c r="T99" s="153"/>
      <c r="U99" s="153"/>
      <c r="V99" s="153"/>
      <c r="W99" s="153"/>
      <c r="X99" s="153"/>
      <c r="Y99" s="153"/>
      <c r="Z99" s="153"/>
      <c r="AA99" s="153"/>
    </row>
    <row r="100" spans="1:27">
      <c r="A100" s="154">
        <v>1</v>
      </c>
      <c r="B100" s="155" t="s">
        <v>439</v>
      </c>
      <c r="C100" s="156">
        <v>45299</v>
      </c>
      <c r="D100" s="155" t="s">
        <v>440</v>
      </c>
      <c r="E100" s="149" t="s">
        <v>122</v>
      </c>
      <c r="F100" s="149" t="s">
        <v>441</v>
      </c>
      <c r="G100" s="149" t="s">
        <v>442</v>
      </c>
      <c r="H100" s="149" t="str">
        <f t="shared" si="0"/>
        <v>JESÚS RAMOS FERNÁNDEZ</v>
      </c>
      <c r="I100" s="149" t="s">
        <v>649</v>
      </c>
      <c r="J100" s="153" t="s">
        <v>444</v>
      </c>
      <c r="K100" s="149" t="s">
        <v>650</v>
      </c>
      <c r="L100" s="157">
        <v>45317</v>
      </c>
      <c r="M100" s="158"/>
      <c r="N100" s="163">
        <v>2</v>
      </c>
      <c r="O100" s="160" t="s">
        <v>446</v>
      </c>
      <c r="P100" s="161">
        <v>3604.55</v>
      </c>
      <c r="Q100" s="162">
        <v>45299</v>
      </c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</row>
    <row r="101" spans="1:27">
      <c r="A101" s="154">
        <v>1</v>
      </c>
      <c r="B101" s="155" t="s">
        <v>439</v>
      </c>
      <c r="C101" s="156">
        <v>45271</v>
      </c>
      <c r="D101" s="155" t="s">
        <v>440</v>
      </c>
      <c r="E101" s="149" t="s">
        <v>158</v>
      </c>
      <c r="F101" s="149" t="s">
        <v>441</v>
      </c>
      <c r="G101" s="149" t="s">
        <v>442</v>
      </c>
      <c r="H101" s="149" t="str">
        <f t="shared" si="0"/>
        <v>JOAQUÍN ALACIO CASERO</v>
      </c>
      <c r="I101" s="149" t="s">
        <v>651</v>
      </c>
      <c r="J101" s="153" t="s">
        <v>444</v>
      </c>
      <c r="K101" s="149" t="s">
        <v>652</v>
      </c>
      <c r="L101" s="157">
        <v>45317</v>
      </c>
      <c r="M101" s="158"/>
      <c r="N101" s="163">
        <v>1</v>
      </c>
      <c r="O101" s="160" t="s">
        <v>446</v>
      </c>
      <c r="P101" s="161">
        <v>2053.85</v>
      </c>
      <c r="Q101" s="162">
        <v>45271</v>
      </c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</row>
    <row r="102" spans="1:27">
      <c r="A102" s="154">
        <v>1</v>
      </c>
      <c r="B102" s="155" t="s">
        <v>439</v>
      </c>
      <c r="C102" s="156">
        <v>45289</v>
      </c>
      <c r="D102" s="155" t="s">
        <v>440</v>
      </c>
      <c r="E102" s="149" t="s">
        <v>98</v>
      </c>
      <c r="F102" s="149" t="s">
        <v>441</v>
      </c>
      <c r="G102" s="149" t="s">
        <v>442</v>
      </c>
      <c r="H102" s="149" t="str">
        <f t="shared" si="0"/>
        <v>IGNACIO ALBALADEJO DEVIS</v>
      </c>
      <c r="I102" s="149" t="s">
        <v>481</v>
      </c>
      <c r="J102" s="153" t="s">
        <v>462</v>
      </c>
      <c r="K102" s="149" t="s">
        <v>653</v>
      </c>
      <c r="L102" s="157">
        <v>45317</v>
      </c>
      <c r="M102" s="158"/>
      <c r="N102" s="163">
        <v>2</v>
      </c>
      <c r="O102" s="160" t="s">
        <v>446</v>
      </c>
      <c r="P102" s="161">
        <v>3604.55</v>
      </c>
      <c r="Q102" s="162">
        <v>45289</v>
      </c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</row>
    <row r="103" spans="1:27">
      <c r="A103" s="154">
        <v>1</v>
      </c>
      <c r="B103" s="155" t="s">
        <v>439</v>
      </c>
      <c r="C103" s="156">
        <v>45299</v>
      </c>
      <c r="D103" s="155" t="s">
        <v>440</v>
      </c>
      <c r="E103" s="160" t="s">
        <v>150</v>
      </c>
      <c r="F103" s="160" t="s">
        <v>441</v>
      </c>
      <c r="G103" s="160" t="s">
        <v>442</v>
      </c>
      <c r="H103" s="149" t="str">
        <f t="shared" si="0"/>
        <v>IGNACIO PLA GIL</v>
      </c>
      <c r="I103" s="149" t="s">
        <v>654</v>
      </c>
      <c r="J103" s="153" t="s">
        <v>636</v>
      </c>
      <c r="K103" s="160" t="s">
        <v>655</v>
      </c>
      <c r="L103" s="157">
        <v>45317</v>
      </c>
      <c r="M103" s="164"/>
      <c r="N103" s="163">
        <v>2</v>
      </c>
      <c r="O103" s="165" t="s">
        <v>449</v>
      </c>
      <c r="P103" s="161">
        <v>2780.91</v>
      </c>
      <c r="Q103" s="162">
        <v>45299</v>
      </c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</row>
    <row r="104" spans="1:27">
      <c r="A104" s="154">
        <v>1</v>
      </c>
      <c r="B104" s="155" t="s">
        <v>439</v>
      </c>
      <c r="C104" s="156">
        <v>45274</v>
      </c>
      <c r="D104" s="155" t="s">
        <v>440</v>
      </c>
      <c r="E104" s="149" t="s">
        <v>317</v>
      </c>
      <c r="F104" s="149" t="s">
        <v>441</v>
      </c>
      <c r="G104" s="149" t="s">
        <v>442</v>
      </c>
      <c r="H104" s="149" t="str">
        <f t="shared" si="0"/>
        <v>FÉLIX RUÍZ DE LA CUESTA JUSTE</v>
      </c>
      <c r="I104" s="149" t="s">
        <v>656</v>
      </c>
      <c r="J104" s="149" t="s">
        <v>462</v>
      </c>
      <c r="K104" s="149" t="s">
        <v>657</v>
      </c>
      <c r="L104" s="157">
        <v>45320</v>
      </c>
      <c r="M104" s="158"/>
      <c r="N104" s="163">
        <v>1</v>
      </c>
      <c r="O104" s="160" t="s">
        <v>466</v>
      </c>
      <c r="P104" s="161">
        <v>3272.73</v>
      </c>
      <c r="Q104" s="162">
        <v>45274</v>
      </c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</row>
    <row r="105" spans="1:27">
      <c r="A105" s="154">
        <v>1</v>
      </c>
      <c r="B105" s="155" t="s">
        <v>439</v>
      </c>
      <c r="C105" s="156">
        <v>45280</v>
      </c>
      <c r="D105" s="155" t="s">
        <v>440</v>
      </c>
      <c r="E105" s="149" t="s">
        <v>109</v>
      </c>
      <c r="F105" s="149" t="s">
        <v>450</v>
      </c>
      <c r="G105" s="149" t="s">
        <v>451</v>
      </c>
      <c r="H105" s="149" t="str">
        <f t="shared" si="0"/>
        <v>DANIEL MORENO JIMENEZ</v>
      </c>
      <c r="I105" s="149" t="s">
        <v>658</v>
      </c>
      <c r="J105" s="153" t="s">
        <v>444</v>
      </c>
      <c r="K105" s="149" t="s">
        <v>659</v>
      </c>
      <c r="L105" s="157">
        <v>45320</v>
      </c>
      <c r="M105" s="158"/>
      <c r="N105" s="163">
        <v>2</v>
      </c>
      <c r="O105" s="160" t="s">
        <v>449</v>
      </c>
      <c r="P105" s="161">
        <v>2780.87</v>
      </c>
      <c r="Q105" s="162">
        <v>45280</v>
      </c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</row>
    <row r="106" spans="1:27">
      <c r="A106" s="154">
        <v>1</v>
      </c>
      <c r="B106" s="155" t="s">
        <v>439</v>
      </c>
      <c r="C106" s="156">
        <v>44830</v>
      </c>
      <c r="D106" s="155" t="s">
        <v>440</v>
      </c>
      <c r="E106" s="149" t="s">
        <v>158</v>
      </c>
      <c r="F106" s="149" t="s">
        <v>441</v>
      </c>
      <c r="G106" s="149" t="s">
        <v>442</v>
      </c>
      <c r="H106" s="149" t="str">
        <f t="shared" si="0"/>
        <v>CARLOS BARAJAS DEL ROSAL</v>
      </c>
      <c r="I106" s="149" t="s">
        <v>660</v>
      </c>
      <c r="J106" s="153" t="s">
        <v>661</v>
      </c>
      <c r="K106" s="149" t="s">
        <v>662</v>
      </c>
      <c r="L106" s="157">
        <v>45320</v>
      </c>
      <c r="M106" s="158"/>
      <c r="N106" s="163">
        <v>2</v>
      </c>
      <c r="O106" s="160" t="s">
        <v>446</v>
      </c>
      <c r="P106" s="161">
        <v>3604.55</v>
      </c>
      <c r="Q106" s="162">
        <v>44830</v>
      </c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</row>
    <row r="107" spans="1:27">
      <c r="A107" s="154">
        <v>1</v>
      </c>
      <c r="B107" s="155" t="s">
        <v>439</v>
      </c>
      <c r="C107" s="156">
        <v>44956</v>
      </c>
      <c r="D107" s="155" t="s">
        <v>440</v>
      </c>
      <c r="E107" s="149" t="s">
        <v>98</v>
      </c>
      <c r="F107" s="149" t="s">
        <v>441</v>
      </c>
      <c r="G107" s="149" t="s">
        <v>442</v>
      </c>
      <c r="H107" s="149" t="str">
        <f t="shared" si="0"/>
        <v>NO REUERDA ORL</v>
      </c>
      <c r="I107" s="149" t="s">
        <v>469</v>
      </c>
      <c r="J107" s="153" t="s">
        <v>462</v>
      </c>
      <c r="K107" s="149" t="s">
        <v>663</v>
      </c>
      <c r="L107" s="157">
        <v>45320</v>
      </c>
      <c r="M107" s="158"/>
      <c r="N107" s="163">
        <v>2</v>
      </c>
      <c r="O107" s="160" t="s">
        <v>449</v>
      </c>
      <c r="P107" s="161">
        <v>2780.91</v>
      </c>
      <c r="Q107" s="162">
        <v>44956</v>
      </c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</row>
    <row r="108" spans="1:27">
      <c r="A108" s="154">
        <v>1</v>
      </c>
      <c r="B108" s="155" t="s">
        <v>439</v>
      </c>
      <c r="C108" s="156">
        <v>45296</v>
      </c>
      <c r="D108" s="155" t="s">
        <v>440</v>
      </c>
      <c r="E108" s="149" t="s">
        <v>102</v>
      </c>
      <c r="F108" s="149" t="s">
        <v>441</v>
      </c>
      <c r="G108" s="149" t="s">
        <v>442</v>
      </c>
      <c r="H108" s="149" t="str">
        <f t="shared" si="0"/>
        <v>JUAN JAVIER ÁLVAREZ LÓPEZ</v>
      </c>
      <c r="I108" s="149" t="s">
        <v>664</v>
      </c>
      <c r="J108" s="149" t="s">
        <v>462</v>
      </c>
      <c r="K108" s="149" t="s">
        <v>665</v>
      </c>
      <c r="L108" s="157">
        <v>45320</v>
      </c>
      <c r="M108" s="158"/>
      <c r="N108" s="163">
        <v>1</v>
      </c>
      <c r="O108" s="165" t="s">
        <v>449</v>
      </c>
      <c r="P108" s="161">
        <v>1668.18</v>
      </c>
      <c r="Q108" s="162">
        <v>45296</v>
      </c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</row>
    <row r="109" spans="1:27">
      <c r="A109" s="154">
        <v>1</v>
      </c>
      <c r="B109" s="155" t="s">
        <v>439</v>
      </c>
      <c r="C109" s="156">
        <v>45215</v>
      </c>
      <c r="D109" s="155" t="s">
        <v>440</v>
      </c>
      <c r="E109" s="149" t="s">
        <v>506</v>
      </c>
      <c r="F109" s="149" t="s">
        <v>441</v>
      </c>
      <c r="G109" s="149" t="s">
        <v>442</v>
      </c>
      <c r="H109" s="149" t="str">
        <f t="shared" si="0"/>
        <v>ÁNGEL MUÑOZ HERRERA</v>
      </c>
      <c r="I109" s="149" t="s">
        <v>666</v>
      </c>
      <c r="J109" s="153" t="s">
        <v>473</v>
      </c>
      <c r="K109" s="149" t="s">
        <v>667</v>
      </c>
      <c r="L109" s="157">
        <v>45320</v>
      </c>
      <c r="M109" s="164"/>
      <c r="N109" s="163">
        <v>2</v>
      </c>
      <c r="O109" s="165" t="s">
        <v>466</v>
      </c>
      <c r="P109" s="161">
        <v>4222.7299999999996</v>
      </c>
      <c r="Q109" s="162">
        <v>45215</v>
      </c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</row>
    <row r="110" spans="1:27">
      <c r="A110" s="154">
        <v>1</v>
      </c>
      <c r="B110" s="155" t="s">
        <v>439</v>
      </c>
      <c r="C110" s="156">
        <v>45286</v>
      </c>
      <c r="D110" s="155" t="s">
        <v>440</v>
      </c>
      <c r="E110" s="149" t="s">
        <v>109</v>
      </c>
      <c r="F110" s="149" t="s">
        <v>441</v>
      </c>
      <c r="G110" s="149" t="s">
        <v>442</v>
      </c>
      <c r="H110" s="149" t="str">
        <f t="shared" si="0"/>
        <v>ANTONIO RODRÍGUEZ RIVERO</v>
      </c>
      <c r="I110" s="149" t="s">
        <v>443</v>
      </c>
      <c r="J110" s="153" t="s">
        <v>444</v>
      </c>
      <c r="K110" s="149" t="s">
        <v>668</v>
      </c>
      <c r="L110" s="157">
        <v>45321</v>
      </c>
      <c r="M110" s="158"/>
      <c r="N110" s="163">
        <v>1</v>
      </c>
      <c r="O110" s="160" t="s">
        <v>446</v>
      </c>
      <c r="P110" s="161">
        <v>2162.6999999999998</v>
      </c>
      <c r="Q110" s="162">
        <v>45286</v>
      </c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</row>
    <row r="111" spans="1:27">
      <c r="A111" s="154">
        <v>1</v>
      </c>
      <c r="B111" s="155" t="s">
        <v>439</v>
      </c>
      <c r="C111" s="156">
        <v>45258</v>
      </c>
      <c r="D111" s="155" t="s">
        <v>440</v>
      </c>
      <c r="E111" s="149" t="s">
        <v>122</v>
      </c>
      <c r="F111" s="149" t="s">
        <v>441</v>
      </c>
      <c r="G111" s="149" t="s">
        <v>442</v>
      </c>
      <c r="H111" s="149" t="str">
        <f t="shared" si="0"/>
        <v>MONTSERRAT PORTELL SORIANO</v>
      </c>
      <c r="I111" s="149" t="s">
        <v>669</v>
      </c>
      <c r="J111" s="153" t="s">
        <v>444</v>
      </c>
      <c r="K111" s="149" t="s">
        <v>670</v>
      </c>
      <c r="L111" s="157">
        <v>45321</v>
      </c>
      <c r="M111" s="158"/>
      <c r="N111" s="159">
        <v>2</v>
      </c>
      <c r="O111" s="160" t="s">
        <v>446</v>
      </c>
      <c r="P111" s="161">
        <v>3424.55</v>
      </c>
      <c r="Q111" s="162">
        <v>45258</v>
      </c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</row>
    <row r="112" spans="1:27">
      <c r="A112" s="154">
        <v>1</v>
      </c>
      <c r="B112" s="155" t="s">
        <v>439</v>
      </c>
      <c r="C112" s="156">
        <v>45275</v>
      </c>
      <c r="D112" s="155" t="s">
        <v>440</v>
      </c>
      <c r="E112" s="149" t="s">
        <v>671</v>
      </c>
      <c r="F112" s="149" t="s">
        <v>441</v>
      </c>
      <c r="G112" s="149" t="s">
        <v>442</v>
      </c>
      <c r="H112" s="149" t="str">
        <f t="shared" si="0"/>
        <v>PEDRO JUIZ LÓPEZ</v>
      </c>
      <c r="I112" s="149" t="s">
        <v>672</v>
      </c>
      <c r="J112" s="153" t="s">
        <v>477</v>
      </c>
      <c r="K112" s="149" t="s">
        <v>673</v>
      </c>
      <c r="L112" s="157">
        <v>45321</v>
      </c>
      <c r="M112" s="164"/>
      <c r="N112" s="159">
        <v>2</v>
      </c>
      <c r="O112" s="160" t="s">
        <v>446</v>
      </c>
      <c r="P112" s="161">
        <v>3181.82</v>
      </c>
      <c r="Q112" s="162">
        <v>45275</v>
      </c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</row>
    <row r="113" spans="1:27">
      <c r="A113" s="154">
        <v>1</v>
      </c>
      <c r="B113" s="155" t="s">
        <v>439</v>
      </c>
      <c r="C113" s="156">
        <v>44799</v>
      </c>
      <c r="D113" s="155" t="s">
        <v>440</v>
      </c>
      <c r="E113" s="160" t="s">
        <v>671</v>
      </c>
      <c r="F113" s="160" t="s">
        <v>441</v>
      </c>
      <c r="G113" s="160" t="s">
        <v>442</v>
      </c>
      <c r="H113" s="149" t="str">
        <f t="shared" si="0"/>
        <v>PEDRO JUIZ LÓPEZ</v>
      </c>
      <c r="I113" s="149" t="s">
        <v>672</v>
      </c>
      <c r="J113" s="153" t="s">
        <v>477</v>
      </c>
      <c r="K113" s="160" t="s">
        <v>674</v>
      </c>
      <c r="L113" s="157">
        <v>45321</v>
      </c>
      <c r="M113" s="158"/>
      <c r="N113" s="163">
        <v>1</v>
      </c>
      <c r="O113" s="160" t="s">
        <v>466</v>
      </c>
      <c r="P113" s="161">
        <v>2000</v>
      </c>
      <c r="Q113" s="162">
        <v>44799</v>
      </c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</row>
    <row r="114" spans="1:27">
      <c r="A114" s="154">
        <v>1</v>
      </c>
      <c r="B114" s="155" t="s">
        <v>439</v>
      </c>
      <c r="C114" s="156">
        <v>45302</v>
      </c>
      <c r="D114" s="155" t="s">
        <v>440</v>
      </c>
      <c r="E114" s="160" t="s">
        <v>158</v>
      </c>
      <c r="F114" s="160" t="s">
        <v>441</v>
      </c>
      <c r="G114" s="160" t="s">
        <v>442</v>
      </c>
      <c r="H114" s="149" t="str">
        <f t="shared" si="0"/>
        <v>CARLOS BARAJAS DEL ROSAL</v>
      </c>
      <c r="I114" s="149" t="s">
        <v>660</v>
      </c>
      <c r="J114" s="153" t="s">
        <v>661</v>
      </c>
      <c r="K114" s="160" t="s">
        <v>675</v>
      </c>
      <c r="L114" s="157">
        <v>45321</v>
      </c>
      <c r="M114" s="158"/>
      <c r="N114" s="163">
        <v>2</v>
      </c>
      <c r="O114" s="160" t="s">
        <v>446</v>
      </c>
      <c r="P114" s="161">
        <v>3424.32</v>
      </c>
      <c r="Q114" s="162">
        <v>45302</v>
      </c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</row>
    <row r="115" spans="1:27">
      <c r="A115" s="154">
        <v>1</v>
      </c>
      <c r="B115" s="155" t="s">
        <v>439</v>
      </c>
      <c r="C115" s="156">
        <v>45301</v>
      </c>
      <c r="D115" s="155" t="s">
        <v>440</v>
      </c>
      <c r="E115" s="160" t="s">
        <v>309</v>
      </c>
      <c r="F115" s="160" t="s">
        <v>441</v>
      </c>
      <c r="G115" s="160" t="s">
        <v>442</v>
      </c>
      <c r="H115" s="149" t="str">
        <f t="shared" si="0"/>
        <v>BÁRBARA CASTILLO ÁVILA</v>
      </c>
      <c r="I115" s="149" t="s">
        <v>676</v>
      </c>
      <c r="J115" s="153" t="s">
        <v>444</v>
      </c>
      <c r="K115" s="160" t="s">
        <v>677</v>
      </c>
      <c r="L115" s="157">
        <v>45321</v>
      </c>
      <c r="M115" s="164"/>
      <c r="N115" s="163">
        <v>2</v>
      </c>
      <c r="O115" s="160" t="s">
        <v>449</v>
      </c>
      <c r="P115" s="161">
        <v>2636.36</v>
      </c>
      <c r="Q115" s="162">
        <v>45301</v>
      </c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</row>
    <row r="116" spans="1:27">
      <c r="A116" s="154">
        <v>1</v>
      </c>
      <c r="B116" s="155" t="s">
        <v>439</v>
      </c>
      <c r="C116" s="156">
        <v>45257</v>
      </c>
      <c r="D116" s="155" t="s">
        <v>440</v>
      </c>
      <c r="E116" s="149" t="s">
        <v>129</v>
      </c>
      <c r="F116" s="149" t="s">
        <v>441</v>
      </c>
      <c r="G116" s="149" t="s">
        <v>442</v>
      </c>
      <c r="H116" s="149" t="str">
        <f t="shared" si="0"/>
        <v>MARÍA REY MARCOS</v>
      </c>
      <c r="I116" s="149" t="s">
        <v>678</v>
      </c>
      <c r="J116" s="153" t="s">
        <v>516</v>
      </c>
      <c r="K116" s="149" t="s">
        <v>679</v>
      </c>
      <c r="L116" s="157">
        <v>45321</v>
      </c>
      <c r="M116" s="158"/>
      <c r="N116" s="159">
        <v>1</v>
      </c>
      <c r="O116" s="165" t="s">
        <v>466</v>
      </c>
      <c r="P116" s="161">
        <v>2536.36</v>
      </c>
      <c r="Q116" s="162">
        <v>45257</v>
      </c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</row>
    <row r="117" spans="1:27">
      <c r="A117" s="154">
        <v>1</v>
      </c>
      <c r="B117" s="155" t="s">
        <v>439</v>
      </c>
      <c r="C117" s="156">
        <v>45244</v>
      </c>
      <c r="D117" s="155" t="s">
        <v>440</v>
      </c>
      <c r="E117" s="149" t="s">
        <v>102</v>
      </c>
      <c r="F117" s="149" t="s">
        <v>441</v>
      </c>
      <c r="G117" s="149" t="s">
        <v>442</v>
      </c>
      <c r="H117" s="149" t="str">
        <f t="shared" si="0"/>
        <v>JUAN JAVIER ÁLVAREZ LÓPEZ</v>
      </c>
      <c r="I117" s="149" t="s">
        <v>664</v>
      </c>
      <c r="J117" s="153" t="s">
        <v>462</v>
      </c>
      <c r="K117" s="149" t="s">
        <v>680</v>
      </c>
      <c r="L117" s="157">
        <v>45321</v>
      </c>
      <c r="M117" s="158"/>
      <c r="N117" s="163">
        <v>2</v>
      </c>
      <c r="O117" s="165" t="s">
        <v>446</v>
      </c>
      <c r="P117" s="161">
        <v>3363.64</v>
      </c>
      <c r="Q117" s="162">
        <v>45244</v>
      </c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</row>
    <row r="118" spans="1:27">
      <c r="A118" s="154">
        <v>1</v>
      </c>
      <c r="B118" s="155" t="s">
        <v>439</v>
      </c>
      <c r="C118" s="156">
        <v>45271</v>
      </c>
      <c r="D118" s="155" t="s">
        <v>440</v>
      </c>
      <c r="E118" s="149" t="s">
        <v>475</v>
      </c>
      <c r="F118" s="149" t="s">
        <v>441</v>
      </c>
      <c r="G118" s="149" t="s">
        <v>442</v>
      </c>
      <c r="H118" s="149" t="str">
        <f t="shared" si="0"/>
        <v>DIANA LISBETH</v>
      </c>
      <c r="I118" s="149" t="s">
        <v>681</v>
      </c>
      <c r="J118" s="153" t="s">
        <v>477</v>
      </c>
      <c r="K118" s="149" t="s">
        <v>682</v>
      </c>
      <c r="L118" s="157">
        <v>45321</v>
      </c>
      <c r="M118" s="158"/>
      <c r="N118" s="163">
        <v>2</v>
      </c>
      <c r="O118" s="165" t="s">
        <v>446</v>
      </c>
      <c r="P118" s="161">
        <v>3545.45</v>
      </c>
      <c r="Q118" s="162">
        <v>45271</v>
      </c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</row>
    <row r="119" spans="1:27">
      <c r="A119" s="154">
        <v>1</v>
      </c>
      <c r="B119" s="155" t="s">
        <v>439</v>
      </c>
      <c r="C119" s="156">
        <v>45239</v>
      </c>
      <c r="D119" s="155" t="s">
        <v>440</v>
      </c>
      <c r="E119" s="149" t="s">
        <v>201</v>
      </c>
      <c r="F119" s="149" t="s">
        <v>441</v>
      </c>
      <c r="G119" s="149" t="s">
        <v>442</v>
      </c>
      <c r="H119" s="149" t="str">
        <f t="shared" si="0"/>
        <v>PATRICIA EZCURRA HERNÁNDEZ</v>
      </c>
      <c r="I119" s="149" t="s">
        <v>683</v>
      </c>
      <c r="J119" s="153" t="s">
        <v>477</v>
      </c>
      <c r="K119" s="149" t="s">
        <v>684</v>
      </c>
      <c r="L119" s="157">
        <v>45321</v>
      </c>
      <c r="M119" s="164"/>
      <c r="N119" s="159">
        <v>2</v>
      </c>
      <c r="O119" s="165" t="s">
        <v>449</v>
      </c>
      <c r="P119" s="161">
        <v>2781.82</v>
      </c>
      <c r="Q119" s="162">
        <v>45239</v>
      </c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</row>
    <row r="120" spans="1:27">
      <c r="A120" s="154">
        <v>1</v>
      </c>
      <c r="B120" s="155" t="s">
        <v>439</v>
      </c>
      <c r="C120" s="156">
        <v>45279</v>
      </c>
      <c r="D120" s="155" t="s">
        <v>440</v>
      </c>
      <c r="E120" s="149" t="s">
        <v>571</v>
      </c>
      <c r="F120" s="149" t="s">
        <v>441</v>
      </c>
      <c r="G120" s="149" t="s">
        <v>442</v>
      </c>
      <c r="H120" s="149" t="str">
        <f t="shared" si="0"/>
        <v>JOSÉ MANUEL GARCÍA SOLANS-ESTERAS</v>
      </c>
      <c r="I120" s="149" t="s">
        <v>599</v>
      </c>
      <c r="J120" s="153" t="s">
        <v>532</v>
      </c>
      <c r="K120" s="149" t="s">
        <v>685</v>
      </c>
      <c r="L120" s="157">
        <v>45321</v>
      </c>
      <c r="M120" s="158"/>
      <c r="N120" s="159">
        <v>2</v>
      </c>
      <c r="O120" s="165" t="s">
        <v>446</v>
      </c>
      <c r="P120" s="161">
        <v>3424.55</v>
      </c>
      <c r="Q120" s="162">
        <v>45279</v>
      </c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</row>
    <row r="121" spans="1:27">
      <c r="A121" s="154">
        <v>1</v>
      </c>
      <c r="B121" s="155" t="s">
        <v>439</v>
      </c>
      <c r="C121" s="156">
        <v>45301</v>
      </c>
      <c r="D121" s="155" t="s">
        <v>440</v>
      </c>
      <c r="E121" s="149" t="s">
        <v>311</v>
      </c>
      <c r="F121" s="149" t="s">
        <v>441</v>
      </c>
      <c r="G121" s="149" t="s">
        <v>442</v>
      </c>
      <c r="H121" s="149" t="str">
        <f t="shared" si="0"/>
        <v>VICTORIA GARCÍA PECES</v>
      </c>
      <c r="I121" s="149" t="s">
        <v>488</v>
      </c>
      <c r="J121" s="153" t="s">
        <v>444</v>
      </c>
      <c r="K121" s="149" t="s">
        <v>686</v>
      </c>
      <c r="L121" s="157">
        <v>45322</v>
      </c>
      <c r="M121" s="158"/>
      <c r="N121" s="159">
        <v>2</v>
      </c>
      <c r="O121" s="160" t="s">
        <v>446</v>
      </c>
      <c r="P121" s="161">
        <v>3422.05</v>
      </c>
      <c r="Q121" s="162">
        <v>45301</v>
      </c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</row>
    <row r="122" spans="1:27">
      <c r="A122" s="154">
        <v>1</v>
      </c>
      <c r="B122" s="155" t="s">
        <v>439</v>
      </c>
      <c r="C122" s="156">
        <v>45272</v>
      </c>
      <c r="D122" s="155" t="s">
        <v>440</v>
      </c>
      <c r="E122" s="149" t="s">
        <v>98</v>
      </c>
      <c r="F122" s="149" t="s">
        <v>441</v>
      </c>
      <c r="G122" s="149" t="s">
        <v>442</v>
      </c>
      <c r="H122" s="149" t="str">
        <f t="shared" si="0"/>
        <v>JOSÉ ANTONIO DÍAZ MANZANO</v>
      </c>
      <c r="I122" s="149" t="s">
        <v>687</v>
      </c>
      <c r="J122" s="153" t="s">
        <v>462</v>
      </c>
      <c r="K122" s="149" t="s">
        <v>688</v>
      </c>
      <c r="L122" s="157">
        <v>45322</v>
      </c>
      <c r="M122" s="158"/>
      <c r="N122" s="159">
        <v>1</v>
      </c>
      <c r="O122" s="160" t="s">
        <v>446</v>
      </c>
      <c r="P122" s="161">
        <v>2162.85</v>
      </c>
      <c r="Q122" s="162">
        <v>45272</v>
      </c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</row>
    <row r="123" spans="1:27">
      <c r="A123" s="154">
        <v>1</v>
      </c>
      <c r="B123" s="155" t="s">
        <v>439</v>
      </c>
      <c r="C123" s="156">
        <v>45294</v>
      </c>
      <c r="D123" s="155" t="s">
        <v>440</v>
      </c>
      <c r="E123" s="149" t="s">
        <v>98</v>
      </c>
      <c r="F123" s="149" t="s">
        <v>441</v>
      </c>
      <c r="G123" s="149" t="s">
        <v>442</v>
      </c>
      <c r="H123" s="149" t="str">
        <f t="shared" si="0"/>
        <v>JESÚS MIGUEL INIESTA TURPÍN</v>
      </c>
      <c r="I123" s="149" t="s">
        <v>594</v>
      </c>
      <c r="J123" s="149" t="s">
        <v>462</v>
      </c>
      <c r="K123" s="149" t="s">
        <v>689</v>
      </c>
      <c r="L123" s="157">
        <v>45322</v>
      </c>
      <c r="M123" s="158"/>
      <c r="N123" s="163">
        <v>2</v>
      </c>
      <c r="O123" s="160" t="s">
        <v>466</v>
      </c>
      <c r="P123" s="161">
        <v>4222.12</v>
      </c>
      <c r="Q123" s="162">
        <v>45294</v>
      </c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</row>
    <row r="124" spans="1:27">
      <c r="A124" s="154">
        <v>1</v>
      </c>
      <c r="B124" s="155" t="s">
        <v>439</v>
      </c>
      <c r="C124" s="156">
        <v>45302</v>
      </c>
      <c r="D124" s="155" t="s">
        <v>440</v>
      </c>
      <c r="E124" s="149" t="s">
        <v>98</v>
      </c>
      <c r="F124" s="149" t="s">
        <v>450</v>
      </c>
      <c r="G124" s="149" t="s">
        <v>451</v>
      </c>
      <c r="H124" s="149" t="str">
        <f t="shared" si="0"/>
        <v>JESÚS MIGUEL INIESTA TURPÍN</v>
      </c>
      <c r="I124" s="149" t="s">
        <v>594</v>
      </c>
      <c r="J124" s="153" t="s">
        <v>462</v>
      </c>
      <c r="K124" s="149" t="s">
        <v>690</v>
      </c>
      <c r="L124" s="157">
        <v>45322</v>
      </c>
      <c r="M124" s="158"/>
      <c r="N124" s="163">
        <v>2</v>
      </c>
      <c r="O124" s="160" t="s">
        <v>449</v>
      </c>
      <c r="P124" s="161">
        <v>2780.87</v>
      </c>
      <c r="Q124" s="162">
        <v>45302</v>
      </c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</row>
    <row r="125" spans="1:27">
      <c r="A125" s="154">
        <v>1</v>
      </c>
      <c r="B125" s="155" t="s">
        <v>439</v>
      </c>
      <c r="C125" s="156">
        <v>45300</v>
      </c>
      <c r="D125" s="155" t="s">
        <v>440</v>
      </c>
      <c r="E125" s="160" t="s">
        <v>115</v>
      </c>
      <c r="F125" s="160" t="s">
        <v>441</v>
      </c>
      <c r="G125" s="160" t="s">
        <v>442</v>
      </c>
      <c r="H125" s="149" t="str">
        <f t="shared" si="0"/>
        <v>PALOMA PINACHO MARTÍNEZ</v>
      </c>
      <c r="I125" s="149" t="s">
        <v>579</v>
      </c>
      <c r="J125" s="153" t="s">
        <v>444</v>
      </c>
      <c r="K125" s="160" t="s">
        <v>691</v>
      </c>
      <c r="L125" s="157">
        <v>45322</v>
      </c>
      <c r="M125" s="158"/>
      <c r="N125" s="163">
        <v>2</v>
      </c>
      <c r="O125" s="165" t="s">
        <v>446</v>
      </c>
      <c r="P125" s="161">
        <v>3604.55</v>
      </c>
      <c r="Q125" s="162">
        <v>45300</v>
      </c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</row>
    <row r="126" spans="1:27">
      <c r="A126" s="154">
        <v>1</v>
      </c>
      <c r="B126" s="155" t="s">
        <v>439</v>
      </c>
      <c r="C126" s="156">
        <v>45339</v>
      </c>
      <c r="D126" s="155" t="s">
        <v>440</v>
      </c>
      <c r="E126" s="149" t="s">
        <v>582</v>
      </c>
      <c r="F126" s="149" t="s">
        <v>441</v>
      </c>
      <c r="G126" s="149" t="s">
        <v>442</v>
      </c>
      <c r="H126" s="149" t="str">
        <f t="shared" si="0"/>
        <v>MIGUEL MAYO YÁÑEZ</v>
      </c>
      <c r="I126" s="149" t="s">
        <v>692</v>
      </c>
      <c r="J126" s="153" t="s">
        <v>516</v>
      </c>
      <c r="K126" s="149" t="s">
        <v>693</v>
      </c>
      <c r="L126" s="157">
        <v>45408</v>
      </c>
      <c r="M126" s="158" t="s">
        <v>586</v>
      </c>
      <c r="N126" s="163">
        <v>2</v>
      </c>
      <c r="O126" s="160" t="s">
        <v>694</v>
      </c>
      <c r="P126" s="161">
        <v>3782</v>
      </c>
      <c r="Q126" s="162">
        <v>45339</v>
      </c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</row>
    <row r="127" spans="1:27">
      <c r="A127" s="154">
        <v>2</v>
      </c>
      <c r="B127" s="155" t="s">
        <v>695</v>
      </c>
      <c r="C127" s="156">
        <v>45293</v>
      </c>
      <c r="D127" s="155" t="s">
        <v>440</v>
      </c>
      <c r="E127" s="149" t="s">
        <v>311</v>
      </c>
      <c r="F127" s="149" t="s">
        <v>441</v>
      </c>
      <c r="G127" s="149" t="s">
        <v>442</v>
      </c>
      <c r="H127" s="149" t="str">
        <f t="shared" si="0"/>
        <v>ITHZEL MARIA VILLARREAL PATIÑO</v>
      </c>
      <c r="I127" s="149" t="s">
        <v>491</v>
      </c>
      <c r="J127" s="153" t="s">
        <v>444</v>
      </c>
      <c r="K127" s="149" t="s">
        <v>696</v>
      </c>
      <c r="L127" s="157">
        <v>45323</v>
      </c>
      <c r="M127" s="158"/>
      <c r="N127" s="163">
        <v>2</v>
      </c>
      <c r="O127" s="165" t="s">
        <v>446</v>
      </c>
      <c r="P127" s="161">
        <v>3604.5</v>
      </c>
      <c r="Q127" s="168">
        <v>45293</v>
      </c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</row>
    <row r="128" spans="1:27">
      <c r="A128" s="154">
        <v>2</v>
      </c>
      <c r="B128" s="155" t="s">
        <v>695</v>
      </c>
      <c r="C128" s="156">
        <v>45275</v>
      </c>
      <c r="D128" s="155" t="s">
        <v>440</v>
      </c>
      <c r="E128" s="149" t="s">
        <v>158</v>
      </c>
      <c r="F128" s="149" t="s">
        <v>441</v>
      </c>
      <c r="G128" s="149" t="s">
        <v>442</v>
      </c>
      <c r="H128" s="149" t="str">
        <f t="shared" si="0"/>
        <v>JAVIER GARCÍA DOMÍNGUEZ</v>
      </c>
      <c r="I128" s="149" t="s">
        <v>607</v>
      </c>
      <c r="J128" s="149" t="s">
        <v>444</v>
      </c>
      <c r="K128" s="149" t="s">
        <v>697</v>
      </c>
      <c r="L128" s="157">
        <v>45323</v>
      </c>
      <c r="M128" s="158"/>
      <c r="N128" s="163">
        <v>2</v>
      </c>
      <c r="O128" s="165" t="s">
        <v>446</v>
      </c>
      <c r="P128" s="161">
        <v>3604.55</v>
      </c>
      <c r="Q128" s="168">
        <v>45275</v>
      </c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</row>
    <row r="129" spans="1:27">
      <c r="A129" s="154">
        <v>2</v>
      </c>
      <c r="B129" s="155" t="s">
        <v>695</v>
      </c>
      <c r="C129" s="156">
        <v>45281</v>
      </c>
      <c r="D129" s="155" t="s">
        <v>440</v>
      </c>
      <c r="E129" s="149" t="s">
        <v>129</v>
      </c>
      <c r="F129" s="149" t="s">
        <v>441</v>
      </c>
      <c r="G129" s="149" t="s">
        <v>442</v>
      </c>
      <c r="H129" s="149" t="str">
        <f t="shared" si="0"/>
        <v>MARÍA REY MARCOS</v>
      </c>
      <c r="I129" s="149" t="s">
        <v>678</v>
      </c>
      <c r="J129" s="153" t="s">
        <v>516</v>
      </c>
      <c r="K129" s="149" t="s">
        <v>698</v>
      </c>
      <c r="L129" s="157">
        <v>45323</v>
      </c>
      <c r="M129" s="158"/>
      <c r="N129" s="163">
        <v>2</v>
      </c>
      <c r="O129" s="165" t="s">
        <v>446</v>
      </c>
      <c r="P129" s="161">
        <v>3604.55</v>
      </c>
      <c r="Q129" s="168">
        <v>45281</v>
      </c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</row>
    <row r="130" spans="1:27">
      <c r="A130" s="154">
        <v>2</v>
      </c>
      <c r="B130" s="155" t="s">
        <v>695</v>
      </c>
      <c r="C130" s="156">
        <v>45271</v>
      </c>
      <c r="D130" s="166" t="s">
        <v>440</v>
      </c>
      <c r="E130" s="149" t="s">
        <v>563</v>
      </c>
      <c r="F130" s="149" t="s">
        <v>450</v>
      </c>
      <c r="G130" s="149" t="s">
        <v>451</v>
      </c>
      <c r="H130" s="149" t="str">
        <f t="shared" si="0"/>
        <v>Alejandro Harguindey Antoli-Candela</v>
      </c>
      <c r="I130" s="149" t="s">
        <v>528</v>
      </c>
      <c r="J130" s="149" t="s">
        <v>699</v>
      </c>
      <c r="K130" s="149" t="s">
        <v>700</v>
      </c>
      <c r="L130" s="157">
        <v>45324</v>
      </c>
      <c r="M130" s="158"/>
      <c r="N130" s="163">
        <v>2</v>
      </c>
      <c r="O130" s="165" t="s">
        <v>466</v>
      </c>
      <c r="P130" s="161">
        <v>4222.7299999999996</v>
      </c>
      <c r="Q130" s="168">
        <v>45271</v>
      </c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</row>
    <row r="131" spans="1:27">
      <c r="A131" s="154">
        <v>2</v>
      </c>
      <c r="B131" s="155" t="s">
        <v>695</v>
      </c>
      <c r="C131" s="156">
        <v>45279</v>
      </c>
      <c r="D131" s="155" t="s">
        <v>440</v>
      </c>
      <c r="E131" s="149" t="s">
        <v>314</v>
      </c>
      <c r="F131" s="149" t="s">
        <v>441</v>
      </c>
      <c r="G131" s="149" t="s">
        <v>442</v>
      </c>
      <c r="H131" s="149" t="str">
        <f t="shared" si="0"/>
        <v>JORGE PRADA PENDOLERO</v>
      </c>
      <c r="I131" s="149" t="s">
        <v>701</v>
      </c>
      <c r="J131" s="153" t="s">
        <v>444</v>
      </c>
      <c r="K131" s="149" t="s">
        <v>702</v>
      </c>
      <c r="L131" s="157">
        <v>45324</v>
      </c>
      <c r="M131" s="158"/>
      <c r="N131" s="163">
        <v>2</v>
      </c>
      <c r="O131" s="165" t="s">
        <v>446</v>
      </c>
      <c r="P131" s="161">
        <v>3604.55</v>
      </c>
      <c r="Q131" s="168">
        <v>45279</v>
      </c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</row>
    <row r="132" spans="1:27">
      <c r="A132" s="154">
        <v>2</v>
      </c>
      <c r="B132" s="155" t="s">
        <v>695</v>
      </c>
      <c r="C132" s="156">
        <v>45300</v>
      </c>
      <c r="D132" s="155" t="s">
        <v>440</v>
      </c>
      <c r="E132" s="149" t="s">
        <v>312</v>
      </c>
      <c r="F132" s="149" t="s">
        <v>441</v>
      </c>
      <c r="G132" s="149" t="s">
        <v>442</v>
      </c>
      <c r="H132" s="149" t="str">
        <f t="shared" si="0"/>
        <v>LUCIA PRIETO SÁNCHEZ DE LA PUERTA</v>
      </c>
      <c r="I132" s="149" t="s">
        <v>457</v>
      </c>
      <c r="J132" s="149" t="s">
        <v>455</v>
      </c>
      <c r="K132" s="149" t="s">
        <v>703</v>
      </c>
      <c r="L132" s="157">
        <v>45324</v>
      </c>
      <c r="M132" s="158"/>
      <c r="N132" s="163">
        <v>1</v>
      </c>
      <c r="O132" s="165" t="s">
        <v>449</v>
      </c>
      <c r="P132" s="169">
        <v>1759.09</v>
      </c>
      <c r="Q132" s="168">
        <v>45300</v>
      </c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</row>
    <row r="133" spans="1:27">
      <c r="A133" s="154">
        <v>2</v>
      </c>
      <c r="B133" s="155" t="s">
        <v>695</v>
      </c>
      <c r="C133" s="156">
        <v>45293</v>
      </c>
      <c r="D133" s="155" t="s">
        <v>440</v>
      </c>
      <c r="E133" s="149" t="s">
        <v>460</v>
      </c>
      <c r="F133" s="160" t="s">
        <v>441</v>
      </c>
      <c r="G133" s="160" t="s">
        <v>442</v>
      </c>
      <c r="H133" s="149" t="str">
        <f t="shared" si="0"/>
        <v>SALWA LARAQUI HOSSINI</v>
      </c>
      <c r="I133" s="149" t="s">
        <v>704</v>
      </c>
      <c r="J133" s="153" t="s">
        <v>462</v>
      </c>
      <c r="K133" s="160" t="s">
        <v>705</v>
      </c>
      <c r="L133" s="157">
        <v>45327</v>
      </c>
      <c r="M133" s="158"/>
      <c r="N133" s="163">
        <v>2</v>
      </c>
      <c r="O133" s="165" t="s">
        <v>446</v>
      </c>
      <c r="P133" s="161">
        <v>3604.55</v>
      </c>
      <c r="Q133" s="168">
        <v>45293</v>
      </c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</row>
    <row r="134" spans="1:27">
      <c r="A134" s="154">
        <v>2</v>
      </c>
      <c r="B134" s="155" t="s">
        <v>695</v>
      </c>
      <c r="C134" s="156">
        <v>45287</v>
      </c>
      <c r="D134" s="155" t="s">
        <v>440</v>
      </c>
      <c r="E134" s="149" t="s">
        <v>317</v>
      </c>
      <c r="F134" s="149" t="s">
        <v>441</v>
      </c>
      <c r="G134" s="149" t="s">
        <v>442</v>
      </c>
      <c r="H134" s="149" t="str">
        <f t="shared" si="0"/>
        <v>FRANCISCO PASTOR BEVIÁ</v>
      </c>
      <c r="I134" s="149" t="s">
        <v>464</v>
      </c>
      <c r="J134" s="153" t="s">
        <v>462</v>
      </c>
      <c r="K134" s="149" t="s">
        <v>706</v>
      </c>
      <c r="L134" s="157">
        <v>45327</v>
      </c>
      <c r="M134" s="158"/>
      <c r="N134" s="163">
        <v>1</v>
      </c>
      <c r="O134" s="165" t="s">
        <v>449</v>
      </c>
      <c r="P134" s="161">
        <v>1777.27</v>
      </c>
      <c r="Q134" s="168">
        <v>45287</v>
      </c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</row>
    <row r="135" spans="1:27">
      <c r="A135" s="154">
        <v>2</v>
      </c>
      <c r="B135" s="155" t="s">
        <v>695</v>
      </c>
      <c r="C135" s="156">
        <v>45288</v>
      </c>
      <c r="D135" s="155" t="s">
        <v>440</v>
      </c>
      <c r="E135" s="149" t="s">
        <v>707</v>
      </c>
      <c r="F135" s="149" t="s">
        <v>441</v>
      </c>
      <c r="G135" s="149" t="s">
        <v>442</v>
      </c>
      <c r="H135" s="149" t="str">
        <f t="shared" si="0"/>
        <v>RAFAEL MARTÍNEZ GARCERAN</v>
      </c>
      <c r="I135" s="149" t="s">
        <v>708</v>
      </c>
      <c r="J135" s="153" t="s">
        <v>462</v>
      </c>
      <c r="K135" s="149" t="s">
        <v>709</v>
      </c>
      <c r="L135" s="157">
        <v>45327</v>
      </c>
      <c r="M135" s="158"/>
      <c r="N135" s="163">
        <v>2</v>
      </c>
      <c r="O135" s="165" t="s">
        <v>466</v>
      </c>
      <c r="P135" s="161">
        <v>3820.38</v>
      </c>
      <c r="Q135" s="168">
        <v>45288</v>
      </c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</row>
    <row r="136" spans="1:27">
      <c r="A136" s="154">
        <v>2</v>
      </c>
      <c r="B136" s="155" t="s">
        <v>695</v>
      </c>
      <c r="C136" s="156">
        <v>45314</v>
      </c>
      <c r="D136" s="155" t="s">
        <v>440</v>
      </c>
      <c r="E136" s="149" t="s">
        <v>501</v>
      </c>
      <c r="F136" s="149" t="s">
        <v>441</v>
      </c>
      <c r="G136" s="149" t="s">
        <v>442</v>
      </c>
      <c r="H136" s="149" t="str">
        <f t="shared" si="0"/>
        <v>FERNANDO SALAZAR BARCELONA</v>
      </c>
      <c r="I136" s="149" t="s">
        <v>502</v>
      </c>
      <c r="J136" s="153" t="s">
        <v>548</v>
      </c>
      <c r="K136" s="149" t="s">
        <v>710</v>
      </c>
      <c r="L136" s="157">
        <v>45327</v>
      </c>
      <c r="M136" s="158"/>
      <c r="N136" s="163">
        <v>2</v>
      </c>
      <c r="O136" s="165" t="s">
        <v>449</v>
      </c>
      <c r="P136" s="161">
        <v>2727.27</v>
      </c>
      <c r="Q136" s="168">
        <v>45314</v>
      </c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</row>
    <row r="137" spans="1:27">
      <c r="A137" s="154">
        <v>2</v>
      </c>
      <c r="B137" s="155" t="s">
        <v>695</v>
      </c>
      <c r="C137" s="156">
        <v>45282</v>
      </c>
      <c r="D137" s="166" t="s">
        <v>440</v>
      </c>
      <c r="E137" s="149" t="s">
        <v>506</v>
      </c>
      <c r="F137" s="149" t="s">
        <v>441</v>
      </c>
      <c r="G137" s="149" t="s">
        <v>442</v>
      </c>
      <c r="H137" s="149" t="str">
        <f t="shared" si="0"/>
        <v>MARÍA JESÚS CORNEJO DOMÍNGUEZ</v>
      </c>
      <c r="I137" s="149" t="s">
        <v>507</v>
      </c>
      <c r="J137" s="149" t="s">
        <v>473</v>
      </c>
      <c r="K137" s="149" t="s">
        <v>711</v>
      </c>
      <c r="L137" s="157">
        <v>45327</v>
      </c>
      <c r="M137" s="158"/>
      <c r="N137" s="163">
        <v>2</v>
      </c>
      <c r="O137" s="165" t="s">
        <v>446</v>
      </c>
      <c r="P137" s="161">
        <v>3604.55</v>
      </c>
      <c r="Q137" s="168">
        <v>45282</v>
      </c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</row>
    <row r="138" spans="1:27">
      <c r="A138" s="154">
        <v>2</v>
      </c>
      <c r="B138" s="155" t="s">
        <v>695</v>
      </c>
      <c r="C138" s="156">
        <v>45233</v>
      </c>
      <c r="D138" s="155" t="s">
        <v>440</v>
      </c>
      <c r="E138" s="149" t="s">
        <v>312</v>
      </c>
      <c r="F138" s="149" t="s">
        <v>441</v>
      </c>
      <c r="G138" s="149" t="s">
        <v>442</v>
      </c>
      <c r="H138" s="149" t="str">
        <f t="shared" si="0"/>
        <v>CAYETANA LÓPEZ LADRÓN GARCÍA DE LA BORBOLLA</v>
      </c>
      <c r="I138" s="149" t="s">
        <v>712</v>
      </c>
      <c r="J138" s="153" t="s">
        <v>455</v>
      </c>
      <c r="K138" s="149" t="s">
        <v>713</v>
      </c>
      <c r="L138" s="157">
        <v>45327</v>
      </c>
      <c r="M138" s="158"/>
      <c r="N138" s="163">
        <v>2</v>
      </c>
      <c r="O138" s="165" t="s">
        <v>449</v>
      </c>
      <c r="P138" s="161">
        <v>2694.55</v>
      </c>
      <c r="Q138" s="168">
        <v>45233</v>
      </c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</row>
    <row r="139" spans="1:27">
      <c r="A139" s="154">
        <v>2</v>
      </c>
      <c r="B139" s="155" t="s">
        <v>695</v>
      </c>
      <c r="C139" s="156">
        <v>45309</v>
      </c>
      <c r="D139" s="155" t="s">
        <v>440</v>
      </c>
      <c r="E139" s="149" t="s">
        <v>582</v>
      </c>
      <c r="F139" s="149" t="s">
        <v>441</v>
      </c>
      <c r="G139" s="149" t="s">
        <v>442</v>
      </c>
      <c r="H139" s="149" t="str">
        <f t="shared" si="0"/>
        <v>JOAQUÍN GUERRA GÓMEZ</v>
      </c>
      <c r="I139" s="149" t="s">
        <v>714</v>
      </c>
      <c r="J139" s="153" t="s">
        <v>516</v>
      </c>
      <c r="K139" s="149" t="s">
        <v>715</v>
      </c>
      <c r="L139" s="157">
        <v>45328</v>
      </c>
      <c r="M139" s="158"/>
      <c r="N139" s="163">
        <v>2</v>
      </c>
      <c r="O139" s="165" t="s">
        <v>446</v>
      </c>
      <c r="P139" s="161">
        <v>3563.64</v>
      </c>
      <c r="Q139" s="162">
        <v>45309</v>
      </c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</row>
    <row r="140" spans="1:27">
      <c r="A140" s="154">
        <v>2</v>
      </c>
      <c r="B140" s="155" t="s">
        <v>695</v>
      </c>
      <c r="C140" s="156">
        <v>45267</v>
      </c>
      <c r="D140" s="155" t="s">
        <v>440</v>
      </c>
      <c r="E140" s="149" t="s">
        <v>309</v>
      </c>
      <c r="F140" s="149" t="s">
        <v>441</v>
      </c>
      <c r="G140" s="149" t="s">
        <v>442</v>
      </c>
      <c r="H140" s="149" t="str">
        <f t="shared" si="0"/>
        <v>JOSE JOAQUÍN GUTIÉRREZ BARQUÍN</v>
      </c>
      <c r="I140" s="149" t="s">
        <v>716</v>
      </c>
      <c r="J140" s="153" t="s">
        <v>444</v>
      </c>
      <c r="K140" s="149" t="s">
        <v>717</v>
      </c>
      <c r="L140" s="157">
        <v>45328</v>
      </c>
      <c r="M140" s="158"/>
      <c r="N140" s="163">
        <v>2</v>
      </c>
      <c r="O140" s="165" t="s">
        <v>446</v>
      </c>
      <c r="P140" s="161">
        <v>3181.82</v>
      </c>
      <c r="Q140" s="168">
        <v>45267</v>
      </c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</row>
    <row r="141" spans="1:27">
      <c r="A141" s="154">
        <v>2</v>
      </c>
      <c r="B141" s="155" t="s">
        <v>695</v>
      </c>
      <c r="C141" s="156">
        <v>45267</v>
      </c>
      <c r="D141" s="155" t="s">
        <v>440</v>
      </c>
      <c r="E141" s="149" t="s">
        <v>309</v>
      </c>
      <c r="F141" s="149" t="s">
        <v>441</v>
      </c>
      <c r="G141" s="149" t="s">
        <v>442</v>
      </c>
      <c r="H141" s="149" t="str">
        <f t="shared" si="0"/>
        <v>JOSE JOAQUÍN GUTIÉRREZ BARQUÍN</v>
      </c>
      <c r="I141" s="149" t="s">
        <v>716</v>
      </c>
      <c r="J141" s="149" t="s">
        <v>444</v>
      </c>
      <c r="K141" s="149" t="s">
        <v>718</v>
      </c>
      <c r="L141" s="157">
        <v>45328</v>
      </c>
      <c r="M141" s="158"/>
      <c r="N141" s="163">
        <v>2</v>
      </c>
      <c r="O141" s="165" t="s">
        <v>446</v>
      </c>
      <c r="P141" s="161">
        <v>3181.82</v>
      </c>
      <c r="Q141" s="168">
        <v>45267</v>
      </c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</row>
    <row r="142" spans="1:27">
      <c r="A142" s="154">
        <v>2</v>
      </c>
      <c r="B142" s="155" t="s">
        <v>695</v>
      </c>
      <c r="C142" s="156">
        <v>45315</v>
      </c>
      <c r="D142" s="155" t="s">
        <v>440</v>
      </c>
      <c r="E142" s="160" t="s">
        <v>671</v>
      </c>
      <c r="F142" s="160" t="s">
        <v>441</v>
      </c>
      <c r="G142" s="160" t="s">
        <v>442</v>
      </c>
      <c r="H142" s="149" t="str">
        <f t="shared" si="0"/>
        <v>PEDRO JUIZ LÓPEZ</v>
      </c>
      <c r="I142" s="149" t="s">
        <v>672</v>
      </c>
      <c r="J142" s="149" t="s">
        <v>516</v>
      </c>
      <c r="K142" s="160" t="s">
        <v>719</v>
      </c>
      <c r="L142" s="157">
        <v>45329</v>
      </c>
      <c r="M142" s="158"/>
      <c r="N142" s="163">
        <v>1</v>
      </c>
      <c r="O142" s="165" t="s">
        <v>466</v>
      </c>
      <c r="P142" s="161">
        <v>2454.5500000000002</v>
      </c>
      <c r="Q142" s="168">
        <v>45315</v>
      </c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</row>
    <row r="143" spans="1:27">
      <c r="A143" s="154">
        <v>2</v>
      </c>
      <c r="B143" s="155" t="s">
        <v>695</v>
      </c>
      <c r="C143" s="156">
        <v>45229</v>
      </c>
      <c r="D143" s="155" t="s">
        <v>440</v>
      </c>
      <c r="E143" s="149" t="s">
        <v>471</v>
      </c>
      <c r="F143" s="149" t="s">
        <v>450</v>
      </c>
      <c r="G143" s="149" t="s">
        <v>451</v>
      </c>
      <c r="H143" s="149" t="str">
        <f t="shared" si="0"/>
        <v>CARLOS MIGUEL SALVADOR MARTÍNEZ</v>
      </c>
      <c r="I143" s="149" t="s">
        <v>633</v>
      </c>
      <c r="J143" s="153" t="s">
        <v>473</v>
      </c>
      <c r="K143" s="149" t="s">
        <v>720</v>
      </c>
      <c r="L143" s="157">
        <v>45329</v>
      </c>
      <c r="M143" s="164"/>
      <c r="N143" s="163">
        <v>1</v>
      </c>
      <c r="O143" s="165" t="s">
        <v>446</v>
      </c>
      <c r="P143" s="161">
        <v>2162.73</v>
      </c>
      <c r="Q143" s="168">
        <v>45229</v>
      </c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</row>
    <row r="144" spans="1:27">
      <c r="A144" s="154">
        <v>2</v>
      </c>
      <c r="B144" s="155" t="s">
        <v>695</v>
      </c>
      <c r="C144" s="156">
        <v>45281</v>
      </c>
      <c r="D144" s="155" t="s">
        <v>440</v>
      </c>
      <c r="E144" s="149" t="s">
        <v>317</v>
      </c>
      <c r="F144" s="149" t="s">
        <v>441</v>
      </c>
      <c r="G144" s="149" t="s">
        <v>442</v>
      </c>
      <c r="H144" s="149" t="str">
        <f t="shared" si="0"/>
        <v>JAVIER LAFARGA VÁZQUEZ</v>
      </c>
      <c r="I144" s="149" t="s">
        <v>721</v>
      </c>
      <c r="J144" s="149" t="s">
        <v>462</v>
      </c>
      <c r="K144" s="149" t="s">
        <v>722</v>
      </c>
      <c r="L144" s="157">
        <v>45330</v>
      </c>
      <c r="M144" s="164"/>
      <c r="N144" s="159">
        <v>2</v>
      </c>
      <c r="O144" s="165" t="s">
        <v>449</v>
      </c>
      <c r="P144" s="161">
        <v>2781.82</v>
      </c>
      <c r="Q144" s="168">
        <v>45281</v>
      </c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</row>
    <row r="145" spans="1:27">
      <c r="A145" s="154">
        <v>2</v>
      </c>
      <c r="B145" s="155" t="s">
        <v>695</v>
      </c>
      <c r="C145" s="156">
        <v>45280</v>
      </c>
      <c r="D145" s="155" t="s">
        <v>440</v>
      </c>
      <c r="E145" s="149" t="s">
        <v>271</v>
      </c>
      <c r="F145" s="149" t="s">
        <v>450</v>
      </c>
      <c r="G145" s="149" t="s">
        <v>451</v>
      </c>
      <c r="H145" s="149" t="str">
        <f t="shared" si="0"/>
        <v>FRANCISCO J, REDONDO DEL BARCO</v>
      </c>
      <c r="I145" s="149" t="s">
        <v>723</v>
      </c>
      <c r="J145" s="153" t="s">
        <v>548</v>
      </c>
      <c r="K145" s="149" t="s">
        <v>724</v>
      </c>
      <c r="L145" s="157">
        <v>45330</v>
      </c>
      <c r="M145" s="158"/>
      <c r="N145" s="163">
        <v>1</v>
      </c>
      <c r="O145" s="165" t="s">
        <v>446</v>
      </c>
      <c r="P145" s="161">
        <v>2054.59</v>
      </c>
      <c r="Q145" s="168">
        <v>45280</v>
      </c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</row>
    <row r="146" spans="1:27">
      <c r="A146" s="154">
        <v>2</v>
      </c>
      <c r="B146" s="155" t="s">
        <v>695</v>
      </c>
      <c r="C146" s="156">
        <v>45302</v>
      </c>
      <c r="D146" s="155" t="s">
        <v>440</v>
      </c>
      <c r="E146" s="149" t="s">
        <v>313</v>
      </c>
      <c r="F146" s="149" t="s">
        <v>441</v>
      </c>
      <c r="G146" s="149" t="s">
        <v>442</v>
      </c>
      <c r="H146" s="149" t="str">
        <f t="shared" si="0"/>
        <v>JAVIER GARCÍA DOMÍNGUEZ</v>
      </c>
      <c r="I146" s="149" t="s">
        <v>607</v>
      </c>
      <c r="J146" s="153" t="s">
        <v>444</v>
      </c>
      <c r="K146" s="149" t="s">
        <v>725</v>
      </c>
      <c r="L146" s="157">
        <v>45330</v>
      </c>
      <c r="M146" s="164"/>
      <c r="N146" s="163">
        <v>2</v>
      </c>
      <c r="O146" s="165" t="s">
        <v>446</v>
      </c>
      <c r="P146" s="161">
        <v>3424.32</v>
      </c>
      <c r="Q146" s="168">
        <v>45302</v>
      </c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</row>
    <row r="147" spans="1:27">
      <c r="A147" s="154">
        <v>2</v>
      </c>
      <c r="B147" s="155" t="s">
        <v>695</v>
      </c>
      <c r="C147" s="156">
        <v>45296</v>
      </c>
      <c r="D147" s="155" t="s">
        <v>440</v>
      </c>
      <c r="E147" s="149" t="s">
        <v>98</v>
      </c>
      <c r="F147" s="149" t="s">
        <v>441</v>
      </c>
      <c r="G147" s="149" t="s">
        <v>442</v>
      </c>
      <c r="H147" s="149" t="str">
        <f t="shared" si="0"/>
        <v>NATHALIE FAGES CÁRCELES</v>
      </c>
      <c r="I147" s="149" t="s">
        <v>726</v>
      </c>
      <c r="J147" s="153" t="s">
        <v>462</v>
      </c>
      <c r="K147" s="149" t="s">
        <v>727</v>
      </c>
      <c r="L147" s="157">
        <v>45330</v>
      </c>
      <c r="M147" s="158"/>
      <c r="N147" s="163">
        <v>2</v>
      </c>
      <c r="O147" s="165" t="s">
        <v>449</v>
      </c>
      <c r="P147" s="161">
        <v>2780.77</v>
      </c>
      <c r="Q147" s="168">
        <v>45296</v>
      </c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</row>
    <row r="148" spans="1:27">
      <c r="A148" s="154">
        <v>2</v>
      </c>
      <c r="B148" s="155" t="s">
        <v>695</v>
      </c>
      <c r="C148" s="156">
        <v>45281</v>
      </c>
      <c r="D148" s="155" t="s">
        <v>440</v>
      </c>
      <c r="E148" s="149" t="s">
        <v>485</v>
      </c>
      <c r="F148" s="149" t="s">
        <v>441</v>
      </c>
      <c r="G148" s="149" t="s">
        <v>442</v>
      </c>
      <c r="H148" s="149" t="str">
        <f t="shared" si="0"/>
        <v>ANTONIA CARRANZA CALLEJA</v>
      </c>
      <c r="I148" s="149" t="s">
        <v>511</v>
      </c>
      <c r="J148" s="153" t="s">
        <v>473</v>
      </c>
      <c r="K148" s="149" t="s">
        <v>728</v>
      </c>
      <c r="L148" s="157">
        <v>45330</v>
      </c>
      <c r="M148" s="158"/>
      <c r="N148" s="163">
        <v>2</v>
      </c>
      <c r="O148" s="165" t="s">
        <v>466</v>
      </c>
      <c r="P148" s="161">
        <v>3886.36</v>
      </c>
      <c r="Q148" s="168">
        <v>45281</v>
      </c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</row>
    <row r="149" spans="1:27">
      <c r="A149" s="154">
        <v>2</v>
      </c>
      <c r="B149" s="155" t="s">
        <v>695</v>
      </c>
      <c r="C149" s="156">
        <v>45260</v>
      </c>
      <c r="D149" s="155" t="s">
        <v>440</v>
      </c>
      <c r="E149" s="149" t="s">
        <v>308</v>
      </c>
      <c r="F149" s="149" t="s">
        <v>441</v>
      </c>
      <c r="G149" s="149" t="s">
        <v>442</v>
      </c>
      <c r="H149" s="149" t="str">
        <f t="shared" si="0"/>
        <v>GABRIEL ÁLVAREZ CURRO</v>
      </c>
      <c r="I149" s="149" t="s">
        <v>729</v>
      </c>
      <c r="J149" s="153" t="s">
        <v>477</v>
      </c>
      <c r="K149" s="149" t="s">
        <v>730</v>
      </c>
      <c r="L149" s="157">
        <v>45331</v>
      </c>
      <c r="M149" s="158"/>
      <c r="N149" s="163">
        <v>1</v>
      </c>
      <c r="O149" s="165" t="s">
        <v>449</v>
      </c>
      <c r="P149" s="161">
        <v>1668.18</v>
      </c>
      <c r="Q149" s="168">
        <v>45260</v>
      </c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</row>
    <row r="150" spans="1:27">
      <c r="A150" s="154">
        <v>2</v>
      </c>
      <c r="B150" s="155" t="s">
        <v>695</v>
      </c>
      <c r="C150" s="156">
        <v>45278</v>
      </c>
      <c r="D150" s="155" t="s">
        <v>440</v>
      </c>
      <c r="E150" s="160" t="s">
        <v>317</v>
      </c>
      <c r="F150" s="160" t="s">
        <v>441</v>
      </c>
      <c r="G150" s="160" t="s">
        <v>442</v>
      </c>
      <c r="H150" s="149" t="str">
        <f t="shared" si="0"/>
        <v>FRANCISCO PASTOR BEVIÁ</v>
      </c>
      <c r="I150" s="149" t="s">
        <v>464</v>
      </c>
      <c r="J150" s="153" t="s">
        <v>462</v>
      </c>
      <c r="K150" s="160" t="s">
        <v>731</v>
      </c>
      <c r="L150" s="168">
        <v>45331</v>
      </c>
      <c r="M150" s="160"/>
      <c r="N150" s="163">
        <v>2</v>
      </c>
      <c r="O150" s="149" t="s">
        <v>513</v>
      </c>
      <c r="P150" s="161">
        <v>5204.55</v>
      </c>
      <c r="Q150" s="157">
        <v>45278</v>
      </c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</row>
    <row r="151" spans="1:27">
      <c r="A151" s="154">
        <v>2</v>
      </c>
      <c r="B151" s="155" t="s">
        <v>695</v>
      </c>
      <c r="C151" s="156">
        <v>45070</v>
      </c>
      <c r="D151" s="155" t="s">
        <v>440</v>
      </c>
      <c r="E151" s="149" t="s">
        <v>309</v>
      </c>
      <c r="F151" s="149" t="s">
        <v>441</v>
      </c>
      <c r="G151" s="149" t="s">
        <v>442</v>
      </c>
      <c r="H151" s="149" t="str">
        <f t="shared" si="0"/>
        <v>JOAQUÍN ALACIO CASERO</v>
      </c>
      <c r="I151" s="149" t="s">
        <v>651</v>
      </c>
      <c r="J151" s="153" t="s">
        <v>444</v>
      </c>
      <c r="K151" s="149" t="s">
        <v>732</v>
      </c>
      <c r="L151" s="157">
        <v>45331</v>
      </c>
      <c r="M151" s="158"/>
      <c r="N151" s="163">
        <v>1</v>
      </c>
      <c r="O151" s="165" t="s">
        <v>449</v>
      </c>
      <c r="P151" s="161">
        <v>1668.18</v>
      </c>
      <c r="Q151" s="168">
        <v>45070</v>
      </c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</row>
    <row r="152" spans="1:27">
      <c r="A152" s="154">
        <v>2</v>
      </c>
      <c r="B152" s="155" t="s">
        <v>695</v>
      </c>
      <c r="C152" s="156">
        <v>45321</v>
      </c>
      <c r="D152" s="155" t="s">
        <v>440</v>
      </c>
      <c r="E152" s="149" t="s">
        <v>309</v>
      </c>
      <c r="F152" s="149" t="s">
        <v>441</v>
      </c>
      <c r="G152" s="149" t="s">
        <v>442</v>
      </c>
      <c r="H152" s="149" t="str">
        <f t="shared" si="0"/>
        <v>JOSE JOAQUÍN GUTIÉRREZ BARQUÍN</v>
      </c>
      <c r="I152" s="149" t="s">
        <v>716</v>
      </c>
      <c r="J152" s="153" t="s">
        <v>444</v>
      </c>
      <c r="K152" s="149" t="s">
        <v>733</v>
      </c>
      <c r="L152" s="157">
        <v>45331</v>
      </c>
      <c r="M152" s="158"/>
      <c r="N152" s="163">
        <v>2</v>
      </c>
      <c r="O152" s="165" t="s">
        <v>449</v>
      </c>
      <c r="P152" s="161">
        <v>2780.91</v>
      </c>
      <c r="Q152" s="168">
        <v>45321</v>
      </c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</row>
    <row r="153" spans="1:27">
      <c r="A153" s="154">
        <v>2</v>
      </c>
      <c r="B153" s="155" t="s">
        <v>695</v>
      </c>
      <c r="C153" s="156">
        <v>45219</v>
      </c>
      <c r="D153" s="155" t="s">
        <v>440</v>
      </c>
      <c r="E153" s="149" t="s">
        <v>309</v>
      </c>
      <c r="F153" s="149" t="s">
        <v>441</v>
      </c>
      <c r="G153" s="149" t="s">
        <v>442</v>
      </c>
      <c r="H153" s="149" t="str">
        <f t="shared" si="0"/>
        <v>ITZIAR ÁLVAREZ PALACIOS</v>
      </c>
      <c r="I153" s="149" t="s">
        <v>734</v>
      </c>
      <c r="J153" s="153" t="s">
        <v>444</v>
      </c>
      <c r="K153" s="149" t="s">
        <v>735</v>
      </c>
      <c r="L153" s="157">
        <v>45331</v>
      </c>
      <c r="M153" s="158"/>
      <c r="N153" s="163">
        <v>1</v>
      </c>
      <c r="O153" s="165" t="s">
        <v>449</v>
      </c>
      <c r="P153" s="161">
        <v>1577.27</v>
      </c>
      <c r="Q153" s="168">
        <v>45219</v>
      </c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</row>
    <row r="154" spans="1:27">
      <c r="A154" s="154">
        <v>2</v>
      </c>
      <c r="B154" s="155" t="s">
        <v>695</v>
      </c>
      <c r="C154" s="156">
        <v>45301</v>
      </c>
      <c r="D154" s="155" t="s">
        <v>440</v>
      </c>
      <c r="E154" s="149" t="s">
        <v>313</v>
      </c>
      <c r="F154" s="149" t="s">
        <v>441</v>
      </c>
      <c r="G154" s="149" t="s">
        <v>442</v>
      </c>
      <c r="H154" s="149" t="str">
        <f t="shared" si="0"/>
        <v>ESTEBAN SCOLA PLIEGO</v>
      </c>
      <c r="I154" s="149" t="s">
        <v>736</v>
      </c>
      <c r="J154" s="153" t="s">
        <v>444</v>
      </c>
      <c r="K154" s="149" t="s">
        <v>737</v>
      </c>
      <c r="L154" s="157">
        <v>45331</v>
      </c>
      <c r="M154" s="158"/>
      <c r="N154" s="163">
        <v>2</v>
      </c>
      <c r="O154" s="165" t="s">
        <v>449</v>
      </c>
      <c r="P154" s="161">
        <v>2780.91</v>
      </c>
      <c r="Q154" s="168">
        <v>45301</v>
      </c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</row>
    <row r="155" spans="1:27">
      <c r="A155" s="154">
        <v>2</v>
      </c>
      <c r="B155" s="155" t="s">
        <v>695</v>
      </c>
      <c r="C155" s="156">
        <v>45301</v>
      </c>
      <c r="D155" s="155" t="s">
        <v>440</v>
      </c>
      <c r="E155" s="149" t="s">
        <v>98</v>
      </c>
      <c r="F155" s="149" t="s">
        <v>441</v>
      </c>
      <c r="G155" s="149" t="s">
        <v>442</v>
      </c>
      <c r="H155" s="149" t="str">
        <f t="shared" si="0"/>
        <v>JESÚS MIGUEL INIESTA TURPÍN</v>
      </c>
      <c r="I155" s="149" t="s">
        <v>594</v>
      </c>
      <c r="J155" s="153" t="s">
        <v>462</v>
      </c>
      <c r="K155" s="149" t="s">
        <v>738</v>
      </c>
      <c r="L155" s="157">
        <v>45331</v>
      </c>
      <c r="M155" s="158"/>
      <c r="N155" s="163">
        <v>2</v>
      </c>
      <c r="O155" s="165" t="s">
        <v>446</v>
      </c>
      <c r="P155" s="161">
        <v>3236.36</v>
      </c>
      <c r="Q155" s="168">
        <v>45301</v>
      </c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</row>
    <row r="156" spans="1:27">
      <c r="A156" s="154">
        <v>2</v>
      </c>
      <c r="B156" s="155" t="s">
        <v>695</v>
      </c>
      <c r="C156" s="156">
        <v>45295</v>
      </c>
      <c r="D156" s="166" t="s">
        <v>440</v>
      </c>
      <c r="E156" s="149" t="s">
        <v>102</v>
      </c>
      <c r="F156" s="149" t="s">
        <v>450</v>
      </c>
      <c r="G156" s="149" t="s">
        <v>451</v>
      </c>
      <c r="H156" s="149" t="str">
        <f t="shared" si="0"/>
        <v>FIORELLA MARCINO MOREIRA</v>
      </c>
      <c r="I156" s="149" t="s">
        <v>739</v>
      </c>
      <c r="J156" s="149" t="s">
        <v>462</v>
      </c>
      <c r="K156" s="149" t="s">
        <v>740</v>
      </c>
      <c r="L156" s="157">
        <v>45331</v>
      </c>
      <c r="M156" s="158"/>
      <c r="N156" s="163">
        <v>2</v>
      </c>
      <c r="O156" s="165" t="s">
        <v>466</v>
      </c>
      <c r="P156" s="161">
        <v>4466.3500000000004</v>
      </c>
      <c r="Q156" s="168">
        <v>45295</v>
      </c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</row>
    <row r="157" spans="1:27">
      <c r="A157" s="154">
        <v>2</v>
      </c>
      <c r="B157" s="155" t="s">
        <v>695</v>
      </c>
      <c r="C157" s="156">
        <v>45243</v>
      </c>
      <c r="D157" s="155" t="s">
        <v>440</v>
      </c>
      <c r="E157" s="149" t="s">
        <v>201</v>
      </c>
      <c r="F157" s="149" t="s">
        <v>441</v>
      </c>
      <c r="G157" s="149" t="s">
        <v>442</v>
      </c>
      <c r="H157" s="149" t="str">
        <f t="shared" si="0"/>
        <v>AINHOA MORENO BRAVO</v>
      </c>
      <c r="I157" s="149" t="s">
        <v>741</v>
      </c>
      <c r="J157" s="153" t="s">
        <v>477</v>
      </c>
      <c r="K157" s="149" t="s">
        <v>742</v>
      </c>
      <c r="L157" s="157">
        <v>45331</v>
      </c>
      <c r="M157" s="158"/>
      <c r="N157" s="163">
        <v>2</v>
      </c>
      <c r="O157" s="165" t="s">
        <v>446</v>
      </c>
      <c r="P157" s="161">
        <v>3604.55</v>
      </c>
      <c r="Q157" s="168">
        <v>45243</v>
      </c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</row>
    <row r="158" spans="1:27">
      <c r="A158" s="154">
        <v>2</v>
      </c>
      <c r="B158" s="155" t="s">
        <v>695</v>
      </c>
      <c r="C158" s="156">
        <v>45327</v>
      </c>
      <c r="D158" s="155" t="s">
        <v>440</v>
      </c>
      <c r="E158" s="149" t="s">
        <v>553</v>
      </c>
      <c r="F158" s="149" t="s">
        <v>441</v>
      </c>
      <c r="G158" s="149" t="s">
        <v>442</v>
      </c>
      <c r="H158" s="149" t="str">
        <f t="shared" si="0"/>
        <v>ANTONIO GUSTAVO LIROLA DELGADO</v>
      </c>
      <c r="I158" s="149" t="s">
        <v>743</v>
      </c>
      <c r="J158" s="153" t="s">
        <v>516</v>
      </c>
      <c r="K158" s="149" t="s">
        <v>744</v>
      </c>
      <c r="L158" s="157">
        <v>45334</v>
      </c>
      <c r="M158" s="158"/>
      <c r="N158" s="159">
        <v>2</v>
      </c>
      <c r="O158" s="165" t="s">
        <v>449</v>
      </c>
      <c r="P158" s="161">
        <v>2945.62</v>
      </c>
      <c r="Q158" s="162">
        <v>45327</v>
      </c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</row>
    <row r="159" spans="1:27">
      <c r="A159" s="154">
        <v>2</v>
      </c>
      <c r="B159" s="155" t="s">
        <v>695</v>
      </c>
      <c r="C159" s="156">
        <v>45313</v>
      </c>
      <c r="D159" s="155" t="s">
        <v>440</v>
      </c>
      <c r="E159" s="149" t="s">
        <v>318</v>
      </c>
      <c r="F159" s="149" t="s">
        <v>441</v>
      </c>
      <c r="G159" s="149" t="s">
        <v>442</v>
      </c>
      <c r="H159" s="149" t="str">
        <f t="shared" si="0"/>
        <v>LUIS MEGÍAS GÁMIZ</v>
      </c>
      <c r="I159" s="149" t="s">
        <v>745</v>
      </c>
      <c r="J159" s="149" t="s">
        <v>462</v>
      </c>
      <c r="K159" s="149" t="s">
        <v>746</v>
      </c>
      <c r="L159" s="157">
        <v>45334</v>
      </c>
      <c r="M159" s="158"/>
      <c r="N159" s="163">
        <v>1</v>
      </c>
      <c r="O159" s="165" t="s">
        <v>466</v>
      </c>
      <c r="P159" s="161">
        <v>2536.36</v>
      </c>
      <c r="Q159" s="168">
        <v>45313</v>
      </c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</row>
    <row r="160" spans="1:27">
      <c r="A160" s="154">
        <v>2</v>
      </c>
      <c r="B160" s="155" t="s">
        <v>695</v>
      </c>
      <c r="C160" s="156">
        <v>45313</v>
      </c>
      <c r="D160" s="155" t="s">
        <v>440</v>
      </c>
      <c r="E160" s="149" t="s">
        <v>122</v>
      </c>
      <c r="F160" s="149" t="s">
        <v>441</v>
      </c>
      <c r="G160" s="149" t="s">
        <v>442</v>
      </c>
      <c r="H160" s="149" t="str">
        <f t="shared" si="0"/>
        <v>VICENTE MARTÍNEZ SANTOS</v>
      </c>
      <c r="I160" s="149" t="s">
        <v>558</v>
      </c>
      <c r="J160" s="149" t="s">
        <v>444</v>
      </c>
      <c r="K160" s="149" t="s">
        <v>747</v>
      </c>
      <c r="L160" s="157">
        <v>45334</v>
      </c>
      <c r="M160" s="158"/>
      <c r="N160" s="163">
        <v>2</v>
      </c>
      <c r="O160" s="165" t="s">
        <v>449</v>
      </c>
      <c r="P160" s="161">
        <v>2641.82</v>
      </c>
      <c r="Q160" s="168">
        <v>45313</v>
      </c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</row>
    <row r="161" spans="1:27">
      <c r="A161" s="154">
        <v>2</v>
      </c>
      <c r="B161" s="155" t="s">
        <v>695</v>
      </c>
      <c r="C161" s="156">
        <v>45308</v>
      </c>
      <c r="D161" s="155" t="s">
        <v>440</v>
      </c>
      <c r="E161" s="149" t="s">
        <v>122</v>
      </c>
      <c r="F161" s="149" t="s">
        <v>441</v>
      </c>
      <c r="G161" s="149" t="s">
        <v>442</v>
      </c>
      <c r="H161" s="149" t="str">
        <f t="shared" si="0"/>
        <v>JULIO LÓPEZ MOYA</v>
      </c>
      <c r="I161" s="149" t="s">
        <v>504</v>
      </c>
      <c r="J161" s="153" t="s">
        <v>444</v>
      </c>
      <c r="K161" s="149" t="s">
        <v>748</v>
      </c>
      <c r="L161" s="157">
        <v>45334</v>
      </c>
      <c r="M161" s="158"/>
      <c r="N161" s="163">
        <v>2</v>
      </c>
      <c r="O161" s="165" t="s">
        <v>446</v>
      </c>
      <c r="P161" s="161">
        <v>3604.55</v>
      </c>
      <c r="Q161" s="168">
        <v>45308</v>
      </c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</row>
    <row r="162" spans="1:27">
      <c r="A162" s="154">
        <v>2</v>
      </c>
      <c r="B162" s="155" t="s">
        <v>695</v>
      </c>
      <c r="C162" s="156">
        <v>45306</v>
      </c>
      <c r="D162" s="155" t="s">
        <v>440</v>
      </c>
      <c r="E162" s="149" t="s">
        <v>563</v>
      </c>
      <c r="F162" s="149" t="s">
        <v>441</v>
      </c>
      <c r="G162" s="149" t="s">
        <v>442</v>
      </c>
      <c r="H162" s="149" t="str">
        <f t="shared" si="0"/>
        <v>ADOLFO CARLOS HINOJAR GUTIERREZ</v>
      </c>
      <c r="I162" s="149" t="s">
        <v>749</v>
      </c>
      <c r="J162" s="153" t="s">
        <v>548</v>
      </c>
      <c r="K162" s="149" t="s">
        <v>750</v>
      </c>
      <c r="L162" s="157">
        <v>45334</v>
      </c>
      <c r="M162" s="158"/>
      <c r="N162" s="163">
        <v>2</v>
      </c>
      <c r="O162" s="165" t="s">
        <v>446</v>
      </c>
      <c r="P162" s="161">
        <v>3604.55</v>
      </c>
      <c r="Q162" s="168">
        <v>45306</v>
      </c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</row>
    <row r="163" spans="1:27">
      <c r="A163" s="154">
        <v>2</v>
      </c>
      <c r="B163" s="155" t="s">
        <v>695</v>
      </c>
      <c r="C163" s="156">
        <v>45308</v>
      </c>
      <c r="D163" s="155" t="s">
        <v>440</v>
      </c>
      <c r="E163" s="149" t="s">
        <v>158</v>
      </c>
      <c r="F163" s="149" t="s">
        <v>441</v>
      </c>
      <c r="G163" s="149" t="s">
        <v>442</v>
      </c>
      <c r="H163" s="149" t="str">
        <f t="shared" si="0"/>
        <v>JAVIER GARCÍA DOMÍNGUEZ</v>
      </c>
      <c r="I163" s="149" t="s">
        <v>607</v>
      </c>
      <c r="J163" s="153" t="s">
        <v>444</v>
      </c>
      <c r="K163" s="149" t="s">
        <v>751</v>
      </c>
      <c r="L163" s="157">
        <v>45334</v>
      </c>
      <c r="M163" s="158"/>
      <c r="N163" s="163">
        <v>2</v>
      </c>
      <c r="O163" s="165" t="s">
        <v>449</v>
      </c>
      <c r="P163" s="161">
        <v>2471.8200000000002</v>
      </c>
      <c r="Q163" s="168">
        <v>45308</v>
      </c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</row>
    <row r="164" spans="1:27">
      <c r="A164" s="154">
        <v>2</v>
      </c>
      <c r="B164" s="155" t="s">
        <v>695</v>
      </c>
      <c r="C164" s="156">
        <v>45204</v>
      </c>
      <c r="D164" s="155" t="s">
        <v>440</v>
      </c>
      <c r="E164" s="149" t="s">
        <v>309</v>
      </c>
      <c r="F164" s="149" t="s">
        <v>441</v>
      </c>
      <c r="G164" s="149" t="s">
        <v>442</v>
      </c>
      <c r="H164" s="149" t="str">
        <f t="shared" si="0"/>
        <v>JOSE JOAQUÍN GUTIÉRREZ BARQUÍN</v>
      </c>
      <c r="I164" s="149" t="s">
        <v>716</v>
      </c>
      <c r="J164" s="153" t="s">
        <v>444</v>
      </c>
      <c r="K164" s="149" t="s">
        <v>752</v>
      </c>
      <c r="L164" s="157">
        <v>45334</v>
      </c>
      <c r="M164" s="158"/>
      <c r="N164" s="163">
        <v>2</v>
      </c>
      <c r="O164" s="165" t="s">
        <v>446</v>
      </c>
      <c r="P164" s="161">
        <v>3604.55</v>
      </c>
      <c r="Q164" s="168">
        <v>45204</v>
      </c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</row>
    <row r="165" spans="1:27">
      <c r="A165" s="154">
        <v>2</v>
      </c>
      <c r="B165" s="155" t="s">
        <v>695</v>
      </c>
      <c r="C165" s="156">
        <v>45295</v>
      </c>
      <c r="D165" s="155" t="s">
        <v>440</v>
      </c>
      <c r="E165" s="149" t="s">
        <v>309</v>
      </c>
      <c r="F165" s="149" t="s">
        <v>441</v>
      </c>
      <c r="G165" s="149" t="s">
        <v>442</v>
      </c>
      <c r="H165" s="149" t="str">
        <f t="shared" si="0"/>
        <v>MARÍA PÉREZ SEPÚLVEDA</v>
      </c>
      <c r="I165" s="149" t="s">
        <v>753</v>
      </c>
      <c r="J165" s="153" t="s">
        <v>444</v>
      </c>
      <c r="K165" s="149" t="s">
        <v>754</v>
      </c>
      <c r="L165" s="157">
        <v>45334</v>
      </c>
      <c r="M165" s="158"/>
      <c r="N165" s="163">
        <v>2</v>
      </c>
      <c r="O165" s="165" t="s">
        <v>446</v>
      </c>
      <c r="P165" s="161">
        <v>3604.55</v>
      </c>
      <c r="Q165" s="168">
        <v>45295</v>
      </c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</row>
    <row r="166" spans="1:27">
      <c r="A166" s="154">
        <v>2</v>
      </c>
      <c r="B166" s="155" t="s">
        <v>695</v>
      </c>
      <c r="C166" s="156">
        <v>45317</v>
      </c>
      <c r="D166" s="155" t="s">
        <v>440</v>
      </c>
      <c r="E166" s="149" t="s">
        <v>313</v>
      </c>
      <c r="F166" s="149" t="s">
        <v>441</v>
      </c>
      <c r="G166" s="149" t="s">
        <v>442</v>
      </c>
      <c r="H166" s="149" t="str">
        <f t="shared" si="0"/>
        <v>JULIO LÓPEZ MOYA</v>
      </c>
      <c r="I166" s="149" t="s">
        <v>504</v>
      </c>
      <c r="J166" s="153" t="s">
        <v>444</v>
      </c>
      <c r="K166" s="149" t="s">
        <v>755</v>
      </c>
      <c r="L166" s="157">
        <v>45334</v>
      </c>
      <c r="M166" s="158"/>
      <c r="N166" s="163">
        <v>2</v>
      </c>
      <c r="O166" s="165" t="s">
        <v>466</v>
      </c>
      <c r="P166" s="161">
        <v>4222.7299999999996</v>
      </c>
      <c r="Q166" s="168">
        <v>45317</v>
      </c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</row>
    <row r="167" spans="1:27">
      <c r="A167" s="154">
        <v>2</v>
      </c>
      <c r="B167" s="155" t="s">
        <v>695</v>
      </c>
      <c r="C167" s="156">
        <v>45315</v>
      </c>
      <c r="D167" s="155" t="s">
        <v>440</v>
      </c>
      <c r="E167" s="149" t="s">
        <v>314</v>
      </c>
      <c r="F167" s="149" t="s">
        <v>441</v>
      </c>
      <c r="G167" s="149" t="s">
        <v>442</v>
      </c>
      <c r="H167" s="149" t="str">
        <f t="shared" si="0"/>
        <v>JAVIER ALONSO ORTEGA</v>
      </c>
      <c r="I167" s="149" t="s">
        <v>756</v>
      </c>
      <c r="J167" s="153" t="s">
        <v>444</v>
      </c>
      <c r="K167" s="149" t="s">
        <v>757</v>
      </c>
      <c r="L167" s="157">
        <v>45334</v>
      </c>
      <c r="M167" s="158"/>
      <c r="N167" s="163">
        <v>1</v>
      </c>
      <c r="O167" s="165" t="s">
        <v>449</v>
      </c>
      <c r="P167" s="161">
        <v>1668.18</v>
      </c>
      <c r="Q167" s="168">
        <v>45315</v>
      </c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</row>
    <row r="168" spans="1:27">
      <c r="A168" s="154">
        <v>2</v>
      </c>
      <c r="B168" s="155" t="s">
        <v>695</v>
      </c>
      <c r="C168" s="156">
        <v>45273</v>
      </c>
      <c r="D168" s="155" t="s">
        <v>440</v>
      </c>
      <c r="E168" s="149" t="s">
        <v>102</v>
      </c>
      <c r="F168" s="149" t="s">
        <v>441</v>
      </c>
      <c r="G168" s="149" t="s">
        <v>442</v>
      </c>
      <c r="H168" s="149" t="str">
        <f t="shared" si="0"/>
        <v>PAULA HERNÁNDEZ RUÍZ</v>
      </c>
      <c r="I168" s="149" t="s">
        <v>621</v>
      </c>
      <c r="J168" s="153" t="s">
        <v>462</v>
      </c>
      <c r="K168" s="149" t="s">
        <v>758</v>
      </c>
      <c r="L168" s="157">
        <v>45334</v>
      </c>
      <c r="M168" s="158"/>
      <c r="N168" s="163">
        <v>2</v>
      </c>
      <c r="O168" s="165" t="s">
        <v>446</v>
      </c>
      <c r="P168" s="161">
        <v>3604.55</v>
      </c>
      <c r="Q168" s="168">
        <v>45273</v>
      </c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</row>
    <row r="169" spans="1:27">
      <c r="A169" s="154">
        <v>2</v>
      </c>
      <c r="B169" s="155" t="s">
        <v>695</v>
      </c>
      <c r="C169" s="156">
        <v>45306</v>
      </c>
      <c r="D169" s="155" t="s">
        <v>440</v>
      </c>
      <c r="E169" s="149" t="s">
        <v>190</v>
      </c>
      <c r="F169" s="149" t="s">
        <v>441</v>
      </c>
      <c r="G169" s="149" t="s">
        <v>442</v>
      </c>
      <c r="H169" s="149" t="str">
        <f t="shared" si="0"/>
        <v>FRANCISCO GARCÍA PURRIÑOS</v>
      </c>
      <c r="I169" s="149" t="s">
        <v>610</v>
      </c>
      <c r="J169" s="153" t="s">
        <v>462</v>
      </c>
      <c r="K169" s="149" t="s">
        <v>759</v>
      </c>
      <c r="L169" s="157">
        <v>45334</v>
      </c>
      <c r="M169" s="158"/>
      <c r="N169" s="163">
        <v>2</v>
      </c>
      <c r="O169" s="165" t="s">
        <v>446</v>
      </c>
      <c r="P169" s="161">
        <v>3604.55</v>
      </c>
      <c r="Q169" s="168">
        <v>45306</v>
      </c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</row>
    <row r="170" spans="1:27">
      <c r="A170" s="154">
        <v>2</v>
      </c>
      <c r="B170" s="155" t="s">
        <v>695</v>
      </c>
      <c r="C170" s="156">
        <v>45229</v>
      </c>
      <c r="D170" s="155" t="s">
        <v>440</v>
      </c>
      <c r="E170" s="149" t="s">
        <v>571</v>
      </c>
      <c r="F170" s="149" t="s">
        <v>441</v>
      </c>
      <c r="G170" s="149" t="s">
        <v>442</v>
      </c>
      <c r="H170" s="149" t="str">
        <f t="shared" si="0"/>
        <v>JORGE ALFARO GARCÍA</v>
      </c>
      <c r="I170" s="149" t="s">
        <v>760</v>
      </c>
      <c r="J170" s="153" t="s">
        <v>532</v>
      </c>
      <c r="K170" s="149" t="s">
        <v>761</v>
      </c>
      <c r="L170" s="157">
        <v>45334</v>
      </c>
      <c r="M170" s="158"/>
      <c r="N170" s="163">
        <v>1</v>
      </c>
      <c r="O170" s="165" t="s">
        <v>446</v>
      </c>
      <c r="P170" s="161">
        <v>1950</v>
      </c>
      <c r="Q170" s="168">
        <v>45229</v>
      </c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</row>
    <row r="171" spans="1:27">
      <c r="A171" s="154">
        <v>2</v>
      </c>
      <c r="B171" s="155" t="s">
        <v>695</v>
      </c>
      <c r="C171" s="156">
        <v>45301</v>
      </c>
      <c r="D171" s="155" t="s">
        <v>440</v>
      </c>
      <c r="E171" s="149" t="s">
        <v>460</v>
      </c>
      <c r="F171" s="149" t="s">
        <v>441</v>
      </c>
      <c r="G171" s="149" t="s">
        <v>442</v>
      </c>
      <c r="H171" s="149" t="str">
        <f t="shared" si="0"/>
        <v>SALWA LARAQUI HOSSINI</v>
      </c>
      <c r="I171" s="149" t="s">
        <v>704</v>
      </c>
      <c r="J171" s="153" t="s">
        <v>462</v>
      </c>
      <c r="K171" s="149" t="s">
        <v>762</v>
      </c>
      <c r="L171" s="157">
        <v>45335</v>
      </c>
      <c r="M171" s="158"/>
      <c r="N171" s="163">
        <v>2</v>
      </c>
      <c r="O171" s="165" t="s">
        <v>446</v>
      </c>
      <c r="P171" s="161">
        <v>3604.55</v>
      </c>
      <c r="Q171" s="168">
        <v>45301</v>
      </c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</row>
    <row r="172" spans="1:27">
      <c r="A172" s="154">
        <v>2</v>
      </c>
      <c r="B172" s="155" t="s">
        <v>695</v>
      </c>
      <c r="C172" s="156">
        <v>45315</v>
      </c>
      <c r="D172" s="155" t="s">
        <v>440</v>
      </c>
      <c r="E172" s="160" t="s">
        <v>315</v>
      </c>
      <c r="F172" s="160" t="s">
        <v>441</v>
      </c>
      <c r="G172" s="160" t="s">
        <v>442</v>
      </c>
      <c r="H172" s="149" t="str">
        <f t="shared" si="0"/>
        <v>JOSÉ GUSTAVO BARROSO BRAOJOS</v>
      </c>
      <c r="I172" s="149" t="s">
        <v>560</v>
      </c>
      <c r="J172" s="153" t="s">
        <v>444</v>
      </c>
      <c r="K172" s="160" t="s">
        <v>763</v>
      </c>
      <c r="L172" s="157">
        <v>45335</v>
      </c>
      <c r="M172" s="158"/>
      <c r="N172" s="163">
        <v>2</v>
      </c>
      <c r="O172" s="165" t="s">
        <v>449</v>
      </c>
      <c r="P172" s="161">
        <v>2667.27</v>
      </c>
      <c r="Q172" s="168">
        <v>45315</v>
      </c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</row>
    <row r="173" spans="1:27">
      <c r="A173" s="154">
        <v>2</v>
      </c>
      <c r="B173" s="155" t="s">
        <v>695</v>
      </c>
      <c r="C173" s="156">
        <v>45288</v>
      </c>
      <c r="D173" s="155" t="s">
        <v>440</v>
      </c>
      <c r="E173" s="149" t="s">
        <v>158</v>
      </c>
      <c r="F173" s="149" t="s">
        <v>441</v>
      </c>
      <c r="G173" s="149" t="s">
        <v>442</v>
      </c>
      <c r="H173" s="149" t="str">
        <f t="shared" si="0"/>
        <v>JOAQUÍN ALACIO CASERO</v>
      </c>
      <c r="I173" s="149" t="s">
        <v>651</v>
      </c>
      <c r="J173" s="153" t="s">
        <v>444</v>
      </c>
      <c r="K173" s="149" t="s">
        <v>764</v>
      </c>
      <c r="L173" s="157">
        <v>45335</v>
      </c>
      <c r="M173" s="158"/>
      <c r="N173" s="163">
        <v>2</v>
      </c>
      <c r="O173" s="165" t="s">
        <v>466</v>
      </c>
      <c r="P173" s="161">
        <v>4011.59</v>
      </c>
      <c r="Q173" s="168">
        <v>45288</v>
      </c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</row>
    <row r="174" spans="1:27">
      <c r="A174" s="154">
        <v>2</v>
      </c>
      <c r="B174" s="155" t="s">
        <v>695</v>
      </c>
      <c r="C174" s="156">
        <v>45303</v>
      </c>
      <c r="D174" s="155" t="s">
        <v>440</v>
      </c>
      <c r="E174" s="149" t="s">
        <v>102</v>
      </c>
      <c r="F174" s="149" t="s">
        <v>441</v>
      </c>
      <c r="G174" s="149" t="s">
        <v>442</v>
      </c>
      <c r="H174" s="149" t="str">
        <f t="shared" si="0"/>
        <v>FIORELLA MARCINO MOREIRA</v>
      </c>
      <c r="I174" s="149" t="s">
        <v>739</v>
      </c>
      <c r="J174" s="153" t="s">
        <v>462</v>
      </c>
      <c r="K174" s="149" t="s">
        <v>765</v>
      </c>
      <c r="L174" s="157">
        <v>45335</v>
      </c>
      <c r="M174" s="158"/>
      <c r="N174" s="163">
        <v>1</v>
      </c>
      <c r="O174" s="165" t="s">
        <v>466</v>
      </c>
      <c r="P174" s="161">
        <v>2682.69</v>
      </c>
      <c r="Q174" s="168">
        <v>45303</v>
      </c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</row>
    <row r="175" spans="1:27">
      <c r="A175" s="154">
        <v>2</v>
      </c>
      <c r="B175" s="155" t="s">
        <v>695</v>
      </c>
      <c r="C175" s="156">
        <v>45317</v>
      </c>
      <c r="D175" s="155" t="s">
        <v>440</v>
      </c>
      <c r="E175" s="149" t="s">
        <v>309</v>
      </c>
      <c r="F175" s="149" t="s">
        <v>441</v>
      </c>
      <c r="G175" s="149" t="s">
        <v>442</v>
      </c>
      <c r="H175" s="149" t="str">
        <f t="shared" si="0"/>
        <v>CÉSAR CHARLES MARTÍNEZ</v>
      </c>
      <c r="I175" s="149" t="s">
        <v>495</v>
      </c>
      <c r="J175" s="153" t="s">
        <v>444</v>
      </c>
      <c r="K175" s="149" t="s">
        <v>766</v>
      </c>
      <c r="L175" s="157">
        <v>45336</v>
      </c>
      <c r="M175" s="164"/>
      <c r="N175" s="163">
        <v>2</v>
      </c>
      <c r="O175" s="165" t="s">
        <v>449</v>
      </c>
      <c r="P175" s="161">
        <v>2780.91</v>
      </c>
      <c r="Q175" s="168">
        <v>45317</v>
      </c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</row>
    <row r="176" spans="1:27">
      <c r="A176" s="154">
        <v>2</v>
      </c>
      <c r="B176" s="155" t="s">
        <v>695</v>
      </c>
      <c r="C176" s="156">
        <v>45035</v>
      </c>
      <c r="D176" s="155" t="s">
        <v>440</v>
      </c>
      <c r="E176" s="149" t="s">
        <v>98</v>
      </c>
      <c r="F176" s="149" t="s">
        <v>441</v>
      </c>
      <c r="G176" s="149" t="s">
        <v>442</v>
      </c>
      <c r="H176" s="149" t="str">
        <f t="shared" si="0"/>
        <v>JESÚS MIGUEL INIESTA TURPÍN</v>
      </c>
      <c r="I176" s="149" t="s">
        <v>594</v>
      </c>
      <c r="J176" s="153" t="s">
        <v>462</v>
      </c>
      <c r="K176" s="149" t="s">
        <v>767</v>
      </c>
      <c r="L176" s="157">
        <v>45336</v>
      </c>
      <c r="M176" s="164"/>
      <c r="N176" s="163">
        <v>2</v>
      </c>
      <c r="O176" s="165" t="s">
        <v>449</v>
      </c>
      <c r="P176" s="161">
        <v>2780.77</v>
      </c>
      <c r="Q176" s="168">
        <v>45035</v>
      </c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</row>
    <row r="177" spans="1:27">
      <c r="A177" s="154">
        <v>2</v>
      </c>
      <c r="B177" s="155" t="s">
        <v>695</v>
      </c>
      <c r="C177" s="156">
        <v>45295</v>
      </c>
      <c r="D177" s="155" t="s">
        <v>440</v>
      </c>
      <c r="E177" s="149" t="s">
        <v>129</v>
      </c>
      <c r="F177" s="149" t="s">
        <v>441</v>
      </c>
      <c r="G177" s="149" t="s">
        <v>442</v>
      </c>
      <c r="H177" s="149" t="str">
        <f t="shared" si="0"/>
        <v>Rafael Alfonso Hurtado Ruzza</v>
      </c>
      <c r="I177" s="149" t="s">
        <v>768</v>
      </c>
      <c r="J177" s="149" t="s">
        <v>516</v>
      </c>
      <c r="K177" s="149" t="s">
        <v>769</v>
      </c>
      <c r="L177" s="157">
        <v>45336</v>
      </c>
      <c r="M177" s="164"/>
      <c r="N177" s="163">
        <v>2</v>
      </c>
      <c r="O177" s="165" t="s">
        <v>446</v>
      </c>
      <c r="P177" s="161">
        <v>3604.55</v>
      </c>
      <c r="Q177" s="168">
        <v>45295</v>
      </c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</row>
    <row r="178" spans="1:27">
      <c r="A178" s="154">
        <v>2</v>
      </c>
      <c r="B178" s="155" t="s">
        <v>695</v>
      </c>
      <c r="C178" s="156">
        <v>45299</v>
      </c>
      <c r="D178" s="155" t="s">
        <v>440</v>
      </c>
      <c r="E178" s="149" t="s">
        <v>239</v>
      </c>
      <c r="F178" s="149" t="s">
        <v>441</v>
      </c>
      <c r="G178" s="149" t="s">
        <v>442</v>
      </c>
      <c r="H178" s="149" t="str">
        <f t="shared" si="0"/>
        <v>ANTONIO GANDÚL MERCHÁN</v>
      </c>
      <c r="I178" s="149" t="s">
        <v>770</v>
      </c>
      <c r="J178" s="153" t="s">
        <v>455</v>
      </c>
      <c r="K178" s="149" t="s">
        <v>771</v>
      </c>
      <c r="L178" s="157">
        <v>45336</v>
      </c>
      <c r="M178" s="158"/>
      <c r="N178" s="163">
        <v>1</v>
      </c>
      <c r="O178" s="165" t="s">
        <v>446</v>
      </c>
      <c r="P178" s="161">
        <v>2140.91</v>
      </c>
      <c r="Q178" s="168">
        <v>45299</v>
      </c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</row>
    <row r="179" spans="1:27">
      <c r="A179" s="154">
        <v>2</v>
      </c>
      <c r="B179" s="155" t="s">
        <v>695</v>
      </c>
      <c r="C179" s="156">
        <v>45247</v>
      </c>
      <c r="D179" s="155" t="s">
        <v>440</v>
      </c>
      <c r="E179" s="149" t="s">
        <v>239</v>
      </c>
      <c r="F179" s="149" t="s">
        <v>441</v>
      </c>
      <c r="G179" s="149" t="s">
        <v>442</v>
      </c>
      <c r="H179" s="149" t="str">
        <f t="shared" si="0"/>
        <v>MIGUEL ANTONIO SHEPHERD GONZÁLEZ</v>
      </c>
      <c r="I179" s="149" t="s">
        <v>772</v>
      </c>
      <c r="J179" s="149" t="s">
        <v>455</v>
      </c>
      <c r="K179" s="149" t="s">
        <v>773</v>
      </c>
      <c r="L179" s="157">
        <v>45336</v>
      </c>
      <c r="M179" s="158"/>
      <c r="N179" s="163">
        <v>2</v>
      </c>
      <c r="O179" s="165" t="s">
        <v>446</v>
      </c>
      <c r="P179" s="161">
        <v>3786.36</v>
      </c>
      <c r="Q179" s="168">
        <v>45247</v>
      </c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</row>
    <row r="180" spans="1:27">
      <c r="A180" s="154">
        <v>2</v>
      </c>
      <c r="B180" s="155" t="s">
        <v>695</v>
      </c>
      <c r="C180" s="156">
        <v>45215</v>
      </c>
      <c r="D180" s="155" t="s">
        <v>440</v>
      </c>
      <c r="E180" s="149" t="s">
        <v>460</v>
      </c>
      <c r="F180" s="149" t="s">
        <v>441</v>
      </c>
      <c r="G180" s="149" t="s">
        <v>442</v>
      </c>
      <c r="H180" s="149" t="str">
        <f t="shared" si="0"/>
        <v>LINO ENGUIDANOS HERNANDORENA</v>
      </c>
      <c r="I180" s="149" t="s">
        <v>461</v>
      </c>
      <c r="J180" s="153" t="s">
        <v>462</v>
      </c>
      <c r="K180" s="149" t="s">
        <v>774</v>
      </c>
      <c r="L180" s="157">
        <v>45337</v>
      </c>
      <c r="M180" s="164"/>
      <c r="N180" s="163">
        <v>2</v>
      </c>
      <c r="O180" s="165" t="s">
        <v>466</v>
      </c>
      <c r="P180" s="161">
        <v>4222.7299999999996</v>
      </c>
      <c r="Q180" s="168">
        <v>45215</v>
      </c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</row>
    <row r="181" spans="1:27">
      <c r="A181" s="154">
        <v>2</v>
      </c>
      <c r="B181" s="155" t="s">
        <v>695</v>
      </c>
      <c r="C181" s="156">
        <v>45299</v>
      </c>
      <c r="D181" s="155" t="s">
        <v>440</v>
      </c>
      <c r="E181" s="149" t="s">
        <v>158</v>
      </c>
      <c r="F181" s="149" t="s">
        <v>441</v>
      </c>
      <c r="G181" s="149" t="s">
        <v>442</v>
      </c>
      <c r="H181" s="149" t="str">
        <f t="shared" si="0"/>
        <v>MANUEL GONZÁLEZ JULIAO</v>
      </c>
      <c r="I181" s="149" t="s">
        <v>775</v>
      </c>
      <c r="J181" s="153" t="s">
        <v>444</v>
      </c>
      <c r="K181" s="149" t="s">
        <v>776</v>
      </c>
      <c r="L181" s="157">
        <v>45337</v>
      </c>
      <c r="M181" s="158"/>
      <c r="N181" s="163">
        <v>2</v>
      </c>
      <c r="O181" s="165" t="s">
        <v>446</v>
      </c>
      <c r="P181" s="161">
        <v>3424.32</v>
      </c>
      <c r="Q181" s="168">
        <v>45299</v>
      </c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</row>
    <row r="182" spans="1:27">
      <c r="A182" s="154">
        <v>2</v>
      </c>
      <c r="B182" s="155" t="s">
        <v>695</v>
      </c>
      <c r="C182" s="156">
        <v>45300</v>
      </c>
      <c r="D182" s="155" t="s">
        <v>440</v>
      </c>
      <c r="E182" s="149" t="s">
        <v>506</v>
      </c>
      <c r="F182" s="149" t="s">
        <v>441</v>
      </c>
      <c r="G182" s="149" t="s">
        <v>442</v>
      </c>
      <c r="H182" s="149" t="str">
        <f t="shared" si="0"/>
        <v>MARÍA GIL MELCÓN</v>
      </c>
      <c r="I182" s="149" t="s">
        <v>777</v>
      </c>
      <c r="J182" s="153" t="s">
        <v>473</v>
      </c>
      <c r="K182" s="149" t="s">
        <v>778</v>
      </c>
      <c r="L182" s="157">
        <v>45337</v>
      </c>
      <c r="M182" s="164"/>
      <c r="N182" s="163">
        <v>2</v>
      </c>
      <c r="O182" s="165" t="s">
        <v>449</v>
      </c>
      <c r="P182" s="161">
        <v>2780.91</v>
      </c>
      <c r="Q182" s="168">
        <v>45300</v>
      </c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</row>
    <row r="183" spans="1:27">
      <c r="A183" s="154">
        <v>2</v>
      </c>
      <c r="B183" s="155" t="s">
        <v>695</v>
      </c>
      <c r="C183" s="156">
        <v>45296</v>
      </c>
      <c r="D183" s="155" t="s">
        <v>440</v>
      </c>
      <c r="E183" s="149" t="s">
        <v>92</v>
      </c>
      <c r="F183" s="149" t="s">
        <v>441</v>
      </c>
      <c r="G183" s="149" t="s">
        <v>442</v>
      </c>
      <c r="H183" s="149" t="str">
        <f t="shared" si="0"/>
        <v>PEDRO SEGUÍ MOYA</v>
      </c>
      <c r="I183" s="149" t="s">
        <v>779</v>
      </c>
      <c r="J183" s="153" t="s">
        <v>462</v>
      </c>
      <c r="K183" s="149" t="s">
        <v>780</v>
      </c>
      <c r="L183" s="157">
        <v>45338</v>
      </c>
      <c r="M183" s="164"/>
      <c r="N183" s="163">
        <v>2</v>
      </c>
      <c r="O183" s="165" t="s">
        <v>446</v>
      </c>
      <c r="P183" s="161">
        <v>3604.55</v>
      </c>
      <c r="Q183" s="168">
        <v>45296</v>
      </c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</row>
    <row r="184" spans="1:27">
      <c r="A184" s="154">
        <v>2</v>
      </c>
      <c r="B184" s="155" t="s">
        <v>695</v>
      </c>
      <c r="C184" s="156">
        <v>45279</v>
      </c>
      <c r="D184" s="155" t="s">
        <v>440</v>
      </c>
      <c r="E184" s="149" t="s">
        <v>138</v>
      </c>
      <c r="F184" s="149" t="s">
        <v>441</v>
      </c>
      <c r="G184" s="149" t="s">
        <v>442</v>
      </c>
      <c r="H184" s="149" t="str">
        <f t="shared" si="0"/>
        <v>MARTA SANDOVAL PUIG</v>
      </c>
      <c r="I184" s="149" t="s">
        <v>781</v>
      </c>
      <c r="J184" s="153" t="s">
        <v>532</v>
      </c>
      <c r="K184" s="149" t="s">
        <v>782</v>
      </c>
      <c r="L184" s="157">
        <v>45338</v>
      </c>
      <c r="M184" s="164"/>
      <c r="N184" s="163">
        <v>2</v>
      </c>
      <c r="O184" s="165" t="s">
        <v>446</v>
      </c>
      <c r="P184" s="161">
        <v>3604.55</v>
      </c>
      <c r="Q184" s="168">
        <v>45279</v>
      </c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</row>
    <row r="185" spans="1:27">
      <c r="A185" s="154">
        <v>2</v>
      </c>
      <c r="B185" s="155" t="s">
        <v>695</v>
      </c>
      <c r="C185" s="156">
        <v>45321</v>
      </c>
      <c r="D185" s="155" t="s">
        <v>440</v>
      </c>
      <c r="E185" s="149" t="s">
        <v>311</v>
      </c>
      <c r="F185" s="149" t="s">
        <v>441</v>
      </c>
      <c r="G185" s="149" t="s">
        <v>442</v>
      </c>
      <c r="H185" s="149" t="str">
        <f t="shared" si="0"/>
        <v>PALOMA MARTÍN- ARAGÓN MARTIÍ</v>
      </c>
      <c r="I185" s="149" t="s">
        <v>643</v>
      </c>
      <c r="J185" s="153" t="s">
        <v>444</v>
      </c>
      <c r="K185" s="149" t="s">
        <v>783</v>
      </c>
      <c r="L185" s="157">
        <v>45338</v>
      </c>
      <c r="M185" s="158"/>
      <c r="N185" s="163">
        <v>2</v>
      </c>
      <c r="O185" s="165" t="s">
        <v>449</v>
      </c>
      <c r="P185" s="161">
        <v>2780.87</v>
      </c>
      <c r="Q185" s="168">
        <v>45321</v>
      </c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</row>
    <row r="186" spans="1:27">
      <c r="A186" s="154">
        <v>2</v>
      </c>
      <c r="B186" s="155" t="s">
        <v>695</v>
      </c>
      <c r="C186" s="156">
        <v>45320</v>
      </c>
      <c r="D186" s="155" t="s">
        <v>440</v>
      </c>
      <c r="E186" s="149" t="s">
        <v>122</v>
      </c>
      <c r="F186" s="149" t="s">
        <v>441</v>
      </c>
      <c r="G186" s="149" t="s">
        <v>442</v>
      </c>
      <c r="H186" s="149" t="str">
        <f t="shared" si="0"/>
        <v>VICENTE MARTÍNEZ SANTOS</v>
      </c>
      <c r="I186" s="149" t="s">
        <v>558</v>
      </c>
      <c r="J186" s="153" t="s">
        <v>444</v>
      </c>
      <c r="K186" s="149" t="s">
        <v>784</v>
      </c>
      <c r="L186" s="157">
        <v>45338</v>
      </c>
      <c r="M186" s="158"/>
      <c r="N186" s="163">
        <v>2</v>
      </c>
      <c r="O186" s="165" t="s">
        <v>446</v>
      </c>
      <c r="P186" s="161">
        <v>3424.55</v>
      </c>
      <c r="Q186" s="168">
        <v>45320</v>
      </c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</row>
    <row r="187" spans="1:27">
      <c r="A187" s="154">
        <v>2</v>
      </c>
      <c r="B187" s="155" t="s">
        <v>695</v>
      </c>
      <c r="C187" s="156">
        <v>45316</v>
      </c>
      <c r="D187" s="155" t="s">
        <v>440</v>
      </c>
      <c r="E187" s="149" t="s">
        <v>671</v>
      </c>
      <c r="F187" s="149" t="s">
        <v>441</v>
      </c>
      <c r="G187" s="149" t="s">
        <v>442</v>
      </c>
      <c r="H187" s="149" t="str">
        <f t="shared" si="0"/>
        <v>PEDRO JUIZ LÓPEZ</v>
      </c>
      <c r="I187" s="149" t="s">
        <v>672</v>
      </c>
      <c r="J187" s="153" t="s">
        <v>516</v>
      </c>
      <c r="K187" s="149" t="s">
        <v>785</v>
      </c>
      <c r="L187" s="157">
        <v>45338</v>
      </c>
      <c r="M187" s="164"/>
      <c r="N187" s="163">
        <v>2</v>
      </c>
      <c r="O187" s="165" t="s">
        <v>449</v>
      </c>
      <c r="P187" s="161">
        <v>2904.55</v>
      </c>
      <c r="Q187" s="168">
        <v>45316</v>
      </c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</row>
    <row r="188" spans="1:27">
      <c r="A188" s="154">
        <v>2</v>
      </c>
      <c r="B188" s="155" t="s">
        <v>695</v>
      </c>
      <c r="C188" s="156">
        <v>45232</v>
      </c>
      <c r="D188" s="155" t="s">
        <v>440</v>
      </c>
      <c r="E188" s="149" t="s">
        <v>158</v>
      </c>
      <c r="F188" s="149" t="s">
        <v>441</v>
      </c>
      <c r="G188" s="149" t="s">
        <v>442</v>
      </c>
      <c r="H188" s="149" t="str">
        <f t="shared" si="0"/>
        <v>LAURA YEGUAS RAMÍREZ</v>
      </c>
      <c r="I188" s="149" t="s">
        <v>786</v>
      </c>
      <c r="J188" s="153" t="s">
        <v>444</v>
      </c>
      <c r="K188" s="149" t="s">
        <v>787</v>
      </c>
      <c r="L188" s="157">
        <v>45338</v>
      </c>
      <c r="M188" s="158"/>
      <c r="N188" s="163">
        <v>2</v>
      </c>
      <c r="O188" s="165" t="s">
        <v>446</v>
      </c>
      <c r="P188" s="161">
        <v>3424.32</v>
      </c>
      <c r="Q188" s="168">
        <v>45232</v>
      </c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</row>
    <row r="189" spans="1:27">
      <c r="A189" s="154">
        <v>2</v>
      </c>
      <c r="B189" s="155" t="s">
        <v>695</v>
      </c>
      <c r="C189" s="156">
        <v>45314</v>
      </c>
      <c r="D189" s="155" t="s">
        <v>440</v>
      </c>
      <c r="E189" s="149" t="s">
        <v>788</v>
      </c>
      <c r="F189" s="149" t="s">
        <v>441</v>
      </c>
      <c r="G189" s="149" t="s">
        <v>442</v>
      </c>
      <c r="H189" s="149" t="str">
        <f t="shared" si="0"/>
        <v>FEDERICO ARRUTIA DIEZ</v>
      </c>
      <c r="I189" s="149" t="s">
        <v>789</v>
      </c>
      <c r="J189" s="149" t="s">
        <v>790</v>
      </c>
      <c r="K189" s="149" t="s">
        <v>791</v>
      </c>
      <c r="L189" s="157">
        <v>45338</v>
      </c>
      <c r="M189" s="158"/>
      <c r="N189" s="163">
        <v>2</v>
      </c>
      <c r="O189" s="165" t="s">
        <v>446</v>
      </c>
      <c r="P189" s="161">
        <v>3604.5</v>
      </c>
      <c r="Q189" s="168">
        <v>45314</v>
      </c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</row>
    <row r="190" spans="1:27">
      <c r="A190" s="154">
        <v>2</v>
      </c>
      <c r="B190" s="155" t="s">
        <v>695</v>
      </c>
      <c r="C190" s="156">
        <v>45212</v>
      </c>
      <c r="D190" s="155" t="s">
        <v>440</v>
      </c>
      <c r="E190" s="149" t="s">
        <v>475</v>
      </c>
      <c r="F190" s="149" t="s">
        <v>441</v>
      </c>
      <c r="G190" s="149" t="s">
        <v>442</v>
      </c>
      <c r="H190" s="149" t="str">
        <f t="shared" si="0"/>
        <v>MÓNICA GRANDA ROSALES</v>
      </c>
      <c r="I190" s="149" t="s">
        <v>476</v>
      </c>
      <c r="J190" s="153" t="s">
        <v>477</v>
      </c>
      <c r="K190" s="149" t="s">
        <v>792</v>
      </c>
      <c r="L190" s="157">
        <v>45339</v>
      </c>
      <c r="M190" s="158"/>
      <c r="N190" s="163">
        <v>2</v>
      </c>
      <c r="O190" s="165" t="s">
        <v>466</v>
      </c>
      <c r="P190" s="161">
        <v>3818.18</v>
      </c>
      <c r="Q190" s="168">
        <v>45212</v>
      </c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</row>
    <row r="191" spans="1:27">
      <c r="A191" s="154">
        <v>2</v>
      </c>
      <c r="B191" s="155" t="s">
        <v>695</v>
      </c>
      <c r="C191" s="156">
        <v>45310</v>
      </c>
      <c r="D191" s="155" t="s">
        <v>440</v>
      </c>
      <c r="E191" s="149" t="s">
        <v>317</v>
      </c>
      <c r="F191" s="149" t="s">
        <v>441</v>
      </c>
      <c r="G191" s="149" t="s">
        <v>442</v>
      </c>
      <c r="H191" s="149" t="str">
        <f t="shared" si="0"/>
        <v>FÉLIX RUÍZ DE LA CUESTA JUSTE</v>
      </c>
      <c r="I191" s="149" t="s">
        <v>656</v>
      </c>
      <c r="J191" s="153" t="s">
        <v>462</v>
      </c>
      <c r="K191" s="149" t="s">
        <v>793</v>
      </c>
      <c r="L191" s="157">
        <v>45341</v>
      </c>
      <c r="M191" s="158"/>
      <c r="N191" s="163">
        <v>2</v>
      </c>
      <c r="O191" s="165" t="s">
        <v>446</v>
      </c>
      <c r="P191" s="161">
        <v>3968.18</v>
      </c>
      <c r="Q191" s="168">
        <v>45310</v>
      </c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</row>
    <row r="192" spans="1:27">
      <c r="A192" s="154">
        <v>2</v>
      </c>
      <c r="B192" s="155" t="s">
        <v>695</v>
      </c>
      <c r="C192" s="156">
        <v>45293</v>
      </c>
      <c r="D192" s="155" t="s">
        <v>440</v>
      </c>
      <c r="E192" s="149" t="s">
        <v>310</v>
      </c>
      <c r="F192" s="149" t="s">
        <v>441</v>
      </c>
      <c r="G192" s="149" t="s">
        <v>442</v>
      </c>
      <c r="H192" s="149" t="str">
        <f t="shared" si="0"/>
        <v>EVIANS GÓMEZ DE LA ROSA</v>
      </c>
      <c r="I192" s="149" t="s">
        <v>794</v>
      </c>
      <c r="J192" s="153" t="s">
        <v>532</v>
      </c>
      <c r="K192" s="149" t="s">
        <v>795</v>
      </c>
      <c r="L192" s="157">
        <v>45341</v>
      </c>
      <c r="M192" s="158"/>
      <c r="N192" s="163">
        <v>2</v>
      </c>
      <c r="O192" s="165" t="s">
        <v>446</v>
      </c>
      <c r="P192" s="161">
        <v>3604.55</v>
      </c>
      <c r="Q192" s="168">
        <v>45293</v>
      </c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</row>
    <row r="193" spans="1:27">
      <c r="A193" s="154">
        <v>2</v>
      </c>
      <c r="B193" s="155" t="s">
        <v>695</v>
      </c>
      <c r="C193" s="156">
        <v>45313</v>
      </c>
      <c r="D193" s="155" t="s">
        <v>440</v>
      </c>
      <c r="E193" s="149" t="s">
        <v>109</v>
      </c>
      <c r="F193" s="149" t="s">
        <v>441</v>
      </c>
      <c r="G193" s="149" t="s">
        <v>442</v>
      </c>
      <c r="H193" s="149" t="str">
        <f t="shared" si="0"/>
        <v>MARÍA GARROTE GARROTE</v>
      </c>
      <c r="I193" s="149" t="s">
        <v>447</v>
      </c>
      <c r="J193" s="153" t="s">
        <v>444</v>
      </c>
      <c r="K193" s="149" t="s">
        <v>796</v>
      </c>
      <c r="L193" s="157">
        <v>45341</v>
      </c>
      <c r="M193" s="158"/>
      <c r="N193" s="163">
        <v>1</v>
      </c>
      <c r="O193" s="165" t="s">
        <v>449</v>
      </c>
      <c r="P193" s="161">
        <v>1668.18</v>
      </c>
      <c r="Q193" s="168">
        <v>45313</v>
      </c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</row>
    <row r="194" spans="1:27">
      <c r="A194" s="154">
        <v>2</v>
      </c>
      <c r="B194" s="155" t="s">
        <v>695</v>
      </c>
      <c r="C194" s="156">
        <v>45314</v>
      </c>
      <c r="D194" s="155" t="s">
        <v>440</v>
      </c>
      <c r="E194" s="160" t="s">
        <v>122</v>
      </c>
      <c r="F194" s="160" t="s">
        <v>441</v>
      </c>
      <c r="G194" s="160" t="s">
        <v>442</v>
      </c>
      <c r="H194" s="149" t="str">
        <f t="shared" si="0"/>
        <v>PAULA AVILES MAÑOSO</v>
      </c>
      <c r="I194" s="149" t="s">
        <v>797</v>
      </c>
      <c r="J194" s="153" t="s">
        <v>444</v>
      </c>
      <c r="K194" s="160" t="s">
        <v>798</v>
      </c>
      <c r="L194" s="157">
        <v>45341</v>
      </c>
      <c r="M194" s="158"/>
      <c r="N194" s="163">
        <v>2</v>
      </c>
      <c r="O194" s="165" t="s">
        <v>446</v>
      </c>
      <c r="P194" s="161">
        <v>3604.55</v>
      </c>
      <c r="Q194" s="168">
        <v>45314</v>
      </c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</row>
    <row r="195" spans="1:27">
      <c r="A195" s="154">
        <v>2</v>
      </c>
      <c r="B195" s="155" t="s">
        <v>695</v>
      </c>
      <c r="C195" s="156">
        <v>45295</v>
      </c>
      <c r="D195" s="155" t="s">
        <v>440</v>
      </c>
      <c r="E195" s="149" t="s">
        <v>122</v>
      </c>
      <c r="F195" s="149" t="s">
        <v>441</v>
      </c>
      <c r="G195" s="149" t="s">
        <v>442</v>
      </c>
      <c r="H195" s="149" t="str">
        <f t="shared" si="0"/>
        <v>JESÚS ATALAYA DÍAZ</v>
      </c>
      <c r="I195" s="149" t="s">
        <v>799</v>
      </c>
      <c r="J195" s="153" t="s">
        <v>444</v>
      </c>
      <c r="K195" s="149" t="s">
        <v>800</v>
      </c>
      <c r="L195" s="157">
        <v>45341</v>
      </c>
      <c r="M195" s="158"/>
      <c r="N195" s="163">
        <v>1</v>
      </c>
      <c r="O195" s="165" t="s">
        <v>466</v>
      </c>
      <c r="P195" s="161">
        <v>2536.36</v>
      </c>
      <c r="Q195" s="168">
        <v>45295</v>
      </c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</row>
    <row r="196" spans="1:27">
      <c r="A196" s="154">
        <v>2</v>
      </c>
      <c r="B196" s="155" t="s">
        <v>695</v>
      </c>
      <c r="C196" s="156">
        <v>45310</v>
      </c>
      <c r="D196" s="155" t="s">
        <v>440</v>
      </c>
      <c r="E196" s="149" t="s">
        <v>501</v>
      </c>
      <c r="F196" s="149" t="s">
        <v>441</v>
      </c>
      <c r="G196" s="149" t="s">
        <v>442</v>
      </c>
      <c r="H196" s="149" t="str">
        <f t="shared" si="0"/>
        <v>FERNANDO SALAZAR BARCELONA</v>
      </c>
      <c r="I196" s="149" t="s">
        <v>502</v>
      </c>
      <c r="J196" s="153" t="s">
        <v>548</v>
      </c>
      <c r="K196" s="149" t="s">
        <v>801</v>
      </c>
      <c r="L196" s="157">
        <v>45341</v>
      </c>
      <c r="M196" s="158"/>
      <c r="N196" s="163">
        <v>2</v>
      </c>
      <c r="O196" s="165" t="s">
        <v>466</v>
      </c>
      <c r="P196" s="161">
        <v>3727.27</v>
      </c>
      <c r="Q196" s="168">
        <v>45310</v>
      </c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</row>
    <row r="197" spans="1:27">
      <c r="A197" s="154">
        <v>2</v>
      </c>
      <c r="B197" s="155" t="s">
        <v>695</v>
      </c>
      <c r="C197" s="156">
        <v>45302</v>
      </c>
      <c r="D197" s="155" t="s">
        <v>440</v>
      </c>
      <c r="E197" s="149" t="s">
        <v>315</v>
      </c>
      <c r="F197" s="149" t="s">
        <v>441</v>
      </c>
      <c r="G197" s="149" t="s">
        <v>442</v>
      </c>
      <c r="H197" s="149" t="str">
        <f t="shared" si="0"/>
        <v>JOSÉ GUSTAVO BARROSO BRAOJOS</v>
      </c>
      <c r="I197" s="149" t="s">
        <v>560</v>
      </c>
      <c r="J197" s="153" t="s">
        <v>444</v>
      </c>
      <c r="K197" s="149" t="s">
        <v>802</v>
      </c>
      <c r="L197" s="157">
        <v>45341</v>
      </c>
      <c r="M197" s="158"/>
      <c r="N197" s="163">
        <v>2</v>
      </c>
      <c r="O197" s="165" t="s">
        <v>446</v>
      </c>
      <c r="P197" s="161">
        <v>3454.55</v>
      </c>
      <c r="Q197" s="168">
        <v>45302</v>
      </c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</row>
    <row r="198" spans="1:27">
      <c r="A198" s="154">
        <v>2</v>
      </c>
      <c r="B198" s="155" t="s">
        <v>695</v>
      </c>
      <c r="C198" s="156">
        <v>45316</v>
      </c>
      <c r="D198" s="155" t="s">
        <v>440</v>
      </c>
      <c r="E198" s="149" t="s">
        <v>309</v>
      </c>
      <c r="F198" s="149" t="s">
        <v>441</v>
      </c>
      <c r="G198" s="149" t="s">
        <v>442</v>
      </c>
      <c r="H198" s="149" t="str">
        <f t="shared" si="0"/>
        <v>JOSE JOAQUÍN GUTIÉRREZ BARQUÍN</v>
      </c>
      <c r="I198" s="149" t="s">
        <v>716</v>
      </c>
      <c r="J198" s="153" t="s">
        <v>444</v>
      </c>
      <c r="K198" s="149" t="s">
        <v>803</v>
      </c>
      <c r="L198" s="157">
        <v>45341</v>
      </c>
      <c r="M198" s="158"/>
      <c r="N198" s="163">
        <v>2</v>
      </c>
      <c r="O198" s="165" t="s">
        <v>449</v>
      </c>
      <c r="P198" s="161">
        <v>2780.91</v>
      </c>
      <c r="Q198" s="168">
        <v>45316</v>
      </c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</row>
    <row r="199" spans="1:27">
      <c r="A199" s="154">
        <v>2</v>
      </c>
      <c r="B199" s="155" t="s">
        <v>695</v>
      </c>
      <c r="C199" s="156">
        <v>45278</v>
      </c>
      <c r="D199" s="155" t="s">
        <v>440</v>
      </c>
      <c r="E199" s="149" t="s">
        <v>618</v>
      </c>
      <c r="F199" s="149" t="s">
        <v>441</v>
      </c>
      <c r="G199" s="149" t="s">
        <v>442</v>
      </c>
      <c r="H199" s="149" t="str">
        <f t="shared" si="0"/>
        <v>Mª FERNANDA ESCALA PEDREROS</v>
      </c>
      <c r="I199" s="149" t="s">
        <v>804</v>
      </c>
      <c r="J199" s="153" t="s">
        <v>548</v>
      </c>
      <c r="K199" s="149" t="s">
        <v>805</v>
      </c>
      <c r="L199" s="157">
        <v>45341</v>
      </c>
      <c r="M199" s="164"/>
      <c r="N199" s="163">
        <v>2</v>
      </c>
      <c r="O199" s="165" t="s">
        <v>446</v>
      </c>
      <c r="P199" s="161">
        <v>3604.55</v>
      </c>
      <c r="Q199" s="168">
        <v>45278</v>
      </c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</row>
    <row r="200" spans="1:27">
      <c r="A200" s="154">
        <v>2</v>
      </c>
      <c r="B200" s="155" t="s">
        <v>695</v>
      </c>
      <c r="C200" s="156">
        <v>45267</v>
      </c>
      <c r="D200" s="155" t="s">
        <v>440</v>
      </c>
      <c r="E200" s="149" t="s">
        <v>98</v>
      </c>
      <c r="F200" s="149" t="s">
        <v>441</v>
      </c>
      <c r="G200" s="149" t="s">
        <v>442</v>
      </c>
      <c r="H200" s="149" t="str">
        <f t="shared" si="0"/>
        <v>MARÍA AGUSTINA SEVILLA GARCÍA</v>
      </c>
      <c r="I200" s="149" t="s">
        <v>538</v>
      </c>
      <c r="J200" s="153" t="s">
        <v>462</v>
      </c>
      <c r="K200" s="149" t="s">
        <v>806</v>
      </c>
      <c r="L200" s="157">
        <v>45341</v>
      </c>
      <c r="M200" s="164"/>
      <c r="N200" s="163">
        <v>1</v>
      </c>
      <c r="O200" s="165" t="s">
        <v>446</v>
      </c>
      <c r="P200" s="161">
        <v>2162.73</v>
      </c>
      <c r="Q200" s="168">
        <v>45267</v>
      </c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</row>
    <row r="201" spans="1:27">
      <c r="A201" s="154">
        <v>2</v>
      </c>
      <c r="B201" s="155" t="s">
        <v>695</v>
      </c>
      <c r="C201" s="156">
        <v>45279</v>
      </c>
      <c r="D201" s="155" t="s">
        <v>440</v>
      </c>
      <c r="E201" s="149" t="s">
        <v>190</v>
      </c>
      <c r="F201" s="149" t="s">
        <v>441</v>
      </c>
      <c r="G201" s="149" t="s">
        <v>442</v>
      </c>
      <c r="H201" s="149" t="str">
        <f t="shared" si="0"/>
        <v>ANDRÉS BARRIOS RECIO</v>
      </c>
      <c r="I201" s="149" t="s">
        <v>807</v>
      </c>
      <c r="J201" s="153" t="s">
        <v>462</v>
      </c>
      <c r="K201" s="149" t="s">
        <v>808</v>
      </c>
      <c r="L201" s="157">
        <v>45341</v>
      </c>
      <c r="M201" s="164"/>
      <c r="N201" s="163">
        <v>2</v>
      </c>
      <c r="O201" s="165" t="s">
        <v>446</v>
      </c>
      <c r="P201" s="161">
        <v>3604.55</v>
      </c>
      <c r="Q201" s="168">
        <v>45279</v>
      </c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</row>
    <row r="202" spans="1:27">
      <c r="A202" s="154">
        <v>2</v>
      </c>
      <c r="B202" s="155" t="s">
        <v>695</v>
      </c>
      <c r="C202" s="156">
        <v>45320</v>
      </c>
      <c r="D202" s="155" t="s">
        <v>440</v>
      </c>
      <c r="E202" s="149" t="s">
        <v>239</v>
      </c>
      <c r="F202" s="149" t="s">
        <v>441</v>
      </c>
      <c r="G202" s="149" t="s">
        <v>442</v>
      </c>
      <c r="H202" s="149" t="str">
        <f t="shared" si="0"/>
        <v>Mª LUISA CALERO RAMOS</v>
      </c>
      <c r="I202" s="149" t="s">
        <v>809</v>
      </c>
      <c r="J202" s="153" t="s">
        <v>455</v>
      </c>
      <c r="K202" s="149" t="s">
        <v>810</v>
      </c>
      <c r="L202" s="157">
        <v>45341</v>
      </c>
      <c r="M202" s="158"/>
      <c r="N202" s="163">
        <v>2</v>
      </c>
      <c r="O202" s="165" t="s">
        <v>466</v>
      </c>
      <c r="P202" s="161">
        <v>4404.55</v>
      </c>
      <c r="Q202" s="168">
        <v>45320</v>
      </c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</row>
    <row r="203" spans="1:27">
      <c r="A203" s="154">
        <v>2</v>
      </c>
      <c r="B203" s="155" t="s">
        <v>695</v>
      </c>
      <c r="C203" s="156">
        <v>45301</v>
      </c>
      <c r="D203" s="155" t="s">
        <v>440</v>
      </c>
      <c r="E203" s="149" t="s">
        <v>239</v>
      </c>
      <c r="F203" s="149" t="s">
        <v>441</v>
      </c>
      <c r="G203" s="149" t="s">
        <v>442</v>
      </c>
      <c r="H203" s="149" t="str">
        <f t="shared" si="0"/>
        <v>FRANCISCO ANTONIO PÉREZ FERNÁNDEZ</v>
      </c>
      <c r="I203" s="149" t="s">
        <v>542</v>
      </c>
      <c r="J203" s="153" t="s">
        <v>455</v>
      </c>
      <c r="K203" s="149" t="s">
        <v>811</v>
      </c>
      <c r="L203" s="157">
        <v>45341</v>
      </c>
      <c r="M203" s="164"/>
      <c r="N203" s="163">
        <v>2</v>
      </c>
      <c r="O203" s="165" t="s">
        <v>449</v>
      </c>
      <c r="P203" s="161">
        <v>2814.55</v>
      </c>
      <c r="Q203" s="168">
        <v>45301</v>
      </c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</row>
    <row r="204" spans="1:27">
      <c r="A204" s="154">
        <v>2</v>
      </c>
      <c r="B204" s="155" t="s">
        <v>695</v>
      </c>
      <c r="C204" s="156">
        <v>45302</v>
      </c>
      <c r="D204" s="155" t="s">
        <v>440</v>
      </c>
      <c r="E204" s="149" t="s">
        <v>311</v>
      </c>
      <c r="F204" s="149" t="s">
        <v>441</v>
      </c>
      <c r="G204" s="149" t="s">
        <v>442</v>
      </c>
      <c r="H204" s="149" t="str">
        <f t="shared" si="0"/>
        <v>MARTA MORATO</v>
      </c>
      <c r="I204" s="149" t="s">
        <v>812</v>
      </c>
      <c r="J204" s="149" t="s">
        <v>444</v>
      </c>
      <c r="K204" s="149" t="s">
        <v>813</v>
      </c>
      <c r="L204" s="157">
        <v>45342</v>
      </c>
      <c r="M204" s="164"/>
      <c r="N204" s="163">
        <v>2</v>
      </c>
      <c r="O204" s="165" t="s">
        <v>449</v>
      </c>
      <c r="P204" s="161">
        <v>2641.86</v>
      </c>
      <c r="Q204" s="168">
        <v>45302</v>
      </c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</row>
    <row r="205" spans="1:27">
      <c r="A205" s="154">
        <v>2</v>
      </c>
      <c r="B205" s="155" t="s">
        <v>695</v>
      </c>
      <c r="C205" s="156">
        <v>45307</v>
      </c>
      <c r="D205" s="155" t="s">
        <v>440</v>
      </c>
      <c r="E205" s="149" t="s">
        <v>604</v>
      </c>
      <c r="F205" s="149" t="s">
        <v>441</v>
      </c>
      <c r="G205" s="149" t="s">
        <v>442</v>
      </c>
      <c r="H205" s="149" t="str">
        <f t="shared" si="0"/>
        <v>ISABEL VAAMONDE SANCHEZ ANDRADE</v>
      </c>
      <c r="I205" s="149" t="s">
        <v>814</v>
      </c>
      <c r="J205" s="153" t="s">
        <v>516</v>
      </c>
      <c r="K205" s="149" t="s">
        <v>815</v>
      </c>
      <c r="L205" s="157">
        <v>45342</v>
      </c>
      <c r="M205" s="158"/>
      <c r="N205" s="163">
        <v>1</v>
      </c>
      <c r="O205" s="165" t="s">
        <v>518</v>
      </c>
      <c r="P205" s="161">
        <v>1536.36</v>
      </c>
      <c r="Q205" s="168">
        <v>45307</v>
      </c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</row>
    <row r="206" spans="1:27">
      <c r="A206" s="154">
        <v>2</v>
      </c>
      <c r="B206" s="155" t="s">
        <v>695</v>
      </c>
      <c r="C206" s="156">
        <v>45317</v>
      </c>
      <c r="D206" s="155" t="s">
        <v>440</v>
      </c>
      <c r="E206" s="149" t="s">
        <v>122</v>
      </c>
      <c r="F206" s="149" t="s">
        <v>441</v>
      </c>
      <c r="G206" s="149" t="s">
        <v>442</v>
      </c>
      <c r="H206" s="149" t="str">
        <f t="shared" si="0"/>
        <v>CONCEPCIÓN PESCADOR MESONERO</v>
      </c>
      <c r="I206" s="149" t="s">
        <v>816</v>
      </c>
      <c r="J206" s="153" t="s">
        <v>444</v>
      </c>
      <c r="K206" s="149" t="s">
        <v>817</v>
      </c>
      <c r="L206" s="157">
        <v>45342</v>
      </c>
      <c r="M206" s="158"/>
      <c r="N206" s="163">
        <v>2</v>
      </c>
      <c r="O206" s="165" t="s">
        <v>446</v>
      </c>
      <c r="P206" s="161">
        <v>3604.55</v>
      </c>
      <c r="Q206" s="168">
        <v>45317</v>
      </c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</row>
    <row r="207" spans="1:27">
      <c r="A207" s="154">
        <v>2</v>
      </c>
      <c r="B207" s="155" t="s">
        <v>695</v>
      </c>
      <c r="C207" s="156">
        <v>45288</v>
      </c>
      <c r="D207" s="155" t="s">
        <v>440</v>
      </c>
      <c r="E207" s="149" t="s">
        <v>309</v>
      </c>
      <c r="F207" s="149" t="s">
        <v>441</v>
      </c>
      <c r="G207" s="149" t="s">
        <v>442</v>
      </c>
      <c r="H207" s="149" t="str">
        <f t="shared" si="0"/>
        <v>FÉLIX RODRÍGUEZ PAZ</v>
      </c>
      <c r="I207" s="149" t="s">
        <v>818</v>
      </c>
      <c r="J207" s="153" t="s">
        <v>444</v>
      </c>
      <c r="K207" s="149" t="s">
        <v>819</v>
      </c>
      <c r="L207" s="157">
        <v>45342</v>
      </c>
      <c r="M207" s="158"/>
      <c r="N207" s="163">
        <v>2</v>
      </c>
      <c r="O207" s="165" t="s">
        <v>449</v>
      </c>
      <c r="P207" s="161">
        <v>2780.91</v>
      </c>
      <c r="Q207" s="168">
        <v>45288</v>
      </c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</row>
    <row r="208" spans="1:27">
      <c r="A208" s="154">
        <v>2</v>
      </c>
      <c r="B208" s="155" t="s">
        <v>695</v>
      </c>
      <c r="C208" s="156">
        <v>45316</v>
      </c>
      <c r="D208" s="155" t="s">
        <v>440</v>
      </c>
      <c r="E208" s="149" t="s">
        <v>98</v>
      </c>
      <c r="F208" s="149" t="s">
        <v>441</v>
      </c>
      <c r="G208" s="149" t="s">
        <v>442</v>
      </c>
      <c r="H208" s="149" t="str">
        <f t="shared" si="0"/>
        <v>MARÍA AGUSTINA SEVILLA GARCÍA</v>
      </c>
      <c r="I208" s="149" t="s">
        <v>538</v>
      </c>
      <c r="J208" s="153" t="s">
        <v>462</v>
      </c>
      <c r="K208" s="149" t="s">
        <v>820</v>
      </c>
      <c r="L208" s="157">
        <v>45342</v>
      </c>
      <c r="M208" s="164"/>
      <c r="N208" s="163">
        <v>2</v>
      </c>
      <c r="O208" s="165" t="s">
        <v>449</v>
      </c>
      <c r="P208" s="161">
        <v>2780.77</v>
      </c>
      <c r="Q208" s="168">
        <v>45316</v>
      </c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</row>
    <row r="209" spans="1:27">
      <c r="A209" s="154">
        <v>2</v>
      </c>
      <c r="B209" s="155" t="s">
        <v>695</v>
      </c>
      <c r="C209" s="156">
        <v>45293</v>
      </c>
      <c r="D209" s="155" t="s">
        <v>440</v>
      </c>
      <c r="E209" s="149" t="s">
        <v>485</v>
      </c>
      <c r="F209" s="149" t="s">
        <v>441</v>
      </c>
      <c r="G209" s="149" t="s">
        <v>442</v>
      </c>
      <c r="H209" s="149" t="str">
        <f t="shared" si="0"/>
        <v>JAVIER HERRERO AGUSTÍN</v>
      </c>
      <c r="I209" s="149" t="s">
        <v>821</v>
      </c>
      <c r="J209" s="153" t="s">
        <v>473</v>
      </c>
      <c r="K209" s="149" t="s">
        <v>822</v>
      </c>
      <c r="L209" s="157">
        <v>45342</v>
      </c>
      <c r="M209" s="158"/>
      <c r="N209" s="163">
        <v>2</v>
      </c>
      <c r="O209" s="165" t="s">
        <v>466</v>
      </c>
      <c r="P209" s="161">
        <v>3977.27</v>
      </c>
      <c r="Q209" s="168">
        <v>45293</v>
      </c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</row>
    <row r="210" spans="1:27">
      <c r="A210" s="154">
        <v>2</v>
      </c>
      <c r="B210" s="155" t="s">
        <v>695</v>
      </c>
      <c r="C210" s="156">
        <v>45308</v>
      </c>
      <c r="D210" s="166" t="s">
        <v>440</v>
      </c>
      <c r="E210" s="149" t="s">
        <v>571</v>
      </c>
      <c r="F210" s="149" t="s">
        <v>441</v>
      </c>
      <c r="G210" s="149" t="s">
        <v>442</v>
      </c>
      <c r="H210" s="149" t="str">
        <f t="shared" si="0"/>
        <v>JULIO KNASTER DEL OLMO</v>
      </c>
      <c r="I210" s="149" t="s">
        <v>823</v>
      </c>
      <c r="J210" s="149" t="s">
        <v>532</v>
      </c>
      <c r="K210" s="149" t="s">
        <v>824</v>
      </c>
      <c r="L210" s="157">
        <v>45342</v>
      </c>
      <c r="M210" s="158"/>
      <c r="N210" s="163">
        <v>2</v>
      </c>
      <c r="O210" s="165" t="s">
        <v>446</v>
      </c>
      <c r="P210" s="161">
        <v>3604.55</v>
      </c>
      <c r="Q210" s="168">
        <v>45308</v>
      </c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</row>
    <row r="211" spans="1:27">
      <c r="A211" s="154">
        <v>2</v>
      </c>
      <c r="B211" s="155" t="s">
        <v>695</v>
      </c>
      <c r="C211" s="156">
        <v>45308</v>
      </c>
      <c r="D211" s="155" t="s">
        <v>440</v>
      </c>
      <c r="E211" s="149" t="s">
        <v>109</v>
      </c>
      <c r="F211" s="149" t="s">
        <v>441</v>
      </c>
      <c r="G211" s="149" t="s">
        <v>442</v>
      </c>
      <c r="H211" s="149" t="str">
        <f t="shared" si="0"/>
        <v>CRISTINA VADUVA</v>
      </c>
      <c r="I211" s="149" t="s">
        <v>499</v>
      </c>
      <c r="J211" s="153" t="s">
        <v>444</v>
      </c>
      <c r="K211" s="149" t="s">
        <v>825</v>
      </c>
      <c r="L211" s="157">
        <v>45343</v>
      </c>
      <c r="M211" s="158"/>
      <c r="N211" s="163">
        <v>2</v>
      </c>
      <c r="O211" s="165" t="s">
        <v>449</v>
      </c>
      <c r="P211" s="161">
        <v>2780.91</v>
      </c>
      <c r="Q211" s="168">
        <v>45308</v>
      </c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</row>
    <row r="212" spans="1:27">
      <c r="A212" s="154">
        <v>2</v>
      </c>
      <c r="B212" s="155" t="s">
        <v>695</v>
      </c>
      <c r="C212" s="156">
        <v>44945</v>
      </c>
      <c r="D212" s="155" t="s">
        <v>440</v>
      </c>
      <c r="E212" s="149" t="s">
        <v>271</v>
      </c>
      <c r="F212" s="149" t="s">
        <v>441</v>
      </c>
      <c r="G212" s="149" t="s">
        <v>442</v>
      </c>
      <c r="H212" s="149" t="str">
        <f t="shared" si="0"/>
        <v>GUILLERMO SAN JUAN DE LA MORETA</v>
      </c>
      <c r="I212" s="149" t="s">
        <v>826</v>
      </c>
      <c r="J212" s="153" t="s">
        <v>444</v>
      </c>
      <c r="K212" s="149" t="s">
        <v>827</v>
      </c>
      <c r="L212" s="157">
        <v>45343</v>
      </c>
      <c r="M212" s="158"/>
      <c r="N212" s="163">
        <v>2</v>
      </c>
      <c r="O212" s="165" t="s">
        <v>446</v>
      </c>
      <c r="P212" s="161">
        <v>3424.33</v>
      </c>
      <c r="Q212" s="168">
        <v>44945</v>
      </c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</row>
    <row r="213" spans="1:27">
      <c r="A213" s="154">
        <v>2</v>
      </c>
      <c r="B213" s="155" t="s">
        <v>695</v>
      </c>
      <c r="C213" s="156">
        <v>45317</v>
      </c>
      <c r="D213" s="155" t="s">
        <v>440</v>
      </c>
      <c r="E213" s="149" t="s">
        <v>309</v>
      </c>
      <c r="F213" s="149" t="s">
        <v>441</v>
      </c>
      <c r="G213" s="149" t="s">
        <v>442</v>
      </c>
      <c r="H213" s="149" t="str">
        <f t="shared" si="0"/>
        <v>JOSE JOAQUÍN GUTIÉRREZ BARQUÍN</v>
      </c>
      <c r="I213" s="149" t="s">
        <v>716</v>
      </c>
      <c r="J213" s="153" t="s">
        <v>444</v>
      </c>
      <c r="K213" s="149" t="s">
        <v>828</v>
      </c>
      <c r="L213" s="157">
        <v>45343</v>
      </c>
      <c r="M213" s="158"/>
      <c r="N213" s="163">
        <v>2</v>
      </c>
      <c r="O213" s="165" t="s">
        <v>449</v>
      </c>
      <c r="P213" s="161">
        <v>2780.91</v>
      </c>
      <c r="Q213" s="168">
        <v>45317</v>
      </c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</row>
    <row r="214" spans="1:27">
      <c r="A214" s="154">
        <v>2</v>
      </c>
      <c r="B214" s="155" t="s">
        <v>695</v>
      </c>
      <c r="C214" s="156">
        <v>45329</v>
      </c>
      <c r="D214" s="155" t="s">
        <v>440</v>
      </c>
      <c r="E214" s="149" t="s">
        <v>553</v>
      </c>
      <c r="F214" s="149" t="s">
        <v>450</v>
      </c>
      <c r="G214" s="149" t="s">
        <v>451</v>
      </c>
      <c r="H214" s="149" t="str">
        <f t="shared" si="0"/>
        <v>CARLOS FRADE GONZÁLEZ</v>
      </c>
      <c r="I214" s="149" t="s">
        <v>829</v>
      </c>
      <c r="J214" s="153" t="s">
        <v>516</v>
      </c>
      <c r="K214" s="149" t="s">
        <v>830</v>
      </c>
      <c r="L214" s="157">
        <v>45344</v>
      </c>
      <c r="M214" s="158"/>
      <c r="N214" s="163">
        <v>2</v>
      </c>
      <c r="O214" s="165" t="s">
        <v>518</v>
      </c>
      <c r="P214" s="161">
        <v>2227.27</v>
      </c>
      <c r="Q214" s="168">
        <v>45329</v>
      </c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</row>
    <row r="215" spans="1:27">
      <c r="A215" s="154">
        <v>2</v>
      </c>
      <c r="B215" s="155" t="s">
        <v>695</v>
      </c>
      <c r="C215" s="156">
        <v>45302</v>
      </c>
      <c r="D215" s="155" t="s">
        <v>440</v>
      </c>
      <c r="E215" s="149" t="s">
        <v>460</v>
      </c>
      <c r="F215" s="149" t="s">
        <v>441</v>
      </c>
      <c r="G215" s="149" t="s">
        <v>442</v>
      </c>
      <c r="H215" s="149" t="str">
        <f t="shared" si="0"/>
        <v>CARLOS VELÁSQUEZ FERMÍN</v>
      </c>
      <c r="I215" s="149" t="s">
        <v>831</v>
      </c>
      <c r="J215" s="153" t="s">
        <v>462</v>
      </c>
      <c r="K215" s="149" t="s">
        <v>832</v>
      </c>
      <c r="L215" s="157">
        <v>45344</v>
      </c>
      <c r="M215" s="164"/>
      <c r="N215" s="163">
        <v>2</v>
      </c>
      <c r="O215" s="165" t="s">
        <v>466</v>
      </c>
      <c r="P215" s="161">
        <v>4222.7299999999996</v>
      </c>
      <c r="Q215" s="168">
        <v>45302</v>
      </c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</row>
    <row r="216" spans="1:27">
      <c r="A216" s="154">
        <v>2</v>
      </c>
      <c r="B216" s="155" t="s">
        <v>695</v>
      </c>
      <c r="C216" s="156">
        <v>45302</v>
      </c>
      <c r="D216" s="166" t="s">
        <v>440</v>
      </c>
      <c r="E216" s="160" t="s">
        <v>317</v>
      </c>
      <c r="F216" s="160" t="s">
        <v>441</v>
      </c>
      <c r="G216" s="160" t="s">
        <v>442</v>
      </c>
      <c r="H216" s="149" t="str">
        <f t="shared" si="0"/>
        <v>NO REUERDA ORL</v>
      </c>
      <c r="I216" s="149" t="s">
        <v>469</v>
      </c>
      <c r="J216" s="149" t="s">
        <v>462</v>
      </c>
      <c r="K216" s="160" t="s">
        <v>833</v>
      </c>
      <c r="L216" s="157">
        <v>45344</v>
      </c>
      <c r="M216" s="158"/>
      <c r="N216" s="163">
        <v>2</v>
      </c>
      <c r="O216" s="165" t="s">
        <v>446</v>
      </c>
      <c r="P216" s="161">
        <v>3604.55</v>
      </c>
      <c r="Q216" s="168">
        <v>45302</v>
      </c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</row>
    <row r="217" spans="1:27">
      <c r="A217" s="154">
        <v>2</v>
      </c>
      <c r="B217" s="155" t="s">
        <v>695</v>
      </c>
      <c r="C217" s="156">
        <v>45320</v>
      </c>
      <c r="D217" s="155" t="s">
        <v>440</v>
      </c>
      <c r="E217" s="149" t="s">
        <v>311</v>
      </c>
      <c r="F217" s="149" t="s">
        <v>441</v>
      </c>
      <c r="G217" s="149" t="s">
        <v>442</v>
      </c>
      <c r="H217" s="149" t="str">
        <f t="shared" si="0"/>
        <v>MARÍA ESTEFANÍA HERNÁNDEZ GARCÍA</v>
      </c>
      <c r="I217" s="149" t="s">
        <v>834</v>
      </c>
      <c r="J217" s="153" t="s">
        <v>444</v>
      </c>
      <c r="K217" s="149" t="s">
        <v>835</v>
      </c>
      <c r="L217" s="157">
        <v>45344</v>
      </c>
      <c r="M217" s="158"/>
      <c r="N217" s="159">
        <v>2</v>
      </c>
      <c r="O217" s="165" t="s">
        <v>449</v>
      </c>
      <c r="P217" s="161">
        <v>2780.91</v>
      </c>
      <c r="Q217" s="168">
        <v>45320</v>
      </c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</row>
    <row r="218" spans="1:27">
      <c r="A218" s="154">
        <v>2</v>
      </c>
      <c r="B218" s="155" t="s">
        <v>695</v>
      </c>
      <c r="C218" s="156">
        <v>45320</v>
      </c>
      <c r="D218" s="155" t="s">
        <v>440</v>
      </c>
      <c r="E218" s="149" t="s">
        <v>122</v>
      </c>
      <c r="F218" s="149" t="s">
        <v>441</v>
      </c>
      <c r="G218" s="149" t="s">
        <v>442</v>
      </c>
      <c r="H218" s="149" t="str">
        <f t="shared" si="0"/>
        <v>ANA RUIZ FORNELLS NOREÑA</v>
      </c>
      <c r="I218" s="149" t="s">
        <v>836</v>
      </c>
      <c r="J218" s="153" t="s">
        <v>444</v>
      </c>
      <c r="K218" s="149" t="s">
        <v>837</v>
      </c>
      <c r="L218" s="157">
        <v>45344</v>
      </c>
      <c r="M218" s="158"/>
      <c r="N218" s="163">
        <v>2</v>
      </c>
      <c r="O218" s="165" t="s">
        <v>449</v>
      </c>
      <c r="P218" s="161">
        <v>2471.8200000000002</v>
      </c>
      <c r="Q218" s="168">
        <v>45320</v>
      </c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</row>
    <row r="219" spans="1:27">
      <c r="A219" s="154">
        <v>2</v>
      </c>
      <c r="B219" s="155" t="s">
        <v>695</v>
      </c>
      <c r="C219" s="156">
        <v>45299</v>
      </c>
      <c r="D219" s="155" t="s">
        <v>440</v>
      </c>
      <c r="E219" s="149" t="s">
        <v>501</v>
      </c>
      <c r="F219" s="149" t="s">
        <v>441</v>
      </c>
      <c r="G219" s="149" t="s">
        <v>442</v>
      </c>
      <c r="H219" s="149" t="str">
        <f t="shared" si="0"/>
        <v>CRISTINA IBAÑEZ MUÑOZ</v>
      </c>
      <c r="I219" s="149" t="s">
        <v>838</v>
      </c>
      <c r="J219" s="153" t="s">
        <v>548</v>
      </c>
      <c r="K219" s="149" t="s">
        <v>839</v>
      </c>
      <c r="L219" s="157">
        <v>45344</v>
      </c>
      <c r="M219" s="158"/>
      <c r="N219" s="163">
        <v>1</v>
      </c>
      <c r="O219" s="165" t="s">
        <v>466</v>
      </c>
      <c r="P219" s="161">
        <v>1818.18</v>
      </c>
      <c r="Q219" s="168">
        <v>45299</v>
      </c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</row>
    <row r="220" spans="1:27">
      <c r="A220" s="154">
        <v>2</v>
      </c>
      <c r="B220" s="155" t="s">
        <v>695</v>
      </c>
      <c r="C220" s="156">
        <v>45307</v>
      </c>
      <c r="D220" s="155" t="s">
        <v>440</v>
      </c>
      <c r="E220" s="149" t="s">
        <v>563</v>
      </c>
      <c r="F220" s="149" t="s">
        <v>441</v>
      </c>
      <c r="G220" s="149" t="s">
        <v>442</v>
      </c>
      <c r="H220" s="149" t="str">
        <f t="shared" si="0"/>
        <v>JOAQUÍN ALACIO CASERO</v>
      </c>
      <c r="I220" s="149" t="s">
        <v>651</v>
      </c>
      <c r="J220" s="153" t="s">
        <v>444</v>
      </c>
      <c r="K220" s="149" t="s">
        <v>840</v>
      </c>
      <c r="L220" s="157">
        <v>45344</v>
      </c>
      <c r="M220" s="158"/>
      <c r="N220" s="163">
        <v>2</v>
      </c>
      <c r="O220" s="165" t="s">
        <v>446</v>
      </c>
      <c r="P220" s="161">
        <v>3604.55</v>
      </c>
      <c r="Q220" s="168">
        <v>45307</v>
      </c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</row>
    <row r="221" spans="1:27">
      <c r="A221" s="154">
        <v>2</v>
      </c>
      <c r="B221" s="155" t="s">
        <v>695</v>
      </c>
      <c r="C221" s="156">
        <v>45320</v>
      </c>
      <c r="D221" s="155" t="s">
        <v>440</v>
      </c>
      <c r="E221" s="149" t="s">
        <v>158</v>
      </c>
      <c r="F221" s="149" t="s">
        <v>441</v>
      </c>
      <c r="G221" s="149" t="s">
        <v>442</v>
      </c>
      <c r="H221" s="149" t="str">
        <f t="shared" si="0"/>
        <v>CARLOS BARAJAS DEL ROSAL</v>
      </c>
      <c r="I221" s="149" t="s">
        <v>660</v>
      </c>
      <c r="J221" s="153" t="s">
        <v>661</v>
      </c>
      <c r="K221" s="149" t="s">
        <v>841</v>
      </c>
      <c r="L221" s="157">
        <v>45344</v>
      </c>
      <c r="M221" s="158"/>
      <c r="N221" s="163">
        <v>2</v>
      </c>
      <c r="O221" s="165" t="s">
        <v>446</v>
      </c>
      <c r="P221" s="161">
        <v>3424.32</v>
      </c>
      <c r="Q221" s="168">
        <v>45320</v>
      </c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</row>
    <row r="222" spans="1:27">
      <c r="A222" s="154">
        <v>2</v>
      </c>
      <c r="B222" s="155" t="s">
        <v>695</v>
      </c>
      <c r="C222" s="156">
        <v>45302</v>
      </c>
      <c r="D222" s="155" t="s">
        <v>440</v>
      </c>
      <c r="E222" s="149" t="s">
        <v>309</v>
      </c>
      <c r="F222" s="149" t="s">
        <v>441</v>
      </c>
      <c r="G222" s="149" t="s">
        <v>442</v>
      </c>
      <c r="H222" s="149" t="str">
        <f t="shared" si="0"/>
        <v>FÉLIX RODRÍGUEZ PAZ</v>
      </c>
      <c r="I222" s="149" t="s">
        <v>818</v>
      </c>
      <c r="J222" s="153" t="s">
        <v>444</v>
      </c>
      <c r="K222" s="149" t="s">
        <v>842</v>
      </c>
      <c r="L222" s="157">
        <v>45344</v>
      </c>
      <c r="M222" s="164"/>
      <c r="N222" s="163">
        <v>1</v>
      </c>
      <c r="O222" s="165" t="s">
        <v>446</v>
      </c>
      <c r="P222" s="161">
        <v>2162.73</v>
      </c>
      <c r="Q222" s="168">
        <v>45302</v>
      </c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</row>
    <row r="223" spans="1:27">
      <c r="A223" s="154">
        <v>2</v>
      </c>
      <c r="B223" s="155" t="s">
        <v>695</v>
      </c>
      <c r="C223" s="156">
        <v>45257</v>
      </c>
      <c r="D223" s="155" t="s">
        <v>440</v>
      </c>
      <c r="E223" s="149" t="s">
        <v>618</v>
      </c>
      <c r="F223" s="149" t="s">
        <v>441</v>
      </c>
      <c r="G223" s="149" t="s">
        <v>442</v>
      </c>
      <c r="H223" s="149" t="str">
        <f t="shared" si="0"/>
        <v>CARLOS BARAJAS DEL ROSAL</v>
      </c>
      <c r="I223" s="149" t="s">
        <v>660</v>
      </c>
      <c r="J223" s="149" t="s">
        <v>661</v>
      </c>
      <c r="K223" s="149" t="s">
        <v>843</v>
      </c>
      <c r="L223" s="157">
        <v>45344</v>
      </c>
      <c r="M223" s="158"/>
      <c r="N223" s="163">
        <v>2</v>
      </c>
      <c r="O223" s="165" t="s">
        <v>466</v>
      </c>
      <c r="P223" s="161">
        <v>4222.7299999999996</v>
      </c>
      <c r="Q223" s="168">
        <v>45257</v>
      </c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</row>
    <row r="224" spans="1:27">
      <c r="A224" s="154">
        <v>2</v>
      </c>
      <c r="B224" s="155" t="s">
        <v>695</v>
      </c>
      <c r="C224" s="156">
        <v>45307</v>
      </c>
      <c r="D224" s="155" t="s">
        <v>440</v>
      </c>
      <c r="E224" s="149" t="s">
        <v>98</v>
      </c>
      <c r="F224" s="149" t="s">
        <v>441</v>
      </c>
      <c r="G224" s="149" t="s">
        <v>442</v>
      </c>
      <c r="H224" s="149" t="str">
        <f t="shared" si="0"/>
        <v>ENRIQUE VIVIENTE RODRÍGUEZ</v>
      </c>
      <c r="I224" s="149" t="s">
        <v>844</v>
      </c>
      <c r="J224" s="153" t="s">
        <v>462</v>
      </c>
      <c r="K224" s="149" t="s">
        <v>845</v>
      </c>
      <c r="L224" s="157">
        <v>45344</v>
      </c>
      <c r="M224" s="158"/>
      <c r="N224" s="163">
        <v>1</v>
      </c>
      <c r="O224" s="165" t="s">
        <v>446</v>
      </c>
      <c r="P224" s="161">
        <v>2054.5500000000002</v>
      </c>
      <c r="Q224" s="168">
        <v>45307</v>
      </c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</row>
    <row r="225" spans="1:27">
      <c r="A225" s="154">
        <v>2</v>
      </c>
      <c r="B225" s="155" t="s">
        <v>695</v>
      </c>
      <c r="C225" s="156">
        <v>45188</v>
      </c>
      <c r="D225" s="155" t="s">
        <v>440</v>
      </c>
      <c r="E225" s="149" t="s">
        <v>98</v>
      </c>
      <c r="F225" s="149" t="s">
        <v>441</v>
      </c>
      <c r="G225" s="149" t="s">
        <v>442</v>
      </c>
      <c r="H225" s="149" t="str">
        <f t="shared" si="0"/>
        <v>MARÍA LÓPEZ ROBLES</v>
      </c>
      <c r="I225" s="149" t="s">
        <v>846</v>
      </c>
      <c r="J225" s="149" t="s">
        <v>462</v>
      </c>
      <c r="K225" s="149" t="s">
        <v>847</v>
      </c>
      <c r="L225" s="157">
        <v>45344</v>
      </c>
      <c r="M225" s="158"/>
      <c r="N225" s="163">
        <v>2</v>
      </c>
      <c r="O225" s="165" t="s">
        <v>446</v>
      </c>
      <c r="P225" s="161">
        <v>3604.55</v>
      </c>
      <c r="Q225" s="168">
        <v>45188</v>
      </c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</row>
    <row r="226" spans="1:27">
      <c r="A226" s="154">
        <v>2</v>
      </c>
      <c r="B226" s="155" t="s">
        <v>695</v>
      </c>
      <c r="C226" s="156">
        <v>45155</v>
      </c>
      <c r="D226" s="155" t="s">
        <v>440</v>
      </c>
      <c r="E226" s="149" t="s">
        <v>475</v>
      </c>
      <c r="F226" s="149" t="s">
        <v>441</v>
      </c>
      <c r="G226" s="149" t="s">
        <v>442</v>
      </c>
      <c r="H226" s="149" t="str">
        <f t="shared" si="0"/>
        <v>DIANA LISBETH</v>
      </c>
      <c r="I226" s="149" t="s">
        <v>681</v>
      </c>
      <c r="J226" s="153" t="s">
        <v>477</v>
      </c>
      <c r="K226" s="149" t="s">
        <v>848</v>
      </c>
      <c r="L226" s="157">
        <v>45344</v>
      </c>
      <c r="M226" s="158"/>
      <c r="N226" s="163">
        <v>2</v>
      </c>
      <c r="O226" s="165" t="s">
        <v>466</v>
      </c>
      <c r="P226" s="161">
        <v>3818.18</v>
      </c>
      <c r="Q226" s="168">
        <v>45155</v>
      </c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</row>
    <row r="227" spans="1:27">
      <c r="A227" s="154">
        <v>2</v>
      </c>
      <c r="B227" s="155" t="s">
        <v>695</v>
      </c>
      <c r="C227" s="156">
        <v>45273</v>
      </c>
      <c r="D227" s="155" t="s">
        <v>440</v>
      </c>
      <c r="E227" s="149" t="s">
        <v>506</v>
      </c>
      <c r="F227" s="149" t="s">
        <v>441</v>
      </c>
      <c r="G227" s="149" t="s">
        <v>442</v>
      </c>
      <c r="H227" s="149" t="str">
        <f t="shared" si="0"/>
        <v>MARÍA JESÚS CORNEJO DOMÍNGUEZ</v>
      </c>
      <c r="I227" s="149" t="s">
        <v>507</v>
      </c>
      <c r="J227" s="153" t="s">
        <v>473</v>
      </c>
      <c r="K227" s="149" t="s">
        <v>849</v>
      </c>
      <c r="L227" s="157">
        <v>45344</v>
      </c>
      <c r="M227" s="158"/>
      <c r="N227" s="163">
        <v>1</v>
      </c>
      <c r="O227" s="165" t="s">
        <v>449</v>
      </c>
      <c r="P227" s="161">
        <v>1481.82</v>
      </c>
      <c r="Q227" s="168">
        <v>45273</v>
      </c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</row>
    <row r="228" spans="1:27">
      <c r="A228" s="154">
        <v>2</v>
      </c>
      <c r="B228" s="155" t="s">
        <v>695</v>
      </c>
      <c r="C228" s="156">
        <v>45287</v>
      </c>
      <c r="D228" s="155" t="s">
        <v>440</v>
      </c>
      <c r="E228" s="149" t="s">
        <v>190</v>
      </c>
      <c r="F228" s="149" t="s">
        <v>441</v>
      </c>
      <c r="G228" s="149" t="s">
        <v>442</v>
      </c>
      <c r="H228" s="149" t="str">
        <f t="shared" si="0"/>
        <v>FRANCISCO GARCÍA PURRIÑOS</v>
      </c>
      <c r="I228" s="149" t="s">
        <v>610</v>
      </c>
      <c r="J228" s="153" t="s">
        <v>462</v>
      </c>
      <c r="K228" s="149" t="s">
        <v>850</v>
      </c>
      <c r="L228" s="157">
        <v>45344</v>
      </c>
      <c r="M228" s="164"/>
      <c r="N228" s="163">
        <v>1</v>
      </c>
      <c r="O228" s="165" t="s">
        <v>466</v>
      </c>
      <c r="P228" s="161">
        <v>2536.36</v>
      </c>
      <c r="Q228" s="168">
        <v>45287</v>
      </c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</row>
    <row r="229" spans="1:27">
      <c r="A229" s="154">
        <v>2</v>
      </c>
      <c r="B229" s="155" t="s">
        <v>695</v>
      </c>
      <c r="C229" s="156">
        <v>45299</v>
      </c>
      <c r="D229" s="155" t="s">
        <v>440</v>
      </c>
      <c r="E229" s="149" t="s">
        <v>150</v>
      </c>
      <c r="F229" s="149" t="s">
        <v>441</v>
      </c>
      <c r="G229" s="149" t="s">
        <v>442</v>
      </c>
      <c r="H229" s="149" t="str">
        <f t="shared" si="0"/>
        <v>MARINA CARRASCO LLATAS</v>
      </c>
      <c r="I229" s="149" t="s">
        <v>851</v>
      </c>
      <c r="J229" s="153" t="s">
        <v>636</v>
      </c>
      <c r="K229" s="149" t="s">
        <v>852</v>
      </c>
      <c r="L229" s="157">
        <v>45344</v>
      </c>
      <c r="M229" s="158"/>
      <c r="N229" s="163">
        <v>2</v>
      </c>
      <c r="O229" s="165" t="s">
        <v>449</v>
      </c>
      <c r="P229" s="161">
        <v>2641.86</v>
      </c>
      <c r="Q229" s="168">
        <v>45299</v>
      </c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</row>
    <row r="230" spans="1:27">
      <c r="A230" s="154">
        <v>2</v>
      </c>
      <c r="B230" s="155" t="s">
        <v>695</v>
      </c>
      <c r="C230" s="156">
        <v>45310</v>
      </c>
      <c r="D230" s="155" t="s">
        <v>440</v>
      </c>
      <c r="E230" s="149" t="s">
        <v>460</v>
      </c>
      <c r="F230" s="160" t="s">
        <v>441</v>
      </c>
      <c r="G230" s="160" t="s">
        <v>442</v>
      </c>
      <c r="H230" s="149" t="str">
        <f t="shared" si="0"/>
        <v>SALWA LARAQUI HOSSINI</v>
      </c>
      <c r="I230" s="149" t="s">
        <v>704</v>
      </c>
      <c r="J230" s="153" t="s">
        <v>462</v>
      </c>
      <c r="K230" s="160" t="s">
        <v>853</v>
      </c>
      <c r="L230" s="157">
        <v>45345</v>
      </c>
      <c r="M230" s="164"/>
      <c r="N230" s="163">
        <v>2</v>
      </c>
      <c r="O230" s="165" t="s">
        <v>446</v>
      </c>
      <c r="P230" s="161">
        <v>3604.55</v>
      </c>
      <c r="Q230" s="168">
        <v>45310</v>
      </c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</row>
    <row r="231" spans="1:27">
      <c r="A231" s="154">
        <v>2</v>
      </c>
      <c r="B231" s="155" t="s">
        <v>695</v>
      </c>
      <c r="C231" s="156">
        <v>45316</v>
      </c>
      <c r="D231" s="155" t="s">
        <v>440</v>
      </c>
      <c r="E231" s="160" t="s">
        <v>317</v>
      </c>
      <c r="F231" s="160" t="s">
        <v>441</v>
      </c>
      <c r="G231" s="160" t="s">
        <v>442</v>
      </c>
      <c r="H231" s="149" t="str">
        <f t="shared" si="0"/>
        <v>FRANCISCO PASTOR BEVIÁ</v>
      </c>
      <c r="I231" s="149" t="s">
        <v>464</v>
      </c>
      <c r="J231" s="153" t="s">
        <v>462</v>
      </c>
      <c r="K231" s="160" t="s">
        <v>854</v>
      </c>
      <c r="L231" s="157">
        <v>45345</v>
      </c>
      <c r="M231" s="164"/>
      <c r="N231" s="163">
        <v>2</v>
      </c>
      <c r="O231" s="165" t="s">
        <v>449</v>
      </c>
      <c r="P231" s="161">
        <v>2545.4499999999998</v>
      </c>
      <c r="Q231" s="168">
        <v>45316</v>
      </c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</row>
    <row r="232" spans="1:27">
      <c r="A232" s="154">
        <v>2</v>
      </c>
      <c r="B232" s="155" t="s">
        <v>695</v>
      </c>
      <c r="C232" s="156">
        <v>45322</v>
      </c>
      <c r="D232" s="155" t="s">
        <v>440</v>
      </c>
      <c r="E232" s="149" t="s">
        <v>311</v>
      </c>
      <c r="F232" s="149" t="s">
        <v>441</v>
      </c>
      <c r="G232" s="149" t="s">
        <v>442</v>
      </c>
      <c r="H232" s="149" t="str">
        <f t="shared" si="0"/>
        <v>PALOMA MARTÍN- ARAGÓN MARTIÍ</v>
      </c>
      <c r="I232" s="149" t="s">
        <v>643</v>
      </c>
      <c r="J232" s="153" t="s">
        <v>444</v>
      </c>
      <c r="K232" s="149" t="s">
        <v>855</v>
      </c>
      <c r="L232" s="157">
        <v>45345</v>
      </c>
      <c r="M232" s="158"/>
      <c r="N232" s="163">
        <v>2</v>
      </c>
      <c r="O232" s="165" t="s">
        <v>446</v>
      </c>
      <c r="P232" s="161">
        <v>3604.55</v>
      </c>
      <c r="Q232" s="168">
        <v>45322</v>
      </c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</row>
    <row r="233" spans="1:27">
      <c r="A233" s="154">
        <v>2</v>
      </c>
      <c r="B233" s="155" t="s">
        <v>695</v>
      </c>
      <c r="C233" s="156">
        <v>45341</v>
      </c>
      <c r="D233" s="155" t="s">
        <v>440</v>
      </c>
      <c r="E233" s="160" t="s">
        <v>856</v>
      </c>
      <c r="F233" s="160" t="s">
        <v>441</v>
      </c>
      <c r="G233" s="160" t="s">
        <v>442</v>
      </c>
      <c r="H233" s="149" t="str">
        <f t="shared" si="0"/>
        <v>IGNACIO ÁLVAREZ ÁLVAREZ</v>
      </c>
      <c r="I233" s="149" t="s">
        <v>857</v>
      </c>
      <c r="J233" s="149" t="s">
        <v>473</v>
      </c>
      <c r="K233" s="160" t="s">
        <v>858</v>
      </c>
      <c r="L233" s="157">
        <v>45345</v>
      </c>
      <c r="M233" s="158"/>
      <c r="N233" s="163">
        <v>2</v>
      </c>
      <c r="O233" s="165" t="s">
        <v>446</v>
      </c>
      <c r="P233" s="161">
        <v>4090.77</v>
      </c>
      <c r="Q233" s="168">
        <v>45341</v>
      </c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</row>
    <row r="234" spans="1:27">
      <c r="A234" s="154">
        <v>2</v>
      </c>
      <c r="B234" s="155" t="s">
        <v>695</v>
      </c>
      <c r="C234" s="156">
        <v>45320</v>
      </c>
      <c r="D234" s="155" t="s">
        <v>440</v>
      </c>
      <c r="E234" s="149" t="s">
        <v>271</v>
      </c>
      <c r="F234" s="149" t="s">
        <v>441</v>
      </c>
      <c r="G234" s="149" t="s">
        <v>442</v>
      </c>
      <c r="H234" s="149" t="str">
        <f t="shared" si="0"/>
        <v>CARLOS ARMIÑO MEGIDO</v>
      </c>
      <c r="I234" s="149" t="s">
        <v>859</v>
      </c>
      <c r="J234" s="153" t="s">
        <v>548</v>
      </c>
      <c r="K234" s="149" t="s">
        <v>860</v>
      </c>
      <c r="L234" s="157">
        <v>45345</v>
      </c>
      <c r="M234" s="158"/>
      <c r="N234" s="163">
        <v>2</v>
      </c>
      <c r="O234" s="165" t="s">
        <v>446</v>
      </c>
      <c r="P234" s="161">
        <v>3424.33</v>
      </c>
      <c r="Q234" s="168">
        <v>45320</v>
      </c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</row>
    <row r="235" spans="1:27">
      <c r="A235" s="154">
        <v>2</v>
      </c>
      <c r="B235" s="155" t="s">
        <v>695</v>
      </c>
      <c r="C235" s="156">
        <v>45299</v>
      </c>
      <c r="D235" s="155" t="s">
        <v>440</v>
      </c>
      <c r="E235" s="149" t="s">
        <v>313</v>
      </c>
      <c r="F235" s="149" t="s">
        <v>441</v>
      </c>
      <c r="G235" s="149" t="s">
        <v>442</v>
      </c>
      <c r="H235" s="149" t="str">
        <f t="shared" si="0"/>
        <v>GUILLERMO SAN JUAN DE LA MORETA</v>
      </c>
      <c r="I235" s="149" t="s">
        <v>826</v>
      </c>
      <c r="J235" s="149" t="s">
        <v>444</v>
      </c>
      <c r="K235" s="149" t="s">
        <v>861</v>
      </c>
      <c r="L235" s="157">
        <v>45345</v>
      </c>
      <c r="M235" s="158"/>
      <c r="N235" s="163">
        <v>2</v>
      </c>
      <c r="O235" s="165" t="s">
        <v>449</v>
      </c>
      <c r="P235" s="161">
        <v>2780.91</v>
      </c>
      <c r="Q235" s="168">
        <v>45299</v>
      </c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</row>
    <row r="236" spans="1:27">
      <c r="A236" s="154">
        <v>2</v>
      </c>
      <c r="B236" s="155" t="s">
        <v>695</v>
      </c>
      <c r="C236" s="156">
        <v>45300</v>
      </c>
      <c r="D236" s="155" t="s">
        <v>440</v>
      </c>
      <c r="E236" s="149" t="s">
        <v>102</v>
      </c>
      <c r="F236" s="149" t="s">
        <v>441</v>
      </c>
      <c r="G236" s="149" t="s">
        <v>442</v>
      </c>
      <c r="H236" s="149" t="str">
        <f t="shared" si="0"/>
        <v>PAULA HERNÁNDEZ RUÍZ</v>
      </c>
      <c r="I236" s="149" t="s">
        <v>621</v>
      </c>
      <c r="J236" s="153" t="s">
        <v>462</v>
      </c>
      <c r="K236" s="149" t="s">
        <v>862</v>
      </c>
      <c r="L236" s="157">
        <v>45345</v>
      </c>
      <c r="M236" s="164"/>
      <c r="N236" s="163">
        <v>2</v>
      </c>
      <c r="O236" s="165" t="s">
        <v>518</v>
      </c>
      <c r="P236" s="161">
        <v>1990.91</v>
      </c>
      <c r="Q236" s="168">
        <v>45300</v>
      </c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</row>
    <row r="237" spans="1:27">
      <c r="A237" s="154">
        <v>2</v>
      </c>
      <c r="B237" s="155" t="s">
        <v>695</v>
      </c>
      <c r="C237" s="156">
        <v>45306</v>
      </c>
      <c r="D237" s="155" t="s">
        <v>440</v>
      </c>
      <c r="E237" s="149" t="s">
        <v>506</v>
      </c>
      <c r="F237" s="149" t="s">
        <v>441</v>
      </c>
      <c r="G237" s="149" t="s">
        <v>442</v>
      </c>
      <c r="H237" s="149" t="str">
        <f t="shared" si="0"/>
        <v>MARÍA JESÚS CORNEJO DOMÍNGUEZ</v>
      </c>
      <c r="I237" s="149" t="s">
        <v>507</v>
      </c>
      <c r="J237" s="153" t="s">
        <v>473</v>
      </c>
      <c r="K237" s="149" t="s">
        <v>863</v>
      </c>
      <c r="L237" s="157">
        <v>45345</v>
      </c>
      <c r="M237" s="158"/>
      <c r="N237" s="163">
        <v>2</v>
      </c>
      <c r="O237" s="165" t="s">
        <v>446</v>
      </c>
      <c r="P237" s="161">
        <v>3604.55</v>
      </c>
      <c r="Q237" s="168">
        <v>45306</v>
      </c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</row>
    <row r="238" spans="1:27">
      <c r="A238" s="154">
        <v>2</v>
      </c>
      <c r="B238" s="155" t="s">
        <v>695</v>
      </c>
      <c r="C238" s="156">
        <v>45313</v>
      </c>
      <c r="D238" s="155" t="s">
        <v>440</v>
      </c>
      <c r="E238" s="149" t="s">
        <v>239</v>
      </c>
      <c r="F238" s="149" t="s">
        <v>441</v>
      </c>
      <c r="G238" s="149" t="s">
        <v>442</v>
      </c>
      <c r="H238" s="149" t="str">
        <f t="shared" si="0"/>
        <v>MIGUEL RODRIGUEZ PÉREZ</v>
      </c>
      <c r="I238" s="149" t="s">
        <v>864</v>
      </c>
      <c r="J238" s="149" t="s">
        <v>455</v>
      </c>
      <c r="K238" s="149" t="s">
        <v>865</v>
      </c>
      <c r="L238" s="157">
        <v>45345</v>
      </c>
      <c r="M238" s="164"/>
      <c r="N238" s="163">
        <v>2</v>
      </c>
      <c r="O238" s="165" t="s">
        <v>466</v>
      </c>
      <c r="P238" s="161">
        <v>4204.09</v>
      </c>
      <c r="Q238" s="168">
        <v>45313</v>
      </c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</row>
    <row r="239" spans="1:27">
      <c r="A239" s="154">
        <v>2</v>
      </c>
      <c r="B239" s="155" t="s">
        <v>695</v>
      </c>
      <c r="C239" s="156">
        <v>45324</v>
      </c>
      <c r="D239" s="155" t="s">
        <v>440</v>
      </c>
      <c r="E239" s="149" t="s">
        <v>115</v>
      </c>
      <c r="F239" s="149" t="s">
        <v>441</v>
      </c>
      <c r="G239" s="149" t="s">
        <v>442</v>
      </c>
      <c r="H239" s="149" t="str">
        <f t="shared" si="0"/>
        <v>PALOMA PINACHO MARTÍNEZ</v>
      </c>
      <c r="I239" s="149" t="s">
        <v>579</v>
      </c>
      <c r="J239" s="153" t="s">
        <v>444</v>
      </c>
      <c r="K239" s="149" t="s">
        <v>866</v>
      </c>
      <c r="L239" s="157">
        <v>45345</v>
      </c>
      <c r="M239" s="158"/>
      <c r="N239" s="163">
        <v>2</v>
      </c>
      <c r="O239" s="165" t="s">
        <v>446</v>
      </c>
      <c r="P239" s="161">
        <v>3604.55</v>
      </c>
      <c r="Q239" s="168">
        <v>45324</v>
      </c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</row>
    <row r="240" spans="1:27">
      <c r="A240" s="154">
        <v>2</v>
      </c>
      <c r="B240" s="155" t="s">
        <v>695</v>
      </c>
      <c r="C240" s="156">
        <v>45303</v>
      </c>
      <c r="D240" s="155" t="s">
        <v>440</v>
      </c>
      <c r="E240" s="149" t="s">
        <v>485</v>
      </c>
      <c r="F240" s="149" t="s">
        <v>441</v>
      </c>
      <c r="G240" s="149" t="s">
        <v>442</v>
      </c>
      <c r="H240" s="149" t="str">
        <f t="shared" si="0"/>
        <v>CARLOS LÓPEZ AZANZA</v>
      </c>
      <c r="I240" s="149" t="s">
        <v>867</v>
      </c>
      <c r="J240" s="153" t="s">
        <v>473</v>
      </c>
      <c r="K240" s="149" t="s">
        <v>868</v>
      </c>
      <c r="L240" s="157">
        <v>45345</v>
      </c>
      <c r="M240" s="158"/>
      <c r="N240" s="163">
        <v>2</v>
      </c>
      <c r="O240" s="165" t="s">
        <v>466</v>
      </c>
      <c r="P240" s="161">
        <v>3977.27</v>
      </c>
      <c r="Q240" s="168">
        <v>45303</v>
      </c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</row>
    <row r="241" spans="1:27">
      <c r="A241" s="154">
        <v>2</v>
      </c>
      <c r="B241" s="155" t="s">
        <v>695</v>
      </c>
      <c r="C241" s="156">
        <v>45321</v>
      </c>
      <c r="D241" s="155" t="s">
        <v>440</v>
      </c>
      <c r="E241" s="149" t="s">
        <v>582</v>
      </c>
      <c r="F241" s="149" t="s">
        <v>441</v>
      </c>
      <c r="G241" s="149" t="s">
        <v>442</v>
      </c>
      <c r="H241" s="149" t="str">
        <f t="shared" si="0"/>
        <v>JOSÉ EUGENIO ESTRADA GROMAZ</v>
      </c>
      <c r="I241" s="149" t="s">
        <v>602</v>
      </c>
      <c r="J241" s="149" t="s">
        <v>516</v>
      </c>
      <c r="K241" s="149" t="s">
        <v>869</v>
      </c>
      <c r="L241" s="157">
        <v>45348</v>
      </c>
      <c r="M241" s="158"/>
      <c r="N241" s="163">
        <v>2</v>
      </c>
      <c r="O241" s="165" t="s">
        <v>446</v>
      </c>
      <c r="P241" s="161">
        <v>3563.64</v>
      </c>
      <c r="Q241" s="162">
        <v>45321</v>
      </c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</row>
    <row r="242" spans="1:27">
      <c r="A242" s="154">
        <v>2</v>
      </c>
      <c r="B242" s="155" t="s">
        <v>695</v>
      </c>
      <c r="C242" s="156">
        <v>45324</v>
      </c>
      <c r="D242" s="155" t="s">
        <v>440</v>
      </c>
      <c r="E242" s="149" t="s">
        <v>308</v>
      </c>
      <c r="F242" s="149" t="s">
        <v>441</v>
      </c>
      <c r="G242" s="149" t="s">
        <v>442</v>
      </c>
      <c r="H242" s="149" t="str">
        <f t="shared" si="0"/>
        <v>JAIME SANABRIA BRASSART</v>
      </c>
      <c r="I242" s="149" t="s">
        <v>479</v>
      </c>
      <c r="J242" s="149" t="s">
        <v>548</v>
      </c>
      <c r="K242" s="149" t="s">
        <v>870</v>
      </c>
      <c r="L242" s="157">
        <v>45348</v>
      </c>
      <c r="M242" s="158"/>
      <c r="N242" s="163">
        <v>2</v>
      </c>
      <c r="O242" s="165" t="s">
        <v>446</v>
      </c>
      <c r="P242" s="161">
        <v>3604.55</v>
      </c>
      <c r="Q242" s="168">
        <v>45324</v>
      </c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</row>
    <row r="243" spans="1:27">
      <c r="A243" s="154">
        <v>2</v>
      </c>
      <c r="B243" s="155" t="s">
        <v>695</v>
      </c>
      <c r="C243" s="156">
        <v>45287</v>
      </c>
      <c r="D243" s="155" t="s">
        <v>440</v>
      </c>
      <c r="E243" s="149" t="s">
        <v>317</v>
      </c>
      <c r="F243" s="149" t="s">
        <v>441</v>
      </c>
      <c r="G243" s="149" t="s">
        <v>442</v>
      </c>
      <c r="H243" s="149" t="str">
        <f t="shared" si="0"/>
        <v>OSCAR ALEMÁN LÓPEZ</v>
      </c>
      <c r="I243" s="149" t="s">
        <v>497</v>
      </c>
      <c r="J243" s="153" t="s">
        <v>462</v>
      </c>
      <c r="K243" s="149" t="s">
        <v>871</v>
      </c>
      <c r="L243" s="157">
        <v>45348</v>
      </c>
      <c r="M243" s="164"/>
      <c r="N243" s="163">
        <v>2</v>
      </c>
      <c r="O243" s="165" t="s">
        <v>513</v>
      </c>
      <c r="P243" s="161">
        <v>4704.55</v>
      </c>
      <c r="Q243" s="168">
        <v>45287</v>
      </c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</row>
    <row r="244" spans="1:27">
      <c r="A244" s="154">
        <v>2</v>
      </c>
      <c r="B244" s="155" t="s">
        <v>695</v>
      </c>
      <c r="C244" s="156">
        <v>45307</v>
      </c>
      <c r="D244" s="155" t="s">
        <v>440</v>
      </c>
      <c r="E244" s="149" t="s">
        <v>310</v>
      </c>
      <c r="F244" s="149" t="s">
        <v>441</v>
      </c>
      <c r="G244" s="149" t="s">
        <v>442</v>
      </c>
      <c r="H244" s="149" t="str">
        <f t="shared" si="0"/>
        <v>EVIANS GÓMEZ DE LA ROSA</v>
      </c>
      <c r="I244" s="149" t="s">
        <v>794</v>
      </c>
      <c r="J244" s="153" t="s">
        <v>532</v>
      </c>
      <c r="K244" s="149" t="s">
        <v>872</v>
      </c>
      <c r="L244" s="157">
        <v>45348</v>
      </c>
      <c r="M244" s="158"/>
      <c r="N244" s="163">
        <v>2</v>
      </c>
      <c r="O244" s="165" t="s">
        <v>449</v>
      </c>
      <c r="P244" s="161">
        <v>2641.86</v>
      </c>
      <c r="Q244" s="168">
        <v>45307</v>
      </c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</row>
    <row r="245" spans="1:27">
      <c r="A245" s="154">
        <v>2</v>
      </c>
      <c r="B245" s="155" t="s">
        <v>695</v>
      </c>
      <c r="C245" s="156">
        <v>45334</v>
      </c>
      <c r="D245" s="155" t="s">
        <v>440</v>
      </c>
      <c r="E245" s="149" t="s">
        <v>514</v>
      </c>
      <c r="F245" s="149" t="s">
        <v>441</v>
      </c>
      <c r="G245" s="149" t="s">
        <v>442</v>
      </c>
      <c r="H245" s="149" t="str">
        <f t="shared" si="0"/>
        <v>CARLOS VIDAL REDONDO</v>
      </c>
      <c r="I245" s="149" t="s">
        <v>554</v>
      </c>
      <c r="J245" s="149" t="s">
        <v>516</v>
      </c>
      <c r="K245" s="149" t="s">
        <v>873</v>
      </c>
      <c r="L245" s="157">
        <v>45348</v>
      </c>
      <c r="M245" s="158"/>
      <c r="N245" s="163">
        <v>2</v>
      </c>
      <c r="O245" s="165" t="s">
        <v>518</v>
      </c>
      <c r="P245" s="161">
        <v>2627.27</v>
      </c>
      <c r="Q245" s="168">
        <v>45334</v>
      </c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</row>
    <row r="246" spans="1:27">
      <c r="A246" s="154">
        <v>2</v>
      </c>
      <c r="B246" s="155" t="s">
        <v>695</v>
      </c>
      <c r="C246" s="156">
        <v>45308</v>
      </c>
      <c r="D246" s="155" t="s">
        <v>440</v>
      </c>
      <c r="E246" s="160" t="s">
        <v>145</v>
      </c>
      <c r="F246" s="160" t="s">
        <v>441</v>
      </c>
      <c r="G246" s="160" t="s">
        <v>442</v>
      </c>
      <c r="H246" s="149" t="str">
        <f t="shared" si="0"/>
        <v>JESUS-MARIA GRASA PÉREZ</v>
      </c>
      <c r="I246" s="149" t="s">
        <v>591</v>
      </c>
      <c r="J246" s="153" t="s">
        <v>532</v>
      </c>
      <c r="K246" s="160" t="s">
        <v>874</v>
      </c>
      <c r="L246" s="157">
        <v>45348</v>
      </c>
      <c r="M246" s="164"/>
      <c r="N246" s="163">
        <v>2</v>
      </c>
      <c r="O246" s="165" t="s">
        <v>466</v>
      </c>
      <c r="P246" s="161">
        <v>4222.38</v>
      </c>
      <c r="Q246" s="168">
        <v>45308</v>
      </c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</row>
    <row r="247" spans="1:27">
      <c r="A247" s="154">
        <v>2</v>
      </c>
      <c r="B247" s="155" t="s">
        <v>695</v>
      </c>
      <c r="C247" s="156">
        <v>45327</v>
      </c>
      <c r="D247" s="155" t="s">
        <v>440</v>
      </c>
      <c r="E247" s="160" t="s">
        <v>315</v>
      </c>
      <c r="F247" s="160" t="s">
        <v>441</v>
      </c>
      <c r="G247" s="160" t="s">
        <v>442</v>
      </c>
      <c r="H247" s="149" t="str">
        <f t="shared" si="0"/>
        <v>JOSÉ GUSTAVO BARROSO BRAOJOS</v>
      </c>
      <c r="I247" s="149" t="s">
        <v>560</v>
      </c>
      <c r="J247" s="153" t="s">
        <v>444</v>
      </c>
      <c r="K247" s="160" t="s">
        <v>875</v>
      </c>
      <c r="L247" s="157">
        <v>45348</v>
      </c>
      <c r="M247" s="158"/>
      <c r="N247" s="163">
        <v>2</v>
      </c>
      <c r="O247" s="165" t="s">
        <v>446</v>
      </c>
      <c r="P247" s="161">
        <v>2515.4499999999998</v>
      </c>
      <c r="Q247" s="168">
        <v>45327</v>
      </c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</row>
    <row r="248" spans="1:27">
      <c r="A248" s="154">
        <v>2</v>
      </c>
      <c r="B248" s="155" t="s">
        <v>695</v>
      </c>
      <c r="C248" s="156">
        <v>45317</v>
      </c>
      <c r="D248" s="155" t="s">
        <v>440</v>
      </c>
      <c r="E248" s="160" t="s">
        <v>271</v>
      </c>
      <c r="F248" s="160" t="s">
        <v>441</v>
      </c>
      <c r="G248" s="160" t="s">
        <v>442</v>
      </c>
      <c r="H248" s="149" t="str">
        <f t="shared" si="0"/>
        <v>ANTONIO BUENO RÍOS</v>
      </c>
      <c r="I248" s="149" t="s">
        <v>519</v>
      </c>
      <c r="J248" s="153" t="s">
        <v>548</v>
      </c>
      <c r="K248" s="160" t="s">
        <v>876</v>
      </c>
      <c r="L248" s="157">
        <v>45348</v>
      </c>
      <c r="M248" s="158"/>
      <c r="N248" s="163">
        <v>2</v>
      </c>
      <c r="O248" s="165" t="s">
        <v>446</v>
      </c>
      <c r="P248" s="161">
        <v>3424.33</v>
      </c>
      <c r="Q248" s="168">
        <v>45317</v>
      </c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</row>
    <row r="249" spans="1:27">
      <c r="A249" s="154">
        <v>2</v>
      </c>
      <c r="B249" s="155" t="s">
        <v>695</v>
      </c>
      <c r="C249" s="156">
        <v>45320</v>
      </c>
      <c r="D249" s="155" t="s">
        <v>440</v>
      </c>
      <c r="E249" s="149" t="s">
        <v>618</v>
      </c>
      <c r="F249" s="149" t="s">
        <v>441</v>
      </c>
      <c r="G249" s="149" t="s">
        <v>442</v>
      </c>
      <c r="H249" s="149" t="str">
        <f t="shared" si="0"/>
        <v>RAÚL RUBIO YANGÜAS</v>
      </c>
      <c r="I249" s="149" t="s">
        <v>877</v>
      </c>
      <c r="J249" s="153" t="s">
        <v>444</v>
      </c>
      <c r="K249" s="149" t="s">
        <v>878</v>
      </c>
      <c r="L249" s="157">
        <v>45348</v>
      </c>
      <c r="M249" s="158"/>
      <c r="N249" s="163">
        <v>2</v>
      </c>
      <c r="O249" s="165" t="s">
        <v>446</v>
      </c>
      <c r="P249" s="161">
        <v>3409.09</v>
      </c>
      <c r="Q249" s="168">
        <v>45320</v>
      </c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</row>
    <row r="250" spans="1:27">
      <c r="A250" s="154">
        <v>2</v>
      </c>
      <c r="B250" s="155" t="s">
        <v>695</v>
      </c>
      <c r="C250" s="156">
        <v>45320</v>
      </c>
      <c r="D250" s="155" t="s">
        <v>440</v>
      </c>
      <c r="E250" s="149" t="s">
        <v>618</v>
      </c>
      <c r="F250" s="149" t="s">
        <v>441</v>
      </c>
      <c r="G250" s="149" t="s">
        <v>442</v>
      </c>
      <c r="H250" s="149" t="str">
        <f t="shared" si="0"/>
        <v>RAÚL RUBIO YANGÜAS</v>
      </c>
      <c r="I250" s="149" t="s">
        <v>877</v>
      </c>
      <c r="J250" s="153" t="s">
        <v>444</v>
      </c>
      <c r="K250" s="149" t="s">
        <v>879</v>
      </c>
      <c r="L250" s="157">
        <v>45348</v>
      </c>
      <c r="M250" s="158"/>
      <c r="N250" s="163">
        <v>2</v>
      </c>
      <c r="O250" s="165" t="s">
        <v>446</v>
      </c>
      <c r="P250" s="161">
        <v>3409.09</v>
      </c>
      <c r="Q250" s="168">
        <v>45320</v>
      </c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</row>
    <row r="251" spans="1:27">
      <c r="A251" s="154">
        <v>2</v>
      </c>
      <c r="B251" s="155" t="s">
        <v>695</v>
      </c>
      <c r="C251" s="156">
        <v>45338</v>
      </c>
      <c r="D251" s="155" t="s">
        <v>440</v>
      </c>
      <c r="E251" s="149" t="s">
        <v>618</v>
      </c>
      <c r="F251" s="149" t="s">
        <v>441</v>
      </c>
      <c r="G251" s="149" t="s">
        <v>442</v>
      </c>
      <c r="H251" s="149" t="str">
        <f t="shared" si="0"/>
        <v>ANTONIO BUENO RÍOS</v>
      </c>
      <c r="I251" s="149" t="s">
        <v>519</v>
      </c>
      <c r="J251" s="153" t="s">
        <v>548</v>
      </c>
      <c r="K251" s="149" t="s">
        <v>880</v>
      </c>
      <c r="L251" s="157">
        <v>45348</v>
      </c>
      <c r="M251" s="158"/>
      <c r="N251" s="163">
        <v>2</v>
      </c>
      <c r="O251" s="165" t="s">
        <v>446</v>
      </c>
      <c r="P251" s="161">
        <v>3604.55</v>
      </c>
      <c r="Q251" s="168">
        <v>45338</v>
      </c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</row>
    <row r="252" spans="1:27">
      <c r="A252" s="154">
        <v>2</v>
      </c>
      <c r="B252" s="155" t="s">
        <v>695</v>
      </c>
      <c r="C252" s="156">
        <v>45313</v>
      </c>
      <c r="D252" s="155" t="s">
        <v>440</v>
      </c>
      <c r="E252" s="149" t="s">
        <v>115</v>
      </c>
      <c r="F252" s="149" t="s">
        <v>441</v>
      </c>
      <c r="G252" s="149" t="s">
        <v>442</v>
      </c>
      <c r="H252" s="149" t="str">
        <f t="shared" si="0"/>
        <v>JAVIER OLARIETA SOTO</v>
      </c>
      <c r="I252" s="149" t="s">
        <v>881</v>
      </c>
      <c r="J252" s="153" t="s">
        <v>444</v>
      </c>
      <c r="K252" s="149" t="s">
        <v>882</v>
      </c>
      <c r="L252" s="157">
        <v>45348</v>
      </c>
      <c r="M252" s="164"/>
      <c r="N252" s="163">
        <v>2</v>
      </c>
      <c r="O252" s="165" t="s">
        <v>446</v>
      </c>
      <c r="P252" s="161">
        <v>3604.55</v>
      </c>
      <c r="Q252" s="168">
        <v>45313</v>
      </c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</row>
    <row r="253" spans="1:27">
      <c r="A253" s="154">
        <v>2</v>
      </c>
      <c r="B253" s="155" t="s">
        <v>695</v>
      </c>
      <c r="C253" s="156">
        <v>45334</v>
      </c>
      <c r="D253" s="155" t="s">
        <v>440</v>
      </c>
      <c r="E253" s="149" t="s">
        <v>311</v>
      </c>
      <c r="F253" s="149" t="s">
        <v>441</v>
      </c>
      <c r="G253" s="149" t="s">
        <v>442</v>
      </c>
      <c r="H253" s="149" t="str">
        <f t="shared" si="0"/>
        <v>PALOMA MARTÍN- ARAGÓN MARTIÍ</v>
      </c>
      <c r="I253" s="149" t="s">
        <v>643</v>
      </c>
      <c r="J253" s="153" t="s">
        <v>444</v>
      </c>
      <c r="K253" s="149" t="s">
        <v>883</v>
      </c>
      <c r="L253" s="157">
        <v>45349</v>
      </c>
      <c r="M253" s="158"/>
      <c r="N253" s="163">
        <v>2</v>
      </c>
      <c r="O253" s="165" t="s">
        <v>446</v>
      </c>
      <c r="P253" s="161">
        <v>3604.55</v>
      </c>
      <c r="Q253" s="168">
        <v>45334</v>
      </c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</row>
    <row r="254" spans="1:27">
      <c r="A254" s="154">
        <v>2</v>
      </c>
      <c r="B254" s="155" t="s">
        <v>695</v>
      </c>
      <c r="C254" s="156">
        <v>45320</v>
      </c>
      <c r="D254" s="155" t="s">
        <v>440</v>
      </c>
      <c r="E254" s="149" t="s">
        <v>311</v>
      </c>
      <c r="F254" s="149" t="s">
        <v>441</v>
      </c>
      <c r="G254" s="149" t="s">
        <v>442</v>
      </c>
      <c r="H254" s="149" t="str">
        <f t="shared" si="0"/>
        <v>MARÍA TERESA HERRERA MERA</v>
      </c>
      <c r="I254" s="149" t="s">
        <v>564</v>
      </c>
      <c r="J254" s="153" t="s">
        <v>444</v>
      </c>
      <c r="K254" s="149" t="s">
        <v>884</v>
      </c>
      <c r="L254" s="157">
        <v>45349</v>
      </c>
      <c r="M254" s="158"/>
      <c r="N254" s="163">
        <v>2</v>
      </c>
      <c r="O254" s="165" t="s">
        <v>446</v>
      </c>
      <c r="P254" s="161">
        <v>3604.55</v>
      </c>
      <c r="Q254" s="168">
        <v>45320</v>
      </c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</row>
    <row r="255" spans="1:27">
      <c r="A255" s="154">
        <v>2</v>
      </c>
      <c r="B255" s="155" t="s">
        <v>695</v>
      </c>
      <c r="C255" s="156">
        <v>45287</v>
      </c>
      <c r="D255" s="155" t="s">
        <v>440</v>
      </c>
      <c r="E255" s="160" t="s">
        <v>311</v>
      </c>
      <c r="F255" s="160" t="s">
        <v>441</v>
      </c>
      <c r="G255" s="160" t="s">
        <v>442</v>
      </c>
      <c r="H255" s="149" t="str">
        <f t="shared" si="0"/>
        <v>MARÍA TERESA HERRERA MERA</v>
      </c>
      <c r="I255" s="149" t="s">
        <v>564</v>
      </c>
      <c r="J255" s="153" t="s">
        <v>444</v>
      </c>
      <c r="K255" s="160" t="s">
        <v>885</v>
      </c>
      <c r="L255" s="157">
        <v>45349</v>
      </c>
      <c r="M255" s="158"/>
      <c r="N255" s="163">
        <v>1</v>
      </c>
      <c r="O255" s="165" t="s">
        <v>446</v>
      </c>
      <c r="P255" s="161">
        <v>2162.73</v>
      </c>
      <c r="Q255" s="168">
        <v>45287</v>
      </c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</row>
    <row r="256" spans="1:27">
      <c r="A256" s="154">
        <v>2</v>
      </c>
      <c r="B256" s="155" t="s">
        <v>695</v>
      </c>
      <c r="C256" s="156">
        <v>45299</v>
      </c>
      <c r="D256" s="155" t="s">
        <v>440</v>
      </c>
      <c r="E256" s="149" t="s">
        <v>501</v>
      </c>
      <c r="F256" s="149" t="s">
        <v>441</v>
      </c>
      <c r="G256" s="149" t="s">
        <v>442</v>
      </c>
      <c r="H256" s="149" t="str">
        <f t="shared" si="0"/>
        <v>FERNANDO SALAZAR BARCELONA</v>
      </c>
      <c r="I256" s="149" t="s">
        <v>502</v>
      </c>
      <c r="J256" s="153" t="s">
        <v>548</v>
      </c>
      <c r="K256" s="149" t="s">
        <v>886</v>
      </c>
      <c r="L256" s="157">
        <v>45349</v>
      </c>
      <c r="M256" s="158"/>
      <c r="N256" s="163">
        <v>2</v>
      </c>
      <c r="O256" s="165" t="s">
        <v>446</v>
      </c>
      <c r="P256" s="161">
        <v>3090.91</v>
      </c>
      <c r="Q256" s="168">
        <v>45299</v>
      </c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</row>
    <row r="257" spans="1:27">
      <c r="A257" s="154">
        <v>2</v>
      </c>
      <c r="B257" s="155" t="s">
        <v>695</v>
      </c>
      <c r="C257" s="156">
        <v>45308</v>
      </c>
      <c r="D257" s="155" t="s">
        <v>440</v>
      </c>
      <c r="E257" s="149" t="s">
        <v>158</v>
      </c>
      <c r="F257" s="149" t="s">
        <v>441</v>
      </c>
      <c r="G257" s="149" t="s">
        <v>442</v>
      </c>
      <c r="H257" s="149" t="str">
        <f t="shared" ref="H257:H511" si="1">TRIM(SUBSTITUTE(SUBSTITUTE(SUBSTITUTE(SUBSTITUTE(I257,"DR. ",""),"DRA. ",""),"DR ",""),"DRA ",""))</f>
        <v>JAVIER GARCÍA DOMÍNGUEZ</v>
      </c>
      <c r="I257" s="149" t="s">
        <v>607</v>
      </c>
      <c r="J257" s="149" t="s">
        <v>444</v>
      </c>
      <c r="K257" s="149" t="s">
        <v>887</v>
      </c>
      <c r="L257" s="157">
        <v>45349</v>
      </c>
      <c r="M257" s="158"/>
      <c r="N257" s="163">
        <v>2</v>
      </c>
      <c r="O257" s="165" t="s">
        <v>446</v>
      </c>
      <c r="P257" s="161">
        <v>3424.32</v>
      </c>
      <c r="Q257" s="168">
        <v>45308</v>
      </c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</row>
    <row r="258" spans="1:27">
      <c r="A258" s="154">
        <v>2</v>
      </c>
      <c r="B258" s="155" t="s">
        <v>695</v>
      </c>
      <c r="C258" s="156">
        <v>45240</v>
      </c>
      <c r="D258" s="155" t="s">
        <v>440</v>
      </c>
      <c r="E258" s="149" t="s">
        <v>618</v>
      </c>
      <c r="F258" s="149" t="s">
        <v>441</v>
      </c>
      <c r="G258" s="149" t="s">
        <v>442</v>
      </c>
      <c r="H258" s="149" t="str">
        <f t="shared" si="1"/>
        <v>IGNACIO SIERRA ARBIDE</v>
      </c>
      <c r="I258" s="149" t="s">
        <v>888</v>
      </c>
      <c r="J258" s="153" t="s">
        <v>477</v>
      </c>
      <c r="K258" s="149" t="s">
        <v>889</v>
      </c>
      <c r="L258" s="157">
        <v>45349</v>
      </c>
      <c r="M258" s="158"/>
      <c r="N258" s="163">
        <v>1</v>
      </c>
      <c r="O258" s="165" t="s">
        <v>449</v>
      </c>
      <c r="P258" s="161">
        <v>1636.36</v>
      </c>
      <c r="Q258" s="168">
        <v>45240</v>
      </c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</row>
    <row r="259" spans="1:27">
      <c r="A259" s="154">
        <v>2</v>
      </c>
      <c r="B259" s="155" t="s">
        <v>695</v>
      </c>
      <c r="C259" s="156">
        <v>45302</v>
      </c>
      <c r="D259" s="155" t="s">
        <v>440</v>
      </c>
      <c r="E259" s="149" t="s">
        <v>314</v>
      </c>
      <c r="F259" s="149" t="s">
        <v>441</v>
      </c>
      <c r="G259" s="149" t="s">
        <v>442</v>
      </c>
      <c r="H259" s="149" t="str">
        <f t="shared" si="1"/>
        <v>JOAQUÍN ALACIO CASERO</v>
      </c>
      <c r="I259" s="149" t="s">
        <v>651</v>
      </c>
      <c r="J259" s="153" t="s">
        <v>444</v>
      </c>
      <c r="K259" s="149" t="s">
        <v>890</v>
      </c>
      <c r="L259" s="157">
        <v>45349</v>
      </c>
      <c r="M259" s="158"/>
      <c r="N259" s="163">
        <v>2</v>
      </c>
      <c r="O259" s="165" t="s">
        <v>446</v>
      </c>
      <c r="P259" s="161">
        <v>2799.09</v>
      </c>
      <c r="Q259" s="168">
        <v>45302</v>
      </c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</row>
    <row r="260" spans="1:27">
      <c r="A260" s="154">
        <v>2</v>
      </c>
      <c r="B260" s="155" t="s">
        <v>695</v>
      </c>
      <c r="C260" s="156">
        <v>45313</v>
      </c>
      <c r="D260" s="155" t="s">
        <v>440</v>
      </c>
      <c r="E260" s="149" t="s">
        <v>102</v>
      </c>
      <c r="F260" s="149" t="s">
        <v>441</v>
      </c>
      <c r="G260" s="149" t="s">
        <v>442</v>
      </c>
      <c r="H260" s="149" t="str">
        <f t="shared" si="1"/>
        <v>JUAN JAVIER ÁLVAREZ LÓPEZ</v>
      </c>
      <c r="I260" s="149" t="s">
        <v>664</v>
      </c>
      <c r="J260" s="153" t="s">
        <v>462</v>
      </c>
      <c r="K260" s="149" t="s">
        <v>891</v>
      </c>
      <c r="L260" s="157">
        <v>45349</v>
      </c>
      <c r="M260" s="158"/>
      <c r="N260" s="163">
        <v>2</v>
      </c>
      <c r="O260" s="165" t="s">
        <v>449</v>
      </c>
      <c r="P260" s="161">
        <v>2780.91</v>
      </c>
      <c r="Q260" s="168">
        <v>45313</v>
      </c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</row>
    <row r="261" spans="1:27">
      <c r="A261" s="154">
        <v>2</v>
      </c>
      <c r="B261" s="155" t="s">
        <v>695</v>
      </c>
      <c r="C261" s="156">
        <v>45330</v>
      </c>
      <c r="D261" s="155" t="s">
        <v>440</v>
      </c>
      <c r="E261" s="149" t="s">
        <v>190</v>
      </c>
      <c r="F261" s="149" t="s">
        <v>441</v>
      </c>
      <c r="G261" s="149" t="s">
        <v>442</v>
      </c>
      <c r="H261" s="149" t="str">
        <f t="shared" si="1"/>
        <v>ANTONIO GALINDO FERNÁNDEZ</v>
      </c>
      <c r="I261" s="149" t="s">
        <v>892</v>
      </c>
      <c r="J261" s="153" t="s">
        <v>462</v>
      </c>
      <c r="K261" s="149" t="s">
        <v>893</v>
      </c>
      <c r="L261" s="157">
        <v>45349</v>
      </c>
      <c r="M261" s="158"/>
      <c r="N261" s="163">
        <v>1</v>
      </c>
      <c r="O261" s="165" t="s">
        <v>446</v>
      </c>
      <c r="P261" s="161">
        <v>2227.27</v>
      </c>
      <c r="Q261" s="168">
        <v>45330</v>
      </c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</row>
    <row r="262" spans="1:27">
      <c r="A262" s="154">
        <v>2</v>
      </c>
      <c r="B262" s="155" t="s">
        <v>695</v>
      </c>
      <c r="C262" s="156">
        <v>45320</v>
      </c>
      <c r="D262" s="155" t="s">
        <v>440</v>
      </c>
      <c r="E262" s="149" t="s">
        <v>239</v>
      </c>
      <c r="F262" s="149" t="s">
        <v>441</v>
      </c>
      <c r="G262" s="149" t="s">
        <v>442</v>
      </c>
      <c r="H262" s="149" t="str">
        <f t="shared" si="1"/>
        <v>FRANCISCO ANTONIO PÉREZ FERNÁNDEZ</v>
      </c>
      <c r="I262" s="149" t="s">
        <v>542</v>
      </c>
      <c r="J262" s="153" t="s">
        <v>455</v>
      </c>
      <c r="K262" s="149" t="s">
        <v>894</v>
      </c>
      <c r="L262" s="157">
        <v>45349</v>
      </c>
      <c r="M262" s="164"/>
      <c r="N262" s="163">
        <v>1</v>
      </c>
      <c r="O262" s="165" t="s">
        <v>449</v>
      </c>
      <c r="P262" s="161">
        <v>1759.09</v>
      </c>
      <c r="Q262" s="168">
        <v>45320</v>
      </c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</row>
    <row r="263" spans="1:27">
      <c r="A263" s="154">
        <v>2</v>
      </c>
      <c r="B263" s="155" t="s">
        <v>695</v>
      </c>
      <c r="C263" s="156">
        <v>45295</v>
      </c>
      <c r="D263" s="155" t="s">
        <v>440</v>
      </c>
      <c r="E263" s="149" t="s">
        <v>525</v>
      </c>
      <c r="F263" s="149" t="s">
        <v>441</v>
      </c>
      <c r="G263" s="149" t="s">
        <v>442</v>
      </c>
      <c r="H263" s="149" t="str">
        <f t="shared" si="1"/>
        <v>ADELA PÉREZ-CARO RÍOS</v>
      </c>
      <c r="I263" s="149" t="s">
        <v>895</v>
      </c>
      <c r="J263" s="153" t="s">
        <v>516</v>
      </c>
      <c r="K263" s="149" t="s">
        <v>896</v>
      </c>
      <c r="L263" s="157">
        <v>45349</v>
      </c>
      <c r="M263" s="158"/>
      <c r="N263" s="163">
        <v>2</v>
      </c>
      <c r="O263" s="165" t="s">
        <v>449</v>
      </c>
      <c r="P263" s="161">
        <v>3000</v>
      </c>
      <c r="Q263" s="168">
        <v>45295</v>
      </c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</row>
    <row r="264" spans="1:27">
      <c r="A264" s="154">
        <v>2</v>
      </c>
      <c r="B264" s="155" t="s">
        <v>695</v>
      </c>
      <c r="C264" s="156">
        <v>45308</v>
      </c>
      <c r="D264" s="155" t="s">
        <v>440</v>
      </c>
      <c r="E264" s="149" t="s">
        <v>317</v>
      </c>
      <c r="F264" s="149" t="s">
        <v>441</v>
      </c>
      <c r="G264" s="149" t="s">
        <v>442</v>
      </c>
      <c r="H264" s="149" t="str">
        <f t="shared" si="1"/>
        <v>MÓNICA RODRÍGUEZ</v>
      </c>
      <c r="I264" s="149" t="s">
        <v>897</v>
      </c>
      <c r="J264" s="153" t="s">
        <v>462</v>
      </c>
      <c r="K264" s="149" t="s">
        <v>898</v>
      </c>
      <c r="L264" s="157">
        <v>45350</v>
      </c>
      <c r="M264" s="158"/>
      <c r="N264" s="159">
        <v>2</v>
      </c>
      <c r="O264" s="165" t="s">
        <v>449</v>
      </c>
      <c r="P264" s="161">
        <v>2781.82</v>
      </c>
      <c r="Q264" s="168">
        <v>45308</v>
      </c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</row>
    <row r="265" spans="1:27">
      <c r="A265" s="154">
        <v>2</v>
      </c>
      <c r="B265" s="155" t="s">
        <v>695</v>
      </c>
      <c r="C265" s="156">
        <v>45313</v>
      </c>
      <c r="D265" s="155" t="s">
        <v>440</v>
      </c>
      <c r="E265" s="149" t="s">
        <v>317</v>
      </c>
      <c r="F265" s="149" t="s">
        <v>441</v>
      </c>
      <c r="G265" s="149" t="s">
        <v>442</v>
      </c>
      <c r="H265" s="149" t="str">
        <f t="shared" si="1"/>
        <v>CRISTINA MUÑOZ PINTO</v>
      </c>
      <c r="I265" s="149" t="s">
        <v>899</v>
      </c>
      <c r="J265" s="149" t="s">
        <v>462</v>
      </c>
      <c r="K265" s="149" t="s">
        <v>900</v>
      </c>
      <c r="L265" s="157">
        <v>45350</v>
      </c>
      <c r="M265" s="158"/>
      <c r="N265" s="163">
        <v>2</v>
      </c>
      <c r="O265" s="165" t="s">
        <v>446</v>
      </c>
      <c r="P265" s="161">
        <v>2781.82</v>
      </c>
      <c r="Q265" s="168">
        <v>45313</v>
      </c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</row>
    <row r="266" spans="1:27">
      <c r="A266" s="154">
        <v>2</v>
      </c>
      <c r="B266" s="155" t="s">
        <v>695</v>
      </c>
      <c r="C266" s="156">
        <v>45310</v>
      </c>
      <c r="D266" s="155" t="s">
        <v>440</v>
      </c>
      <c r="E266" s="149" t="s">
        <v>311</v>
      </c>
      <c r="F266" s="149" t="s">
        <v>441</v>
      </c>
      <c r="G266" s="149" t="s">
        <v>442</v>
      </c>
      <c r="H266" s="149" t="str">
        <f t="shared" si="1"/>
        <v>VICTORIA GARCÍA PECES</v>
      </c>
      <c r="I266" s="149" t="s">
        <v>488</v>
      </c>
      <c r="J266" s="153" t="s">
        <v>444</v>
      </c>
      <c r="K266" s="149" t="s">
        <v>901</v>
      </c>
      <c r="L266" s="157">
        <v>45350</v>
      </c>
      <c r="M266" s="158"/>
      <c r="N266" s="163">
        <v>2</v>
      </c>
      <c r="O266" s="165" t="s">
        <v>449</v>
      </c>
      <c r="P266" s="161">
        <v>2781.73</v>
      </c>
      <c r="Q266" s="168">
        <v>45310</v>
      </c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</row>
    <row r="267" spans="1:27">
      <c r="A267" s="154">
        <v>2</v>
      </c>
      <c r="B267" s="155" t="s">
        <v>695</v>
      </c>
      <c r="C267" s="156">
        <v>45322</v>
      </c>
      <c r="D267" s="155" t="s">
        <v>440</v>
      </c>
      <c r="E267" s="160" t="s">
        <v>109</v>
      </c>
      <c r="F267" s="160" t="s">
        <v>441</v>
      </c>
      <c r="G267" s="160" t="s">
        <v>442</v>
      </c>
      <c r="H267" s="149" t="str">
        <f t="shared" si="1"/>
        <v>JONATHAN ESTEBAN SÁNCHEZ</v>
      </c>
      <c r="I267" s="149" t="s">
        <v>902</v>
      </c>
      <c r="J267" s="153" t="s">
        <v>444</v>
      </c>
      <c r="K267" s="160" t="s">
        <v>903</v>
      </c>
      <c r="L267" s="157">
        <v>45350</v>
      </c>
      <c r="M267" s="158"/>
      <c r="N267" s="163">
        <v>2</v>
      </c>
      <c r="O267" s="165" t="s">
        <v>449</v>
      </c>
      <c r="P267" s="161">
        <v>2780.87</v>
      </c>
      <c r="Q267" s="168">
        <v>45322</v>
      </c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</row>
    <row r="268" spans="1:27">
      <c r="A268" s="154">
        <v>2</v>
      </c>
      <c r="B268" s="155" t="s">
        <v>695</v>
      </c>
      <c r="C268" s="156">
        <v>45287</v>
      </c>
      <c r="D268" s="155" t="s">
        <v>440</v>
      </c>
      <c r="E268" s="149" t="s">
        <v>109</v>
      </c>
      <c r="F268" s="149" t="s">
        <v>441</v>
      </c>
      <c r="G268" s="149" t="s">
        <v>442</v>
      </c>
      <c r="H268" s="149" t="str">
        <f t="shared" si="1"/>
        <v>ITZIAR ÁLVAREZ PALACIOS</v>
      </c>
      <c r="I268" s="149" t="s">
        <v>734</v>
      </c>
      <c r="J268" s="153" t="s">
        <v>444</v>
      </c>
      <c r="K268" s="149" t="s">
        <v>904</v>
      </c>
      <c r="L268" s="157">
        <v>45350</v>
      </c>
      <c r="M268" s="158"/>
      <c r="N268" s="163">
        <v>2</v>
      </c>
      <c r="O268" s="165" t="s">
        <v>449</v>
      </c>
      <c r="P268" s="161">
        <v>2780.91</v>
      </c>
      <c r="Q268" s="168">
        <v>45287</v>
      </c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</row>
    <row r="269" spans="1:27">
      <c r="A269" s="154">
        <v>2</v>
      </c>
      <c r="B269" s="155" t="s">
        <v>695</v>
      </c>
      <c r="C269" s="156">
        <v>45317</v>
      </c>
      <c r="D269" s="155" t="s">
        <v>440</v>
      </c>
      <c r="E269" s="149" t="s">
        <v>109</v>
      </c>
      <c r="F269" s="149" t="s">
        <v>441</v>
      </c>
      <c r="G269" s="149" t="s">
        <v>442</v>
      </c>
      <c r="H269" s="149" t="str">
        <f t="shared" si="1"/>
        <v>MARÍA GARROTE GARROTE</v>
      </c>
      <c r="I269" s="149" t="s">
        <v>447</v>
      </c>
      <c r="J269" s="153" t="s">
        <v>444</v>
      </c>
      <c r="K269" s="149" t="s">
        <v>905</v>
      </c>
      <c r="L269" s="157">
        <v>45350</v>
      </c>
      <c r="M269" s="158"/>
      <c r="N269" s="163">
        <v>2</v>
      </c>
      <c r="O269" s="165" t="s">
        <v>449</v>
      </c>
      <c r="P269" s="161">
        <v>2780.91</v>
      </c>
      <c r="Q269" s="168">
        <v>45317</v>
      </c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</row>
    <row r="270" spans="1:27">
      <c r="A270" s="154">
        <v>2</v>
      </c>
      <c r="B270" s="155" t="s">
        <v>695</v>
      </c>
      <c r="C270" s="156">
        <v>45323</v>
      </c>
      <c r="D270" s="155" t="s">
        <v>440</v>
      </c>
      <c r="E270" s="149" t="s">
        <v>122</v>
      </c>
      <c r="F270" s="149" t="s">
        <v>441</v>
      </c>
      <c r="G270" s="149" t="s">
        <v>442</v>
      </c>
      <c r="H270" s="149" t="str">
        <f t="shared" si="1"/>
        <v>SERGIO Zaragoza GUIJO</v>
      </c>
      <c r="I270" s="149" t="s">
        <v>906</v>
      </c>
      <c r="J270" s="153" t="s">
        <v>444</v>
      </c>
      <c r="K270" s="149" t="s">
        <v>907</v>
      </c>
      <c r="L270" s="157">
        <v>45350</v>
      </c>
      <c r="M270" s="158"/>
      <c r="N270" s="163">
        <v>2</v>
      </c>
      <c r="O270" s="165" t="s">
        <v>449</v>
      </c>
      <c r="P270" s="161">
        <v>2780.77</v>
      </c>
      <c r="Q270" s="168">
        <v>45323</v>
      </c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</row>
    <row r="271" spans="1:27">
      <c r="A271" s="154">
        <v>2</v>
      </c>
      <c r="B271" s="155" t="s">
        <v>695</v>
      </c>
      <c r="C271" s="156">
        <v>45286</v>
      </c>
      <c r="D271" s="155" t="s">
        <v>440</v>
      </c>
      <c r="E271" s="160" t="s">
        <v>122</v>
      </c>
      <c r="F271" s="160" t="s">
        <v>441</v>
      </c>
      <c r="G271" s="160" t="s">
        <v>442</v>
      </c>
      <c r="H271" s="149" t="str">
        <f t="shared" si="1"/>
        <v>VICENTE MARTÍNEZ SANTOS</v>
      </c>
      <c r="I271" s="149" t="s">
        <v>558</v>
      </c>
      <c r="J271" s="153" t="s">
        <v>444</v>
      </c>
      <c r="K271" s="160" t="s">
        <v>908</v>
      </c>
      <c r="L271" s="157">
        <v>45350</v>
      </c>
      <c r="M271" s="158"/>
      <c r="N271" s="163">
        <v>2</v>
      </c>
      <c r="O271" s="165" t="s">
        <v>446</v>
      </c>
      <c r="P271" s="161">
        <v>3604.55</v>
      </c>
      <c r="Q271" s="168">
        <v>45286</v>
      </c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</row>
    <row r="272" spans="1:27">
      <c r="A272" s="154">
        <v>2</v>
      </c>
      <c r="B272" s="155" t="s">
        <v>695</v>
      </c>
      <c r="C272" s="156">
        <v>45330</v>
      </c>
      <c r="D272" s="155" t="s">
        <v>440</v>
      </c>
      <c r="E272" s="149" t="s">
        <v>122</v>
      </c>
      <c r="F272" s="149" t="s">
        <v>441</v>
      </c>
      <c r="G272" s="149" t="s">
        <v>442</v>
      </c>
      <c r="H272" s="149" t="str">
        <f t="shared" si="1"/>
        <v>MAR LASSO DE LA VEGA ZAMORA</v>
      </c>
      <c r="I272" s="149" t="s">
        <v>909</v>
      </c>
      <c r="J272" s="149" t="s">
        <v>444</v>
      </c>
      <c r="K272" s="149" t="s">
        <v>910</v>
      </c>
      <c r="L272" s="157">
        <v>45350</v>
      </c>
      <c r="M272" s="158"/>
      <c r="N272" s="163">
        <v>1</v>
      </c>
      <c r="O272" s="165" t="s">
        <v>446</v>
      </c>
      <c r="P272" s="161">
        <v>2162.73</v>
      </c>
      <c r="Q272" s="168">
        <v>45330</v>
      </c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</row>
    <row r="273" spans="1:27">
      <c r="A273" s="154">
        <v>2</v>
      </c>
      <c r="B273" s="155" t="s">
        <v>695</v>
      </c>
      <c r="C273" s="156">
        <v>45313</v>
      </c>
      <c r="D273" s="155" t="s">
        <v>440</v>
      </c>
      <c r="E273" s="149" t="s">
        <v>618</v>
      </c>
      <c r="F273" s="149" t="s">
        <v>441</v>
      </c>
      <c r="G273" s="149" t="s">
        <v>442</v>
      </c>
      <c r="H273" s="149" t="str">
        <f t="shared" si="1"/>
        <v>JULIO LÓPEZ MOYA</v>
      </c>
      <c r="I273" s="149" t="s">
        <v>504</v>
      </c>
      <c r="J273" s="149" t="s">
        <v>444</v>
      </c>
      <c r="K273" s="149" t="s">
        <v>911</v>
      </c>
      <c r="L273" s="157">
        <v>45350</v>
      </c>
      <c r="M273" s="158"/>
      <c r="N273" s="163">
        <v>2</v>
      </c>
      <c r="O273" s="165" t="s">
        <v>446</v>
      </c>
      <c r="P273" s="161">
        <v>3604.55</v>
      </c>
      <c r="Q273" s="168">
        <v>45313</v>
      </c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</row>
    <row r="274" spans="1:27">
      <c r="A274" s="154">
        <v>2</v>
      </c>
      <c r="B274" s="155" t="s">
        <v>695</v>
      </c>
      <c r="C274" s="156">
        <v>45306</v>
      </c>
      <c r="D274" s="155" t="s">
        <v>440</v>
      </c>
      <c r="E274" s="149" t="s">
        <v>313</v>
      </c>
      <c r="F274" s="149" t="s">
        <v>441</v>
      </c>
      <c r="G274" s="149" t="s">
        <v>442</v>
      </c>
      <c r="H274" s="149" t="str">
        <f t="shared" si="1"/>
        <v>JULIO LÓPEZ MOYA</v>
      </c>
      <c r="I274" s="149" t="s">
        <v>504</v>
      </c>
      <c r="J274" s="153" t="s">
        <v>444</v>
      </c>
      <c r="K274" s="149" t="s">
        <v>912</v>
      </c>
      <c r="L274" s="157">
        <v>45350</v>
      </c>
      <c r="M274" s="164"/>
      <c r="N274" s="163">
        <v>1</v>
      </c>
      <c r="O274" s="165" t="s">
        <v>466</v>
      </c>
      <c r="P274" s="161">
        <v>2409.09</v>
      </c>
      <c r="Q274" s="168">
        <v>45306</v>
      </c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</row>
    <row r="275" spans="1:27">
      <c r="A275" s="154">
        <v>2</v>
      </c>
      <c r="B275" s="155" t="s">
        <v>695</v>
      </c>
      <c r="C275" s="156">
        <v>45313</v>
      </c>
      <c r="D275" s="155" t="s">
        <v>440</v>
      </c>
      <c r="E275" s="149" t="s">
        <v>92</v>
      </c>
      <c r="F275" s="149" t="s">
        <v>441</v>
      </c>
      <c r="G275" s="149" t="s">
        <v>442</v>
      </c>
      <c r="H275" s="149" t="str">
        <f t="shared" si="1"/>
        <v>MARIO HIGUERA RAPA</v>
      </c>
      <c r="I275" s="149" t="s">
        <v>913</v>
      </c>
      <c r="J275" s="153" t="s">
        <v>462</v>
      </c>
      <c r="K275" s="149" t="s">
        <v>914</v>
      </c>
      <c r="L275" s="157">
        <v>45351</v>
      </c>
      <c r="M275" s="158"/>
      <c r="N275" s="163">
        <v>2</v>
      </c>
      <c r="O275" s="165" t="s">
        <v>446</v>
      </c>
      <c r="P275" s="161">
        <v>3604.55</v>
      </c>
      <c r="Q275" s="168">
        <v>45313</v>
      </c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</row>
    <row r="276" spans="1:27">
      <c r="A276" s="154">
        <v>2</v>
      </c>
      <c r="B276" s="155" t="s">
        <v>695</v>
      </c>
      <c r="C276" s="156">
        <v>45294</v>
      </c>
      <c r="D276" s="155" t="s">
        <v>440</v>
      </c>
      <c r="E276" s="149" t="s">
        <v>308</v>
      </c>
      <c r="F276" s="149" t="s">
        <v>441</v>
      </c>
      <c r="G276" s="149" t="s">
        <v>442</v>
      </c>
      <c r="H276" s="149" t="str">
        <f t="shared" si="1"/>
        <v>ADOLFO TOLEDANO MUÑOZ</v>
      </c>
      <c r="I276" s="149" t="s">
        <v>556</v>
      </c>
      <c r="J276" s="153" t="s">
        <v>444</v>
      </c>
      <c r="K276" s="149" t="s">
        <v>915</v>
      </c>
      <c r="L276" s="157">
        <v>45351</v>
      </c>
      <c r="M276" s="158"/>
      <c r="N276" s="163">
        <v>2</v>
      </c>
      <c r="O276" s="165" t="s">
        <v>449</v>
      </c>
      <c r="P276" s="161">
        <v>2648.48</v>
      </c>
      <c r="Q276" s="168">
        <v>45294</v>
      </c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</row>
    <row r="277" spans="1:27">
      <c r="A277" s="154">
        <v>2</v>
      </c>
      <c r="B277" s="155" t="s">
        <v>695</v>
      </c>
      <c r="C277" s="156">
        <v>45316</v>
      </c>
      <c r="D277" s="155" t="s">
        <v>440</v>
      </c>
      <c r="E277" s="149" t="s">
        <v>317</v>
      </c>
      <c r="F277" s="149" t="s">
        <v>441</v>
      </c>
      <c r="G277" s="149" t="s">
        <v>442</v>
      </c>
      <c r="H277" s="149" t="str">
        <f t="shared" si="1"/>
        <v>GUILLERMO SEVERÁ FERRANDIZ</v>
      </c>
      <c r="I277" s="149" t="s">
        <v>916</v>
      </c>
      <c r="J277" s="153" t="s">
        <v>462</v>
      </c>
      <c r="K277" s="149" t="s">
        <v>917</v>
      </c>
      <c r="L277" s="157">
        <v>45351</v>
      </c>
      <c r="M277" s="158"/>
      <c r="N277" s="163">
        <v>1</v>
      </c>
      <c r="O277" s="165" t="s">
        <v>513</v>
      </c>
      <c r="P277" s="161">
        <v>2131.8200000000002</v>
      </c>
      <c r="Q277" s="168">
        <v>45316</v>
      </c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</row>
    <row r="278" spans="1:27">
      <c r="A278" s="154">
        <v>2</v>
      </c>
      <c r="B278" s="155" t="s">
        <v>695</v>
      </c>
      <c r="C278" s="156">
        <v>45313</v>
      </c>
      <c r="D278" s="155" t="s">
        <v>440</v>
      </c>
      <c r="E278" s="149" t="s">
        <v>317</v>
      </c>
      <c r="F278" s="149" t="s">
        <v>441</v>
      </c>
      <c r="G278" s="149" t="s">
        <v>442</v>
      </c>
      <c r="H278" s="149" t="str">
        <f t="shared" si="1"/>
        <v>FRANCISCO PASTOR BEVIÁ</v>
      </c>
      <c r="I278" s="149" t="s">
        <v>464</v>
      </c>
      <c r="J278" s="149" t="s">
        <v>462</v>
      </c>
      <c r="K278" s="149" t="s">
        <v>918</v>
      </c>
      <c r="L278" s="157">
        <v>45351</v>
      </c>
      <c r="M278" s="158"/>
      <c r="N278" s="163">
        <v>2</v>
      </c>
      <c r="O278" s="165" t="s">
        <v>449</v>
      </c>
      <c r="P278" s="161">
        <v>1745.45</v>
      </c>
      <c r="Q278" s="168">
        <v>45313</v>
      </c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</row>
    <row r="279" spans="1:27">
      <c r="A279" s="154">
        <v>2</v>
      </c>
      <c r="B279" s="155" t="s">
        <v>695</v>
      </c>
      <c r="C279" s="156">
        <v>45328</v>
      </c>
      <c r="D279" s="155" t="s">
        <v>440</v>
      </c>
      <c r="E279" s="149" t="s">
        <v>514</v>
      </c>
      <c r="F279" s="149" t="s">
        <v>441</v>
      </c>
      <c r="G279" s="149" t="s">
        <v>442</v>
      </c>
      <c r="H279" s="149" t="str">
        <f t="shared" si="1"/>
        <v>ISABEL VAAMONDE SANCHEZ ANDRADE</v>
      </c>
      <c r="I279" s="149" t="s">
        <v>814</v>
      </c>
      <c r="J279" s="149" t="s">
        <v>516</v>
      </c>
      <c r="K279" s="149" t="s">
        <v>919</v>
      </c>
      <c r="L279" s="157">
        <v>45351</v>
      </c>
      <c r="M279" s="158"/>
      <c r="N279" s="163">
        <v>2</v>
      </c>
      <c r="O279" s="165" t="s">
        <v>518</v>
      </c>
      <c r="P279" s="161">
        <v>2627.27</v>
      </c>
      <c r="Q279" s="168">
        <v>45328</v>
      </c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</row>
    <row r="280" spans="1:27">
      <c r="A280" s="154">
        <v>2</v>
      </c>
      <c r="B280" s="155" t="s">
        <v>695</v>
      </c>
      <c r="C280" s="156">
        <v>45321</v>
      </c>
      <c r="D280" s="155" t="s">
        <v>440</v>
      </c>
      <c r="E280" s="149" t="s">
        <v>271</v>
      </c>
      <c r="F280" s="149" t="s">
        <v>441</v>
      </c>
      <c r="G280" s="149" t="s">
        <v>442</v>
      </c>
      <c r="H280" s="149" t="str">
        <f t="shared" si="1"/>
        <v>ANTONIO FRAILE AZPEITIA</v>
      </c>
      <c r="I280" s="149" t="s">
        <v>920</v>
      </c>
      <c r="J280" s="153" t="s">
        <v>444</v>
      </c>
      <c r="K280" s="149" t="s">
        <v>921</v>
      </c>
      <c r="L280" s="157">
        <v>45351</v>
      </c>
      <c r="M280" s="158"/>
      <c r="N280" s="163">
        <v>2</v>
      </c>
      <c r="O280" s="165" t="s">
        <v>446</v>
      </c>
      <c r="P280" s="161">
        <v>3433.4</v>
      </c>
      <c r="Q280" s="168">
        <v>45321</v>
      </c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</row>
    <row r="281" spans="1:27">
      <c r="A281" s="154">
        <v>2</v>
      </c>
      <c r="B281" s="155" t="s">
        <v>695</v>
      </c>
      <c r="C281" s="156">
        <v>45321</v>
      </c>
      <c r="D281" s="155" t="s">
        <v>440</v>
      </c>
      <c r="E281" s="149" t="s">
        <v>313</v>
      </c>
      <c r="F281" s="149" t="s">
        <v>441</v>
      </c>
      <c r="G281" s="149" t="s">
        <v>442</v>
      </c>
      <c r="H281" s="149" t="str">
        <f t="shared" si="1"/>
        <v>LAURA GARRIDO GARCÍA</v>
      </c>
      <c r="I281" s="149" t="s">
        <v>922</v>
      </c>
      <c r="J281" s="153" t="s">
        <v>444</v>
      </c>
      <c r="K281" s="149" t="s">
        <v>923</v>
      </c>
      <c r="L281" s="157">
        <v>45351</v>
      </c>
      <c r="M281" s="158"/>
      <c r="N281" s="163">
        <v>2</v>
      </c>
      <c r="O281" s="165" t="s">
        <v>466</v>
      </c>
      <c r="P281" s="161">
        <v>4222.7299999999996</v>
      </c>
      <c r="Q281" s="168">
        <v>45321</v>
      </c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</row>
    <row r="282" spans="1:27">
      <c r="A282" s="154">
        <v>2</v>
      </c>
      <c r="B282" s="155" t="s">
        <v>695</v>
      </c>
      <c r="C282" s="156">
        <v>45203</v>
      </c>
      <c r="D282" s="155" t="s">
        <v>440</v>
      </c>
      <c r="E282" s="149" t="s">
        <v>98</v>
      </c>
      <c r="F282" s="149" t="s">
        <v>441</v>
      </c>
      <c r="G282" s="149" t="s">
        <v>442</v>
      </c>
      <c r="H282" s="149" t="str">
        <f t="shared" si="1"/>
        <v>NO REUERDA ORL</v>
      </c>
      <c r="I282" s="149" t="s">
        <v>469</v>
      </c>
      <c r="J282" s="153" t="s">
        <v>462</v>
      </c>
      <c r="K282" s="149" t="s">
        <v>924</v>
      </c>
      <c r="L282" s="157">
        <v>45351</v>
      </c>
      <c r="M282" s="164"/>
      <c r="N282" s="163">
        <v>2</v>
      </c>
      <c r="O282" s="165" t="s">
        <v>449</v>
      </c>
      <c r="P282" s="161">
        <v>2780.91</v>
      </c>
      <c r="Q282" s="168">
        <v>45203</v>
      </c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</row>
    <row r="283" spans="1:27">
      <c r="A283" s="154">
        <v>2</v>
      </c>
      <c r="B283" s="155" t="s">
        <v>695</v>
      </c>
      <c r="C283" s="156">
        <v>45303</v>
      </c>
      <c r="D283" s="155" t="s">
        <v>440</v>
      </c>
      <c r="E283" s="149" t="s">
        <v>129</v>
      </c>
      <c r="F283" s="149" t="s">
        <v>441</v>
      </c>
      <c r="G283" s="149" t="s">
        <v>442</v>
      </c>
      <c r="H283" s="149" t="str">
        <f t="shared" si="1"/>
        <v>ANA QUINTANA SANJUAN</v>
      </c>
      <c r="I283" s="149" t="s">
        <v>925</v>
      </c>
      <c r="J283" s="153" t="s">
        <v>516</v>
      </c>
      <c r="K283" s="149" t="s">
        <v>926</v>
      </c>
      <c r="L283" s="157">
        <v>45351</v>
      </c>
      <c r="M283" s="158"/>
      <c r="N283" s="163">
        <v>2</v>
      </c>
      <c r="O283" s="165" t="s">
        <v>446</v>
      </c>
      <c r="P283" s="161">
        <v>3604.55</v>
      </c>
      <c r="Q283" s="168">
        <v>45303</v>
      </c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</row>
    <row r="284" spans="1:27">
      <c r="A284" s="154">
        <v>2</v>
      </c>
      <c r="B284" s="155" t="s">
        <v>695</v>
      </c>
      <c r="C284" s="156">
        <v>45300</v>
      </c>
      <c r="D284" s="155" t="s">
        <v>440</v>
      </c>
      <c r="E284" s="149" t="s">
        <v>239</v>
      </c>
      <c r="F284" s="149" t="s">
        <v>441</v>
      </c>
      <c r="G284" s="149" t="s">
        <v>442</v>
      </c>
      <c r="H284" s="149" t="str">
        <f t="shared" si="1"/>
        <v>ESTEFANÍA BERROCAL POSTIGO</v>
      </c>
      <c r="I284" s="149" t="s">
        <v>927</v>
      </c>
      <c r="J284" s="153" t="s">
        <v>455</v>
      </c>
      <c r="K284" s="149" t="s">
        <v>928</v>
      </c>
      <c r="L284" s="157">
        <v>45351</v>
      </c>
      <c r="M284" s="164"/>
      <c r="N284" s="163">
        <v>2</v>
      </c>
      <c r="O284" s="165" t="s">
        <v>446</v>
      </c>
      <c r="P284" s="161">
        <v>3786.36</v>
      </c>
      <c r="Q284" s="168">
        <v>45300</v>
      </c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</row>
    <row r="285" spans="1:27">
      <c r="A285" s="154">
        <v>2</v>
      </c>
      <c r="B285" s="155" t="s">
        <v>695</v>
      </c>
      <c r="C285" s="156">
        <v>45330</v>
      </c>
      <c r="D285" s="155" t="s">
        <v>440</v>
      </c>
      <c r="E285" s="149" t="s">
        <v>239</v>
      </c>
      <c r="F285" s="149" t="s">
        <v>441</v>
      </c>
      <c r="G285" s="149" t="s">
        <v>442</v>
      </c>
      <c r="H285" s="149" t="str">
        <f t="shared" si="1"/>
        <v>ESTEFANÍA BERROCAL POSTIGO</v>
      </c>
      <c r="I285" s="149" t="s">
        <v>927</v>
      </c>
      <c r="J285" s="153" t="s">
        <v>455</v>
      </c>
      <c r="K285" s="149" t="s">
        <v>929</v>
      </c>
      <c r="L285" s="157">
        <v>45351</v>
      </c>
      <c r="M285" s="158"/>
      <c r="N285" s="163">
        <v>2</v>
      </c>
      <c r="O285" s="165" t="s">
        <v>446</v>
      </c>
      <c r="P285" s="161">
        <v>3786.36</v>
      </c>
      <c r="Q285" s="168">
        <v>45330</v>
      </c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</row>
    <row r="286" spans="1:27">
      <c r="A286" s="154">
        <v>2</v>
      </c>
      <c r="B286" s="155" t="s">
        <v>695</v>
      </c>
      <c r="C286" s="156">
        <v>45309</v>
      </c>
      <c r="D286" s="155" t="s">
        <v>440</v>
      </c>
      <c r="E286" s="149" t="s">
        <v>930</v>
      </c>
      <c r="F286" s="149" t="s">
        <v>441</v>
      </c>
      <c r="G286" s="149" t="s">
        <v>442</v>
      </c>
      <c r="H286" s="149" t="str">
        <f t="shared" si="1"/>
        <v>CRISTINA MOLINA MARTÍNEZ</v>
      </c>
      <c r="I286" s="149" t="s">
        <v>931</v>
      </c>
      <c r="J286" s="153" t="s">
        <v>532</v>
      </c>
      <c r="K286" s="149" t="s">
        <v>932</v>
      </c>
      <c r="L286" s="157">
        <v>45351</v>
      </c>
      <c r="M286" s="158"/>
      <c r="N286" s="163">
        <v>2</v>
      </c>
      <c r="O286" s="165" t="s">
        <v>446</v>
      </c>
      <c r="P286" s="161">
        <v>3604.55</v>
      </c>
      <c r="Q286" s="168">
        <v>45309</v>
      </c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</row>
    <row r="287" spans="1:27">
      <c r="A287" s="154">
        <v>3</v>
      </c>
      <c r="B287" s="155" t="s">
        <v>933</v>
      </c>
      <c r="C287" s="156">
        <v>45327</v>
      </c>
      <c r="D287" s="155" t="s">
        <v>440</v>
      </c>
      <c r="E287" s="149" t="s">
        <v>271</v>
      </c>
      <c r="F287" s="149" t="s">
        <v>441</v>
      </c>
      <c r="G287" s="149" t="s">
        <v>442</v>
      </c>
      <c r="H287" s="149" t="str">
        <f t="shared" si="1"/>
        <v>ANTONIO BUENO RÍOS</v>
      </c>
      <c r="I287" s="149" t="s">
        <v>519</v>
      </c>
      <c r="J287" s="153" t="s">
        <v>548</v>
      </c>
      <c r="K287" s="149" t="s">
        <v>934</v>
      </c>
      <c r="L287" s="157">
        <v>45352</v>
      </c>
      <c r="M287" s="158"/>
      <c r="N287" s="163">
        <v>2</v>
      </c>
      <c r="O287" s="165" t="s">
        <v>446</v>
      </c>
      <c r="P287" s="161">
        <v>3424.31</v>
      </c>
      <c r="Q287" s="170">
        <v>45327</v>
      </c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</row>
    <row r="288" spans="1:27">
      <c r="A288" s="154">
        <v>3</v>
      </c>
      <c r="B288" s="155" t="s">
        <v>933</v>
      </c>
      <c r="C288" s="156">
        <v>45315</v>
      </c>
      <c r="D288" s="155" t="s">
        <v>440</v>
      </c>
      <c r="E288" s="149" t="s">
        <v>271</v>
      </c>
      <c r="F288" s="149" t="s">
        <v>441</v>
      </c>
      <c r="G288" s="149" t="s">
        <v>442</v>
      </c>
      <c r="H288" s="149" t="str">
        <f t="shared" si="1"/>
        <v>FRANCISCO J, REDONDO DEL BARCO</v>
      </c>
      <c r="I288" s="149" t="s">
        <v>723</v>
      </c>
      <c r="J288" s="153" t="s">
        <v>548</v>
      </c>
      <c r="K288" s="149" t="s">
        <v>935</v>
      </c>
      <c r="L288" s="157">
        <v>45352</v>
      </c>
      <c r="M288" s="158"/>
      <c r="N288" s="163">
        <v>2</v>
      </c>
      <c r="O288" s="165" t="s">
        <v>449</v>
      </c>
      <c r="P288" s="161">
        <v>2641.87</v>
      </c>
      <c r="Q288" s="170">
        <v>45315</v>
      </c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</row>
    <row r="289" spans="1:27">
      <c r="A289" s="154">
        <v>3</v>
      </c>
      <c r="B289" s="155" t="s">
        <v>933</v>
      </c>
      <c r="C289" s="156">
        <v>45337</v>
      </c>
      <c r="D289" s="155" t="s">
        <v>440</v>
      </c>
      <c r="E289" s="149" t="s">
        <v>618</v>
      </c>
      <c r="F289" s="149" t="s">
        <v>441</v>
      </c>
      <c r="G289" s="149" t="s">
        <v>442</v>
      </c>
      <c r="H289" s="149" t="str">
        <f t="shared" si="1"/>
        <v>BEATRIZ ARANA FERNÁNDEZ</v>
      </c>
      <c r="I289" s="149" t="s">
        <v>936</v>
      </c>
      <c r="J289" s="153" t="s">
        <v>444</v>
      </c>
      <c r="K289" s="149" t="s">
        <v>937</v>
      </c>
      <c r="L289" s="157">
        <v>45352</v>
      </c>
      <c r="M289" s="158"/>
      <c r="N289" s="163">
        <v>1</v>
      </c>
      <c r="O289" s="165" t="s">
        <v>449</v>
      </c>
      <c r="P289" s="161">
        <v>1668.18</v>
      </c>
      <c r="Q289" s="170">
        <v>45337</v>
      </c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</row>
    <row r="290" spans="1:27">
      <c r="A290" s="154">
        <v>3</v>
      </c>
      <c r="B290" s="155" t="s">
        <v>933</v>
      </c>
      <c r="C290" s="156">
        <v>45329</v>
      </c>
      <c r="D290" s="155" t="s">
        <v>440</v>
      </c>
      <c r="E290" s="149" t="s">
        <v>98</v>
      </c>
      <c r="F290" s="149" t="s">
        <v>441</v>
      </c>
      <c r="G290" s="149" t="s">
        <v>442</v>
      </c>
      <c r="H290" s="149" t="str">
        <f t="shared" si="1"/>
        <v>CRISTINA ESTHER TORREGROSA CARRASQUER</v>
      </c>
      <c r="I290" s="149" t="s">
        <v>938</v>
      </c>
      <c r="J290" s="153" t="s">
        <v>462</v>
      </c>
      <c r="K290" s="149" t="s">
        <v>939</v>
      </c>
      <c r="L290" s="157">
        <v>45355</v>
      </c>
      <c r="M290" s="164"/>
      <c r="N290" s="163">
        <v>2</v>
      </c>
      <c r="O290" s="165" t="s">
        <v>446</v>
      </c>
      <c r="P290" s="161">
        <v>3604.55</v>
      </c>
      <c r="Q290" s="170">
        <v>45329</v>
      </c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</row>
    <row r="291" spans="1:27">
      <c r="A291" s="154">
        <v>3</v>
      </c>
      <c r="B291" s="155" t="s">
        <v>933</v>
      </c>
      <c r="C291" s="156">
        <v>45309</v>
      </c>
      <c r="D291" s="155" t="s">
        <v>440</v>
      </c>
      <c r="E291" s="149" t="s">
        <v>506</v>
      </c>
      <c r="F291" s="149" t="s">
        <v>441</v>
      </c>
      <c r="G291" s="149" t="s">
        <v>442</v>
      </c>
      <c r="H291" s="149" t="str">
        <f t="shared" si="1"/>
        <v>MARÍA JESÚS CORNEJO DOMÍNGUEZ</v>
      </c>
      <c r="I291" s="149" t="s">
        <v>507</v>
      </c>
      <c r="J291" s="153" t="s">
        <v>473</v>
      </c>
      <c r="K291" s="149" t="s">
        <v>940</v>
      </c>
      <c r="L291" s="157">
        <v>45355</v>
      </c>
      <c r="M291" s="158"/>
      <c r="N291" s="163">
        <v>2</v>
      </c>
      <c r="O291" s="165" t="s">
        <v>449</v>
      </c>
      <c r="P291" s="161">
        <v>2776.36</v>
      </c>
      <c r="Q291" s="170">
        <v>45309</v>
      </c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</row>
    <row r="292" spans="1:27">
      <c r="A292" s="154">
        <v>3</v>
      </c>
      <c r="B292" s="155" t="s">
        <v>933</v>
      </c>
      <c r="C292" s="156">
        <v>45307</v>
      </c>
      <c r="D292" s="155" t="s">
        <v>440</v>
      </c>
      <c r="E292" s="149" t="s">
        <v>506</v>
      </c>
      <c r="F292" s="149" t="s">
        <v>441</v>
      </c>
      <c r="G292" s="149" t="s">
        <v>442</v>
      </c>
      <c r="H292" s="149" t="str">
        <f t="shared" si="1"/>
        <v>MARÍA JESÚS CORNEJO DOMÍNGUEZ</v>
      </c>
      <c r="I292" s="149" t="s">
        <v>507</v>
      </c>
      <c r="J292" s="153" t="s">
        <v>473</v>
      </c>
      <c r="K292" s="149" t="s">
        <v>941</v>
      </c>
      <c r="L292" s="157">
        <v>45355</v>
      </c>
      <c r="M292" s="158"/>
      <c r="N292" s="163">
        <v>2</v>
      </c>
      <c r="O292" s="165" t="s">
        <v>449</v>
      </c>
      <c r="P292" s="161">
        <v>2780.91</v>
      </c>
      <c r="Q292" s="170">
        <v>45307</v>
      </c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</row>
    <row r="293" spans="1:27">
      <c r="A293" s="154">
        <v>3</v>
      </c>
      <c r="B293" s="155" t="s">
        <v>933</v>
      </c>
      <c r="C293" s="156">
        <v>45261</v>
      </c>
      <c r="D293" s="166" t="s">
        <v>440</v>
      </c>
      <c r="E293" s="149" t="s">
        <v>115</v>
      </c>
      <c r="F293" s="149" t="s">
        <v>441</v>
      </c>
      <c r="G293" s="149" t="s">
        <v>442</v>
      </c>
      <c r="H293" s="149" t="str">
        <f t="shared" si="1"/>
        <v>PALOMA PINACHO MARTÍNEZ</v>
      </c>
      <c r="I293" s="149" t="s">
        <v>579</v>
      </c>
      <c r="J293" s="149" t="s">
        <v>444</v>
      </c>
      <c r="K293" s="149" t="s">
        <v>942</v>
      </c>
      <c r="L293" s="157">
        <v>45355</v>
      </c>
      <c r="M293" s="158"/>
      <c r="N293" s="163">
        <v>2</v>
      </c>
      <c r="O293" s="165" t="s">
        <v>518</v>
      </c>
      <c r="P293" s="161">
        <v>2000</v>
      </c>
      <c r="Q293" s="170">
        <v>45261</v>
      </c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</row>
    <row r="294" spans="1:27">
      <c r="A294" s="154">
        <v>3</v>
      </c>
      <c r="B294" s="155" t="s">
        <v>933</v>
      </c>
      <c r="C294" s="156">
        <v>45315</v>
      </c>
      <c r="D294" s="155" t="s">
        <v>440</v>
      </c>
      <c r="E294" s="149" t="s">
        <v>150</v>
      </c>
      <c r="F294" s="149" t="s">
        <v>441</v>
      </c>
      <c r="G294" s="149" t="s">
        <v>442</v>
      </c>
      <c r="H294" s="149" t="str">
        <f t="shared" si="1"/>
        <v>RAIMON GARCÍA CHILLERÓN</v>
      </c>
      <c r="I294" s="149" t="s">
        <v>943</v>
      </c>
      <c r="J294" s="153" t="s">
        <v>636</v>
      </c>
      <c r="K294" s="149" t="s">
        <v>944</v>
      </c>
      <c r="L294" s="157">
        <v>45355</v>
      </c>
      <c r="M294" s="158"/>
      <c r="N294" s="163">
        <v>2</v>
      </c>
      <c r="O294" s="165" t="s">
        <v>446</v>
      </c>
      <c r="P294" s="161">
        <v>3424.32</v>
      </c>
      <c r="Q294" s="170">
        <v>45315</v>
      </c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</row>
    <row r="295" spans="1:27">
      <c r="A295" s="154">
        <v>3</v>
      </c>
      <c r="B295" s="155" t="s">
        <v>933</v>
      </c>
      <c r="C295" s="156">
        <v>45324</v>
      </c>
      <c r="D295" s="155" t="s">
        <v>440</v>
      </c>
      <c r="E295" s="149" t="s">
        <v>317</v>
      </c>
      <c r="F295" s="149" t="s">
        <v>441</v>
      </c>
      <c r="G295" s="149" t="s">
        <v>442</v>
      </c>
      <c r="H295" s="149" t="str">
        <f t="shared" si="1"/>
        <v>ALICIA MATEO ESPINOSA</v>
      </c>
      <c r="I295" s="149" t="s">
        <v>574</v>
      </c>
      <c r="J295" s="153" t="s">
        <v>462</v>
      </c>
      <c r="K295" s="149" t="s">
        <v>945</v>
      </c>
      <c r="L295" s="157">
        <v>45356</v>
      </c>
      <c r="M295" s="158"/>
      <c r="N295" s="163">
        <v>2</v>
      </c>
      <c r="O295" s="165" t="s">
        <v>449</v>
      </c>
      <c r="P295" s="161">
        <v>2780.91</v>
      </c>
      <c r="Q295" s="170">
        <v>45324</v>
      </c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</row>
    <row r="296" spans="1:27">
      <c r="A296" s="154">
        <v>3</v>
      </c>
      <c r="B296" s="155" t="s">
        <v>933</v>
      </c>
      <c r="C296" s="156">
        <v>45330</v>
      </c>
      <c r="D296" s="155" t="s">
        <v>440</v>
      </c>
      <c r="E296" s="149" t="s">
        <v>546</v>
      </c>
      <c r="F296" s="149" t="s">
        <v>441</v>
      </c>
      <c r="G296" s="149" t="s">
        <v>442</v>
      </c>
      <c r="H296" s="149" t="str">
        <f t="shared" si="1"/>
        <v>JAVIER GARCÍA GÓMEZ</v>
      </c>
      <c r="I296" s="149" t="s">
        <v>946</v>
      </c>
      <c r="J296" s="153" t="s">
        <v>548</v>
      </c>
      <c r="K296" s="149" t="s">
        <v>947</v>
      </c>
      <c r="L296" s="157">
        <v>45356</v>
      </c>
      <c r="M296" s="158"/>
      <c r="N296" s="163">
        <v>2</v>
      </c>
      <c r="O296" s="165" t="s">
        <v>446</v>
      </c>
      <c r="P296" s="161">
        <v>3604.55</v>
      </c>
      <c r="Q296" s="170">
        <v>45330</v>
      </c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</row>
    <row r="297" spans="1:27">
      <c r="A297" s="154">
        <v>3</v>
      </c>
      <c r="B297" s="155" t="s">
        <v>933</v>
      </c>
      <c r="C297" s="156">
        <v>45321</v>
      </c>
      <c r="D297" s="155" t="s">
        <v>440</v>
      </c>
      <c r="E297" s="149" t="s">
        <v>309</v>
      </c>
      <c r="F297" s="149" t="s">
        <v>441</v>
      </c>
      <c r="G297" s="149" t="s">
        <v>442</v>
      </c>
      <c r="H297" s="149" t="str">
        <f t="shared" si="1"/>
        <v>Eviatar Friedlander</v>
      </c>
      <c r="I297" s="149" t="s">
        <v>616</v>
      </c>
      <c r="J297" s="153" t="s">
        <v>444</v>
      </c>
      <c r="K297" s="149" t="s">
        <v>948</v>
      </c>
      <c r="L297" s="157">
        <v>45356</v>
      </c>
      <c r="M297" s="158"/>
      <c r="N297" s="163">
        <v>2</v>
      </c>
      <c r="O297" s="165" t="s">
        <v>446</v>
      </c>
      <c r="P297" s="161">
        <v>3604.55</v>
      </c>
      <c r="Q297" s="170">
        <v>45321</v>
      </c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</row>
    <row r="298" spans="1:27">
      <c r="A298" s="154">
        <v>3</v>
      </c>
      <c r="B298" s="155" t="s">
        <v>933</v>
      </c>
      <c r="C298" s="156">
        <v>45338</v>
      </c>
      <c r="D298" s="155" t="s">
        <v>440</v>
      </c>
      <c r="E298" s="149" t="s">
        <v>129</v>
      </c>
      <c r="F298" s="149" t="s">
        <v>441</v>
      </c>
      <c r="G298" s="149" t="s">
        <v>442</v>
      </c>
      <c r="H298" s="149" t="str">
        <f t="shared" si="1"/>
        <v>CELIA LENDORIO OTERO</v>
      </c>
      <c r="I298" s="149" t="s">
        <v>949</v>
      </c>
      <c r="J298" s="153" t="s">
        <v>516</v>
      </c>
      <c r="K298" s="149" t="s">
        <v>950</v>
      </c>
      <c r="L298" s="157">
        <v>45356</v>
      </c>
      <c r="M298" s="158"/>
      <c r="N298" s="163">
        <v>2</v>
      </c>
      <c r="O298" s="165" t="s">
        <v>449</v>
      </c>
      <c r="P298" s="161">
        <v>2642.27</v>
      </c>
      <c r="Q298" s="170">
        <v>45338</v>
      </c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</row>
    <row r="299" spans="1:27">
      <c r="A299" s="154">
        <v>3</v>
      </c>
      <c r="B299" s="155" t="s">
        <v>933</v>
      </c>
      <c r="C299" s="156">
        <v>45307</v>
      </c>
      <c r="D299" s="155" t="s">
        <v>440</v>
      </c>
      <c r="E299" s="149" t="s">
        <v>951</v>
      </c>
      <c r="F299" s="149" t="s">
        <v>441</v>
      </c>
      <c r="G299" s="149" t="s">
        <v>442</v>
      </c>
      <c r="H299" s="149" t="str">
        <f t="shared" si="1"/>
        <v>CARLOS VIDAL REDONDO</v>
      </c>
      <c r="I299" s="149" t="s">
        <v>554</v>
      </c>
      <c r="J299" s="149" t="s">
        <v>516</v>
      </c>
      <c r="K299" s="149" t="s">
        <v>952</v>
      </c>
      <c r="L299" s="157">
        <v>45356</v>
      </c>
      <c r="M299" s="164"/>
      <c r="N299" s="163">
        <v>2</v>
      </c>
      <c r="O299" s="165" t="s">
        <v>449</v>
      </c>
      <c r="P299" s="161">
        <v>2780.91</v>
      </c>
      <c r="Q299" s="170">
        <v>45307</v>
      </c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</row>
    <row r="300" spans="1:27">
      <c r="A300" s="154">
        <v>3</v>
      </c>
      <c r="B300" s="155" t="s">
        <v>933</v>
      </c>
      <c r="C300" s="156">
        <v>45321</v>
      </c>
      <c r="D300" s="155" t="s">
        <v>440</v>
      </c>
      <c r="E300" s="149" t="s">
        <v>312</v>
      </c>
      <c r="F300" s="149" t="s">
        <v>441</v>
      </c>
      <c r="G300" s="149" t="s">
        <v>442</v>
      </c>
      <c r="H300" s="149" t="str">
        <f t="shared" si="1"/>
        <v>ESTEFANÍA BERROCAL POSTIGO</v>
      </c>
      <c r="I300" s="149" t="s">
        <v>927</v>
      </c>
      <c r="J300" s="153" t="s">
        <v>455</v>
      </c>
      <c r="K300" s="149" t="s">
        <v>953</v>
      </c>
      <c r="L300" s="157">
        <v>45356</v>
      </c>
      <c r="M300" s="158"/>
      <c r="N300" s="163">
        <v>2</v>
      </c>
      <c r="O300" s="165" t="s">
        <v>449</v>
      </c>
      <c r="P300" s="161">
        <v>2703.64</v>
      </c>
      <c r="Q300" s="170">
        <v>45321</v>
      </c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</row>
    <row r="301" spans="1:27">
      <c r="A301" s="154">
        <v>3</v>
      </c>
      <c r="B301" s="155" t="s">
        <v>933</v>
      </c>
      <c r="C301" s="156">
        <v>45279</v>
      </c>
      <c r="D301" s="155" t="s">
        <v>440</v>
      </c>
      <c r="E301" s="149" t="s">
        <v>530</v>
      </c>
      <c r="F301" s="149" t="s">
        <v>441</v>
      </c>
      <c r="G301" s="149" t="s">
        <v>442</v>
      </c>
      <c r="H301" s="149" t="str">
        <f t="shared" si="1"/>
        <v>JOSEP MARIA ORRIT ARENAS</v>
      </c>
      <c r="I301" s="149" t="s">
        <v>954</v>
      </c>
      <c r="J301" s="153" t="s">
        <v>532</v>
      </c>
      <c r="K301" s="149" t="s">
        <v>955</v>
      </c>
      <c r="L301" s="157">
        <v>45356</v>
      </c>
      <c r="M301" s="164"/>
      <c r="N301" s="163">
        <v>2</v>
      </c>
      <c r="O301" s="165" t="s">
        <v>518</v>
      </c>
      <c r="P301" s="161">
        <v>2835.91</v>
      </c>
      <c r="Q301" s="170">
        <v>45279</v>
      </c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</row>
    <row r="302" spans="1:27">
      <c r="A302" s="154">
        <v>3</v>
      </c>
      <c r="B302" s="155" t="s">
        <v>933</v>
      </c>
      <c r="C302" s="156">
        <v>45331</v>
      </c>
      <c r="D302" s="155" t="s">
        <v>440</v>
      </c>
      <c r="E302" s="149" t="s">
        <v>546</v>
      </c>
      <c r="F302" s="149" t="s">
        <v>441</v>
      </c>
      <c r="G302" s="149" t="s">
        <v>442</v>
      </c>
      <c r="H302" s="149" t="str">
        <f t="shared" si="1"/>
        <v>RAED MAQUED EL MAQUED</v>
      </c>
      <c r="I302" s="149" t="s">
        <v>547</v>
      </c>
      <c r="J302" s="153" t="s">
        <v>548</v>
      </c>
      <c r="K302" s="149" t="s">
        <v>956</v>
      </c>
      <c r="L302" s="157">
        <v>45357</v>
      </c>
      <c r="M302" s="164"/>
      <c r="N302" s="163">
        <v>2</v>
      </c>
      <c r="O302" s="165" t="s">
        <v>446</v>
      </c>
      <c r="P302" s="161">
        <v>3604.55</v>
      </c>
      <c r="Q302" s="170">
        <v>45331</v>
      </c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</row>
    <row r="303" spans="1:27">
      <c r="A303" s="154">
        <v>3</v>
      </c>
      <c r="B303" s="155" t="s">
        <v>933</v>
      </c>
      <c r="C303" s="156">
        <v>45315</v>
      </c>
      <c r="D303" s="155" t="s">
        <v>440</v>
      </c>
      <c r="E303" s="149" t="s">
        <v>475</v>
      </c>
      <c r="F303" s="149" t="s">
        <v>441</v>
      </c>
      <c r="G303" s="149" t="s">
        <v>442</v>
      </c>
      <c r="H303" s="149" t="str">
        <f t="shared" si="1"/>
        <v>NO REUERDA ORL</v>
      </c>
      <c r="I303" s="149" t="s">
        <v>469</v>
      </c>
      <c r="J303" s="153" t="s">
        <v>473</v>
      </c>
      <c r="K303" s="149" t="s">
        <v>957</v>
      </c>
      <c r="L303" s="157">
        <v>45357</v>
      </c>
      <c r="M303" s="164"/>
      <c r="N303" s="163">
        <v>2</v>
      </c>
      <c r="O303" s="165" t="s">
        <v>449</v>
      </c>
      <c r="P303" s="161">
        <v>3181.82</v>
      </c>
      <c r="Q303" s="170">
        <v>45315</v>
      </c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</row>
    <row r="304" spans="1:27">
      <c r="A304" s="154">
        <v>3</v>
      </c>
      <c r="B304" s="155" t="s">
        <v>933</v>
      </c>
      <c r="C304" s="156">
        <v>45317</v>
      </c>
      <c r="D304" s="155" t="s">
        <v>440</v>
      </c>
      <c r="E304" s="149" t="s">
        <v>201</v>
      </c>
      <c r="F304" s="149" t="s">
        <v>441</v>
      </c>
      <c r="G304" s="149" t="s">
        <v>442</v>
      </c>
      <c r="H304" s="149" t="str">
        <f t="shared" si="1"/>
        <v>JESÚS GARCÍA AHIJADO</v>
      </c>
      <c r="I304" s="149" t="s">
        <v>958</v>
      </c>
      <c r="J304" s="153" t="s">
        <v>548</v>
      </c>
      <c r="K304" s="149" t="s">
        <v>959</v>
      </c>
      <c r="L304" s="157">
        <v>45357</v>
      </c>
      <c r="M304" s="164"/>
      <c r="N304" s="163">
        <v>2</v>
      </c>
      <c r="O304" s="165" t="s">
        <v>446</v>
      </c>
      <c r="P304" s="161">
        <v>3424.32</v>
      </c>
      <c r="Q304" s="170">
        <v>45317</v>
      </c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</row>
    <row r="305" spans="1:27">
      <c r="A305" s="154">
        <v>3</v>
      </c>
      <c r="B305" s="155" t="s">
        <v>933</v>
      </c>
      <c r="C305" s="156">
        <v>45320</v>
      </c>
      <c r="D305" s="155" t="s">
        <v>440</v>
      </c>
      <c r="E305" s="149" t="s">
        <v>530</v>
      </c>
      <c r="F305" s="149" t="s">
        <v>441</v>
      </c>
      <c r="G305" s="149" t="s">
        <v>442</v>
      </c>
      <c r="H305" s="149" t="str">
        <f t="shared" si="1"/>
        <v>ELENA DE DIOS ORAN</v>
      </c>
      <c r="I305" s="149" t="s">
        <v>960</v>
      </c>
      <c r="J305" s="153" t="s">
        <v>532</v>
      </c>
      <c r="K305" s="149" t="s">
        <v>961</v>
      </c>
      <c r="L305" s="157">
        <v>45357</v>
      </c>
      <c r="M305" s="164"/>
      <c r="N305" s="163">
        <v>2</v>
      </c>
      <c r="O305" s="165" t="s">
        <v>449</v>
      </c>
      <c r="P305" s="161">
        <v>2834.62</v>
      </c>
      <c r="Q305" s="170">
        <v>45320</v>
      </c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</row>
    <row r="306" spans="1:27">
      <c r="A306" s="154">
        <v>3</v>
      </c>
      <c r="B306" s="155" t="s">
        <v>933</v>
      </c>
      <c r="C306" s="156">
        <v>45314</v>
      </c>
      <c r="D306" s="155" t="s">
        <v>440</v>
      </c>
      <c r="E306" s="149" t="s">
        <v>460</v>
      </c>
      <c r="F306" s="149" t="s">
        <v>441</v>
      </c>
      <c r="G306" s="149" t="s">
        <v>442</v>
      </c>
      <c r="H306" s="149" t="str">
        <f t="shared" si="1"/>
        <v>ISABEL POLO TOMÁS</v>
      </c>
      <c r="I306" s="149" t="s">
        <v>638</v>
      </c>
      <c r="J306" s="153" t="s">
        <v>462</v>
      </c>
      <c r="K306" s="149" t="s">
        <v>962</v>
      </c>
      <c r="L306" s="157">
        <v>45358</v>
      </c>
      <c r="M306" s="158"/>
      <c r="N306" s="163">
        <v>2</v>
      </c>
      <c r="O306" s="165" t="s">
        <v>446</v>
      </c>
      <c r="P306" s="161">
        <v>3407.89</v>
      </c>
      <c r="Q306" s="170">
        <v>45314</v>
      </c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</row>
    <row r="307" spans="1:27">
      <c r="A307" s="154">
        <v>3</v>
      </c>
      <c r="B307" s="155" t="s">
        <v>933</v>
      </c>
      <c r="C307" s="156">
        <v>45341</v>
      </c>
      <c r="D307" s="155" t="s">
        <v>440</v>
      </c>
      <c r="E307" s="149" t="s">
        <v>546</v>
      </c>
      <c r="F307" s="149" t="s">
        <v>441</v>
      </c>
      <c r="G307" s="149" t="s">
        <v>442</v>
      </c>
      <c r="H307" s="149" t="str">
        <f t="shared" si="1"/>
        <v>JAVIER GARCÍA GÓMEZ</v>
      </c>
      <c r="I307" s="149" t="s">
        <v>946</v>
      </c>
      <c r="J307" s="153" t="s">
        <v>548</v>
      </c>
      <c r="K307" s="149" t="s">
        <v>963</v>
      </c>
      <c r="L307" s="157">
        <v>45358</v>
      </c>
      <c r="M307" s="158"/>
      <c r="N307" s="163">
        <v>2</v>
      </c>
      <c r="O307" s="165" t="s">
        <v>466</v>
      </c>
      <c r="P307" s="161">
        <v>4222.7299999999996</v>
      </c>
      <c r="Q307" s="170">
        <v>45341</v>
      </c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</row>
    <row r="308" spans="1:27">
      <c r="A308" s="154">
        <v>3</v>
      </c>
      <c r="B308" s="155" t="s">
        <v>933</v>
      </c>
      <c r="C308" s="156">
        <v>45278</v>
      </c>
      <c r="D308" s="155" t="s">
        <v>440</v>
      </c>
      <c r="E308" s="149" t="s">
        <v>618</v>
      </c>
      <c r="F308" s="149" t="s">
        <v>441</v>
      </c>
      <c r="G308" s="149" t="s">
        <v>442</v>
      </c>
      <c r="H308" s="149" t="str">
        <f t="shared" si="1"/>
        <v>Alejandro Harguindey Antoli-Candela</v>
      </c>
      <c r="I308" s="149" t="s">
        <v>528</v>
      </c>
      <c r="J308" s="153" t="s">
        <v>699</v>
      </c>
      <c r="K308" s="149" t="s">
        <v>964</v>
      </c>
      <c r="L308" s="157">
        <v>45358</v>
      </c>
      <c r="M308" s="158"/>
      <c r="N308" s="163">
        <v>2</v>
      </c>
      <c r="O308" s="165" t="s">
        <v>513</v>
      </c>
      <c r="P308" s="161">
        <v>4427.2700000000004</v>
      </c>
      <c r="Q308" s="170">
        <v>45278</v>
      </c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</row>
    <row r="309" spans="1:27">
      <c r="A309" s="154">
        <v>3</v>
      </c>
      <c r="B309" s="155" t="s">
        <v>933</v>
      </c>
      <c r="C309" s="156">
        <v>45321</v>
      </c>
      <c r="D309" s="166" t="s">
        <v>440</v>
      </c>
      <c r="E309" s="149" t="s">
        <v>98</v>
      </c>
      <c r="F309" s="149" t="s">
        <v>441</v>
      </c>
      <c r="G309" s="149" t="s">
        <v>442</v>
      </c>
      <c r="H309" s="149" t="str">
        <f t="shared" si="1"/>
        <v>MARÍA AGUSTINA SEVILLA GARCÍA</v>
      </c>
      <c r="I309" s="149" t="s">
        <v>538</v>
      </c>
      <c r="J309" s="149" t="s">
        <v>462</v>
      </c>
      <c r="K309" s="149" t="s">
        <v>965</v>
      </c>
      <c r="L309" s="157">
        <v>45358</v>
      </c>
      <c r="M309" s="158"/>
      <c r="N309" s="163">
        <v>2</v>
      </c>
      <c r="O309" s="165" t="s">
        <v>449</v>
      </c>
      <c r="P309" s="161">
        <v>2641.82</v>
      </c>
      <c r="Q309" s="170">
        <v>45321</v>
      </c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</row>
    <row r="310" spans="1:27">
      <c r="A310" s="154">
        <v>3</v>
      </c>
      <c r="B310" s="155" t="s">
        <v>933</v>
      </c>
      <c r="C310" s="156">
        <v>45320</v>
      </c>
      <c r="D310" s="155" t="s">
        <v>440</v>
      </c>
      <c r="E310" s="149" t="s">
        <v>129</v>
      </c>
      <c r="F310" s="149" t="s">
        <v>441</v>
      </c>
      <c r="G310" s="149" t="s">
        <v>442</v>
      </c>
      <c r="H310" s="149" t="str">
        <f t="shared" si="1"/>
        <v>SOCORRO TEDÍN GARCÍA</v>
      </c>
      <c r="I310" s="149" t="s">
        <v>966</v>
      </c>
      <c r="J310" s="153" t="s">
        <v>516</v>
      </c>
      <c r="K310" s="149" t="s">
        <v>967</v>
      </c>
      <c r="L310" s="157">
        <v>45358</v>
      </c>
      <c r="M310" s="158"/>
      <c r="N310" s="163">
        <v>2</v>
      </c>
      <c r="O310" s="165" t="s">
        <v>446</v>
      </c>
      <c r="P310" s="161">
        <v>3604.4</v>
      </c>
      <c r="Q310" s="170">
        <v>45320</v>
      </c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</row>
    <row r="311" spans="1:27">
      <c r="A311" s="154">
        <v>3</v>
      </c>
      <c r="B311" s="155" t="s">
        <v>933</v>
      </c>
      <c r="C311" s="156">
        <v>45328</v>
      </c>
      <c r="D311" s="155" t="s">
        <v>440</v>
      </c>
      <c r="E311" s="149" t="s">
        <v>102</v>
      </c>
      <c r="F311" s="149" t="s">
        <v>441</v>
      </c>
      <c r="G311" s="149" t="s">
        <v>442</v>
      </c>
      <c r="H311" s="149" t="str">
        <f t="shared" si="1"/>
        <v>SANTIAGO MORENO PAREDES</v>
      </c>
      <c r="I311" s="149" t="s">
        <v>968</v>
      </c>
      <c r="J311" s="153" t="s">
        <v>462</v>
      </c>
      <c r="K311" s="149" t="s">
        <v>969</v>
      </c>
      <c r="L311" s="157">
        <v>45358</v>
      </c>
      <c r="M311" s="158"/>
      <c r="N311" s="163">
        <v>2</v>
      </c>
      <c r="O311" s="165" t="s">
        <v>449</v>
      </c>
      <c r="P311" s="161">
        <v>2704.55</v>
      </c>
      <c r="Q311" s="170">
        <v>45328</v>
      </c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</row>
    <row r="312" spans="1:27">
      <c r="A312" s="154">
        <v>3</v>
      </c>
      <c r="B312" s="155" t="s">
        <v>933</v>
      </c>
      <c r="C312" s="156">
        <v>45324</v>
      </c>
      <c r="D312" s="155" t="s">
        <v>440</v>
      </c>
      <c r="E312" s="149" t="s">
        <v>312</v>
      </c>
      <c r="F312" s="149" t="s">
        <v>450</v>
      </c>
      <c r="G312" s="149" t="s">
        <v>451</v>
      </c>
      <c r="H312" s="149" t="str">
        <f t="shared" si="1"/>
        <v>JOSEFA OLMEDO MARTÍNEZ</v>
      </c>
      <c r="I312" s="149" t="s">
        <v>970</v>
      </c>
      <c r="J312" s="153" t="s">
        <v>455</v>
      </c>
      <c r="K312" s="149" t="s">
        <v>971</v>
      </c>
      <c r="L312" s="157">
        <v>45358</v>
      </c>
      <c r="M312" s="164"/>
      <c r="N312" s="163">
        <v>2</v>
      </c>
      <c r="O312" s="165" t="s">
        <v>446</v>
      </c>
      <c r="P312" s="161">
        <v>3786.33</v>
      </c>
      <c r="Q312" s="170">
        <v>45324</v>
      </c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</row>
    <row r="313" spans="1:27">
      <c r="A313" s="154">
        <v>3</v>
      </c>
      <c r="B313" s="155" t="s">
        <v>933</v>
      </c>
      <c r="C313" s="156">
        <v>45315</v>
      </c>
      <c r="D313" s="155" t="s">
        <v>440</v>
      </c>
      <c r="E313" s="149" t="s">
        <v>308</v>
      </c>
      <c r="F313" s="149" t="s">
        <v>441</v>
      </c>
      <c r="G313" s="149" t="s">
        <v>442</v>
      </c>
      <c r="H313" s="149" t="str">
        <f t="shared" si="1"/>
        <v>ÁLVARO SÁNCHEZ ÁLVAREZ</v>
      </c>
      <c r="I313" s="149" t="s">
        <v>972</v>
      </c>
      <c r="J313" s="153" t="s">
        <v>548</v>
      </c>
      <c r="K313" s="149" t="s">
        <v>973</v>
      </c>
      <c r="L313" s="157">
        <v>45359</v>
      </c>
      <c r="M313" s="158"/>
      <c r="N313" s="163">
        <v>2</v>
      </c>
      <c r="O313" s="165" t="s">
        <v>449</v>
      </c>
      <c r="P313" s="161">
        <v>2780.91</v>
      </c>
      <c r="Q313" s="168">
        <v>45315</v>
      </c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</row>
    <row r="314" spans="1:27">
      <c r="A314" s="154">
        <v>3</v>
      </c>
      <c r="B314" s="155" t="s">
        <v>933</v>
      </c>
      <c r="C314" s="156">
        <v>45355</v>
      </c>
      <c r="D314" s="155" t="s">
        <v>440</v>
      </c>
      <c r="E314" s="149" t="s">
        <v>309</v>
      </c>
      <c r="F314" s="149" t="s">
        <v>441</v>
      </c>
      <c r="G314" s="149" t="s">
        <v>442</v>
      </c>
      <c r="H314" s="149" t="str">
        <f t="shared" si="1"/>
        <v>JOSE JOAQUÍN GUTIÉRREZ BARQUÍN</v>
      </c>
      <c r="I314" s="149" t="s">
        <v>716</v>
      </c>
      <c r="J314" s="153" t="s">
        <v>444</v>
      </c>
      <c r="K314" s="149" t="s">
        <v>974</v>
      </c>
      <c r="L314" s="157">
        <v>45359</v>
      </c>
      <c r="M314" s="164"/>
      <c r="N314" s="163">
        <v>1</v>
      </c>
      <c r="O314" s="165" t="s">
        <v>449</v>
      </c>
      <c r="P314" s="161">
        <v>1584.55</v>
      </c>
      <c r="Q314" s="170">
        <v>45355</v>
      </c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</row>
    <row r="315" spans="1:27">
      <c r="A315" s="154">
        <v>3</v>
      </c>
      <c r="B315" s="155" t="s">
        <v>933</v>
      </c>
      <c r="C315" s="156">
        <v>45320</v>
      </c>
      <c r="D315" s="155" t="s">
        <v>440</v>
      </c>
      <c r="E315" s="149" t="s">
        <v>102</v>
      </c>
      <c r="F315" s="149" t="s">
        <v>441</v>
      </c>
      <c r="G315" s="149" t="s">
        <v>442</v>
      </c>
      <c r="H315" s="149" t="str">
        <f t="shared" si="1"/>
        <v>JOSÉ GARCÍA MORILLAS</v>
      </c>
      <c r="I315" s="149" t="s">
        <v>975</v>
      </c>
      <c r="J315" s="153" t="s">
        <v>462</v>
      </c>
      <c r="K315" s="149" t="s">
        <v>976</v>
      </c>
      <c r="L315" s="157">
        <v>45359</v>
      </c>
      <c r="M315" s="164"/>
      <c r="N315" s="163">
        <v>2</v>
      </c>
      <c r="O315" s="165" t="s">
        <v>449</v>
      </c>
      <c r="P315" s="161">
        <v>2780.91</v>
      </c>
      <c r="Q315" s="170">
        <v>45320</v>
      </c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</row>
    <row r="316" spans="1:27">
      <c r="A316" s="154">
        <v>3</v>
      </c>
      <c r="B316" s="155" t="s">
        <v>933</v>
      </c>
      <c r="C316" s="156">
        <v>45336</v>
      </c>
      <c r="D316" s="155" t="s">
        <v>440</v>
      </c>
      <c r="E316" s="149" t="s">
        <v>312</v>
      </c>
      <c r="F316" s="149" t="s">
        <v>441</v>
      </c>
      <c r="G316" s="149" t="s">
        <v>442</v>
      </c>
      <c r="H316" s="149" t="str">
        <f t="shared" si="1"/>
        <v>JESÚS CROVATO ROJAS</v>
      </c>
      <c r="I316" s="149" t="s">
        <v>977</v>
      </c>
      <c r="J316" s="153" t="s">
        <v>455</v>
      </c>
      <c r="K316" s="149" t="s">
        <v>978</v>
      </c>
      <c r="L316" s="157">
        <v>45359</v>
      </c>
      <c r="M316" s="158"/>
      <c r="N316" s="163">
        <v>2</v>
      </c>
      <c r="O316" s="165" t="s">
        <v>466</v>
      </c>
      <c r="P316" s="161">
        <v>4404.55</v>
      </c>
      <c r="Q316" s="170">
        <v>45336</v>
      </c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</row>
    <row r="317" spans="1:27">
      <c r="A317" s="154">
        <v>3</v>
      </c>
      <c r="B317" s="155" t="s">
        <v>933</v>
      </c>
      <c r="C317" s="156">
        <v>45338</v>
      </c>
      <c r="D317" s="155" t="s">
        <v>440</v>
      </c>
      <c r="E317" s="149" t="s">
        <v>109</v>
      </c>
      <c r="F317" s="149" t="s">
        <v>441</v>
      </c>
      <c r="G317" s="149" t="s">
        <v>442</v>
      </c>
      <c r="H317" s="149" t="str">
        <f t="shared" si="1"/>
        <v>CRISTINA VADUVA</v>
      </c>
      <c r="I317" s="149" t="s">
        <v>499</v>
      </c>
      <c r="J317" s="153" t="s">
        <v>444</v>
      </c>
      <c r="K317" s="149" t="s">
        <v>979</v>
      </c>
      <c r="L317" s="157">
        <v>45362</v>
      </c>
      <c r="M317" s="158"/>
      <c r="N317" s="163">
        <v>2</v>
      </c>
      <c r="O317" s="165" t="s">
        <v>446</v>
      </c>
      <c r="P317" s="161">
        <v>3604.55</v>
      </c>
      <c r="Q317" s="170">
        <v>45338</v>
      </c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</row>
    <row r="318" spans="1:27">
      <c r="A318" s="154">
        <v>3</v>
      </c>
      <c r="B318" s="155" t="s">
        <v>933</v>
      </c>
      <c r="C318" s="156">
        <v>45303</v>
      </c>
      <c r="D318" s="166" t="s">
        <v>440</v>
      </c>
      <c r="E318" s="149" t="s">
        <v>311</v>
      </c>
      <c r="F318" s="149" t="s">
        <v>441</v>
      </c>
      <c r="G318" s="149" t="s">
        <v>442</v>
      </c>
      <c r="H318" s="149" t="str">
        <f t="shared" si="1"/>
        <v>ÓSCAR ALFONSO ARENAS BRITEZ</v>
      </c>
      <c r="I318" s="149" t="s">
        <v>980</v>
      </c>
      <c r="J318" s="149" t="s">
        <v>444</v>
      </c>
      <c r="K318" s="149" t="s">
        <v>981</v>
      </c>
      <c r="L318" s="157">
        <v>45363</v>
      </c>
      <c r="M318" s="158"/>
      <c r="N318" s="163">
        <v>2</v>
      </c>
      <c r="O318" s="165" t="s">
        <v>449</v>
      </c>
      <c r="P318" s="161">
        <v>2780.91</v>
      </c>
      <c r="Q318" s="170">
        <v>45303</v>
      </c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</row>
    <row r="319" spans="1:27">
      <c r="A319" s="154">
        <v>3</v>
      </c>
      <c r="B319" s="155" t="s">
        <v>933</v>
      </c>
      <c r="C319" s="156">
        <v>45335</v>
      </c>
      <c r="D319" s="155" t="s">
        <v>440</v>
      </c>
      <c r="E319" s="149" t="s">
        <v>98</v>
      </c>
      <c r="F319" s="149" t="s">
        <v>441</v>
      </c>
      <c r="G319" s="149" t="s">
        <v>442</v>
      </c>
      <c r="H319" s="149" t="str">
        <f t="shared" si="1"/>
        <v>NO REUERDA ORL</v>
      </c>
      <c r="I319" s="149" t="s">
        <v>469</v>
      </c>
      <c r="J319" s="149" t="s">
        <v>462</v>
      </c>
      <c r="K319" s="149" t="s">
        <v>982</v>
      </c>
      <c r="L319" s="157">
        <v>45363</v>
      </c>
      <c r="M319" s="158"/>
      <c r="N319" s="163">
        <v>2</v>
      </c>
      <c r="O319" s="165" t="s">
        <v>449</v>
      </c>
      <c r="P319" s="161">
        <v>2641.82</v>
      </c>
      <c r="Q319" s="170">
        <v>45335</v>
      </c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</row>
    <row r="320" spans="1:27">
      <c r="A320" s="154">
        <v>3</v>
      </c>
      <c r="B320" s="155" t="s">
        <v>933</v>
      </c>
      <c r="C320" s="156">
        <v>45327</v>
      </c>
      <c r="D320" s="155" t="s">
        <v>440</v>
      </c>
      <c r="E320" s="149" t="s">
        <v>239</v>
      </c>
      <c r="F320" s="149" t="s">
        <v>441</v>
      </c>
      <c r="G320" s="149" t="s">
        <v>442</v>
      </c>
      <c r="H320" s="149" t="str">
        <f t="shared" si="1"/>
        <v>MIGUEL ALBERTO RODRÍGUEZ PÉREZ</v>
      </c>
      <c r="I320" s="149" t="s">
        <v>509</v>
      </c>
      <c r="J320" s="149" t="s">
        <v>455</v>
      </c>
      <c r="K320" s="149" t="s">
        <v>983</v>
      </c>
      <c r="L320" s="157">
        <v>45363</v>
      </c>
      <c r="M320" s="158"/>
      <c r="N320" s="163">
        <v>1</v>
      </c>
      <c r="O320" s="165" t="s">
        <v>449</v>
      </c>
      <c r="P320" s="161">
        <v>1671.14</v>
      </c>
      <c r="Q320" s="170">
        <v>45327</v>
      </c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</row>
    <row r="321" spans="1:27">
      <c r="A321" s="154">
        <v>3</v>
      </c>
      <c r="B321" s="155" t="s">
        <v>933</v>
      </c>
      <c r="C321" s="156">
        <v>45336</v>
      </c>
      <c r="D321" s="155" t="s">
        <v>440</v>
      </c>
      <c r="E321" s="149" t="s">
        <v>525</v>
      </c>
      <c r="F321" s="149" t="s">
        <v>441</v>
      </c>
      <c r="G321" s="149" t="s">
        <v>442</v>
      </c>
      <c r="H321" s="149" t="str">
        <f t="shared" si="1"/>
        <v>Alejandro Harguindey Antoli-Candela</v>
      </c>
      <c r="I321" s="149" t="s">
        <v>528</v>
      </c>
      <c r="J321" s="149" t="s">
        <v>699</v>
      </c>
      <c r="K321" s="149" t="s">
        <v>984</v>
      </c>
      <c r="L321" s="157">
        <v>45363</v>
      </c>
      <c r="M321" s="158"/>
      <c r="N321" s="163">
        <v>2</v>
      </c>
      <c r="O321" s="165" t="s">
        <v>446</v>
      </c>
      <c r="P321" s="161">
        <v>3545.44</v>
      </c>
      <c r="Q321" s="170">
        <v>45336</v>
      </c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</row>
    <row r="322" spans="1:27">
      <c r="A322" s="154">
        <v>3</v>
      </c>
      <c r="B322" s="155" t="s">
        <v>933</v>
      </c>
      <c r="C322" s="156">
        <v>45334</v>
      </c>
      <c r="D322" s="155" t="s">
        <v>440</v>
      </c>
      <c r="E322" s="149" t="s">
        <v>460</v>
      </c>
      <c r="F322" s="149" t="s">
        <v>441</v>
      </c>
      <c r="G322" s="149" t="s">
        <v>442</v>
      </c>
      <c r="H322" s="149" t="str">
        <f t="shared" si="1"/>
        <v>CARLOS VELÁSQUEZ FERMÍN</v>
      </c>
      <c r="I322" s="149" t="s">
        <v>831</v>
      </c>
      <c r="J322" s="149" t="s">
        <v>462</v>
      </c>
      <c r="K322" s="149" t="s">
        <v>985</v>
      </c>
      <c r="L322" s="157">
        <v>45364</v>
      </c>
      <c r="M322" s="158"/>
      <c r="N322" s="163">
        <v>1</v>
      </c>
      <c r="O322" s="165" t="s">
        <v>449</v>
      </c>
      <c r="P322" s="161">
        <v>1584.77</v>
      </c>
      <c r="Q322" s="168">
        <v>45334</v>
      </c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</row>
    <row r="323" spans="1:27">
      <c r="A323" s="154">
        <v>3</v>
      </c>
      <c r="B323" s="155" t="s">
        <v>933</v>
      </c>
      <c r="C323" s="156">
        <v>45327</v>
      </c>
      <c r="D323" s="155" t="s">
        <v>440</v>
      </c>
      <c r="E323" s="149" t="s">
        <v>317</v>
      </c>
      <c r="F323" s="149" t="s">
        <v>441</v>
      </c>
      <c r="G323" s="149" t="s">
        <v>442</v>
      </c>
      <c r="H323" s="149" t="str">
        <f t="shared" si="1"/>
        <v>KAREN ROJAS CRESPO</v>
      </c>
      <c r="I323" s="149" t="s">
        <v>986</v>
      </c>
      <c r="J323" s="149" t="s">
        <v>462</v>
      </c>
      <c r="K323" s="149" t="s">
        <v>987</v>
      </c>
      <c r="L323" s="157">
        <v>45364</v>
      </c>
      <c r="M323" s="158"/>
      <c r="N323" s="163">
        <v>2</v>
      </c>
      <c r="O323" s="165" t="s">
        <v>446</v>
      </c>
      <c r="P323" s="161">
        <v>3604.55</v>
      </c>
      <c r="Q323" s="170">
        <v>45327</v>
      </c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</row>
    <row r="324" spans="1:27">
      <c r="A324" s="154">
        <v>3</v>
      </c>
      <c r="B324" s="155" t="s">
        <v>933</v>
      </c>
      <c r="C324" s="156">
        <v>45306</v>
      </c>
      <c r="D324" s="155" t="s">
        <v>440</v>
      </c>
      <c r="E324" s="149" t="s">
        <v>138</v>
      </c>
      <c r="F324" s="149" t="s">
        <v>441</v>
      </c>
      <c r="G324" s="149" t="s">
        <v>442</v>
      </c>
      <c r="H324" s="149" t="str">
        <f t="shared" si="1"/>
        <v>DOLORES ROMERO PANADRRO</v>
      </c>
      <c r="I324" s="149" t="s">
        <v>988</v>
      </c>
      <c r="J324" s="153" t="s">
        <v>532</v>
      </c>
      <c r="K324" s="149" t="s">
        <v>989</v>
      </c>
      <c r="L324" s="157">
        <v>45364</v>
      </c>
      <c r="M324" s="158"/>
      <c r="N324" s="163">
        <v>2</v>
      </c>
      <c r="O324" s="165" t="s">
        <v>446</v>
      </c>
      <c r="P324" s="161">
        <v>3604.55</v>
      </c>
      <c r="Q324" s="170">
        <v>45306</v>
      </c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</row>
    <row r="325" spans="1:27">
      <c r="A325" s="154">
        <v>3</v>
      </c>
      <c r="B325" s="155" t="s">
        <v>933</v>
      </c>
      <c r="C325" s="156">
        <v>45317</v>
      </c>
      <c r="D325" s="155" t="s">
        <v>440</v>
      </c>
      <c r="E325" s="149" t="s">
        <v>707</v>
      </c>
      <c r="F325" s="149" t="s">
        <v>441</v>
      </c>
      <c r="G325" s="149" t="s">
        <v>442</v>
      </c>
      <c r="H325" s="149" t="str">
        <f t="shared" si="1"/>
        <v>RAFAEL MARTÍNEZ GARCERAN</v>
      </c>
      <c r="I325" s="149" t="s">
        <v>708</v>
      </c>
      <c r="J325" s="153" t="s">
        <v>462</v>
      </c>
      <c r="K325" s="149" t="s">
        <v>990</v>
      </c>
      <c r="L325" s="157">
        <v>45364</v>
      </c>
      <c r="M325" s="158"/>
      <c r="N325" s="163">
        <v>2</v>
      </c>
      <c r="O325" s="165" t="s">
        <v>466</v>
      </c>
      <c r="P325" s="161">
        <v>4222.58</v>
      </c>
      <c r="Q325" s="170">
        <v>45317</v>
      </c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</row>
    <row r="326" spans="1:27">
      <c r="A326" s="154">
        <v>3</v>
      </c>
      <c r="B326" s="155" t="s">
        <v>933</v>
      </c>
      <c r="C326" s="156">
        <v>45322</v>
      </c>
      <c r="D326" s="155" t="s">
        <v>440</v>
      </c>
      <c r="E326" s="149" t="s">
        <v>271</v>
      </c>
      <c r="F326" s="149" t="s">
        <v>441</v>
      </c>
      <c r="G326" s="149" t="s">
        <v>442</v>
      </c>
      <c r="H326" s="149" t="str">
        <f t="shared" si="1"/>
        <v>ANTONIO BUENO RÍOS</v>
      </c>
      <c r="I326" s="149" t="s">
        <v>519</v>
      </c>
      <c r="J326" s="153" t="s">
        <v>548</v>
      </c>
      <c r="K326" s="149" t="s">
        <v>991</v>
      </c>
      <c r="L326" s="157">
        <v>45364</v>
      </c>
      <c r="M326" s="158"/>
      <c r="N326" s="163">
        <v>2</v>
      </c>
      <c r="O326" s="165" t="s">
        <v>466</v>
      </c>
      <c r="P326" s="161">
        <v>3388.27</v>
      </c>
      <c r="Q326" s="170">
        <v>45322</v>
      </c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</row>
    <row r="327" spans="1:27">
      <c r="A327" s="154">
        <v>3</v>
      </c>
      <c r="B327" s="155" t="s">
        <v>933</v>
      </c>
      <c r="C327" s="156">
        <v>45124</v>
      </c>
      <c r="D327" s="155" t="s">
        <v>440</v>
      </c>
      <c r="E327" s="149" t="s">
        <v>271</v>
      </c>
      <c r="F327" s="149" t="s">
        <v>441</v>
      </c>
      <c r="G327" s="149" t="s">
        <v>442</v>
      </c>
      <c r="H327" s="149" t="str">
        <f t="shared" si="1"/>
        <v>JULIO LÓPEZ MOYA</v>
      </c>
      <c r="I327" s="149" t="s">
        <v>504</v>
      </c>
      <c r="J327" s="149" t="s">
        <v>444</v>
      </c>
      <c r="K327" s="149" t="s">
        <v>992</v>
      </c>
      <c r="L327" s="157">
        <v>45364</v>
      </c>
      <c r="M327" s="158"/>
      <c r="N327" s="163">
        <v>1</v>
      </c>
      <c r="O327" s="165" t="s">
        <v>466</v>
      </c>
      <c r="P327" s="161">
        <v>1545.45</v>
      </c>
      <c r="Q327" s="170">
        <v>45124</v>
      </c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</row>
    <row r="328" spans="1:27">
      <c r="A328" s="154">
        <v>3</v>
      </c>
      <c r="B328" s="155" t="s">
        <v>933</v>
      </c>
      <c r="C328" s="156">
        <v>45334</v>
      </c>
      <c r="D328" s="155" t="s">
        <v>440</v>
      </c>
      <c r="E328" s="149" t="s">
        <v>98</v>
      </c>
      <c r="F328" s="149" t="s">
        <v>441</v>
      </c>
      <c r="G328" s="149" t="s">
        <v>442</v>
      </c>
      <c r="H328" s="149" t="str">
        <f t="shared" si="1"/>
        <v>JESÚS MIGUEL INIESTA TURPÍN</v>
      </c>
      <c r="I328" s="149" t="s">
        <v>594</v>
      </c>
      <c r="J328" s="153" t="s">
        <v>462</v>
      </c>
      <c r="K328" s="149" t="s">
        <v>993</v>
      </c>
      <c r="L328" s="157">
        <v>45364</v>
      </c>
      <c r="M328" s="158"/>
      <c r="N328" s="163">
        <v>2</v>
      </c>
      <c r="O328" s="165" t="s">
        <v>466</v>
      </c>
      <c r="P328" s="161">
        <v>4222.7299999999996</v>
      </c>
      <c r="Q328" s="170">
        <v>45334</v>
      </c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</row>
    <row r="329" spans="1:27">
      <c r="A329" s="154">
        <v>3</v>
      </c>
      <c r="B329" s="155" t="s">
        <v>933</v>
      </c>
      <c r="C329" s="156">
        <v>45307</v>
      </c>
      <c r="D329" s="155" t="s">
        <v>440</v>
      </c>
      <c r="E329" s="149" t="s">
        <v>98</v>
      </c>
      <c r="F329" s="149" t="s">
        <v>441</v>
      </c>
      <c r="G329" s="149" t="s">
        <v>442</v>
      </c>
      <c r="H329" s="149" t="str">
        <f t="shared" si="1"/>
        <v>MARÍA AGUSTINA SEVILLA GARCÍA</v>
      </c>
      <c r="I329" s="149" t="s">
        <v>538</v>
      </c>
      <c r="J329" s="153" t="s">
        <v>462</v>
      </c>
      <c r="K329" s="149" t="s">
        <v>994</v>
      </c>
      <c r="L329" s="157">
        <v>45364</v>
      </c>
      <c r="M329" s="158"/>
      <c r="N329" s="163">
        <v>2</v>
      </c>
      <c r="O329" s="165" t="s">
        <v>446</v>
      </c>
      <c r="P329" s="161">
        <v>3603.85</v>
      </c>
      <c r="Q329" s="170">
        <v>45307</v>
      </c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</row>
    <row r="330" spans="1:27">
      <c r="A330" s="154">
        <v>3</v>
      </c>
      <c r="B330" s="155" t="s">
        <v>933</v>
      </c>
      <c r="C330" s="156">
        <v>45330</v>
      </c>
      <c r="D330" s="155" t="s">
        <v>440</v>
      </c>
      <c r="E330" s="149" t="s">
        <v>129</v>
      </c>
      <c r="F330" s="149" t="s">
        <v>441</v>
      </c>
      <c r="G330" s="149" t="s">
        <v>442</v>
      </c>
      <c r="H330" s="149" t="str">
        <f t="shared" si="1"/>
        <v>MOHAMED AL RIFAL AL MASTI</v>
      </c>
      <c r="I330" s="149" t="s">
        <v>995</v>
      </c>
      <c r="J330" s="149" t="s">
        <v>516</v>
      </c>
      <c r="K330" s="149" t="s">
        <v>996</v>
      </c>
      <c r="L330" s="157">
        <v>45364</v>
      </c>
      <c r="M330" s="158"/>
      <c r="N330" s="163">
        <v>2</v>
      </c>
      <c r="O330" s="165" t="s">
        <v>446</v>
      </c>
      <c r="P330" s="161">
        <v>3604.55</v>
      </c>
      <c r="Q330" s="170">
        <v>45330</v>
      </c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</row>
    <row r="331" spans="1:27">
      <c r="A331" s="154">
        <v>3</v>
      </c>
      <c r="B331" s="155" t="s">
        <v>933</v>
      </c>
      <c r="C331" s="156">
        <v>45336</v>
      </c>
      <c r="D331" s="155" t="s">
        <v>440</v>
      </c>
      <c r="E331" s="149" t="s">
        <v>312</v>
      </c>
      <c r="F331" s="149" t="s">
        <v>441</v>
      </c>
      <c r="G331" s="149" t="s">
        <v>442</v>
      </c>
      <c r="H331" s="149" t="str">
        <f t="shared" si="1"/>
        <v>FRANCISCO ALÉS CONEJO</v>
      </c>
      <c r="I331" s="149" t="s">
        <v>997</v>
      </c>
      <c r="J331" s="153" t="s">
        <v>455</v>
      </c>
      <c r="K331" s="149" t="s">
        <v>998</v>
      </c>
      <c r="L331" s="157">
        <v>45364</v>
      </c>
      <c r="M331" s="158"/>
      <c r="N331" s="163">
        <v>2</v>
      </c>
      <c r="O331" s="165" t="s">
        <v>449</v>
      </c>
      <c r="P331" s="161">
        <v>2801.22</v>
      </c>
      <c r="Q331" s="170">
        <v>45336</v>
      </c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</row>
    <row r="332" spans="1:27">
      <c r="A332" s="154">
        <v>3</v>
      </c>
      <c r="B332" s="155" t="s">
        <v>933</v>
      </c>
      <c r="C332" s="156">
        <v>45337</v>
      </c>
      <c r="D332" s="155" t="s">
        <v>440</v>
      </c>
      <c r="E332" s="149" t="s">
        <v>525</v>
      </c>
      <c r="F332" s="149" t="s">
        <v>441</v>
      </c>
      <c r="G332" s="149" t="s">
        <v>442</v>
      </c>
      <c r="H332" s="149" t="str">
        <f t="shared" si="1"/>
        <v>ESTRELLA PALLAS PALLAS</v>
      </c>
      <c r="I332" s="149" t="s">
        <v>999</v>
      </c>
      <c r="J332" s="149" t="s">
        <v>516</v>
      </c>
      <c r="K332" s="149" t="s">
        <v>1000</v>
      </c>
      <c r="L332" s="157">
        <v>45364</v>
      </c>
      <c r="M332" s="158"/>
      <c r="N332" s="163">
        <v>1</v>
      </c>
      <c r="O332" s="165" t="s">
        <v>446</v>
      </c>
      <c r="P332" s="161">
        <v>709.09</v>
      </c>
      <c r="Q332" s="170">
        <v>45337</v>
      </c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</row>
    <row r="333" spans="1:27">
      <c r="A333" s="154">
        <v>3</v>
      </c>
      <c r="B333" s="155" t="s">
        <v>933</v>
      </c>
      <c r="C333" s="156">
        <v>45327</v>
      </c>
      <c r="D333" s="155" t="s">
        <v>440</v>
      </c>
      <c r="E333" s="149" t="s">
        <v>317</v>
      </c>
      <c r="F333" s="149" t="s">
        <v>441</v>
      </c>
      <c r="G333" s="149" t="s">
        <v>442</v>
      </c>
      <c r="H333" s="149" t="str">
        <f t="shared" si="1"/>
        <v>FRANCISCO JAVIER CERDÁN BAEZA</v>
      </c>
      <c r="I333" s="149" t="s">
        <v>1001</v>
      </c>
      <c r="J333" s="153" t="s">
        <v>462</v>
      </c>
      <c r="K333" s="149" t="s">
        <v>1002</v>
      </c>
      <c r="L333" s="157">
        <v>45365</v>
      </c>
      <c r="M333" s="164"/>
      <c r="N333" s="163">
        <v>1</v>
      </c>
      <c r="O333" s="165" t="s">
        <v>446</v>
      </c>
      <c r="P333" s="161">
        <v>2162.73</v>
      </c>
      <c r="Q333" s="170">
        <v>45327</v>
      </c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</row>
    <row r="334" spans="1:27">
      <c r="A334" s="154">
        <v>3</v>
      </c>
      <c r="B334" s="155" t="s">
        <v>933</v>
      </c>
      <c r="C334" s="156">
        <v>45343</v>
      </c>
      <c r="D334" s="155" t="s">
        <v>440</v>
      </c>
      <c r="E334" s="149" t="s">
        <v>671</v>
      </c>
      <c r="F334" s="149" t="s">
        <v>441</v>
      </c>
      <c r="G334" s="149" t="s">
        <v>442</v>
      </c>
      <c r="H334" s="149" t="str">
        <f t="shared" si="1"/>
        <v>PEDRO JUIZ LÓPEZ</v>
      </c>
      <c r="I334" s="149" t="s">
        <v>672</v>
      </c>
      <c r="J334" s="149" t="s">
        <v>516</v>
      </c>
      <c r="K334" s="149" t="s">
        <v>1003</v>
      </c>
      <c r="L334" s="157">
        <v>45365</v>
      </c>
      <c r="M334" s="164"/>
      <c r="N334" s="163">
        <v>2</v>
      </c>
      <c r="O334" s="165" t="s">
        <v>449</v>
      </c>
      <c r="P334" s="161">
        <v>2904.55</v>
      </c>
      <c r="Q334" s="170">
        <v>45343</v>
      </c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</row>
    <row r="335" spans="1:27">
      <c r="A335" s="154">
        <v>3</v>
      </c>
      <c r="B335" s="155" t="s">
        <v>933</v>
      </c>
      <c r="C335" s="156">
        <v>45330</v>
      </c>
      <c r="D335" s="155" t="s">
        <v>440</v>
      </c>
      <c r="E335" s="167" t="s">
        <v>309</v>
      </c>
      <c r="F335" s="167" t="s">
        <v>441</v>
      </c>
      <c r="G335" s="167" t="s">
        <v>442</v>
      </c>
      <c r="H335" s="149" t="str">
        <f t="shared" si="1"/>
        <v>INMACULADA SANCHO MARTÍN</v>
      </c>
      <c r="I335" s="167" t="s">
        <v>1004</v>
      </c>
      <c r="J335" s="167" t="s">
        <v>444</v>
      </c>
      <c r="K335" s="167" t="s">
        <v>1005</v>
      </c>
      <c r="L335" s="171">
        <v>45365</v>
      </c>
      <c r="M335" s="172"/>
      <c r="N335" s="173">
        <v>2</v>
      </c>
      <c r="O335" s="174" t="s">
        <v>449</v>
      </c>
      <c r="P335" s="175">
        <v>2780.91</v>
      </c>
      <c r="Q335" s="170">
        <v>45330</v>
      </c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</row>
    <row r="336" spans="1:27">
      <c r="A336" s="154">
        <v>3</v>
      </c>
      <c r="B336" s="155" t="s">
        <v>933</v>
      </c>
      <c r="C336" s="156">
        <v>45098</v>
      </c>
      <c r="D336" s="155" t="s">
        <v>440</v>
      </c>
      <c r="E336" s="149" t="s">
        <v>102</v>
      </c>
      <c r="F336" s="149" t="s">
        <v>441</v>
      </c>
      <c r="G336" s="149" t="s">
        <v>442</v>
      </c>
      <c r="H336" s="149" t="str">
        <f t="shared" si="1"/>
        <v>JUAN JAVIER ÁLVAREZ LÓPEZ</v>
      </c>
      <c r="I336" s="149" t="s">
        <v>664</v>
      </c>
      <c r="J336" s="153" t="s">
        <v>462</v>
      </c>
      <c r="K336" s="149" t="s">
        <v>1006</v>
      </c>
      <c r="L336" s="157">
        <v>45365</v>
      </c>
      <c r="M336" s="158"/>
      <c r="N336" s="163">
        <v>2</v>
      </c>
      <c r="O336" s="165" t="s">
        <v>446</v>
      </c>
      <c r="P336" s="161">
        <v>3604.55</v>
      </c>
      <c r="Q336" s="170">
        <v>45098</v>
      </c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</row>
    <row r="337" spans="1:27">
      <c r="A337" s="154">
        <v>3</v>
      </c>
      <c r="B337" s="155" t="s">
        <v>933</v>
      </c>
      <c r="C337" s="156">
        <v>45335</v>
      </c>
      <c r="D337" s="155" t="s">
        <v>440</v>
      </c>
      <c r="E337" s="149" t="s">
        <v>239</v>
      </c>
      <c r="F337" s="149" t="s">
        <v>441</v>
      </c>
      <c r="G337" s="149" t="s">
        <v>442</v>
      </c>
      <c r="H337" s="149" t="str">
        <f t="shared" si="1"/>
        <v>JEREMY FLORES TRUJILLO</v>
      </c>
      <c r="I337" s="149" t="s">
        <v>1007</v>
      </c>
      <c r="J337" s="153" t="s">
        <v>455</v>
      </c>
      <c r="K337" s="149" t="s">
        <v>1008</v>
      </c>
      <c r="L337" s="157">
        <v>45365</v>
      </c>
      <c r="M337" s="158"/>
      <c r="N337" s="163">
        <v>1</v>
      </c>
      <c r="O337" s="165" t="s">
        <v>446</v>
      </c>
      <c r="P337" s="161">
        <v>2318.1799999999998</v>
      </c>
      <c r="Q337" s="170">
        <v>45335</v>
      </c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</row>
    <row r="338" spans="1:27">
      <c r="A338" s="154">
        <v>3</v>
      </c>
      <c r="B338" s="155" t="s">
        <v>933</v>
      </c>
      <c r="C338" s="156">
        <v>45328</v>
      </c>
      <c r="D338" s="155" t="s">
        <v>440</v>
      </c>
      <c r="E338" s="149" t="s">
        <v>311</v>
      </c>
      <c r="F338" s="149" t="s">
        <v>441</v>
      </c>
      <c r="G338" s="149" t="s">
        <v>442</v>
      </c>
      <c r="H338" s="149" t="str">
        <f t="shared" si="1"/>
        <v>VICTORIA GARCÍA PECES</v>
      </c>
      <c r="I338" s="149" t="s">
        <v>488</v>
      </c>
      <c r="J338" s="153" t="s">
        <v>444</v>
      </c>
      <c r="K338" s="149" t="s">
        <v>1009</v>
      </c>
      <c r="L338" s="157">
        <v>45366</v>
      </c>
      <c r="M338" s="158"/>
      <c r="N338" s="163">
        <v>1</v>
      </c>
      <c r="O338" s="165" t="s">
        <v>449</v>
      </c>
      <c r="P338" s="161">
        <v>1481.85</v>
      </c>
      <c r="Q338" s="170">
        <v>45328</v>
      </c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</row>
    <row r="339" spans="1:27">
      <c r="A339" s="154">
        <v>3</v>
      </c>
      <c r="B339" s="155" t="s">
        <v>933</v>
      </c>
      <c r="C339" s="156">
        <v>45329</v>
      </c>
      <c r="D339" s="155" t="s">
        <v>440</v>
      </c>
      <c r="E339" s="149" t="s">
        <v>618</v>
      </c>
      <c r="F339" s="149" t="s">
        <v>441</v>
      </c>
      <c r="G339" s="149" t="s">
        <v>442</v>
      </c>
      <c r="H339" s="149" t="str">
        <f t="shared" si="1"/>
        <v>GUILLERMO SAN JUAN DE LA MORETA</v>
      </c>
      <c r="I339" s="149" t="s">
        <v>826</v>
      </c>
      <c r="J339" s="153" t="s">
        <v>444</v>
      </c>
      <c r="K339" s="149" t="s">
        <v>1010</v>
      </c>
      <c r="L339" s="157">
        <v>45366</v>
      </c>
      <c r="M339" s="164"/>
      <c r="N339" s="163">
        <v>1</v>
      </c>
      <c r="O339" s="165" t="s">
        <v>446</v>
      </c>
      <c r="P339" s="161">
        <v>2162.73</v>
      </c>
      <c r="Q339" s="170">
        <v>45329</v>
      </c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</row>
    <row r="340" spans="1:27">
      <c r="A340" s="154">
        <v>3</v>
      </c>
      <c r="B340" s="155" t="s">
        <v>933</v>
      </c>
      <c r="C340" s="156">
        <v>45324</v>
      </c>
      <c r="D340" s="155" t="s">
        <v>440</v>
      </c>
      <c r="E340" s="149" t="s">
        <v>98</v>
      </c>
      <c r="F340" s="149" t="s">
        <v>441</v>
      </c>
      <c r="G340" s="149" t="s">
        <v>442</v>
      </c>
      <c r="H340" s="149" t="str">
        <f t="shared" si="1"/>
        <v>JESÚS MIGUEL INIESTA TURPÍN</v>
      </c>
      <c r="I340" s="149" t="s">
        <v>594</v>
      </c>
      <c r="J340" s="149" t="s">
        <v>462</v>
      </c>
      <c r="K340" s="149" t="s">
        <v>1011</v>
      </c>
      <c r="L340" s="157">
        <v>45366</v>
      </c>
      <c r="M340" s="158"/>
      <c r="N340" s="163">
        <v>2</v>
      </c>
      <c r="O340" s="165" t="s">
        <v>446</v>
      </c>
      <c r="P340" s="161">
        <v>3425</v>
      </c>
      <c r="Q340" s="170">
        <v>45324</v>
      </c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</row>
    <row r="341" spans="1:27">
      <c r="A341" s="154">
        <v>3</v>
      </c>
      <c r="B341" s="155" t="s">
        <v>933</v>
      </c>
      <c r="C341" s="156">
        <v>45063</v>
      </c>
      <c r="D341" s="155" t="s">
        <v>440</v>
      </c>
      <c r="E341" s="149" t="s">
        <v>506</v>
      </c>
      <c r="F341" s="149" t="s">
        <v>441</v>
      </c>
      <c r="G341" s="149" t="s">
        <v>442</v>
      </c>
      <c r="H341" s="149" t="str">
        <f t="shared" si="1"/>
        <v>MARÍA JESÚS CORNEJO DOMÍNGUEZ</v>
      </c>
      <c r="I341" s="149" t="s">
        <v>507</v>
      </c>
      <c r="J341" s="153" t="s">
        <v>473</v>
      </c>
      <c r="K341" s="149" t="s">
        <v>1012</v>
      </c>
      <c r="L341" s="157">
        <v>45366</v>
      </c>
      <c r="M341" s="158"/>
      <c r="N341" s="163">
        <v>1</v>
      </c>
      <c r="O341" s="165" t="s">
        <v>446</v>
      </c>
      <c r="P341" s="161">
        <v>1818.16</v>
      </c>
      <c r="Q341" s="170">
        <v>45063</v>
      </c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</row>
    <row r="342" spans="1:27">
      <c r="A342" s="154">
        <v>3</v>
      </c>
      <c r="B342" s="155" t="s">
        <v>933</v>
      </c>
      <c r="C342" s="156">
        <v>45331</v>
      </c>
      <c r="D342" s="155" t="s">
        <v>440</v>
      </c>
      <c r="E342" s="149" t="s">
        <v>115</v>
      </c>
      <c r="F342" s="149" t="s">
        <v>441</v>
      </c>
      <c r="G342" s="149" t="s">
        <v>442</v>
      </c>
      <c r="H342" s="149" t="str">
        <f t="shared" si="1"/>
        <v>ANTONIO BUENO RÍOS</v>
      </c>
      <c r="I342" s="149" t="s">
        <v>519</v>
      </c>
      <c r="J342" s="153" t="s">
        <v>548</v>
      </c>
      <c r="K342" s="149" t="s">
        <v>1013</v>
      </c>
      <c r="L342" s="157">
        <v>45366</v>
      </c>
      <c r="M342" s="158"/>
      <c r="N342" s="163">
        <v>1</v>
      </c>
      <c r="O342" s="165" t="s">
        <v>466</v>
      </c>
      <c r="P342" s="161">
        <v>2536.36</v>
      </c>
      <c r="Q342" s="170">
        <v>45331</v>
      </c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</row>
    <row r="343" spans="1:27">
      <c r="A343" s="154">
        <v>3</v>
      </c>
      <c r="B343" s="155" t="s">
        <v>933</v>
      </c>
      <c r="C343" s="156">
        <v>45349</v>
      </c>
      <c r="D343" s="155" t="s">
        <v>440</v>
      </c>
      <c r="E343" s="149" t="s">
        <v>318</v>
      </c>
      <c r="F343" s="149" t="s">
        <v>441</v>
      </c>
      <c r="G343" s="149" t="s">
        <v>442</v>
      </c>
      <c r="H343" s="149" t="str">
        <f t="shared" si="1"/>
        <v>Mª JOSÉ GÁMIZ MAROTO</v>
      </c>
      <c r="I343" s="149" t="s">
        <v>1014</v>
      </c>
      <c r="J343" s="153" t="s">
        <v>462</v>
      </c>
      <c r="K343" s="149" t="s">
        <v>1015</v>
      </c>
      <c r="L343" s="157">
        <v>45369</v>
      </c>
      <c r="M343" s="164"/>
      <c r="N343" s="163">
        <v>2</v>
      </c>
      <c r="O343" s="165" t="s">
        <v>446</v>
      </c>
      <c r="P343" s="161">
        <v>3604.55</v>
      </c>
      <c r="Q343" s="170">
        <v>45349</v>
      </c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</row>
    <row r="344" spans="1:27">
      <c r="A344" s="154">
        <v>3</v>
      </c>
      <c r="B344" s="155" t="s">
        <v>933</v>
      </c>
      <c r="C344" s="156">
        <v>45337</v>
      </c>
      <c r="D344" s="155" t="s">
        <v>440</v>
      </c>
      <c r="E344" s="149" t="s">
        <v>122</v>
      </c>
      <c r="F344" s="149" t="s">
        <v>441</v>
      </c>
      <c r="G344" s="149" t="s">
        <v>442</v>
      </c>
      <c r="H344" s="149" t="str">
        <f t="shared" si="1"/>
        <v>JULIO LÓPEZ MOYA</v>
      </c>
      <c r="I344" s="149" t="s">
        <v>504</v>
      </c>
      <c r="J344" s="153" t="s">
        <v>444</v>
      </c>
      <c r="K344" s="149" t="s">
        <v>1016</v>
      </c>
      <c r="L344" s="157">
        <v>45369</v>
      </c>
      <c r="M344" s="158"/>
      <c r="N344" s="163">
        <v>2</v>
      </c>
      <c r="O344" s="165" t="s">
        <v>449</v>
      </c>
      <c r="P344" s="161">
        <v>2780.91</v>
      </c>
      <c r="Q344" s="170">
        <v>45337</v>
      </c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</row>
    <row r="345" spans="1:27">
      <c r="A345" s="154">
        <v>3</v>
      </c>
      <c r="B345" s="155" t="s">
        <v>933</v>
      </c>
      <c r="C345" s="156">
        <v>45315</v>
      </c>
      <c r="D345" s="155" t="s">
        <v>440</v>
      </c>
      <c r="E345" s="149" t="s">
        <v>271</v>
      </c>
      <c r="F345" s="149" t="s">
        <v>441</v>
      </c>
      <c r="G345" s="149" t="s">
        <v>442</v>
      </c>
      <c r="H345" s="149" t="str">
        <f t="shared" si="1"/>
        <v>FRANCISCO J, REDONDO DEL BARCO</v>
      </c>
      <c r="I345" s="149" t="s">
        <v>723</v>
      </c>
      <c r="J345" s="153" t="s">
        <v>548</v>
      </c>
      <c r="K345" s="149" t="s">
        <v>1017</v>
      </c>
      <c r="L345" s="157">
        <v>45369</v>
      </c>
      <c r="M345" s="158"/>
      <c r="N345" s="163">
        <v>2</v>
      </c>
      <c r="O345" s="165" t="s">
        <v>466</v>
      </c>
      <c r="P345" s="161">
        <v>4011.58</v>
      </c>
      <c r="Q345" s="170">
        <v>45315</v>
      </c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</row>
    <row r="346" spans="1:27">
      <c r="A346" s="154">
        <v>3</v>
      </c>
      <c r="B346" s="155" t="s">
        <v>933</v>
      </c>
      <c r="C346" s="156">
        <v>45273</v>
      </c>
      <c r="D346" s="155" t="s">
        <v>440</v>
      </c>
      <c r="E346" s="149" t="s">
        <v>313</v>
      </c>
      <c r="F346" s="149" t="s">
        <v>441</v>
      </c>
      <c r="G346" s="149" t="s">
        <v>442</v>
      </c>
      <c r="H346" s="149" t="str">
        <f t="shared" si="1"/>
        <v>JOAQUÍN ALACIO CASERO</v>
      </c>
      <c r="I346" s="149" t="s">
        <v>651</v>
      </c>
      <c r="J346" s="153" t="s">
        <v>444</v>
      </c>
      <c r="K346" s="149" t="s">
        <v>1018</v>
      </c>
      <c r="L346" s="157">
        <v>45369</v>
      </c>
      <c r="M346" s="158"/>
      <c r="N346" s="163">
        <v>1</v>
      </c>
      <c r="O346" s="165" t="s">
        <v>513</v>
      </c>
      <c r="P346" s="161">
        <v>2904.55</v>
      </c>
      <c r="Q346" s="170">
        <v>45273</v>
      </c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</row>
    <row r="347" spans="1:27">
      <c r="A347" s="154">
        <v>3</v>
      </c>
      <c r="B347" s="155" t="s">
        <v>933</v>
      </c>
      <c r="C347" s="156">
        <v>45303</v>
      </c>
      <c r="D347" s="155" t="s">
        <v>440</v>
      </c>
      <c r="E347" s="149" t="s">
        <v>98</v>
      </c>
      <c r="F347" s="149" t="s">
        <v>441</v>
      </c>
      <c r="G347" s="149" t="s">
        <v>442</v>
      </c>
      <c r="H347" s="149" t="str">
        <f t="shared" si="1"/>
        <v>NURIA SALAS BARRIO</v>
      </c>
      <c r="I347" s="149" t="s">
        <v>1019</v>
      </c>
      <c r="J347" s="149" t="s">
        <v>462</v>
      </c>
      <c r="K347" s="149" t="s">
        <v>1020</v>
      </c>
      <c r="L347" s="157">
        <v>45369</v>
      </c>
      <c r="M347" s="158"/>
      <c r="N347" s="163">
        <v>2</v>
      </c>
      <c r="O347" s="165" t="s">
        <v>513</v>
      </c>
      <c r="P347" s="161">
        <v>3590.91</v>
      </c>
      <c r="Q347" s="170">
        <v>45303</v>
      </c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</row>
    <row r="348" spans="1:27">
      <c r="A348" s="154">
        <v>3</v>
      </c>
      <c r="B348" s="155" t="s">
        <v>933</v>
      </c>
      <c r="C348" s="156">
        <v>45338</v>
      </c>
      <c r="D348" s="155" t="s">
        <v>440</v>
      </c>
      <c r="E348" s="149" t="s">
        <v>98</v>
      </c>
      <c r="F348" s="149" t="s">
        <v>441</v>
      </c>
      <c r="G348" s="149" t="s">
        <v>442</v>
      </c>
      <c r="H348" s="149" t="str">
        <f t="shared" si="1"/>
        <v>JESÚS MIGUEL INIESTA TURPÍN</v>
      </c>
      <c r="I348" s="149" t="s">
        <v>594</v>
      </c>
      <c r="J348" s="149" t="s">
        <v>462</v>
      </c>
      <c r="K348" s="149" t="s">
        <v>1021</v>
      </c>
      <c r="L348" s="157">
        <v>45369</v>
      </c>
      <c r="M348" s="158"/>
      <c r="N348" s="163">
        <v>2</v>
      </c>
      <c r="O348" s="165" t="s">
        <v>449</v>
      </c>
      <c r="P348" s="161">
        <v>2780.91</v>
      </c>
      <c r="Q348" s="170">
        <v>45338</v>
      </c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</row>
    <row r="349" spans="1:27">
      <c r="A349" s="154">
        <v>3</v>
      </c>
      <c r="B349" s="155" t="s">
        <v>933</v>
      </c>
      <c r="C349" s="156">
        <v>45321</v>
      </c>
      <c r="D349" s="155" t="s">
        <v>440</v>
      </c>
      <c r="E349" s="149" t="s">
        <v>98</v>
      </c>
      <c r="F349" s="149" t="s">
        <v>441</v>
      </c>
      <c r="G349" s="149" t="s">
        <v>442</v>
      </c>
      <c r="H349" s="149" t="str">
        <f t="shared" si="1"/>
        <v>MARÍA AGUSTINA SEVILLA GARCÍA</v>
      </c>
      <c r="I349" s="149" t="s">
        <v>538</v>
      </c>
      <c r="J349" s="149" t="s">
        <v>462</v>
      </c>
      <c r="K349" s="149" t="s">
        <v>1022</v>
      </c>
      <c r="L349" s="157">
        <v>45369</v>
      </c>
      <c r="M349" s="158"/>
      <c r="N349" s="163">
        <v>1</v>
      </c>
      <c r="O349" s="165" t="s">
        <v>466</v>
      </c>
      <c r="P349" s="161">
        <v>2536.36</v>
      </c>
      <c r="Q349" s="170">
        <v>45321</v>
      </c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</row>
    <row r="350" spans="1:27">
      <c r="A350" s="154">
        <v>3</v>
      </c>
      <c r="B350" s="155" t="s">
        <v>933</v>
      </c>
      <c r="C350" s="156">
        <v>45316</v>
      </c>
      <c r="D350" s="155" t="s">
        <v>440</v>
      </c>
      <c r="E350" s="149" t="s">
        <v>98</v>
      </c>
      <c r="F350" s="149" t="s">
        <v>441</v>
      </c>
      <c r="G350" s="149" t="s">
        <v>442</v>
      </c>
      <c r="H350" s="149" t="str">
        <f t="shared" si="1"/>
        <v>ENRIQUE VIVIENTE RODRÍGUEZ</v>
      </c>
      <c r="I350" s="149" t="s">
        <v>844</v>
      </c>
      <c r="J350" s="153" t="s">
        <v>462</v>
      </c>
      <c r="K350" s="149" t="s">
        <v>1023</v>
      </c>
      <c r="L350" s="157">
        <v>45369</v>
      </c>
      <c r="M350" s="158"/>
      <c r="N350" s="163">
        <v>2</v>
      </c>
      <c r="O350" s="165" t="s">
        <v>446</v>
      </c>
      <c r="P350" s="161">
        <v>3604.55</v>
      </c>
      <c r="Q350" s="170">
        <v>45316</v>
      </c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</row>
    <row r="351" spans="1:27">
      <c r="A351" s="154">
        <v>3</v>
      </c>
      <c r="B351" s="155" t="s">
        <v>933</v>
      </c>
      <c r="C351" s="156">
        <v>45314</v>
      </c>
      <c r="D351" s="155" t="s">
        <v>440</v>
      </c>
      <c r="E351" s="149" t="s">
        <v>98</v>
      </c>
      <c r="F351" s="149" t="s">
        <v>441</v>
      </c>
      <c r="G351" s="149" t="s">
        <v>442</v>
      </c>
      <c r="H351" s="149" t="str">
        <f t="shared" si="1"/>
        <v>AIDA AVIÑOA ARIAS</v>
      </c>
      <c r="I351" s="149" t="s">
        <v>1024</v>
      </c>
      <c r="J351" s="153" t="s">
        <v>462</v>
      </c>
      <c r="K351" s="149" t="s">
        <v>1025</v>
      </c>
      <c r="L351" s="157">
        <v>45369</v>
      </c>
      <c r="M351" s="164"/>
      <c r="N351" s="163">
        <v>1</v>
      </c>
      <c r="O351" s="165" t="s">
        <v>449</v>
      </c>
      <c r="P351" s="161">
        <v>1668.18</v>
      </c>
      <c r="Q351" s="170">
        <v>45314</v>
      </c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</row>
    <row r="352" spans="1:27">
      <c r="A352" s="154">
        <v>3</v>
      </c>
      <c r="B352" s="155" t="s">
        <v>933</v>
      </c>
      <c r="C352" s="156">
        <v>45338</v>
      </c>
      <c r="D352" s="155" t="s">
        <v>440</v>
      </c>
      <c r="E352" s="149" t="s">
        <v>571</v>
      </c>
      <c r="F352" s="149" t="s">
        <v>441</v>
      </c>
      <c r="G352" s="149" t="s">
        <v>442</v>
      </c>
      <c r="H352" s="149" t="str">
        <f t="shared" si="1"/>
        <v>JOSÉ MANUEL GARCÍA SOLANS-ESTERAS</v>
      </c>
      <c r="I352" s="149" t="s">
        <v>599</v>
      </c>
      <c r="J352" s="153" t="s">
        <v>532</v>
      </c>
      <c r="K352" s="149" t="s">
        <v>1026</v>
      </c>
      <c r="L352" s="157">
        <v>45369</v>
      </c>
      <c r="M352" s="158"/>
      <c r="N352" s="163">
        <v>2</v>
      </c>
      <c r="O352" s="165" t="s">
        <v>446</v>
      </c>
      <c r="P352" s="161">
        <v>3424.55</v>
      </c>
      <c r="Q352" s="170">
        <v>45338</v>
      </c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</row>
    <row r="353" spans="1:27">
      <c r="A353" s="154">
        <v>3</v>
      </c>
      <c r="B353" s="155" t="s">
        <v>933</v>
      </c>
      <c r="C353" s="156">
        <v>45244</v>
      </c>
      <c r="D353" s="155" t="s">
        <v>440</v>
      </c>
      <c r="E353" s="149" t="s">
        <v>122</v>
      </c>
      <c r="F353" s="149" t="s">
        <v>441</v>
      </c>
      <c r="G353" s="149" t="s">
        <v>442</v>
      </c>
      <c r="H353" s="149" t="str">
        <f t="shared" si="1"/>
        <v>JOSÉ CARLOS CASQUEIRO SÁNCHEZ</v>
      </c>
      <c r="I353" s="149" t="s">
        <v>1027</v>
      </c>
      <c r="J353" s="153" t="s">
        <v>444</v>
      </c>
      <c r="K353" s="149" t="s">
        <v>1028</v>
      </c>
      <c r="L353" s="157">
        <v>45370</v>
      </c>
      <c r="M353" s="158"/>
      <c r="N353" s="163">
        <v>1</v>
      </c>
      <c r="O353" s="165" t="s">
        <v>466</v>
      </c>
      <c r="P353" s="161">
        <v>693.64</v>
      </c>
      <c r="Q353" s="170">
        <v>45244</v>
      </c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</row>
    <row r="354" spans="1:27">
      <c r="A354" s="154">
        <v>3</v>
      </c>
      <c r="B354" s="155" t="s">
        <v>933</v>
      </c>
      <c r="C354" s="156">
        <v>45342</v>
      </c>
      <c r="D354" s="155" t="s">
        <v>440</v>
      </c>
      <c r="E354" s="149" t="s">
        <v>122</v>
      </c>
      <c r="F354" s="149" t="s">
        <v>441</v>
      </c>
      <c r="G354" s="149" t="s">
        <v>442</v>
      </c>
      <c r="H354" s="149" t="str">
        <f t="shared" si="1"/>
        <v>JESÚS ATALAYA DÍAZ</v>
      </c>
      <c r="I354" s="149" t="s">
        <v>799</v>
      </c>
      <c r="J354" s="153" t="s">
        <v>444</v>
      </c>
      <c r="K354" s="149" t="s">
        <v>1029</v>
      </c>
      <c r="L354" s="157">
        <v>45370</v>
      </c>
      <c r="M354" s="158"/>
      <c r="N354" s="163">
        <v>2</v>
      </c>
      <c r="O354" s="165" t="s">
        <v>446</v>
      </c>
      <c r="P354" s="161">
        <v>3604.55</v>
      </c>
      <c r="Q354" s="170">
        <v>45342</v>
      </c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</row>
    <row r="355" spans="1:27">
      <c r="A355" s="154">
        <v>3</v>
      </c>
      <c r="B355" s="155" t="s">
        <v>933</v>
      </c>
      <c r="C355" s="156">
        <v>45349</v>
      </c>
      <c r="D355" s="155" t="s">
        <v>440</v>
      </c>
      <c r="E355" s="149" t="s">
        <v>122</v>
      </c>
      <c r="F355" s="149" t="s">
        <v>441</v>
      </c>
      <c r="G355" s="149" t="s">
        <v>442</v>
      </c>
      <c r="H355" s="149" t="str">
        <f t="shared" si="1"/>
        <v>VICENTE MARTÍNEZ SANTOS</v>
      </c>
      <c r="I355" s="149" t="s">
        <v>558</v>
      </c>
      <c r="J355" s="149" t="s">
        <v>444</v>
      </c>
      <c r="K355" s="149" t="s">
        <v>1030</v>
      </c>
      <c r="L355" s="157">
        <v>45370</v>
      </c>
      <c r="M355" s="158"/>
      <c r="N355" s="163">
        <v>2</v>
      </c>
      <c r="O355" s="165" t="s">
        <v>449</v>
      </c>
      <c r="P355" s="161">
        <v>2780.91</v>
      </c>
      <c r="Q355" s="170">
        <v>45349</v>
      </c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</row>
    <row r="356" spans="1:27">
      <c r="A356" s="154">
        <v>3</v>
      </c>
      <c r="B356" s="155" t="s">
        <v>933</v>
      </c>
      <c r="C356" s="156">
        <v>45229</v>
      </c>
      <c r="D356" s="155" t="s">
        <v>440</v>
      </c>
      <c r="E356" s="149" t="s">
        <v>122</v>
      </c>
      <c r="F356" s="149" t="s">
        <v>441</v>
      </c>
      <c r="G356" s="149" t="s">
        <v>442</v>
      </c>
      <c r="H356" s="149" t="str">
        <f t="shared" si="1"/>
        <v>ANA RUIZ FORNELLS NOREÑA</v>
      </c>
      <c r="I356" s="149" t="s">
        <v>836</v>
      </c>
      <c r="J356" s="153" t="s">
        <v>444</v>
      </c>
      <c r="K356" s="149" t="s">
        <v>1031</v>
      </c>
      <c r="L356" s="157">
        <v>45370</v>
      </c>
      <c r="M356" s="164"/>
      <c r="N356" s="163">
        <v>1</v>
      </c>
      <c r="O356" s="165" t="s">
        <v>466</v>
      </c>
      <c r="P356" s="161">
        <v>2536.36</v>
      </c>
      <c r="Q356" s="170">
        <v>45229</v>
      </c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</row>
    <row r="357" spans="1:27">
      <c r="A357" s="154">
        <v>3</v>
      </c>
      <c r="B357" s="155" t="s">
        <v>933</v>
      </c>
      <c r="C357" s="156">
        <v>45201</v>
      </c>
      <c r="D357" s="155" t="s">
        <v>440</v>
      </c>
      <c r="E357" s="149" t="s">
        <v>313</v>
      </c>
      <c r="F357" s="149" t="s">
        <v>441</v>
      </c>
      <c r="G357" s="149" t="s">
        <v>442</v>
      </c>
      <c r="H357" s="149" t="str">
        <f t="shared" si="1"/>
        <v>GUILLERMO SAN JUAN DE LA MORETA</v>
      </c>
      <c r="I357" s="149" t="s">
        <v>826</v>
      </c>
      <c r="J357" s="153" t="s">
        <v>444</v>
      </c>
      <c r="K357" s="149" t="s">
        <v>1032</v>
      </c>
      <c r="L357" s="157">
        <v>45370</v>
      </c>
      <c r="M357" s="158"/>
      <c r="N357" s="163">
        <v>2</v>
      </c>
      <c r="O357" s="165" t="s">
        <v>449</v>
      </c>
      <c r="P357" s="161">
        <v>2780.91</v>
      </c>
      <c r="Q357" s="170">
        <v>45201</v>
      </c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</row>
    <row r="358" spans="1:27">
      <c r="A358" s="154">
        <v>3</v>
      </c>
      <c r="B358" s="155" t="s">
        <v>933</v>
      </c>
      <c r="C358" s="156">
        <v>45323</v>
      </c>
      <c r="D358" s="155" t="s">
        <v>440</v>
      </c>
      <c r="E358" s="149" t="s">
        <v>506</v>
      </c>
      <c r="F358" s="149" t="s">
        <v>441</v>
      </c>
      <c r="G358" s="149" t="s">
        <v>442</v>
      </c>
      <c r="H358" s="149" t="str">
        <f t="shared" si="1"/>
        <v>LUIS MIGUEL RINCÓN ESTEBAN</v>
      </c>
      <c r="I358" s="149" t="s">
        <v>1033</v>
      </c>
      <c r="J358" s="153" t="s">
        <v>473</v>
      </c>
      <c r="K358" s="149" t="s">
        <v>1034</v>
      </c>
      <c r="L358" s="157">
        <v>45370</v>
      </c>
      <c r="M358" s="164"/>
      <c r="N358" s="163">
        <v>2</v>
      </c>
      <c r="O358" s="165" t="s">
        <v>449</v>
      </c>
      <c r="P358" s="161">
        <v>2780.91</v>
      </c>
      <c r="Q358" s="170">
        <v>45323</v>
      </c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</row>
    <row r="359" spans="1:27">
      <c r="A359" s="154">
        <v>3</v>
      </c>
      <c r="B359" s="155" t="s">
        <v>933</v>
      </c>
      <c r="C359" s="156">
        <v>45316</v>
      </c>
      <c r="D359" s="155" t="s">
        <v>440</v>
      </c>
      <c r="E359" s="149" t="s">
        <v>485</v>
      </c>
      <c r="F359" s="149" t="s">
        <v>441</v>
      </c>
      <c r="G359" s="149" t="s">
        <v>442</v>
      </c>
      <c r="H359" s="149" t="str">
        <f t="shared" si="1"/>
        <v>PEDRO HUESO GUTIERREZ</v>
      </c>
      <c r="I359" s="149" t="s">
        <v>1035</v>
      </c>
      <c r="J359" s="153" t="s">
        <v>473</v>
      </c>
      <c r="K359" s="149" t="s">
        <v>1036</v>
      </c>
      <c r="L359" s="157">
        <v>45370</v>
      </c>
      <c r="M359" s="158"/>
      <c r="N359" s="163">
        <v>2</v>
      </c>
      <c r="O359" s="165" t="s">
        <v>446</v>
      </c>
      <c r="P359" s="161">
        <v>3522.73</v>
      </c>
      <c r="Q359" s="170">
        <v>45316</v>
      </c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</row>
    <row r="360" spans="1:27">
      <c r="A360" s="154">
        <v>3</v>
      </c>
      <c r="B360" s="155" t="s">
        <v>933</v>
      </c>
      <c r="C360" s="156">
        <v>45342</v>
      </c>
      <c r="D360" s="155" t="s">
        <v>440</v>
      </c>
      <c r="E360" s="149" t="s">
        <v>460</v>
      </c>
      <c r="F360" s="149" t="s">
        <v>441</v>
      </c>
      <c r="G360" s="149" t="s">
        <v>442</v>
      </c>
      <c r="H360" s="149" t="str">
        <f t="shared" si="1"/>
        <v>MARÍA EMILIA GARCÍA RUÍZ</v>
      </c>
      <c r="I360" s="149" t="s">
        <v>1037</v>
      </c>
      <c r="J360" s="153" t="s">
        <v>462</v>
      </c>
      <c r="K360" s="149" t="s">
        <v>1038</v>
      </c>
      <c r="L360" s="157">
        <v>45371</v>
      </c>
      <c r="M360" s="164"/>
      <c r="N360" s="163">
        <v>1</v>
      </c>
      <c r="O360" s="165" t="s">
        <v>466</v>
      </c>
      <c r="P360" s="161">
        <v>2606.36</v>
      </c>
      <c r="Q360" s="168">
        <v>45342</v>
      </c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</row>
    <row r="361" spans="1:27">
      <c r="A361" s="154">
        <v>3</v>
      </c>
      <c r="B361" s="155" t="s">
        <v>933</v>
      </c>
      <c r="C361" s="156">
        <v>45350</v>
      </c>
      <c r="D361" s="155" t="s">
        <v>440</v>
      </c>
      <c r="E361" s="149" t="s">
        <v>460</v>
      </c>
      <c r="F361" s="149" t="s">
        <v>441</v>
      </c>
      <c r="G361" s="149" t="s">
        <v>442</v>
      </c>
      <c r="H361" s="149" t="str">
        <f t="shared" si="1"/>
        <v>ISABEL POLO TOMÁS</v>
      </c>
      <c r="I361" s="149" t="s">
        <v>638</v>
      </c>
      <c r="J361" s="153" t="s">
        <v>462</v>
      </c>
      <c r="K361" s="149" t="s">
        <v>1039</v>
      </c>
      <c r="L361" s="157">
        <v>45371</v>
      </c>
      <c r="M361" s="164"/>
      <c r="N361" s="163">
        <v>2</v>
      </c>
      <c r="O361" s="165" t="s">
        <v>446</v>
      </c>
      <c r="P361" s="161">
        <v>3604.55</v>
      </c>
      <c r="Q361" s="170">
        <v>45350</v>
      </c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</row>
    <row r="362" spans="1:27">
      <c r="A362" s="154">
        <v>3</v>
      </c>
      <c r="B362" s="155" t="s">
        <v>933</v>
      </c>
      <c r="C362" s="156">
        <v>45348</v>
      </c>
      <c r="D362" s="155" t="s">
        <v>440</v>
      </c>
      <c r="E362" s="149" t="s">
        <v>460</v>
      </c>
      <c r="F362" s="149" t="s">
        <v>441</v>
      </c>
      <c r="G362" s="149" t="s">
        <v>442</v>
      </c>
      <c r="H362" s="149" t="str">
        <f t="shared" si="1"/>
        <v>ISABEL POLO TOMÁS</v>
      </c>
      <c r="I362" s="149" t="s">
        <v>638</v>
      </c>
      <c r="J362" s="153" t="s">
        <v>462</v>
      </c>
      <c r="K362" s="149" t="s">
        <v>1040</v>
      </c>
      <c r="L362" s="157">
        <v>45371</v>
      </c>
      <c r="M362" s="164"/>
      <c r="N362" s="163">
        <v>2</v>
      </c>
      <c r="O362" s="165" t="s">
        <v>446</v>
      </c>
      <c r="P362" s="161">
        <v>3604.55</v>
      </c>
      <c r="Q362" s="170">
        <v>45348</v>
      </c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</row>
    <row r="363" spans="1:27">
      <c r="A363" s="154">
        <v>3</v>
      </c>
      <c r="B363" s="155" t="s">
        <v>933</v>
      </c>
      <c r="C363" s="156">
        <v>45329</v>
      </c>
      <c r="D363" s="155" t="s">
        <v>440</v>
      </c>
      <c r="E363" s="149" t="s">
        <v>317</v>
      </c>
      <c r="F363" s="149" t="s">
        <v>441</v>
      </c>
      <c r="G363" s="149" t="s">
        <v>442</v>
      </c>
      <c r="H363" s="149" t="str">
        <f t="shared" si="1"/>
        <v>FRANCISCO PASTOR BEVIÁ</v>
      </c>
      <c r="I363" s="149" t="s">
        <v>464</v>
      </c>
      <c r="J363" s="153" t="s">
        <v>462</v>
      </c>
      <c r="K363" s="149" t="s">
        <v>1041</v>
      </c>
      <c r="L363" s="157">
        <v>45371</v>
      </c>
      <c r="M363" s="164"/>
      <c r="N363" s="163">
        <v>1</v>
      </c>
      <c r="O363" s="165" t="s">
        <v>466</v>
      </c>
      <c r="P363" s="161">
        <v>2545.4499999999998</v>
      </c>
      <c r="Q363" s="170">
        <v>45329</v>
      </c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</row>
    <row r="364" spans="1:27">
      <c r="A364" s="154">
        <v>3</v>
      </c>
      <c r="B364" s="155" t="s">
        <v>933</v>
      </c>
      <c r="C364" s="156">
        <v>45337</v>
      </c>
      <c r="D364" s="155" t="s">
        <v>440</v>
      </c>
      <c r="E364" s="149" t="s">
        <v>317</v>
      </c>
      <c r="F364" s="149" t="s">
        <v>441</v>
      </c>
      <c r="G364" s="149" t="s">
        <v>442</v>
      </c>
      <c r="H364" s="149" t="str">
        <f t="shared" si="1"/>
        <v>KAREN ROJAS CRESPO</v>
      </c>
      <c r="I364" s="149" t="s">
        <v>986</v>
      </c>
      <c r="J364" s="153" t="s">
        <v>462</v>
      </c>
      <c r="K364" s="149" t="s">
        <v>1042</v>
      </c>
      <c r="L364" s="157">
        <v>45371</v>
      </c>
      <c r="M364" s="158"/>
      <c r="N364" s="163">
        <v>2</v>
      </c>
      <c r="O364" s="165" t="s">
        <v>449</v>
      </c>
      <c r="P364" s="161">
        <v>2780.91</v>
      </c>
      <c r="Q364" s="170">
        <v>45337</v>
      </c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</row>
    <row r="365" spans="1:27">
      <c r="A365" s="154">
        <v>3</v>
      </c>
      <c r="B365" s="155" t="s">
        <v>933</v>
      </c>
      <c r="C365" s="156">
        <v>44319</v>
      </c>
      <c r="D365" s="155" t="s">
        <v>440</v>
      </c>
      <c r="E365" s="149" t="s">
        <v>317</v>
      </c>
      <c r="F365" s="149" t="s">
        <v>450</v>
      </c>
      <c r="G365" s="149" t="s">
        <v>451</v>
      </c>
      <c r="H365" s="149" t="str">
        <f t="shared" si="1"/>
        <v>FÉLIX RUÍZ DE LA CUESTA JUSTE</v>
      </c>
      <c r="I365" s="149" t="s">
        <v>656</v>
      </c>
      <c r="J365" s="153" t="s">
        <v>462</v>
      </c>
      <c r="K365" s="149" t="s">
        <v>1043</v>
      </c>
      <c r="L365" s="157">
        <v>45371</v>
      </c>
      <c r="M365" s="158"/>
      <c r="N365" s="163">
        <v>2</v>
      </c>
      <c r="O365" s="165" t="s">
        <v>466</v>
      </c>
      <c r="P365" s="161">
        <v>727.26</v>
      </c>
      <c r="Q365" s="170">
        <v>44319</v>
      </c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</row>
    <row r="366" spans="1:27">
      <c r="A366" s="154">
        <v>3</v>
      </c>
      <c r="B366" s="155" t="s">
        <v>933</v>
      </c>
      <c r="C366" s="156">
        <v>45358</v>
      </c>
      <c r="D366" s="155" t="s">
        <v>440</v>
      </c>
      <c r="E366" s="149" t="s">
        <v>1044</v>
      </c>
      <c r="F366" s="149" t="s">
        <v>441</v>
      </c>
      <c r="G366" s="149" t="s">
        <v>442</v>
      </c>
      <c r="H366" s="149" t="str">
        <f t="shared" si="1"/>
        <v>TOMAS MOGOLLON CANO CORTES</v>
      </c>
      <c r="I366" s="149" t="s">
        <v>1045</v>
      </c>
      <c r="J366" s="153" t="s">
        <v>455</v>
      </c>
      <c r="K366" s="149" t="s">
        <v>1046</v>
      </c>
      <c r="L366" s="157">
        <v>45371</v>
      </c>
      <c r="M366" s="164"/>
      <c r="N366" s="163">
        <v>2</v>
      </c>
      <c r="O366" s="165" t="s">
        <v>446</v>
      </c>
      <c r="P366" s="161">
        <v>3595.45</v>
      </c>
      <c r="Q366" s="170">
        <v>45358</v>
      </c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</row>
    <row r="367" spans="1:27">
      <c r="A367" s="154">
        <v>3</v>
      </c>
      <c r="B367" s="155" t="s">
        <v>933</v>
      </c>
      <c r="C367" s="156">
        <v>45244</v>
      </c>
      <c r="D367" s="155" t="s">
        <v>440</v>
      </c>
      <c r="E367" s="149" t="s">
        <v>1047</v>
      </c>
      <c r="F367" s="149" t="s">
        <v>441</v>
      </c>
      <c r="G367" s="149" t="s">
        <v>442</v>
      </c>
      <c r="H367" s="149" t="str">
        <f t="shared" si="1"/>
        <v>JORDI LLUANSI PANELLA</v>
      </c>
      <c r="I367" s="149" t="s">
        <v>1048</v>
      </c>
      <c r="J367" s="153" t="s">
        <v>532</v>
      </c>
      <c r="K367" s="149" t="s">
        <v>1049</v>
      </c>
      <c r="L367" s="157">
        <v>45371</v>
      </c>
      <c r="M367" s="164"/>
      <c r="N367" s="163">
        <v>2</v>
      </c>
      <c r="O367" s="165" t="s">
        <v>466</v>
      </c>
      <c r="P367" s="161">
        <v>4222.7299999999996</v>
      </c>
      <c r="Q367" s="170">
        <v>45244</v>
      </c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</row>
    <row r="368" spans="1:27">
      <c r="A368" s="154">
        <v>3</v>
      </c>
      <c r="B368" s="155" t="s">
        <v>933</v>
      </c>
      <c r="C368" s="156">
        <v>45349</v>
      </c>
      <c r="D368" s="155" t="s">
        <v>440</v>
      </c>
      <c r="E368" s="149" t="s">
        <v>122</v>
      </c>
      <c r="F368" s="149" t="s">
        <v>441</v>
      </c>
      <c r="G368" s="149" t="s">
        <v>442</v>
      </c>
      <c r="H368" s="149" t="str">
        <f t="shared" si="1"/>
        <v>CARMEN JUAN IVARS</v>
      </c>
      <c r="I368" s="149" t="s">
        <v>1050</v>
      </c>
      <c r="J368" s="153" t="s">
        <v>444</v>
      </c>
      <c r="K368" s="149" t="s">
        <v>1051</v>
      </c>
      <c r="L368" s="157">
        <v>45371</v>
      </c>
      <c r="M368" s="164"/>
      <c r="N368" s="163">
        <v>1</v>
      </c>
      <c r="O368" s="165" t="s">
        <v>513</v>
      </c>
      <c r="P368" s="161">
        <v>2904.55</v>
      </c>
      <c r="Q368" s="170">
        <v>45349</v>
      </c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</row>
    <row r="369" spans="1:27">
      <c r="A369" s="154">
        <v>3</v>
      </c>
      <c r="B369" s="155" t="s">
        <v>933</v>
      </c>
      <c r="C369" s="156">
        <v>44718</v>
      </c>
      <c r="D369" s="155" t="s">
        <v>440</v>
      </c>
      <c r="E369" s="149" t="s">
        <v>122</v>
      </c>
      <c r="F369" s="149" t="s">
        <v>441</v>
      </c>
      <c r="G369" s="149" t="s">
        <v>442</v>
      </c>
      <c r="H369" s="149" t="str">
        <f t="shared" si="1"/>
        <v>VICENTE MARTÍNEZ SANTOS</v>
      </c>
      <c r="I369" s="149" t="s">
        <v>558</v>
      </c>
      <c r="J369" s="153" t="s">
        <v>444</v>
      </c>
      <c r="K369" s="149" t="s">
        <v>1052</v>
      </c>
      <c r="L369" s="157">
        <v>45371</v>
      </c>
      <c r="M369" s="158"/>
      <c r="N369" s="163">
        <v>2</v>
      </c>
      <c r="O369" s="165" t="s">
        <v>449</v>
      </c>
      <c r="P369" s="161">
        <v>2780.91</v>
      </c>
      <c r="Q369" s="170">
        <v>44718</v>
      </c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</row>
    <row r="370" spans="1:27">
      <c r="A370" s="154">
        <v>3</v>
      </c>
      <c r="B370" s="155" t="s">
        <v>933</v>
      </c>
      <c r="C370" s="156">
        <v>45337</v>
      </c>
      <c r="D370" s="155" t="s">
        <v>440</v>
      </c>
      <c r="E370" s="149" t="s">
        <v>309</v>
      </c>
      <c r="F370" s="149" t="s">
        <v>441</v>
      </c>
      <c r="G370" s="149" t="s">
        <v>442</v>
      </c>
      <c r="H370" s="149" t="str">
        <f t="shared" si="1"/>
        <v>FÉLIX RODRÍGUEZ PAZ</v>
      </c>
      <c r="I370" s="149" t="s">
        <v>818</v>
      </c>
      <c r="J370" s="153" t="s">
        <v>444</v>
      </c>
      <c r="K370" s="149" t="s">
        <v>1053</v>
      </c>
      <c r="L370" s="157">
        <v>45371</v>
      </c>
      <c r="M370" s="158"/>
      <c r="N370" s="163">
        <v>2</v>
      </c>
      <c r="O370" s="165" t="s">
        <v>466</v>
      </c>
      <c r="P370" s="161">
        <v>4222.7299999999996</v>
      </c>
      <c r="Q370" s="170">
        <v>45337</v>
      </c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</row>
    <row r="371" spans="1:27">
      <c r="A371" s="154">
        <v>3</v>
      </c>
      <c r="B371" s="155" t="s">
        <v>933</v>
      </c>
      <c r="C371" s="156">
        <v>44469</v>
      </c>
      <c r="D371" s="166" t="s">
        <v>440</v>
      </c>
      <c r="E371" s="149" t="s">
        <v>314</v>
      </c>
      <c r="F371" s="149" t="s">
        <v>441</v>
      </c>
      <c r="G371" s="149" t="s">
        <v>442</v>
      </c>
      <c r="H371" s="149" t="str">
        <f t="shared" si="1"/>
        <v>GUSTAVO CÓRDOVA RAMOS</v>
      </c>
      <c r="I371" s="149" t="s">
        <v>1054</v>
      </c>
      <c r="J371" s="149" t="s">
        <v>444</v>
      </c>
      <c r="K371" s="149" t="s">
        <v>1055</v>
      </c>
      <c r="L371" s="157">
        <v>45371</v>
      </c>
      <c r="M371" s="158"/>
      <c r="N371" s="163">
        <v>2</v>
      </c>
      <c r="O371" s="165" t="s">
        <v>449</v>
      </c>
      <c r="P371" s="161">
        <v>2780.91</v>
      </c>
      <c r="Q371" s="170">
        <v>44469</v>
      </c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</row>
    <row r="372" spans="1:27">
      <c r="A372" s="154">
        <v>3</v>
      </c>
      <c r="B372" s="155" t="s">
        <v>933</v>
      </c>
      <c r="C372" s="156">
        <v>45323</v>
      </c>
      <c r="D372" s="155" t="s">
        <v>440</v>
      </c>
      <c r="E372" s="149" t="s">
        <v>98</v>
      </c>
      <c r="F372" s="149" t="s">
        <v>441</v>
      </c>
      <c r="G372" s="149" t="s">
        <v>442</v>
      </c>
      <c r="H372" s="149" t="str">
        <f t="shared" si="1"/>
        <v>ENRIQUE LÓPEZ MESEGUER</v>
      </c>
      <c r="I372" s="149" t="s">
        <v>1056</v>
      </c>
      <c r="J372" s="153" t="s">
        <v>462</v>
      </c>
      <c r="K372" s="149" t="s">
        <v>1057</v>
      </c>
      <c r="L372" s="157">
        <v>45371</v>
      </c>
      <c r="M372" s="158"/>
      <c r="N372" s="163">
        <v>1</v>
      </c>
      <c r="O372" s="165" t="s">
        <v>446</v>
      </c>
      <c r="P372" s="161">
        <v>2162.73</v>
      </c>
      <c r="Q372" s="170">
        <v>45323</v>
      </c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</row>
    <row r="373" spans="1:27">
      <c r="A373" s="154">
        <v>3</v>
      </c>
      <c r="B373" s="155" t="s">
        <v>933</v>
      </c>
      <c r="C373" s="156">
        <v>45323</v>
      </c>
      <c r="D373" s="155" t="s">
        <v>440</v>
      </c>
      <c r="E373" s="149" t="s">
        <v>951</v>
      </c>
      <c r="F373" s="149" t="s">
        <v>441</v>
      </c>
      <c r="G373" s="149" t="s">
        <v>442</v>
      </c>
      <c r="H373" s="149" t="str">
        <f t="shared" si="1"/>
        <v>GABRIEL MARTÍNEZ CAPOCCINI</v>
      </c>
      <c r="I373" s="149" t="s">
        <v>1058</v>
      </c>
      <c r="J373" s="153" t="s">
        <v>516</v>
      </c>
      <c r="K373" s="149" t="s">
        <v>1059</v>
      </c>
      <c r="L373" s="157">
        <v>45371</v>
      </c>
      <c r="M373" s="164"/>
      <c r="N373" s="163">
        <v>2</v>
      </c>
      <c r="O373" s="165" t="s">
        <v>446</v>
      </c>
      <c r="P373" s="161">
        <v>3604.55</v>
      </c>
      <c r="Q373" s="170">
        <v>45323</v>
      </c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</row>
    <row r="374" spans="1:27">
      <c r="A374" s="154">
        <v>3</v>
      </c>
      <c r="B374" s="155" t="s">
        <v>933</v>
      </c>
      <c r="C374" s="156">
        <v>45323</v>
      </c>
      <c r="D374" s="155" t="s">
        <v>440</v>
      </c>
      <c r="E374" s="149" t="s">
        <v>951</v>
      </c>
      <c r="F374" s="149" t="s">
        <v>441</v>
      </c>
      <c r="G374" s="149" t="s">
        <v>442</v>
      </c>
      <c r="H374" s="149" t="str">
        <f t="shared" si="1"/>
        <v>GABRIEL MARTÍNEZ CAPOCCINI</v>
      </c>
      <c r="I374" s="149" t="s">
        <v>1058</v>
      </c>
      <c r="J374" s="153" t="s">
        <v>516</v>
      </c>
      <c r="K374" s="149" t="s">
        <v>1060</v>
      </c>
      <c r="L374" s="157">
        <v>45371</v>
      </c>
      <c r="M374" s="158"/>
      <c r="N374" s="163">
        <v>2</v>
      </c>
      <c r="O374" s="165" t="s">
        <v>446</v>
      </c>
      <c r="P374" s="161">
        <v>3604.55</v>
      </c>
      <c r="Q374" s="170">
        <v>45323</v>
      </c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</row>
    <row r="375" spans="1:27">
      <c r="A375" s="154">
        <v>3</v>
      </c>
      <c r="B375" s="155" t="s">
        <v>933</v>
      </c>
      <c r="C375" s="156">
        <v>45322</v>
      </c>
      <c r="D375" s="155" t="s">
        <v>440</v>
      </c>
      <c r="E375" s="149" t="s">
        <v>530</v>
      </c>
      <c r="F375" s="149" t="s">
        <v>441</v>
      </c>
      <c r="G375" s="149" t="s">
        <v>442</v>
      </c>
      <c r="H375" s="149" t="str">
        <f t="shared" si="1"/>
        <v>JOAQUIM BROTO SUMALLA</v>
      </c>
      <c r="I375" s="149" t="s">
        <v>531</v>
      </c>
      <c r="J375" s="153" t="s">
        <v>532</v>
      </c>
      <c r="K375" s="149" t="s">
        <v>1061</v>
      </c>
      <c r="L375" s="157">
        <v>45371</v>
      </c>
      <c r="M375" s="164"/>
      <c r="N375" s="163">
        <v>2</v>
      </c>
      <c r="O375" s="165" t="s">
        <v>518</v>
      </c>
      <c r="P375" s="161">
        <v>2545.4499999999998</v>
      </c>
      <c r="Q375" s="170">
        <v>45322</v>
      </c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</row>
    <row r="376" spans="1:27">
      <c r="A376" s="154">
        <v>3</v>
      </c>
      <c r="B376" s="155" t="s">
        <v>933</v>
      </c>
      <c r="C376" s="156">
        <v>45356</v>
      </c>
      <c r="D376" s="155" t="s">
        <v>440</v>
      </c>
      <c r="E376" s="149" t="s">
        <v>115</v>
      </c>
      <c r="F376" s="149" t="s">
        <v>441</v>
      </c>
      <c r="G376" s="149" t="s">
        <v>442</v>
      </c>
      <c r="H376" s="149" t="str">
        <f t="shared" si="1"/>
        <v>STEPHANY RODRÍGUEZ MATA</v>
      </c>
      <c r="I376" s="149" t="s">
        <v>1062</v>
      </c>
      <c r="J376" s="153" t="s">
        <v>444</v>
      </c>
      <c r="K376" s="149" t="s">
        <v>1063</v>
      </c>
      <c r="L376" s="157">
        <v>45371</v>
      </c>
      <c r="M376" s="158"/>
      <c r="N376" s="163">
        <v>2</v>
      </c>
      <c r="O376" s="165" t="s">
        <v>446</v>
      </c>
      <c r="P376" s="161">
        <v>3604.55</v>
      </c>
      <c r="Q376" s="170">
        <v>45356</v>
      </c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</row>
    <row r="377" spans="1:27">
      <c r="A377" s="154">
        <v>3</v>
      </c>
      <c r="B377" s="155" t="s">
        <v>933</v>
      </c>
      <c r="C377" s="156">
        <v>45330</v>
      </c>
      <c r="D377" s="155" t="s">
        <v>440</v>
      </c>
      <c r="E377" s="149" t="s">
        <v>571</v>
      </c>
      <c r="F377" s="149" t="s">
        <v>441</v>
      </c>
      <c r="G377" s="149" t="s">
        <v>442</v>
      </c>
      <c r="H377" s="149" t="str">
        <f t="shared" si="1"/>
        <v>HECTOR VALLES VARELA</v>
      </c>
      <c r="I377" s="149" t="s">
        <v>1064</v>
      </c>
      <c r="J377" s="153" t="s">
        <v>532</v>
      </c>
      <c r="K377" s="149" t="s">
        <v>1065</v>
      </c>
      <c r="L377" s="157">
        <v>45371</v>
      </c>
      <c r="M377" s="164"/>
      <c r="N377" s="163">
        <v>2</v>
      </c>
      <c r="O377" s="165" t="s">
        <v>446</v>
      </c>
      <c r="P377" s="161">
        <v>3424.55</v>
      </c>
      <c r="Q377" s="170">
        <v>45330</v>
      </c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</row>
    <row r="378" spans="1:27">
      <c r="A378" s="154">
        <v>3</v>
      </c>
      <c r="B378" s="155" t="s">
        <v>933</v>
      </c>
      <c r="C378" s="156">
        <v>44488</v>
      </c>
      <c r="D378" s="155" t="s">
        <v>440</v>
      </c>
      <c r="E378" s="149" t="s">
        <v>92</v>
      </c>
      <c r="F378" s="149" t="s">
        <v>441</v>
      </c>
      <c r="G378" s="149" t="s">
        <v>442</v>
      </c>
      <c r="H378" s="149" t="str">
        <f t="shared" si="1"/>
        <v>PEDRO MASEGOSA ZAPATA</v>
      </c>
      <c r="I378" s="149" t="s">
        <v>1066</v>
      </c>
      <c r="J378" s="153" t="s">
        <v>462</v>
      </c>
      <c r="K378" s="149" t="s">
        <v>1067</v>
      </c>
      <c r="L378" s="157">
        <v>45372</v>
      </c>
      <c r="M378" s="158"/>
      <c r="N378" s="163">
        <v>1</v>
      </c>
      <c r="O378" s="165" t="s">
        <v>446</v>
      </c>
      <c r="P378" s="161">
        <v>2162.73</v>
      </c>
      <c r="Q378" s="168">
        <v>44488</v>
      </c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</row>
    <row r="379" spans="1:27">
      <c r="A379" s="154">
        <v>3</v>
      </c>
      <c r="B379" s="155" t="s">
        <v>933</v>
      </c>
      <c r="C379" s="156">
        <v>45343</v>
      </c>
      <c r="D379" s="155" t="s">
        <v>440</v>
      </c>
      <c r="E379" s="149" t="s">
        <v>311</v>
      </c>
      <c r="F379" s="149" t="s">
        <v>441</v>
      </c>
      <c r="G379" s="149" t="s">
        <v>442</v>
      </c>
      <c r="H379" s="149" t="str">
        <f t="shared" si="1"/>
        <v>NO REUERDA ORL</v>
      </c>
      <c r="I379" s="149" t="s">
        <v>469</v>
      </c>
      <c r="J379" s="153" t="s">
        <v>444</v>
      </c>
      <c r="K379" s="149" t="s">
        <v>1068</v>
      </c>
      <c r="L379" s="157">
        <v>45372</v>
      </c>
      <c r="M379" s="158"/>
      <c r="N379" s="163">
        <v>2</v>
      </c>
      <c r="O379" s="165" t="s">
        <v>446</v>
      </c>
      <c r="P379" s="161">
        <v>3424.32</v>
      </c>
      <c r="Q379" s="170">
        <v>45343</v>
      </c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</row>
    <row r="380" spans="1:27">
      <c r="A380" s="154">
        <v>3</v>
      </c>
      <c r="B380" s="155" t="s">
        <v>933</v>
      </c>
      <c r="C380" s="156">
        <v>45334</v>
      </c>
      <c r="D380" s="155" t="s">
        <v>440</v>
      </c>
      <c r="E380" s="149" t="s">
        <v>145</v>
      </c>
      <c r="F380" s="149" t="s">
        <v>450</v>
      </c>
      <c r="G380" s="149" t="s">
        <v>451</v>
      </c>
      <c r="H380" s="149" t="str">
        <f t="shared" si="1"/>
        <v>FELIPE LÓPEZ HERNÁNDEZ</v>
      </c>
      <c r="I380" s="149" t="s">
        <v>1069</v>
      </c>
      <c r="J380" s="153" t="s">
        <v>532</v>
      </c>
      <c r="K380" s="149" t="s">
        <v>1070</v>
      </c>
      <c r="L380" s="157">
        <v>45372</v>
      </c>
      <c r="M380" s="158"/>
      <c r="N380" s="163">
        <v>2</v>
      </c>
      <c r="O380" s="165" t="s">
        <v>449</v>
      </c>
      <c r="P380" s="161">
        <v>2780.87</v>
      </c>
      <c r="Q380" s="170">
        <v>45334</v>
      </c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</row>
    <row r="381" spans="1:27">
      <c r="A381" s="154">
        <v>3</v>
      </c>
      <c r="B381" s="155" t="s">
        <v>933</v>
      </c>
      <c r="C381" s="156">
        <v>45345</v>
      </c>
      <c r="D381" s="155" t="s">
        <v>440</v>
      </c>
      <c r="E381" s="149" t="s">
        <v>122</v>
      </c>
      <c r="F381" s="149" t="s">
        <v>441</v>
      </c>
      <c r="G381" s="149" t="s">
        <v>442</v>
      </c>
      <c r="H381" s="149" t="str">
        <f t="shared" si="1"/>
        <v>JESÚS RAMOS FERNÁNDEZ</v>
      </c>
      <c r="I381" s="149" t="s">
        <v>649</v>
      </c>
      <c r="J381" s="149" t="s">
        <v>444</v>
      </c>
      <c r="K381" s="149" t="s">
        <v>1071</v>
      </c>
      <c r="L381" s="157">
        <v>45372</v>
      </c>
      <c r="M381" s="158"/>
      <c r="N381" s="163">
        <v>2</v>
      </c>
      <c r="O381" s="165" t="s">
        <v>446</v>
      </c>
      <c r="P381" s="161">
        <v>3604.55</v>
      </c>
      <c r="Q381" s="170">
        <v>45345</v>
      </c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</row>
    <row r="382" spans="1:27">
      <c r="A382" s="154">
        <v>3</v>
      </c>
      <c r="B382" s="155" t="s">
        <v>933</v>
      </c>
      <c r="C382" s="156">
        <v>45349</v>
      </c>
      <c r="D382" s="155" t="s">
        <v>440</v>
      </c>
      <c r="E382" s="149" t="s">
        <v>315</v>
      </c>
      <c r="F382" s="149" t="s">
        <v>441</v>
      </c>
      <c r="G382" s="149" t="s">
        <v>442</v>
      </c>
      <c r="H382" s="149" t="str">
        <f t="shared" si="1"/>
        <v>JOAQUÍN ALACIO CASERO</v>
      </c>
      <c r="I382" s="149" t="s">
        <v>651</v>
      </c>
      <c r="J382" s="153" t="s">
        <v>444</v>
      </c>
      <c r="K382" s="149" t="s">
        <v>1072</v>
      </c>
      <c r="L382" s="157">
        <v>45372</v>
      </c>
      <c r="M382" s="158"/>
      <c r="N382" s="163">
        <v>1</v>
      </c>
      <c r="O382" s="165" t="s">
        <v>466</v>
      </c>
      <c r="P382" s="161">
        <v>2410</v>
      </c>
      <c r="Q382" s="170">
        <v>45349</v>
      </c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</row>
    <row r="383" spans="1:27">
      <c r="A383" s="154">
        <v>3</v>
      </c>
      <c r="B383" s="155" t="s">
        <v>933</v>
      </c>
      <c r="C383" s="156">
        <v>45330</v>
      </c>
      <c r="D383" s="155" t="s">
        <v>440</v>
      </c>
      <c r="E383" s="149" t="s">
        <v>158</v>
      </c>
      <c r="F383" s="149" t="s">
        <v>441</v>
      </c>
      <c r="G383" s="149" t="s">
        <v>442</v>
      </c>
      <c r="H383" s="149" t="str">
        <f t="shared" si="1"/>
        <v>JULIO LÓPEZ MOYA</v>
      </c>
      <c r="I383" s="149" t="s">
        <v>504</v>
      </c>
      <c r="J383" s="153" t="s">
        <v>444</v>
      </c>
      <c r="K383" s="149" t="s">
        <v>1073</v>
      </c>
      <c r="L383" s="157">
        <v>45372</v>
      </c>
      <c r="M383" s="158"/>
      <c r="N383" s="163">
        <v>2</v>
      </c>
      <c r="O383" s="165" t="s">
        <v>446</v>
      </c>
      <c r="P383" s="161">
        <v>3424.32</v>
      </c>
      <c r="Q383" s="170">
        <v>45330</v>
      </c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</row>
    <row r="384" spans="1:27">
      <c r="A384" s="154">
        <v>3</v>
      </c>
      <c r="B384" s="155" t="s">
        <v>933</v>
      </c>
      <c r="C384" s="156">
        <v>45334</v>
      </c>
      <c r="D384" s="155" t="s">
        <v>440</v>
      </c>
      <c r="E384" s="149" t="s">
        <v>309</v>
      </c>
      <c r="F384" s="149" t="s">
        <v>441</v>
      </c>
      <c r="G384" s="149" t="s">
        <v>442</v>
      </c>
      <c r="H384" s="149" t="str">
        <f t="shared" si="1"/>
        <v>MANUEL GUTIERREZ TRIGUERO</v>
      </c>
      <c r="I384" s="149" t="s">
        <v>1074</v>
      </c>
      <c r="J384" s="153" t="s">
        <v>444</v>
      </c>
      <c r="K384" s="149" t="s">
        <v>1075</v>
      </c>
      <c r="L384" s="157">
        <v>45372</v>
      </c>
      <c r="M384" s="158"/>
      <c r="N384" s="163">
        <v>2</v>
      </c>
      <c r="O384" s="165" t="s">
        <v>446</v>
      </c>
      <c r="P384" s="161">
        <v>3604.55</v>
      </c>
      <c r="Q384" s="170">
        <v>45334</v>
      </c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</row>
    <row r="385" spans="1:27">
      <c r="A385" s="154">
        <v>3</v>
      </c>
      <c r="B385" s="155" t="s">
        <v>933</v>
      </c>
      <c r="C385" s="156">
        <v>45352</v>
      </c>
      <c r="D385" s="155" t="s">
        <v>440</v>
      </c>
      <c r="E385" s="149" t="s">
        <v>309</v>
      </c>
      <c r="F385" s="149" t="s">
        <v>441</v>
      </c>
      <c r="G385" s="149" t="s">
        <v>442</v>
      </c>
      <c r="H385" s="149" t="str">
        <f t="shared" si="1"/>
        <v>MARÍA SANTILLÁN SÁNCHEZ</v>
      </c>
      <c r="I385" s="149" t="s">
        <v>493</v>
      </c>
      <c r="J385" s="153" t="s">
        <v>444</v>
      </c>
      <c r="K385" s="149" t="s">
        <v>1076</v>
      </c>
      <c r="L385" s="157">
        <v>45372</v>
      </c>
      <c r="M385" s="164"/>
      <c r="N385" s="163">
        <v>2</v>
      </c>
      <c r="O385" s="165" t="s">
        <v>446</v>
      </c>
      <c r="P385" s="161">
        <v>3604.55</v>
      </c>
      <c r="Q385" s="170">
        <v>45352</v>
      </c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</row>
    <row r="386" spans="1:27">
      <c r="A386" s="154">
        <v>3</v>
      </c>
      <c r="B386" s="155" t="s">
        <v>933</v>
      </c>
      <c r="C386" s="156">
        <v>45309</v>
      </c>
      <c r="D386" s="155" t="s">
        <v>440</v>
      </c>
      <c r="E386" s="149" t="s">
        <v>475</v>
      </c>
      <c r="F386" s="149" t="s">
        <v>441</v>
      </c>
      <c r="G386" s="149" t="s">
        <v>442</v>
      </c>
      <c r="H386" s="149" t="str">
        <f t="shared" si="1"/>
        <v>XENIA MOTA ROJAS</v>
      </c>
      <c r="I386" s="149" t="s">
        <v>1077</v>
      </c>
      <c r="J386" s="149" t="s">
        <v>473</v>
      </c>
      <c r="K386" s="149" t="s">
        <v>1078</v>
      </c>
      <c r="L386" s="157">
        <v>45372</v>
      </c>
      <c r="M386" s="158"/>
      <c r="N386" s="163">
        <v>2</v>
      </c>
      <c r="O386" s="165" t="s">
        <v>446</v>
      </c>
      <c r="P386" s="161">
        <v>3545.45</v>
      </c>
      <c r="Q386" s="170">
        <v>45309</v>
      </c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</row>
    <row r="387" spans="1:27">
      <c r="A387" s="154">
        <v>3</v>
      </c>
      <c r="B387" s="155" t="s">
        <v>933</v>
      </c>
      <c r="C387" s="156">
        <v>45322</v>
      </c>
      <c r="D387" s="155" t="s">
        <v>440</v>
      </c>
      <c r="E387" s="149" t="s">
        <v>317</v>
      </c>
      <c r="F387" s="149" t="s">
        <v>441</v>
      </c>
      <c r="G387" s="149" t="s">
        <v>442</v>
      </c>
      <c r="H387" s="149" t="str">
        <f t="shared" si="1"/>
        <v>FRANCISCO PASTOR BEVIÁ</v>
      </c>
      <c r="I387" s="149" t="s">
        <v>464</v>
      </c>
      <c r="J387" s="153" t="s">
        <v>462</v>
      </c>
      <c r="K387" s="149" t="s">
        <v>1079</v>
      </c>
      <c r="L387" s="157">
        <v>45373</v>
      </c>
      <c r="M387" s="158"/>
      <c r="N387" s="163">
        <v>2</v>
      </c>
      <c r="O387" s="165" t="s">
        <v>466</v>
      </c>
      <c r="P387" s="161">
        <v>4363.6400000000003</v>
      </c>
      <c r="Q387" s="170">
        <v>45322</v>
      </c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</row>
    <row r="388" spans="1:27">
      <c r="A388" s="154">
        <v>3</v>
      </c>
      <c r="B388" s="155" t="s">
        <v>933</v>
      </c>
      <c r="C388" s="156">
        <v>45348</v>
      </c>
      <c r="D388" s="155" t="s">
        <v>440</v>
      </c>
      <c r="E388" s="149" t="s">
        <v>317</v>
      </c>
      <c r="F388" s="149" t="s">
        <v>450</v>
      </c>
      <c r="G388" s="149" t="s">
        <v>451</v>
      </c>
      <c r="H388" s="149" t="str">
        <f t="shared" si="1"/>
        <v>FÉLIX RUÍZ DE LA CUESTA JUSTE</v>
      </c>
      <c r="I388" s="149" t="s">
        <v>656</v>
      </c>
      <c r="J388" s="153" t="s">
        <v>462</v>
      </c>
      <c r="K388" s="149" t="s">
        <v>1080</v>
      </c>
      <c r="L388" s="157">
        <v>45373</v>
      </c>
      <c r="M388" s="158"/>
      <c r="N388" s="163">
        <v>2</v>
      </c>
      <c r="O388" s="165" t="s">
        <v>446</v>
      </c>
      <c r="P388" s="161">
        <v>3604.55</v>
      </c>
      <c r="Q388" s="170">
        <v>45348</v>
      </c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</row>
    <row r="389" spans="1:27">
      <c r="A389" s="154">
        <v>3</v>
      </c>
      <c r="B389" s="155" t="s">
        <v>933</v>
      </c>
      <c r="C389" s="156">
        <v>45356</v>
      </c>
      <c r="D389" s="155" t="s">
        <v>440</v>
      </c>
      <c r="E389" s="149" t="s">
        <v>109</v>
      </c>
      <c r="F389" s="149" t="s">
        <v>441</v>
      </c>
      <c r="G389" s="149" t="s">
        <v>442</v>
      </c>
      <c r="H389" s="149" t="str">
        <f t="shared" si="1"/>
        <v>MARÍA GARROTE GARROTE</v>
      </c>
      <c r="I389" s="149" t="s">
        <v>447</v>
      </c>
      <c r="J389" s="153" t="s">
        <v>444</v>
      </c>
      <c r="K389" s="149" t="s">
        <v>1081</v>
      </c>
      <c r="L389" s="157">
        <v>45373</v>
      </c>
      <c r="M389" s="158"/>
      <c r="N389" s="163">
        <v>2</v>
      </c>
      <c r="O389" s="165" t="s">
        <v>449</v>
      </c>
      <c r="P389" s="161">
        <v>2780.91</v>
      </c>
      <c r="Q389" s="170">
        <v>45356</v>
      </c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</row>
    <row r="390" spans="1:27">
      <c r="A390" s="154">
        <v>3</v>
      </c>
      <c r="B390" s="155" t="s">
        <v>933</v>
      </c>
      <c r="C390" s="156">
        <v>45322</v>
      </c>
      <c r="D390" s="155" t="s">
        <v>440</v>
      </c>
      <c r="E390" s="149" t="s">
        <v>122</v>
      </c>
      <c r="F390" s="149" t="s">
        <v>441</v>
      </c>
      <c r="G390" s="149" t="s">
        <v>442</v>
      </c>
      <c r="H390" s="149" t="str">
        <f t="shared" si="1"/>
        <v>CONCEPCIÓN PESCADOR MESONERO</v>
      </c>
      <c r="I390" s="149" t="s">
        <v>816</v>
      </c>
      <c r="J390" s="153" t="s">
        <v>444</v>
      </c>
      <c r="K390" s="149" t="s">
        <v>1082</v>
      </c>
      <c r="L390" s="157">
        <v>45373</v>
      </c>
      <c r="M390" s="164"/>
      <c r="N390" s="163">
        <v>2</v>
      </c>
      <c r="O390" s="165" t="s">
        <v>449</v>
      </c>
      <c r="P390" s="161">
        <v>2780.91</v>
      </c>
      <c r="Q390" s="170">
        <v>45322</v>
      </c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</row>
    <row r="391" spans="1:27">
      <c r="A391" s="154">
        <v>3</v>
      </c>
      <c r="B391" s="155" t="s">
        <v>933</v>
      </c>
      <c r="C391" s="156">
        <v>45335</v>
      </c>
      <c r="D391" s="155" t="s">
        <v>440</v>
      </c>
      <c r="E391" s="149" t="s">
        <v>158</v>
      </c>
      <c r="F391" s="149" t="s">
        <v>441</v>
      </c>
      <c r="G391" s="149" t="s">
        <v>442</v>
      </c>
      <c r="H391" s="149" t="str">
        <f t="shared" si="1"/>
        <v>GUSTAVO CÓRDOVA RAMOS</v>
      </c>
      <c r="I391" s="149" t="s">
        <v>1054</v>
      </c>
      <c r="J391" s="153" t="s">
        <v>444</v>
      </c>
      <c r="K391" s="149" t="s">
        <v>1083</v>
      </c>
      <c r="L391" s="157">
        <v>45373</v>
      </c>
      <c r="M391" s="158"/>
      <c r="N391" s="163">
        <v>2</v>
      </c>
      <c r="O391" s="165" t="s">
        <v>449</v>
      </c>
      <c r="P391" s="161">
        <v>2490</v>
      </c>
      <c r="Q391" s="170">
        <v>45335</v>
      </c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</row>
    <row r="392" spans="1:27">
      <c r="A392" s="154">
        <v>3</v>
      </c>
      <c r="B392" s="155" t="s">
        <v>933</v>
      </c>
      <c r="C392" s="156">
        <v>45345</v>
      </c>
      <c r="D392" s="155" t="s">
        <v>440</v>
      </c>
      <c r="E392" s="149" t="s">
        <v>98</v>
      </c>
      <c r="F392" s="149" t="s">
        <v>441</v>
      </c>
      <c r="G392" s="149" t="s">
        <v>442</v>
      </c>
      <c r="H392" s="149" t="str">
        <f t="shared" si="1"/>
        <v>ENRIQUE VIVIENTE RODRÍGUEZ</v>
      </c>
      <c r="I392" s="149" t="s">
        <v>844</v>
      </c>
      <c r="J392" s="153" t="s">
        <v>462</v>
      </c>
      <c r="K392" s="149" t="s">
        <v>1084</v>
      </c>
      <c r="L392" s="157">
        <v>45373</v>
      </c>
      <c r="M392" s="158"/>
      <c r="N392" s="163">
        <v>2</v>
      </c>
      <c r="O392" s="165" t="s">
        <v>446</v>
      </c>
      <c r="P392" s="161">
        <v>3604.55</v>
      </c>
      <c r="Q392" s="170">
        <v>45345</v>
      </c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</row>
    <row r="393" spans="1:27">
      <c r="A393" s="154">
        <v>3</v>
      </c>
      <c r="B393" s="155" t="s">
        <v>933</v>
      </c>
      <c r="C393" s="156">
        <v>45359</v>
      </c>
      <c r="D393" s="155" t="s">
        <v>440</v>
      </c>
      <c r="E393" s="149" t="s">
        <v>190</v>
      </c>
      <c r="F393" s="149" t="s">
        <v>441</v>
      </c>
      <c r="G393" s="149" t="s">
        <v>442</v>
      </c>
      <c r="H393" s="149" t="str">
        <f t="shared" si="1"/>
        <v>ANDRÉS BARRIOS RECIO</v>
      </c>
      <c r="I393" s="149" t="s">
        <v>807</v>
      </c>
      <c r="J393" s="153" t="s">
        <v>462</v>
      </c>
      <c r="K393" s="149" t="s">
        <v>1085</v>
      </c>
      <c r="L393" s="157">
        <v>45373</v>
      </c>
      <c r="M393" s="164"/>
      <c r="N393" s="163">
        <v>1</v>
      </c>
      <c r="O393" s="165" t="s">
        <v>446</v>
      </c>
      <c r="P393" s="161">
        <v>2227.27</v>
      </c>
      <c r="Q393" s="170">
        <v>45359</v>
      </c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</row>
    <row r="394" spans="1:27">
      <c r="A394" s="154">
        <v>3</v>
      </c>
      <c r="B394" s="155" t="s">
        <v>933</v>
      </c>
      <c r="C394" s="156">
        <v>45327</v>
      </c>
      <c r="D394" s="155" t="s">
        <v>440</v>
      </c>
      <c r="E394" s="149" t="s">
        <v>485</v>
      </c>
      <c r="F394" s="149" t="s">
        <v>441</v>
      </c>
      <c r="G394" s="149" t="s">
        <v>442</v>
      </c>
      <c r="H394" s="149" t="str">
        <f t="shared" si="1"/>
        <v>MANUEL ACUÑA GARCÍA</v>
      </c>
      <c r="I394" s="149" t="s">
        <v>472</v>
      </c>
      <c r="J394" s="153" t="s">
        <v>473</v>
      </c>
      <c r="K394" s="149" t="s">
        <v>1086</v>
      </c>
      <c r="L394" s="157">
        <v>45373</v>
      </c>
      <c r="M394" s="158"/>
      <c r="N394" s="163">
        <v>2</v>
      </c>
      <c r="O394" s="165" t="s">
        <v>466</v>
      </c>
      <c r="P394" s="161">
        <v>3977.27</v>
      </c>
      <c r="Q394" s="170">
        <v>45327</v>
      </c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</row>
    <row r="395" spans="1:27">
      <c r="A395" s="154">
        <v>3</v>
      </c>
      <c r="B395" s="155" t="s">
        <v>933</v>
      </c>
      <c r="C395" s="156">
        <v>45334</v>
      </c>
      <c r="D395" s="155" t="s">
        <v>440</v>
      </c>
      <c r="E395" s="149" t="s">
        <v>308</v>
      </c>
      <c r="F395" s="149" t="s">
        <v>441</v>
      </c>
      <c r="G395" s="149" t="s">
        <v>442</v>
      </c>
      <c r="H395" s="149" t="str">
        <f t="shared" si="1"/>
        <v>MARÍA SCOLA TORRES</v>
      </c>
      <c r="I395" s="149" t="s">
        <v>1087</v>
      </c>
      <c r="J395" s="153" t="s">
        <v>444</v>
      </c>
      <c r="K395" s="149" t="s">
        <v>1088</v>
      </c>
      <c r="L395" s="157">
        <v>45376</v>
      </c>
      <c r="M395" s="158"/>
      <c r="N395" s="163">
        <v>2</v>
      </c>
      <c r="O395" s="165" t="s">
        <v>466</v>
      </c>
      <c r="P395" s="161">
        <v>4222.7299999999996</v>
      </c>
      <c r="Q395" s="168">
        <v>45334</v>
      </c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</row>
    <row r="396" spans="1:27">
      <c r="A396" s="154">
        <v>3</v>
      </c>
      <c r="B396" s="155" t="s">
        <v>933</v>
      </c>
      <c r="C396" s="156">
        <v>44987</v>
      </c>
      <c r="D396" s="155" t="s">
        <v>440</v>
      </c>
      <c r="E396" s="149" t="s">
        <v>308</v>
      </c>
      <c r="F396" s="149" t="s">
        <v>441</v>
      </c>
      <c r="G396" s="149" t="s">
        <v>442</v>
      </c>
      <c r="H396" s="149" t="str">
        <f t="shared" si="1"/>
        <v>JULIO LÓPEZ MOYA</v>
      </c>
      <c r="I396" s="149" t="s">
        <v>504</v>
      </c>
      <c r="J396" s="149" t="s">
        <v>444</v>
      </c>
      <c r="K396" s="149" t="s">
        <v>1089</v>
      </c>
      <c r="L396" s="157">
        <v>45376</v>
      </c>
      <c r="M396" s="158"/>
      <c r="N396" s="163">
        <v>1</v>
      </c>
      <c r="O396" s="165" t="s">
        <v>466</v>
      </c>
      <c r="P396" s="161">
        <v>1445.45</v>
      </c>
      <c r="Q396" s="168">
        <v>44987</v>
      </c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</row>
    <row r="397" spans="1:27">
      <c r="A397" s="154">
        <v>3</v>
      </c>
      <c r="B397" s="155" t="s">
        <v>933</v>
      </c>
      <c r="C397" s="156">
        <v>45350</v>
      </c>
      <c r="D397" s="155" t="s">
        <v>440</v>
      </c>
      <c r="E397" s="149" t="s">
        <v>311</v>
      </c>
      <c r="F397" s="149" t="s">
        <v>441</v>
      </c>
      <c r="G397" s="149" t="s">
        <v>442</v>
      </c>
      <c r="H397" s="149" t="str">
        <f t="shared" si="1"/>
        <v>PALOMA MARTÍN- ARAGÓN MARTIÍ</v>
      </c>
      <c r="I397" s="149" t="s">
        <v>643</v>
      </c>
      <c r="J397" s="149" t="s">
        <v>444</v>
      </c>
      <c r="K397" s="149" t="s">
        <v>1090</v>
      </c>
      <c r="L397" s="157">
        <v>45376</v>
      </c>
      <c r="M397" s="164"/>
      <c r="N397" s="163">
        <v>2</v>
      </c>
      <c r="O397" s="165" t="s">
        <v>449</v>
      </c>
      <c r="P397" s="161">
        <v>2780.91</v>
      </c>
      <c r="Q397" s="170">
        <v>45350</v>
      </c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</row>
    <row r="398" spans="1:27">
      <c r="A398" s="154">
        <v>3</v>
      </c>
      <c r="B398" s="155" t="s">
        <v>933</v>
      </c>
      <c r="C398" s="156">
        <v>45308</v>
      </c>
      <c r="D398" s="155" t="s">
        <v>440</v>
      </c>
      <c r="E398" s="149" t="s">
        <v>109</v>
      </c>
      <c r="F398" s="149" t="s">
        <v>441</v>
      </c>
      <c r="G398" s="149" t="s">
        <v>442</v>
      </c>
      <c r="H398" s="149" t="str">
        <f t="shared" si="1"/>
        <v>ROCÍO GONZÁLEZ MÁRQUEZ</v>
      </c>
      <c r="I398" s="149" t="s">
        <v>1091</v>
      </c>
      <c r="J398" s="153" t="s">
        <v>444</v>
      </c>
      <c r="K398" s="149" t="s">
        <v>1092</v>
      </c>
      <c r="L398" s="157">
        <v>45376</v>
      </c>
      <c r="M398" s="158"/>
      <c r="N398" s="163">
        <v>2</v>
      </c>
      <c r="O398" s="165" t="s">
        <v>449</v>
      </c>
      <c r="P398" s="161">
        <v>2780.91</v>
      </c>
      <c r="Q398" s="170">
        <v>45308</v>
      </c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</row>
    <row r="399" spans="1:27">
      <c r="A399" s="154">
        <v>3</v>
      </c>
      <c r="B399" s="155" t="s">
        <v>933</v>
      </c>
      <c r="C399" s="156">
        <v>45356</v>
      </c>
      <c r="D399" s="155" t="s">
        <v>440</v>
      </c>
      <c r="E399" s="149" t="s">
        <v>109</v>
      </c>
      <c r="F399" s="149" t="s">
        <v>441</v>
      </c>
      <c r="G399" s="149" t="s">
        <v>442</v>
      </c>
      <c r="H399" s="149" t="str">
        <f t="shared" si="1"/>
        <v>ANTONIO RODRÍGUEZ RIVERO</v>
      </c>
      <c r="I399" s="149" t="s">
        <v>443</v>
      </c>
      <c r="J399" s="153" t="s">
        <v>444</v>
      </c>
      <c r="K399" s="149" t="s">
        <v>1093</v>
      </c>
      <c r="L399" s="157">
        <v>45376</v>
      </c>
      <c r="M399" s="158"/>
      <c r="N399" s="163">
        <v>2</v>
      </c>
      <c r="O399" s="165" t="s">
        <v>446</v>
      </c>
      <c r="P399" s="161">
        <v>3604.55</v>
      </c>
      <c r="Q399" s="170">
        <v>45356</v>
      </c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</row>
    <row r="400" spans="1:27">
      <c r="A400" s="154">
        <v>3</v>
      </c>
      <c r="B400" s="155" t="s">
        <v>933</v>
      </c>
      <c r="C400" s="156">
        <v>45322</v>
      </c>
      <c r="D400" s="155" t="s">
        <v>440</v>
      </c>
      <c r="E400" s="149" t="s">
        <v>501</v>
      </c>
      <c r="F400" s="149" t="s">
        <v>441</v>
      </c>
      <c r="G400" s="149" t="s">
        <v>442</v>
      </c>
      <c r="H400" s="149" t="str">
        <f t="shared" si="1"/>
        <v>FERNANDO SALAZAR BARCELONA</v>
      </c>
      <c r="I400" s="149" t="s">
        <v>502</v>
      </c>
      <c r="J400" s="149" t="s">
        <v>548</v>
      </c>
      <c r="K400" s="149" t="s">
        <v>1094</v>
      </c>
      <c r="L400" s="157">
        <v>45376</v>
      </c>
      <c r="M400" s="158"/>
      <c r="N400" s="163">
        <v>2</v>
      </c>
      <c r="O400" s="165" t="s">
        <v>446</v>
      </c>
      <c r="P400" s="161">
        <v>3272.73</v>
      </c>
      <c r="Q400" s="170">
        <v>45322</v>
      </c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</row>
    <row r="401" spans="1:27">
      <c r="A401" s="154">
        <v>3</v>
      </c>
      <c r="B401" s="155" t="s">
        <v>933</v>
      </c>
      <c r="C401" s="156">
        <v>45341</v>
      </c>
      <c r="D401" s="155" t="s">
        <v>440</v>
      </c>
      <c r="E401" s="149" t="s">
        <v>271</v>
      </c>
      <c r="F401" s="149" t="s">
        <v>441</v>
      </c>
      <c r="G401" s="149" t="s">
        <v>442</v>
      </c>
      <c r="H401" s="149" t="str">
        <f t="shared" si="1"/>
        <v>RAIMUNDO GÓMEZ-BLASI</v>
      </c>
      <c r="I401" s="149" t="s">
        <v>1095</v>
      </c>
      <c r="J401" s="153" t="s">
        <v>444</v>
      </c>
      <c r="K401" s="149" t="s">
        <v>1096</v>
      </c>
      <c r="L401" s="157">
        <v>45376</v>
      </c>
      <c r="M401" s="158"/>
      <c r="N401" s="163">
        <v>1</v>
      </c>
      <c r="O401" s="165" t="s">
        <v>446</v>
      </c>
      <c r="P401" s="161">
        <v>2054.59</v>
      </c>
      <c r="Q401" s="170">
        <v>45341</v>
      </c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</row>
    <row r="402" spans="1:27">
      <c r="A402" s="154">
        <v>3</v>
      </c>
      <c r="B402" s="155" t="s">
        <v>933</v>
      </c>
      <c r="C402" s="156">
        <v>45321</v>
      </c>
      <c r="D402" s="155" t="s">
        <v>440</v>
      </c>
      <c r="E402" s="149" t="s">
        <v>201</v>
      </c>
      <c r="F402" s="149" t="s">
        <v>441</v>
      </c>
      <c r="G402" s="149" t="s">
        <v>442</v>
      </c>
      <c r="H402" s="149" t="str">
        <f t="shared" si="1"/>
        <v>CARLOS FÉLIX ASENSIO NIETO</v>
      </c>
      <c r="I402" s="149" t="s">
        <v>1097</v>
      </c>
      <c r="J402" s="153" t="s">
        <v>548</v>
      </c>
      <c r="K402" s="149" t="s">
        <v>1098</v>
      </c>
      <c r="L402" s="157">
        <v>45376</v>
      </c>
      <c r="M402" s="164"/>
      <c r="N402" s="163">
        <v>2</v>
      </c>
      <c r="O402" s="165" t="s">
        <v>466</v>
      </c>
      <c r="P402" s="161">
        <v>4595.1899999999996</v>
      </c>
      <c r="Q402" s="170">
        <v>45321</v>
      </c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</row>
    <row r="403" spans="1:27">
      <c r="A403" s="154">
        <v>3</v>
      </c>
      <c r="B403" s="155" t="s">
        <v>933</v>
      </c>
      <c r="C403" s="156">
        <v>45317</v>
      </c>
      <c r="D403" s="155" t="s">
        <v>440</v>
      </c>
      <c r="E403" s="149" t="s">
        <v>485</v>
      </c>
      <c r="F403" s="149" t="s">
        <v>441</v>
      </c>
      <c r="G403" s="149" t="s">
        <v>442</v>
      </c>
      <c r="H403" s="149" t="str">
        <f t="shared" si="1"/>
        <v>ANTONIA CARRANZA CALLEJA</v>
      </c>
      <c r="I403" s="149" t="s">
        <v>511</v>
      </c>
      <c r="J403" s="153" t="s">
        <v>473</v>
      </c>
      <c r="K403" s="149" t="s">
        <v>1099</v>
      </c>
      <c r="L403" s="157">
        <v>45376</v>
      </c>
      <c r="M403" s="158"/>
      <c r="N403" s="163">
        <v>2</v>
      </c>
      <c r="O403" s="165" t="s">
        <v>466</v>
      </c>
      <c r="P403" s="161">
        <v>3977.27</v>
      </c>
      <c r="Q403" s="170">
        <v>45317</v>
      </c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</row>
    <row r="404" spans="1:27">
      <c r="A404" s="154">
        <v>3</v>
      </c>
      <c r="B404" s="155" t="s">
        <v>933</v>
      </c>
      <c r="C404" s="156">
        <v>45344</v>
      </c>
      <c r="D404" s="155" t="s">
        <v>440</v>
      </c>
      <c r="E404" s="149" t="s">
        <v>317</v>
      </c>
      <c r="F404" s="149" t="s">
        <v>441</v>
      </c>
      <c r="G404" s="149" t="s">
        <v>442</v>
      </c>
      <c r="H404" s="149" t="str">
        <f t="shared" si="1"/>
        <v>MARIA ROSARIO FERRANDIZ GARCÍA</v>
      </c>
      <c r="I404" s="149" t="s">
        <v>1100</v>
      </c>
      <c r="J404" s="153" t="s">
        <v>462</v>
      </c>
      <c r="K404" s="149" t="s">
        <v>1101</v>
      </c>
      <c r="L404" s="157">
        <v>45377</v>
      </c>
      <c r="M404" s="164"/>
      <c r="N404" s="163">
        <v>2</v>
      </c>
      <c r="O404" s="165" t="s">
        <v>446</v>
      </c>
      <c r="P404" s="161">
        <v>3572.73</v>
      </c>
      <c r="Q404" s="170">
        <v>45344</v>
      </c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</row>
    <row r="405" spans="1:27">
      <c r="A405" s="154">
        <v>3</v>
      </c>
      <c r="B405" s="155" t="s">
        <v>933</v>
      </c>
      <c r="C405" s="156">
        <v>45341</v>
      </c>
      <c r="D405" s="155" t="s">
        <v>440</v>
      </c>
      <c r="E405" s="149" t="s">
        <v>317</v>
      </c>
      <c r="F405" s="149" t="s">
        <v>441</v>
      </c>
      <c r="G405" s="149" t="s">
        <v>442</v>
      </c>
      <c r="H405" s="149" t="str">
        <f t="shared" si="1"/>
        <v>ALICIA MATEO ESPINOSA</v>
      </c>
      <c r="I405" s="149" t="s">
        <v>574</v>
      </c>
      <c r="J405" s="153" t="s">
        <v>462</v>
      </c>
      <c r="K405" s="149" t="s">
        <v>1102</v>
      </c>
      <c r="L405" s="157">
        <v>45377</v>
      </c>
      <c r="M405" s="158"/>
      <c r="N405" s="163">
        <v>2</v>
      </c>
      <c r="O405" s="165" t="s">
        <v>513</v>
      </c>
      <c r="P405" s="161">
        <v>4786.3599999999997</v>
      </c>
      <c r="Q405" s="170">
        <v>45341</v>
      </c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</row>
    <row r="406" spans="1:27">
      <c r="A406" s="154">
        <v>3</v>
      </c>
      <c r="B406" s="155" t="s">
        <v>933</v>
      </c>
      <c r="C406" s="156">
        <v>45349</v>
      </c>
      <c r="D406" s="155" t="s">
        <v>440</v>
      </c>
      <c r="E406" s="149" t="s">
        <v>317</v>
      </c>
      <c r="F406" s="149" t="s">
        <v>441</v>
      </c>
      <c r="G406" s="149" t="s">
        <v>442</v>
      </c>
      <c r="H406" s="149" t="str">
        <f t="shared" si="1"/>
        <v>KAREN ROJAS CRESPO</v>
      </c>
      <c r="I406" s="149" t="s">
        <v>986</v>
      </c>
      <c r="J406" s="153" t="s">
        <v>462</v>
      </c>
      <c r="K406" s="149" t="s">
        <v>1103</v>
      </c>
      <c r="L406" s="157">
        <v>45377</v>
      </c>
      <c r="M406" s="158"/>
      <c r="N406" s="163">
        <v>2</v>
      </c>
      <c r="O406" s="165" t="s">
        <v>449</v>
      </c>
      <c r="P406" s="161">
        <v>2781.82</v>
      </c>
      <c r="Q406" s="170">
        <v>45349</v>
      </c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</row>
    <row r="407" spans="1:27">
      <c r="A407" s="154">
        <v>3</v>
      </c>
      <c r="B407" s="155" t="s">
        <v>933</v>
      </c>
      <c r="C407" s="156">
        <v>45356</v>
      </c>
      <c r="D407" s="155" t="s">
        <v>440</v>
      </c>
      <c r="E407" s="149" t="s">
        <v>601</v>
      </c>
      <c r="F407" s="149" t="s">
        <v>441</v>
      </c>
      <c r="G407" s="149" t="s">
        <v>442</v>
      </c>
      <c r="H407" s="149" t="str">
        <f t="shared" si="1"/>
        <v>JESÚS HERRANZ GONZÁLEZ-BOTAS</v>
      </c>
      <c r="I407" s="149" t="s">
        <v>1104</v>
      </c>
      <c r="J407" s="153" t="s">
        <v>516</v>
      </c>
      <c r="K407" s="149" t="s">
        <v>1105</v>
      </c>
      <c r="L407" s="157">
        <v>45377</v>
      </c>
      <c r="M407" s="158"/>
      <c r="N407" s="163">
        <v>2</v>
      </c>
      <c r="O407" s="165" t="s">
        <v>446</v>
      </c>
      <c r="P407" s="161">
        <v>3909.09</v>
      </c>
      <c r="Q407" s="170">
        <v>45356</v>
      </c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</row>
    <row r="408" spans="1:27">
      <c r="A408" s="154">
        <v>3</v>
      </c>
      <c r="B408" s="155" t="s">
        <v>933</v>
      </c>
      <c r="C408" s="156">
        <v>45350</v>
      </c>
      <c r="D408" s="155" t="s">
        <v>440</v>
      </c>
      <c r="E408" s="149" t="s">
        <v>311</v>
      </c>
      <c r="F408" s="149" t="s">
        <v>441</v>
      </c>
      <c r="G408" s="149" t="s">
        <v>442</v>
      </c>
      <c r="H408" s="149" t="str">
        <f t="shared" si="1"/>
        <v>VICTORIA GARCÍA PECES</v>
      </c>
      <c r="I408" s="149" t="s">
        <v>488</v>
      </c>
      <c r="J408" s="153" t="s">
        <v>444</v>
      </c>
      <c r="K408" s="149" t="s">
        <v>1106</v>
      </c>
      <c r="L408" s="157">
        <v>45377</v>
      </c>
      <c r="M408" s="164"/>
      <c r="N408" s="163">
        <v>2</v>
      </c>
      <c r="O408" s="165" t="s">
        <v>446</v>
      </c>
      <c r="P408" s="161">
        <v>3604.55</v>
      </c>
      <c r="Q408" s="170">
        <v>45350</v>
      </c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</row>
    <row r="409" spans="1:27">
      <c r="A409" s="154">
        <v>3</v>
      </c>
      <c r="B409" s="155" t="s">
        <v>933</v>
      </c>
      <c r="C409" s="156">
        <v>45355</v>
      </c>
      <c r="D409" s="155" t="s">
        <v>440</v>
      </c>
      <c r="E409" s="149" t="s">
        <v>311</v>
      </c>
      <c r="F409" s="149" t="s">
        <v>441</v>
      </c>
      <c r="G409" s="149" t="s">
        <v>442</v>
      </c>
      <c r="H409" s="149" t="str">
        <f t="shared" si="1"/>
        <v>MARÍA TERESA HERRERA MERA</v>
      </c>
      <c r="I409" s="149" t="s">
        <v>564</v>
      </c>
      <c r="J409" s="153" t="s">
        <v>444</v>
      </c>
      <c r="K409" s="149" t="s">
        <v>1107</v>
      </c>
      <c r="L409" s="157">
        <v>45377</v>
      </c>
      <c r="M409" s="158"/>
      <c r="N409" s="163">
        <v>2</v>
      </c>
      <c r="O409" s="165" t="s">
        <v>466</v>
      </c>
      <c r="P409" s="161">
        <v>4011.58</v>
      </c>
      <c r="Q409" s="170">
        <v>45355</v>
      </c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</row>
    <row r="410" spans="1:27">
      <c r="A410" s="154">
        <v>3</v>
      </c>
      <c r="B410" s="155" t="s">
        <v>933</v>
      </c>
      <c r="C410" s="156">
        <v>45357</v>
      </c>
      <c r="D410" s="155" t="s">
        <v>440</v>
      </c>
      <c r="E410" s="149" t="s">
        <v>109</v>
      </c>
      <c r="F410" s="149" t="s">
        <v>441</v>
      </c>
      <c r="G410" s="149" t="s">
        <v>442</v>
      </c>
      <c r="H410" s="149" t="str">
        <f t="shared" si="1"/>
        <v>ESTHER MONTIEL DIEZ</v>
      </c>
      <c r="I410" s="149" t="s">
        <v>1108</v>
      </c>
      <c r="J410" s="153" t="s">
        <v>444</v>
      </c>
      <c r="K410" s="149" t="s">
        <v>1109</v>
      </c>
      <c r="L410" s="157">
        <v>45377</v>
      </c>
      <c r="M410" s="164"/>
      <c r="N410" s="163">
        <v>2</v>
      </c>
      <c r="O410" s="165" t="s">
        <v>466</v>
      </c>
      <c r="P410" s="161">
        <v>4011.58</v>
      </c>
      <c r="Q410" s="170">
        <v>45357</v>
      </c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</row>
    <row r="411" spans="1:27">
      <c r="A411" s="154">
        <v>3</v>
      </c>
      <c r="B411" s="155" t="s">
        <v>933</v>
      </c>
      <c r="C411" s="156">
        <v>45348</v>
      </c>
      <c r="D411" s="155" t="s">
        <v>440</v>
      </c>
      <c r="E411" s="149" t="s">
        <v>122</v>
      </c>
      <c r="F411" s="149" t="s">
        <v>441</v>
      </c>
      <c r="G411" s="149" t="s">
        <v>442</v>
      </c>
      <c r="H411" s="149" t="str">
        <f t="shared" si="1"/>
        <v>CARMEN JUAN IVARS</v>
      </c>
      <c r="I411" s="149" t="s">
        <v>1050</v>
      </c>
      <c r="J411" s="153" t="s">
        <v>444</v>
      </c>
      <c r="K411" s="149" t="s">
        <v>1110</v>
      </c>
      <c r="L411" s="157">
        <v>45377</v>
      </c>
      <c r="M411" s="158"/>
      <c r="N411" s="163">
        <v>2</v>
      </c>
      <c r="O411" s="165" t="s">
        <v>449</v>
      </c>
      <c r="P411" s="161">
        <v>2641.82</v>
      </c>
      <c r="Q411" s="170">
        <v>45348</v>
      </c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</row>
    <row r="412" spans="1:27">
      <c r="A412" s="154">
        <v>3</v>
      </c>
      <c r="B412" s="155" t="s">
        <v>933</v>
      </c>
      <c r="C412" s="156">
        <v>45342</v>
      </c>
      <c r="D412" s="166" t="s">
        <v>440</v>
      </c>
      <c r="E412" s="149" t="s">
        <v>315</v>
      </c>
      <c r="F412" s="149" t="s">
        <v>441</v>
      </c>
      <c r="G412" s="149" t="s">
        <v>442</v>
      </c>
      <c r="H412" s="149" t="str">
        <f t="shared" si="1"/>
        <v>CRISTINA VADUVA</v>
      </c>
      <c r="I412" s="149" t="s">
        <v>499</v>
      </c>
      <c r="J412" s="149" t="s">
        <v>444</v>
      </c>
      <c r="K412" s="149" t="s">
        <v>1111</v>
      </c>
      <c r="L412" s="157">
        <v>45377</v>
      </c>
      <c r="M412" s="158"/>
      <c r="N412" s="163">
        <v>2</v>
      </c>
      <c r="O412" s="165" t="s">
        <v>449</v>
      </c>
      <c r="P412" s="161">
        <v>2636.36</v>
      </c>
      <c r="Q412" s="170">
        <v>45342</v>
      </c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</row>
    <row r="413" spans="1:27">
      <c r="A413" s="154">
        <v>3</v>
      </c>
      <c r="B413" s="155" t="s">
        <v>933</v>
      </c>
      <c r="C413" s="156">
        <v>45336</v>
      </c>
      <c r="D413" s="155" t="s">
        <v>440</v>
      </c>
      <c r="E413" s="149" t="s">
        <v>315</v>
      </c>
      <c r="F413" s="149" t="s">
        <v>441</v>
      </c>
      <c r="G413" s="149" t="s">
        <v>442</v>
      </c>
      <c r="H413" s="149" t="str">
        <f t="shared" si="1"/>
        <v>JOSÉ GUSTAVO BARROSO BRAOJOS</v>
      </c>
      <c r="I413" s="149" t="s">
        <v>560</v>
      </c>
      <c r="J413" s="153" t="s">
        <v>444</v>
      </c>
      <c r="K413" s="149" t="s">
        <v>1112</v>
      </c>
      <c r="L413" s="157">
        <v>45377</v>
      </c>
      <c r="M413" s="158"/>
      <c r="N413" s="163">
        <v>2</v>
      </c>
      <c r="O413" s="165" t="s">
        <v>449</v>
      </c>
      <c r="P413" s="161">
        <v>2641.82</v>
      </c>
      <c r="Q413" s="170">
        <v>45336</v>
      </c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</row>
    <row r="414" spans="1:27">
      <c r="A414" s="154">
        <v>3</v>
      </c>
      <c r="B414" s="155" t="s">
        <v>933</v>
      </c>
      <c r="C414" s="156">
        <v>45322</v>
      </c>
      <c r="D414" s="155" t="s">
        <v>440</v>
      </c>
      <c r="E414" s="149" t="s">
        <v>271</v>
      </c>
      <c r="F414" s="149" t="s">
        <v>441</v>
      </c>
      <c r="G414" s="149" t="s">
        <v>442</v>
      </c>
      <c r="H414" s="149" t="str">
        <f t="shared" si="1"/>
        <v>ANTONIO BUENO RÍOS</v>
      </c>
      <c r="I414" s="149" t="s">
        <v>519</v>
      </c>
      <c r="J414" s="153" t="s">
        <v>548</v>
      </c>
      <c r="K414" s="149" t="s">
        <v>1113</v>
      </c>
      <c r="L414" s="157">
        <v>45377</v>
      </c>
      <c r="M414" s="158"/>
      <c r="N414" s="163">
        <v>2</v>
      </c>
      <c r="O414" s="165" t="s">
        <v>446</v>
      </c>
      <c r="P414" s="161">
        <v>3363.64</v>
      </c>
      <c r="Q414" s="170">
        <v>45322</v>
      </c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</row>
    <row r="415" spans="1:27">
      <c r="A415" s="154">
        <v>3</v>
      </c>
      <c r="B415" s="155" t="s">
        <v>933</v>
      </c>
      <c r="C415" s="156">
        <v>45345</v>
      </c>
      <c r="D415" s="155" t="s">
        <v>440</v>
      </c>
      <c r="E415" s="149" t="s">
        <v>563</v>
      </c>
      <c r="F415" s="149" t="s">
        <v>441</v>
      </c>
      <c r="G415" s="149" t="s">
        <v>442</v>
      </c>
      <c r="H415" s="149" t="str">
        <f t="shared" si="1"/>
        <v>LAURA YEGUAS RAMÍREZ</v>
      </c>
      <c r="I415" s="149" t="s">
        <v>786</v>
      </c>
      <c r="J415" s="153" t="s">
        <v>444</v>
      </c>
      <c r="K415" s="149" t="s">
        <v>1114</v>
      </c>
      <c r="L415" s="157">
        <v>45377</v>
      </c>
      <c r="M415" s="158"/>
      <c r="N415" s="163">
        <v>2</v>
      </c>
      <c r="O415" s="165" t="s">
        <v>449</v>
      </c>
      <c r="P415" s="161">
        <v>2641.82</v>
      </c>
      <c r="Q415" s="170">
        <v>45345</v>
      </c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</row>
    <row r="416" spans="1:27">
      <c r="A416" s="154">
        <v>3</v>
      </c>
      <c r="B416" s="155" t="s">
        <v>933</v>
      </c>
      <c r="C416" s="156">
        <v>45343</v>
      </c>
      <c r="D416" s="155" t="s">
        <v>440</v>
      </c>
      <c r="E416" s="149" t="s">
        <v>309</v>
      </c>
      <c r="F416" s="149" t="s">
        <v>441</v>
      </c>
      <c r="G416" s="149" t="s">
        <v>442</v>
      </c>
      <c r="H416" s="149" t="str">
        <f t="shared" si="1"/>
        <v>CÉSAR CHARLES MARTÍNEZ</v>
      </c>
      <c r="I416" s="149" t="s">
        <v>495</v>
      </c>
      <c r="J416" s="149" t="s">
        <v>444</v>
      </c>
      <c r="K416" s="149" t="s">
        <v>1115</v>
      </c>
      <c r="L416" s="157">
        <v>45377</v>
      </c>
      <c r="M416" s="158"/>
      <c r="N416" s="163">
        <v>1</v>
      </c>
      <c r="O416" s="165" t="s">
        <v>449</v>
      </c>
      <c r="P416" s="161">
        <v>1584.55</v>
      </c>
      <c r="Q416" s="170">
        <v>45343</v>
      </c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</row>
    <row r="417" spans="1:27">
      <c r="A417" s="154">
        <v>3</v>
      </c>
      <c r="B417" s="155" t="s">
        <v>933</v>
      </c>
      <c r="C417" s="156">
        <v>45355</v>
      </c>
      <c r="D417" s="155" t="s">
        <v>440</v>
      </c>
      <c r="E417" s="149" t="s">
        <v>309</v>
      </c>
      <c r="F417" s="149" t="s">
        <v>441</v>
      </c>
      <c r="G417" s="149" t="s">
        <v>442</v>
      </c>
      <c r="H417" s="149" t="str">
        <f t="shared" si="1"/>
        <v>MANUEL GUTIERREZ TRIGUERO</v>
      </c>
      <c r="I417" s="149" t="s">
        <v>1074</v>
      </c>
      <c r="J417" s="149" t="s">
        <v>444</v>
      </c>
      <c r="K417" s="149" t="s">
        <v>1116</v>
      </c>
      <c r="L417" s="157">
        <v>45377</v>
      </c>
      <c r="M417" s="158"/>
      <c r="N417" s="163">
        <v>2</v>
      </c>
      <c r="O417" s="165" t="s">
        <v>446</v>
      </c>
      <c r="P417" s="161">
        <v>3604.55</v>
      </c>
      <c r="Q417" s="170">
        <v>45355</v>
      </c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</row>
    <row r="418" spans="1:27">
      <c r="A418" s="154">
        <v>3</v>
      </c>
      <c r="B418" s="155" t="s">
        <v>933</v>
      </c>
      <c r="C418" s="156">
        <v>45301</v>
      </c>
      <c r="D418" s="155" t="s">
        <v>440</v>
      </c>
      <c r="E418" s="149" t="s">
        <v>313</v>
      </c>
      <c r="F418" s="149" t="s">
        <v>441</v>
      </c>
      <c r="G418" s="149" t="s">
        <v>442</v>
      </c>
      <c r="H418" s="149" t="str">
        <f t="shared" si="1"/>
        <v>GUILLERMO SAN JUAN DE LA MORETA</v>
      </c>
      <c r="I418" s="149" t="s">
        <v>826</v>
      </c>
      <c r="J418" s="149" t="s">
        <v>444</v>
      </c>
      <c r="K418" s="149" t="s">
        <v>1117</v>
      </c>
      <c r="L418" s="157">
        <v>45377</v>
      </c>
      <c r="M418" s="158"/>
      <c r="N418" s="163">
        <v>1</v>
      </c>
      <c r="O418" s="165" t="s">
        <v>466</v>
      </c>
      <c r="P418" s="161">
        <v>2536.36</v>
      </c>
      <c r="Q418" s="170">
        <v>45301</v>
      </c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</row>
    <row r="419" spans="1:27">
      <c r="A419" s="154">
        <v>3</v>
      </c>
      <c r="B419" s="155" t="s">
        <v>933</v>
      </c>
      <c r="C419" s="156">
        <v>45359</v>
      </c>
      <c r="D419" s="155" t="s">
        <v>440</v>
      </c>
      <c r="E419" s="149" t="s">
        <v>190</v>
      </c>
      <c r="F419" s="149" t="s">
        <v>441</v>
      </c>
      <c r="G419" s="149" t="s">
        <v>442</v>
      </c>
      <c r="H419" s="149" t="str">
        <f t="shared" si="1"/>
        <v>NATHALIE FAGES CÁRCELES</v>
      </c>
      <c r="I419" s="149" t="s">
        <v>726</v>
      </c>
      <c r="J419" s="153" t="s">
        <v>462</v>
      </c>
      <c r="K419" s="149" t="s">
        <v>1118</v>
      </c>
      <c r="L419" s="157">
        <v>45377</v>
      </c>
      <c r="M419" s="158"/>
      <c r="N419" s="163">
        <v>2</v>
      </c>
      <c r="O419" s="165" t="s">
        <v>446</v>
      </c>
      <c r="P419" s="161">
        <v>3711.82</v>
      </c>
      <c r="Q419" s="170">
        <v>45359</v>
      </c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</row>
    <row r="420" spans="1:27">
      <c r="A420" s="154">
        <v>3</v>
      </c>
      <c r="B420" s="155" t="s">
        <v>933</v>
      </c>
      <c r="C420" s="156">
        <v>45352</v>
      </c>
      <c r="D420" s="155" t="s">
        <v>440</v>
      </c>
      <c r="E420" s="149" t="s">
        <v>201</v>
      </c>
      <c r="F420" s="149" t="s">
        <v>441</v>
      </c>
      <c r="G420" s="149" t="s">
        <v>442</v>
      </c>
      <c r="H420" s="149" t="str">
        <f t="shared" si="1"/>
        <v>NATALIA GISSETH PULIDO FONSECA</v>
      </c>
      <c r="I420" s="149" t="s">
        <v>1119</v>
      </c>
      <c r="J420" s="153" t="s">
        <v>548</v>
      </c>
      <c r="K420" s="149" t="s">
        <v>1120</v>
      </c>
      <c r="L420" s="157">
        <v>45377</v>
      </c>
      <c r="M420" s="164"/>
      <c r="N420" s="163">
        <v>1</v>
      </c>
      <c r="O420" s="165" t="s">
        <v>446</v>
      </c>
      <c r="P420" s="161">
        <v>2162.73</v>
      </c>
      <c r="Q420" s="170">
        <v>45352</v>
      </c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</row>
    <row r="421" spans="1:27">
      <c r="A421" s="154">
        <v>3</v>
      </c>
      <c r="B421" s="155" t="s">
        <v>933</v>
      </c>
      <c r="C421" s="156">
        <v>45329</v>
      </c>
      <c r="D421" s="155" t="s">
        <v>440</v>
      </c>
      <c r="E421" s="149" t="s">
        <v>92</v>
      </c>
      <c r="F421" s="149" t="s">
        <v>450</v>
      </c>
      <c r="G421" s="149" t="s">
        <v>451</v>
      </c>
      <c r="H421" s="149" t="str">
        <f t="shared" si="1"/>
        <v>MARIO HIGUERA RAPA</v>
      </c>
      <c r="I421" s="149" t="s">
        <v>913</v>
      </c>
      <c r="J421" s="153" t="s">
        <v>462</v>
      </c>
      <c r="K421" s="149" t="s">
        <v>1121</v>
      </c>
      <c r="L421" s="157">
        <v>45378</v>
      </c>
      <c r="M421" s="164"/>
      <c r="N421" s="163">
        <v>2</v>
      </c>
      <c r="O421" s="165" t="s">
        <v>446</v>
      </c>
      <c r="P421" s="161">
        <v>3424.32</v>
      </c>
      <c r="Q421" s="168">
        <v>45329</v>
      </c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</row>
    <row r="422" spans="1:27">
      <c r="A422" s="154">
        <v>3</v>
      </c>
      <c r="B422" s="155" t="s">
        <v>933</v>
      </c>
      <c r="C422" s="156">
        <v>45335</v>
      </c>
      <c r="D422" s="155" t="s">
        <v>440</v>
      </c>
      <c r="E422" s="149" t="s">
        <v>92</v>
      </c>
      <c r="F422" s="149" t="s">
        <v>441</v>
      </c>
      <c r="G422" s="149" t="s">
        <v>442</v>
      </c>
      <c r="H422" s="149" t="str">
        <f t="shared" si="1"/>
        <v>JAVIER GARCÍA-DUEÑAS GONZÁLEZ</v>
      </c>
      <c r="I422" s="149" t="s">
        <v>1122</v>
      </c>
      <c r="J422" s="153" t="s">
        <v>462</v>
      </c>
      <c r="K422" s="149" t="s">
        <v>1123</v>
      </c>
      <c r="L422" s="157">
        <v>45378</v>
      </c>
      <c r="M422" s="158"/>
      <c r="N422" s="163">
        <v>2</v>
      </c>
      <c r="O422" s="165" t="s">
        <v>466</v>
      </c>
      <c r="P422" s="161">
        <v>4222.7299999999996</v>
      </c>
      <c r="Q422" s="168">
        <v>45335</v>
      </c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</row>
    <row r="423" spans="1:27">
      <c r="A423" s="154">
        <v>3</v>
      </c>
      <c r="B423" s="155" t="s">
        <v>933</v>
      </c>
      <c r="C423" s="156">
        <v>45253</v>
      </c>
      <c r="D423" s="155" t="s">
        <v>440</v>
      </c>
      <c r="E423" s="149" t="s">
        <v>308</v>
      </c>
      <c r="F423" s="149" t="s">
        <v>441</v>
      </c>
      <c r="G423" s="149" t="s">
        <v>442</v>
      </c>
      <c r="H423" s="149" t="str">
        <f t="shared" si="1"/>
        <v>RAIMUNDO GÓMEZ-BLASI</v>
      </c>
      <c r="I423" s="149" t="s">
        <v>1095</v>
      </c>
      <c r="J423" s="153" t="s">
        <v>444</v>
      </c>
      <c r="K423" s="149" t="s">
        <v>1124</v>
      </c>
      <c r="L423" s="157">
        <v>45378</v>
      </c>
      <c r="M423" s="164"/>
      <c r="N423" s="163">
        <v>2</v>
      </c>
      <c r="O423" s="165" t="s">
        <v>446</v>
      </c>
      <c r="P423" s="161">
        <v>3604.55</v>
      </c>
      <c r="Q423" s="168">
        <v>45253</v>
      </c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</row>
    <row r="424" spans="1:27">
      <c r="A424" s="154">
        <v>3</v>
      </c>
      <c r="B424" s="155" t="s">
        <v>933</v>
      </c>
      <c r="C424" s="156">
        <v>45359</v>
      </c>
      <c r="D424" s="155" t="s">
        <v>440</v>
      </c>
      <c r="E424" s="149" t="s">
        <v>311</v>
      </c>
      <c r="F424" s="149" t="s">
        <v>441</v>
      </c>
      <c r="G424" s="149" t="s">
        <v>442</v>
      </c>
      <c r="H424" s="149" t="str">
        <f t="shared" si="1"/>
        <v>VICTORIA GARCÍA PECES</v>
      </c>
      <c r="I424" s="149" t="s">
        <v>488</v>
      </c>
      <c r="J424" s="153" t="s">
        <v>444</v>
      </c>
      <c r="K424" s="149" t="s">
        <v>1125</v>
      </c>
      <c r="L424" s="157">
        <v>45378</v>
      </c>
      <c r="M424" s="164"/>
      <c r="N424" s="163">
        <v>2</v>
      </c>
      <c r="O424" s="165" t="s">
        <v>446</v>
      </c>
      <c r="P424" s="161">
        <v>3604.55</v>
      </c>
      <c r="Q424" s="170">
        <v>45359</v>
      </c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</row>
    <row r="425" spans="1:27">
      <c r="A425" s="154">
        <v>3</v>
      </c>
      <c r="B425" s="155" t="s">
        <v>933</v>
      </c>
      <c r="C425" s="156">
        <v>45351</v>
      </c>
      <c r="D425" s="155" t="s">
        <v>440</v>
      </c>
      <c r="E425" s="149" t="s">
        <v>311</v>
      </c>
      <c r="F425" s="149" t="s">
        <v>450</v>
      </c>
      <c r="G425" s="149" t="s">
        <v>451</v>
      </c>
      <c r="H425" s="149" t="str">
        <f t="shared" si="1"/>
        <v>RAIMUNDO ANDRES NAVARRO MEDIANO</v>
      </c>
      <c r="I425" s="149" t="s">
        <v>1126</v>
      </c>
      <c r="J425" s="149" t="s">
        <v>444</v>
      </c>
      <c r="K425" s="149" t="s">
        <v>1127</v>
      </c>
      <c r="L425" s="157">
        <v>45378</v>
      </c>
      <c r="M425" s="158"/>
      <c r="N425" s="163">
        <v>2</v>
      </c>
      <c r="O425" s="165" t="s">
        <v>449</v>
      </c>
      <c r="P425" s="161">
        <v>2780.91</v>
      </c>
      <c r="Q425" s="170">
        <v>45351</v>
      </c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</row>
    <row r="426" spans="1:27">
      <c r="A426" s="154">
        <v>3</v>
      </c>
      <c r="B426" s="155" t="s">
        <v>933</v>
      </c>
      <c r="C426" s="156">
        <v>45341</v>
      </c>
      <c r="D426" s="155" t="s">
        <v>440</v>
      </c>
      <c r="E426" s="149" t="s">
        <v>122</v>
      </c>
      <c r="F426" s="149" t="s">
        <v>441</v>
      </c>
      <c r="G426" s="149" t="s">
        <v>442</v>
      </c>
      <c r="H426" s="149" t="str">
        <f t="shared" si="1"/>
        <v>CARMEN JUAN IVARS</v>
      </c>
      <c r="I426" s="149" t="s">
        <v>1050</v>
      </c>
      <c r="J426" s="153" t="s">
        <v>444</v>
      </c>
      <c r="K426" s="149" t="s">
        <v>1128</v>
      </c>
      <c r="L426" s="157">
        <v>45378</v>
      </c>
      <c r="M426" s="158"/>
      <c r="N426" s="163">
        <v>2</v>
      </c>
      <c r="O426" s="165" t="s">
        <v>466</v>
      </c>
      <c r="P426" s="161">
        <v>4090.91</v>
      </c>
      <c r="Q426" s="170">
        <v>45341</v>
      </c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</row>
    <row r="427" spans="1:27">
      <c r="A427" s="154">
        <v>3</v>
      </c>
      <c r="B427" s="155" t="s">
        <v>933</v>
      </c>
      <c r="C427" s="156">
        <v>45343</v>
      </c>
      <c r="D427" s="155" t="s">
        <v>440</v>
      </c>
      <c r="E427" s="149" t="s">
        <v>158</v>
      </c>
      <c r="F427" s="149" t="s">
        <v>441</v>
      </c>
      <c r="G427" s="149" t="s">
        <v>442</v>
      </c>
      <c r="H427" s="149" t="str">
        <f t="shared" si="1"/>
        <v>MARÍA JESÚS GIL PÉREZ</v>
      </c>
      <c r="I427" s="149" t="s">
        <v>1129</v>
      </c>
      <c r="J427" s="153" t="s">
        <v>444</v>
      </c>
      <c r="K427" s="149" t="s">
        <v>1130</v>
      </c>
      <c r="L427" s="157">
        <v>45378</v>
      </c>
      <c r="M427" s="158"/>
      <c r="N427" s="163">
        <v>1</v>
      </c>
      <c r="O427" s="165" t="s">
        <v>466</v>
      </c>
      <c r="P427" s="161">
        <v>2454.5500000000002</v>
      </c>
      <c r="Q427" s="170">
        <v>45343</v>
      </c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</row>
    <row r="428" spans="1:27">
      <c r="A428" s="154">
        <v>3</v>
      </c>
      <c r="B428" s="155" t="s">
        <v>933</v>
      </c>
      <c r="C428" s="156">
        <v>45309</v>
      </c>
      <c r="D428" s="155" t="s">
        <v>440</v>
      </c>
      <c r="E428" s="149" t="s">
        <v>158</v>
      </c>
      <c r="F428" s="149" t="s">
        <v>441</v>
      </c>
      <c r="G428" s="149" t="s">
        <v>442</v>
      </c>
      <c r="H428" s="149" t="str">
        <f t="shared" si="1"/>
        <v>CARLOS BARAJAS DEL ROSAL</v>
      </c>
      <c r="I428" s="149" t="s">
        <v>660</v>
      </c>
      <c r="J428" s="153" t="s">
        <v>548</v>
      </c>
      <c r="K428" s="149" t="s">
        <v>1131</v>
      </c>
      <c r="L428" s="157">
        <v>45378</v>
      </c>
      <c r="M428" s="164"/>
      <c r="N428" s="163">
        <v>1</v>
      </c>
      <c r="O428" s="165" t="s">
        <v>446</v>
      </c>
      <c r="P428" s="161">
        <v>1850</v>
      </c>
      <c r="Q428" s="170">
        <v>45309</v>
      </c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</row>
    <row r="429" spans="1:27">
      <c r="A429" s="154">
        <v>3</v>
      </c>
      <c r="B429" s="155" t="s">
        <v>933</v>
      </c>
      <c r="C429" s="156">
        <v>45322</v>
      </c>
      <c r="D429" s="155" t="s">
        <v>440</v>
      </c>
      <c r="E429" s="149" t="s">
        <v>313</v>
      </c>
      <c r="F429" s="149" t="s">
        <v>441</v>
      </c>
      <c r="G429" s="149" t="s">
        <v>442</v>
      </c>
      <c r="H429" s="149" t="str">
        <f t="shared" si="1"/>
        <v>MARÍA SCOLA TORRES</v>
      </c>
      <c r="I429" s="149" t="s">
        <v>1087</v>
      </c>
      <c r="J429" s="153" t="s">
        <v>444</v>
      </c>
      <c r="K429" s="149" t="s">
        <v>1132</v>
      </c>
      <c r="L429" s="157">
        <v>45378</v>
      </c>
      <c r="M429" s="158"/>
      <c r="N429" s="163">
        <v>1</v>
      </c>
      <c r="O429" s="165" t="s">
        <v>466</v>
      </c>
      <c r="P429" s="161">
        <v>2536.36</v>
      </c>
      <c r="Q429" s="170">
        <v>45322</v>
      </c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</row>
    <row r="430" spans="1:27">
      <c r="A430" s="154">
        <v>3</v>
      </c>
      <c r="B430" s="155" t="s">
        <v>933</v>
      </c>
      <c r="C430" s="156">
        <v>45350</v>
      </c>
      <c r="D430" s="155" t="s">
        <v>440</v>
      </c>
      <c r="E430" s="149" t="s">
        <v>314</v>
      </c>
      <c r="F430" s="149" t="s">
        <v>441</v>
      </c>
      <c r="G430" s="149" t="s">
        <v>442</v>
      </c>
      <c r="H430" s="149" t="str">
        <f t="shared" si="1"/>
        <v>Alejandro Harguindey Antoli-Candela</v>
      </c>
      <c r="I430" s="149" t="s">
        <v>528</v>
      </c>
      <c r="J430" s="153" t="s">
        <v>444</v>
      </c>
      <c r="K430" s="149" t="s">
        <v>1133</v>
      </c>
      <c r="L430" s="157">
        <v>45378</v>
      </c>
      <c r="M430" s="158"/>
      <c r="N430" s="173">
        <v>1</v>
      </c>
      <c r="O430" s="165" t="s">
        <v>466</v>
      </c>
      <c r="P430" s="161">
        <v>2354.5500000000002</v>
      </c>
      <c r="Q430" s="170">
        <v>45350</v>
      </c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</row>
    <row r="431" spans="1:27">
      <c r="A431" s="154">
        <v>3</v>
      </c>
      <c r="B431" s="155" t="s">
        <v>933</v>
      </c>
      <c r="C431" s="156">
        <v>45245</v>
      </c>
      <c r="D431" s="155" t="s">
        <v>440</v>
      </c>
      <c r="E431" s="149" t="s">
        <v>475</v>
      </c>
      <c r="F431" s="149" t="s">
        <v>450</v>
      </c>
      <c r="G431" s="149" t="s">
        <v>451</v>
      </c>
      <c r="H431" s="149" t="str">
        <f t="shared" si="1"/>
        <v>NO REUERDA ORL</v>
      </c>
      <c r="I431" s="149" t="s">
        <v>469</v>
      </c>
      <c r="J431" s="153" t="s">
        <v>477</v>
      </c>
      <c r="K431" s="149" t="s">
        <v>1134</v>
      </c>
      <c r="L431" s="157">
        <v>45378</v>
      </c>
      <c r="M431" s="164"/>
      <c r="N431" s="163">
        <v>2</v>
      </c>
      <c r="O431" s="165" t="s">
        <v>446</v>
      </c>
      <c r="P431" s="161">
        <v>3266.04</v>
      </c>
      <c r="Q431" s="170">
        <v>45245</v>
      </c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</row>
    <row r="432" spans="1:27">
      <c r="A432" s="154">
        <v>3</v>
      </c>
      <c r="B432" s="155" t="s">
        <v>933</v>
      </c>
      <c r="C432" s="156">
        <v>45378</v>
      </c>
      <c r="D432" s="155" t="s">
        <v>440</v>
      </c>
      <c r="E432" s="149" t="s">
        <v>475</v>
      </c>
      <c r="F432" s="149" t="s">
        <v>441</v>
      </c>
      <c r="G432" s="149" t="s">
        <v>442</v>
      </c>
      <c r="H432" s="149" t="str">
        <f t="shared" si="1"/>
        <v>VILMA SANDOVAL PACHECO</v>
      </c>
      <c r="I432" s="149" t="s">
        <v>1135</v>
      </c>
      <c r="J432" s="153" t="s">
        <v>473</v>
      </c>
      <c r="K432" s="149" t="s">
        <v>1136</v>
      </c>
      <c r="L432" s="157">
        <v>45378</v>
      </c>
      <c r="M432" s="158"/>
      <c r="N432" s="163">
        <v>2</v>
      </c>
      <c r="O432" s="165" t="s">
        <v>446</v>
      </c>
      <c r="P432" s="161">
        <v>3545.45</v>
      </c>
      <c r="Q432" s="170">
        <v>45378</v>
      </c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</row>
    <row r="433" spans="1:27">
      <c r="A433" s="154">
        <v>3</v>
      </c>
      <c r="B433" s="155" t="s">
        <v>933</v>
      </c>
      <c r="C433" s="156">
        <v>45246</v>
      </c>
      <c r="D433" s="155" t="s">
        <v>440</v>
      </c>
      <c r="E433" s="149" t="s">
        <v>190</v>
      </c>
      <c r="F433" s="149" t="s">
        <v>441</v>
      </c>
      <c r="G433" s="149" t="s">
        <v>442</v>
      </c>
      <c r="H433" s="149" t="str">
        <f t="shared" si="1"/>
        <v>Mª TERESA ALMELA ROJO</v>
      </c>
      <c r="I433" s="149" t="s">
        <v>1137</v>
      </c>
      <c r="J433" s="153" t="s">
        <v>462</v>
      </c>
      <c r="K433" s="149" t="s">
        <v>1138</v>
      </c>
      <c r="L433" s="157">
        <v>45378</v>
      </c>
      <c r="M433" s="164"/>
      <c r="N433" s="163">
        <v>2</v>
      </c>
      <c r="O433" s="165" t="s">
        <v>446</v>
      </c>
      <c r="P433" s="161">
        <v>3711.81</v>
      </c>
      <c r="Q433" s="170">
        <v>45246</v>
      </c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</row>
    <row r="434" spans="1:27">
      <c r="A434" s="154">
        <v>3</v>
      </c>
      <c r="B434" s="155" t="s">
        <v>933</v>
      </c>
      <c r="C434" s="156">
        <v>45342</v>
      </c>
      <c r="D434" s="155" t="s">
        <v>440</v>
      </c>
      <c r="E434" s="149" t="s">
        <v>239</v>
      </c>
      <c r="F434" s="149" t="s">
        <v>441</v>
      </c>
      <c r="G434" s="149" t="s">
        <v>442</v>
      </c>
      <c r="H434" s="149" t="str">
        <f t="shared" si="1"/>
        <v>Mª LUISA CALERO RAMOS</v>
      </c>
      <c r="I434" s="149" t="s">
        <v>809</v>
      </c>
      <c r="J434" s="153" t="s">
        <v>455</v>
      </c>
      <c r="K434" s="149" t="s">
        <v>1139</v>
      </c>
      <c r="L434" s="157">
        <v>45378</v>
      </c>
      <c r="M434" s="164"/>
      <c r="N434" s="163">
        <v>2</v>
      </c>
      <c r="O434" s="165" t="s">
        <v>449</v>
      </c>
      <c r="P434" s="161">
        <v>2909.09</v>
      </c>
      <c r="Q434" s="170">
        <v>45342</v>
      </c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</row>
    <row r="435" spans="1:27">
      <c r="A435" s="154">
        <v>3</v>
      </c>
      <c r="B435" s="155" t="s">
        <v>933</v>
      </c>
      <c r="C435" s="156">
        <v>45357</v>
      </c>
      <c r="D435" s="155" t="s">
        <v>440</v>
      </c>
      <c r="E435" s="149" t="s">
        <v>115</v>
      </c>
      <c r="F435" s="149" t="s">
        <v>441</v>
      </c>
      <c r="G435" s="149" t="s">
        <v>442</v>
      </c>
      <c r="H435" s="149" t="str">
        <f t="shared" si="1"/>
        <v>FERNANDO GARCÍA ALCÁNTARA</v>
      </c>
      <c r="I435" s="149" t="s">
        <v>1140</v>
      </c>
      <c r="J435" s="153" t="s">
        <v>444</v>
      </c>
      <c r="K435" s="149" t="s">
        <v>1141</v>
      </c>
      <c r="L435" s="157">
        <v>45378</v>
      </c>
      <c r="M435" s="158"/>
      <c r="N435" s="163">
        <v>2</v>
      </c>
      <c r="O435" s="165" t="s">
        <v>446</v>
      </c>
      <c r="P435" s="161">
        <v>3604.55</v>
      </c>
      <c r="Q435" s="170">
        <v>45357</v>
      </c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</row>
    <row r="436" spans="1:27">
      <c r="A436" s="154">
        <v>3</v>
      </c>
      <c r="B436" s="155" t="s">
        <v>933</v>
      </c>
      <c r="C436" s="156">
        <v>45323</v>
      </c>
      <c r="D436" s="155" t="s">
        <v>440</v>
      </c>
      <c r="E436" s="149" t="s">
        <v>485</v>
      </c>
      <c r="F436" s="149" t="s">
        <v>450</v>
      </c>
      <c r="G436" s="149" t="s">
        <v>451</v>
      </c>
      <c r="H436" s="149" t="str">
        <f t="shared" si="1"/>
        <v>MILAGROS MARCOS ORDOÑEZ</v>
      </c>
      <c r="I436" s="149" t="s">
        <v>1142</v>
      </c>
      <c r="J436" s="153" t="s">
        <v>473</v>
      </c>
      <c r="K436" s="149" t="s">
        <v>1143</v>
      </c>
      <c r="L436" s="157">
        <v>45378</v>
      </c>
      <c r="M436" s="158"/>
      <c r="N436" s="163">
        <v>2</v>
      </c>
      <c r="O436" s="165" t="s">
        <v>446</v>
      </c>
      <c r="P436" s="161">
        <v>3522.73</v>
      </c>
      <c r="Q436" s="170">
        <v>45323</v>
      </c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</row>
    <row r="437" spans="1:27">
      <c r="A437" s="154">
        <v>3</v>
      </c>
      <c r="B437" s="155" t="s">
        <v>933</v>
      </c>
      <c r="C437" s="156">
        <v>45342</v>
      </c>
      <c r="D437" s="155" t="s">
        <v>440</v>
      </c>
      <c r="E437" s="149" t="s">
        <v>317</v>
      </c>
      <c r="F437" s="149" t="s">
        <v>441</v>
      </c>
      <c r="G437" s="149" t="s">
        <v>442</v>
      </c>
      <c r="H437" s="149" t="str">
        <f t="shared" si="1"/>
        <v>FRANCISCO PASTOR BEVIÁ</v>
      </c>
      <c r="I437" s="149" t="s">
        <v>464</v>
      </c>
      <c r="J437" s="153" t="s">
        <v>462</v>
      </c>
      <c r="K437" s="149" t="s">
        <v>1144</v>
      </c>
      <c r="L437" s="157">
        <v>45379</v>
      </c>
      <c r="M437" s="158"/>
      <c r="N437" s="163">
        <v>2</v>
      </c>
      <c r="O437" s="165" t="s">
        <v>466</v>
      </c>
      <c r="P437" s="161">
        <v>4172.7299999999996</v>
      </c>
      <c r="Q437" s="170">
        <v>45342</v>
      </c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</row>
    <row r="438" spans="1:27">
      <c r="A438" s="154">
        <v>3</v>
      </c>
      <c r="B438" s="155" t="s">
        <v>933</v>
      </c>
      <c r="C438" s="156">
        <v>45342</v>
      </c>
      <c r="D438" s="155" t="s">
        <v>440</v>
      </c>
      <c r="E438" s="149" t="s">
        <v>317</v>
      </c>
      <c r="F438" s="149" t="s">
        <v>441</v>
      </c>
      <c r="G438" s="149" t="s">
        <v>442</v>
      </c>
      <c r="H438" s="149" t="str">
        <f t="shared" si="1"/>
        <v>FRANCISCO PASTOR BEVIÁ</v>
      </c>
      <c r="I438" s="149" t="s">
        <v>464</v>
      </c>
      <c r="J438" s="153" t="s">
        <v>462</v>
      </c>
      <c r="K438" s="149" t="s">
        <v>1145</v>
      </c>
      <c r="L438" s="157">
        <v>45379</v>
      </c>
      <c r="M438" s="164"/>
      <c r="N438" s="163">
        <v>2</v>
      </c>
      <c r="O438" s="165" t="s">
        <v>466</v>
      </c>
      <c r="P438" s="161">
        <v>4172.7299999999996</v>
      </c>
      <c r="Q438" s="170">
        <v>45342</v>
      </c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</row>
    <row r="439" spans="1:27">
      <c r="A439" s="154">
        <v>3</v>
      </c>
      <c r="B439" s="155" t="s">
        <v>933</v>
      </c>
      <c r="C439" s="156">
        <v>45355</v>
      </c>
      <c r="D439" s="155" t="s">
        <v>440</v>
      </c>
      <c r="E439" s="149" t="s">
        <v>546</v>
      </c>
      <c r="F439" s="149" t="s">
        <v>441</v>
      </c>
      <c r="G439" s="149" t="s">
        <v>442</v>
      </c>
      <c r="H439" s="149" t="str">
        <f t="shared" si="1"/>
        <v>JAVIER GARCÍA GÓMEZ</v>
      </c>
      <c r="I439" s="149" t="s">
        <v>946</v>
      </c>
      <c r="J439" s="149" t="s">
        <v>548</v>
      </c>
      <c r="K439" s="149" t="s">
        <v>1146</v>
      </c>
      <c r="L439" s="157">
        <v>45381</v>
      </c>
      <c r="M439" s="158"/>
      <c r="N439" s="163">
        <v>1</v>
      </c>
      <c r="O439" s="165" t="s">
        <v>466</v>
      </c>
      <c r="P439" s="161">
        <v>2536.36</v>
      </c>
      <c r="Q439" s="170">
        <v>45355</v>
      </c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</row>
    <row r="440" spans="1:27">
      <c r="A440" s="154">
        <v>4</v>
      </c>
      <c r="B440" s="155" t="s">
        <v>1147</v>
      </c>
      <c r="C440" s="156">
        <v>45351</v>
      </c>
      <c r="D440" s="155" t="s">
        <v>440</v>
      </c>
      <c r="E440" s="149" t="s">
        <v>514</v>
      </c>
      <c r="F440" s="149" t="s">
        <v>441</v>
      </c>
      <c r="G440" s="149" t="s">
        <v>442</v>
      </c>
      <c r="H440" s="149" t="str">
        <f t="shared" si="1"/>
        <v>CARLOS VIDAL REDONDO</v>
      </c>
      <c r="I440" s="149" t="s">
        <v>554</v>
      </c>
      <c r="J440" s="153" t="s">
        <v>516</v>
      </c>
      <c r="K440" s="149" t="s">
        <v>1148</v>
      </c>
      <c r="L440" s="157">
        <v>45383</v>
      </c>
      <c r="M440" s="158"/>
      <c r="N440" s="163">
        <v>2</v>
      </c>
      <c r="O440" s="165" t="s">
        <v>446</v>
      </c>
      <c r="P440" s="161">
        <v>3636.36</v>
      </c>
      <c r="Q440" s="170">
        <v>45351</v>
      </c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</row>
    <row r="441" spans="1:27">
      <c r="A441" s="154">
        <v>4</v>
      </c>
      <c r="B441" s="155" t="s">
        <v>1147</v>
      </c>
      <c r="C441" s="156">
        <v>45306</v>
      </c>
      <c r="D441" s="155" t="s">
        <v>440</v>
      </c>
      <c r="E441" s="149" t="s">
        <v>856</v>
      </c>
      <c r="F441" s="149" t="s">
        <v>441</v>
      </c>
      <c r="G441" s="149" t="s">
        <v>442</v>
      </c>
      <c r="H441" s="149" t="str">
        <f t="shared" si="1"/>
        <v>LUIS JOSÉ DOMÍNGUEZ UGIDOS</v>
      </c>
      <c r="I441" s="149" t="s">
        <v>1149</v>
      </c>
      <c r="J441" s="153" t="s">
        <v>473</v>
      </c>
      <c r="K441" s="149" t="s">
        <v>1150</v>
      </c>
      <c r="L441" s="157">
        <v>45383</v>
      </c>
      <c r="M441" s="164"/>
      <c r="N441" s="163">
        <v>2</v>
      </c>
      <c r="O441" s="165" t="s">
        <v>466</v>
      </c>
      <c r="P441" s="161">
        <v>4399.09</v>
      </c>
      <c r="Q441" s="170">
        <v>45306</v>
      </c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</row>
    <row r="442" spans="1:27">
      <c r="A442" s="154">
        <v>4</v>
      </c>
      <c r="B442" s="155" t="s">
        <v>1147</v>
      </c>
      <c r="C442" s="156">
        <v>45049</v>
      </c>
      <c r="D442" s="155" t="s">
        <v>440</v>
      </c>
      <c r="E442" s="149" t="s">
        <v>98</v>
      </c>
      <c r="F442" s="149" t="s">
        <v>441</v>
      </c>
      <c r="G442" s="149" t="s">
        <v>442</v>
      </c>
      <c r="H442" s="149" t="str">
        <f t="shared" si="1"/>
        <v>EMILIO SAURA SÁNCHEZ-PARRA</v>
      </c>
      <c r="I442" s="149" t="s">
        <v>521</v>
      </c>
      <c r="J442" s="153" t="s">
        <v>462</v>
      </c>
      <c r="K442" s="149" t="s">
        <v>1151</v>
      </c>
      <c r="L442" s="157">
        <v>45383</v>
      </c>
      <c r="M442" s="164"/>
      <c r="N442" s="163">
        <v>2</v>
      </c>
      <c r="O442" s="165" t="s">
        <v>446</v>
      </c>
      <c r="P442" s="161">
        <v>3423.64</v>
      </c>
      <c r="Q442" s="170">
        <v>45049</v>
      </c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</row>
    <row r="443" spans="1:27">
      <c r="A443" s="154">
        <v>4</v>
      </c>
      <c r="B443" s="155" t="s">
        <v>1147</v>
      </c>
      <c r="C443" s="156">
        <v>45327</v>
      </c>
      <c r="D443" s="155" t="s">
        <v>440</v>
      </c>
      <c r="E443" s="149" t="s">
        <v>239</v>
      </c>
      <c r="F443" s="149" t="s">
        <v>441</v>
      </c>
      <c r="G443" s="149" t="s">
        <v>442</v>
      </c>
      <c r="H443" s="149" t="str">
        <f t="shared" si="1"/>
        <v>MARÍA TERESA GARCÍA IRIARTE</v>
      </c>
      <c r="I443" s="149" t="s">
        <v>1152</v>
      </c>
      <c r="J443" s="153" t="s">
        <v>455</v>
      </c>
      <c r="K443" s="149" t="s">
        <v>1153</v>
      </c>
      <c r="L443" s="157">
        <v>45383</v>
      </c>
      <c r="M443" s="164"/>
      <c r="N443" s="163">
        <v>1</v>
      </c>
      <c r="O443" s="165" t="s">
        <v>446</v>
      </c>
      <c r="P443" s="161">
        <v>2253.64</v>
      </c>
      <c r="Q443" s="170">
        <v>45327</v>
      </c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</row>
    <row r="444" spans="1:27">
      <c r="A444" s="154">
        <v>4</v>
      </c>
      <c r="B444" s="155" t="s">
        <v>1147</v>
      </c>
      <c r="C444" s="156">
        <v>45343</v>
      </c>
      <c r="D444" s="155" t="s">
        <v>440</v>
      </c>
      <c r="E444" s="149" t="s">
        <v>239</v>
      </c>
      <c r="F444" s="149" t="s">
        <v>441</v>
      </c>
      <c r="G444" s="149" t="s">
        <v>442</v>
      </c>
      <c r="H444" s="149" t="str">
        <f t="shared" si="1"/>
        <v>ANTONIO GANDÚL MERCHÁN</v>
      </c>
      <c r="I444" s="149" t="s">
        <v>770</v>
      </c>
      <c r="J444" s="153" t="s">
        <v>455</v>
      </c>
      <c r="K444" s="149" t="s">
        <v>1154</v>
      </c>
      <c r="L444" s="157">
        <v>45383</v>
      </c>
      <c r="M444" s="158"/>
      <c r="N444" s="163">
        <v>1</v>
      </c>
      <c r="O444" s="165" t="s">
        <v>446</v>
      </c>
      <c r="P444" s="161">
        <v>2253.64</v>
      </c>
      <c r="Q444" s="170">
        <v>45343</v>
      </c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</row>
    <row r="445" spans="1:27">
      <c r="A445" s="154">
        <v>4</v>
      </c>
      <c r="B445" s="155" t="s">
        <v>1147</v>
      </c>
      <c r="C445" s="156">
        <v>43103</v>
      </c>
      <c r="D445" s="155" t="s">
        <v>440</v>
      </c>
      <c r="E445" s="149" t="s">
        <v>239</v>
      </c>
      <c r="F445" s="149" t="s">
        <v>441</v>
      </c>
      <c r="G445" s="149" t="s">
        <v>442</v>
      </c>
      <c r="H445" s="149" t="str">
        <f t="shared" si="1"/>
        <v>FRANCISCO JOSÉ AGUADO MARTÍNEZ</v>
      </c>
      <c r="I445" s="149" t="s">
        <v>1155</v>
      </c>
      <c r="J445" s="149" t="s">
        <v>455</v>
      </c>
      <c r="K445" s="149" t="s">
        <v>1156</v>
      </c>
      <c r="L445" s="157">
        <v>45383</v>
      </c>
      <c r="M445" s="158"/>
      <c r="N445" s="163">
        <v>2</v>
      </c>
      <c r="O445" s="165" t="s">
        <v>449</v>
      </c>
      <c r="P445" s="161">
        <v>2962.73</v>
      </c>
      <c r="Q445" s="170">
        <v>43103</v>
      </c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</row>
    <row r="446" spans="1:27">
      <c r="A446" s="154">
        <v>4</v>
      </c>
      <c r="B446" s="155" t="s">
        <v>1147</v>
      </c>
      <c r="C446" s="156">
        <v>45349</v>
      </c>
      <c r="D446" s="155" t="s">
        <v>440</v>
      </c>
      <c r="E446" s="149" t="s">
        <v>604</v>
      </c>
      <c r="F446" s="149" t="s">
        <v>441</v>
      </c>
      <c r="G446" s="149" t="s">
        <v>442</v>
      </c>
      <c r="H446" s="149" t="str">
        <f t="shared" si="1"/>
        <v>EDUARDO CABANAS RODRÍGUEZ</v>
      </c>
      <c r="I446" s="149" t="s">
        <v>605</v>
      </c>
      <c r="J446" s="153" t="s">
        <v>516</v>
      </c>
      <c r="K446" s="149" t="s">
        <v>1157</v>
      </c>
      <c r="L446" s="157">
        <v>45384</v>
      </c>
      <c r="M446" s="158"/>
      <c r="N446" s="163">
        <v>1</v>
      </c>
      <c r="O446" s="165" t="s">
        <v>446</v>
      </c>
      <c r="P446" s="161">
        <v>890.91</v>
      </c>
      <c r="Q446" s="170">
        <v>45349</v>
      </c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</row>
    <row r="447" spans="1:27">
      <c r="A447" s="154">
        <v>4</v>
      </c>
      <c r="B447" s="155" t="s">
        <v>1147</v>
      </c>
      <c r="C447" s="156">
        <v>45344</v>
      </c>
      <c r="D447" s="155" t="s">
        <v>440</v>
      </c>
      <c r="E447" s="149" t="s">
        <v>150</v>
      </c>
      <c r="F447" s="149" t="s">
        <v>441</v>
      </c>
      <c r="G447" s="149" t="s">
        <v>442</v>
      </c>
      <c r="H447" s="149" t="str">
        <f t="shared" si="1"/>
        <v>IGNACIO LLOPEZ CARRATALÁ</v>
      </c>
      <c r="I447" s="149" t="s">
        <v>635</v>
      </c>
      <c r="J447" s="153" t="s">
        <v>636</v>
      </c>
      <c r="K447" s="149" t="s">
        <v>1158</v>
      </c>
      <c r="L447" s="157">
        <v>45384</v>
      </c>
      <c r="M447" s="158"/>
      <c r="N447" s="163">
        <v>2</v>
      </c>
      <c r="O447" s="165" t="s">
        <v>449</v>
      </c>
      <c r="P447" s="161">
        <v>2641.83</v>
      </c>
      <c r="Q447" s="170">
        <v>45344</v>
      </c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</row>
    <row r="448" spans="1:27">
      <c r="A448" s="154">
        <v>4</v>
      </c>
      <c r="B448" s="155" t="s">
        <v>1147</v>
      </c>
      <c r="C448" s="156">
        <v>45337</v>
      </c>
      <c r="D448" s="155" t="s">
        <v>440</v>
      </c>
      <c r="E448" s="149" t="s">
        <v>109</v>
      </c>
      <c r="F448" s="149" t="s">
        <v>441</v>
      </c>
      <c r="G448" s="149" t="s">
        <v>442</v>
      </c>
      <c r="H448" s="149" t="str">
        <f t="shared" si="1"/>
        <v>JUAN RIESTRA AYORA</v>
      </c>
      <c r="I448" s="149" t="s">
        <v>1159</v>
      </c>
      <c r="J448" s="153" t="s">
        <v>444</v>
      </c>
      <c r="K448" s="149" t="s">
        <v>1160</v>
      </c>
      <c r="L448" s="157">
        <v>45385</v>
      </c>
      <c r="M448" s="158"/>
      <c r="N448" s="163">
        <v>2</v>
      </c>
      <c r="O448" s="165" t="s">
        <v>449</v>
      </c>
      <c r="P448" s="161">
        <v>2502.8200000000002</v>
      </c>
      <c r="Q448" s="170">
        <v>45337</v>
      </c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</row>
    <row r="449" spans="1:27">
      <c r="A449" s="154">
        <v>4</v>
      </c>
      <c r="B449" s="155" t="s">
        <v>1147</v>
      </c>
      <c r="C449" s="156">
        <v>45336</v>
      </c>
      <c r="D449" s="155" t="s">
        <v>440</v>
      </c>
      <c r="E449" s="149" t="s">
        <v>506</v>
      </c>
      <c r="F449" s="149" t="s">
        <v>441</v>
      </c>
      <c r="G449" s="149" t="s">
        <v>442</v>
      </c>
      <c r="H449" s="149" t="str">
        <f t="shared" si="1"/>
        <v>MARÍA JESÚS CORNEJO DOMÍNGUEZ</v>
      </c>
      <c r="I449" s="149" t="s">
        <v>507</v>
      </c>
      <c r="J449" s="149" t="s">
        <v>473</v>
      </c>
      <c r="K449" s="149" t="s">
        <v>1161</v>
      </c>
      <c r="L449" s="157">
        <v>45385</v>
      </c>
      <c r="M449" s="158"/>
      <c r="N449" s="163">
        <v>2</v>
      </c>
      <c r="O449" s="165" t="s">
        <v>446</v>
      </c>
      <c r="P449" s="161">
        <v>3604.55</v>
      </c>
      <c r="Q449" s="170">
        <v>45336</v>
      </c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</row>
    <row r="450" spans="1:27">
      <c r="A450" s="154">
        <v>4</v>
      </c>
      <c r="B450" s="155" t="s">
        <v>1147</v>
      </c>
      <c r="C450" s="156">
        <v>45335</v>
      </c>
      <c r="D450" s="155" t="s">
        <v>440</v>
      </c>
      <c r="E450" s="149" t="s">
        <v>530</v>
      </c>
      <c r="F450" s="149" t="s">
        <v>441</v>
      </c>
      <c r="G450" s="149" t="s">
        <v>442</v>
      </c>
      <c r="H450" s="149" t="str">
        <f t="shared" si="1"/>
        <v>JOAQUIM BROTO SUMALLA</v>
      </c>
      <c r="I450" s="149" t="s">
        <v>531</v>
      </c>
      <c r="J450" s="149" t="s">
        <v>532</v>
      </c>
      <c r="K450" s="149" t="s">
        <v>1162</v>
      </c>
      <c r="L450" s="157">
        <v>45385</v>
      </c>
      <c r="M450" s="158"/>
      <c r="N450" s="163">
        <v>1</v>
      </c>
      <c r="O450" s="165" t="s">
        <v>449</v>
      </c>
      <c r="P450" s="161">
        <v>1417.27</v>
      </c>
      <c r="Q450" s="170">
        <v>45335</v>
      </c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</row>
    <row r="451" spans="1:27">
      <c r="A451" s="154">
        <v>4</v>
      </c>
      <c r="B451" s="155" t="s">
        <v>1147</v>
      </c>
      <c r="C451" s="156">
        <v>45348</v>
      </c>
      <c r="D451" s="155" t="s">
        <v>440</v>
      </c>
      <c r="E451" s="149" t="s">
        <v>317</v>
      </c>
      <c r="F451" s="149" t="s">
        <v>441</v>
      </c>
      <c r="G451" s="149" t="s">
        <v>442</v>
      </c>
      <c r="H451" s="149" t="str">
        <f t="shared" si="1"/>
        <v>KAREN ROJAS CRESPO</v>
      </c>
      <c r="I451" s="149" t="s">
        <v>986</v>
      </c>
      <c r="J451" s="153" t="s">
        <v>462</v>
      </c>
      <c r="K451" s="149" t="s">
        <v>1163</v>
      </c>
      <c r="L451" s="157">
        <v>45386</v>
      </c>
      <c r="M451" s="158"/>
      <c r="N451" s="163">
        <v>1</v>
      </c>
      <c r="O451" s="165" t="s">
        <v>449</v>
      </c>
      <c r="P451" s="161">
        <v>1668.18</v>
      </c>
      <c r="Q451" s="170">
        <v>45348</v>
      </c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</row>
    <row r="452" spans="1:27">
      <c r="A452" s="154">
        <v>4</v>
      </c>
      <c r="B452" s="155" t="s">
        <v>1147</v>
      </c>
      <c r="C452" s="156">
        <v>45271</v>
      </c>
      <c r="D452" s="155" t="s">
        <v>440</v>
      </c>
      <c r="E452" s="149" t="s">
        <v>158</v>
      </c>
      <c r="F452" s="149" t="s">
        <v>441</v>
      </c>
      <c r="G452" s="149" t="s">
        <v>442</v>
      </c>
      <c r="H452" s="149" t="str">
        <f t="shared" si="1"/>
        <v>JOAQUÍN ALACIO CASERO</v>
      </c>
      <c r="I452" s="149" t="s">
        <v>651</v>
      </c>
      <c r="J452" s="153" t="s">
        <v>444</v>
      </c>
      <c r="K452" s="149" t="s">
        <v>1164</v>
      </c>
      <c r="L452" s="157">
        <v>45386</v>
      </c>
      <c r="M452" s="164"/>
      <c r="N452" s="163">
        <v>1</v>
      </c>
      <c r="O452" s="165" t="s">
        <v>466</v>
      </c>
      <c r="P452" s="161">
        <v>2536.36</v>
      </c>
      <c r="Q452" s="170">
        <v>45271</v>
      </c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</row>
    <row r="453" spans="1:27">
      <c r="A453" s="154">
        <v>4</v>
      </c>
      <c r="B453" s="155" t="s">
        <v>1147</v>
      </c>
      <c r="C453" s="156">
        <v>45314</v>
      </c>
      <c r="D453" s="155" t="s">
        <v>440</v>
      </c>
      <c r="E453" s="149" t="s">
        <v>158</v>
      </c>
      <c r="F453" s="149" t="s">
        <v>441</v>
      </c>
      <c r="G453" s="149" t="s">
        <v>442</v>
      </c>
      <c r="H453" s="149" t="str">
        <f t="shared" si="1"/>
        <v>GUILLERMO SAN JUAN DE LA MORETA</v>
      </c>
      <c r="I453" s="149" t="s">
        <v>826</v>
      </c>
      <c r="J453" s="153" t="s">
        <v>444</v>
      </c>
      <c r="K453" s="149" t="s">
        <v>1165</v>
      </c>
      <c r="L453" s="157">
        <v>45386</v>
      </c>
      <c r="M453" s="158"/>
      <c r="N453" s="163">
        <v>2</v>
      </c>
      <c r="O453" s="165" t="s">
        <v>446</v>
      </c>
      <c r="P453" s="161">
        <v>3244.09</v>
      </c>
      <c r="Q453" s="170">
        <v>45314</v>
      </c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</row>
    <row r="454" spans="1:27">
      <c r="A454" s="154">
        <v>4</v>
      </c>
      <c r="B454" s="155" t="s">
        <v>1147</v>
      </c>
      <c r="C454" s="156">
        <v>45358</v>
      </c>
      <c r="D454" s="155" t="s">
        <v>440</v>
      </c>
      <c r="E454" s="149" t="s">
        <v>563</v>
      </c>
      <c r="F454" s="149" t="s">
        <v>441</v>
      </c>
      <c r="G454" s="149" t="s">
        <v>442</v>
      </c>
      <c r="H454" s="149" t="str">
        <f t="shared" si="1"/>
        <v>JULIO LÓPEZ MOYA</v>
      </c>
      <c r="I454" s="149" t="s">
        <v>504</v>
      </c>
      <c r="J454" s="149" t="s">
        <v>444</v>
      </c>
      <c r="K454" s="149" t="s">
        <v>1166</v>
      </c>
      <c r="L454" s="157">
        <v>45387</v>
      </c>
      <c r="M454" s="158"/>
      <c r="N454" s="163">
        <v>2</v>
      </c>
      <c r="O454" s="165" t="s">
        <v>446</v>
      </c>
      <c r="P454" s="161">
        <v>3424.27</v>
      </c>
      <c r="Q454" s="170">
        <v>45358</v>
      </c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</row>
    <row r="455" spans="1:27">
      <c r="A455" s="154">
        <v>4</v>
      </c>
      <c r="B455" s="155" t="s">
        <v>1147</v>
      </c>
      <c r="C455" s="156">
        <v>45356</v>
      </c>
      <c r="D455" s="155" t="s">
        <v>440</v>
      </c>
      <c r="E455" s="149" t="s">
        <v>951</v>
      </c>
      <c r="F455" s="149" t="s">
        <v>441</v>
      </c>
      <c r="G455" s="149" t="s">
        <v>442</v>
      </c>
      <c r="H455" s="149" t="str">
        <f t="shared" si="1"/>
        <v>JOAQUÍN GUERRA GÓMEZ</v>
      </c>
      <c r="I455" s="149" t="s">
        <v>714</v>
      </c>
      <c r="J455" s="153" t="s">
        <v>516</v>
      </c>
      <c r="K455" s="149" t="s">
        <v>1167</v>
      </c>
      <c r="L455" s="157">
        <v>45387</v>
      </c>
      <c r="M455" s="158"/>
      <c r="N455" s="163">
        <v>2</v>
      </c>
      <c r="O455" s="165" t="s">
        <v>449</v>
      </c>
      <c r="P455" s="161">
        <v>2641.86</v>
      </c>
      <c r="Q455" s="170">
        <v>45356</v>
      </c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</row>
    <row r="456" spans="1:27">
      <c r="A456" s="154">
        <v>4</v>
      </c>
      <c r="B456" s="155" t="s">
        <v>1147</v>
      </c>
      <c r="C456" s="156">
        <v>45370</v>
      </c>
      <c r="D456" s="155" t="s">
        <v>440</v>
      </c>
      <c r="E456" s="149" t="s">
        <v>553</v>
      </c>
      <c r="F456" s="149" t="s">
        <v>441</v>
      </c>
      <c r="G456" s="149" t="s">
        <v>442</v>
      </c>
      <c r="H456" s="149" t="str">
        <f t="shared" si="1"/>
        <v>ANDRÉS SOTO VARELA</v>
      </c>
      <c r="I456" s="149" t="s">
        <v>1168</v>
      </c>
      <c r="J456" s="153" t="s">
        <v>516</v>
      </c>
      <c r="K456" s="149" t="s">
        <v>1169</v>
      </c>
      <c r="L456" s="157">
        <v>45390</v>
      </c>
      <c r="M456" s="158"/>
      <c r="N456" s="163">
        <v>2</v>
      </c>
      <c r="O456" s="165" t="s">
        <v>449</v>
      </c>
      <c r="P456" s="161">
        <v>2945.45</v>
      </c>
      <c r="Q456" s="170">
        <v>45370</v>
      </c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</row>
    <row r="457" spans="1:27">
      <c r="A457" s="154">
        <v>4</v>
      </c>
      <c r="B457" s="155" t="s">
        <v>1147</v>
      </c>
      <c r="C457" s="156">
        <v>45357</v>
      </c>
      <c r="D457" s="155" t="s">
        <v>440</v>
      </c>
      <c r="E457" s="149" t="s">
        <v>308</v>
      </c>
      <c r="F457" s="149" t="s">
        <v>441</v>
      </c>
      <c r="G457" s="149" t="s">
        <v>442</v>
      </c>
      <c r="H457" s="149" t="str">
        <f t="shared" si="1"/>
        <v>ANA PÉREZ DEL NOTARIO</v>
      </c>
      <c r="I457" s="149" t="s">
        <v>1170</v>
      </c>
      <c r="J457" s="149" t="s">
        <v>548</v>
      </c>
      <c r="K457" s="149" t="s">
        <v>1171</v>
      </c>
      <c r="L457" s="157">
        <v>45390</v>
      </c>
      <c r="M457" s="164"/>
      <c r="N457" s="163">
        <v>2</v>
      </c>
      <c r="O457" s="165" t="s">
        <v>449</v>
      </c>
      <c r="P457" s="161">
        <v>2354.11</v>
      </c>
      <c r="Q457" s="170">
        <v>45357</v>
      </c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</row>
    <row r="458" spans="1:27">
      <c r="A458" s="154">
        <v>4</v>
      </c>
      <c r="B458" s="155" t="s">
        <v>1147</v>
      </c>
      <c r="C458" s="156">
        <v>45348</v>
      </c>
      <c r="D458" s="155" t="s">
        <v>440</v>
      </c>
      <c r="E458" s="149" t="s">
        <v>315</v>
      </c>
      <c r="F458" s="149" t="s">
        <v>441</v>
      </c>
      <c r="G458" s="149" t="s">
        <v>442</v>
      </c>
      <c r="H458" s="149" t="str">
        <f t="shared" si="1"/>
        <v>FRANKLIN S, MARIÑO SÁNCHEZ</v>
      </c>
      <c r="I458" s="149" t="s">
        <v>1172</v>
      </c>
      <c r="J458" s="153" t="s">
        <v>444</v>
      </c>
      <c r="K458" s="149" t="s">
        <v>1173</v>
      </c>
      <c r="L458" s="157">
        <v>45390</v>
      </c>
      <c r="M458" s="158"/>
      <c r="N458" s="163">
        <v>2</v>
      </c>
      <c r="O458" s="165" t="s">
        <v>446</v>
      </c>
      <c r="P458" s="161">
        <v>3604.55</v>
      </c>
      <c r="Q458" s="170">
        <v>45348</v>
      </c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</row>
    <row r="459" spans="1:27">
      <c r="A459" s="154">
        <v>4</v>
      </c>
      <c r="B459" s="155" t="s">
        <v>1147</v>
      </c>
      <c r="C459" s="156">
        <v>45352</v>
      </c>
      <c r="D459" s="155" t="s">
        <v>440</v>
      </c>
      <c r="E459" s="149" t="s">
        <v>563</v>
      </c>
      <c r="F459" s="149" t="s">
        <v>441</v>
      </c>
      <c r="G459" s="149" t="s">
        <v>442</v>
      </c>
      <c r="H459" s="149" t="str">
        <f t="shared" si="1"/>
        <v>CARLOTA SEVIL SERRANO</v>
      </c>
      <c r="I459" s="149" t="s">
        <v>1174</v>
      </c>
      <c r="J459" s="149" t="s">
        <v>444</v>
      </c>
      <c r="K459" s="149" t="s">
        <v>1175</v>
      </c>
      <c r="L459" s="157">
        <v>45390</v>
      </c>
      <c r="M459" s="158"/>
      <c r="N459" s="163">
        <v>2</v>
      </c>
      <c r="O459" s="165" t="s">
        <v>446</v>
      </c>
      <c r="P459" s="161">
        <v>3424.37</v>
      </c>
      <c r="Q459" s="170">
        <v>45352</v>
      </c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</row>
    <row r="460" spans="1:27">
      <c r="A460" s="154">
        <v>4</v>
      </c>
      <c r="B460" s="155" t="s">
        <v>1147</v>
      </c>
      <c r="C460" s="156">
        <v>45357</v>
      </c>
      <c r="D460" s="155" t="s">
        <v>440</v>
      </c>
      <c r="E460" s="149" t="s">
        <v>618</v>
      </c>
      <c r="F460" s="149" t="s">
        <v>441</v>
      </c>
      <c r="G460" s="149" t="s">
        <v>442</v>
      </c>
      <c r="H460" s="149" t="str">
        <f t="shared" si="1"/>
        <v>ENRIQUE MELCOM DIEZ</v>
      </c>
      <c r="I460" s="149" t="s">
        <v>628</v>
      </c>
      <c r="J460" s="153" t="s">
        <v>548</v>
      </c>
      <c r="K460" s="149" t="s">
        <v>1176</v>
      </c>
      <c r="L460" s="157">
        <v>45390</v>
      </c>
      <c r="M460" s="158"/>
      <c r="N460" s="163">
        <v>2</v>
      </c>
      <c r="O460" s="165" t="s">
        <v>446</v>
      </c>
      <c r="P460" s="161">
        <v>3604.55</v>
      </c>
      <c r="Q460" s="170">
        <v>45357</v>
      </c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</row>
    <row r="461" spans="1:27">
      <c r="A461" s="154">
        <v>4</v>
      </c>
      <c r="B461" s="155" t="s">
        <v>1147</v>
      </c>
      <c r="C461" s="156">
        <v>45362</v>
      </c>
      <c r="D461" s="155" t="s">
        <v>440</v>
      </c>
      <c r="E461" s="149" t="s">
        <v>312</v>
      </c>
      <c r="F461" s="149" t="s">
        <v>441</v>
      </c>
      <c r="G461" s="149" t="s">
        <v>442</v>
      </c>
      <c r="H461" s="149" t="str">
        <f t="shared" si="1"/>
        <v>FRANCISCO JOSÉ ESTRADA MOLINA</v>
      </c>
      <c r="I461" s="149" t="s">
        <v>1177</v>
      </c>
      <c r="J461" s="149" t="s">
        <v>455</v>
      </c>
      <c r="K461" s="149" t="s">
        <v>1178</v>
      </c>
      <c r="L461" s="157">
        <v>45390</v>
      </c>
      <c r="M461" s="158"/>
      <c r="N461" s="163">
        <v>2</v>
      </c>
      <c r="O461" s="165" t="s">
        <v>446</v>
      </c>
      <c r="P461" s="161">
        <v>3786.36</v>
      </c>
      <c r="Q461" s="170">
        <v>45362</v>
      </c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</row>
    <row r="462" spans="1:27">
      <c r="A462" s="154">
        <v>4</v>
      </c>
      <c r="B462" s="155" t="s">
        <v>1147</v>
      </c>
      <c r="C462" s="156">
        <v>45356</v>
      </c>
      <c r="D462" s="155" t="s">
        <v>440</v>
      </c>
      <c r="E462" s="149" t="s">
        <v>525</v>
      </c>
      <c r="F462" s="149" t="s">
        <v>441</v>
      </c>
      <c r="G462" s="149" t="s">
        <v>442</v>
      </c>
      <c r="H462" s="149" t="str">
        <f t="shared" si="1"/>
        <v>ISABEL GONZÁLEZ GUIJARRO</v>
      </c>
      <c r="I462" s="149" t="s">
        <v>1179</v>
      </c>
      <c r="J462" s="153" t="s">
        <v>516</v>
      </c>
      <c r="K462" s="149" t="s">
        <v>1180</v>
      </c>
      <c r="L462" s="157">
        <v>45390</v>
      </c>
      <c r="M462" s="164"/>
      <c r="N462" s="163">
        <v>2</v>
      </c>
      <c r="O462" s="165" t="s">
        <v>449</v>
      </c>
      <c r="P462" s="161">
        <v>3090.91</v>
      </c>
      <c r="Q462" s="170">
        <v>45356</v>
      </c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</row>
    <row r="463" spans="1:27">
      <c r="A463" s="154">
        <v>4</v>
      </c>
      <c r="B463" s="155" t="s">
        <v>1147</v>
      </c>
      <c r="C463" s="156">
        <v>45351</v>
      </c>
      <c r="D463" s="155" t="s">
        <v>440</v>
      </c>
      <c r="E463" s="149" t="s">
        <v>317</v>
      </c>
      <c r="F463" s="149" t="s">
        <v>441</v>
      </c>
      <c r="G463" s="149" t="s">
        <v>442</v>
      </c>
      <c r="H463" s="149" t="str">
        <f t="shared" si="1"/>
        <v>KAREN ROJAS CRESPO</v>
      </c>
      <c r="I463" s="149" t="s">
        <v>986</v>
      </c>
      <c r="J463" s="153" t="s">
        <v>462</v>
      </c>
      <c r="K463" s="149" t="s">
        <v>1181</v>
      </c>
      <c r="L463" s="157">
        <v>45391</v>
      </c>
      <c r="M463" s="158"/>
      <c r="N463" s="163">
        <v>2</v>
      </c>
      <c r="O463" s="165" t="s">
        <v>446</v>
      </c>
      <c r="P463" s="161">
        <v>3604.55</v>
      </c>
      <c r="Q463" s="170">
        <v>45351</v>
      </c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</row>
    <row r="464" spans="1:27">
      <c r="A464" s="154">
        <v>4</v>
      </c>
      <c r="B464" s="155" t="s">
        <v>1147</v>
      </c>
      <c r="C464" s="156">
        <v>45351</v>
      </c>
      <c r="D464" s="155" t="s">
        <v>440</v>
      </c>
      <c r="E464" s="149" t="s">
        <v>271</v>
      </c>
      <c r="F464" s="149" t="s">
        <v>441</v>
      </c>
      <c r="G464" s="149" t="s">
        <v>442</v>
      </c>
      <c r="H464" s="149" t="str">
        <f t="shared" si="1"/>
        <v>JOSÉ GUSTAVO BARROSO BRAOJOS</v>
      </c>
      <c r="I464" s="149" t="s">
        <v>560</v>
      </c>
      <c r="J464" s="153" t="s">
        <v>444</v>
      </c>
      <c r="K464" s="149" t="s">
        <v>1182</v>
      </c>
      <c r="L464" s="157">
        <v>45391</v>
      </c>
      <c r="M464" s="164"/>
      <c r="N464" s="163">
        <v>1</v>
      </c>
      <c r="O464" s="165" t="s">
        <v>446</v>
      </c>
      <c r="P464" s="161">
        <v>2054.5500000000002</v>
      </c>
      <c r="Q464" s="170">
        <v>45351</v>
      </c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</row>
    <row r="465" spans="1:27">
      <c r="A465" s="154">
        <v>4</v>
      </c>
      <c r="B465" s="155" t="s">
        <v>1147</v>
      </c>
      <c r="C465" s="156">
        <v>45356</v>
      </c>
      <c r="D465" s="155" t="s">
        <v>440</v>
      </c>
      <c r="E465" s="149" t="s">
        <v>98</v>
      </c>
      <c r="F465" s="149" t="s">
        <v>441</v>
      </c>
      <c r="G465" s="149" t="s">
        <v>442</v>
      </c>
      <c r="H465" s="149" t="str">
        <f t="shared" si="1"/>
        <v>JESÚS AARÓN MARTÍNEZ ALONSO</v>
      </c>
      <c r="I465" s="149" t="s">
        <v>1183</v>
      </c>
      <c r="J465" s="153" t="s">
        <v>462</v>
      </c>
      <c r="K465" s="149" t="s">
        <v>1184</v>
      </c>
      <c r="L465" s="157">
        <v>45391</v>
      </c>
      <c r="M465" s="164"/>
      <c r="N465" s="163">
        <v>2</v>
      </c>
      <c r="O465" s="165" t="s">
        <v>449</v>
      </c>
      <c r="P465" s="161">
        <v>2780.91</v>
      </c>
      <c r="Q465" s="170">
        <v>45356</v>
      </c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</row>
    <row r="466" spans="1:27">
      <c r="A466" s="154">
        <v>4</v>
      </c>
      <c r="B466" s="155" t="s">
        <v>1147</v>
      </c>
      <c r="C466" s="156">
        <v>45355</v>
      </c>
      <c r="D466" s="155" t="s">
        <v>440</v>
      </c>
      <c r="E466" s="149" t="s">
        <v>98</v>
      </c>
      <c r="F466" s="149" t="s">
        <v>441</v>
      </c>
      <c r="G466" s="149" t="s">
        <v>442</v>
      </c>
      <c r="H466" s="149" t="str">
        <f t="shared" si="1"/>
        <v>NURIA SALAS BARRIO</v>
      </c>
      <c r="I466" s="149" t="s">
        <v>1019</v>
      </c>
      <c r="J466" s="149" t="s">
        <v>462</v>
      </c>
      <c r="K466" s="149" t="s">
        <v>1185</v>
      </c>
      <c r="L466" s="157">
        <v>45391</v>
      </c>
      <c r="M466" s="158"/>
      <c r="N466" s="163">
        <v>2</v>
      </c>
      <c r="O466" s="165" t="s">
        <v>449</v>
      </c>
      <c r="P466" s="161">
        <v>2780.91</v>
      </c>
      <c r="Q466" s="170">
        <v>45355</v>
      </c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</row>
    <row r="467" spans="1:27">
      <c r="A467" s="154">
        <v>4</v>
      </c>
      <c r="B467" s="155" t="s">
        <v>1147</v>
      </c>
      <c r="C467" s="156">
        <v>45244</v>
      </c>
      <c r="D467" s="155" t="s">
        <v>440</v>
      </c>
      <c r="E467" s="149" t="s">
        <v>506</v>
      </c>
      <c r="F467" s="149" t="s">
        <v>441</v>
      </c>
      <c r="G467" s="149" t="s">
        <v>442</v>
      </c>
      <c r="H467" s="149" t="str">
        <f t="shared" si="1"/>
        <v>ÁNGEL MUÑOZ HERRERA</v>
      </c>
      <c r="I467" s="149" t="s">
        <v>666</v>
      </c>
      <c r="J467" s="153" t="s">
        <v>473</v>
      </c>
      <c r="K467" s="149" t="s">
        <v>1186</v>
      </c>
      <c r="L467" s="157">
        <v>45391</v>
      </c>
      <c r="M467" s="158"/>
      <c r="N467" s="163">
        <v>2</v>
      </c>
      <c r="O467" s="165" t="s">
        <v>466</v>
      </c>
      <c r="P467" s="161">
        <v>4222.7299999999996</v>
      </c>
      <c r="Q467" s="170">
        <v>45244</v>
      </c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</row>
    <row r="468" spans="1:27">
      <c r="A468" s="154">
        <v>4</v>
      </c>
      <c r="B468" s="155" t="s">
        <v>1147</v>
      </c>
      <c r="C468" s="156">
        <v>45350</v>
      </c>
      <c r="D468" s="155" t="s">
        <v>440</v>
      </c>
      <c r="E468" s="149" t="s">
        <v>951</v>
      </c>
      <c r="F468" s="149" t="s">
        <v>441</v>
      </c>
      <c r="G468" s="149" t="s">
        <v>442</v>
      </c>
      <c r="H468" s="149" t="str">
        <f t="shared" si="1"/>
        <v>JOAQUÍN GUERRA GÓMEZ</v>
      </c>
      <c r="I468" s="149" t="s">
        <v>714</v>
      </c>
      <c r="J468" s="153" t="s">
        <v>516</v>
      </c>
      <c r="K468" s="149" t="s">
        <v>1187</v>
      </c>
      <c r="L468" s="157">
        <v>45391</v>
      </c>
      <c r="M468" s="164"/>
      <c r="N468" s="163">
        <v>2</v>
      </c>
      <c r="O468" s="165" t="s">
        <v>466</v>
      </c>
      <c r="P468" s="161">
        <v>4223.04</v>
      </c>
      <c r="Q468" s="170">
        <v>45350</v>
      </c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</row>
    <row r="469" spans="1:27">
      <c r="A469" s="154">
        <v>4</v>
      </c>
      <c r="B469" s="155" t="s">
        <v>1147</v>
      </c>
      <c r="C469" s="156">
        <v>45351</v>
      </c>
      <c r="D469" s="155" t="s">
        <v>440</v>
      </c>
      <c r="E469" s="149" t="s">
        <v>92</v>
      </c>
      <c r="F469" s="149" t="s">
        <v>441</v>
      </c>
      <c r="G469" s="149" t="s">
        <v>442</v>
      </c>
      <c r="H469" s="149" t="str">
        <f t="shared" si="1"/>
        <v>JAVIER GARCÍA-DUEÑAS GONZÁLEZ</v>
      </c>
      <c r="I469" s="149" t="s">
        <v>1122</v>
      </c>
      <c r="J469" s="153" t="s">
        <v>462</v>
      </c>
      <c r="K469" s="149" t="s">
        <v>1188</v>
      </c>
      <c r="L469" s="157">
        <v>45392</v>
      </c>
      <c r="M469" s="158"/>
      <c r="N469" s="163">
        <v>2</v>
      </c>
      <c r="O469" s="165" t="s">
        <v>446</v>
      </c>
      <c r="P469" s="161">
        <v>3244.09</v>
      </c>
      <c r="Q469" s="170">
        <v>45351</v>
      </c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</row>
    <row r="470" spans="1:27">
      <c r="A470" s="154">
        <v>4</v>
      </c>
      <c r="B470" s="155" t="s">
        <v>1147</v>
      </c>
      <c r="C470" s="156">
        <v>45365</v>
      </c>
      <c r="D470" s="155" t="s">
        <v>440</v>
      </c>
      <c r="E470" s="149" t="s">
        <v>546</v>
      </c>
      <c r="F470" s="149" t="s">
        <v>441</v>
      </c>
      <c r="G470" s="149" t="s">
        <v>442</v>
      </c>
      <c r="H470" s="149" t="str">
        <f t="shared" si="1"/>
        <v>FRANCISCO RAMOS PUERTO</v>
      </c>
      <c r="I470" s="149" t="s">
        <v>1189</v>
      </c>
      <c r="J470" s="153" t="s">
        <v>548</v>
      </c>
      <c r="K470" s="149" t="s">
        <v>1190</v>
      </c>
      <c r="L470" s="157">
        <v>45392</v>
      </c>
      <c r="M470" s="164"/>
      <c r="N470" s="163">
        <v>2</v>
      </c>
      <c r="O470" s="165" t="s">
        <v>449</v>
      </c>
      <c r="P470" s="161">
        <v>2780.91</v>
      </c>
      <c r="Q470" s="170">
        <v>45365</v>
      </c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</row>
    <row r="471" spans="1:27">
      <c r="A471" s="154">
        <v>4</v>
      </c>
      <c r="B471" s="155" t="s">
        <v>1147</v>
      </c>
      <c r="C471" s="156">
        <v>45349</v>
      </c>
      <c r="D471" s="155" t="s">
        <v>440</v>
      </c>
      <c r="E471" s="149" t="s">
        <v>604</v>
      </c>
      <c r="F471" s="149" t="s">
        <v>441</v>
      </c>
      <c r="G471" s="149" t="s">
        <v>442</v>
      </c>
      <c r="H471" s="149" t="str">
        <f t="shared" si="1"/>
        <v>EDUARDO CABANAS RODRÍGUEZ</v>
      </c>
      <c r="I471" s="149" t="s">
        <v>605</v>
      </c>
      <c r="J471" s="153" t="s">
        <v>516</v>
      </c>
      <c r="K471" s="149" t="s">
        <v>1191</v>
      </c>
      <c r="L471" s="157">
        <v>45392</v>
      </c>
      <c r="M471" s="158"/>
      <c r="N471" s="163">
        <v>2</v>
      </c>
      <c r="O471" s="165" t="s">
        <v>449</v>
      </c>
      <c r="P471" s="161">
        <v>2727.27</v>
      </c>
      <c r="Q471" s="170">
        <v>45349</v>
      </c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</row>
    <row r="472" spans="1:27">
      <c r="A472" s="154">
        <v>4</v>
      </c>
      <c r="B472" s="155" t="s">
        <v>1147</v>
      </c>
      <c r="C472" s="156">
        <v>45356</v>
      </c>
      <c r="D472" s="155" t="s">
        <v>440</v>
      </c>
      <c r="E472" s="149" t="s">
        <v>309</v>
      </c>
      <c r="F472" s="149" t="s">
        <v>441</v>
      </c>
      <c r="G472" s="149" t="s">
        <v>442</v>
      </c>
      <c r="H472" s="149" t="str">
        <f t="shared" si="1"/>
        <v>JOAQUÍN ALACIO CASERO</v>
      </c>
      <c r="I472" s="149" t="s">
        <v>651</v>
      </c>
      <c r="J472" s="153" t="s">
        <v>444</v>
      </c>
      <c r="K472" s="149" t="s">
        <v>1192</v>
      </c>
      <c r="L472" s="157">
        <v>45392</v>
      </c>
      <c r="M472" s="158"/>
      <c r="N472" s="163">
        <v>2</v>
      </c>
      <c r="O472" s="165" t="s">
        <v>449</v>
      </c>
      <c r="P472" s="161">
        <v>2692.31</v>
      </c>
      <c r="Q472" s="170">
        <v>45356</v>
      </c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</row>
    <row r="473" spans="1:27">
      <c r="A473" s="154">
        <v>4</v>
      </c>
      <c r="B473" s="155" t="s">
        <v>1147</v>
      </c>
      <c r="C473" s="156">
        <v>45359</v>
      </c>
      <c r="D473" s="155" t="s">
        <v>440</v>
      </c>
      <c r="E473" s="149" t="s">
        <v>309</v>
      </c>
      <c r="F473" s="149" t="s">
        <v>441</v>
      </c>
      <c r="G473" s="149" t="s">
        <v>442</v>
      </c>
      <c r="H473" s="149" t="str">
        <f t="shared" si="1"/>
        <v>FÉLIX RODRÍGUEZ PAZ</v>
      </c>
      <c r="I473" s="149" t="s">
        <v>818</v>
      </c>
      <c r="J473" s="153" t="s">
        <v>444</v>
      </c>
      <c r="K473" s="149" t="s">
        <v>1193</v>
      </c>
      <c r="L473" s="157">
        <v>45392</v>
      </c>
      <c r="M473" s="164"/>
      <c r="N473" s="163">
        <v>2</v>
      </c>
      <c r="O473" s="165" t="s">
        <v>446</v>
      </c>
      <c r="P473" s="161">
        <v>3604.55</v>
      </c>
      <c r="Q473" s="170">
        <v>45359</v>
      </c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</row>
    <row r="474" spans="1:27">
      <c r="A474" s="154">
        <v>4</v>
      </c>
      <c r="B474" s="155" t="s">
        <v>1147</v>
      </c>
      <c r="C474" s="156">
        <v>45343</v>
      </c>
      <c r="D474" s="155" t="s">
        <v>440</v>
      </c>
      <c r="E474" s="149" t="s">
        <v>190</v>
      </c>
      <c r="F474" s="149" t="s">
        <v>441</v>
      </c>
      <c r="G474" s="149" t="s">
        <v>442</v>
      </c>
      <c r="H474" s="149" t="str">
        <f t="shared" si="1"/>
        <v>NATHALIE FAGES CÁRCELES</v>
      </c>
      <c r="I474" s="149" t="s">
        <v>726</v>
      </c>
      <c r="J474" s="153" t="s">
        <v>462</v>
      </c>
      <c r="K474" s="149" t="s">
        <v>1194</v>
      </c>
      <c r="L474" s="157">
        <v>45392</v>
      </c>
      <c r="M474" s="158"/>
      <c r="N474" s="163">
        <v>1</v>
      </c>
      <c r="O474" s="165" t="s">
        <v>446</v>
      </c>
      <c r="P474" s="161">
        <v>2162.73</v>
      </c>
      <c r="Q474" s="170">
        <v>45343</v>
      </c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</row>
    <row r="475" spans="1:27">
      <c r="A475" s="154">
        <v>4</v>
      </c>
      <c r="B475" s="155" t="s">
        <v>1147</v>
      </c>
      <c r="C475" s="156">
        <v>45336</v>
      </c>
      <c r="D475" s="155" t="s">
        <v>440</v>
      </c>
      <c r="E475" s="149" t="s">
        <v>530</v>
      </c>
      <c r="F475" s="149" t="s">
        <v>441</v>
      </c>
      <c r="G475" s="149" t="s">
        <v>442</v>
      </c>
      <c r="H475" s="149" t="str">
        <f t="shared" si="1"/>
        <v>ELENA DE DIOS ORAN</v>
      </c>
      <c r="I475" s="149" t="s">
        <v>960</v>
      </c>
      <c r="J475" s="153" t="s">
        <v>532</v>
      </c>
      <c r="K475" s="149" t="s">
        <v>1195</v>
      </c>
      <c r="L475" s="157">
        <v>45392</v>
      </c>
      <c r="M475" s="158"/>
      <c r="N475" s="163">
        <v>2</v>
      </c>
      <c r="O475" s="165" t="s">
        <v>449</v>
      </c>
      <c r="P475" s="161">
        <v>2835.45</v>
      </c>
      <c r="Q475" s="170">
        <v>45336</v>
      </c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</row>
    <row r="476" spans="1:27">
      <c r="A476" s="154">
        <v>4</v>
      </c>
      <c r="B476" s="155" t="s">
        <v>1147</v>
      </c>
      <c r="C476" s="156">
        <v>45335</v>
      </c>
      <c r="D476" s="155" t="s">
        <v>440</v>
      </c>
      <c r="E476" s="149" t="s">
        <v>530</v>
      </c>
      <c r="F476" s="149" t="s">
        <v>441</v>
      </c>
      <c r="G476" s="149" t="s">
        <v>442</v>
      </c>
      <c r="H476" s="149" t="str">
        <f t="shared" si="1"/>
        <v>JOSEP MARIA ORRIT ARENAS</v>
      </c>
      <c r="I476" s="149" t="s">
        <v>954</v>
      </c>
      <c r="J476" s="153" t="s">
        <v>532</v>
      </c>
      <c r="K476" s="149" t="s">
        <v>1196</v>
      </c>
      <c r="L476" s="157">
        <v>45392</v>
      </c>
      <c r="M476" s="158"/>
      <c r="N476" s="163">
        <v>2</v>
      </c>
      <c r="O476" s="165" t="s">
        <v>518</v>
      </c>
      <c r="P476" s="161">
        <v>2550</v>
      </c>
      <c r="Q476" s="170">
        <v>45335</v>
      </c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</row>
    <row r="477" spans="1:27">
      <c r="A477" s="154">
        <v>4</v>
      </c>
      <c r="B477" s="155" t="s">
        <v>1147</v>
      </c>
      <c r="C477" s="156">
        <v>45370</v>
      </c>
      <c r="D477" s="155" t="s">
        <v>440</v>
      </c>
      <c r="E477" s="149" t="s">
        <v>92</v>
      </c>
      <c r="F477" s="149" t="s">
        <v>441</v>
      </c>
      <c r="G477" s="149" t="s">
        <v>442</v>
      </c>
      <c r="H477" s="149" t="str">
        <f t="shared" si="1"/>
        <v>PEDRO SEGUÍ MOYA</v>
      </c>
      <c r="I477" s="149" t="s">
        <v>779</v>
      </c>
      <c r="J477" s="153" t="s">
        <v>462</v>
      </c>
      <c r="K477" s="149" t="s">
        <v>1197</v>
      </c>
      <c r="L477" s="157">
        <v>45393</v>
      </c>
      <c r="M477" s="158"/>
      <c r="N477" s="163">
        <v>1</v>
      </c>
      <c r="O477" s="165" t="s">
        <v>446</v>
      </c>
      <c r="P477" s="161">
        <v>2162.73</v>
      </c>
      <c r="Q477" s="170">
        <v>45370</v>
      </c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</row>
    <row r="478" spans="1:27">
      <c r="A478" s="154">
        <v>4</v>
      </c>
      <c r="B478" s="155" t="s">
        <v>1147</v>
      </c>
      <c r="C478" s="156">
        <v>45359</v>
      </c>
      <c r="D478" s="155" t="s">
        <v>440</v>
      </c>
      <c r="E478" s="149" t="s">
        <v>271</v>
      </c>
      <c r="F478" s="149" t="s">
        <v>441</v>
      </c>
      <c r="G478" s="149" t="s">
        <v>442</v>
      </c>
      <c r="H478" s="149" t="str">
        <f t="shared" si="1"/>
        <v>ANTONIO BUENO RÍOS</v>
      </c>
      <c r="I478" s="149" t="s">
        <v>519</v>
      </c>
      <c r="J478" s="153" t="s">
        <v>548</v>
      </c>
      <c r="K478" s="149" t="s">
        <v>1198</v>
      </c>
      <c r="L478" s="157">
        <v>45393</v>
      </c>
      <c r="M478" s="158"/>
      <c r="N478" s="163">
        <v>2</v>
      </c>
      <c r="O478" s="165" t="s">
        <v>446</v>
      </c>
      <c r="P478" s="161">
        <v>3295.45</v>
      </c>
      <c r="Q478" s="170">
        <v>45359</v>
      </c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</row>
    <row r="479" spans="1:27">
      <c r="A479" s="154">
        <v>4</v>
      </c>
      <c r="B479" s="155" t="s">
        <v>1147</v>
      </c>
      <c r="C479" s="156">
        <v>45329</v>
      </c>
      <c r="D479" s="155" t="s">
        <v>440</v>
      </c>
      <c r="E479" s="149" t="s">
        <v>158</v>
      </c>
      <c r="F479" s="149" t="s">
        <v>441</v>
      </c>
      <c r="G479" s="149" t="s">
        <v>442</v>
      </c>
      <c r="H479" s="149" t="str">
        <f t="shared" si="1"/>
        <v>CARLOS BARAJAS DEL ROSAL</v>
      </c>
      <c r="I479" s="149" t="s">
        <v>660</v>
      </c>
      <c r="J479" s="153" t="s">
        <v>548</v>
      </c>
      <c r="K479" s="149" t="s">
        <v>1199</v>
      </c>
      <c r="L479" s="157">
        <v>45393</v>
      </c>
      <c r="M479" s="158"/>
      <c r="N479" s="163">
        <v>1</v>
      </c>
      <c r="O479" s="165" t="s">
        <v>466</v>
      </c>
      <c r="P479" s="161">
        <v>2172.27</v>
      </c>
      <c r="Q479" s="170">
        <v>45329</v>
      </c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</row>
    <row r="480" spans="1:27">
      <c r="A480" s="154">
        <v>4</v>
      </c>
      <c r="B480" s="155" t="s">
        <v>1147</v>
      </c>
      <c r="C480" s="156">
        <v>45356</v>
      </c>
      <c r="D480" s="155" t="s">
        <v>440</v>
      </c>
      <c r="E480" s="149" t="s">
        <v>309</v>
      </c>
      <c r="F480" s="149" t="s">
        <v>441</v>
      </c>
      <c r="G480" s="149" t="s">
        <v>442</v>
      </c>
      <c r="H480" s="149" t="str">
        <f t="shared" si="1"/>
        <v>LAURA RUANO DE PABLO</v>
      </c>
      <c r="I480" s="149" t="s">
        <v>1200</v>
      </c>
      <c r="J480" s="153" t="s">
        <v>444</v>
      </c>
      <c r="K480" s="149" t="s">
        <v>1201</v>
      </c>
      <c r="L480" s="157">
        <v>45393</v>
      </c>
      <c r="M480" s="158"/>
      <c r="N480" s="163">
        <v>2</v>
      </c>
      <c r="O480" s="165" t="s">
        <v>446</v>
      </c>
      <c r="P480" s="161">
        <v>3604.55</v>
      </c>
      <c r="Q480" s="170">
        <v>45356</v>
      </c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</row>
    <row r="481" spans="1:27">
      <c r="A481" s="154">
        <v>4</v>
      </c>
      <c r="B481" s="155" t="s">
        <v>1147</v>
      </c>
      <c r="C481" s="156">
        <v>45364</v>
      </c>
      <c r="D481" s="155" t="s">
        <v>440</v>
      </c>
      <c r="E481" s="149" t="s">
        <v>618</v>
      </c>
      <c r="F481" s="149" t="s">
        <v>441</v>
      </c>
      <c r="G481" s="149" t="s">
        <v>442</v>
      </c>
      <c r="H481" s="149" t="str">
        <f t="shared" si="1"/>
        <v>CARLOTA SEVIL SERRANO</v>
      </c>
      <c r="I481" s="149" t="s">
        <v>1174</v>
      </c>
      <c r="J481" s="153" t="s">
        <v>444</v>
      </c>
      <c r="K481" s="149" t="s">
        <v>1202</v>
      </c>
      <c r="L481" s="157">
        <v>45393</v>
      </c>
      <c r="M481" s="158"/>
      <c r="N481" s="163">
        <v>2</v>
      </c>
      <c r="O481" s="165" t="s">
        <v>466</v>
      </c>
      <c r="P481" s="161">
        <v>4222.7299999999996</v>
      </c>
      <c r="Q481" s="170">
        <v>45364</v>
      </c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</row>
    <row r="482" spans="1:27">
      <c r="A482" s="154">
        <v>4</v>
      </c>
      <c r="B482" s="155" t="s">
        <v>1147</v>
      </c>
      <c r="C482" s="156">
        <v>45337</v>
      </c>
      <c r="D482" s="155" t="s">
        <v>440</v>
      </c>
      <c r="E482" s="149" t="s">
        <v>129</v>
      </c>
      <c r="F482" s="149" t="s">
        <v>441</v>
      </c>
      <c r="G482" s="149" t="s">
        <v>442</v>
      </c>
      <c r="H482" s="149" t="str">
        <f t="shared" si="1"/>
        <v>CELIA LENDORIO OTERO</v>
      </c>
      <c r="I482" s="149" t="s">
        <v>949</v>
      </c>
      <c r="J482" s="153" t="s">
        <v>516</v>
      </c>
      <c r="K482" s="149" t="s">
        <v>1203</v>
      </c>
      <c r="L482" s="157">
        <v>45393</v>
      </c>
      <c r="M482" s="164"/>
      <c r="N482" s="163">
        <v>2</v>
      </c>
      <c r="O482" s="165" t="s">
        <v>446</v>
      </c>
      <c r="P482" s="161">
        <v>3604.55</v>
      </c>
      <c r="Q482" s="170">
        <v>45337</v>
      </c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</row>
    <row r="483" spans="1:27">
      <c r="A483" s="154">
        <v>4</v>
      </c>
      <c r="B483" s="155" t="s">
        <v>1147</v>
      </c>
      <c r="C483" s="156">
        <v>45335</v>
      </c>
      <c r="D483" s="155" t="s">
        <v>440</v>
      </c>
      <c r="E483" s="149" t="s">
        <v>102</v>
      </c>
      <c r="F483" s="149" t="s">
        <v>441</v>
      </c>
      <c r="G483" s="149" t="s">
        <v>442</v>
      </c>
      <c r="H483" s="149" t="str">
        <f t="shared" si="1"/>
        <v>MÓNICA RODRÍGUEZ</v>
      </c>
      <c r="I483" s="149" t="s">
        <v>897</v>
      </c>
      <c r="J483" s="153" t="s">
        <v>462</v>
      </c>
      <c r="K483" s="149" t="s">
        <v>1204</v>
      </c>
      <c r="L483" s="157">
        <v>45393</v>
      </c>
      <c r="M483" s="158"/>
      <c r="N483" s="163">
        <v>1</v>
      </c>
      <c r="O483" s="165" t="s">
        <v>446</v>
      </c>
      <c r="P483" s="161">
        <v>2227.27</v>
      </c>
      <c r="Q483" s="170">
        <v>45335</v>
      </c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</row>
    <row r="484" spans="1:27">
      <c r="A484" s="154">
        <v>4</v>
      </c>
      <c r="B484" s="155" t="s">
        <v>1147</v>
      </c>
      <c r="C484" s="156">
        <v>45329</v>
      </c>
      <c r="D484" s="155" t="s">
        <v>440</v>
      </c>
      <c r="E484" s="149" t="s">
        <v>475</v>
      </c>
      <c r="F484" s="149" t="s">
        <v>441</v>
      </c>
      <c r="G484" s="149" t="s">
        <v>442</v>
      </c>
      <c r="H484" s="149" t="str">
        <f t="shared" si="1"/>
        <v>DIANA LISBETH</v>
      </c>
      <c r="I484" s="149" t="s">
        <v>681</v>
      </c>
      <c r="J484" s="153" t="s">
        <v>473</v>
      </c>
      <c r="K484" s="149" t="s">
        <v>1205</v>
      </c>
      <c r="L484" s="157">
        <v>45393</v>
      </c>
      <c r="M484" s="158"/>
      <c r="N484" s="163">
        <v>1</v>
      </c>
      <c r="O484" s="165" t="s">
        <v>449</v>
      </c>
      <c r="P484" s="161">
        <v>1545.45</v>
      </c>
      <c r="Q484" s="170">
        <v>45329</v>
      </c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</row>
    <row r="485" spans="1:27">
      <c r="A485" s="154">
        <v>4</v>
      </c>
      <c r="B485" s="155" t="s">
        <v>1147</v>
      </c>
      <c r="C485" s="156">
        <v>45359</v>
      </c>
      <c r="D485" s="155" t="s">
        <v>440</v>
      </c>
      <c r="E485" s="149" t="s">
        <v>115</v>
      </c>
      <c r="F485" s="149" t="s">
        <v>441</v>
      </c>
      <c r="G485" s="149" t="s">
        <v>442</v>
      </c>
      <c r="H485" s="149" t="str">
        <f t="shared" si="1"/>
        <v>MARÍA GARROTE GARROTE</v>
      </c>
      <c r="I485" s="149" t="s">
        <v>447</v>
      </c>
      <c r="J485" s="153" t="s">
        <v>444</v>
      </c>
      <c r="K485" s="149" t="s">
        <v>1206</v>
      </c>
      <c r="L485" s="157">
        <v>45393</v>
      </c>
      <c r="M485" s="164"/>
      <c r="N485" s="163">
        <v>2</v>
      </c>
      <c r="O485" s="165" t="s">
        <v>449</v>
      </c>
      <c r="P485" s="161">
        <v>2780.91</v>
      </c>
      <c r="Q485" s="170">
        <v>45359</v>
      </c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</row>
    <row r="486" spans="1:27">
      <c r="A486" s="154">
        <v>4</v>
      </c>
      <c r="B486" s="155" t="s">
        <v>1147</v>
      </c>
      <c r="C486" s="156">
        <v>45341</v>
      </c>
      <c r="D486" s="155" t="s">
        <v>440</v>
      </c>
      <c r="E486" s="149" t="s">
        <v>485</v>
      </c>
      <c r="F486" s="149" t="s">
        <v>441</v>
      </c>
      <c r="G486" s="149" t="s">
        <v>442</v>
      </c>
      <c r="H486" s="149" t="str">
        <f t="shared" si="1"/>
        <v>MARINA MADRIGAL REVUELTA</v>
      </c>
      <c r="I486" s="149" t="s">
        <v>550</v>
      </c>
      <c r="J486" s="153" t="s">
        <v>473</v>
      </c>
      <c r="K486" s="149" t="s">
        <v>1207</v>
      </c>
      <c r="L486" s="157">
        <v>45393</v>
      </c>
      <c r="M486" s="158"/>
      <c r="N486" s="163">
        <v>1</v>
      </c>
      <c r="O486" s="165" t="s">
        <v>466</v>
      </c>
      <c r="P486" s="161">
        <v>2034.55</v>
      </c>
      <c r="Q486" s="170">
        <v>45341</v>
      </c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</row>
    <row r="487" spans="1:27">
      <c r="A487" s="154">
        <v>4</v>
      </c>
      <c r="B487" s="155" t="s">
        <v>1147</v>
      </c>
      <c r="C487" s="156">
        <v>45348</v>
      </c>
      <c r="D487" s="155" t="s">
        <v>440</v>
      </c>
      <c r="E487" s="149" t="s">
        <v>460</v>
      </c>
      <c r="F487" s="149" t="s">
        <v>441</v>
      </c>
      <c r="G487" s="149" t="s">
        <v>442</v>
      </c>
      <c r="H487" s="149" t="str">
        <f t="shared" si="1"/>
        <v>CARLOS VELÁSQUEZ FERMÍN</v>
      </c>
      <c r="I487" s="149" t="s">
        <v>831</v>
      </c>
      <c r="J487" s="149" t="s">
        <v>462</v>
      </c>
      <c r="K487" s="149" t="s">
        <v>1208</v>
      </c>
      <c r="L487" s="157">
        <v>45394</v>
      </c>
      <c r="M487" s="158"/>
      <c r="N487" s="163">
        <v>1</v>
      </c>
      <c r="O487" s="165" t="s">
        <v>466</v>
      </c>
      <c r="P487" s="161">
        <v>2536.36</v>
      </c>
      <c r="Q487" s="170">
        <v>45348</v>
      </c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</row>
    <row r="488" spans="1:27">
      <c r="A488" s="154">
        <v>4</v>
      </c>
      <c r="B488" s="155" t="s">
        <v>1147</v>
      </c>
      <c r="C488" s="156">
        <v>45344</v>
      </c>
      <c r="D488" s="155" t="s">
        <v>440</v>
      </c>
      <c r="E488" s="149" t="s">
        <v>138</v>
      </c>
      <c r="F488" s="149" t="s">
        <v>441</v>
      </c>
      <c r="G488" s="149" t="s">
        <v>442</v>
      </c>
      <c r="H488" s="149" t="str">
        <f t="shared" si="1"/>
        <v>ANNA SUMARROCA TROUBOUL</v>
      </c>
      <c r="I488" s="149" t="s">
        <v>1209</v>
      </c>
      <c r="J488" s="153" t="s">
        <v>532</v>
      </c>
      <c r="K488" s="149" t="s">
        <v>1210</v>
      </c>
      <c r="L488" s="157">
        <v>45394</v>
      </c>
      <c r="M488" s="158"/>
      <c r="N488" s="163">
        <v>2</v>
      </c>
      <c r="O488" s="165" t="s">
        <v>446</v>
      </c>
      <c r="P488" s="161">
        <v>3604.55</v>
      </c>
      <c r="Q488" s="170">
        <v>45344</v>
      </c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</row>
    <row r="489" spans="1:27">
      <c r="A489" s="154">
        <v>4</v>
      </c>
      <c r="B489" s="155" t="s">
        <v>1147</v>
      </c>
      <c r="C489" s="156">
        <v>45372</v>
      </c>
      <c r="D489" s="155" t="s">
        <v>440</v>
      </c>
      <c r="E489" s="149" t="s">
        <v>311</v>
      </c>
      <c r="F489" s="149" t="s">
        <v>441</v>
      </c>
      <c r="G489" s="149" t="s">
        <v>442</v>
      </c>
      <c r="H489" s="149" t="str">
        <f t="shared" si="1"/>
        <v>ELISABETH AMARILLO ESPITIA</v>
      </c>
      <c r="I489" s="149" t="s">
        <v>467</v>
      </c>
      <c r="J489" s="153" t="s">
        <v>444</v>
      </c>
      <c r="K489" s="149" t="s">
        <v>1211</v>
      </c>
      <c r="L489" s="157">
        <v>45394</v>
      </c>
      <c r="M489" s="158"/>
      <c r="N489" s="163">
        <v>2</v>
      </c>
      <c r="O489" s="165" t="s">
        <v>449</v>
      </c>
      <c r="P489" s="161">
        <v>2780.87</v>
      </c>
      <c r="Q489" s="170">
        <v>45372</v>
      </c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</row>
    <row r="490" spans="1:27">
      <c r="A490" s="154">
        <v>4</v>
      </c>
      <c r="B490" s="155" t="s">
        <v>1147</v>
      </c>
      <c r="C490" s="156">
        <v>45350</v>
      </c>
      <c r="D490" s="155" t="s">
        <v>440</v>
      </c>
      <c r="E490" s="149" t="s">
        <v>315</v>
      </c>
      <c r="F490" s="149" t="s">
        <v>441</v>
      </c>
      <c r="G490" s="149" t="s">
        <v>442</v>
      </c>
      <c r="H490" s="149" t="str">
        <f t="shared" si="1"/>
        <v>JOSÉ GUSTAVO BARROSO BRAOJOS</v>
      </c>
      <c r="I490" s="149" t="s">
        <v>560</v>
      </c>
      <c r="J490" s="153" t="s">
        <v>444</v>
      </c>
      <c r="K490" s="149" t="s">
        <v>1212</v>
      </c>
      <c r="L490" s="157">
        <v>45394</v>
      </c>
      <c r="M490" s="158"/>
      <c r="N490" s="163">
        <v>2</v>
      </c>
      <c r="O490" s="165" t="s">
        <v>446</v>
      </c>
      <c r="P490" s="161">
        <v>3604.55</v>
      </c>
      <c r="Q490" s="170">
        <v>45350</v>
      </c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</row>
    <row r="491" spans="1:27">
      <c r="A491" s="154">
        <v>4</v>
      </c>
      <c r="B491" s="155" t="s">
        <v>1147</v>
      </c>
      <c r="C491" s="156">
        <v>45349</v>
      </c>
      <c r="D491" s="155" t="s">
        <v>440</v>
      </c>
      <c r="E491" s="149" t="s">
        <v>158</v>
      </c>
      <c r="F491" s="149" t="s">
        <v>441</v>
      </c>
      <c r="G491" s="149" t="s">
        <v>442</v>
      </c>
      <c r="H491" s="149" t="str">
        <f t="shared" si="1"/>
        <v>PALOMA MARTÍN- ARAGÓN MARTIÍ</v>
      </c>
      <c r="I491" s="149" t="s">
        <v>643</v>
      </c>
      <c r="J491" s="153" t="s">
        <v>444</v>
      </c>
      <c r="K491" s="149" t="s">
        <v>1213</v>
      </c>
      <c r="L491" s="157">
        <v>45394</v>
      </c>
      <c r="M491" s="158"/>
      <c r="N491" s="163">
        <v>1</v>
      </c>
      <c r="O491" s="165" t="s">
        <v>466</v>
      </c>
      <c r="P491" s="161">
        <v>2286.36</v>
      </c>
      <c r="Q491" s="170">
        <v>45349</v>
      </c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</row>
    <row r="492" spans="1:27">
      <c r="A492" s="154">
        <v>4</v>
      </c>
      <c r="B492" s="155" t="s">
        <v>1147</v>
      </c>
      <c r="C492" s="156">
        <v>45348</v>
      </c>
      <c r="D492" s="155" t="s">
        <v>440</v>
      </c>
      <c r="E492" s="149" t="s">
        <v>150</v>
      </c>
      <c r="F492" s="149" t="s">
        <v>441</v>
      </c>
      <c r="G492" s="149" t="s">
        <v>442</v>
      </c>
      <c r="H492" s="149" t="str">
        <f t="shared" si="1"/>
        <v>ÁLVARO PÉREZ LLINARES</v>
      </c>
      <c r="I492" s="149" t="s">
        <v>1214</v>
      </c>
      <c r="J492" s="153" t="s">
        <v>636</v>
      </c>
      <c r="K492" s="149" t="s">
        <v>1215</v>
      </c>
      <c r="L492" s="157">
        <v>45394</v>
      </c>
      <c r="M492" s="158"/>
      <c r="N492" s="163">
        <v>2</v>
      </c>
      <c r="O492" s="165" t="s">
        <v>446</v>
      </c>
      <c r="P492" s="161">
        <v>3604.55</v>
      </c>
      <c r="Q492" s="170">
        <v>45348</v>
      </c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</row>
    <row r="493" spans="1:27">
      <c r="A493" s="154">
        <v>4</v>
      </c>
      <c r="B493" s="155" t="s">
        <v>1147</v>
      </c>
      <c r="C493" s="156">
        <v>45322</v>
      </c>
      <c r="D493" s="155" t="s">
        <v>440</v>
      </c>
      <c r="E493" s="149" t="s">
        <v>485</v>
      </c>
      <c r="F493" s="149" t="s">
        <v>441</v>
      </c>
      <c r="G493" s="149" t="s">
        <v>442</v>
      </c>
      <c r="H493" s="149" t="str">
        <f t="shared" si="1"/>
        <v>MANUEL ACUÑA GARCÍA</v>
      </c>
      <c r="I493" s="149" t="s">
        <v>472</v>
      </c>
      <c r="J493" s="149" t="s">
        <v>473</v>
      </c>
      <c r="K493" s="149" t="s">
        <v>1216</v>
      </c>
      <c r="L493" s="157">
        <v>45394</v>
      </c>
      <c r="M493" s="158"/>
      <c r="N493" s="163">
        <v>1</v>
      </c>
      <c r="O493" s="165" t="s">
        <v>466</v>
      </c>
      <c r="P493" s="161">
        <v>2461.8200000000002</v>
      </c>
      <c r="Q493" s="170">
        <v>45322</v>
      </c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</row>
    <row r="494" spans="1:27">
      <c r="A494" s="154">
        <v>4</v>
      </c>
      <c r="B494" s="155" t="s">
        <v>1147</v>
      </c>
      <c r="C494" s="156">
        <v>45341</v>
      </c>
      <c r="D494" s="155" t="s">
        <v>440</v>
      </c>
      <c r="E494" s="149" t="s">
        <v>309</v>
      </c>
      <c r="F494" s="149" t="s">
        <v>441</v>
      </c>
      <c r="G494" s="149" t="s">
        <v>442</v>
      </c>
      <c r="H494" s="149" t="str">
        <f t="shared" si="1"/>
        <v>JOSE JOAQUÍN GUTIÉRREZ BARQUÍN</v>
      </c>
      <c r="I494" s="149" t="s">
        <v>716</v>
      </c>
      <c r="J494" s="153" t="s">
        <v>444</v>
      </c>
      <c r="K494" s="149" t="s">
        <v>1217</v>
      </c>
      <c r="L494" s="157">
        <v>45397</v>
      </c>
      <c r="M494" s="158"/>
      <c r="N494" s="163">
        <v>2</v>
      </c>
      <c r="O494" s="165" t="s">
        <v>449</v>
      </c>
      <c r="P494" s="161">
        <v>2780.91</v>
      </c>
      <c r="Q494" s="170">
        <v>45341</v>
      </c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</row>
    <row r="495" spans="1:27">
      <c r="A495" s="154">
        <v>4</v>
      </c>
      <c r="B495" s="155" t="s">
        <v>1147</v>
      </c>
      <c r="C495" s="156">
        <v>45341</v>
      </c>
      <c r="D495" s="155" t="s">
        <v>440</v>
      </c>
      <c r="E495" s="149" t="s">
        <v>102</v>
      </c>
      <c r="F495" s="149" t="s">
        <v>441</v>
      </c>
      <c r="G495" s="149" t="s">
        <v>442</v>
      </c>
      <c r="H495" s="149" t="str">
        <f t="shared" si="1"/>
        <v>JUAN JAVIER ÁLVAREZ LÓPEZ</v>
      </c>
      <c r="I495" s="149" t="s">
        <v>664</v>
      </c>
      <c r="J495" s="153" t="s">
        <v>462</v>
      </c>
      <c r="K495" s="149" t="s">
        <v>1218</v>
      </c>
      <c r="L495" s="157">
        <v>45397</v>
      </c>
      <c r="M495" s="158"/>
      <c r="N495" s="163">
        <v>2</v>
      </c>
      <c r="O495" s="165" t="s">
        <v>449</v>
      </c>
      <c r="P495" s="161">
        <v>2471.8200000000002</v>
      </c>
      <c r="Q495" s="170">
        <v>45341</v>
      </c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</row>
    <row r="496" spans="1:27">
      <c r="A496" s="154">
        <v>4</v>
      </c>
      <c r="B496" s="155" t="s">
        <v>1147</v>
      </c>
      <c r="C496" s="156">
        <v>45390</v>
      </c>
      <c r="D496" s="155" t="s">
        <v>440</v>
      </c>
      <c r="E496" s="149" t="s">
        <v>115</v>
      </c>
      <c r="F496" s="149" t="s">
        <v>441</v>
      </c>
      <c r="G496" s="149" t="s">
        <v>442</v>
      </c>
      <c r="H496" s="149" t="str">
        <f t="shared" si="1"/>
        <v>JULIE MÚÑOZ FREITEZ</v>
      </c>
      <c r="I496" s="149" t="s">
        <v>1219</v>
      </c>
      <c r="J496" s="153" t="s">
        <v>444</v>
      </c>
      <c r="K496" s="149" t="s">
        <v>1220</v>
      </c>
      <c r="L496" s="157">
        <v>45397</v>
      </c>
      <c r="M496" s="164"/>
      <c r="N496" s="163">
        <v>2</v>
      </c>
      <c r="O496" s="165" t="s">
        <v>446</v>
      </c>
      <c r="P496" s="161">
        <v>2636.36</v>
      </c>
      <c r="Q496" s="170">
        <v>45390</v>
      </c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</row>
    <row r="497" spans="1:27">
      <c r="A497" s="154">
        <v>4</v>
      </c>
      <c r="B497" s="155" t="s">
        <v>1147</v>
      </c>
      <c r="C497" s="156">
        <v>45357</v>
      </c>
      <c r="D497" s="155" t="s">
        <v>440</v>
      </c>
      <c r="E497" s="149" t="s">
        <v>525</v>
      </c>
      <c r="F497" s="149" t="s">
        <v>441</v>
      </c>
      <c r="G497" s="149" t="s">
        <v>442</v>
      </c>
      <c r="H497" s="149" t="str">
        <f t="shared" si="1"/>
        <v>PILAR CASTRO RUIZ</v>
      </c>
      <c r="I497" s="149" t="s">
        <v>526</v>
      </c>
      <c r="J497" s="153" t="s">
        <v>516</v>
      </c>
      <c r="K497" s="149" t="s">
        <v>1221</v>
      </c>
      <c r="L497" s="157">
        <v>45397</v>
      </c>
      <c r="M497" s="158"/>
      <c r="N497" s="163">
        <v>2</v>
      </c>
      <c r="O497" s="165" t="s">
        <v>466</v>
      </c>
      <c r="P497" s="161">
        <v>3454.55</v>
      </c>
      <c r="Q497" s="170">
        <v>45357</v>
      </c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</row>
    <row r="498" spans="1:27">
      <c r="A498" s="154">
        <v>4</v>
      </c>
      <c r="B498" s="155" t="s">
        <v>1147</v>
      </c>
      <c r="C498" s="156">
        <v>45299</v>
      </c>
      <c r="D498" s="155" t="s">
        <v>440</v>
      </c>
      <c r="E498" s="149" t="s">
        <v>308</v>
      </c>
      <c r="F498" s="149" t="s">
        <v>441</v>
      </c>
      <c r="G498" s="149" t="s">
        <v>442</v>
      </c>
      <c r="H498" s="149" t="str">
        <f t="shared" si="1"/>
        <v>ADOLFO TOLEDANO MUÑOZ</v>
      </c>
      <c r="I498" s="149" t="s">
        <v>556</v>
      </c>
      <c r="J498" s="153" t="s">
        <v>444</v>
      </c>
      <c r="K498" s="149" t="s">
        <v>1222</v>
      </c>
      <c r="L498" s="157">
        <v>45398</v>
      </c>
      <c r="M498" s="164"/>
      <c r="N498" s="163">
        <v>2</v>
      </c>
      <c r="O498" s="165" t="s">
        <v>446</v>
      </c>
      <c r="P498" s="161">
        <v>3604.55</v>
      </c>
      <c r="Q498" s="170">
        <v>45299</v>
      </c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</row>
    <row r="499" spans="1:27">
      <c r="A499" s="154">
        <v>4</v>
      </c>
      <c r="B499" s="155" t="s">
        <v>1147</v>
      </c>
      <c r="C499" s="156">
        <v>45348</v>
      </c>
      <c r="D499" s="155" t="s">
        <v>440</v>
      </c>
      <c r="E499" s="149" t="s">
        <v>138</v>
      </c>
      <c r="F499" s="149" t="s">
        <v>441</v>
      </c>
      <c r="G499" s="149" t="s">
        <v>442</v>
      </c>
      <c r="H499" s="149" t="str">
        <f t="shared" si="1"/>
        <v>JESUS-MARIA GRASA PÉREZ</v>
      </c>
      <c r="I499" s="149" t="s">
        <v>591</v>
      </c>
      <c r="J499" s="153" t="s">
        <v>532</v>
      </c>
      <c r="K499" s="149" t="s">
        <v>1223</v>
      </c>
      <c r="L499" s="157">
        <v>45398</v>
      </c>
      <c r="M499" s="158"/>
      <c r="N499" s="163">
        <v>2</v>
      </c>
      <c r="O499" s="165" t="s">
        <v>446</v>
      </c>
      <c r="P499" s="161">
        <v>3604.55</v>
      </c>
      <c r="Q499" s="170">
        <v>45348</v>
      </c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</row>
    <row r="500" spans="1:27">
      <c r="A500" s="154">
        <v>4</v>
      </c>
      <c r="B500" s="155" t="s">
        <v>1147</v>
      </c>
      <c r="C500" s="156">
        <v>45376</v>
      </c>
      <c r="D500" s="155" t="s">
        <v>440</v>
      </c>
      <c r="E500" s="149" t="s">
        <v>109</v>
      </c>
      <c r="F500" s="149" t="s">
        <v>441</v>
      </c>
      <c r="G500" s="149" t="s">
        <v>442</v>
      </c>
      <c r="H500" s="149" t="str">
        <f t="shared" si="1"/>
        <v>DANIEL MORENO JIMENEZ</v>
      </c>
      <c r="I500" s="149" t="s">
        <v>658</v>
      </c>
      <c r="J500" s="153" t="s">
        <v>444</v>
      </c>
      <c r="K500" s="149" t="s">
        <v>1224</v>
      </c>
      <c r="L500" s="157">
        <v>45398</v>
      </c>
      <c r="M500" s="158"/>
      <c r="N500" s="163">
        <v>2</v>
      </c>
      <c r="O500" s="165" t="s">
        <v>446</v>
      </c>
      <c r="P500" s="161">
        <v>3604.55</v>
      </c>
      <c r="Q500" s="170">
        <v>45376</v>
      </c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</row>
    <row r="501" spans="1:27">
      <c r="A501" s="154">
        <v>4</v>
      </c>
      <c r="B501" s="155" t="s">
        <v>1147</v>
      </c>
      <c r="C501" s="156">
        <v>45371</v>
      </c>
      <c r="D501" s="155" t="s">
        <v>440</v>
      </c>
      <c r="E501" s="149" t="s">
        <v>109</v>
      </c>
      <c r="F501" s="149" t="s">
        <v>441</v>
      </c>
      <c r="G501" s="149" t="s">
        <v>442</v>
      </c>
      <c r="H501" s="149" t="str">
        <f t="shared" si="1"/>
        <v>MARÍA GARROTE GARROTE</v>
      </c>
      <c r="I501" s="149" t="s">
        <v>447</v>
      </c>
      <c r="J501" s="153" t="s">
        <v>444</v>
      </c>
      <c r="K501" s="149" t="s">
        <v>1225</v>
      </c>
      <c r="L501" s="157">
        <v>45398</v>
      </c>
      <c r="M501" s="158"/>
      <c r="N501" s="163">
        <v>2</v>
      </c>
      <c r="O501" s="165" t="s">
        <v>446</v>
      </c>
      <c r="P501" s="161">
        <v>3604.55</v>
      </c>
      <c r="Q501" s="170">
        <v>45371</v>
      </c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</row>
    <row r="502" spans="1:27">
      <c r="A502" s="154">
        <v>4</v>
      </c>
      <c r="B502" s="155" t="s">
        <v>1147</v>
      </c>
      <c r="C502" s="156">
        <v>45366</v>
      </c>
      <c r="D502" s="155" t="s">
        <v>440</v>
      </c>
      <c r="E502" s="149" t="s">
        <v>98</v>
      </c>
      <c r="F502" s="149" t="s">
        <v>441</v>
      </c>
      <c r="G502" s="149" t="s">
        <v>442</v>
      </c>
      <c r="H502" s="149" t="str">
        <f t="shared" si="1"/>
        <v>ALFONSO MARCO GARRIDO</v>
      </c>
      <c r="I502" s="149" t="s">
        <v>1226</v>
      </c>
      <c r="J502" s="153" t="s">
        <v>462</v>
      </c>
      <c r="K502" s="149" t="s">
        <v>1227</v>
      </c>
      <c r="L502" s="157">
        <v>45398</v>
      </c>
      <c r="M502" s="158"/>
      <c r="N502" s="163">
        <v>2</v>
      </c>
      <c r="O502" s="165" t="s">
        <v>446</v>
      </c>
      <c r="P502" s="161">
        <v>3423.64</v>
      </c>
      <c r="Q502" s="170">
        <v>45366</v>
      </c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</row>
    <row r="503" spans="1:27">
      <c r="A503" s="154">
        <v>4</v>
      </c>
      <c r="B503" s="155" t="s">
        <v>1147</v>
      </c>
      <c r="C503" s="156">
        <v>45369</v>
      </c>
      <c r="D503" s="166" t="s">
        <v>440</v>
      </c>
      <c r="E503" s="149" t="s">
        <v>514</v>
      </c>
      <c r="F503" s="149" t="s">
        <v>441</v>
      </c>
      <c r="G503" s="149" t="s">
        <v>442</v>
      </c>
      <c r="H503" s="149" t="str">
        <f t="shared" si="1"/>
        <v>ERNESTO VARELA MARTÍNEZ</v>
      </c>
      <c r="I503" s="149" t="s">
        <v>515</v>
      </c>
      <c r="J503" s="149" t="s">
        <v>516</v>
      </c>
      <c r="K503" s="149" t="s">
        <v>1228</v>
      </c>
      <c r="L503" s="157">
        <v>45399</v>
      </c>
      <c r="M503" s="158"/>
      <c r="N503" s="163">
        <v>2</v>
      </c>
      <c r="O503" s="165" t="s">
        <v>518</v>
      </c>
      <c r="P503" s="161">
        <v>2627.27</v>
      </c>
      <c r="Q503" s="170">
        <v>45369</v>
      </c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</row>
    <row r="504" spans="1:27">
      <c r="A504" s="154">
        <v>4</v>
      </c>
      <c r="B504" s="155" t="s">
        <v>1147</v>
      </c>
      <c r="C504" s="156">
        <v>45370</v>
      </c>
      <c r="D504" s="155" t="s">
        <v>440</v>
      </c>
      <c r="E504" s="149" t="s">
        <v>546</v>
      </c>
      <c r="F504" s="149" t="s">
        <v>441</v>
      </c>
      <c r="G504" s="149" t="s">
        <v>442</v>
      </c>
      <c r="H504" s="149" t="str">
        <f t="shared" si="1"/>
        <v>RAED MAQUED EL MAQUED</v>
      </c>
      <c r="I504" s="149" t="s">
        <v>547</v>
      </c>
      <c r="J504" s="153" t="s">
        <v>548</v>
      </c>
      <c r="K504" s="149" t="s">
        <v>1229</v>
      </c>
      <c r="L504" s="157">
        <v>45399</v>
      </c>
      <c r="M504" s="164"/>
      <c r="N504" s="163">
        <v>2</v>
      </c>
      <c r="O504" s="165" t="s">
        <v>446</v>
      </c>
      <c r="P504" s="161">
        <v>3772.73</v>
      </c>
      <c r="Q504" s="170">
        <v>45370</v>
      </c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</row>
    <row r="505" spans="1:27">
      <c r="A505" s="154">
        <v>4</v>
      </c>
      <c r="B505" s="155" t="s">
        <v>1147</v>
      </c>
      <c r="C505" s="156">
        <v>45372</v>
      </c>
      <c r="D505" s="155" t="s">
        <v>440</v>
      </c>
      <c r="E505" s="149" t="s">
        <v>109</v>
      </c>
      <c r="F505" s="149" t="s">
        <v>441</v>
      </c>
      <c r="G505" s="149" t="s">
        <v>442</v>
      </c>
      <c r="H505" s="149" t="str">
        <f t="shared" si="1"/>
        <v>MARÍA GARROTE GARROTE</v>
      </c>
      <c r="I505" s="149" t="s">
        <v>447</v>
      </c>
      <c r="J505" s="153" t="s">
        <v>444</v>
      </c>
      <c r="K505" s="149" t="s">
        <v>1230</v>
      </c>
      <c r="L505" s="157">
        <v>45399</v>
      </c>
      <c r="M505" s="164"/>
      <c r="N505" s="163">
        <v>2</v>
      </c>
      <c r="O505" s="165" t="s">
        <v>446</v>
      </c>
      <c r="P505" s="161">
        <v>3604.55</v>
      </c>
      <c r="Q505" s="170">
        <v>45372</v>
      </c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</row>
    <row r="506" spans="1:27">
      <c r="A506" s="154">
        <v>4</v>
      </c>
      <c r="B506" s="155" t="s">
        <v>1147</v>
      </c>
      <c r="C506" s="156">
        <v>45371</v>
      </c>
      <c r="D506" s="155" t="s">
        <v>440</v>
      </c>
      <c r="E506" s="149" t="s">
        <v>315</v>
      </c>
      <c r="F506" s="149" t="s">
        <v>441</v>
      </c>
      <c r="G506" s="149" t="s">
        <v>442</v>
      </c>
      <c r="H506" s="149" t="str">
        <f t="shared" si="1"/>
        <v>JOSÉ GUSTAVO BARROSO BRAOJOS</v>
      </c>
      <c r="I506" s="149" t="s">
        <v>560</v>
      </c>
      <c r="J506" s="153" t="s">
        <v>444</v>
      </c>
      <c r="K506" s="149" t="s">
        <v>1231</v>
      </c>
      <c r="L506" s="157">
        <v>45399</v>
      </c>
      <c r="M506" s="158"/>
      <c r="N506" s="163">
        <v>2</v>
      </c>
      <c r="O506" s="165" t="s">
        <v>446</v>
      </c>
      <c r="P506" s="161">
        <v>3424.55</v>
      </c>
      <c r="Q506" s="170">
        <v>45371</v>
      </c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</row>
    <row r="507" spans="1:27">
      <c r="A507" s="154">
        <v>4</v>
      </c>
      <c r="B507" s="155" t="s">
        <v>1147</v>
      </c>
      <c r="C507" s="156">
        <v>45342</v>
      </c>
      <c r="D507" s="155" t="s">
        <v>440</v>
      </c>
      <c r="E507" s="149" t="s">
        <v>271</v>
      </c>
      <c r="F507" s="149" t="s">
        <v>441</v>
      </c>
      <c r="G507" s="149" t="s">
        <v>442</v>
      </c>
      <c r="H507" s="149" t="str">
        <f t="shared" si="1"/>
        <v>ANTONIO BUENO RÍOS</v>
      </c>
      <c r="I507" s="149" t="s">
        <v>519</v>
      </c>
      <c r="J507" s="153" t="s">
        <v>548</v>
      </c>
      <c r="K507" s="149" t="s">
        <v>1232</v>
      </c>
      <c r="L507" s="157">
        <v>45399</v>
      </c>
      <c r="M507" s="158"/>
      <c r="N507" s="163">
        <v>2</v>
      </c>
      <c r="O507" s="165" t="s">
        <v>449</v>
      </c>
      <c r="P507" s="161">
        <v>2641.87</v>
      </c>
      <c r="Q507" s="170">
        <v>45342</v>
      </c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</row>
    <row r="508" spans="1:27">
      <c r="A508" s="154">
        <v>4</v>
      </c>
      <c r="B508" s="155" t="s">
        <v>1147</v>
      </c>
      <c r="C508" s="156">
        <v>45358</v>
      </c>
      <c r="D508" s="155" t="s">
        <v>440</v>
      </c>
      <c r="E508" s="149" t="s">
        <v>98</v>
      </c>
      <c r="F508" s="149" t="s">
        <v>441</v>
      </c>
      <c r="G508" s="149" t="s">
        <v>442</v>
      </c>
      <c r="H508" s="149" t="str">
        <f t="shared" si="1"/>
        <v>JESÚS MIGUEL INIESTA TURPÍN</v>
      </c>
      <c r="I508" s="149" t="s">
        <v>594</v>
      </c>
      <c r="J508" s="153" t="s">
        <v>462</v>
      </c>
      <c r="K508" s="149" t="s">
        <v>1233</v>
      </c>
      <c r="L508" s="157">
        <v>45399</v>
      </c>
      <c r="M508" s="164"/>
      <c r="N508" s="163">
        <v>2</v>
      </c>
      <c r="O508" s="165" t="s">
        <v>449</v>
      </c>
      <c r="P508" s="161">
        <v>2780.91</v>
      </c>
      <c r="Q508" s="170">
        <v>45358</v>
      </c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</row>
    <row r="509" spans="1:27">
      <c r="A509" s="154">
        <v>4</v>
      </c>
      <c r="B509" s="155" t="s">
        <v>1147</v>
      </c>
      <c r="C509" s="156">
        <v>45365</v>
      </c>
      <c r="D509" s="155" t="s">
        <v>440</v>
      </c>
      <c r="E509" s="149" t="s">
        <v>98</v>
      </c>
      <c r="F509" s="149" t="s">
        <v>441</v>
      </c>
      <c r="G509" s="149" t="s">
        <v>442</v>
      </c>
      <c r="H509" s="149" t="str">
        <f t="shared" si="1"/>
        <v>MARÍA LÓPEZ ROBLES</v>
      </c>
      <c r="I509" s="149" t="s">
        <v>846</v>
      </c>
      <c r="J509" s="153" t="s">
        <v>462</v>
      </c>
      <c r="K509" s="149" t="s">
        <v>1234</v>
      </c>
      <c r="L509" s="157">
        <v>45399</v>
      </c>
      <c r="M509" s="158"/>
      <c r="N509" s="163">
        <v>1</v>
      </c>
      <c r="O509" s="165" t="s">
        <v>446</v>
      </c>
      <c r="P509" s="161">
        <v>2227.27</v>
      </c>
      <c r="Q509" s="170">
        <v>45365</v>
      </c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</row>
    <row r="510" spans="1:27">
      <c r="A510" s="154">
        <v>4</v>
      </c>
      <c r="B510" s="155" t="s">
        <v>1147</v>
      </c>
      <c r="C510" s="156">
        <v>45274</v>
      </c>
      <c r="D510" s="155" t="s">
        <v>440</v>
      </c>
      <c r="E510" s="149" t="s">
        <v>485</v>
      </c>
      <c r="F510" s="149" t="s">
        <v>441</v>
      </c>
      <c r="G510" s="149" t="s">
        <v>442</v>
      </c>
      <c r="H510" s="149" t="str">
        <f t="shared" si="1"/>
        <v>MANUEL ACUÑA GARCÍA</v>
      </c>
      <c r="I510" s="149" t="s">
        <v>472</v>
      </c>
      <c r="J510" s="153" t="s">
        <v>473</v>
      </c>
      <c r="K510" s="149" t="s">
        <v>1235</v>
      </c>
      <c r="L510" s="157">
        <v>45399</v>
      </c>
      <c r="M510" s="158"/>
      <c r="N510" s="163">
        <v>2</v>
      </c>
      <c r="O510" s="165" t="s">
        <v>513</v>
      </c>
      <c r="P510" s="161">
        <v>4431.82</v>
      </c>
      <c r="Q510" s="170">
        <v>45274</v>
      </c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</row>
    <row r="511" spans="1:27">
      <c r="A511" s="154">
        <v>4</v>
      </c>
      <c r="B511" s="155" t="s">
        <v>1147</v>
      </c>
      <c r="C511" s="156">
        <v>45370</v>
      </c>
      <c r="D511" s="155" t="s">
        <v>440</v>
      </c>
      <c r="E511" s="149" t="s">
        <v>485</v>
      </c>
      <c r="F511" s="149" t="s">
        <v>441</v>
      </c>
      <c r="G511" s="149" t="s">
        <v>442</v>
      </c>
      <c r="H511" s="149" t="str">
        <f t="shared" si="1"/>
        <v>PATRICIA VIVEROS DIEZ</v>
      </c>
      <c r="I511" s="149" t="s">
        <v>486</v>
      </c>
      <c r="J511" s="153" t="s">
        <v>473</v>
      </c>
      <c r="K511" s="149" t="s">
        <v>1236</v>
      </c>
      <c r="L511" s="157">
        <v>45399</v>
      </c>
      <c r="M511" s="158"/>
      <c r="N511" s="163">
        <v>1</v>
      </c>
      <c r="O511" s="165" t="s">
        <v>466</v>
      </c>
      <c r="P511" s="161">
        <v>2080</v>
      </c>
      <c r="Q511" s="170">
        <v>45370</v>
      </c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</row>
    <row r="512" spans="1:27">
      <c r="A512" s="154">
        <v>4</v>
      </c>
      <c r="B512" s="155" t="s">
        <v>1147</v>
      </c>
      <c r="C512" s="156">
        <v>45350</v>
      </c>
      <c r="D512" s="155" t="s">
        <v>440</v>
      </c>
      <c r="E512" s="149" t="s">
        <v>485</v>
      </c>
      <c r="F512" s="149" t="s">
        <v>450</v>
      </c>
      <c r="G512" s="149" t="s">
        <v>451</v>
      </c>
      <c r="H512" s="149" t="str">
        <f t="shared" ref="H512:H620" si="2">TRIM(SUBSTITUTE(SUBSTITUTE(SUBSTITUTE(SUBSTITUTE(I512,"DR. ",""),"DRA. ",""),"DR ",""),"DRA ",""))</f>
        <v>ANA FERNÁNDEZ RODRÍGUEZ</v>
      </c>
      <c r="I512" s="149" t="s">
        <v>1237</v>
      </c>
      <c r="J512" s="153" t="s">
        <v>473</v>
      </c>
      <c r="K512" s="149" t="s">
        <v>1238</v>
      </c>
      <c r="L512" s="157">
        <v>45399</v>
      </c>
      <c r="M512" s="158"/>
      <c r="N512" s="163">
        <v>2</v>
      </c>
      <c r="O512" s="165" t="s">
        <v>446</v>
      </c>
      <c r="P512" s="161">
        <v>3477.29</v>
      </c>
      <c r="Q512" s="170">
        <v>45350</v>
      </c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</row>
    <row r="513" spans="1:27">
      <c r="A513" s="154">
        <v>4</v>
      </c>
      <c r="B513" s="155" t="s">
        <v>1147</v>
      </c>
      <c r="C513" s="156">
        <v>45358</v>
      </c>
      <c r="D513" s="155" t="s">
        <v>440</v>
      </c>
      <c r="E513" s="149" t="s">
        <v>553</v>
      </c>
      <c r="F513" s="149" t="s">
        <v>441</v>
      </c>
      <c r="G513" s="149" t="s">
        <v>442</v>
      </c>
      <c r="H513" s="149" t="str">
        <f t="shared" si="2"/>
        <v>CARLOS VIDAL REDONDO</v>
      </c>
      <c r="I513" s="149" t="s">
        <v>554</v>
      </c>
      <c r="J513" s="149" t="s">
        <v>516</v>
      </c>
      <c r="K513" s="149" t="s">
        <v>1239</v>
      </c>
      <c r="L513" s="157">
        <v>45400</v>
      </c>
      <c r="M513" s="164"/>
      <c r="N513" s="163">
        <v>1</v>
      </c>
      <c r="O513" s="165" t="s">
        <v>449</v>
      </c>
      <c r="P513" s="161">
        <v>1500</v>
      </c>
      <c r="Q513" s="170">
        <v>45358</v>
      </c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</row>
    <row r="514" spans="1:27">
      <c r="A514" s="154">
        <v>4</v>
      </c>
      <c r="B514" s="155" t="s">
        <v>1147</v>
      </c>
      <c r="C514" s="156">
        <v>45358</v>
      </c>
      <c r="D514" s="155" t="s">
        <v>440</v>
      </c>
      <c r="E514" s="149" t="s">
        <v>317</v>
      </c>
      <c r="F514" s="149" t="s">
        <v>441</v>
      </c>
      <c r="G514" s="149" t="s">
        <v>442</v>
      </c>
      <c r="H514" s="149" t="str">
        <f t="shared" si="2"/>
        <v>MARIA ROSARIO FERRANDIZ GARCÍA</v>
      </c>
      <c r="I514" s="149" t="s">
        <v>1100</v>
      </c>
      <c r="J514" s="153" t="s">
        <v>462</v>
      </c>
      <c r="K514" s="149" t="s">
        <v>1240</v>
      </c>
      <c r="L514" s="157">
        <v>45400</v>
      </c>
      <c r="M514" s="158"/>
      <c r="N514" s="163">
        <v>2</v>
      </c>
      <c r="O514" s="165" t="s">
        <v>449</v>
      </c>
      <c r="P514" s="161">
        <v>2781.82</v>
      </c>
      <c r="Q514" s="170">
        <v>45358</v>
      </c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</row>
    <row r="515" spans="1:27">
      <c r="A515" s="154">
        <v>4</v>
      </c>
      <c r="B515" s="155" t="s">
        <v>1147</v>
      </c>
      <c r="C515" s="156">
        <v>45370</v>
      </c>
      <c r="D515" s="155" t="s">
        <v>440</v>
      </c>
      <c r="E515" s="149" t="s">
        <v>514</v>
      </c>
      <c r="F515" s="149" t="s">
        <v>441</v>
      </c>
      <c r="G515" s="149" t="s">
        <v>442</v>
      </c>
      <c r="H515" s="149" t="str">
        <f t="shared" si="2"/>
        <v>CARLOS VIDAL REDONDO</v>
      </c>
      <c r="I515" s="149" t="s">
        <v>554</v>
      </c>
      <c r="J515" s="153" t="s">
        <v>516</v>
      </c>
      <c r="K515" s="149" t="s">
        <v>1241</v>
      </c>
      <c r="L515" s="157">
        <v>45400</v>
      </c>
      <c r="M515" s="158"/>
      <c r="N515" s="163">
        <v>2</v>
      </c>
      <c r="O515" s="165" t="s">
        <v>518</v>
      </c>
      <c r="P515" s="161">
        <v>2627.27</v>
      </c>
      <c r="Q515" s="170">
        <v>45370</v>
      </c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</row>
    <row r="516" spans="1:27">
      <c r="A516" s="154">
        <v>4</v>
      </c>
      <c r="B516" s="155" t="s">
        <v>1147</v>
      </c>
      <c r="C516" s="156">
        <v>45371</v>
      </c>
      <c r="D516" s="155" t="s">
        <v>440</v>
      </c>
      <c r="E516" s="149" t="s">
        <v>311</v>
      </c>
      <c r="F516" s="149" t="s">
        <v>441</v>
      </c>
      <c r="G516" s="149" t="s">
        <v>442</v>
      </c>
      <c r="H516" s="149" t="str">
        <f t="shared" si="2"/>
        <v>ITHZEL MARIA VILLARREAL PATIÑO</v>
      </c>
      <c r="I516" s="149" t="s">
        <v>491</v>
      </c>
      <c r="J516" s="153" t="s">
        <v>444</v>
      </c>
      <c r="K516" s="149" t="s">
        <v>1242</v>
      </c>
      <c r="L516" s="157">
        <v>45400</v>
      </c>
      <c r="M516" s="164"/>
      <c r="N516" s="163">
        <v>2</v>
      </c>
      <c r="O516" s="165" t="s">
        <v>446</v>
      </c>
      <c r="P516" s="161">
        <v>3604.55</v>
      </c>
      <c r="Q516" s="170">
        <v>45371</v>
      </c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</row>
    <row r="517" spans="1:27">
      <c r="A517" s="154">
        <v>4</v>
      </c>
      <c r="B517" s="155" t="s">
        <v>1147</v>
      </c>
      <c r="C517" s="156">
        <v>45243</v>
      </c>
      <c r="D517" s="155" t="s">
        <v>440</v>
      </c>
      <c r="E517" s="149" t="s">
        <v>1047</v>
      </c>
      <c r="F517" s="149" t="s">
        <v>441</v>
      </c>
      <c r="G517" s="149" t="s">
        <v>442</v>
      </c>
      <c r="H517" s="149" t="str">
        <f t="shared" si="2"/>
        <v>JORDI LLUANSI PANELLA</v>
      </c>
      <c r="I517" s="149" t="s">
        <v>1048</v>
      </c>
      <c r="J517" s="153" t="s">
        <v>532</v>
      </c>
      <c r="K517" s="149" t="s">
        <v>1243</v>
      </c>
      <c r="L517" s="157">
        <v>45400</v>
      </c>
      <c r="M517" s="158"/>
      <c r="N517" s="163">
        <v>2</v>
      </c>
      <c r="O517" s="165" t="s">
        <v>446</v>
      </c>
      <c r="P517" s="161">
        <v>3604.55</v>
      </c>
      <c r="Q517" s="170">
        <v>45243</v>
      </c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</row>
    <row r="518" spans="1:27">
      <c r="A518" s="154">
        <v>4</v>
      </c>
      <c r="B518" s="155" t="s">
        <v>1147</v>
      </c>
      <c r="C518" s="156">
        <v>45334</v>
      </c>
      <c r="D518" s="155" t="s">
        <v>440</v>
      </c>
      <c r="E518" s="149" t="s">
        <v>1047</v>
      </c>
      <c r="F518" s="149" t="s">
        <v>441</v>
      </c>
      <c r="G518" s="149" t="s">
        <v>442</v>
      </c>
      <c r="H518" s="149" t="str">
        <f t="shared" si="2"/>
        <v>MARÍA K LLANO ESPINOSA</v>
      </c>
      <c r="I518" s="149" t="s">
        <v>1244</v>
      </c>
      <c r="J518" s="153" t="s">
        <v>532</v>
      </c>
      <c r="K518" s="149" t="s">
        <v>1245</v>
      </c>
      <c r="L518" s="157">
        <v>45400</v>
      </c>
      <c r="M518" s="158"/>
      <c r="N518" s="163">
        <v>2</v>
      </c>
      <c r="O518" s="165" t="s">
        <v>466</v>
      </c>
      <c r="P518" s="161">
        <v>4011.82</v>
      </c>
      <c r="Q518" s="170">
        <v>45334</v>
      </c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</row>
    <row r="519" spans="1:27">
      <c r="A519" s="154">
        <v>4</v>
      </c>
      <c r="B519" s="155" t="s">
        <v>1147</v>
      </c>
      <c r="C519" s="156">
        <v>45342</v>
      </c>
      <c r="D519" s="155" t="s">
        <v>440</v>
      </c>
      <c r="E519" s="149" t="s">
        <v>501</v>
      </c>
      <c r="F519" s="149" t="s">
        <v>441</v>
      </c>
      <c r="G519" s="149" t="s">
        <v>442</v>
      </c>
      <c r="H519" s="149" t="str">
        <f t="shared" si="2"/>
        <v>GARIKOITZ CALZADA URIONDO</v>
      </c>
      <c r="I519" s="149" t="s">
        <v>1246</v>
      </c>
      <c r="J519" s="153" t="s">
        <v>548</v>
      </c>
      <c r="K519" s="149" t="s">
        <v>1247</v>
      </c>
      <c r="L519" s="157">
        <v>45400</v>
      </c>
      <c r="M519" s="158"/>
      <c r="N519" s="163">
        <v>2</v>
      </c>
      <c r="O519" s="165" t="s">
        <v>466</v>
      </c>
      <c r="P519" s="161">
        <v>3727.27</v>
      </c>
      <c r="Q519" s="170">
        <v>45342</v>
      </c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</row>
    <row r="520" spans="1:27">
      <c r="A520" s="154">
        <v>4</v>
      </c>
      <c r="B520" s="155" t="s">
        <v>1147</v>
      </c>
      <c r="C520" s="156">
        <v>45366</v>
      </c>
      <c r="D520" s="155" t="s">
        <v>440</v>
      </c>
      <c r="E520" s="149" t="s">
        <v>671</v>
      </c>
      <c r="F520" s="149" t="s">
        <v>441</v>
      </c>
      <c r="G520" s="149" t="s">
        <v>442</v>
      </c>
      <c r="H520" s="149" t="str">
        <f t="shared" si="2"/>
        <v>PEDRO JUIZ LÓPEZ</v>
      </c>
      <c r="I520" s="149" t="s">
        <v>672</v>
      </c>
      <c r="J520" s="153" t="s">
        <v>516</v>
      </c>
      <c r="K520" s="149" t="s">
        <v>1248</v>
      </c>
      <c r="L520" s="157">
        <v>45400</v>
      </c>
      <c r="M520" s="158"/>
      <c r="N520" s="163">
        <v>2</v>
      </c>
      <c r="O520" s="165" t="s">
        <v>449</v>
      </c>
      <c r="P520" s="161">
        <v>2904.55</v>
      </c>
      <c r="Q520" s="170">
        <v>45366</v>
      </c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</row>
    <row r="521" spans="1:27">
      <c r="A521" s="154">
        <v>4</v>
      </c>
      <c r="B521" s="155" t="s">
        <v>1147</v>
      </c>
      <c r="C521" s="156">
        <v>45386</v>
      </c>
      <c r="D521" s="155" t="s">
        <v>440</v>
      </c>
      <c r="E521" s="149" t="s">
        <v>309</v>
      </c>
      <c r="F521" s="149" t="s">
        <v>441</v>
      </c>
      <c r="G521" s="149" t="s">
        <v>442</v>
      </c>
      <c r="H521" s="149" t="str">
        <f t="shared" si="2"/>
        <v>JOSE JOAQUÍN GUTIÉRREZ BARQUÍN</v>
      </c>
      <c r="I521" s="149" t="s">
        <v>716</v>
      </c>
      <c r="J521" s="149" t="s">
        <v>444</v>
      </c>
      <c r="K521" s="149" t="s">
        <v>1249</v>
      </c>
      <c r="L521" s="157">
        <v>45400</v>
      </c>
      <c r="M521" s="164"/>
      <c r="N521" s="163">
        <v>2</v>
      </c>
      <c r="O521" s="165" t="s">
        <v>466</v>
      </c>
      <c r="P521" s="161">
        <v>4222.7299999999996</v>
      </c>
      <c r="Q521" s="170">
        <v>45386</v>
      </c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</row>
    <row r="522" spans="1:27">
      <c r="A522" s="154">
        <v>4</v>
      </c>
      <c r="B522" s="155" t="s">
        <v>1147</v>
      </c>
      <c r="C522" s="156">
        <v>45218</v>
      </c>
      <c r="D522" s="155" t="s">
        <v>440</v>
      </c>
      <c r="E522" s="149" t="s">
        <v>309</v>
      </c>
      <c r="F522" s="149" t="s">
        <v>441</v>
      </c>
      <c r="G522" s="149" t="s">
        <v>442</v>
      </c>
      <c r="H522" s="149" t="str">
        <f t="shared" si="2"/>
        <v>JAVIER GAVILANES PLASENCIA</v>
      </c>
      <c r="I522" s="149" t="s">
        <v>1250</v>
      </c>
      <c r="J522" s="153" t="s">
        <v>444</v>
      </c>
      <c r="K522" s="149" t="s">
        <v>1251</v>
      </c>
      <c r="L522" s="157">
        <v>45400</v>
      </c>
      <c r="M522" s="164"/>
      <c r="N522" s="163">
        <v>2</v>
      </c>
      <c r="O522" s="165" t="s">
        <v>449</v>
      </c>
      <c r="P522" s="161">
        <v>2727.27</v>
      </c>
      <c r="Q522" s="170">
        <v>45218</v>
      </c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</row>
    <row r="523" spans="1:27">
      <c r="A523" s="154">
        <v>4</v>
      </c>
      <c r="B523" s="155" t="s">
        <v>1147</v>
      </c>
      <c r="C523" s="156">
        <v>45355</v>
      </c>
      <c r="D523" s="155" t="s">
        <v>440</v>
      </c>
      <c r="E523" s="149" t="s">
        <v>150</v>
      </c>
      <c r="F523" s="149" t="s">
        <v>441</v>
      </c>
      <c r="G523" s="149" t="s">
        <v>442</v>
      </c>
      <c r="H523" s="149" t="str">
        <f t="shared" si="2"/>
        <v>LUÍS MARTÍNEZ BERNABEU</v>
      </c>
      <c r="I523" s="149" t="s">
        <v>483</v>
      </c>
      <c r="J523" s="149" t="s">
        <v>636</v>
      </c>
      <c r="K523" s="149" t="s">
        <v>1252</v>
      </c>
      <c r="L523" s="157">
        <v>45400</v>
      </c>
      <c r="M523" s="164"/>
      <c r="N523" s="163">
        <v>2</v>
      </c>
      <c r="O523" s="165" t="s">
        <v>466</v>
      </c>
      <c r="P523" s="161">
        <v>4011.59</v>
      </c>
      <c r="Q523" s="170">
        <v>45355</v>
      </c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</row>
    <row r="524" spans="1:27">
      <c r="A524" s="154">
        <v>4</v>
      </c>
      <c r="B524" s="155" t="s">
        <v>1147</v>
      </c>
      <c r="C524" s="156">
        <v>45348</v>
      </c>
      <c r="D524" s="155" t="s">
        <v>440</v>
      </c>
      <c r="E524" s="149" t="s">
        <v>485</v>
      </c>
      <c r="F524" s="149" t="s">
        <v>441</v>
      </c>
      <c r="G524" s="149" t="s">
        <v>442</v>
      </c>
      <c r="H524" s="149" t="str">
        <f t="shared" si="2"/>
        <v>MANUEL ACUÑA GARCÍA</v>
      </c>
      <c r="I524" s="149" t="s">
        <v>472</v>
      </c>
      <c r="J524" s="153" t="s">
        <v>473</v>
      </c>
      <c r="K524" s="149" t="s">
        <v>1253</v>
      </c>
      <c r="L524" s="157">
        <v>45400</v>
      </c>
      <c r="M524" s="158"/>
      <c r="N524" s="163">
        <v>2</v>
      </c>
      <c r="O524" s="165" t="s">
        <v>446</v>
      </c>
      <c r="P524" s="161">
        <v>3522.73</v>
      </c>
      <c r="Q524" s="170">
        <v>45348</v>
      </c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</row>
    <row r="525" spans="1:27">
      <c r="A525" s="154">
        <v>4</v>
      </c>
      <c r="B525" s="155" t="s">
        <v>1147</v>
      </c>
      <c r="C525" s="156">
        <v>45357</v>
      </c>
      <c r="D525" s="155" t="s">
        <v>440</v>
      </c>
      <c r="E525" s="149" t="s">
        <v>317</v>
      </c>
      <c r="F525" s="149" t="s">
        <v>441</v>
      </c>
      <c r="G525" s="149" t="s">
        <v>442</v>
      </c>
      <c r="H525" s="149" t="str">
        <f t="shared" si="2"/>
        <v>ISABEL MENACHES GUARDIOLA</v>
      </c>
      <c r="I525" s="149" t="s">
        <v>1254</v>
      </c>
      <c r="J525" s="153" t="s">
        <v>462</v>
      </c>
      <c r="K525" s="149" t="s">
        <v>1255</v>
      </c>
      <c r="L525" s="157">
        <v>45401</v>
      </c>
      <c r="M525" s="158"/>
      <c r="N525" s="163">
        <v>2</v>
      </c>
      <c r="O525" s="165" t="s">
        <v>466</v>
      </c>
      <c r="P525" s="161">
        <v>4172.7299999999996</v>
      </c>
      <c r="Q525" s="170">
        <v>45357</v>
      </c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</row>
    <row r="526" spans="1:27">
      <c r="A526" s="154">
        <v>4</v>
      </c>
      <c r="B526" s="155" t="s">
        <v>1147</v>
      </c>
      <c r="C526" s="156">
        <v>45335</v>
      </c>
      <c r="D526" s="155" t="s">
        <v>440</v>
      </c>
      <c r="E526" s="149" t="s">
        <v>138</v>
      </c>
      <c r="F526" s="149" t="s">
        <v>441</v>
      </c>
      <c r="G526" s="149" t="s">
        <v>442</v>
      </c>
      <c r="H526" s="149" t="str">
        <f t="shared" si="2"/>
        <v>DOLORES ROMERO PANADRRO</v>
      </c>
      <c r="I526" s="149" t="s">
        <v>988</v>
      </c>
      <c r="J526" s="153" t="s">
        <v>532</v>
      </c>
      <c r="K526" s="149" t="s">
        <v>1256</v>
      </c>
      <c r="L526" s="157">
        <v>45401</v>
      </c>
      <c r="M526" s="158"/>
      <c r="N526" s="163">
        <v>2</v>
      </c>
      <c r="O526" s="165" t="s">
        <v>446</v>
      </c>
      <c r="P526" s="161">
        <v>3604.55</v>
      </c>
      <c r="Q526" s="170">
        <v>45335</v>
      </c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</row>
    <row r="527" spans="1:27">
      <c r="A527" s="154">
        <v>4</v>
      </c>
      <c r="B527" s="155" t="s">
        <v>1147</v>
      </c>
      <c r="C527" s="156">
        <v>45383</v>
      </c>
      <c r="D527" s="155" t="s">
        <v>440</v>
      </c>
      <c r="E527" s="176" t="s">
        <v>311</v>
      </c>
      <c r="F527" s="149" t="s">
        <v>441</v>
      </c>
      <c r="G527" s="149" t="s">
        <v>442</v>
      </c>
      <c r="H527" s="149" t="str">
        <f t="shared" si="2"/>
        <v>PALOMA MARTÍN- ARAGÓN MARTIÍ</v>
      </c>
      <c r="I527" s="149" t="s">
        <v>643</v>
      </c>
      <c r="J527" s="153" t="s">
        <v>444</v>
      </c>
      <c r="K527" s="149" t="s">
        <v>1257</v>
      </c>
      <c r="L527" s="157">
        <v>45401</v>
      </c>
      <c r="M527" s="158"/>
      <c r="N527" s="163">
        <v>2</v>
      </c>
      <c r="O527" s="165" t="s">
        <v>446</v>
      </c>
      <c r="P527" s="161">
        <v>3604.55</v>
      </c>
      <c r="Q527" s="170">
        <v>45383</v>
      </c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</row>
    <row r="528" spans="1:27">
      <c r="A528" s="154">
        <v>4</v>
      </c>
      <c r="B528" s="155" t="s">
        <v>1147</v>
      </c>
      <c r="C528" s="156">
        <v>45355</v>
      </c>
      <c r="D528" s="155" t="s">
        <v>440</v>
      </c>
      <c r="E528" s="149" t="s">
        <v>501</v>
      </c>
      <c r="F528" s="149" t="s">
        <v>441</v>
      </c>
      <c r="G528" s="149" t="s">
        <v>442</v>
      </c>
      <c r="H528" s="149" t="str">
        <f t="shared" si="2"/>
        <v>FERNANDO SALAZAR BARCELONA</v>
      </c>
      <c r="I528" s="149" t="s">
        <v>502</v>
      </c>
      <c r="J528" s="153" t="s">
        <v>548</v>
      </c>
      <c r="K528" s="149" t="s">
        <v>1258</v>
      </c>
      <c r="L528" s="157">
        <v>45401</v>
      </c>
      <c r="M528" s="158"/>
      <c r="N528" s="163">
        <v>2</v>
      </c>
      <c r="O528" s="165" t="s">
        <v>446</v>
      </c>
      <c r="P528" s="161">
        <v>3090.91</v>
      </c>
      <c r="Q528" s="170">
        <v>45355</v>
      </c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</row>
    <row r="529" spans="1:27">
      <c r="A529" s="154">
        <v>4</v>
      </c>
      <c r="B529" s="155" t="s">
        <v>1147</v>
      </c>
      <c r="C529" s="156">
        <v>45336</v>
      </c>
      <c r="D529" s="155" t="s">
        <v>440</v>
      </c>
      <c r="E529" s="149" t="s">
        <v>309</v>
      </c>
      <c r="F529" s="149" t="s">
        <v>441</v>
      </c>
      <c r="G529" s="149" t="s">
        <v>442</v>
      </c>
      <c r="H529" s="149" t="str">
        <f t="shared" si="2"/>
        <v>CÉSAR CHARLES MARTÍNEZ</v>
      </c>
      <c r="I529" s="149" t="s">
        <v>495</v>
      </c>
      <c r="J529" s="153" t="s">
        <v>444</v>
      </c>
      <c r="K529" s="149" t="s">
        <v>1259</v>
      </c>
      <c r="L529" s="157">
        <v>45401</v>
      </c>
      <c r="M529" s="164"/>
      <c r="N529" s="163">
        <v>2</v>
      </c>
      <c r="O529" s="165" t="s">
        <v>449</v>
      </c>
      <c r="P529" s="161">
        <v>2780.87</v>
      </c>
      <c r="Q529" s="170">
        <v>45336</v>
      </c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</row>
    <row r="530" spans="1:27">
      <c r="A530" s="154">
        <v>4</v>
      </c>
      <c r="B530" s="155" t="s">
        <v>1147</v>
      </c>
      <c r="C530" s="156">
        <v>45341</v>
      </c>
      <c r="D530" s="155" t="s">
        <v>440</v>
      </c>
      <c r="E530" s="149" t="s">
        <v>313</v>
      </c>
      <c r="F530" s="149" t="s">
        <v>441</v>
      </c>
      <c r="G530" s="149" t="s">
        <v>442</v>
      </c>
      <c r="H530" s="149" t="str">
        <f t="shared" si="2"/>
        <v>MANUEL GUTIERREZ TRIGUERO</v>
      </c>
      <c r="I530" s="149" t="s">
        <v>1074</v>
      </c>
      <c r="J530" s="153" t="s">
        <v>444</v>
      </c>
      <c r="K530" s="149" t="s">
        <v>1260</v>
      </c>
      <c r="L530" s="157">
        <v>45401</v>
      </c>
      <c r="M530" s="158"/>
      <c r="N530" s="163">
        <v>2</v>
      </c>
      <c r="O530" s="165" t="s">
        <v>449</v>
      </c>
      <c r="P530" s="161">
        <v>2780.91</v>
      </c>
      <c r="Q530" s="170">
        <v>45341</v>
      </c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</row>
    <row r="531" spans="1:27">
      <c r="A531" s="154">
        <v>4</v>
      </c>
      <c r="B531" s="155" t="s">
        <v>1147</v>
      </c>
      <c r="C531" s="156">
        <v>45359</v>
      </c>
      <c r="D531" s="155" t="s">
        <v>440</v>
      </c>
      <c r="E531" s="149" t="s">
        <v>102</v>
      </c>
      <c r="F531" s="149" t="s">
        <v>441</v>
      </c>
      <c r="G531" s="149" t="s">
        <v>442</v>
      </c>
      <c r="H531" s="149" t="str">
        <f t="shared" si="2"/>
        <v>JUAN JAVIER ÁLVAREZ LÓPEZ</v>
      </c>
      <c r="I531" s="149" t="s">
        <v>664</v>
      </c>
      <c r="J531" s="153" t="s">
        <v>462</v>
      </c>
      <c r="K531" s="149" t="s">
        <v>1261</v>
      </c>
      <c r="L531" s="157">
        <v>45401</v>
      </c>
      <c r="M531" s="164"/>
      <c r="N531" s="163">
        <v>2</v>
      </c>
      <c r="O531" s="165" t="s">
        <v>446</v>
      </c>
      <c r="P531" s="161">
        <v>3422.73</v>
      </c>
      <c r="Q531" s="170">
        <v>45359</v>
      </c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</row>
    <row r="532" spans="1:27">
      <c r="A532" s="154">
        <v>4</v>
      </c>
      <c r="B532" s="155" t="s">
        <v>1147</v>
      </c>
      <c r="C532" s="156">
        <v>45257</v>
      </c>
      <c r="D532" s="155" t="s">
        <v>440</v>
      </c>
      <c r="E532" s="149" t="s">
        <v>122</v>
      </c>
      <c r="F532" s="149" t="s">
        <v>441</v>
      </c>
      <c r="G532" s="149" t="s">
        <v>442</v>
      </c>
      <c r="H532" s="149" t="str">
        <f t="shared" si="2"/>
        <v>MAR LASSO DE LA VEGA ZAMORA</v>
      </c>
      <c r="I532" s="149" t="s">
        <v>909</v>
      </c>
      <c r="J532" s="153" t="s">
        <v>444</v>
      </c>
      <c r="K532" s="149" t="s">
        <v>1262</v>
      </c>
      <c r="L532" s="157">
        <v>45404</v>
      </c>
      <c r="M532" s="164"/>
      <c r="N532" s="163">
        <v>1</v>
      </c>
      <c r="O532" s="165" t="s">
        <v>446</v>
      </c>
      <c r="P532" s="161">
        <v>2054.5500000000002</v>
      </c>
      <c r="Q532" s="170">
        <v>45257</v>
      </c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</row>
    <row r="533" spans="1:27">
      <c r="A533" s="154">
        <v>4</v>
      </c>
      <c r="B533" s="155" t="s">
        <v>1147</v>
      </c>
      <c r="C533" s="156">
        <v>45384</v>
      </c>
      <c r="D533" s="155" t="s">
        <v>440</v>
      </c>
      <c r="E533" s="149" t="s">
        <v>501</v>
      </c>
      <c r="F533" s="149" t="s">
        <v>441</v>
      </c>
      <c r="G533" s="149" t="s">
        <v>442</v>
      </c>
      <c r="H533" s="149" t="str">
        <f t="shared" si="2"/>
        <v>FRANCISCO JAVIER MOLLA RUDIEZ</v>
      </c>
      <c r="I533" s="149" t="s">
        <v>1263</v>
      </c>
      <c r="J533" s="153" t="s">
        <v>548</v>
      </c>
      <c r="K533" s="149" t="s">
        <v>1264</v>
      </c>
      <c r="L533" s="157">
        <v>45404</v>
      </c>
      <c r="M533" s="164"/>
      <c r="N533" s="163">
        <v>2</v>
      </c>
      <c r="O533" s="165" t="s">
        <v>466</v>
      </c>
      <c r="P533" s="161">
        <v>3545.45</v>
      </c>
      <c r="Q533" s="170">
        <v>45384</v>
      </c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</row>
    <row r="534" spans="1:27">
      <c r="A534" s="154">
        <v>4</v>
      </c>
      <c r="B534" s="155" t="s">
        <v>1147</v>
      </c>
      <c r="C534" s="156">
        <v>45356</v>
      </c>
      <c r="D534" s="155" t="s">
        <v>440</v>
      </c>
      <c r="E534" s="149" t="s">
        <v>271</v>
      </c>
      <c r="F534" s="149" t="s">
        <v>441</v>
      </c>
      <c r="G534" s="149" t="s">
        <v>442</v>
      </c>
      <c r="H534" s="149" t="str">
        <f t="shared" si="2"/>
        <v>Alejandro Harguindey Antoli-Candela</v>
      </c>
      <c r="I534" s="149" t="s">
        <v>528</v>
      </c>
      <c r="J534" s="153" t="s">
        <v>444</v>
      </c>
      <c r="K534" s="149" t="s">
        <v>1265</v>
      </c>
      <c r="L534" s="157">
        <v>45404</v>
      </c>
      <c r="M534" s="158"/>
      <c r="N534" s="163">
        <v>2</v>
      </c>
      <c r="O534" s="165" t="s">
        <v>513</v>
      </c>
      <c r="P534" s="161">
        <v>4980.91</v>
      </c>
      <c r="Q534" s="170">
        <v>45356</v>
      </c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</row>
    <row r="535" spans="1:27">
      <c r="A535" s="154">
        <v>4</v>
      </c>
      <c r="B535" s="155" t="s">
        <v>1147</v>
      </c>
      <c r="C535" s="156">
        <v>45358</v>
      </c>
      <c r="D535" s="155" t="s">
        <v>440</v>
      </c>
      <c r="E535" s="149" t="s">
        <v>309</v>
      </c>
      <c r="F535" s="149" t="s">
        <v>441</v>
      </c>
      <c r="G535" s="149" t="s">
        <v>442</v>
      </c>
      <c r="H535" s="149" t="str">
        <f t="shared" si="2"/>
        <v>RICARDO GONZÁLEZ-ORUS</v>
      </c>
      <c r="I535" s="149" t="s">
        <v>1266</v>
      </c>
      <c r="J535" s="153" t="s">
        <v>444</v>
      </c>
      <c r="K535" s="149" t="s">
        <v>1267</v>
      </c>
      <c r="L535" s="157">
        <v>45404</v>
      </c>
      <c r="M535" s="158"/>
      <c r="N535" s="163">
        <v>2</v>
      </c>
      <c r="O535" s="165" t="s">
        <v>449</v>
      </c>
      <c r="P535" s="161">
        <v>2780.91</v>
      </c>
      <c r="Q535" s="170">
        <v>45358</v>
      </c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</row>
    <row r="536" spans="1:27">
      <c r="A536" s="154">
        <v>4</v>
      </c>
      <c r="B536" s="155" t="s">
        <v>1147</v>
      </c>
      <c r="C536" s="156">
        <v>45337</v>
      </c>
      <c r="D536" s="155" t="s">
        <v>440</v>
      </c>
      <c r="E536" s="149" t="s">
        <v>475</v>
      </c>
      <c r="F536" s="149" t="s">
        <v>441</v>
      </c>
      <c r="G536" s="149" t="s">
        <v>442</v>
      </c>
      <c r="H536" s="149" t="str">
        <f t="shared" si="2"/>
        <v>JESÚS SAN ROMÁN CARBAJO</v>
      </c>
      <c r="I536" s="149" t="s">
        <v>1268</v>
      </c>
      <c r="J536" s="153" t="s">
        <v>473</v>
      </c>
      <c r="K536" s="149" t="s">
        <v>1269</v>
      </c>
      <c r="L536" s="157">
        <v>45404</v>
      </c>
      <c r="M536" s="158"/>
      <c r="N536" s="163">
        <v>2</v>
      </c>
      <c r="O536" s="165" t="s">
        <v>446</v>
      </c>
      <c r="P536" s="161">
        <v>3909.09</v>
      </c>
      <c r="Q536" s="170">
        <v>45337</v>
      </c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</row>
    <row r="537" spans="1:27">
      <c r="A537" s="154">
        <v>4</v>
      </c>
      <c r="B537" s="155" t="s">
        <v>1147</v>
      </c>
      <c r="C537" s="156">
        <v>45357</v>
      </c>
      <c r="D537" s="155" t="s">
        <v>440</v>
      </c>
      <c r="E537" s="149" t="s">
        <v>475</v>
      </c>
      <c r="F537" s="149" t="s">
        <v>441</v>
      </c>
      <c r="G537" s="149" t="s">
        <v>442</v>
      </c>
      <c r="H537" s="149" t="str">
        <f t="shared" si="2"/>
        <v>MÓNICA GRANDA ROSALES</v>
      </c>
      <c r="I537" s="149" t="s">
        <v>476</v>
      </c>
      <c r="J537" s="153" t="s">
        <v>473</v>
      </c>
      <c r="K537" s="149" t="s">
        <v>1270</v>
      </c>
      <c r="L537" s="157">
        <v>45404</v>
      </c>
      <c r="M537" s="158"/>
      <c r="N537" s="163">
        <v>2</v>
      </c>
      <c r="O537" s="165" t="s">
        <v>446</v>
      </c>
      <c r="P537" s="161">
        <v>3909.09</v>
      </c>
      <c r="Q537" s="170">
        <v>45357</v>
      </c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</row>
    <row r="538" spans="1:27">
      <c r="A538" s="154">
        <v>4</v>
      </c>
      <c r="B538" s="155" t="s">
        <v>1147</v>
      </c>
      <c r="C538" s="156">
        <v>45372</v>
      </c>
      <c r="D538" s="155" t="s">
        <v>440</v>
      </c>
      <c r="E538" s="149" t="s">
        <v>150</v>
      </c>
      <c r="F538" s="149" t="s">
        <v>441</v>
      </c>
      <c r="G538" s="149" t="s">
        <v>442</v>
      </c>
      <c r="H538" s="149" t="str">
        <f t="shared" si="2"/>
        <v>JEAN FRANCO INTRAPRENDENTE MARTINI</v>
      </c>
      <c r="I538" s="149" t="s">
        <v>1271</v>
      </c>
      <c r="J538" s="153" t="s">
        <v>636</v>
      </c>
      <c r="K538" s="149" t="s">
        <v>1272</v>
      </c>
      <c r="L538" s="157">
        <v>45404</v>
      </c>
      <c r="M538" s="158"/>
      <c r="N538" s="163">
        <v>2</v>
      </c>
      <c r="O538" s="165" t="s">
        <v>446</v>
      </c>
      <c r="P538" s="161">
        <v>3604.55</v>
      </c>
      <c r="Q538" s="170">
        <v>45372</v>
      </c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</row>
    <row r="539" spans="1:27">
      <c r="A539" s="154">
        <v>4</v>
      </c>
      <c r="B539" s="155" t="s">
        <v>1147</v>
      </c>
      <c r="C539" s="156">
        <v>45364</v>
      </c>
      <c r="D539" s="155" t="s">
        <v>440</v>
      </c>
      <c r="E539" s="149" t="s">
        <v>930</v>
      </c>
      <c r="F539" s="149" t="s">
        <v>441</v>
      </c>
      <c r="G539" s="149" t="s">
        <v>442</v>
      </c>
      <c r="H539" s="149" t="str">
        <f t="shared" si="2"/>
        <v>ENRIQUE ROMERO VAN ABELEEN</v>
      </c>
      <c r="I539" s="149" t="s">
        <v>1273</v>
      </c>
      <c r="J539" s="153" t="s">
        <v>532</v>
      </c>
      <c r="K539" s="149" t="s">
        <v>1274</v>
      </c>
      <c r="L539" s="157">
        <v>45404</v>
      </c>
      <c r="M539" s="158"/>
      <c r="N539" s="163">
        <v>2</v>
      </c>
      <c r="O539" s="165" t="s">
        <v>466</v>
      </c>
      <c r="P539" s="161">
        <v>4222.7299999999996</v>
      </c>
      <c r="Q539" s="170">
        <v>45364</v>
      </c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</row>
    <row r="540" spans="1:27">
      <c r="A540" s="154">
        <v>4</v>
      </c>
      <c r="B540" s="155" t="s">
        <v>1147</v>
      </c>
      <c r="C540" s="156">
        <v>45371</v>
      </c>
      <c r="D540" s="155" t="s">
        <v>440</v>
      </c>
      <c r="E540" s="149" t="s">
        <v>92</v>
      </c>
      <c r="F540" s="149" t="s">
        <v>441</v>
      </c>
      <c r="G540" s="149" t="s">
        <v>442</v>
      </c>
      <c r="H540" s="149" t="str">
        <f t="shared" si="2"/>
        <v>JAVIER GARCÍA-DUEÑAS GONZÁLEZ</v>
      </c>
      <c r="I540" s="149" t="s">
        <v>1122</v>
      </c>
      <c r="J540" s="153" t="s">
        <v>462</v>
      </c>
      <c r="K540" s="149" t="s">
        <v>1275</v>
      </c>
      <c r="L540" s="157">
        <v>45405</v>
      </c>
      <c r="M540" s="158"/>
      <c r="N540" s="163">
        <v>2</v>
      </c>
      <c r="O540" s="165" t="s">
        <v>466</v>
      </c>
      <c r="P540" s="161">
        <v>4222.7299999999996</v>
      </c>
      <c r="Q540" s="170">
        <v>45371</v>
      </c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</row>
    <row r="541" spans="1:27">
      <c r="A541" s="154">
        <v>4</v>
      </c>
      <c r="B541" s="155" t="s">
        <v>1147</v>
      </c>
      <c r="C541" s="156">
        <v>45384</v>
      </c>
      <c r="D541" s="155" t="s">
        <v>440</v>
      </c>
      <c r="E541" s="149" t="s">
        <v>460</v>
      </c>
      <c r="F541" s="149" t="s">
        <v>441</v>
      </c>
      <c r="G541" s="149" t="s">
        <v>442</v>
      </c>
      <c r="H541" s="149" t="str">
        <f t="shared" si="2"/>
        <v>ISABEL POLO TOMÁS</v>
      </c>
      <c r="I541" s="149" t="s">
        <v>638</v>
      </c>
      <c r="J541" s="153" t="s">
        <v>462</v>
      </c>
      <c r="K541" s="149" t="s">
        <v>1276</v>
      </c>
      <c r="L541" s="157">
        <v>45405</v>
      </c>
      <c r="M541" s="158"/>
      <c r="N541" s="163">
        <v>2</v>
      </c>
      <c r="O541" s="165" t="s">
        <v>446</v>
      </c>
      <c r="P541" s="161">
        <v>3604.55</v>
      </c>
      <c r="Q541" s="170">
        <v>45384</v>
      </c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</row>
    <row r="542" spans="1:27">
      <c r="A542" s="154">
        <v>4</v>
      </c>
      <c r="B542" s="155" t="s">
        <v>1147</v>
      </c>
      <c r="C542" s="156">
        <v>45356</v>
      </c>
      <c r="D542" s="155" t="s">
        <v>440</v>
      </c>
      <c r="E542" s="149" t="s">
        <v>310</v>
      </c>
      <c r="F542" s="149" t="s">
        <v>441</v>
      </c>
      <c r="G542" s="149" t="s">
        <v>442</v>
      </c>
      <c r="H542" s="149" t="str">
        <f t="shared" si="2"/>
        <v>GABRIEL PEDRMONTE SARRIAS</v>
      </c>
      <c r="I542" s="149" t="s">
        <v>1277</v>
      </c>
      <c r="J542" s="149" t="s">
        <v>532</v>
      </c>
      <c r="K542" s="149" t="s">
        <v>1278</v>
      </c>
      <c r="L542" s="157">
        <v>45405</v>
      </c>
      <c r="M542" s="158"/>
      <c r="N542" s="163">
        <v>2</v>
      </c>
      <c r="O542" s="165" t="s">
        <v>449</v>
      </c>
      <c r="P542" s="161">
        <v>2780.91</v>
      </c>
      <c r="Q542" s="170">
        <v>45356</v>
      </c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</row>
    <row r="543" spans="1:27">
      <c r="A543" s="154">
        <v>4</v>
      </c>
      <c r="B543" s="155" t="s">
        <v>1147</v>
      </c>
      <c r="C543" s="156">
        <v>45384</v>
      </c>
      <c r="D543" s="155" t="s">
        <v>440</v>
      </c>
      <c r="E543" s="149" t="s">
        <v>604</v>
      </c>
      <c r="F543" s="149" t="s">
        <v>441</v>
      </c>
      <c r="G543" s="149" t="s">
        <v>442</v>
      </c>
      <c r="H543" s="149" t="str">
        <f t="shared" si="2"/>
        <v>ISABEL VAAMONDE SANCHEZ ANDRADE</v>
      </c>
      <c r="I543" s="149" t="s">
        <v>814</v>
      </c>
      <c r="J543" s="153" t="s">
        <v>516</v>
      </c>
      <c r="K543" s="149" t="s">
        <v>1279</v>
      </c>
      <c r="L543" s="157">
        <v>45405</v>
      </c>
      <c r="M543" s="158"/>
      <c r="N543" s="163">
        <v>2</v>
      </c>
      <c r="O543" s="165" t="s">
        <v>518</v>
      </c>
      <c r="P543" s="161">
        <v>890.91</v>
      </c>
      <c r="Q543" s="170">
        <v>45384</v>
      </c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</row>
    <row r="544" spans="1:27">
      <c r="A544" s="154">
        <v>4</v>
      </c>
      <c r="B544" s="155" t="s">
        <v>1147</v>
      </c>
      <c r="C544" s="156">
        <v>45387</v>
      </c>
      <c r="D544" s="166" t="s">
        <v>440</v>
      </c>
      <c r="E544" s="149" t="s">
        <v>315</v>
      </c>
      <c r="F544" s="149" t="s">
        <v>441</v>
      </c>
      <c r="G544" s="149" t="s">
        <v>442</v>
      </c>
      <c r="H544" s="149" t="str">
        <f t="shared" si="2"/>
        <v>JOSÉ GUSTAVO BARROSO BRAOJOS</v>
      </c>
      <c r="I544" s="149" t="s">
        <v>560</v>
      </c>
      <c r="J544" s="149" t="s">
        <v>444</v>
      </c>
      <c r="K544" s="149" t="s">
        <v>1280</v>
      </c>
      <c r="L544" s="157">
        <v>45405</v>
      </c>
      <c r="M544" s="158"/>
      <c r="N544" s="163">
        <v>2</v>
      </c>
      <c r="O544" s="165" t="s">
        <v>446</v>
      </c>
      <c r="P544" s="161">
        <v>3604.55</v>
      </c>
      <c r="Q544" s="170">
        <v>45387</v>
      </c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</row>
    <row r="545" spans="1:27">
      <c r="A545" s="154">
        <v>4</v>
      </c>
      <c r="B545" s="155" t="s">
        <v>1147</v>
      </c>
      <c r="C545" s="156">
        <v>45345</v>
      </c>
      <c r="D545" s="155" t="s">
        <v>440</v>
      </c>
      <c r="E545" s="149" t="s">
        <v>271</v>
      </c>
      <c r="F545" s="149" t="s">
        <v>441</v>
      </c>
      <c r="G545" s="149" t="s">
        <v>442</v>
      </c>
      <c r="H545" s="149" t="str">
        <f t="shared" si="2"/>
        <v>ALICIA SUÁREZ CALVO</v>
      </c>
      <c r="I545" s="149" t="s">
        <v>1281</v>
      </c>
      <c r="J545" s="153" t="s">
        <v>548</v>
      </c>
      <c r="K545" s="149" t="s">
        <v>1282</v>
      </c>
      <c r="L545" s="157">
        <v>45405</v>
      </c>
      <c r="M545" s="158"/>
      <c r="N545" s="163">
        <v>2</v>
      </c>
      <c r="O545" s="165" t="s">
        <v>449</v>
      </c>
      <c r="P545" s="161">
        <v>2780.91</v>
      </c>
      <c r="Q545" s="170">
        <v>45345</v>
      </c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</row>
    <row r="546" spans="1:27">
      <c r="A546" s="154">
        <v>4</v>
      </c>
      <c r="B546" s="155" t="s">
        <v>1147</v>
      </c>
      <c r="C546" s="156">
        <v>45373</v>
      </c>
      <c r="D546" s="166" t="s">
        <v>440</v>
      </c>
      <c r="E546" s="149" t="s">
        <v>98</v>
      </c>
      <c r="F546" s="149" t="s">
        <v>441</v>
      </c>
      <c r="G546" s="149" t="s">
        <v>442</v>
      </c>
      <c r="H546" s="149" t="str">
        <f t="shared" si="2"/>
        <v>MARÍA AGUSTINA SEVILLA GARCÍA</v>
      </c>
      <c r="I546" s="149" t="s">
        <v>538</v>
      </c>
      <c r="J546" s="149" t="s">
        <v>462</v>
      </c>
      <c r="K546" s="149" t="s">
        <v>1283</v>
      </c>
      <c r="L546" s="157">
        <v>45405</v>
      </c>
      <c r="M546" s="158"/>
      <c r="N546" s="163">
        <v>2</v>
      </c>
      <c r="O546" s="165" t="s">
        <v>449</v>
      </c>
      <c r="P546" s="161">
        <v>2780.91</v>
      </c>
      <c r="Q546" s="170">
        <v>45373</v>
      </c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</row>
    <row r="547" spans="1:27">
      <c r="A547" s="154">
        <v>4</v>
      </c>
      <c r="B547" s="155" t="s">
        <v>1147</v>
      </c>
      <c r="C547" s="156">
        <v>45370</v>
      </c>
      <c r="D547" s="155" t="s">
        <v>440</v>
      </c>
      <c r="E547" s="149" t="s">
        <v>201</v>
      </c>
      <c r="F547" s="149" t="s">
        <v>441</v>
      </c>
      <c r="G547" s="149" t="s">
        <v>442</v>
      </c>
      <c r="H547" s="149" t="str">
        <f t="shared" si="2"/>
        <v>AINHOA MORENO BRAVO</v>
      </c>
      <c r="I547" s="149" t="s">
        <v>741</v>
      </c>
      <c r="J547" s="153" t="s">
        <v>548</v>
      </c>
      <c r="K547" s="149" t="s">
        <v>1284</v>
      </c>
      <c r="L547" s="157">
        <v>45405</v>
      </c>
      <c r="M547" s="158"/>
      <c r="N547" s="163">
        <v>2</v>
      </c>
      <c r="O547" s="165" t="s">
        <v>446</v>
      </c>
      <c r="P547" s="161">
        <v>3424.33</v>
      </c>
      <c r="Q547" s="170">
        <v>45370</v>
      </c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</row>
    <row r="548" spans="1:27">
      <c r="A548" s="154">
        <v>4</v>
      </c>
      <c r="B548" s="155" t="s">
        <v>1147</v>
      </c>
      <c r="C548" s="156">
        <v>45383</v>
      </c>
      <c r="D548" s="155" t="s">
        <v>440</v>
      </c>
      <c r="E548" s="149" t="s">
        <v>115</v>
      </c>
      <c r="F548" s="149" t="s">
        <v>441</v>
      </c>
      <c r="G548" s="149" t="s">
        <v>442</v>
      </c>
      <c r="H548" s="149" t="str">
        <f t="shared" si="2"/>
        <v>STEPHANY RODRÍGUEZ MATA</v>
      </c>
      <c r="I548" s="149" t="s">
        <v>1062</v>
      </c>
      <c r="J548" s="153" t="s">
        <v>444</v>
      </c>
      <c r="K548" s="149" t="s">
        <v>1285</v>
      </c>
      <c r="L548" s="157">
        <v>45405</v>
      </c>
      <c r="M548" s="158"/>
      <c r="N548" s="163">
        <v>2</v>
      </c>
      <c r="O548" s="165" t="s">
        <v>449</v>
      </c>
      <c r="P548" s="161">
        <v>2780.91</v>
      </c>
      <c r="Q548" s="170">
        <v>45383</v>
      </c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</row>
    <row r="549" spans="1:27">
      <c r="A549" s="154">
        <v>4</v>
      </c>
      <c r="B549" s="155" t="s">
        <v>1147</v>
      </c>
      <c r="C549" s="156">
        <v>45372</v>
      </c>
      <c r="D549" s="155" t="s">
        <v>440</v>
      </c>
      <c r="E549" s="149" t="s">
        <v>460</v>
      </c>
      <c r="F549" s="149" t="s">
        <v>441</v>
      </c>
      <c r="G549" s="149" t="s">
        <v>442</v>
      </c>
      <c r="H549" s="149" t="str">
        <f t="shared" si="2"/>
        <v>CARLOS VELÁSQUEZ FERMÍN</v>
      </c>
      <c r="I549" s="149" t="s">
        <v>831</v>
      </c>
      <c r="J549" s="153" t="s">
        <v>462</v>
      </c>
      <c r="K549" s="149" t="s">
        <v>1286</v>
      </c>
      <c r="L549" s="157">
        <v>45406</v>
      </c>
      <c r="M549" s="164"/>
      <c r="N549" s="163">
        <v>1</v>
      </c>
      <c r="O549" s="165" t="s">
        <v>446</v>
      </c>
      <c r="P549" s="161">
        <v>2162.73</v>
      </c>
      <c r="Q549" s="170">
        <v>45372</v>
      </c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</row>
    <row r="550" spans="1:27">
      <c r="A550" s="154">
        <v>4</v>
      </c>
      <c r="B550" s="155" t="s">
        <v>1147</v>
      </c>
      <c r="C550" s="156">
        <v>45370</v>
      </c>
      <c r="D550" s="155" t="s">
        <v>440</v>
      </c>
      <c r="E550" s="149" t="s">
        <v>311</v>
      </c>
      <c r="F550" s="149" t="s">
        <v>441</v>
      </c>
      <c r="G550" s="149" t="s">
        <v>442</v>
      </c>
      <c r="H550" s="149" t="str">
        <f t="shared" si="2"/>
        <v>ADRIANA PARDO MAZA</v>
      </c>
      <c r="I550" s="149" t="s">
        <v>1287</v>
      </c>
      <c r="J550" s="153" t="s">
        <v>444</v>
      </c>
      <c r="K550" s="149" t="s">
        <v>1288</v>
      </c>
      <c r="L550" s="157">
        <v>45406</v>
      </c>
      <c r="M550" s="164"/>
      <c r="N550" s="163">
        <v>2</v>
      </c>
      <c r="O550" s="165" t="s">
        <v>446</v>
      </c>
      <c r="P550" s="161">
        <v>3711.82</v>
      </c>
      <c r="Q550" s="170">
        <v>45370</v>
      </c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</row>
    <row r="551" spans="1:27">
      <c r="A551" s="154">
        <v>4</v>
      </c>
      <c r="B551" s="155" t="s">
        <v>1147</v>
      </c>
      <c r="C551" s="156">
        <v>45387</v>
      </c>
      <c r="D551" s="155" t="s">
        <v>440</v>
      </c>
      <c r="E551" s="149" t="s">
        <v>122</v>
      </c>
      <c r="F551" s="149" t="s">
        <v>441</v>
      </c>
      <c r="G551" s="149" t="s">
        <v>442</v>
      </c>
      <c r="H551" s="149" t="str">
        <f t="shared" si="2"/>
        <v>MAR LASSO DE LA VEGA ZAMORA</v>
      </c>
      <c r="I551" s="149" t="s">
        <v>909</v>
      </c>
      <c r="J551" s="153" t="s">
        <v>444</v>
      </c>
      <c r="K551" s="149" t="s">
        <v>1289</v>
      </c>
      <c r="L551" s="157">
        <v>45406</v>
      </c>
      <c r="M551" s="164"/>
      <c r="N551" s="163">
        <v>2</v>
      </c>
      <c r="O551" s="165" t="s">
        <v>446</v>
      </c>
      <c r="P551" s="161">
        <v>3604.55</v>
      </c>
      <c r="Q551" s="170">
        <v>45387</v>
      </c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</row>
    <row r="552" spans="1:27">
      <c r="A552" s="154">
        <v>4</v>
      </c>
      <c r="B552" s="155" t="s">
        <v>1147</v>
      </c>
      <c r="C552" s="156">
        <v>45384</v>
      </c>
      <c r="D552" s="155" t="s">
        <v>440</v>
      </c>
      <c r="E552" s="177" t="s">
        <v>122</v>
      </c>
      <c r="F552" s="177" t="s">
        <v>441</v>
      </c>
      <c r="G552" s="177" t="s">
        <v>442</v>
      </c>
      <c r="H552" s="149" t="str">
        <f t="shared" si="2"/>
        <v>ANA RUIZ FORNELLS NOREÑA</v>
      </c>
      <c r="I552" s="177" t="s">
        <v>836</v>
      </c>
      <c r="J552" s="153" t="s">
        <v>444</v>
      </c>
      <c r="K552" s="177" t="s">
        <v>1290</v>
      </c>
      <c r="L552" s="178">
        <v>45406</v>
      </c>
      <c r="M552" s="179"/>
      <c r="N552" s="180">
        <v>2</v>
      </c>
      <c r="O552" s="181" t="s">
        <v>466</v>
      </c>
      <c r="P552" s="182">
        <v>4222.7299999999996</v>
      </c>
      <c r="Q552" s="170">
        <v>45384</v>
      </c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</row>
    <row r="553" spans="1:27">
      <c r="A553" s="154">
        <v>4</v>
      </c>
      <c r="B553" s="155" t="s">
        <v>1147</v>
      </c>
      <c r="C553" s="156">
        <v>44525</v>
      </c>
      <c r="D553" s="155" t="s">
        <v>440</v>
      </c>
      <c r="E553" s="149" t="s">
        <v>158</v>
      </c>
      <c r="F553" s="149" t="s">
        <v>441</v>
      </c>
      <c r="G553" s="149" t="s">
        <v>442</v>
      </c>
      <c r="H553" s="149" t="str">
        <f t="shared" si="2"/>
        <v>CARLOS BARAJAS DEL ROSAL</v>
      </c>
      <c r="I553" s="149" t="s">
        <v>660</v>
      </c>
      <c r="J553" s="153" t="s">
        <v>548</v>
      </c>
      <c r="K553" s="149" t="s">
        <v>1291</v>
      </c>
      <c r="L553" s="157">
        <v>45406</v>
      </c>
      <c r="M553" s="158"/>
      <c r="N553" s="163">
        <v>1</v>
      </c>
      <c r="O553" s="165" t="s">
        <v>466</v>
      </c>
      <c r="P553" s="161">
        <v>2263.64</v>
      </c>
      <c r="Q553" s="170">
        <v>44525</v>
      </c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</row>
    <row r="554" spans="1:27">
      <c r="A554" s="154">
        <v>4</v>
      </c>
      <c r="B554" s="155" t="s">
        <v>1147</v>
      </c>
      <c r="C554" s="156">
        <v>45349</v>
      </c>
      <c r="D554" s="155" t="s">
        <v>440</v>
      </c>
      <c r="E554" s="149" t="s">
        <v>158</v>
      </c>
      <c r="F554" s="149" t="s">
        <v>441</v>
      </c>
      <c r="G554" s="149" t="s">
        <v>442</v>
      </c>
      <c r="H554" s="149" t="str">
        <f t="shared" si="2"/>
        <v>GUILLERMO SAN JUAN DE LA MORETA</v>
      </c>
      <c r="I554" s="149" t="s">
        <v>826</v>
      </c>
      <c r="J554" s="153" t="s">
        <v>444</v>
      </c>
      <c r="K554" s="149" t="s">
        <v>1292</v>
      </c>
      <c r="L554" s="157">
        <v>45406</v>
      </c>
      <c r="M554" s="158"/>
      <c r="N554" s="163">
        <v>2</v>
      </c>
      <c r="O554" s="165" t="s">
        <v>466</v>
      </c>
      <c r="P554" s="161">
        <v>4222.7299999999996</v>
      </c>
      <c r="Q554" s="170">
        <v>45349</v>
      </c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</row>
    <row r="555" spans="1:27">
      <c r="A555" s="154">
        <v>4</v>
      </c>
      <c r="B555" s="155" t="s">
        <v>1147</v>
      </c>
      <c r="C555" s="156">
        <v>45322</v>
      </c>
      <c r="D555" s="155" t="s">
        <v>440</v>
      </c>
      <c r="E555" s="149" t="s">
        <v>313</v>
      </c>
      <c r="F555" s="149" t="s">
        <v>441</v>
      </c>
      <c r="G555" s="149" t="s">
        <v>442</v>
      </c>
      <c r="H555" s="149" t="str">
        <f t="shared" si="2"/>
        <v>IGNACIO ARISTEGUI TORRANO</v>
      </c>
      <c r="I555" s="149" t="s">
        <v>1293</v>
      </c>
      <c r="J555" s="153" t="s">
        <v>444</v>
      </c>
      <c r="K555" s="149" t="s">
        <v>1294</v>
      </c>
      <c r="L555" s="157">
        <v>45406</v>
      </c>
      <c r="M555" s="164"/>
      <c r="N555" s="163">
        <v>2</v>
      </c>
      <c r="O555" s="165" t="s">
        <v>446</v>
      </c>
      <c r="P555" s="161">
        <v>3604.55</v>
      </c>
      <c r="Q555" s="170">
        <v>45322</v>
      </c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</row>
    <row r="556" spans="1:27">
      <c r="A556" s="154">
        <v>4</v>
      </c>
      <c r="B556" s="155" t="s">
        <v>1147</v>
      </c>
      <c r="C556" s="156">
        <v>45366</v>
      </c>
      <c r="D556" s="155" t="s">
        <v>440</v>
      </c>
      <c r="E556" s="149" t="s">
        <v>102</v>
      </c>
      <c r="F556" s="149" t="s">
        <v>441</v>
      </c>
      <c r="G556" s="149" t="s">
        <v>442</v>
      </c>
      <c r="H556" s="149" t="str">
        <f t="shared" si="2"/>
        <v>JUAN JAVIER ÁLVAREZ LÓPEZ</v>
      </c>
      <c r="I556" s="149" t="s">
        <v>664</v>
      </c>
      <c r="J556" s="153" t="s">
        <v>462</v>
      </c>
      <c r="K556" s="149" t="s">
        <v>1295</v>
      </c>
      <c r="L556" s="157">
        <v>45406</v>
      </c>
      <c r="M556" s="164"/>
      <c r="N556" s="163">
        <v>1</v>
      </c>
      <c r="O556" s="165" t="s">
        <v>449</v>
      </c>
      <c r="P556" s="161">
        <v>1668.18</v>
      </c>
      <c r="Q556" s="170">
        <v>45366</v>
      </c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</row>
    <row r="557" spans="1:27">
      <c r="A557" s="154">
        <v>4</v>
      </c>
      <c r="B557" s="155" t="s">
        <v>1147</v>
      </c>
      <c r="C557" s="156">
        <v>45314</v>
      </c>
      <c r="D557" s="155" t="s">
        <v>440</v>
      </c>
      <c r="E557" s="149" t="s">
        <v>475</v>
      </c>
      <c r="F557" s="149" t="s">
        <v>441</v>
      </c>
      <c r="G557" s="149" t="s">
        <v>442</v>
      </c>
      <c r="H557" s="149" t="str">
        <f t="shared" si="2"/>
        <v>XENIA MOTA ROJAS</v>
      </c>
      <c r="I557" s="149" t="s">
        <v>1077</v>
      </c>
      <c r="J557" s="153" t="s">
        <v>473</v>
      </c>
      <c r="K557" s="149" t="s">
        <v>1296</v>
      </c>
      <c r="L557" s="157">
        <v>45406</v>
      </c>
      <c r="M557" s="164"/>
      <c r="N557" s="163">
        <v>1</v>
      </c>
      <c r="O557" s="165" t="s">
        <v>449</v>
      </c>
      <c r="P557" s="161">
        <v>1590.91</v>
      </c>
      <c r="Q557" s="170">
        <v>45314</v>
      </c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</row>
    <row r="558" spans="1:27">
      <c r="A558" s="154">
        <v>4</v>
      </c>
      <c r="B558" s="155" t="s">
        <v>1147</v>
      </c>
      <c r="C558" s="156">
        <v>45372</v>
      </c>
      <c r="D558" s="155" t="s">
        <v>440</v>
      </c>
      <c r="E558" s="149" t="s">
        <v>239</v>
      </c>
      <c r="F558" s="149" t="s">
        <v>441</v>
      </c>
      <c r="G558" s="149" t="s">
        <v>442</v>
      </c>
      <c r="H558" s="149" t="str">
        <f t="shared" si="2"/>
        <v>FRANCISCO ALÉS CONEJO</v>
      </c>
      <c r="I558" s="149" t="s">
        <v>997</v>
      </c>
      <c r="J558" s="153" t="s">
        <v>455</v>
      </c>
      <c r="K558" s="149" t="s">
        <v>1297</v>
      </c>
      <c r="L558" s="157">
        <v>45406</v>
      </c>
      <c r="M558" s="158"/>
      <c r="N558" s="163">
        <v>1</v>
      </c>
      <c r="O558" s="165" t="s">
        <v>446</v>
      </c>
      <c r="P558" s="161">
        <v>2140.91</v>
      </c>
      <c r="Q558" s="170">
        <v>45372</v>
      </c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</row>
    <row r="559" spans="1:27">
      <c r="A559" s="154">
        <v>4</v>
      </c>
      <c r="B559" s="155" t="s">
        <v>1147</v>
      </c>
      <c r="C559" s="156">
        <v>45372</v>
      </c>
      <c r="D559" s="155" t="s">
        <v>440</v>
      </c>
      <c r="E559" s="149" t="s">
        <v>460</v>
      </c>
      <c r="F559" s="149" t="s">
        <v>441</v>
      </c>
      <c r="G559" s="149" t="s">
        <v>442</v>
      </c>
      <c r="H559" s="149" t="str">
        <f t="shared" si="2"/>
        <v>JOSÉ MARÍA LABORDA MARGOLLES</v>
      </c>
      <c r="I559" s="149" t="s">
        <v>1298</v>
      </c>
      <c r="J559" s="149" t="s">
        <v>462</v>
      </c>
      <c r="K559" s="149" t="s">
        <v>1299</v>
      </c>
      <c r="L559" s="157">
        <v>45407</v>
      </c>
      <c r="M559" s="164"/>
      <c r="N559" s="163">
        <v>1</v>
      </c>
      <c r="O559" s="165" t="s">
        <v>446</v>
      </c>
      <c r="P559" s="161">
        <v>2162.73</v>
      </c>
      <c r="Q559" s="170">
        <v>45372</v>
      </c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</row>
    <row r="560" spans="1:27">
      <c r="A560" s="154">
        <v>4</v>
      </c>
      <c r="B560" s="155" t="s">
        <v>1147</v>
      </c>
      <c r="C560" s="156">
        <v>45373</v>
      </c>
      <c r="D560" s="155" t="s">
        <v>440</v>
      </c>
      <c r="E560" s="149" t="s">
        <v>311</v>
      </c>
      <c r="F560" s="149" t="s">
        <v>441</v>
      </c>
      <c r="G560" s="149" t="s">
        <v>442</v>
      </c>
      <c r="H560" s="149" t="str">
        <f t="shared" si="2"/>
        <v>NO REUERDA ORL</v>
      </c>
      <c r="I560" s="149" t="s">
        <v>469</v>
      </c>
      <c r="J560" s="149" t="s">
        <v>444</v>
      </c>
      <c r="K560" s="149" t="s">
        <v>1300</v>
      </c>
      <c r="L560" s="157">
        <v>45407</v>
      </c>
      <c r="M560" s="164"/>
      <c r="N560" s="163">
        <v>1</v>
      </c>
      <c r="O560" s="165" t="s">
        <v>446</v>
      </c>
      <c r="P560" s="161">
        <v>2162.73</v>
      </c>
      <c r="Q560" s="170">
        <v>45373</v>
      </c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</row>
    <row r="561" spans="1:27">
      <c r="A561" s="154">
        <v>4</v>
      </c>
      <c r="B561" s="155" t="s">
        <v>1147</v>
      </c>
      <c r="C561" s="156">
        <v>45355</v>
      </c>
      <c r="D561" s="155" t="s">
        <v>440</v>
      </c>
      <c r="E561" s="149" t="s">
        <v>122</v>
      </c>
      <c r="F561" s="149" t="s">
        <v>441</v>
      </c>
      <c r="G561" s="149" t="s">
        <v>442</v>
      </c>
      <c r="H561" s="149" t="str">
        <f t="shared" si="2"/>
        <v>MAR LASSO DE LA VEGA ZAMORA</v>
      </c>
      <c r="I561" s="149" t="s">
        <v>909</v>
      </c>
      <c r="J561" s="153" t="s">
        <v>444</v>
      </c>
      <c r="K561" s="149" t="s">
        <v>1301</v>
      </c>
      <c r="L561" s="157">
        <v>45407</v>
      </c>
      <c r="M561" s="158"/>
      <c r="N561" s="163">
        <v>1</v>
      </c>
      <c r="O561" s="165" t="s">
        <v>446</v>
      </c>
      <c r="P561" s="161">
        <v>2162.73</v>
      </c>
      <c r="Q561" s="170">
        <v>45355</v>
      </c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</row>
    <row r="562" spans="1:27">
      <c r="A562" s="154">
        <v>4</v>
      </c>
      <c r="B562" s="155" t="s">
        <v>1147</v>
      </c>
      <c r="C562" s="156">
        <v>45391</v>
      </c>
      <c r="D562" s="155" t="s">
        <v>440</v>
      </c>
      <c r="E562" s="149" t="s">
        <v>122</v>
      </c>
      <c r="F562" s="149" t="s">
        <v>441</v>
      </c>
      <c r="G562" s="149" t="s">
        <v>442</v>
      </c>
      <c r="H562" s="149" t="str">
        <f t="shared" si="2"/>
        <v>ANA RUIZ FORNELLS NOREÑA</v>
      </c>
      <c r="I562" s="149" t="s">
        <v>836</v>
      </c>
      <c r="J562" s="149" t="s">
        <v>444</v>
      </c>
      <c r="K562" s="149" t="s">
        <v>1302</v>
      </c>
      <c r="L562" s="157">
        <v>45407</v>
      </c>
      <c r="M562" s="158"/>
      <c r="N562" s="163">
        <v>2</v>
      </c>
      <c r="O562" s="165" t="s">
        <v>446</v>
      </c>
      <c r="P562" s="161">
        <v>3604.55</v>
      </c>
      <c r="Q562" s="170">
        <v>45391</v>
      </c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</row>
    <row r="563" spans="1:27">
      <c r="A563" s="154">
        <v>4</v>
      </c>
      <c r="B563" s="155" t="s">
        <v>1147</v>
      </c>
      <c r="C563" s="156">
        <v>45362</v>
      </c>
      <c r="D563" s="155" t="s">
        <v>440</v>
      </c>
      <c r="E563" s="149" t="s">
        <v>309</v>
      </c>
      <c r="F563" s="149" t="s">
        <v>441</v>
      </c>
      <c r="G563" s="149" t="s">
        <v>442</v>
      </c>
      <c r="H563" s="149" t="str">
        <f t="shared" si="2"/>
        <v>BÁRBARA CASTILLO ÁVILA</v>
      </c>
      <c r="I563" s="149" t="s">
        <v>676</v>
      </c>
      <c r="J563" s="153" t="s">
        <v>444</v>
      </c>
      <c r="K563" s="149" t="s">
        <v>1303</v>
      </c>
      <c r="L563" s="157">
        <v>45407</v>
      </c>
      <c r="M563" s="158"/>
      <c r="N563" s="163">
        <v>1</v>
      </c>
      <c r="O563" s="165" t="s">
        <v>446</v>
      </c>
      <c r="P563" s="161">
        <v>2162.73</v>
      </c>
      <c r="Q563" s="170">
        <v>45362</v>
      </c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</row>
    <row r="564" spans="1:27">
      <c r="A564" s="154">
        <v>4</v>
      </c>
      <c r="B564" s="155" t="s">
        <v>1147</v>
      </c>
      <c r="C564" s="156">
        <v>45384</v>
      </c>
      <c r="D564" s="155" t="s">
        <v>440</v>
      </c>
      <c r="E564" s="149" t="s">
        <v>129</v>
      </c>
      <c r="F564" s="149" t="s">
        <v>441</v>
      </c>
      <c r="G564" s="149" t="s">
        <v>442</v>
      </c>
      <c r="H564" s="149" t="str">
        <f t="shared" si="2"/>
        <v>ANA QUINTANA SANJUAN</v>
      </c>
      <c r="I564" s="149" t="s">
        <v>925</v>
      </c>
      <c r="J564" s="153" t="s">
        <v>516</v>
      </c>
      <c r="K564" s="149" t="s">
        <v>1304</v>
      </c>
      <c r="L564" s="157">
        <v>45407</v>
      </c>
      <c r="M564" s="164"/>
      <c r="N564" s="163">
        <v>2</v>
      </c>
      <c r="O564" s="165" t="s">
        <v>466</v>
      </c>
      <c r="P564" s="161">
        <v>3809.25</v>
      </c>
      <c r="Q564" s="170">
        <v>45384</v>
      </c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</row>
    <row r="565" spans="1:27">
      <c r="A565" s="154">
        <v>4</v>
      </c>
      <c r="B565" s="155" t="s">
        <v>1147</v>
      </c>
      <c r="C565" s="156">
        <v>45373</v>
      </c>
      <c r="D565" s="155" t="s">
        <v>440</v>
      </c>
      <c r="E565" s="149" t="s">
        <v>190</v>
      </c>
      <c r="F565" s="149" t="s">
        <v>441</v>
      </c>
      <c r="G565" s="149" t="s">
        <v>442</v>
      </c>
      <c r="H565" s="149" t="str">
        <f t="shared" si="2"/>
        <v>ANDRÉS BARRIOS RECIO</v>
      </c>
      <c r="I565" s="149" t="s">
        <v>807</v>
      </c>
      <c r="J565" s="149" t="s">
        <v>462</v>
      </c>
      <c r="K565" s="149" t="s">
        <v>1305</v>
      </c>
      <c r="L565" s="157">
        <v>45407</v>
      </c>
      <c r="M565" s="158"/>
      <c r="N565" s="163">
        <v>2</v>
      </c>
      <c r="O565" s="165" t="s">
        <v>449</v>
      </c>
      <c r="P565" s="161">
        <v>2641.82</v>
      </c>
      <c r="Q565" s="170">
        <v>45373</v>
      </c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</row>
    <row r="566" spans="1:27">
      <c r="A566" s="154">
        <v>4</v>
      </c>
      <c r="B566" s="155" t="s">
        <v>1147</v>
      </c>
      <c r="C566" s="156">
        <v>45280</v>
      </c>
      <c r="D566" s="155" t="s">
        <v>440</v>
      </c>
      <c r="E566" s="149" t="s">
        <v>319</v>
      </c>
      <c r="F566" s="149" t="s">
        <v>441</v>
      </c>
      <c r="G566" s="149" t="s">
        <v>442</v>
      </c>
      <c r="H566" s="149" t="str">
        <f t="shared" si="2"/>
        <v>LUIS MIGUEL MENÉNDRZ COLINO</v>
      </c>
      <c r="I566" s="149" t="s">
        <v>1306</v>
      </c>
      <c r="J566" s="153" t="s">
        <v>548</v>
      </c>
      <c r="K566" s="149" t="s">
        <v>1307</v>
      </c>
      <c r="L566" s="157">
        <v>45407</v>
      </c>
      <c r="M566" s="158"/>
      <c r="N566" s="163">
        <v>1</v>
      </c>
      <c r="O566" s="165" t="s">
        <v>449</v>
      </c>
      <c r="P566" s="161">
        <v>1681.82</v>
      </c>
      <c r="Q566" s="170">
        <v>45280</v>
      </c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</row>
    <row r="567" spans="1:27">
      <c r="A567" s="154">
        <v>4</v>
      </c>
      <c r="B567" s="155" t="s">
        <v>1147</v>
      </c>
      <c r="C567" s="156">
        <v>45365</v>
      </c>
      <c r="D567" s="155" t="s">
        <v>440</v>
      </c>
      <c r="E567" s="149" t="s">
        <v>92</v>
      </c>
      <c r="F567" s="149" t="s">
        <v>441</v>
      </c>
      <c r="G567" s="149" t="s">
        <v>442</v>
      </c>
      <c r="H567" s="149" t="str">
        <f t="shared" si="2"/>
        <v>RAIMON GARCÍA CHILLERÓN</v>
      </c>
      <c r="I567" s="149" t="s">
        <v>943</v>
      </c>
      <c r="J567" s="149" t="s">
        <v>462</v>
      </c>
      <c r="K567" s="149" t="s">
        <v>1308</v>
      </c>
      <c r="L567" s="157">
        <v>45408</v>
      </c>
      <c r="M567" s="158"/>
      <c r="N567" s="163">
        <v>2</v>
      </c>
      <c r="O567" s="165" t="s">
        <v>446</v>
      </c>
      <c r="P567" s="161">
        <v>3604.55</v>
      </c>
      <c r="Q567" s="170">
        <v>45365</v>
      </c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</row>
    <row r="568" spans="1:27">
      <c r="A568" s="154">
        <v>4</v>
      </c>
      <c r="B568" s="155" t="s">
        <v>1147</v>
      </c>
      <c r="C568" s="156">
        <v>45142</v>
      </c>
      <c r="D568" s="155" t="s">
        <v>440</v>
      </c>
      <c r="E568" s="149" t="s">
        <v>92</v>
      </c>
      <c r="F568" s="149" t="s">
        <v>441</v>
      </c>
      <c r="G568" s="149" t="s">
        <v>442</v>
      </c>
      <c r="H568" s="149" t="str">
        <f t="shared" si="2"/>
        <v>PEDRO MASEGOSA ZAPATA</v>
      </c>
      <c r="I568" s="149" t="s">
        <v>1066</v>
      </c>
      <c r="J568" s="153" t="s">
        <v>462</v>
      </c>
      <c r="K568" s="149" t="s">
        <v>1309</v>
      </c>
      <c r="L568" s="157">
        <v>45408</v>
      </c>
      <c r="M568" s="164"/>
      <c r="N568" s="163">
        <v>2</v>
      </c>
      <c r="O568" s="165" t="s">
        <v>449</v>
      </c>
      <c r="P568" s="161">
        <v>2780.91</v>
      </c>
      <c r="Q568" s="170">
        <v>45142</v>
      </c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</row>
    <row r="569" spans="1:27">
      <c r="A569" s="154">
        <v>4</v>
      </c>
      <c r="B569" s="155" t="s">
        <v>1147</v>
      </c>
      <c r="C569" s="156">
        <v>45358</v>
      </c>
      <c r="D569" s="155" t="s">
        <v>440</v>
      </c>
      <c r="E569" s="149" t="s">
        <v>317</v>
      </c>
      <c r="F569" s="149" t="s">
        <v>441</v>
      </c>
      <c r="G569" s="149" t="s">
        <v>442</v>
      </c>
      <c r="H569" s="149" t="str">
        <f t="shared" si="2"/>
        <v>FÉLIX RUÍZ DE LA CUESTA JUSTE</v>
      </c>
      <c r="I569" s="149" t="s">
        <v>656</v>
      </c>
      <c r="J569" s="153" t="s">
        <v>462</v>
      </c>
      <c r="K569" s="149" t="s">
        <v>1310</v>
      </c>
      <c r="L569" s="157">
        <v>45408</v>
      </c>
      <c r="M569" s="158"/>
      <c r="N569" s="163">
        <v>2</v>
      </c>
      <c r="O569" s="165" t="s">
        <v>513</v>
      </c>
      <c r="P569" s="161">
        <v>4904.55</v>
      </c>
      <c r="Q569" s="170">
        <v>45358</v>
      </c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</row>
    <row r="570" spans="1:27">
      <c r="A570" s="154">
        <v>4</v>
      </c>
      <c r="B570" s="155" t="s">
        <v>1147</v>
      </c>
      <c r="C570" s="156">
        <v>45377</v>
      </c>
      <c r="D570" s="155" t="s">
        <v>440</v>
      </c>
      <c r="E570" s="149" t="s">
        <v>1047</v>
      </c>
      <c r="F570" s="149" t="s">
        <v>441</v>
      </c>
      <c r="G570" s="149" t="s">
        <v>442</v>
      </c>
      <c r="H570" s="149" t="str">
        <f t="shared" si="2"/>
        <v>JORDI LLUANSI PANELLA</v>
      </c>
      <c r="I570" s="149" t="s">
        <v>1048</v>
      </c>
      <c r="J570" s="153" t="s">
        <v>532</v>
      </c>
      <c r="K570" s="149" t="s">
        <v>1311</v>
      </c>
      <c r="L570" s="157">
        <v>45408</v>
      </c>
      <c r="M570" s="158"/>
      <c r="N570" s="163">
        <v>2</v>
      </c>
      <c r="O570" s="165" t="s">
        <v>449</v>
      </c>
      <c r="P570" s="161">
        <v>2780.91</v>
      </c>
      <c r="Q570" s="170">
        <v>45377</v>
      </c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</row>
    <row r="571" spans="1:27">
      <c r="A571" s="154">
        <v>4</v>
      </c>
      <c r="B571" s="155" t="s">
        <v>1147</v>
      </c>
      <c r="C571" s="156">
        <v>44893</v>
      </c>
      <c r="D571" s="155" t="s">
        <v>440</v>
      </c>
      <c r="E571" s="149" t="s">
        <v>122</v>
      </c>
      <c r="F571" s="149" t="s">
        <v>441</v>
      </c>
      <c r="G571" s="149" t="s">
        <v>442</v>
      </c>
      <c r="H571" s="149" t="str">
        <f t="shared" si="2"/>
        <v>MAR LASSO DE LA VEGA ZAMORA</v>
      </c>
      <c r="I571" s="149" t="s">
        <v>909</v>
      </c>
      <c r="J571" s="153" t="s">
        <v>444</v>
      </c>
      <c r="K571" s="149" t="s">
        <v>1312</v>
      </c>
      <c r="L571" s="157">
        <v>45408</v>
      </c>
      <c r="M571" s="164"/>
      <c r="N571" s="163">
        <v>2</v>
      </c>
      <c r="O571" s="165" t="s">
        <v>446</v>
      </c>
      <c r="P571" s="161">
        <v>2100</v>
      </c>
      <c r="Q571" s="170">
        <v>44893</v>
      </c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</row>
    <row r="572" spans="1:27">
      <c r="A572" s="154">
        <v>4</v>
      </c>
      <c r="B572" s="155" t="s">
        <v>1147</v>
      </c>
      <c r="C572" s="156">
        <v>45355</v>
      </c>
      <c r="D572" s="155" t="s">
        <v>440</v>
      </c>
      <c r="E572" s="149" t="s">
        <v>122</v>
      </c>
      <c r="F572" s="149" t="s">
        <v>441</v>
      </c>
      <c r="G572" s="149" t="s">
        <v>442</v>
      </c>
      <c r="H572" s="149" t="str">
        <f t="shared" si="2"/>
        <v>ADRIANA PARDO MAZA</v>
      </c>
      <c r="I572" s="149" t="s">
        <v>1287</v>
      </c>
      <c r="J572" s="153" t="s">
        <v>444</v>
      </c>
      <c r="K572" s="149" t="s">
        <v>1313</v>
      </c>
      <c r="L572" s="157">
        <v>45408</v>
      </c>
      <c r="M572" s="158"/>
      <c r="N572" s="163">
        <v>2</v>
      </c>
      <c r="O572" s="165" t="s">
        <v>446</v>
      </c>
      <c r="P572" s="161">
        <v>3423.64</v>
      </c>
      <c r="Q572" s="170">
        <v>45355</v>
      </c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</row>
    <row r="573" spans="1:27">
      <c r="A573" s="154">
        <v>4</v>
      </c>
      <c r="B573" s="155" t="s">
        <v>1147</v>
      </c>
      <c r="C573" s="156">
        <v>45384</v>
      </c>
      <c r="D573" s="155" t="s">
        <v>440</v>
      </c>
      <c r="E573" s="149" t="s">
        <v>315</v>
      </c>
      <c r="F573" s="149" t="s">
        <v>441</v>
      </c>
      <c r="G573" s="149" t="s">
        <v>442</v>
      </c>
      <c r="H573" s="149" t="str">
        <f t="shared" si="2"/>
        <v>MARTA ALCARAZ FUENTES</v>
      </c>
      <c r="I573" s="149" t="s">
        <v>1314</v>
      </c>
      <c r="J573" s="153" t="s">
        <v>548</v>
      </c>
      <c r="K573" s="149" t="s">
        <v>1315</v>
      </c>
      <c r="L573" s="157">
        <v>45408</v>
      </c>
      <c r="M573" s="164"/>
      <c r="N573" s="163">
        <v>2</v>
      </c>
      <c r="O573" s="165" t="s">
        <v>449</v>
      </c>
      <c r="P573" s="161">
        <v>2390.91</v>
      </c>
      <c r="Q573" s="170">
        <v>45384</v>
      </c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</row>
    <row r="574" spans="1:27">
      <c r="A574" s="154">
        <v>4</v>
      </c>
      <c r="B574" s="155" t="s">
        <v>1147</v>
      </c>
      <c r="C574" s="156">
        <v>45384</v>
      </c>
      <c r="D574" s="155" t="s">
        <v>440</v>
      </c>
      <c r="E574" s="149" t="s">
        <v>618</v>
      </c>
      <c r="F574" s="149" t="s">
        <v>441</v>
      </c>
      <c r="G574" s="149" t="s">
        <v>442</v>
      </c>
      <c r="H574" s="149" t="str">
        <f t="shared" si="2"/>
        <v>IGNACIO SIERRA ARBIDE</v>
      </c>
      <c r="I574" s="149" t="s">
        <v>888</v>
      </c>
      <c r="J574" s="149" t="s">
        <v>548</v>
      </c>
      <c r="K574" s="149" t="s">
        <v>1316</v>
      </c>
      <c r="L574" s="157">
        <v>45408</v>
      </c>
      <c r="M574" s="158"/>
      <c r="N574" s="163">
        <v>2</v>
      </c>
      <c r="O574" s="165" t="s">
        <v>446</v>
      </c>
      <c r="P574" s="161">
        <v>3604.55</v>
      </c>
      <c r="Q574" s="170">
        <v>45384</v>
      </c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</row>
    <row r="575" spans="1:27">
      <c r="A575" s="154">
        <v>4</v>
      </c>
      <c r="B575" s="155" t="s">
        <v>1147</v>
      </c>
      <c r="C575" s="156">
        <v>45350</v>
      </c>
      <c r="D575" s="166" t="s">
        <v>440</v>
      </c>
      <c r="E575" s="149" t="s">
        <v>506</v>
      </c>
      <c r="F575" s="149" t="s">
        <v>441</v>
      </c>
      <c r="G575" s="149" t="s">
        <v>442</v>
      </c>
      <c r="H575" s="149" t="str">
        <f t="shared" si="2"/>
        <v>MARÍA JESÚS CORNEJO DOMÍNGUEZ</v>
      </c>
      <c r="I575" s="149" t="s">
        <v>507</v>
      </c>
      <c r="J575" s="149" t="s">
        <v>473</v>
      </c>
      <c r="K575" s="149" t="s">
        <v>1317</v>
      </c>
      <c r="L575" s="157">
        <v>45408</v>
      </c>
      <c r="M575" s="158"/>
      <c r="N575" s="163">
        <v>2</v>
      </c>
      <c r="O575" s="165" t="s">
        <v>446</v>
      </c>
      <c r="P575" s="161">
        <v>3604.55</v>
      </c>
      <c r="Q575" s="170">
        <v>45350</v>
      </c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</row>
    <row r="576" spans="1:27">
      <c r="A576" s="154">
        <v>4</v>
      </c>
      <c r="B576" s="155" t="s">
        <v>1147</v>
      </c>
      <c r="C576" s="156">
        <v>45377</v>
      </c>
      <c r="D576" s="155" t="s">
        <v>440</v>
      </c>
      <c r="E576" s="149" t="s">
        <v>190</v>
      </c>
      <c r="F576" s="149" t="s">
        <v>441</v>
      </c>
      <c r="G576" s="149" t="s">
        <v>442</v>
      </c>
      <c r="H576" s="149" t="str">
        <f t="shared" si="2"/>
        <v>ANDRÉS BARRIOS RECIO</v>
      </c>
      <c r="I576" s="149" t="s">
        <v>807</v>
      </c>
      <c r="J576" s="153" t="s">
        <v>462</v>
      </c>
      <c r="K576" s="149" t="s">
        <v>1318</v>
      </c>
      <c r="L576" s="157">
        <v>45408</v>
      </c>
      <c r="M576" s="158"/>
      <c r="N576" s="163">
        <v>2</v>
      </c>
      <c r="O576" s="165" t="s">
        <v>449</v>
      </c>
      <c r="P576" s="161">
        <v>2642.27</v>
      </c>
      <c r="Q576" s="170">
        <v>45377</v>
      </c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</row>
    <row r="577" spans="1:27">
      <c r="A577" s="154">
        <v>4</v>
      </c>
      <c r="B577" s="155" t="s">
        <v>1147</v>
      </c>
      <c r="C577" s="156">
        <v>45370</v>
      </c>
      <c r="D577" s="155" t="s">
        <v>440</v>
      </c>
      <c r="E577" s="149" t="s">
        <v>239</v>
      </c>
      <c r="F577" s="149" t="s">
        <v>441</v>
      </c>
      <c r="G577" s="149" t="s">
        <v>442</v>
      </c>
      <c r="H577" s="149" t="str">
        <f t="shared" si="2"/>
        <v>ESTEFANÍA BERROCAL POSTIGO</v>
      </c>
      <c r="I577" s="149" t="s">
        <v>927</v>
      </c>
      <c r="J577" s="153" t="s">
        <v>455</v>
      </c>
      <c r="K577" s="149" t="s">
        <v>1319</v>
      </c>
      <c r="L577" s="157">
        <v>45408</v>
      </c>
      <c r="M577" s="164"/>
      <c r="N577" s="163">
        <v>2</v>
      </c>
      <c r="O577" s="165" t="s">
        <v>449</v>
      </c>
      <c r="P577" s="161">
        <v>2962.73</v>
      </c>
      <c r="Q577" s="170">
        <v>45370</v>
      </c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</row>
    <row r="578" spans="1:27">
      <c r="A578" s="154">
        <v>4</v>
      </c>
      <c r="B578" s="155" t="s">
        <v>1147</v>
      </c>
      <c r="C578" s="156">
        <v>45371</v>
      </c>
      <c r="D578" s="155" t="s">
        <v>440</v>
      </c>
      <c r="E578" s="149" t="s">
        <v>525</v>
      </c>
      <c r="F578" s="149" t="s">
        <v>441</v>
      </c>
      <c r="G578" s="149" t="s">
        <v>442</v>
      </c>
      <c r="H578" s="149" t="str">
        <f t="shared" si="2"/>
        <v>PILAR CASTRO RUIZ</v>
      </c>
      <c r="I578" s="149" t="s">
        <v>526</v>
      </c>
      <c r="J578" s="153" t="s">
        <v>516</v>
      </c>
      <c r="K578" s="149" t="s">
        <v>1320</v>
      </c>
      <c r="L578" s="157">
        <v>45408</v>
      </c>
      <c r="M578" s="164"/>
      <c r="N578" s="163">
        <v>2</v>
      </c>
      <c r="O578" s="165" t="s">
        <v>446</v>
      </c>
      <c r="P578" s="161">
        <v>3545.45</v>
      </c>
      <c r="Q578" s="170">
        <v>45371</v>
      </c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</row>
    <row r="579" spans="1:27">
      <c r="A579" s="154">
        <v>4</v>
      </c>
      <c r="B579" s="155" t="s">
        <v>1147</v>
      </c>
      <c r="C579" s="156">
        <v>45387</v>
      </c>
      <c r="D579" s="155" t="s">
        <v>440</v>
      </c>
      <c r="E579" s="149" t="s">
        <v>98</v>
      </c>
      <c r="F579" s="149" t="s">
        <v>441</v>
      </c>
      <c r="G579" s="149" t="s">
        <v>442</v>
      </c>
      <c r="H579" s="149" t="str">
        <f t="shared" si="2"/>
        <v>MARÍA AGUSTINA SEVILLA GARCÍA</v>
      </c>
      <c r="I579" s="149" t="s">
        <v>538</v>
      </c>
      <c r="J579" s="153" t="s">
        <v>462</v>
      </c>
      <c r="K579" s="149" t="s">
        <v>1321</v>
      </c>
      <c r="L579" s="157">
        <v>45409</v>
      </c>
      <c r="M579" s="164"/>
      <c r="N579" s="163">
        <v>2</v>
      </c>
      <c r="O579" s="165" t="s">
        <v>449</v>
      </c>
      <c r="P579" s="161">
        <v>2471.8200000000002</v>
      </c>
      <c r="Q579" s="170">
        <v>45387</v>
      </c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</row>
    <row r="580" spans="1:27">
      <c r="A580" s="154">
        <v>4</v>
      </c>
      <c r="B580" s="155" t="s">
        <v>1147</v>
      </c>
      <c r="C580" s="156">
        <v>45350</v>
      </c>
      <c r="D580" s="155" t="s">
        <v>440</v>
      </c>
      <c r="E580" s="149" t="s">
        <v>582</v>
      </c>
      <c r="F580" s="149" t="s">
        <v>441</v>
      </c>
      <c r="G580" s="149" t="s">
        <v>442</v>
      </c>
      <c r="H580" s="149" t="str">
        <f t="shared" si="2"/>
        <v>ANSELMO PADÍN SEARA</v>
      </c>
      <c r="I580" s="149" t="s">
        <v>1322</v>
      </c>
      <c r="J580" s="149" t="s">
        <v>516</v>
      </c>
      <c r="K580" s="149" t="s">
        <v>1323</v>
      </c>
      <c r="L580" s="157">
        <v>45411</v>
      </c>
      <c r="M580" s="164"/>
      <c r="N580" s="163">
        <v>2</v>
      </c>
      <c r="O580" s="165" t="s">
        <v>449</v>
      </c>
      <c r="P580" s="161">
        <v>3036.36</v>
      </c>
      <c r="Q580" s="170">
        <v>45350</v>
      </c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</row>
    <row r="581" spans="1:27">
      <c r="A581" s="154">
        <v>4</v>
      </c>
      <c r="B581" s="155" t="s">
        <v>1147</v>
      </c>
      <c r="C581" s="156">
        <v>45384</v>
      </c>
      <c r="D581" s="155" t="s">
        <v>440</v>
      </c>
      <c r="E581" s="149" t="s">
        <v>308</v>
      </c>
      <c r="F581" s="149" t="s">
        <v>441</v>
      </c>
      <c r="G581" s="149" t="s">
        <v>442</v>
      </c>
      <c r="H581" s="149" t="str">
        <f t="shared" si="2"/>
        <v>NO REUERDA ORL</v>
      </c>
      <c r="I581" s="149" t="s">
        <v>469</v>
      </c>
      <c r="J581" s="153" t="s">
        <v>444</v>
      </c>
      <c r="K581" s="149" t="s">
        <v>1324</v>
      </c>
      <c r="L581" s="157">
        <v>45411</v>
      </c>
      <c r="M581" s="164"/>
      <c r="N581" s="163">
        <v>1</v>
      </c>
      <c r="O581" s="165" t="s">
        <v>446</v>
      </c>
      <c r="P581" s="161">
        <v>2162.73</v>
      </c>
      <c r="Q581" s="170">
        <v>45384</v>
      </c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</row>
    <row r="582" spans="1:27">
      <c r="A582" s="154">
        <v>4</v>
      </c>
      <c r="B582" s="155" t="s">
        <v>1147</v>
      </c>
      <c r="C582" s="156">
        <v>45327</v>
      </c>
      <c r="D582" s="155" t="s">
        <v>440</v>
      </c>
      <c r="E582" s="149" t="s">
        <v>317</v>
      </c>
      <c r="F582" s="149" t="s">
        <v>441</v>
      </c>
      <c r="G582" s="149" t="s">
        <v>442</v>
      </c>
      <c r="H582" s="149" t="str">
        <f t="shared" si="2"/>
        <v>FRANCISCO PASTOR BEVIÁ</v>
      </c>
      <c r="I582" s="149" t="s">
        <v>464</v>
      </c>
      <c r="J582" s="149" t="s">
        <v>462</v>
      </c>
      <c r="K582" s="149" t="s">
        <v>1325</v>
      </c>
      <c r="L582" s="157">
        <v>45411</v>
      </c>
      <c r="M582" s="158"/>
      <c r="N582" s="163">
        <v>1</v>
      </c>
      <c r="O582" s="165" t="s">
        <v>466</v>
      </c>
      <c r="P582" s="161">
        <v>1818.18</v>
      </c>
      <c r="Q582" s="170">
        <v>45327</v>
      </c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</row>
    <row r="583" spans="1:27">
      <c r="A583" s="154">
        <v>4</v>
      </c>
      <c r="B583" s="155" t="s">
        <v>1147</v>
      </c>
      <c r="C583" s="156">
        <v>45398</v>
      </c>
      <c r="D583" s="155" t="s">
        <v>440</v>
      </c>
      <c r="E583" s="149" t="s">
        <v>546</v>
      </c>
      <c r="F583" s="149" t="s">
        <v>441</v>
      </c>
      <c r="G583" s="149" t="s">
        <v>442</v>
      </c>
      <c r="H583" s="149" t="str">
        <f t="shared" si="2"/>
        <v>RAED MAQUED EL MAQUED</v>
      </c>
      <c r="I583" s="149" t="s">
        <v>547</v>
      </c>
      <c r="J583" s="153" t="s">
        <v>548</v>
      </c>
      <c r="K583" s="149" t="s">
        <v>1326</v>
      </c>
      <c r="L583" s="157">
        <v>45411</v>
      </c>
      <c r="M583" s="158"/>
      <c r="N583" s="163">
        <v>2</v>
      </c>
      <c r="O583" s="165" t="s">
        <v>513</v>
      </c>
      <c r="P583" s="161">
        <v>3954.55</v>
      </c>
      <c r="Q583" s="170">
        <v>45398</v>
      </c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</row>
    <row r="584" spans="1:27">
      <c r="A584" s="154">
        <v>4</v>
      </c>
      <c r="B584" s="155" t="s">
        <v>1147</v>
      </c>
      <c r="C584" s="156">
        <v>45357</v>
      </c>
      <c r="D584" s="155" t="s">
        <v>440</v>
      </c>
      <c r="E584" s="149" t="s">
        <v>271</v>
      </c>
      <c r="F584" s="149" t="s">
        <v>441</v>
      </c>
      <c r="G584" s="149" t="s">
        <v>442</v>
      </c>
      <c r="H584" s="149" t="str">
        <f t="shared" si="2"/>
        <v>GUILLERMO SAN JUAN DE LA MORETA</v>
      </c>
      <c r="I584" s="149" t="s">
        <v>826</v>
      </c>
      <c r="J584" s="149" t="s">
        <v>444</v>
      </c>
      <c r="K584" s="149" t="s">
        <v>1327</v>
      </c>
      <c r="L584" s="157">
        <v>45411</v>
      </c>
      <c r="M584" s="158"/>
      <c r="N584" s="163">
        <v>2</v>
      </c>
      <c r="O584" s="165" t="s">
        <v>466</v>
      </c>
      <c r="P584" s="161">
        <v>4011.58</v>
      </c>
      <c r="Q584" s="170">
        <v>45357</v>
      </c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</row>
    <row r="585" spans="1:27">
      <c r="A585" s="154">
        <v>4</v>
      </c>
      <c r="B585" s="155" t="s">
        <v>1147</v>
      </c>
      <c r="C585" s="156">
        <v>45370</v>
      </c>
      <c r="D585" s="155" t="s">
        <v>440</v>
      </c>
      <c r="E585" s="149" t="s">
        <v>618</v>
      </c>
      <c r="F585" s="149" t="s">
        <v>441</v>
      </c>
      <c r="G585" s="149" t="s">
        <v>442</v>
      </c>
      <c r="H585" s="149" t="str">
        <f t="shared" si="2"/>
        <v>Mª FERNANDA ESCALA PEDREROS</v>
      </c>
      <c r="I585" s="149" t="s">
        <v>804</v>
      </c>
      <c r="J585" s="153" t="s">
        <v>548</v>
      </c>
      <c r="K585" s="149" t="s">
        <v>1328</v>
      </c>
      <c r="L585" s="157">
        <v>45411</v>
      </c>
      <c r="M585" s="158"/>
      <c r="N585" s="163">
        <v>2</v>
      </c>
      <c r="O585" s="165" t="s">
        <v>446</v>
      </c>
      <c r="P585" s="161">
        <v>3604.55</v>
      </c>
      <c r="Q585" s="170">
        <v>45370</v>
      </c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</row>
    <row r="586" spans="1:27">
      <c r="A586" s="154">
        <v>4</v>
      </c>
      <c r="B586" s="155" t="s">
        <v>1147</v>
      </c>
      <c r="C586" s="156">
        <v>45387</v>
      </c>
      <c r="D586" s="155" t="s">
        <v>440</v>
      </c>
      <c r="E586" s="149" t="s">
        <v>314</v>
      </c>
      <c r="F586" s="149" t="s">
        <v>441</v>
      </c>
      <c r="G586" s="149" t="s">
        <v>442</v>
      </c>
      <c r="H586" s="149" t="str">
        <f t="shared" si="2"/>
        <v>SARA TANBOURA LÓPEZ</v>
      </c>
      <c r="I586" s="149" t="s">
        <v>1329</v>
      </c>
      <c r="J586" s="153" t="s">
        <v>444</v>
      </c>
      <c r="K586" s="149" t="s">
        <v>1330</v>
      </c>
      <c r="L586" s="157">
        <v>45411</v>
      </c>
      <c r="M586" s="164"/>
      <c r="N586" s="163">
        <v>2</v>
      </c>
      <c r="O586" s="165" t="s">
        <v>446</v>
      </c>
      <c r="P586" s="161">
        <v>3422.73</v>
      </c>
      <c r="Q586" s="170">
        <v>45387</v>
      </c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</row>
    <row r="587" spans="1:27">
      <c r="A587" s="154">
        <v>4</v>
      </c>
      <c r="B587" s="155" t="s">
        <v>1147</v>
      </c>
      <c r="C587" s="156">
        <v>45383</v>
      </c>
      <c r="D587" s="155" t="s">
        <v>440</v>
      </c>
      <c r="E587" s="149" t="s">
        <v>98</v>
      </c>
      <c r="F587" s="149" t="s">
        <v>441</v>
      </c>
      <c r="G587" s="149" t="s">
        <v>442</v>
      </c>
      <c r="H587" s="149" t="str">
        <f t="shared" si="2"/>
        <v>NO REUERDA ORL</v>
      </c>
      <c r="I587" s="149" t="s">
        <v>469</v>
      </c>
      <c r="J587" s="149" t="s">
        <v>462</v>
      </c>
      <c r="K587" s="149" t="s">
        <v>1331</v>
      </c>
      <c r="L587" s="157">
        <v>45411</v>
      </c>
      <c r="M587" s="158"/>
      <c r="N587" s="163">
        <v>2</v>
      </c>
      <c r="O587" s="165" t="s">
        <v>446</v>
      </c>
      <c r="P587" s="161">
        <v>3604.55</v>
      </c>
      <c r="Q587" s="170">
        <v>45383</v>
      </c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</row>
    <row r="588" spans="1:27">
      <c r="A588" s="154">
        <v>4</v>
      </c>
      <c r="B588" s="155" t="s">
        <v>1147</v>
      </c>
      <c r="C588" s="156">
        <v>45376</v>
      </c>
      <c r="D588" s="155" t="s">
        <v>440</v>
      </c>
      <c r="E588" s="149" t="s">
        <v>102</v>
      </c>
      <c r="F588" s="149" t="s">
        <v>441</v>
      </c>
      <c r="G588" s="149" t="s">
        <v>442</v>
      </c>
      <c r="H588" s="149" t="str">
        <f t="shared" si="2"/>
        <v>JUAN JAVIER ÁLVAREZ LÓPEZ</v>
      </c>
      <c r="I588" s="149" t="s">
        <v>664</v>
      </c>
      <c r="J588" s="153" t="s">
        <v>462</v>
      </c>
      <c r="K588" s="149" t="s">
        <v>1332</v>
      </c>
      <c r="L588" s="157">
        <v>45411</v>
      </c>
      <c r="M588" s="158"/>
      <c r="N588" s="163">
        <v>2</v>
      </c>
      <c r="O588" s="165" t="s">
        <v>449</v>
      </c>
      <c r="P588" s="161">
        <v>2641.82</v>
      </c>
      <c r="Q588" s="170">
        <v>45376</v>
      </c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</row>
    <row r="589" spans="1:27">
      <c r="A589" s="154">
        <v>4</v>
      </c>
      <c r="B589" s="155" t="s">
        <v>1147</v>
      </c>
      <c r="C589" s="156">
        <v>45007</v>
      </c>
      <c r="D589" s="166" t="s">
        <v>440</v>
      </c>
      <c r="E589" s="149" t="s">
        <v>506</v>
      </c>
      <c r="F589" s="149" t="s">
        <v>441</v>
      </c>
      <c r="G589" s="149" t="s">
        <v>442</v>
      </c>
      <c r="H589" s="149" t="str">
        <f t="shared" si="2"/>
        <v>MARÍA JESÚS CORNEJO DOMÍNGUEZ</v>
      </c>
      <c r="I589" s="149" t="s">
        <v>507</v>
      </c>
      <c r="J589" s="149" t="s">
        <v>473</v>
      </c>
      <c r="K589" s="149" t="s">
        <v>1333</v>
      </c>
      <c r="L589" s="157">
        <v>45411</v>
      </c>
      <c r="M589" s="158"/>
      <c r="N589" s="163">
        <v>2</v>
      </c>
      <c r="O589" s="165" t="s">
        <v>446</v>
      </c>
      <c r="P589" s="161">
        <v>0</v>
      </c>
      <c r="Q589" s="170">
        <v>45007</v>
      </c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</row>
    <row r="590" spans="1:27">
      <c r="A590" s="154">
        <v>4</v>
      </c>
      <c r="B590" s="155" t="s">
        <v>1147</v>
      </c>
      <c r="C590" s="156">
        <v>45378</v>
      </c>
      <c r="D590" s="155" t="s">
        <v>440</v>
      </c>
      <c r="E590" s="149" t="s">
        <v>190</v>
      </c>
      <c r="F590" s="149" t="s">
        <v>441</v>
      </c>
      <c r="G590" s="149" t="s">
        <v>442</v>
      </c>
      <c r="H590" s="149" t="str">
        <f t="shared" si="2"/>
        <v>FRANCISCO GARCÍA PURRIÑOS</v>
      </c>
      <c r="I590" s="149" t="s">
        <v>610</v>
      </c>
      <c r="J590" s="149" t="s">
        <v>462</v>
      </c>
      <c r="K590" s="149" t="s">
        <v>1334</v>
      </c>
      <c r="L590" s="157">
        <v>45411</v>
      </c>
      <c r="M590" s="158"/>
      <c r="N590" s="163">
        <v>2</v>
      </c>
      <c r="O590" s="165" t="s">
        <v>446</v>
      </c>
      <c r="P590" s="161">
        <v>3604.55</v>
      </c>
      <c r="Q590" s="170">
        <v>45378</v>
      </c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</row>
    <row r="591" spans="1:27">
      <c r="A591" s="154">
        <v>4</v>
      </c>
      <c r="B591" s="155" t="s">
        <v>1147</v>
      </c>
      <c r="C591" s="156">
        <v>45357</v>
      </c>
      <c r="D591" s="155" t="s">
        <v>440</v>
      </c>
      <c r="E591" s="149" t="s">
        <v>239</v>
      </c>
      <c r="F591" s="149" t="s">
        <v>441</v>
      </c>
      <c r="G591" s="149" t="s">
        <v>442</v>
      </c>
      <c r="H591" s="149" t="str">
        <f t="shared" si="2"/>
        <v>MIGUEL ANTONIO SHEPHERD GONZÁLEZ</v>
      </c>
      <c r="I591" s="149" t="s">
        <v>772</v>
      </c>
      <c r="J591" s="153" t="s">
        <v>455</v>
      </c>
      <c r="K591" s="149" t="s">
        <v>1335</v>
      </c>
      <c r="L591" s="157">
        <v>45411</v>
      </c>
      <c r="M591" s="158"/>
      <c r="N591" s="163">
        <v>2</v>
      </c>
      <c r="O591" s="165" t="s">
        <v>466</v>
      </c>
      <c r="P591" s="161">
        <v>4404.55</v>
      </c>
      <c r="Q591" s="170">
        <v>45357</v>
      </c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</row>
    <row r="592" spans="1:27">
      <c r="A592" s="154">
        <v>4</v>
      </c>
      <c r="B592" s="155" t="s">
        <v>1147</v>
      </c>
      <c r="C592" s="156">
        <v>45356</v>
      </c>
      <c r="D592" s="155" t="s">
        <v>440</v>
      </c>
      <c r="E592" s="149" t="s">
        <v>930</v>
      </c>
      <c r="F592" s="149" t="s">
        <v>441</v>
      </c>
      <c r="G592" s="149" t="s">
        <v>442</v>
      </c>
      <c r="H592" s="149" t="str">
        <f t="shared" si="2"/>
        <v>CRISTINA MOLINA MARTÍNEZ</v>
      </c>
      <c r="I592" s="149" t="s">
        <v>931</v>
      </c>
      <c r="J592" s="153" t="s">
        <v>532</v>
      </c>
      <c r="K592" s="149" t="s">
        <v>1336</v>
      </c>
      <c r="L592" s="157">
        <v>45411</v>
      </c>
      <c r="M592" s="158"/>
      <c r="N592" s="163">
        <v>2</v>
      </c>
      <c r="O592" s="165" t="s">
        <v>446</v>
      </c>
      <c r="P592" s="161">
        <v>3423.64</v>
      </c>
      <c r="Q592" s="170">
        <v>45356</v>
      </c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</row>
    <row r="593" spans="1:27">
      <c r="A593" s="154">
        <v>4</v>
      </c>
      <c r="B593" s="155" t="s">
        <v>1147</v>
      </c>
      <c r="C593" s="156">
        <v>45370</v>
      </c>
      <c r="D593" s="155" t="s">
        <v>440</v>
      </c>
      <c r="E593" s="149" t="s">
        <v>308</v>
      </c>
      <c r="F593" s="149" t="s">
        <v>441</v>
      </c>
      <c r="G593" s="149" t="s">
        <v>442</v>
      </c>
      <c r="H593" s="149" t="str">
        <f t="shared" si="2"/>
        <v>JOSÉ ANTONIO CASTRO CUERPO</v>
      </c>
      <c r="I593" s="149" t="s">
        <v>1337</v>
      </c>
      <c r="J593" s="153" t="s">
        <v>444</v>
      </c>
      <c r="K593" s="149" t="s">
        <v>1338</v>
      </c>
      <c r="L593" s="157">
        <v>45412</v>
      </c>
      <c r="M593" s="158"/>
      <c r="N593" s="163">
        <v>1</v>
      </c>
      <c r="O593" s="165" t="s">
        <v>446</v>
      </c>
      <c r="P593" s="161">
        <v>2162.73</v>
      </c>
      <c r="Q593" s="170">
        <v>45370</v>
      </c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</row>
    <row r="594" spans="1:27">
      <c r="A594" s="154">
        <v>4</v>
      </c>
      <c r="B594" s="155" t="s">
        <v>1147</v>
      </c>
      <c r="C594" s="156">
        <v>45385</v>
      </c>
      <c r="D594" s="155" t="s">
        <v>440</v>
      </c>
      <c r="E594" s="149" t="s">
        <v>460</v>
      </c>
      <c r="F594" s="149" t="s">
        <v>441</v>
      </c>
      <c r="G594" s="149" t="s">
        <v>442</v>
      </c>
      <c r="H594" s="149" t="str">
        <f t="shared" si="2"/>
        <v>LINO ENGUIDANOS HERNANDORENA</v>
      </c>
      <c r="I594" s="149" t="s">
        <v>461</v>
      </c>
      <c r="J594" s="153" t="s">
        <v>462</v>
      </c>
      <c r="K594" s="149" t="s">
        <v>1339</v>
      </c>
      <c r="L594" s="157">
        <v>45412</v>
      </c>
      <c r="M594" s="158"/>
      <c r="N594" s="163">
        <v>2</v>
      </c>
      <c r="O594" s="165" t="s">
        <v>449</v>
      </c>
      <c r="P594" s="161">
        <v>2348.23</v>
      </c>
      <c r="Q594" s="170">
        <v>45385</v>
      </c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</row>
    <row r="595" spans="1:27">
      <c r="A595" s="154">
        <v>4</v>
      </c>
      <c r="B595" s="155" t="s">
        <v>1147</v>
      </c>
      <c r="C595" s="156">
        <v>45350</v>
      </c>
      <c r="D595" s="155" t="s">
        <v>440</v>
      </c>
      <c r="E595" s="149" t="s">
        <v>546</v>
      </c>
      <c r="F595" s="149" t="s">
        <v>441</v>
      </c>
      <c r="G595" s="149" t="s">
        <v>442</v>
      </c>
      <c r="H595" s="149" t="str">
        <f t="shared" si="2"/>
        <v>DANIELA CAROLINA LAGUADO BULGHERONI</v>
      </c>
      <c r="I595" s="149" t="s">
        <v>1340</v>
      </c>
      <c r="J595" s="149" t="s">
        <v>548</v>
      </c>
      <c r="K595" s="149" t="s">
        <v>1341</v>
      </c>
      <c r="L595" s="157">
        <v>45412</v>
      </c>
      <c r="M595" s="158"/>
      <c r="N595" s="163">
        <v>2</v>
      </c>
      <c r="O595" s="165" t="s">
        <v>466</v>
      </c>
      <c r="P595" s="161">
        <v>3404.55</v>
      </c>
      <c r="Q595" s="170">
        <v>45350</v>
      </c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</row>
    <row r="596" spans="1:27">
      <c r="A596" s="154">
        <v>4</v>
      </c>
      <c r="B596" s="155" t="s">
        <v>1147</v>
      </c>
      <c r="C596" s="156">
        <v>45392</v>
      </c>
      <c r="D596" s="155" t="s">
        <v>440</v>
      </c>
      <c r="E596" s="149" t="s">
        <v>109</v>
      </c>
      <c r="F596" s="149" t="s">
        <v>441</v>
      </c>
      <c r="G596" s="149" t="s">
        <v>442</v>
      </c>
      <c r="H596" s="149" t="str">
        <f t="shared" si="2"/>
        <v>MARÍA GARROTE GARROTE</v>
      </c>
      <c r="I596" s="149" t="s">
        <v>447</v>
      </c>
      <c r="J596" s="153" t="s">
        <v>444</v>
      </c>
      <c r="K596" s="149" t="s">
        <v>1342</v>
      </c>
      <c r="L596" s="157">
        <v>45412</v>
      </c>
      <c r="M596" s="158"/>
      <c r="N596" s="163">
        <v>2</v>
      </c>
      <c r="O596" s="165" t="s">
        <v>513</v>
      </c>
      <c r="P596" s="161">
        <v>4840.91</v>
      </c>
      <c r="Q596" s="170">
        <v>45392</v>
      </c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</row>
    <row r="597" spans="1:27">
      <c r="A597" s="154">
        <v>4</v>
      </c>
      <c r="B597" s="155" t="s">
        <v>1147</v>
      </c>
      <c r="C597" s="156">
        <v>44739</v>
      </c>
      <c r="D597" s="155" t="s">
        <v>440</v>
      </c>
      <c r="E597" s="149" t="s">
        <v>122</v>
      </c>
      <c r="F597" s="149" t="s">
        <v>441</v>
      </c>
      <c r="G597" s="149" t="s">
        <v>442</v>
      </c>
      <c r="H597" s="149" t="str">
        <f t="shared" si="2"/>
        <v>VICENTE MARTÍNEZ SANTOS</v>
      </c>
      <c r="I597" s="149" t="s">
        <v>558</v>
      </c>
      <c r="J597" s="153" t="s">
        <v>444</v>
      </c>
      <c r="K597" s="149" t="s">
        <v>1343</v>
      </c>
      <c r="L597" s="157">
        <v>45412</v>
      </c>
      <c r="M597" s="158"/>
      <c r="N597" s="163">
        <v>1</v>
      </c>
      <c r="O597" s="165" t="s">
        <v>466</v>
      </c>
      <c r="P597" s="161">
        <v>2606.36</v>
      </c>
      <c r="Q597" s="170">
        <v>44739</v>
      </c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</row>
    <row r="598" spans="1:27">
      <c r="A598" s="154">
        <v>4</v>
      </c>
      <c r="B598" s="155" t="s">
        <v>1147</v>
      </c>
      <c r="C598" s="156">
        <v>45369</v>
      </c>
      <c r="D598" s="155" t="s">
        <v>440</v>
      </c>
      <c r="E598" s="149" t="s">
        <v>122</v>
      </c>
      <c r="F598" s="149" t="s">
        <v>441</v>
      </c>
      <c r="G598" s="149" t="s">
        <v>442</v>
      </c>
      <c r="H598" s="149" t="str">
        <f t="shared" si="2"/>
        <v>MAR LASSO DE LA VEGA ZAMORA</v>
      </c>
      <c r="I598" s="149" t="s">
        <v>909</v>
      </c>
      <c r="J598" s="149" t="s">
        <v>444</v>
      </c>
      <c r="K598" s="149" t="s">
        <v>1344</v>
      </c>
      <c r="L598" s="157">
        <v>45412</v>
      </c>
      <c r="M598" s="158"/>
      <c r="N598" s="163">
        <v>1</v>
      </c>
      <c r="O598" s="165" t="s">
        <v>446</v>
      </c>
      <c r="P598" s="161">
        <v>2054.5500000000002</v>
      </c>
      <c r="Q598" s="170">
        <v>45369</v>
      </c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</row>
    <row r="599" spans="1:27">
      <c r="A599" s="154">
        <v>4</v>
      </c>
      <c r="B599" s="155" t="s">
        <v>1147</v>
      </c>
      <c r="C599" s="156">
        <v>45373</v>
      </c>
      <c r="D599" s="155" t="s">
        <v>440</v>
      </c>
      <c r="E599" s="149" t="s">
        <v>315</v>
      </c>
      <c r="F599" s="149" t="s">
        <v>441</v>
      </c>
      <c r="G599" s="149" t="s">
        <v>442</v>
      </c>
      <c r="H599" s="149" t="str">
        <f t="shared" si="2"/>
        <v>HELENA MORENO PARDO</v>
      </c>
      <c r="I599" s="149" t="s">
        <v>1345</v>
      </c>
      <c r="J599" s="153" t="s">
        <v>444</v>
      </c>
      <c r="K599" s="149" t="s">
        <v>1346</v>
      </c>
      <c r="L599" s="157">
        <v>45412</v>
      </c>
      <c r="M599" s="164"/>
      <c r="N599" s="163">
        <v>2</v>
      </c>
      <c r="O599" s="165" t="s">
        <v>446</v>
      </c>
      <c r="P599" s="161">
        <v>3295.45</v>
      </c>
      <c r="Q599" s="170">
        <v>45373</v>
      </c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</row>
    <row r="600" spans="1:27">
      <c r="A600" s="154">
        <v>4</v>
      </c>
      <c r="B600" s="155" t="s">
        <v>1147</v>
      </c>
      <c r="C600" s="156">
        <v>45363</v>
      </c>
      <c r="D600" s="155" t="s">
        <v>440</v>
      </c>
      <c r="E600" s="149" t="s">
        <v>618</v>
      </c>
      <c r="F600" s="149" t="s">
        <v>441</v>
      </c>
      <c r="G600" s="149" t="s">
        <v>442</v>
      </c>
      <c r="H600" s="149" t="str">
        <f t="shared" si="2"/>
        <v>MIGUEL VACA GONZÁLEZ</v>
      </c>
      <c r="I600" s="149" t="s">
        <v>1347</v>
      </c>
      <c r="J600" s="149" t="s">
        <v>444</v>
      </c>
      <c r="K600" s="149" t="s">
        <v>1348</v>
      </c>
      <c r="L600" s="157">
        <v>45412</v>
      </c>
      <c r="M600" s="158"/>
      <c r="N600" s="163">
        <v>1</v>
      </c>
      <c r="O600" s="165" t="s">
        <v>449</v>
      </c>
      <c r="P600" s="161">
        <v>759.09</v>
      </c>
      <c r="Q600" s="170">
        <v>45363</v>
      </c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</row>
    <row r="601" spans="1:27">
      <c r="A601" s="154">
        <v>4</v>
      </c>
      <c r="B601" s="155" t="s">
        <v>1147</v>
      </c>
      <c r="C601" s="156">
        <v>45392</v>
      </c>
      <c r="D601" s="155" t="s">
        <v>440</v>
      </c>
      <c r="E601" s="149" t="s">
        <v>618</v>
      </c>
      <c r="F601" s="149" t="s">
        <v>441</v>
      </c>
      <c r="G601" s="149" t="s">
        <v>442</v>
      </c>
      <c r="H601" s="149" t="str">
        <f t="shared" si="2"/>
        <v>CARLOTA SEVIL SERRANO</v>
      </c>
      <c r="I601" s="149" t="s">
        <v>1174</v>
      </c>
      <c r="J601" s="153" t="s">
        <v>444</v>
      </c>
      <c r="K601" s="149" t="s">
        <v>1349</v>
      </c>
      <c r="L601" s="157">
        <v>45412</v>
      </c>
      <c r="M601" s="158"/>
      <c r="N601" s="163">
        <v>2</v>
      </c>
      <c r="O601" s="165" t="s">
        <v>446</v>
      </c>
      <c r="P601" s="161">
        <v>3604.55</v>
      </c>
      <c r="Q601" s="170">
        <v>45392</v>
      </c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</row>
    <row r="602" spans="1:27">
      <c r="A602" s="154">
        <v>4</v>
      </c>
      <c r="B602" s="155" t="s">
        <v>1147</v>
      </c>
      <c r="C602" s="156">
        <v>45358</v>
      </c>
      <c r="D602" s="155" t="s">
        <v>440</v>
      </c>
      <c r="E602" s="149" t="s">
        <v>98</v>
      </c>
      <c r="F602" s="149" t="s">
        <v>441</v>
      </c>
      <c r="G602" s="149" t="s">
        <v>442</v>
      </c>
      <c r="H602" s="149" t="str">
        <f t="shared" si="2"/>
        <v>IGNACIO ALBALADEJO DEVIS</v>
      </c>
      <c r="I602" s="149" t="s">
        <v>481</v>
      </c>
      <c r="J602" s="153" t="s">
        <v>462</v>
      </c>
      <c r="K602" s="149" t="s">
        <v>1350</v>
      </c>
      <c r="L602" s="157">
        <v>45412</v>
      </c>
      <c r="M602" s="158"/>
      <c r="N602" s="163">
        <v>2</v>
      </c>
      <c r="O602" s="165" t="s">
        <v>446</v>
      </c>
      <c r="P602" s="161">
        <v>3604.55</v>
      </c>
      <c r="Q602" s="170">
        <v>45358</v>
      </c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</row>
    <row r="603" spans="1:27">
      <c r="A603" s="154">
        <v>4</v>
      </c>
      <c r="B603" s="155" t="s">
        <v>1147</v>
      </c>
      <c r="C603" s="156">
        <v>45363</v>
      </c>
      <c r="D603" s="155" t="s">
        <v>440</v>
      </c>
      <c r="E603" s="149" t="s">
        <v>98</v>
      </c>
      <c r="F603" s="149" t="s">
        <v>441</v>
      </c>
      <c r="G603" s="149" t="s">
        <v>442</v>
      </c>
      <c r="H603" s="149" t="str">
        <f t="shared" si="2"/>
        <v>MARÍA AGUSTINA SEVILLA GARCÍA</v>
      </c>
      <c r="I603" s="149" t="s">
        <v>538</v>
      </c>
      <c r="J603" s="149" t="s">
        <v>462</v>
      </c>
      <c r="K603" s="149" t="s">
        <v>1351</v>
      </c>
      <c r="L603" s="157">
        <v>45412</v>
      </c>
      <c r="M603" s="158"/>
      <c r="N603" s="163">
        <v>2</v>
      </c>
      <c r="O603" s="165" t="s">
        <v>446</v>
      </c>
      <c r="P603" s="161">
        <v>3604.55</v>
      </c>
      <c r="Q603" s="170">
        <v>45363</v>
      </c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</row>
    <row r="604" spans="1:27">
      <c r="A604" s="154">
        <v>4</v>
      </c>
      <c r="B604" s="155" t="s">
        <v>1147</v>
      </c>
      <c r="C604" s="156">
        <v>45397</v>
      </c>
      <c r="D604" s="155" t="s">
        <v>440</v>
      </c>
      <c r="E604" s="149" t="s">
        <v>471</v>
      </c>
      <c r="F604" s="149" t="s">
        <v>441</v>
      </c>
      <c r="G604" s="149" t="s">
        <v>442</v>
      </c>
      <c r="H604" s="149" t="str">
        <f t="shared" si="2"/>
        <v>CARLOS MIGUEL SALVADOR MARTÍNEZ</v>
      </c>
      <c r="I604" s="149" t="s">
        <v>633</v>
      </c>
      <c r="J604" s="153" t="s">
        <v>473</v>
      </c>
      <c r="K604" s="149" t="s">
        <v>1352</v>
      </c>
      <c r="L604" s="157">
        <v>45412</v>
      </c>
      <c r="M604" s="158"/>
      <c r="N604" s="163">
        <v>2</v>
      </c>
      <c r="O604" s="165" t="s">
        <v>446</v>
      </c>
      <c r="P604" s="161">
        <v>3338.18</v>
      </c>
      <c r="Q604" s="170">
        <v>45397</v>
      </c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</row>
    <row r="605" spans="1:27">
      <c r="A605" s="154">
        <v>4</v>
      </c>
      <c r="B605" s="155" t="s">
        <v>1147</v>
      </c>
      <c r="C605" s="156">
        <v>45386</v>
      </c>
      <c r="D605" s="155" t="s">
        <v>440</v>
      </c>
      <c r="E605" s="149" t="s">
        <v>190</v>
      </c>
      <c r="F605" s="149" t="s">
        <v>441</v>
      </c>
      <c r="G605" s="149" t="s">
        <v>442</v>
      </c>
      <c r="H605" s="149" t="str">
        <f t="shared" si="2"/>
        <v>FRANCISCO GARCÍA PURRIÑOS</v>
      </c>
      <c r="I605" s="149" t="s">
        <v>610</v>
      </c>
      <c r="J605" s="153" t="s">
        <v>462</v>
      </c>
      <c r="K605" s="149" t="s">
        <v>1353</v>
      </c>
      <c r="L605" s="157">
        <v>45412</v>
      </c>
      <c r="M605" s="164"/>
      <c r="N605" s="163">
        <v>2</v>
      </c>
      <c r="O605" s="165" t="s">
        <v>446</v>
      </c>
      <c r="P605" s="161">
        <v>3604.55</v>
      </c>
      <c r="Q605" s="170">
        <v>45386</v>
      </c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</row>
    <row r="606" spans="1:27">
      <c r="A606" s="154">
        <v>5</v>
      </c>
      <c r="B606" s="155" t="s">
        <v>1354</v>
      </c>
      <c r="C606" s="156">
        <v>45373</v>
      </c>
      <c r="D606" s="155" t="s">
        <v>440</v>
      </c>
      <c r="E606" s="149" t="s">
        <v>506</v>
      </c>
      <c r="F606" s="149" t="s">
        <v>441</v>
      </c>
      <c r="G606" s="149" t="s">
        <v>442</v>
      </c>
      <c r="H606" s="149" t="str">
        <f t="shared" si="2"/>
        <v>MARÍA JESÚS CORNEJO DOMÍNGUEZ</v>
      </c>
      <c r="I606" s="149" t="s">
        <v>507</v>
      </c>
      <c r="J606" s="153" t="s">
        <v>473</v>
      </c>
      <c r="K606" s="149" t="s">
        <v>1355</v>
      </c>
      <c r="L606" s="183">
        <v>45414</v>
      </c>
      <c r="M606" s="149"/>
      <c r="N606" s="163">
        <v>2</v>
      </c>
      <c r="O606" s="149" t="s">
        <v>449</v>
      </c>
      <c r="P606" s="161">
        <v>2780.91</v>
      </c>
      <c r="Q606" s="184">
        <v>45373</v>
      </c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</row>
    <row r="607" spans="1:27">
      <c r="A607" s="154">
        <v>5</v>
      </c>
      <c r="B607" s="155" t="s">
        <v>1354</v>
      </c>
      <c r="C607" s="156">
        <v>45391</v>
      </c>
      <c r="D607" s="155" t="s">
        <v>440</v>
      </c>
      <c r="E607" s="149" t="s">
        <v>571</v>
      </c>
      <c r="F607" s="149" t="s">
        <v>441</v>
      </c>
      <c r="G607" s="149" t="s">
        <v>442</v>
      </c>
      <c r="H607" s="149" t="str">
        <f t="shared" si="2"/>
        <v>JOSÉ TISNER NIETO</v>
      </c>
      <c r="I607" s="149" t="s">
        <v>1356</v>
      </c>
      <c r="J607" s="149" t="s">
        <v>532</v>
      </c>
      <c r="K607" s="149" t="s">
        <v>1357</v>
      </c>
      <c r="L607" s="183">
        <v>45414</v>
      </c>
      <c r="M607" s="149"/>
      <c r="N607" s="163">
        <v>2</v>
      </c>
      <c r="O607" s="149" t="s">
        <v>446</v>
      </c>
      <c r="P607" s="161">
        <v>3424.55</v>
      </c>
      <c r="Q607" s="185">
        <v>45391</v>
      </c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</row>
    <row r="608" spans="1:27">
      <c r="A608" s="154">
        <v>5</v>
      </c>
      <c r="B608" s="155" t="s">
        <v>1354</v>
      </c>
      <c r="C608" s="156">
        <v>45383</v>
      </c>
      <c r="D608" s="155" t="s">
        <v>440</v>
      </c>
      <c r="E608" s="149" t="s">
        <v>514</v>
      </c>
      <c r="F608" s="149" t="s">
        <v>441</v>
      </c>
      <c r="G608" s="149" t="s">
        <v>442</v>
      </c>
      <c r="H608" s="149" t="str">
        <f t="shared" si="2"/>
        <v>CARLOS VIDAL REDONDO</v>
      </c>
      <c r="I608" s="149" t="s">
        <v>554</v>
      </c>
      <c r="J608" s="153" t="s">
        <v>516</v>
      </c>
      <c r="K608" s="149" t="s">
        <v>1358</v>
      </c>
      <c r="L608" s="157">
        <v>45415</v>
      </c>
      <c r="M608" s="158"/>
      <c r="N608" s="163">
        <v>1</v>
      </c>
      <c r="O608" s="165" t="s">
        <v>518</v>
      </c>
      <c r="P608" s="161">
        <v>890.91</v>
      </c>
      <c r="Q608" s="170">
        <v>45383</v>
      </c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</row>
    <row r="609" spans="1:27">
      <c r="A609" s="154">
        <v>5</v>
      </c>
      <c r="B609" s="155" t="s">
        <v>1354</v>
      </c>
      <c r="C609" s="156">
        <v>45357</v>
      </c>
      <c r="D609" s="155" t="s">
        <v>440</v>
      </c>
      <c r="E609" s="149" t="s">
        <v>506</v>
      </c>
      <c r="F609" s="149" t="s">
        <v>441</v>
      </c>
      <c r="G609" s="149" t="s">
        <v>442</v>
      </c>
      <c r="H609" s="149" t="str">
        <f t="shared" si="2"/>
        <v>ALEJANDRO HARGUINDéY ANTOLI-CANDéLA</v>
      </c>
      <c r="I609" s="149" t="s">
        <v>1359</v>
      </c>
      <c r="J609" s="153" t="s">
        <v>444</v>
      </c>
      <c r="K609" s="149" t="s">
        <v>1360</v>
      </c>
      <c r="L609" s="183">
        <v>45415</v>
      </c>
      <c r="M609" s="149"/>
      <c r="N609" s="163">
        <v>2</v>
      </c>
      <c r="O609" s="149" t="s">
        <v>466</v>
      </c>
      <c r="P609" s="161">
        <v>4222.7299999999996</v>
      </c>
      <c r="Q609" s="185">
        <v>45357</v>
      </c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</row>
    <row r="610" spans="1:27">
      <c r="A610" s="154">
        <v>5</v>
      </c>
      <c r="B610" s="155" t="s">
        <v>1354</v>
      </c>
      <c r="C610" s="156">
        <v>45371</v>
      </c>
      <c r="D610" s="155" t="s">
        <v>440</v>
      </c>
      <c r="E610" s="149" t="s">
        <v>506</v>
      </c>
      <c r="F610" s="149" t="s">
        <v>441</v>
      </c>
      <c r="G610" s="149" t="s">
        <v>442</v>
      </c>
      <c r="H610" s="149" t="str">
        <f t="shared" si="2"/>
        <v>MARÍA JESÚS CORNEJO DOMÍNGUEZ</v>
      </c>
      <c r="I610" s="149" t="s">
        <v>507</v>
      </c>
      <c r="J610" s="153" t="s">
        <v>473</v>
      </c>
      <c r="K610" s="149" t="s">
        <v>1361</v>
      </c>
      <c r="L610" s="183">
        <v>45415</v>
      </c>
      <c r="M610" s="149"/>
      <c r="N610" s="163">
        <v>2</v>
      </c>
      <c r="O610" s="149" t="s">
        <v>446</v>
      </c>
      <c r="P610" s="161">
        <v>3604.55</v>
      </c>
      <c r="Q610" s="184">
        <v>45371</v>
      </c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</row>
    <row r="611" spans="1:27">
      <c r="A611" s="154">
        <v>5</v>
      </c>
      <c r="B611" s="155" t="s">
        <v>1354</v>
      </c>
      <c r="C611" s="156">
        <v>45363</v>
      </c>
      <c r="D611" s="155" t="s">
        <v>440</v>
      </c>
      <c r="E611" s="149" t="s">
        <v>571</v>
      </c>
      <c r="F611" s="149" t="s">
        <v>441</v>
      </c>
      <c r="G611" s="149" t="s">
        <v>442</v>
      </c>
      <c r="H611" s="149" t="str">
        <f t="shared" si="2"/>
        <v>HECTOR VALLES VARELA</v>
      </c>
      <c r="I611" s="149" t="s">
        <v>1064</v>
      </c>
      <c r="J611" s="153" t="s">
        <v>532</v>
      </c>
      <c r="K611" s="149" t="s">
        <v>1362</v>
      </c>
      <c r="L611" s="183">
        <v>45415</v>
      </c>
      <c r="M611" s="153"/>
      <c r="N611" s="163">
        <v>2</v>
      </c>
      <c r="O611" s="149" t="s">
        <v>446</v>
      </c>
      <c r="P611" s="161">
        <v>3424.55</v>
      </c>
      <c r="Q611" s="185">
        <v>45363</v>
      </c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</row>
    <row r="612" spans="1:27">
      <c r="A612" s="154">
        <v>5</v>
      </c>
      <c r="B612" s="155" t="s">
        <v>1354</v>
      </c>
      <c r="C612" s="156">
        <v>45392</v>
      </c>
      <c r="D612" s="155" t="s">
        <v>440</v>
      </c>
      <c r="E612" s="149" t="s">
        <v>460</v>
      </c>
      <c r="F612" s="149" t="s">
        <v>441</v>
      </c>
      <c r="G612" s="149" t="s">
        <v>442</v>
      </c>
      <c r="H612" s="149" t="str">
        <f t="shared" si="2"/>
        <v>OSCAR ALEMÁN LÓPEZ</v>
      </c>
      <c r="I612" s="149" t="s">
        <v>497</v>
      </c>
      <c r="J612" s="153" t="s">
        <v>462</v>
      </c>
      <c r="K612" s="149" t="s">
        <v>1363</v>
      </c>
      <c r="L612" s="157">
        <v>45418</v>
      </c>
      <c r="M612" s="158"/>
      <c r="N612" s="163">
        <v>2</v>
      </c>
      <c r="O612" s="165" t="s">
        <v>449</v>
      </c>
      <c r="P612" s="161">
        <v>2780.91</v>
      </c>
      <c r="Q612" s="170">
        <v>45392</v>
      </c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</row>
    <row r="613" spans="1:27">
      <c r="A613" s="154">
        <v>5</v>
      </c>
      <c r="B613" s="155" t="s">
        <v>1354</v>
      </c>
      <c r="C613" s="156">
        <v>45377</v>
      </c>
      <c r="D613" s="155" t="s">
        <v>440</v>
      </c>
      <c r="E613" s="149" t="s">
        <v>317</v>
      </c>
      <c r="F613" s="149" t="s">
        <v>441</v>
      </c>
      <c r="G613" s="149" t="s">
        <v>442</v>
      </c>
      <c r="H613" s="149" t="str">
        <f t="shared" si="2"/>
        <v>FRANCISCO PASTOR BEVIÁ</v>
      </c>
      <c r="I613" s="149" t="s">
        <v>464</v>
      </c>
      <c r="J613" s="153" t="s">
        <v>462</v>
      </c>
      <c r="K613" s="149" t="s">
        <v>1364</v>
      </c>
      <c r="L613" s="157">
        <v>45418</v>
      </c>
      <c r="M613" s="158"/>
      <c r="N613" s="163">
        <v>2</v>
      </c>
      <c r="O613" s="165" t="s">
        <v>466</v>
      </c>
      <c r="P613" s="161">
        <v>4222.7299999999996</v>
      </c>
      <c r="Q613" s="170">
        <v>45377</v>
      </c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</row>
    <row r="614" spans="1:27">
      <c r="A614" s="154">
        <v>5</v>
      </c>
      <c r="B614" s="155" t="s">
        <v>1354</v>
      </c>
      <c r="C614" s="156">
        <v>45372</v>
      </c>
      <c r="D614" s="155" t="s">
        <v>440</v>
      </c>
      <c r="E614" s="149" t="s">
        <v>501</v>
      </c>
      <c r="F614" s="149" t="s">
        <v>441</v>
      </c>
      <c r="G614" s="149" t="s">
        <v>442</v>
      </c>
      <c r="H614" s="149" t="str">
        <f t="shared" si="2"/>
        <v>FERNANDO SALAZAR BARCELONA</v>
      </c>
      <c r="I614" s="149" t="s">
        <v>502</v>
      </c>
      <c r="J614" s="149" t="s">
        <v>548</v>
      </c>
      <c r="K614" s="149" t="s">
        <v>1365</v>
      </c>
      <c r="L614" s="157">
        <v>45418</v>
      </c>
      <c r="M614" s="158"/>
      <c r="N614" s="163">
        <v>2</v>
      </c>
      <c r="O614" s="165" t="s">
        <v>446</v>
      </c>
      <c r="P614" s="161">
        <v>3272.73</v>
      </c>
      <c r="Q614" s="170">
        <v>45372</v>
      </c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</row>
    <row r="615" spans="1:27">
      <c r="A615" s="154">
        <v>5</v>
      </c>
      <c r="B615" s="155" t="s">
        <v>1354</v>
      </c>
      <c r="C615" s="156">
        <v>45103</v>
      </c>
      <c r="D615" s="155" t="s">
        <v>440</v>
      </c>
      <c r="E615" s="149" t="s">
        <v>671</v>
      </c>
      <c r="F615" s="149" t="s">
        <v>441</v>
      </c>
      <c r="G615" s="149" t="s">
        <v>442</v>
      </c>
      <c r="H615" s="149" t="str">
        <f t="shared" si="2"/>
        <v>PEDRO JUIZ LÓPEZ</v>
      </c>
      <c r="I615" s="149" t="s">
        <v>672</v>
      </c>
      <c r="J615" s="153" t="s">
        <v>516</v>
      </c>
      <c r="K615" s="149" t="s">
        <v>1366</v>
      </c>
      <c r="L615" s="157">
        <v>45418</v>
      </c>
      <c r="M615" s="158"/>
      <c r="N615" s="163">
        <v>2</v>
      </c>
      <c r="O615" s="165" t="s">
        <v>466</v>
      </c>
      <c r="P615" s="161">
        <v>4310</v>
      </c>
      <c r="Q615" s="170">
        <v>45103</v>
      </c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</row>
    <row r="616" spans="1:27">
      <c r="A616" s="154">
        <v>5</v>
      </c>
      <c r="B616" s="155" t="s">
        <v>1354</v>
      </c>
      <c r="C616" s="156">
        <v>45246</v>
      </c>
      <c r="D616" s="155" t="s">
        <v>440</v>
      </c>
      <c r="E616" s="149" t="s">
        <v>525</v>
      </c>
      <c r="F616" s="149" t="s">
        <v>441</v>
      </c>
      <c r="G616" s="149" t="s">
        <v>442</v>
      </c>
      <c r="H616" s="149" t="str">
        <f t="shared" si="2"/>
        <v>ADELA PÉREZ-CARO RÍOS</v>
      </c>
      <c r="I616" s="149" t="s">
        <v>895</v>
      </c>
      <c r="J616" s="153" t="s">
        <v>516</v>
      </c>
      <c r="K616" s="149" t="s">
        <v>1367</v>
      </c>
      <c r="L616" s="168">
        <v>45418</v>
      </c>
      <c r="M616" s="149"/>
      <c r="N616" s="163">
        <v>1</v>
      </c>
      <c r="O616" s="149" t="s">
        <v>449</v>
      </c>
      <c r="P616" s="161">
        <v>1545.45</v>
      </c>
      <c r="Q616" s="185">
        <v>45246</v>
      </c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</row>
    <row r="617" spans="1:27">
      <c r="A617" s="154">
        <v>5</v>
      </c>
      <c r="B617" s="155" t="s">
        <v>1354</v>
      </c>
      <c r="C617" s="156">
        <v>45391</v>
      </c>
      <c r="D617" s="155" t="s">
        <v>440</v>
      </c>
      <c r="E617" s="149" t="s">
        <v>158</v>
      </c>
      <c r="F617" s="149" t="s">
        <v>441</v>
      </c>
      <c r="G617" s="149" t="s">
        <v>442</v>
      </c>
      <c r="H617" s="149" t="str">
        <f t="shared" si="2"/>
        <v>CARLOS BARAJAS DEL ROSAL</v>
      </c>
      <c r="I617" s="149" t="s">
        <v>660</v>
      </c>
      <c r="J617" s="149" t="s">
        <v>548</v>
      </c>
      <c r="K617" s="149" t="s">
        <v>1368</v>
      </c>
      <c r="L617" s="157">
        <v>45419</v>
      </c>
      <c r="M617" s="158"/>
      <c r="N617" s="163">
        <v>2</v>
      </c>
      <c r="O617" s="165" t="s">
        <v>466</v>
      </c>
      <c r="P617" s="161">
        <v>4222.7299999999996</v>
      </c>
      <c r="Q617" s="170">
        <v>45391</v>
      </c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</row>
    <row r="618" spans="1:27">
      <c r="A618" s="154">
        <v>5</v>
      </c>
      <c r="B618" s="155" t="s">
        <v>1354</v>
      </c>
      <c r="C618" s="156">
        <v>45401</v>
      </c>
      <c r="D618" s="155" t="s">
        <v>440</v>
      </c>
      <c r="E618" s="149" t="s">
        <v>309</v>
      </c>
      <c r="F618" s="149" t="s">
        <v>441</v>
      </c>
      <c r="G618" s="149" t="s">
        <v>442</v>
      </c>
      <c r="H618" s="149" t="str">
        <f t="shared" si="2"/>
        <v>OSCAR A, SÁNCHEZ VALENZUELA</v>
      </c>
      <c r="I618" s="149" t="s">
        <v>1369</v>
      </c>
      <c r="J618" s="153" t="s">
        <v>444</v>
      </c>
      <c r="K618" s="149" t="s">
        <v>1370</v>
      </c>
      <c r="L618" s="157">
        <v>45419</v>
      </c>
      <c r="M618" s="158"/>
      <c r="N618" s="163">
        <v>2</v>
      </c>
      <c r="O618" s="165" t="s">
        <v>446</v>
      </c>
      <c r="P618" s="161">
        <v>3604.55</v>
      </c>
      <c r="Q618" s="170">
        <v>45401</v>
      </c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</row>
    <row r="619" spans="1:27">
      <c r="A619" s="154">
        <v>5</v>
      </c>
      <c r="B619" s="155" t="s">
        <v>1354</v>
      </c>
      <c r="C619" s="156">
        <v>45335</v>
      </c>
      <c r="D619" s="155" t="s">
        <v>440</v>
      </c>
      <c r="E619" s="149" t="s">
        <v>309</v>
      </c>
      <c r="F619" s="149" t="s">
        <v>441</v>
      </c>
      <c r="G619" s="149" t="s">
        <v>442</v>
      </c>
      <c r="H619" s="149" t="str">
        <f t="shared" si="2"/>
        <v>MARÍA SANTILLÁN SÁNCHEZ</v>
      </c>
      <c r="I619" s="149" t="s">
        <v>493</v>
      </c>
      <c r="J619" s="153" t="s">
        <v>444</v>
      </c>
      <c r="K619" s="149" t="s">
        <v>1371</v>
      </c>
      <c r="L619" s="157">
        <v>45419</v>
      </c>
      <c r="M619" s="158"/>
      <c r="N619" s="163">
        <v>2</v>
      </c>
      <c r="O619" s="165" t="s">
        <v>449</v>
      </c>
      <c r="P619" s="161">
        <v>2780.91</v>
      </c>
      <c r="Q619" s="170">
        <v>45335</v>
      </c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</row>
    <row r="620" spans="1:27">
      <c r="A620" s="154">
        <v>5</v>
      </c>
      <c r="B620" s="155" t="s">
        <v>1354</v>
      </c>
      <c r="C620" s="156">
        <v>45363</v>
      </c>
      <c r="D620" s="155" t="s">
        <v>440</v>
      </c>
      <c r="E620" s="149" t="s">
        <v>98</v>
      </c>
      <c r="F620" s="149" t="s">
        <v>441</v>
      </c>
      <c r="G620" s="149" t="s">
        <v>442</v>
      </c>
      <c r="H620" s="149" t="str">
        <f t="shared" si="2"/>
        <v>MARÍA AGUSTINA SEVILLA GARCÍA</v>
      </c>
      <c r="I620" s="149" t="s">
        <v>538</v>
      </c>
      <c r="J620" s="153" t="s">
        <v>462</v>
      </c>
      <c r="K620" s="149" t="s">
        <v>1372</v>
      </c>
      <c r="L620" s="157">
        <v>45419</v>
      </c>
      <c r="M620" s="149"/>
      <c r="N620" s="163">
        <v>2</v>
      </c>
      <c r="O620" s="149" t="s">
        <v>446</v>
      </c>
      <c r="P620" s="161">
        <v>3604.55</v>
      </c>
      <c r="Q620" s="184">
        <v>45363</v>
      </c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</row>
    <row r="621" spans="1:27">
      <c r="A621" s="154">
        <v>5</v>
      </c>
      <c r="B621" s="155" t="s">
        <v>1354</v>
      </c>
      <c r="C621" s="156">
        <v>45366</v>
      </c>
      <c r="D621" s="155" t="s">
        <v>440</v>
      </c>
      <c r="E621" s="149" t="s">
        <v>951</v>
      </c>
      <c r="F621" s="149" t="s">
        <v>441</v>
      </c>
      <c r="G621" s="149" t="s">
        <v>442</v>
      </c>
      <c r="H621" s="149" t="str">
        <f>TRIM(SUBSTITUTE(SUBSTITUTE(SUBSTITUTE(SUBSTITUTE(I621,"D. ",""),"DRA. ",""),"DR ",""),"DRA ",""))</f>
        <v>ISABEL VAAMONDE SANCHEZ ANDRADE</v>
      </c>
      <c r="I621" s="149" t="s">
        <v>1373</v>
      </c>
      <c r="J621" s="153" t="s">
        <v>516</v>
      </c>
      <c r="K621" s="149" t="s">
        <v>1374</v>
      </c>
      <c r="L621" s="157">
        <v>45419</v>
      </c>
      <c r="M621" s="149"/>
      <c r="N621" s="163">
        <v>2</v>
      </c>
      <c r="O621" s="149" t="s">
        <v>449</v>
      </c>
      <c r="P621" s="161">
        <v>2780.91</v>
      </c>
      <c r="Q621" s="184">
        <v>45366</v>
      </c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</row>
    <row r="622" spans="1:27">
      <c r="A622" s="154">
        <v>5</v>
      </c>
      <c r="B622" s="155" t="s">
        <v>1354</v>
      </c>
      <c r="C622" s="156">
        <v>45394</v>
      </c>
      <c r="D622" s="155" t="s">
        <v>440</v>
      </c>
      <c r="E622" s="149" t="s">
        <v>571</v>
      </c>
      <c r="F622" s="149" t="s">
        <v>441</v>
      </c>
      <c r="G622" s="149" t="s">
        <v>442</v>
      </c>
      <c r="H622" s="149" t="str">
        <f t="shared" ref="H622:H676" si="3">TRIM(SUBSTITUTE(SUBSTITUTE(SUBSTITUTE(SUBSTITUTE(I622,"DR. ",""),"DRA. ",""),"DR ",""),"DRA ",""))</f>
        <v>JOSÉ TISNER NIETO</v>
      </c>
      <c r="I622" s="149" t="s">
        <v>1356</v>
      </c>
      <c r="J622" s="149" t="s">
        <v>532</v>
      </c>
      <c r="K622" s="149" t="s">
        <v>1375</v>
      </c>
      <c r="L622" s="183">
        <v>45419</v>
      </c>
      <c r="M622" s="149"/>
      <c r="N622" s="163">
        <v>2</v>
      </c>
      <c r="O622" s="149" t="s">
        <v>446</v>
      </c>
      <c r="P622" s="161">
        <v>3244.09</v>
      </c>
      <c r="Q622" s="184">
        <v>45394</v>
      </c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</row>
    <row r="623" spans="1:27">
      <c r="A623" s="154">
        <v>5</v>
      </c>
      <c r="B623" s="155" t="s">
        <v>1354</v>
      </c>
      <c r="C623" s="156">
        <v>45364</v>
      </c>
      <c r="D623" s="155" t="s">
        <v>440</v>
      </c>
      <c r="E623" s="149" t="s">
        <v>315</v>
      </c>
      <c r="F623" s="149" t="s">
        <v>441</v>
      </c>
      <c r="G623" s="149" t="s">
        <v>442</v>
      </c>
      <c r="H623" s="149" t="str">
        <f t="shared" si="3"/>
        <v>JOSÉ GUSTAVO BARROSO BRAOJOS</v>
      </c>
      <c r="I623" s="149" t="s">
        <v>560</v>
      </c>
      <c r="J623" s="153" t="s">
        <v>444</v>
      </c>
      <c r="K623" s="149" t="s">
        <v>1376</v>
      </c>
      <c r="L623" s="157">
        <v>45420</v>
      </c>
      <c r="M623" s="164"/>
      <c r="N623" s="163">
        <v>2</v>
      </c>
      <c r="O623" s="165" t="s">
        <v>446</v>
      </c>
      <c r="P623" s="161">
        <v>3604.55</v>
      </c>
      <c r="Q623" s="170">
        <v>45364</v>
      </c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</row>
    <row r="624" spans="1:27">
      <c r="A624" s="154">
        <v>5</v>
      </c>
      <c r="B624" s="155" t="s">
        <v>1354</v>
      </c>
      <c r="C624" s="156">
        <v>45383</v>
      </c>
      <c r="D624" s="155" t="s">
        <v>440</v>
      </c>
      <c r="E624" s="149" t="s">
        <v>239</v>
      </c>
      <c r="F624" s="149" t="s">
        <v>441</v>
      </c>
      <c r="G624" s="149" t="s">
        <v>442</v>
      </c>
      <c r="H624" s="149" t="str">
        <f t="shared" si="3"/>
        <v>DANIELA TERÁN GUAMÁN</v>
      </c>
      <c r="I624" s="149" t="s">
        <v>1377</v>
      </c>
      <c r="J624" s="153" t="s">
        <v>455</v>
      </c>
      <c r="K624" s="149" t="s">
        <v>1378</v>
      </c>
      <c r="L624" s="183">
        <v>45420</v>
      </c>
      <c r="M624" s="149"/>
      <c r="N624" s="163">
        <v>2</v>
      </c>
      <c r="O624" s="149" t="s">
        <v>446</v>
      </c>
      <c r="P624" s="161">
        <v>3786.36</v>
      </c>
      <c r="Q624" s="185">
        <v>45383</v>
      </c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</row>
    <row r="625" spans="1:27">
      <c r="A625" s="154">
        <v>5</v>
      </c>
      <c r="B625" s="155" t="s">
        <v>1354</v>
      </c>
      <c r="C625" s="156">
        <v>45336</v>
      </c>
      <c r="D625" s="155" t="s">
        <v>440</v>
      </c>
      <c r="E625" s="149" t="s">
        <v>530</v>
      </c>
      <c r="F625" s="149" t="s">
        <v>441</v>
      </c>
      <c r="G625" s="149" t="s">
        <v>442</v>
      </c>
      <c r="H625" s="149" t="str">
        <f t="shared" si="3"/>
        <v>ELENA DE DIOS ORAN</v>
      </c>
      <c r="I625" s="149" t="s">
        <v>960</v>
      </c>
      <c r="J625" s="153" t="s">
        <v>532</v>
      </c>
      <c r="K625" s="149" t="s">
        <v>1379</v>
      </c>
      <c r="L625" s="157">
        <v>45420</v>
      </c>
      <c r="M625" s="149"/>
      <c r="N625" s="163">
        <v>1</v>
      </c>
      <c r="O625" s="149" t="s">
        <v>518</v>
      </c>
      <c r="P625" s="161">
        <v>1090.9100000000001</v>
      </c>
      <c r="Q625" s="184">
        <v>45336</v>
      </c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</row>
    <row r="626" spans="1:27">
      <c r="A626" s="154">
        <v>5</v>
      </c>
      <c r="B626" s="155" t="s">
        <v>1354</v>
      </c>
      <c r="C626" s="156">
        <v>45279</v>
      </c>
      <c r="D626" s="155" t="s">
        <v>440</v>
      </c>
      <c r="E626" s="149" t="s">
        <v>546</v>
      </c>
      <c r="F626" s="149" t="s">
        <v>441</v>
      </c>
      <c r="G626" s="149" t="s">
        <v>442</v>
      </c>
      <c r="H626" s="149" t="str">
        <f t="shared" si="3"/>
        <v>MANUEL CAÑETE DOMÍNGUEZ</v>
      </c>
      <c r="I626" s="149" t="s">
        <v>1380</v>
      </c>
      <c r="J626" s="153" t="s">
        <v>548</v>
      </c>
      <c r="K626" s="149" t="s">
        <v>1381</v>
      </c>
      <c r="L626" s="157">
        <v>45421</v>
      </c>
      <c r="M626" s="158"/>
      <c r="N626" s="163">
        <v>2</v>
      </c>
      <c r="O626" s="165" t="s">
        <v>513</v>
      </c>
      <c r="P626" s="161">
        <v>4410</v>
      </c>
      <c r="Q626" s="170">
        <v>45279</v>
      </c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</row>
    <row r="627" spans="1:27">
      <c r="A627" s="154">
        <v>5</v>
      </c>
      <c r="B627" s="155" t="s">
        <v>1354</v>
      </c>
      <c r="C627" s="156">
        <v>45408</v>
      </c>
      <c r="D627" s="155" t="s">
        <v>440</v>
      </c>
      <c r="E627" s="149" t="s">
        <v>856</v>
      </c>
      <c r="F627" s="149" t="s">
        <v>441</v>
      </c>
      <c r="G627" s="149" t="s">
        <v>442</v>
      </c>
      <c r="H627" s="149" t="str">
        <f t="shared" si="3"/>
        <v>GERARDO MARTIN SIGUENZA</v>
      </c>
      <c r="I627" s="149" t="s">
        <v>1382</v>
      </c>
      <c r="J627" s="149" t="s">
        <v>473</v>
      </c>
      <c r="K627" s="149" t="s">
        <v>1383</v>
      </c>
      <c r="L627" s="157">
        <v>45421</v>
      </c>
      <c r="M627" s="158"/>
      <c r="N627" s="163">
        <v>2</v>
      </c>
      <c r="O627" s="165" t="s">
        <v>446</v>
      </c>
      <c r="P627" s="161">
        <v>3877.27</v>
      </c>
      <c r="Q627" s="170">
        <v>45408</v>
      </c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</row>
    <row r="628" spans="1:27">
      <c r="A628" s="154">
        <v>5</v>
      </c>
      <c r="B628" s="155" t="s">
        <v>1354</v>
      </c>
      <c r="C628" s="156">
        <v>45392</v>
      </c>
      <c r="D628" s="155" t="s">
        <v>440</v>
      </c>
      <c r="E628" s="149" t="s">
        <v>315</v>
      </c>
      <c r="F628" s="149" t="s">
        <v>441</v>
      </c>
      <c r="G628" s="149" t="s">
        <v>442</v>
      </c>
      <c r="H628" s="149" t="str">
        <f t="shared" si="3"/>
        <v>JOSÉ GUSTAVO BARROSO BRAOJOS</v>
      </c>
      <c r="I628" s="149" t="s">
        <v>560</v>
      </c>
      <c r="J628" s="153" t="s">
        <v>444</v>
      </c>
      <c r="K628" s="149" t="s">
        <v>1384</v>
      </c>
      <c r="L628" s="157">
        <v>45421</v>
      </c>
      <c r="M628" s="158"/>
      <c r="N628" s="163">
        <v>2</v>
      </c>
      <c r="O628" s="165" t="s">
        <v>446</v>
      </c>
      <c r="P628" s="161">
        <v>3604.55</v>
      </c>
      <c r="Q628" s="170">
        <v>45392</v>
      </c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</row>
    <row r="629" spans="1:27">
      <c r="A629" s="154">
        <v>5</v>
      </c>
      <c r="B629" s="155" t="s">
        <v>1354</v>
      </c>
      <c r="C629" s="156">
        <v>45363</v>
      </c>
      <c r="D629" s="155" t="s">
        <v>440</v>
      </c>
      <c r="E629" s="149" t="s">
        <v>158</v>
      </c>
      <c r="F629" s="149" t="s">
        <v>441</v>
      </c>
      <c r="G629" s="149" t="s">
        <v>442</v>
      </c>
      <c r="H629" s="149" t="str">
        <f t="shared" si="3"/>
        <v>CARLOS BARAJAS DEL ROSAL</v>
      </c>
      <c r="I629" s="149" t="s">
        <v>660</v>
      </c>
      <c r="J629" s="153" t="s">
        <v>548</v>
      </c>
      <c r="K629" s="149" t="s">
        <v>1385</v>
      </c>
      <c r="L629" s="157">
        <v>45421</v>
      </c>
      <c r="M629" s="164"/>
      <c r="N629" s="163">
        <v>2</v>
      </c>
      <c r="O629" s="165" t="s">
        <v>466</v>
      </c>
      <c r="P629" s="161">
        <v>3809.09</v>
      </c>
      <c r="Q629" s="170">
        <v>45363</v>
      </c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</row>
    <row r="630" spans="1:27">
      <c r="A630" s="154">
        <v>5</v>
      </c>
      <c r="B630" s="155" t="s">
        <v>1354</v>
      </c>
      <c r="C630" s="156">
        <v>45378</v>
      </c>
      <c r="D630" s="155" t="s">
        <v>440</v>
      </c>
      <c r="E630" s="149" t="s">
        <v>102</v>
      </c>
      <c r="F630" s="149" t="s">
        <v>441</v>
      </c>
      <c r="G630" s="149" t="s">
        <v>442</v>
      </c>
      <c r="H630" s="149" t="str">
        <f t="shared" si="3"/>
        <v>SANTIAGO MORENO PAREDES</v>
      </c>
      <c r="I630" s="149" t="s">
        <v>968</v>
      </c>
      <c r="J630" s="153" t="s">
        <v>462</v>
      </c>
      <c r="K630" s="149" t="s">
        <v>1386</v>
      </c>
      <c r="L630" s="183">
        <v>45421</v>
      </c>
      <c r="M630" s="149"/>
      <c r="N630" s="163">
        <v>2</v>
      </c>
      <c r="O630" s="149" t="s">
        <v>449</v>
      </c>
      <c r="P630" s="161">
        <v>2471.8200000000002</v>
      </c>
      <c r="Q630" s="185">
        <v>45378</v>
      </c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</row>
    <row r="631" spans="1:27">
      <c r="A631" s="154">
        <v>5</v>
      </c>
      <c r="B631" s="155" t="s">
        <v>1354</v>
      </c>
      <c r="C631" s="156">
        <v>45362</v>
      </c>
      <c r="D631" s="155" t="s">
        <v>440</v>
      </c>
      <c r="E631" s="149" t="s">
        <v>471</v>
      </c>
      <c r="F631" s="149" t="s">
        <v>441</v>
      </c>
      <c r="G631" s="149" t="s">
        <v>442</v>
      </c>
      <c r="H631" s="149" t="str">
        <f t="shared" si="3"/>
        <v>CARMEN VALLÉS RODRÍGUEZ</v>
      </c>
      <c r="I631" s="149" t="s">
        <v>1387</v>
      </c>
      <c r="J631" s="149" t="s">
        <v>473</v>
      </c>
      <c r="K631" s="149" t="s">
        <v>1388</v>
      </c>
      <c r="L631" s="168">
        <v>45421</v>
      </c>
      <c r="M631" s="153"/>
      <c r="N631" s="163">
        <v>2</v>
      </c>
      <c r="O631" s="149" t="s">
        <v>446</v>
      </c>
      <c r="P631" s="161">
        <v>3603.85</v>
      </c>
      <c r="Q631" s="185">
        <v>45362</v>
      </c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</row>
    <row r="632" spans="1:27">
      <c r="A632" s="154">
        <v>5</v>
      </c>
      <c r="B632" s="155" t="s">
        <v>1354</v>
      </c>
      <c r="C632" s="156">
        <v>45351</v>
      </c>
      <c r="D632" s="155" t="s">
        <v>440</v>
      </c>
      <c r="E632" s="149" t="s">
        <v>201</v>
      </c>
      <c r="F632" s="149" t="s">
        <v>441</v>
      </c>
      <c r="G632" s="149" t="s">
        <v>442</v>
      </c>
      <c r="H632" s="149" t="str">
        <f t="shared" si="3"/>
        <v>CARLOS FÉLIX ASENSIO NIETO</v>
      </c>
      <c r="I632" s="149" t="s">
        <v>1097</v>
      </c>
      <c r="J632" s="153" t="s">
        <v>548</v>
      </c>
      <c r="K632" s="149" t="s">
        <v>1389</v>
      </c>
      <c r="L632" s="183">
        <v>45421</v>
      </c>
      <c r="M632" s="149"/>
      <c r="N632" s="163">
        <v>2</v>
      </c>
      <c r="O632" s="149" t="s">
        <v>449</v>
      </c>
      <c r="P632" s="161">
        <v>2780.91</v>
      </c>
      <c r="Q632" s="184">
        <v>45351</v>
      </c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</row>
    <row r="633" spans="1:27">
      <c r="A633" s="154">
        <v>5</v>
      </c>
      <c r="B633" s="155" t="s">
        <v>1354</v>
      </c>
      <c r="C633" s="156">
        <v>45352</v>
      </c>
      <c r="D633" s="155" t="s">
        <v>440</v>
      </c>
      <c r="E633" s="149" t="s">
        <v>317</v>
      </c>
      <c r="F633" s="149" t="s">
        <v>441</v>
      </c>
      <c r="G633" s="149" t="s">
        <v>442</v>
      </c>
      <c r="H633" s="149" t="str">
        <f t="shared" si="3"/>
        <v>GUILLERMO SEVERÁ FERRANDIZ</v>
      </c>
      <c r="I633" s="149" t="s">
        <v>916</v>
      </c>
      <c r="J633" s="153" t="s">
        <v>462</v>
      </c>
      <c r="K633" s="149" t="s">
        <v>1390</v>
      </c>
      <c r="L633" s="157">
        <v>45422</v>
      </c>
      <c r="M633" s="158"/>
      <c r="N633" s="163">
        <v>1</v>
      </c>
      <c r="O633" s="165" t="s">
        <v>513</v>
      </c>
      <c r="P633" s="161">
        <v>2988</v>
      </c>
      <c r="Q633" s="170">
        <v>45352</v>
      </c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</row>
    <row r="634" spans="1:27">
      <c r="A634" s="154">
        <v>5</v>
      </c>
      <c r="B634" s="155" t="s">
        <v>1354</v>
      </c>
      <c r="C634" s="156">
        <v>45370</v>
      </c>
      <c r="D634" s="155" t="s">
        <v>440</v>
      </c>
      <c r="E634" s="149" t="s">
        <v>546</v>
      </c>
      <c r="F634" s="149" t="s">
        <v>441</v>
      </c>
      <c r="G634" s="149" t="s">
        <v>442</v>
      </c>
      <c r="H634" s="149" t="str">
        <f t="shared" si="3"/>
        <v>MANUEL CAÑETE DOMÍNGUEZ</v>
      </c>
      <c r="I634" s="149" t="s">
        <v>1380</v>
      </c>
      <c r="J634" s="153" t="s">
        <v>548</v>
      </c>
      <c r="K634" s="149" t="s">
        <v>1391</v>
      </c>
      <c r="L634" s="157">
        <v>45422</v>
      </c>
      <c r="M634" s="158"/>
      <c r="N634" s="163">
        <v>2</v>
      </c>
      <c r="O634" s="165" t="s">
        <v>446</v>
      </c>
      <c r="P634" s="161">
        <v>3604.55</v>
      </c>
      <c r="Q634" s="170">
        <v>45370</v>
      </c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</row>
    <row r="635" spans="1:27">
      <c r="A635" s="154">
        <v>5</v>
      </c>
      <c r="B635" s="155" t="s">
        <v>1354</v>
      </c>
      <c r="C635" s="156">
        <v>45303</v>
      </c>
      <c r="D635" s="155" t="s">
        <v>440</v>
      </c>
      <c r="E635" s="149" t="s">
        <v>501</v>
      </c>
      <c r="F635" s="149" t="s">
        <v>441</v>
      </c>
      <c r="G635" s="149" t="s">
        <v>442</v>
      </c>
      <c r="H635" s="149" t="str">
        <f t="shared" si="3"/>
        <v>REBECA BARRIOS GONZALO</v>
      </c>
      <c r="I635" s="149" t="s">
        <v>1392</v>
      </c>
      <c r="J635" s="153" t="s">
        <v>548</v>
      </c>
      <c r="K635" s="149" t="s">
        <v>1393</v>
      </c>
      <c r="L635" s="157">
        <v>45422</v>
      </c>
      <c r="M635" s="164"/>
      <c r="N635" s="163">
        <v>2</v>
      </c>
      <c r="O635" s="165" t="s">
        <v>449</v>
      </c>
      <c r="P635" s="161">
        <v>2818.18</v>
      </c>
      <c r="Q635" s="170">
        <v>45303</v>
      </c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</row>
    <row r="636" spans="1:27">
      <c r="A636" s="154">
        <v>5</v>
      </c>
      <c r="B636" s="155" t="s">
        <v>1354</v>
      </c>
      <c r="C636" s="156">
        <v>45369</v>
      </c>
      <c r="D636" s="155" t="s">
        <v>440</v>
      </c>
      <c r="E636" s="149" t="s">
        <v>563</v>
      </c>
      <c r="F636" s="149" t="s">
        <v>441</v>
      </c>
      <c r="G636" s="149" t="s">
        <v>442</v>
      </c>
      <c r="H636" s="149" t="str">
        <f t="shared" si="3"/>
        <v>DIANA HERNÁN PÉREZ</v>
      </c>
      <c r="I636" s="149" t="s">
        <v>1394</v>
      </c>
      <c r="J636" s="153" t="s">
        <v>444</v>
      </c>
      <c r="K636" s="149" t="s">
        <v>1395</v>
      </c>
      <c r="L636" s="157">
        <v>45422</v>
      </c>
      <c r="M636" s="158"/>
      <c r="N636" s="163">
        <v>2</v>
      </c>
      <c r="O636" s="165" t="s">
        <v>446</v>
      </c>
      <c r="P636" s="161">
        <v>3423.64</v>
      </c>
      <c r="Q636" s="170">
        <v>45369</v>
      </c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</row>
    <row r="637" spans="1:27">
      <c r="A637" s="154">
        <v>5</v>
      </c>
      <c r="B637" s="155" t="s">
        <v>1354</v>
      </c>
      <c r="C637" s="156">
        <v>45393</v>
      </c>
      <c r="D637" s="155" t="s">
        <v>440</v>
      </c>
      <c r="E637" s="149" t="s">
        <v>309</v>
      </c>
      <c r="F637" s="149" t="s">
        <v>441</v>
      </c>
      <c r="G637" s="149" t="s">
        <v>442</v>
      </c>
      <c r="H637" s="149" t="str">
        <f t="shared" si="3"/>
        <v>BÁRBARA CASTILLO ÁVILA</v>
      </c>
      <c r="I637" s="149" t="s">
        <v>676</v>
      </c>
      <c r="J637" s="153" t="s">
        <v>444</v>
      </c>
      <c r="K637" s="149" t="s">
        <v>1396</v>
      </c>
      <c r="L637" s="157">
        <v>45422</v>
      </c>
      <c r="M637" s="158"/>
      <c r="N637" s="163">
        <v>1</v>
      </c>
      <c r="O637" s="165" t="s">
        <v>449</v>
      </c>
      <c r="P637" s="161">
        <v>1668.18</v>
      </c>
      <c r="Q637" s="170">
        <v>45393</v>
      </c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</row>
    <row r="638" spans="1:27">
      <c r="A638" s="154">
        <v>5</v>
      </c>
      <c r="B638" s="155" t="s">
        <v>1354</v>
      </c>
      <c r="C638" s="156">
        <v>45390</v>
      </c>
      <c r="D638" s="155" t="s">
        <v>440</v>
      </c>
      <c r="E638" s="149" t="s">
        <v>309</v>
      </c>
      <c r="F638" s="149" t="s">
        <v>441</v>
      </c>
      <c r="G638" s="149" t="s">
        <v>442</v>
      </c>
      <c r="H638" s="149" t="str">
        <f t="shared" si="3"/>
        <v>OSCAR A, SÁNCHEZ VALENZUELA</v>
      </c>
      <c r="I638" s="149" t="s">
        <v>1369</v>
      </c>
      <c r="J638" s="153" t="s">
        <v>444</v>
      </c>
      <c r="K638" s="149" t="s">
        <v>1397</v>
      </c>
      <c r="L638" s="157">
        <v>45422</v>
      </c>
      <c r="M638" s="164"/>
      <c r="N638" s="163">
        <v>1</v>
      </c>
      <c r="O638" s="165" t="s">
        <v>446</v>
      </c>
      <c r="P638" s="161">
        <v>2162.73</v>
      </c>
      <c r="Q638" s="170">
        <v>45390</v>
      </c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</row>
    <row r="639" spans="1:27">
      <c r="A639" s="154">
        <v>5</v>
      </c>
      <c r="B639" s="155" t="s">
        <v>1354</v>
      </c>
      <c r="C639" s="156">
        <v>45394</v>
      </c>
      <c r="D639" s="155" t="s">
        <v>440</v>
      </c>
      <c r="E639" s="149" t="s">
        <v>98</v>
      </c>
      <c r="F639" s="149" t="s">
        <v>441</v>
      </c>
      <c r="G639" s="149" t="s">
        <v>442</v>
      </c>
      <c r="H639" s="149" t="str">
        <f t="shared" si="3"/>
        <v>BEATRIZ RODRÍGUEZ GONZÁLEZ HERRERO</v>
      </c>
      <c r="I639" s="149" t="s">
        <v>1398</v>
      </c>
      <c r="J639" s="153" t="s">
        <v>462</v>
      </c>
      <c r="K639" s="149" t="s">
        <v>1399</v>
      </c>
      <c r="L639" s="157">
        <v>45422</v>
      </c>
      <c r="M639" s="153"/>
      <c r="N639" s="163">
        <v>2</v>
      </c>
      <c r="O639" s="149" t="s">
        <v>449</v>
      </c>
      <c r="P639" s="161">
        <v>2471.75</v>
      </c>
      <c r="Q639" s="184">
        <v>45394</v>
      </c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</row>
    <row r="640" spans="1:27">
      <c r="A640" s="154">
        <v>5</v>
      </c>
      <c r="B640" s="155" t="s">
        <v>1354</v>
      </c>
      <c r="C640" s="156">
        <v>45391</v>
      </c>
      <c r="D640" s="155" t="s">
        <v>440</v>
      </c>
      <c r="E640" s="149" t="s">
        <v>201</v>
      </c>
      <c r="F640" s="149" t="s">
        <v>441</v>
      </c>
      <c r="G640" s="149" t="s">
        <v>442</v>
      </c>
      <c r="H640" s="149" t="str">
        <f t="shared" si="3"/>
        <v>CARLOS FÉLIX ASENSIO NIETO</v>
      </c>
      <c r="I640" s="149" t="s">
        <v>1097</v>
      </c>
      <c r="J640" s="153" t="s">
        <v>548</v>
      </c>
      <c r="K640" s="149" t="s">
        <v>1400</v>
      </c>
      <c r="L640" s="168">
        <v>45422</v>
      </c>
      <c r="M640" s="149"/>
      <c r="N640" s="163">
        <v>2</v>
      </c>
      <c r="O640" s="149" t="s">
        <v>446</v>
      </c>
      <c r="P640" s="161">
        <v>3604.55</v>
      </c>
      <c r="Q640" s="184">
        <v>45391</v>
      </c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</row>
    <row r="641" spans="1:27">
      <c r="A641" s="154">
        <v>5</v>
      </c>
      <c r="B641" s="155" t="s">
        <v>1354</v>
      </c>
      <c r="C641" s="156">
        <v>45358</v>
      </c>
      <c r="D641" s="155" t="s">
        <v>440</v>
      </c>
      <c r="E641" s="149" t="s">
        <v>530</v>
      </c>
      <c r="F641" s="149" t="s">
        <v>441</v>
      </c>
      <c r="G641" s="149" t="s">
        <v>442</v>
      </c>
      <c r="H641" s="149" t="str">
        <f t="shared" si="3"/>
        <v>JOSEP MARIA ORRIT ARENAS</v>
      </c>
      <c r="I641" s="149" t="s">
        <v>954</v>
      </c>
      <c r="J641" s="149" t="s">
        <v>532</v>
      </c>
      <c r="K641" s="149" t="s">
        <v>1401</v>
      </c>
      <c r="L641" s="168">
        <v>45423</v>
      </c>
      <c r="M641" s="149"/>
      <c r="N641" s="163">
        <v>2</v>
      </c>
      <c r="O641" s="149" t="s">
        <v>518</v>
      </c>
      <c r="P641" s="161">
        <v>2545.4499999999998</v>
      </c>
      <c r="Q641" s="185">
        <v>45358</v>
      </c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</row>
    <row r="642" spans="1:27">
      <c r="A642" s="154">
        <v>5</v>
      </c>
      <c r="B642" s="155" t="s">
        <v>1354</v>
      </c>
      <c r="C642" s="156">
        <v>45370</v>
      </c>
      <c r="D642" s="155" t="s">
        <v>440</v>
      </c>
      <c r="E642" s="149" t="s">
        <v>501</v>
      </c>
      <c r="F642" s="149" t="s">
        <v>441</v>
      </c>
      <c r="G642" s="149" t="s">
        <v>442</v>
      </c>
      <c r="H642" s="149" t="str">
        <f t="shared" si="3"/>
        <v>FERNANDO SALAZAR BARCELONA</v>
      </c>
      <c r="I642" s="149" t="s">
        <v>502</v>
      </c>
      <c r="J642" s="153" t="s">
        <v>548</v>
      </c>
      <c r="K642" s="149" t="s">
        <v>1402</v>
      </c>
      <c r="L642" s="157">
        <v>45425</v>
      </c>
      <c r="M642" s="158"/>
      <c r="N642" s="163">
        <v>2</v>
      </c>
      <c r="O642" s="165" t="s">
        <v>446</v>
      </c>
      <c r="P642" s="161">
        <v>3272.73</v>
      </c>
      <c r="Q642" s="170">
        <v>45370</v>
      </c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</row>
    <row r="643" spans="1:27">
      <c r="A643" s="154">
        <v>5</v>
      </c>
      <c r="B643" s="155" t="s">
        <v>1354</v>
      </c>
      <c r="C643" s="156">
        <v>45364</v>
      </c>
      <c r="D643" s="155" t="s">
        <v>440</v>
      </c>
      <c r="E643" s="149" t="s">
        <v>671</v>
      </c>
      <c r="F643" s="149" t="s">
        <v>441</v>
      </c>
      <c r="G643" s="149" t="s">
        <v>442</v>
      </c>
      <c r="H643" s="149" t="str">
        <f t="shared" si="3"/>
        <v>Alejandro Harguindey Antoli-Candela</v>
      </c>
      <c r="I643" s="149" t="s">
        <v>528</v>
      </c>
      <c r="J643" s="153" t="s">
        <v>444</v>
      </c>
      <c r="K643" s="149" t="s">
        <v>1403</v>
      </c>
      <c r="L643" s="157">
        <v>45425</v>
      </c>
      <c r="M643" s="158"/>
      <c r="N643" s="163">
        <v>2</v>
      </c>
      <c r="O643" s="165" t="s">
        <v>466</v>
      </c>
      <c r="P643" s="161">
        <v>4310</v>
      </c>
      <c r="Q643" s="170">
        <v>45364</v>
      </c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</row>
    <row r="644" spans="1:27">
      <c r="A644" s="154">
        <v>5</v>
      </c>
      <c r="B644" s="155" t="s">
        <v>1354</v>
      </c>
      <c r="C644" s="156">
        <v>45390</v>
      </c>
      <c r="D644" s="155" t="s">
        <v>440</v>
      </c>
      <c r="E644" s="149" t="s">
        <v>475</v>
      </c>
      <c r="F644" s="149" t="s">
        <v>441</v>
      </c>
      <c r="G644" s="149" t="s">
        <v>442</v>
      </c>
      <c r="H644" s="149" t="str">
        <f t="shared" si="3"/>
        <v>XENIA MOTA ROJAS</v>
      </c>
      <c r="I644" s="149" t="s">
        <v>1077</v>
      </c>
      <c r="J644" s="153" t="s">
        <v>473</v>
      </c>
      <c r="K644" s="149" t="s">
        <v>1404</v>
      </c>
      <c r="L644" s="183">
        <v>45425</v>
      </c>
      <c r="M644" s="149"/>
      <c r="N644" s="163">
        <v>2</v>
      </c>
      <c r="O644" s="149" t="s">
        <v>446</v>
      </c>
      <c r="P644" s="161">
        <v>1727.27</v>
      </c>
      <c r="Q644" s="184">
        <v>45390</v>
      </c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</row>
    <row r="645" spans="1:27">
      <c r="A645" s="154">
        <v>5</v>
      </c>
      <c r="B645" s="155" t="s">
        <v>1354</v>
      </c>
      <c r="C645" s="156">
        <v>45387</v>
      </c>
      <c r="D645" s="155" t="s">
        <v>440</v>
      </c>
      <c r="E645" s="149" t="s">
        <v>239</v>
      </c>
      <c r="F645" s="149" t="s">
        <v>441</v>
      </c>
      <c r="G645" s="149" t="s">
        <v>442</v>
      </c>
      <c r="H645" s="149" t="str">
        <f t="shared" si="3"/>
        <v>ESTEFANÍA BERROCAL POSTIGO</v>
      </c>
      <c r="I645" s="149" t="s">
        <v>927</v>
      </c>
      <c r="J645" s="153" t="s">
        <v>455</v>
      </c>
      <c r="K645" s="149" t="s">
        <v>1405</v>
      </c>
      <c r="L645" s="157">
        <v>45425</v>
      </c>
      <c r="M645" s="153"/>
      <c r="N645" s="163">
        <v>1</v>
      </c>
      <c r="O645" s="149" t="s">
        <v>446</v>
      </c>
      <c r="P645" s="161">
        <v>2253.64</v>
      </c>
      <c r="Q645" s="185">
        <v>45387</v>
      </c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</row>
    <row r="646" spans="1:27">
      <c r="A646" s="154">
        <v>5</v>
      </c>
      <c r="B646" s="155" t="s">
        <v>1354</v>
      </c>
      <c r="C646" s="156">
        <v>45401</v>
      </c>
      <c r="D646" s="155" t="s">
        <v>440</v>
      </c>
      <c r="E646" s="149" t="s">
        <v>239</v>
      </c>
      <c r="F646" s="149" t="s">
        <v>441</v>
      </c>
      <c r="G646" s="149" t="s">
        <v>442</v>
      </c>
      <c r="H646" s="149" t="str">
        <f t="shared" si="3"/>
        <v>ROCÍO CORRALES MILLÁN</v>
      </c>
      <c r="I646" s="149" t="s">
        <v>1406</v>
      </c>
      <c r="J646" s="149" t="s">
        <v>455</v>
      </c>
      <c r="K646" s="149" t="s">
        <v>1407</v>
      </c>
      <c r="L646" s="183">
        <v>45425</v>
      </c>
      <c r="M646" s="149"/>
      <c r="N646" s="163">
        <v>2</v>
      </c>
      <c r="O646" s="149" t="s">
        <v>449</v>
      </c>
      <c r="P646" s="161">
        <v>2962.73</v>
      </c>
      <c r="Q646" s="184">
        <v>45401</v>
      </c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</row>
    <row r="647" spans="1:27">
      <c r="A647" s="154">
        <v>5</v>
      </c>
      <c r="B647" s="155" t="s">
        <v>1354</v>
      </c>
      <c r="C647" s="156">
        <v>45408</v>
      </c>
      <c r="D647" s="155" t="s">
        <v>440</v>
      </c>
      <c r="E647" s="149" t="s">
        <v>115</v>
      </c>
      <c r="F647" s="149" t="s">
        <v>441</v>
      </c>
      <c r="G647" s="149" t="s">
        <v>442</v>
      </c>
      <c r="H647" s="149" t="str">
        <f t="shared" si="3"/>
        <v>JULIE MÚÑOZ FREITEZ</v>
      </c>
      <c r="I647" s="149" t="s">
        <v>1219</v>
      </c>
      <c r="J647" s="153" t="s">
        <v>444</v>
      </c>
      <c r="K647" s="149" t="s">
        <v>1408</v>
      </c>
      <c r="L647" s="183">
        <v>45425</v>
      </c>
      <c r="M647" s="149"/>
      <c r="N647" s="163">
        <v>2</v>
      </c>
      <c r="O647" s="149" t="s">
        <v>466</v>
      </c>
      <c r="P647" s="161">
        <v>4222.7299999999996</v>
      </c>
      <c r="Q647" s="185">
        <v>45408</v>
      </c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</row>
    <row r="648" spans="1:27">
      <c r="A648" s="154">
        <v>5</v>
      </c>
      <c r="B648" s="155" t="s">
        <v>1354</v>
      </c>
      <c r="C648" s="156">
        <v>45372</v>
      </c>
      <c r="D648" s="155" t="s">
        <v>440</v>
      </c>
      <c r="E648" s="149" t="s">
        <v>525</v>
      </c>
      <c r="F648" s="149" t="s">
        <v>441</v>
      </c>
      <c r="G648" s="149" t="s">
        <v>442</v>
      </c>
      <c r="H648" s="149" t="str">
        <f t="shared" si="3"/>
        <v>MANUEL ESTEVEZ GARCÍA</v>
      </c>
      <c r="I648" s="149" t="s">
        <v>1409</v>
      </c>
      <c r="J648" s="153" t="s">
        <v>516</v>
      </c>
      <c r="K648" s="149" t="s">
        <v>1410</v>
      </c>
      <c r="L648" s="168">
        <v>45425</v>
      </c>
      <c r="M648" s="149"/>
      <c r="N648" s="163">
        <v>2</v>
      </c>
      <c r="O648" s="149" t="s">
        <v>446</v>
      </c>
      <c r="P648" s="161">
        <v>3500</v>
      </c>
      <c r="Q648" s="185">
        <v>45372</v>
      </c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</row>
    <row r="649" spans="1:27">
      <c r="A649" s="154">
        <v>5</v>
      </c>
      <c r="B649" s="155" t="s">
        <v>1354</v>
      </c>
      <c r="C649" s="156">
        <v>45397</v>
      </c>
      <c r="D649" s="155" t="s">
        <v>440</v>
      </c>
      <c r="E649" s="149" t="s">
        <v>317</v>
      </c>
      <c r="F649" s="149" t="s">
        <v>441</v>
      </c>
      <c r="G649" s="149" t="s">
        <v>442</v>
      </c>
      <c r="H649" s="149" t="str">
        <f t="shared" si="3"/>
        <v>MARIA ROSARIO FERRANDIZ GARCÍA</v>
      </c>
      <c r="I649" s="149" t="s">
        <v>1100</v>
      </c>
      <c r="J649" s="153" t="s">
        <v>462</v>
      </c>
      <c r="K649" s="149" t="s">
        <v>1411</v>
      </c>
      <c r="L649" s="157">
        <v>45426</v>
      </c>
      <c r="M649" s="158"/>
      <c r="N649" s="163">
        <v>1</v>
      </c>
      <c r="O649" s="165" t="s">
        <v>446</v>
      </c>
      <c r="P649" s="161">
        <v>1954.55</v>
      </c>
      <c r="Q649" s="170">
        <v>45397</v>
      </c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</row>
    <row r="650" spans="1:27">
      <c r="A650" s="154">
        <v>5</v>
      </c>
      <c r="B650" s="155" t="s">
        <v>1354</v>
      </c>
      <c r="C650" s="156">
        <v>45384</v>
      </c>
      <c r="D650" s="155" t="s">
        <v>440</v>
      </c>
      <c r="E650" s="149" t="s">
        <v>707</v>
      </c>
      <c r="F650" s="149" t="s">
        <v>441</v>
      </c>
      <c r="G650" s="149" t="s">
        <v>442</v>
      </c>
      <c r="H650" s="149" t="str">
        <f t="shared" si="3"/>
        <v>RAFAEL MARTÍNEZ GARCERAN</v>
      </c>
      <c r="I650" s="149" t="s">
        <v>708</v>
      </c>
      <c r="J650" s="149" t="s">
        <v>462</v>
      </c>
      <c r="K650" s="149" t="s">
        <v>1412</v>
      </c>
      <c r="L650" s="157">
        <v>45426</v>
      </c>
      <c r="M650" s="158"/>
      <c r="N650" s="163">
        <v>2</v>
      </c>
      <c r="O650" s="165" t="s">
        <v>446</v>
      </c>
      <c r="P650" s="161">
        <v>3075</v>
      </c>
      <c r="Q650" s="170">
        <v>45384</v>
      </c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</row>
    <row r="651" spans="1:27">
      <c r="A651" s="154">
        <v>5</v>
      </c>
      <c r="B651" s="155" t="s">
        <v>1354</v>
      </c>
      <c r="C651" s="156">
        <v>45356</v>
      </c>
      <c r="D651" s="155" t="s">
        <v>440</v>
      </c>
      <c r="E651" s="149" t="s">
        <v>856</v>
      </c>
      <c r="F651" s="149" t="s">
        <v>441</v>
      </c>
      <c r="G651" s="149" t="s">
        <v>442</v>
      </c>
      <c r="H651" s="149" t="str">
        <f t="shared" si="3"/>
        <v>RAFAEL PÉREZ GONZÁLEZ</v>
      </c>
      <c r="I651" s="149" t="s">
        <v>1413</v>
      </c>
      <c r="J651" s="153" t="s">
        <v>473</v>
      </c>
      <c r="K651" s="149" t="s">
        <v>1414</v>
      </c>
      <c r="L651" s="157">
        <v>45426</v>
      </c>
      <c r="M651" s="164"/>
      <c r="N651" s="163">
        <v>2</v>
      </c>
      <c r="O651" s="165" t="s">
        <v>446</v>
      </c>
      <c r="P651" s="161">
        <v>4326.92</v>
      </c>
      <c r="Q651" s="170">
        <v>45356</v>
      </c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</row>
    <row r="652" spans="1:27">
      <c r="A652" s="154">
        <v>5</v>
      </c>
      <c r="B652" s="155" t="s">
        <v>1354</v>
      </c>
      <c r="C652" s="156">
        <v>45387</v>
      </c>
      <c r="D652" s="155" t="s">
        <v>440</v>
      </c>
      <c r="E652" s="149" t="s">
        <v>313</v>
      </c>
      <c r="F652" s="149" t="s">
        <v>441</v>
      </c>
      <c r="G652" s="149" t="s">
        <v>442</v>
      </c>
      <c r="H652" s="149" t="str">
        <f t="shared" si="3"/>
        <v>ESTEBAN SCOLA PLIEGO</v>
      </c>
      <c r="I652" s="149" t="s">
        <v>736</v>
      </c>
      <c r="J652" s="153" t="s">
        <v>444</v>
      </c>
      <c r="K652" s="149" t="s">
        <v>1415</v>
      </c>
      <c r="L652" s="157">
        <v>45426</v>
      </c>
      <c r="M652" s="158"/>
      <c r="N652" s="163">
        <v>2</v>
      </c>
      <c r="O652" s="165" t="s">
        <v>446</v>
      </c>
      <c r="P652" s="161">
        <v>3424.32</v>
      </c>
      <c r="Q652" s="170">
        <v>45387</v>
      </c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</row>
    <row r="653" spans="1:27">
      <c r="A653" s="154">
        <v>5</v>
      </c>
      <c r="B653" s="155" t="s">
        <v>1354</v>
      </c>
      <c r="C653" s="156">
        <v>45399</v>
      </c>
      <c r="D653" s="155" t="s">
        <v>440</v>
      </c>
      <c r="E653" s="149" t="s">
        <v>314</v>
      </c>
      <c r="F653" s="149" t="s">
        <v>441</v>
      </c>
      <c r="G653" s="149" t="s">
        <v>442</v>
      </c>
      <c r="H653" s="149" t="str">
        <f t="shared" si="3"/>
        <v>ITZIAR ÁLVAREZ PALACIOS</v>
      </c>
      <c r="I653" s="149" t="s">
        <v>734</v>
      </c>
      <c r="J653" s="149" t="s">
        <v>444</v>
      </c>
      <c r="K653" s="149" t="s">
        <v>1416</v>
      </c>
      <c r="L653" s="157">
        <v>45426</v>
      </c>
      <c r="M653" s="164"/>
      <c r="N653" s="163">
        <v>2</v>
      </c>
      <c r="O653" s="165" t="s">
        <v>449</v>
      </c>
      <c r="P653" s="161">
        <v>2780.91</v>
      </c>
      <c r="Q653" s="170">
        <v>45399</v>
      </c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</row>
    <row r="654" spans="1:27">
      <c r="A654" s="154">
        <v>5</v>
      </c>
      <c r="B654" s="155" t="s">
        <v>1354</v>
      </c>
      <c r="C654" s="156">
        <v>45373</v>
      </c>
      <c r="D654" s="155" t="s">
        <v>440</v>
      </c>
      <c r="E654" s="149" t="s">
        <v>98</v>
      </c>
      <c r="F654" s="149" t="s">
        <v>441</v>
      </c>
      <c r="G654" s="149" t="s">
        <v>442</v>
      </c>
      <c r="H654" s="149" t="str">
        <f t="shared" si="3"/>
        <v>JESÚS MIGUEL INIESTA TURPÍN</v>
      </c>
      <c r="I654" s="149" t="s">
        <v>594</v>
      </c>
      <c r="J654" s="153" t="s">
        <v>462</v>
      </c>
      <c r="K654" s="149" t="s">
        <v>1417</v>
      </c>
      <c r="L654" s="168">
        <v>45426</v>
      </c>
      <c r="M654" s="149"/>
      <c r="N654" s="163">
        <v>2</v>
      </c>
      <c r="O654" s="149" t="s">
        <v>449</v>
      </c>
      <c r="P654" s="161">
        <v>2641.82</v>
      </c>
      <c r="Q654" s="184">
        <v>45373</v>
      </c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</row>
    <row r="655" spans="1:27">
      <c r="A655" s="154">
        <v>5</v>
      </c>
      <c r="B655" s="155" t="s">
        <v>1354</v>
      </c>
      <c r="C655" s="156">
        <v>45399</v>
      </c>
      <c r="D655" s="155" t="s">
        <v>440</v>
      </c>
      <c r="E655" s="149" t="s">
        <v>129</v>
      </c>
      <c r="F655" s="149" t="s">
        <v>441</v>
      </c>
      <c r="G655" s="149" t="s">
        <v>442</v>
      </c>
      <c r="H655" s="149" t="str">
        <f t="shared" si="3"/>
        <v>MARÍA REY MARCOS</v>
      </c>
      <c r="I655" s="149" t="s">
        <v>678</v>
      </c>
      <c r="J655" s="153" t="s">
        <v>516</v>
      </c>
      <c r="K655" s="149" t="s">
        <v>1418</v>
      </c>
      <c r="L655" s="168">
        <v>45426</v>
      </c>
      <c r="M655" s="149"/>
      <c r="N655" s="163">
        <v>2</v>
      </c>
      <c r="O655" s="149" t="s">
        <v>449</v>
      </c>
      <c r="P655" s="161">
        <v>2781.08</v>
      </c>
      <c r="Q655" s="184">
        <v>45399</v>
      </c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</row>
    <row r="656" spans="1:27">
      <c r="A656" s="154">
        <v>5</v>
      </c>
      <c r="B656" s="155" t="s">
        <v>1354</v>
      </c>
      <c r="C656" s="156">
        <v>45376</v>
      </c>
      <c r="D656" s="155" t="s">
        <v>440</v>
      </c>
      <c r="E656" s="149" t="s">
        <v>506</v>
      </c>
      <c r="F656" s="149" t="s">
        <v>441</v>
      </c>
      <c r="G656" s="149" t="s">
        <v>442</v>
      </c>
      <c r="H656" s="149" t="str">
        <f t="shared" si="3"/>
        <v>MARÍA JESÚS CORNEJO DOMÍNGUEZ</v>
      </c>
      <c r="I656" s="149" t="s">
        <v>507</v>
      </c>
      <c r="J656" s="153" t="s">
        <v>473</v>
      </c>
      <c r="K656" s="149" t="s">
        <v>1419</v>
      </c>
      <c r="L656" s="168">
        <v>45426</v>
      </c>
      <c r="M656" s="153"/>
      <c r="N656" s="163">
        <v>2</v>
      </c>
      <c r="O656" s="149" t="s">
        <v>446</v>
      </c>
      <c r="P656" s="161">
        <v>3604.55</v>
      </c>
      <c r="Q656" s="184">
        <v>45376</v>
      </c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</row>
    <row r="657" spans="1:27">
      <c r="A657" s="154">
        <v>5</v>
      </c>
      <c r="B657" s="155" t="s">
        <v>1354</v>
      </c>
      <c r="C657" s="156">
        <v>45330</v>
      </c>
      <c r="D657" s="155" t="s">
        <v>440</v>
      </c>
      <c r="E657" s="149" t="s">
        <v>317</v>
      </c>
      <c r="F657" s="149" t="s">
        <v>441</v>
      </c>
      <c r="G657" s="149" t="s">
        <v>442</v>
      </c>
      <c r="H657" s="149" t="str">
        <f t="shared" si="3"/>
        <v>FRANCISCO PASTOR BEVIÁ</v>
      </c>
      <c r="I657" s="149" t="s">
        <v>464</v>
      </c>
      <c r="J657" s="153" t="s">
        <v>462</v>
      </c>
      <c r="K657" s="149" t="s">
        <v>1420</v>
      </c>
      <c r="L657" s="157">
        <v>45427</v>
      </c>
      <c r="M657" s="158"/>
      <c r="N657" s="163">
        <v>2</v>
      </c>
      <c r="O657" s="165" t="s">
        <v>466</v>
      </c>
      <c r="P657" s="161">
        <v>3604.55</v>
      </c>
      <c r="Q657" s="170">
        <v>45330</v>
      </c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</row>
    <row r="658" spans="1:27">
      <c r="A658" s="154">
        <v>5</v>
      </c>
      <c r="B658" s="155" t="s">
        <v>1354</v>
      </c>
      <c r="C658" s="156">
        <v>45337</v>
      </c>
      <c r="D658" s="155" t="s">
        <v>440</v>
      </c>
      <c r="E658" s="149" t="s">
        <v>138</v>
      </c>
      <c r="F658" s="149" t="s">
        <v>441</v>
      </c>
      <c r="G658" s="149" t="s">
        <v>442</v>
      </c>
      <c r="H658" s="149" t="str">
        <f t="shared" si="3"/>
        <v>EVIANS GÓMEZ DE LA ROSA</v>
      </c>
      <c r="I658" s="149" t="s">
        <v>794</v>
      </c>
      <c r="J658" s="153" t="s">
        <v>532</v>
      </c>
      <c r="K658" s="149" t="s">
        <v>1421</v>
      </c>
      <c r="L658" s="157">
        <v>45427</v>
      </c>
      <c r="M658" s="158"/>
      <c r="N658" s="173">
        <v>2</v>
      </c>
      <c r="O658" s="174" t="s">
        <v>446</v>
      </c>
      <c r="P658" s="175">
        <v>3604.55</v>
      </c>
      <c r="Q658" s="168">
        <v>45337</v>
      </c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</row>
    <row r="659" spans="1:27">
      <c r="A659" s="154">
        <v>5</v>
      </c>
      <c r="B659" s="155" t="s">
        <v>1354</v>
      </c>
      <c r="C659" s="156">
        <v>45400</v>
      </c>
      <c r="D659" s="155" t="s">
        <v>440</v>
      </c>
      <c r="E659" s="149" t="s">
        <v>109</v>
      </c>
      <c r="F659" s="149" t="s">
        <v>441</v>
      </c>
      <c r="G659" s="149" t="s">
        <v>442</v>
      </c>
      <c r="H659" s="149" t="str">
        <f t="shared" si="3"/>
        <v>MARÍA GARROTE GARROTE</v>
      </c>
      <c r="I659" s="149" t="s">
        <v>447</v>
      </c>
      <c r="J659" s="153" t="s">
        <v>444</v>
      </c>
      <c r="K659" s="149" t="s">
        <v>1422</v>
      </c>
      <c r="L659" s="157">
        <v>45427</v>
      </c>
      <c r="M659" s="158"/>
      <c r="N659" s="163">
        <v>2</v>
      </c>
      <c r="O659" s="165" t="s">
        <v>449</v>
      </c>
      <c r="P659" s="161">
        <v>2780.91</v>
      </c>
      <c r="Q659" s="170">
        <v>45400</v>
      </c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</row>
    <row r="660" spans="1:27">
      <c r="A660" s="154">
        <v>5</v>
      </c>
      <c r="B660" s="155" t="s">
        <v>1354</v>
      </c>
      <c r="C660" s="156">
        <v>45342</v>
      </c>
      <c r="D660" s="166" t="s">
        <v>440</v>
      </c>
      <c r="E660" s="149" t="s">
        <v>525</v>
      </c>
      <c r="F660" s="149" t="s">
        <v>441</v>
      </c>
      <c r="G660" s="149" t="s">
        <v>442</v>
      </c>
      <c r="H660" s="149" t="str">
        <f t="shared" si="3"/>
        <v>ADELA PÉREZ-CARO RÍOS</v>
      </c>
      <c r="I660" s="149" t="s">
        <v>895</v>
      </c>
      <c r="J660" s="149" t="s">
        <v>516</v>
      </c>
      <c r="K660" s="149" t="s">
        <v>1423</v>
      </c>
      <c r="L660" s="168">
        <v>45427</v>
      </c>
      <c r="M660" s="149"/>
      <c r="N660" s="163">
        <v>2</v>
      </c>
      <c r="O660" s="149" t="s">
        <v>449</v>
      </c>
      <c r="P660" s="161">
        <v>2909.09</v>
      </c>
      <c r="Q660" s="185">
        <v>45342</v>
      </c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</row>
    <row r="661" spans="1:27">
      <c r="A661" s="154">
        <v>5</v>
      </c>
      <c r="B661" s="155" t="s">
        <v>1354</v>
      </c>
      <c r="C661" s="156">
        <v>45355</v>
      </c>
      <c r="D661" s="155" t="s">
        <v>440</v>
      </c>
      <c r="E661" s="149" t="s">
        <v>317</v>
      </c>
      <c r="F661" s="149" t="s">
        <v>441</v>
      </c>
      <c r="G661" s="149" t="s">
        <v>442</v>
      </c>
      <c r="H661" s="149" t="str">
        <f t="shared" si="3"/>
        <v>MARIA ROSARIO FERRANDIZ GARCÍA</v>
      </c>
      <c r="I661" s="149" t="s">
        <v>1100</v>
      </c>
      <c r="J661" s="153" t="s">
        <v>462</v>
      </c>
      <c r="K661" s="149" t="s">
        <v>1424</v>
      </c>
      <c r="L661" s="157">
        <v>45428</v>
      </c>
      <c r="M661" s="158"/>
      <c r="N661" s="163">
        <v>2</v>
      </c>
      <c r="O661" s="165" t="s">
        <v>449</v>
      </c>
      <c r="P661" s="161">
        <v>2781.82</v>
      </c>
      <c r="Q661" s="170">
        <v>45355</v>
      </c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</row>
    <row r="662" spans="1:27">
      <c r="A662" s="154">
        <v>5</v>
      </c>
      <c r="B662" s="155" t="s">
        <v>1354</v>
      </c>
      <c r="C662" s="156">
        <v>45363</v>
      </c>
      <c r="D662" s="155" t="s">
        <v>440</v>
      </c>
      <c r="E662" s="149" t="s">
        <v>98</v>
      </c>
      <c r="F662" s="149" t="s">
        <v>441</v>
      </c>
      <c r="G662" s="149" t="s">
        <v>442</v>
      </c>
      <c r="H662" s="149" t="str">
        <f t="shared" si="3"/>
        <v>AIDA AVIÑOA ARIAS</v>
      </c>
      <c r="I662" s="149" t="s">
        <v>1024</v>
      </c>
      <c r="J662" s="153" t="s">
        <v>462</v>
      </c>
      <c r="K662" s="149" t="s">
        <v>1425</v>
      </c>
      <c r="L662" s="183">
        <v>45428</v>
      </c>
      <c r="M662" s="149"/>
      <c r="N662" s="163">
        <v>1</v>
      </c>
      <c r="O662" s="149" t="s">
        <v>446</v>
      </c>
      <c r="P662" s="161">
        <v>2162.73</v>
      </c>
      <c r="Q662" s="185">
        <v>45363</v>
      </c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</row>
    <row r="663" spans="1:27">
      <c r="A663" s="154">
        <v>5</v>
      </c>
      <c r="B663" s="155" t="s">
        <v>1354</v>
      </c>
      <c r="C663" s="156">
        <v>45399</v>
      </c>
      <c r="D663" s="155" t="s">
        <v>440</v>
      </c>
      <c r="E663" s="149" t="s">
        <v>129</v>
      </c>
      <c r="F663" s="149" t="s">
        <v>441</v>
      </c>
      <c r="G663" s="149" t="s">
        <v>442</v>
      </c>
      <c r="H663" s="149" t="str">
        <f t="shared" si="3"/>
        <v>Rafael Alfonso Hurtado Ruzza</v>
      </c>
      <c r="I663" s="149" t="s">
        <v>768</v>
      </c>
      <c r="J663" s="153" t="s">
        <v>516</v>
      </c>
      <c r="K663" s="149" t="s">
        <v>1426</v>
      </c>
      <c r="L663" s="183">
        <v>45428</v>
      </c>
      <c r="M663" s="153"/>
      <c r="N663" s="163">
        <v>2</v>
      </c>
      <c r="O663" s="149" t="s">
        <v>446</v>
      </c>
      <c r="P663" s="161">
        <v>3604.4</v>
      </c>
      <c r="Q663" s="185">
        <v>45399</v>
      </c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</row>
    <row r="664" spans="1:27">
      <c r="A664" s="154">
        <v>5</v>
      </c>
      <c r="B664" s="155" t="s">
        <v>1354</v>
      </c>
      <c r="C664" s="156">
        <v>45386</v>
      </c>
      <c r="D664" s="155" t="s">
        <v>440</v>
      </c>
      <c r="E664" s="149" t="s">
        <v>506</v>
      </c>
      <c r="F664" s="149" t="s">
        <v>441</v>
      </c>
      <c r="G664" s="149" t="s">
        <v>442</v>
      </c>
      <c r="H664" s="149" t="str">
        <f t="shared" si="3"/>
        <v>MARÍA JESÚS CORNEJO DOMÍNGUEZ</v>
      </c>
      <c r="I664" s="149" t="s">
        <v>507</v>
      </c>
      <c r="J664" s="149" t="s">
        <v>473</v>
      </c>
      <c r="K664" s="149" t="s">
        <v>1427</v>
      </c>
      <c r="L664" s="168">
        <v>45428</v>
      </c>
      <c r="M664" s="149"/>
      <c r="N664" s="163">
        <v>1</v>
      </c>
      <c r="O664" s="149" t="s">
        <v>446</v>
      </c>
      <c r="P664" s="161">
        <v>2162.73</v>
      </c>
      <c r="Q664" s="185">
        <v>45386</v>
      </c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</row>
    <row r="665" spans="1:27">
      <c r="A665" s="154">
        <v>5</v>
      </c>
      <c r="B665" s="155" t="s">
        <v>1354</v>
      </c>
      <c r="C665" s="156">
        <v>45359</v>
      </c>
      <c r="D665" s="155" t="s">
        <v>440</v>
      </c>
      <c r="E665" s="149" t="s">
        <v>239</v>
      </c>
      <c r="F665" s="149" t="s">
        <v>441</v>
      </c>
      <c r="G665" s="149" t="s">
        <v>442</v>
      </c>
      <c r="H665" s="149" t="str">
        <f t="shared" si="3"/>
        <v>MIGUEL OLIVENCIA PÉREZ</v>
      </c>
      <c r="I665" s="149" t="s">
        <v>1428</v>
      </c>
      <c r="J665" s="153" t="s">
        <v>455</v>
      </c>
      <c r="K665" s="149" t="s">
        <v>1429</v>
      </c>
      <c r="L665" s="168">
        <v>45428</v>
      </c>
      <c r="M665" s="149"/>
      <c r="N665" s="163">
        <v>2</v>
      </c>
      <c r="O665" s="149" t="s">
        <v>446</v>
      </c>
      <c r="P665" s="161">
        <v>3586.36</v>
      </c>
      <c r="Q665" s="184">
        <v>45359</v>
      </c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</row>
    <row r="666" spans="1:27">
      <c r="A666" s="154">
        <v>5</v>
      </c>
      <c r="B666" s="155" t="s">
        <v>1354</v>
      </c>
      <c r="C666" s="156">
        <v>45397</v>
      </c>
      <c r="D666" s="155" t="s">
        <v>440</v>
      </c>
      <c r="E666" s="149" t="s">
        <v>239</v>
      </c>
      <c r="F666" s="149" t="s">
        <v>441</v>
      </c>
      <c r="G666" s="149" t="s">
        <v>442</v>
      </c>
      <c r="H666" s="149" t="str">
        <f t="shared" si="3"/>
        <v>JESÚS CROVATO ROJAS</v>
      </c>
      <c r="I666" s="149" t="s">
        <v>977</v>
      </c>
      <c r="J666" s="153" t="s">
        <v>455</v>
      </c>
      <c r="K666" s="149" t="s">
        <v>1430</v>
      </c>
      <c r="L666" s="183">
        <v>45428</v>
      </c>
      <c r="M666" s="149"/>
      <c r="N666" s="163">
        <v>2</v>
      </c>
      <c r="O666" s="149" t="s">
        <v>446</v>
      </c>
      <c r="P666" s="161">
        <v>3586.36</v>
      </c>
      <c r="Q666" s="185">
        <v>45397</v>
      </c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</row>
    <row r="667" spans="1:27">
      <c r="A667" s="154">
        <v>5</v>
      </c>
      <c r="B667" s="155" t="s">
        <v>1354</v>
      </c>
      <c r="C667" s="156">
        <v>45392</v>
      </c>
      <c r="D667" s="155" t="s">
        <v>440</v>
      </c>
      <c r="E667" s="149" t="s">
        <v>571</v>
      </c>
      <c r="F667" s="149" t="s">
        <v>441</v>
      </c>
      <c r="G667" s="149" t="s">
        <v>442</v>
      </c>
      <c r="H667" s="149" t="str">
        <f t="shared" si="3"/>
        <v>MARÍA JOSÉ NAYA GÁLVEZ</v>
      </c>
      <c r="I667" s="149" t="s">
        <v>1431</v>
      </c>
      <c r="J667" s="153" t="s">
        <v>532</v>
      </c>
      <c r="K667" s="149" t="s">
        <v>1432</v>
      </c>
      <c r="L667" s="183">
        <v>45428</v>
      </c>
      <c r="M667" s="149"/>
      <c r="N667" s="163">
        <v>2</v>
      </c>
      <c r="O667" s="149" t="s">
        <v>446</v>
      </c>
      <c r="P667" s="161">
        <v>3424.55</v>
      </c>
      <c r="Q667" s="184">
        <v>45392</v>
      </c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</row>
    <row r="668" spans="1:27">
      <c r="A668" s="154">
        <v>5</v>
      </c>
      <c r="B668" s="155" t="s">
        <v>1354</v>
      </c>
      <c r="C668" s="156">
        <v>45369</v>
      </c>
      <c r="D668" s="155" t="s">
        <v>440</v>
      </c>
      <c r="E668" s="149" t="s">
        <v>318</v>
      </c>
      <c r="F668" s="149" t="s">
        <v>441</v>
      </c>
      <c r="G668" s="149" t="s">
        <v>442</v>
      </c>
      <c r="H668" s="149" t="str">
        <f t="shared" si="3"/>
        <v>JOAQUÍN PÉREZ RULL</v>
      </c>
      <c r="I668" s="149" t="s">
        <v>1433</v>
      </c>
      <c r="J668" s="153" t="s">
        <v>462</v>
      </c>
      <c r="K668" s="149" t="s">
        <v>1434</v>
      </c>
      <c r="L668" s="157">
        <v>45429</v>
      </c>
      <c r="M668" s="158"/>
      <c r="N668" s="163">
        <v>2</v>
      </c>
      <c r="O668" s="165" t="s">
        <v>446</v>
      </c>
      <c r="P668" s="161">
        <v>3604.55</v>
      </c>
      <c r="Q668" s="170">
        <v>45369</v>
      </c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</row>
    <row r="669" spans="1:27">
      <c r="A669" s="154">
        <v>5</v>
      </c>
      <c r="B669" s="155" t="s">
        <v>1354</v>
      </c>
      <c r="C669" s="156">
        <v>45406</v>
      </c>
      <c r="D669" s="155" t="s">
        <v>440</v>
      </c>
      <c r="E669" s="149" t="s">
        <v>311</v>
      </c>
      <c r="F669" s="149" t="s">
        <v>441</v>
      </c>
      <c r="G669" s="149" t="s">
        <v>442</v>
      </c>
      <c r="H669" s="149" t="str">
        <f t="shared" si="3"/>
        <v>ITHZEL MARIA VILLARREAL PATIÑO</v>
      </c>
      <c r="I669" s="149" t="s">
        <v>491</v>
      </c>
      <c r="J669" s="153" t="s">
        <v>444</v>
      </c>
      <c r="K669" s="149" t="s">
        <v>1435</v>
      </c>
      <c r="L669" s="157">
        <v>45429</v>
      </c>
      <c r="M669" s="158"/>
      <c r="N669" s="163">
        <v>2</v>
      </c>
      <c r="O669" s="165" t="s">
        <v>449</v>
      </c>
      <c r="P669" s="161">
        <v>2780.91</v>
      </c>
      <c r="Q669" s="170">
        <v>45406</v>
      </c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</row>
    <row r="670" spans="1:27">
      <c r="A670" s="154">
        <v>5</v>
      </c>
      <c r="B670" s="155" t="s">
        <v>1354</v>
      </c>
      <c r="C670" s="156">
        <v>45391</v>
      </c>
      <c r="D670" s="155" t="s">
        <v>440</v>
      </c>
      <c r="E670" s="149" t="s">
        <v>158</v>
      </c>
      <c r="F670" s="149" t="s">
        <v>441</v>
      </c>
      <c r="G670" s="149" t="s">
        <v>442</v>
      </c>
      <c r="H670" s="149" t="str">
        <f t="shared" si="3"/>
        <v>CARLOS BARAJAS DEL ROSAL</v>
      </c>
      <c r="I670" s="149" t="s">
        <v>660</v>
      </c>
      <c r="J670" s="153" t="s">
        <v>548</v>
      </c>
      <c r="K670" s="149" t="s">
        <v>1436</v>
      </c>
      <c r="L670" s="157">
        <v>45429</v>
      </c>
      <c r="M670" s="164"/>
      <c r="N670" s="163">
        <v>2</v>
      </c>
      <c r="O670" s="165" t="s">
        <v>446</v>
      </c>
      <c r="P670" s="161">
        <v>3604.55</v>
      </c>
      <c r="Q670" s="170">
        <v>45391</v>
      </c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</row>
    <row r="671" spans="1:27">
      <c r="A671" s="154">
        <v>5</v>
      </c>
      <c r="B671" s="155" t="s">
        <v>1354</v>
      </c>
      <c r="C671" s="156">
        <v>45400</v>
      </c>
      <c r="D671" s="155" t="s">
        <v>440</v>
      </c>
      <c r="E671" s="149" t="s">
        <v>158</v>
      </c>
      <c r="F671" s="149" t="s">
        <v>441</v>
      </c>
      <c r="G671" s="149" t="s">
        <v>442</v>
      </c>
      <c r="H671" s="149" t="str">
        <f t="shared" si="3"/>
        <v>CARLOS BARAJAS DEL ROSAL</v>
      </c>
      <c r="I671" s="149" t="s">
        <v>660</v>
      </c>
      <c r="J671" s="153" t="s">
        <v>548</v>
      </c>
      <c r="K671" s="149" t="s">
        <v>1437</v>
      </c>
      <c r="L671" s="157">
        <v>45429</v>
      </c>
      <c r="M671" s="158"/>
      <c r="N671" s="163">
        <v>2</v>
      </c>
      <c r="O671" s="165" t="s">
        <v>446</v>
      </c>
      <c r="P671" s="161">
        <v>3607.22</v>
      </c>
      <c r="Q671" s="170">
        <v>45400</v>
      </c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</row>
    <row r="672" spans="1:27">
      <c r="A672" s="154">
        <v>5</v>
      </c>
      <c r="B672" s="155" t="s">
        <v>1354</v>
      </c>
      <c r="C672" s="156">
        <v>45349</v>
      </c>
      <c r="D672" s="155" t="s">
        <v>440</v>
      </c>
      <c r="E672" s="149" t="s">
        <v>317</v>
      </c>
      <c r="F672" s="149" t="s">
        <v>441</v>
      </c>
      <c r="G672" s="149" t="s">
        <v>442</v>
      </c>
      <c r="H672" s="149" t="str">
        <f t="shared" si="3"/>
        <v>FÉLIX RUÍZ DE LA CUESTA JUSTE</v>
      </c>
      <c r="I672" s="149" t="s">
        <v>656</v>
      </c>
      <c r="J672" s="149" t="s">
        <v>462</v>
      </c>
      <c r="K672" s="149" t="s">
        <v>1438</v>
      </c>
      <c r="L672" s="157">
        <v>45432</v>
      </c>
      <c r="M672" s="158"/>
      <c r="N672" s="163">
        <v>2</v>
      </c>
      <c r="O672" s="165" t="s">
        <v>449</v>
      </c>
      <c r="P672" s="161">
        <v>2814.55</v>
      </c>
      <c r="Q672" s="170">
        <v>45349</v>
      </c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</row>
    <row r="673" spans="1:27">
      <c r="A673" s="154">
        <v>5</v>
      </c>
      <c r="B673" s="155" t="s">
        <v>1354</v>
      </c>
      <c r="C673" s="156">
        <v>45407</v>
      </c>
      <c r="D673" s="155" t="s">
        <v>440</v>
      </c>
      <c r="E673" s="149" t="s">
        <v>158</v>
      </c>
      <c r="F673" s="149" t="s">
        <v>441</v>
      </c>
      <c r="G673" s="149" t="s">
        <v>442</v>
      </c>
      <c r="H673" s="149" t="str">
        <f t="shared" si="3"/>
        <v>CARLOS BARAJAS DEL ROSAL</v>
      </c>
      <c r="I673" s="149" t="s">
        <v>660</v>
      </c>
      <c r="J673" s="153" t="s">
        <v>548</v>
      </c>
      <c r="K673" s="149" t="s">
        <v>1439</v>
      </c>
      <c r="L673" s="157">
        <v>45432</v>
      </c>
      <c r="M673" s="158"/>
      <c r="N673" s="163">
        <v>2</v>
      </c>
      <c r="O673" s="165" t="s">
        <v>446</v>
      </c>
      <c r="P673" s="161">
        <v>3604.55</v>
      </c>
      <c r="Q673" s="170">
        <v>45407</v>
      </c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</row>
    <row r="674" spans="1:27">
      <c r="A674" s="154">
        <v>5</v>
      </c>
      <c r="B674" s="155" t="s">
        <v>1354</v>
      </c>
      <c r="C674" s="156">
        <v>45408</v>
      </c>
      <c r="D674" s="155" t="s">
        <v>440</v>
      </c>
      <c r="E674" s="149" t="s">
        <v>158</v>
      </c>
      <c r="F674" s="149" t="s">
        <v>441</v>
      </c>
      <c r="G674" s="149" t="s">
        <v>442</v>
      </c>
      <c r="H674" s="149" t="str">
        <f t="shared" si="3"/>
        <v>CARLOS BARAJAS DEL ROSAL</v>
      </c>
      <c r="I674" s="149" t="s">
        <v>660</v>
      </c>
      <c r="J674" s="153" t="s">
        <v>548</v>
      </c>
      <c r="K674" s="149" t="s">
        <v>1440</v>
      </c>
      <c r="L674" s="157">
        <v>45432</v>
      </c>
      <c r="M674" s="158"/>
      <c r="N674" s="163">
        <v>2</v>
      </c>
      <c r="O674" s="165" t="s">
        <v>466</v>
      </c>
      <c r="P674" s="161">
        <v>3800</v>
      </c>
      <c r="Q674" s="170">
        <v>45408</v>
      </c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</row>
    <row r="675" spans="1:27">
      <c r="A675" s="154">
        <v>5</v>
      </c>
      <c r="B675" s="155" t="s">
        <v>1354</v>
      </c>
      <c r="C675" s="156">
        <v>45404</v>
      </c>
      <c r="D675" s="155" t="s">
        <v>440</v>
      </c>
      <c r="E675" s="149" t="s">
        <v>309</v>
      </c>
      <c r="F675" s="149" t="s">
        <v>441</v>
      </c>
      <c r="G675" s="149" t="s">
        <v>442</v>
      </c>
      <c r="H675" s="149" t="str">
        <f t="shared" si="3"/>
        <v>JOSE JOAQUÍN GUTIÉRREZ BARQUÍN</v>
      </c>
      <c r="I675" s="149" t="s">
        <v>716</v>
      </c>
      <c r="J675" s="153" t="s">
        <v>444</v>
      </c>
      <c r="K675" s="149" t="s">
        <v>1441</v>
      </c>
      <c r="L675" s="157">
        <v>45432</v>
      </c>
      <c r="M675" s="158"/>
      <c r="N675" s="163">
        <v>2</v>
      </c>
      <c r="O675" s="165" t="s">
        <v>446</v>
      </c>
      <c r="P675" s="161">
        <v>3604.55</v>
      </c>
      <c r="Q675" s="170">
        <v>45404</v>
      </c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</row>
    <row r="676" spans="1:27">
      <c r="A676" s="154">
        <v>5</v>
      </c>
      <c r="B676" s="155" t="s">
        <v>1354</v>
      </c>
      <c r="C676" s="156">
        <v>45372</v>
      </c>
      <c r="D676" s="155" t="s">
        <v>440</v>
      </c>
      <c r="E676" s="149" t="s">
        <v>618</v>
      </c>
      <c r="F676" s="149" t="s">
        <v>441</v>
      </c>
      <c r="G676" s="149" t="s">
        <v>442</v>
      </c>
      <c r="H676" s="149" t="str">
        <f t="shared" si="3"/>
        <v>IGNACIO SIERRA ARBIDE</v>
      </c>
      <c r="I676" s="149" t="s">
        <v>888</v>
      </c>
      <c r="J676" s="153" t="s">
        <v>548</v>
      </c>
      <c r="K676" s="149" t="s">
        <v>1442</v>
      </c>
      <c r="L676" s="157">
        <v>45432</v>
      </c>
      <c r="M676" s="158"/>
      <c r="N676" s="163">
        <v>2</v>
      </c>
      <c r="O676" s="165" t="s">
        <v>446</v>
      </c>
      <c r="P676" s="161">
        <v>3604.55</v>
      </c>
      <c r="Q676" s="170">
        <v>45372</v>
      </c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</row>
    <row r="677" spans="1:27">
      <c r="A677" s="154">
        <v>5</v>
      </c>
      <c r="B677" s="155" t="s">
        <v>1354</v>
      </c>
      <c r="C677" s="156">
        <v>45357</v>
      </c>
      <c r="D677" s="155" t="s">
        <v>440</v>
      </c>
      <c r="E677" s="149" t="s">
        <v>951</v>
      </c>
      <c r="F677" s="149" t="s">
        <v>441</v>
      </c>
      <c r="G677" s="149" t="s">
        <v>442</v>
      </c>
      <c r="H677" s="149" t="str">
        <f>TRIM(SUBSTITUTE(SUBSTITUTE(SUBSTITUTE(SUBSTITUTE(I677,"DR. ",""),"DRA. ",""),"DR. ",""),"DRA ",""))</f>
        <v>ISABEL VAAMONDE SANCHEZ ANDRADR</v>
      </c>
      <c r="I677" s="149" t="s">
        <v>1443</v>
      </c>
      <c r="J677" s="153" t="s">
        <v>516</v>
      </c>
      <c r="K677" s="149" t="s">
        <v>1444</v>
      </c>
      <c r="L677" s="183">
        <v>45432</v>
      </c>
      <c r="M677" s="153"/>
      <c r="N677" s="163">
        <v>2</v>
      </c>
      <c r="O677" s="149" t="s">
        <v>449</v>
      </c>
      <c r="P677" s="161">
        <v>2780.91</v>
      </c>
      <c r="Q677" s="185">
        <v>45357</v>
      </c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</row>
    <row r="678" spans="1:27">
      <c r="A678" s="154">
        <v>5</v>
      </c>
      <c r="B678" s="155" t="s">
        <v>1354</v>
      </c>
      <c r="C678" s="156">
        <v>45392</v>
      </c>
      <c r="D678" s="155" t="s">
        <v>440</v>
      </c>
      <c r="E678" s="149" t="s">
        <v>138</v>
      </c>
      <c r="F678" s="149" t="s">
        <v>441</v>
      </c>
      <c r="G678" s="149" t="s">
        <v>442</v>
      </c>
      <c r="H678" s="149" t="str">
        <f t="shared" ref="H678:H713" si="4">TRIM(SUBSTITUTE(SUBSTITUTE(SUBSTITUTE(SUBSTITUTE(I678,"DR. ",""),"DRA. ",""),"DR ",""),"DRA ",""))</f>
        <v>JESUS-MARIA GRASA PÉREZ</v>
      </c>
      <c r="I678" s="149" t="s">
        <v>591</v>
      </c>
      <c r="J678" s="153" t="s">
        <v>532</v>
      </c>
      <c r="K678" s="149" t="s">
        <v>1445</v>
      </c>
      <c r="L678" s="157">
        <v>45433</v>
      </c>
      <c r="M678" s="164"/>
      <c r="N678" s="163">
        <v>1</v>
      </c>
      <c r="O678" s="165" t="s">
        <v>446</v>
      </c>
      <c r="P678" s="161">
        <v>2162.73</v>
      </c>
      <c r="Q678" s="170">
        <v>45392</v>
      </c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</row>
    <row r="679" spans="1:27">
      <c r="A679" s="154">
        <v>5</v>
      </c>
      <c r="B679" s="155" t="s">
        <v>1354</v>
      </c>
      <c r="C679" s="156">
        <v>45394</v>
      </c>
      <c r="D679" s="155" t="s">
        <v>440</v>
      </c>
      <c r="E679" s="149" t="s">
        <v>514</v>
      </c>
      <c r="F679" s="149" t="s">
        <v>441</v>
      </c>
      <c r="G679" s="149" t="s">
        <v>442</v>
      </c>
      <c r="H679" s="149" t="str">
        <f t="shared" si="4"/>
        <v>ISABEL PENSADO BANET</v>
      </c>
      <c r="I679" s="149" t="s">
        <v>1446</v>
      </c>
      <c r="J679" s="153" t="s">
        <v>516</v>
      </c>
      <c r="K679" s="149" t="s">
        <v>1447</v>
      </c>
      <c r="L679" s="157">
        <v>45433</v>
      </c>
      <c r="M679" s="164"/>
      <c r="N679" s="163">
        <v>2</v>
      </c>
      <c r="O679" s="165" t="s">
        <v>518</v>
      </c>
      <c r="P679" s="161">
        <v>2627.27</v>
      </c>
      <c r="Q679" s="170">
        <v>45394</v>
      </c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</row>
    <row r="680" spans="1:27">
      <c r="A680" s="154">
        <v>5</v>
      </c>
      <c r="B680" s="155" t="s">
        <v>1354</v>
      </c>
      <c r="C680" s="156">
        <v>45352</v>
      </c>
      <c r="D680" s="155" t="s">
        <v>440</v>
      </c>
      <c r="E680" s="149" t="s">
        <v>1448</v>
      </c>
      <c r="F680" s="149" t="s">
        <v>441</v>
      </c>
      <c r="G680" s="149" t="s">
        <v>442</v>
      </c>
      <c r="H680" s="149" t="str">
        <f t="shared" si="4"/>
        <v>FEDERICO ARRUTIA DIEZ</v>
      </c>
      <c r="I680" s="149" t="s">
        <v>789</v>
      </c>
      <c r="J680" s="153" t="s">
        <v>790</v>
      </c>
      <c r="K680" s="149" t="s">
        <v>1449</v>
      </c>
      <c r="L680" s="157">
        <v>45433</v>
      </c>
      <c r="M680" s="164"/>
      <c r="N680" s="163">
        <v>2</v>
      </c>
      <c r="O680" s="165" t="s">
        <v>466</v>
      </c>
      <c r="P680" s="161">
        <v>2629.09</v>
      </c>
      <c r="Q680" s="170">
        <v>45352</v>
      </c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</row>
    <row r="681" spans="1:27">
      <c r="A681" s="154">
        <v>5</v>
      </c>
      <c r="B681" s="155" t="s">
        <v>1354</v>
      </c>
      <c r="C681" s="156">
        <v>45405</v>
      </c>
      <c r="D681" s="155" t="s">
        <v>440</v>
      </c>
      <c r="E681" s="149" t="s">
        <v>122</v>
      </c>
      <c r="F681" s="149" t="s">
        <v>441</v>
      </c>
      <c r="G681" s="149" t="s">
        <v>442</v>
      </c>
      <c r="H681" s="149" t="str">
        <f t="shared" si="4"/>
        <v>ANA RUIZ FORNELLS NOREÑA</v>
      </c>
      <c r="I681" s="149" t="s">
        <v>836</v>
      </c>
      <c r="J681" s="153" t="s">
        <v>444</v>
      </c>
      <c r="K681" s="149" t="s">
        <v>1450</v>
      </c>
      <c r="L681" s="157">
        <v>45433</v>
      </c>
      <c r="M681" s="164"/>
      <c r="N681" s="163">
        <v>2</v>
      </c>
      <c r="O681" s="165" t="s">
        <v>446</v>
      </c>
      <c r="P681" s="161">
        <v>3604.55</v>
      </c>
      <c r="Q681" s="170">
        <v>45405</v>
      </c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</row>
    <row r="682" spans="1:27">
      <c r="A682" s="154">
        <v>5</v>
      </c>
      <c r="B682" s="155" t="s">
        <v>1354</v>
      </c>
      <c r="C682" s="156">
        <v>45376</v>
      </c>
      <c r="D682" s="155" t="s">
        <v>440</v>
      </c>
      <c r="E682" s="149" t="s">
        <v>98</v>
      </c>
      <c r="F682" s="149" t="s">
        <v>441</v>
      </c>
      <c r="G682" s="149" t="s">
        <v>442</v>
      </c>
      <c r="H682" s="149" t="str">
        <f t="shared" si="4"/>
        <v>MARÍA AGUSTINA SEVILLA GARCÍA</v>
      </c>
      <c r="I682" s="149" t="s">
        <v>538</v>
      </c>
      <c r="J682" s="149" t="s">
        <v>462</v>
      </c>
      <c r="K682" s="149" t="s">
        <v>1451</v>
      </c>
      <c r="L682" s="157">
        <v>45433</v>
      </c>
      <c r="M682" s="153"/>
      <c r="N682" s="163">
        <v>2</v>
      </c>
      <c r="O682" s="149" t="s">
        <v>446</v>
      </c>
      <c r="P682" s="161">
        <v>3604.55</v>
      </c>
      <c r="Q682" s="185">
        <v>45376</v>
      </c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</row>
    <row r="683" spans="1:27">
      <c r="A683" s="154">
        <v>5</v>
      </c>
      <c r="B683" s="155" t="s">
        <v>1354</v>
      </c>
      <c r="C683" s="156">
        <v>45400</v>
      </c>
      <c r="D683" s="166" t="s">
        <v>440</v>
      </c>
      <c r="E683" s="149" t="s">
        <v>129</v>
      </c>
      <c r="F683" s="149" t="s">
        <v>441</v>
      </c>
      <c r="G683" s="149" t="s">
        <v>442</v>
      </c>
      <c r="H683" s="149" t="str">
        <f t="shared" si="4"/>
        <v>MOHAMED AL RIFAL AL MASTI</v>
      </c>
      <c r="I683" s="149" t="s">
        <v>995</v>
      </c>
      <c r="J683" s="149" t="s">
        <v>516</v>
      </c>
      <c r="K683" s="149" t="s">
        <v>1452</v>
      </c>
      <c r="L683" s="183">
        <v>45433</v>
      </c>
      <c r="M683" s="149"/>
      <c r="N683" s="163">
        <v>1</v>
      </c>
      <c r="O683" s="149" t="s">
        <v>446</v>
      </c>
      <c r="P683" s="161">
        <v>2162.73</v>
      </c>
      <c r="Q683" s="185">
        <v>45400</v>
      </c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</row>
    <row r="684" spans="1:27">
      <c r="A684" s="154">
        <v>5</v>
      </c>
      <c r="B684" s="155" t="s">
        <v>1354</v>
      </c>
      <c r="C684" s="156">
        <v>45374</v>
      </c>
      <c r="D684" s="155" t="s">
        <v>440</v>
      </c>
      <c r="E684" s="149" t="s">
        <v>475</v>
      </c>
      <c r="F684" s="149" t="s">
        <v>441</v>
      </c>
      <c r="G684" s="149" t="s">
        <v>442</v>
      </c>
      <c r="H684" s="149" t="str">
        <f t="shared" si="4"/>
        <v>XENIA MOTA ROJAS</v>
      </c>
      <c r="I684" s="149" t="s">
        <v>1077</v>
      </c>
      <c r="J684" s="153" t="s">
        <v>473</v>
      </c>
      <c r="K684" s="149" t="s">
        <v>1453</v>
      </c>
      <c r="L684" s="157">
        <v>45433</v>
      </c>
      <c r="M684" s="149"/>
      <c r="N684" s="163">
        <v>2</v>
      </c>
      <c r="O684" s="149" t="s">
        <v>446</v>
      </c>
      <c r="P684" s="161">
        <v>3545.45</v>
      </c>
      <c r="Q684" s="184">
        <v>45374</v>
      </c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</row>
    <row r="685" spans="1:27">
      <c r="A685" s="154">
        <v>5</v>
      </c>
      <c r="B685" s="155" t="s">
        <v>1354</v>
      </c>
      <c r="C685" s="156">
        <v>45251</v>
      </c>
      <c r="D685" s="155" t="s">
        <v>440</v>
      </c>
      <c r="E685" s="149" t="s">
        <v>190</v>
      </c>
      <c r="F685" s="149" t="s">
        <v>441</v>
      </c>
      <c r="G685" s="149" t="s">
        <v>442</v>
      </c>
      <c r="H685" s="149" t="str">
        <f t="shared" si="4"/>
        <v>FRANCISCO GARCÍA PURRIÑOS</v>
      </c>
      <c r="I685" s="149" t="s">
        <v>610</v>
      </c>
      <c r="J685" s="153" t="s">
        <v>462</v>
      </c>
      <c r="K685" s="149" t="s">
        <v>1454</v>
      </c>
      <c r="L685" s="183">
        <v>45433</v>
      </c>
      <c r="M685" s="153"/>
      <c r="N685" s="163">
        <v>2</v>
      </c>
      <c r="O685" s="149" t="s">
        <v>446</v>
      </c>
      <c r="P685" s="161">
        <v>3711.82</v>
      </c>
      <c r="Q685" s="185">
        <v>45251</v>
      </c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</row>
    <row r="686" spans="1:27">
      <c r="A686" s="154">
        <v>5</v>
      </c>
      <c r="B686" s="155" t="s">
        <v>1354</v>
      </c>
      <c r="C686" s="156">
        <v>45230</v>
      </c>
      <c r="D686" s="155" t="s">
        <v>440</v>
      </c>
      <c r="E686" s="149" t="s">
        <v>239</v>
      </c>
      <c r="F686" s="149" t="s">
        <v>441</v>
      </c>
      <c r="G686" s="149" t="s">
        <v>442</v>
      </c>
      <c r="H686" s="149" t="str">
        <f t="shared" si="4"/>
        <v>FRANCISCO ROPERO ROMERO</v>
      </c>
      <c r="I686" s="149" t="s">
        <v>1455</v>
      </c>
      <c r="J686" s="149" t="s">
        <v>455</v>
      </c>
      <c r="K686" s="149" t="s">
        <v>1456</v>
      </c>
      <c r="L686" s="157">
        <v>45433</v>
      </c>
      <c r="M686" s="153"/>
      <c r="N686" s="163">
        <v>2</v>
      </c>
      <c r="O686" s="149" t="s">
        <v>449</v>
      </c>
      <c r="P686" s="161">
        <v>2962.73</v>
      </c>
      <c r="Q686" s="185">
        <v>45230</v>
      </c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</row>
    <row r="687" spans="1:27">
      <c r="A687" s="154">
        <v>5</v>
      </c>
      <c r="B687" s="155" t="s">
        <v>1354</v>
      </c>
      <c r="C687" s="156">
        <v>45383</v>
      </c>
      <c r="D687" s="155" t="s">
        <v>440</v>
      </c>
      <c r="E687" s="149" t="s">
        <v>485</v>
      </c>
      <c r="F687" s="149" t="s">
        <v>441</v>
      </c>
      <c r="G687" s="149" t="s">
        <v>442</v>
      </c>
      <c r="H687" s="149" t="str">
        <f t="shared" si="4"/>
        <v>ANA FERNÁNDEZ RODRÍGUEZ</v>
      </c>
      <c r="I687" s="149" t="s">
        <v>1237</v>
      </c>
      <c r="J687" s="149" t="s">
        <v>473</v>
      </c>
      <c r="K687" s="149" t="s">
        <v>1457</v>
      </c>
      <c r="L687" s="183">
        <v>45433</v>
      </c>
      <c r="M687" s="149"/>
      <c r="N687" s="163">
        <v>2</v>
      </c>
      <c r="O687" s="149" t="s">
        <v>466</v>
      </c>
      <c r="P687" s="161">
        <v>3886.36</v>
      </c>
      <c r="Q687" s="185">
        <v>45383</v>
      </c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</row>
    <row r="688" spans="1:27">
      <c r="A688" s="154">
        <v>5</v>
      </c>
      <c r="B688" s="155" t="s">
        <v>1354</v>
      </c>
      <c r="C688" s="156">
        <v>45391</v>
      </c>
      <c r="D688" s="155" t="s">
        <v>440</v>
      </c>
      <c r="E688" s="149" t="s">
        <v>308</v>
      </c>
      <c r="F688" s="149" t="s">
        <v>441</v>
      </c>
      <c r="G688" s="149" t="s">
        <v>442</v>
      </c>
      <c r="H688" s="149" t="str">
        <f t="shared" si="4"/>
        <v>SARA REDA DEL BARRIO</v>
      </c>
      <c r="I688" s="149" t="s">
        <v>1458</v>
      </c>
      <c r="J688" s="153" t="s">
        <v>444</v>
      </c>
      <c r="K688" s="149" t="s">
        <v>1459</v>
      </c>
      <c r="L688" s="157">
        <v>45434</v>
      </c>
      <c r="M688" s="158"/>
      <c r="N688" s="163">
        <v>2</v>
      </c>
      <c r="O688" s="165" t="s">
        <v>449</v>
      </c>
      <c r="P688" s="161">
        <v>2780.91</v>
      </c>
      <c r="Q688" s="170">
        <v>45391</v>
      </c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</row>
    <row r="689" spans="1:27">
      <c r="A689" s="154">
        <v>5</v>
      </c>
      <c r="B689" s="155" t="s">
        <v>1354</v>
      </c>
      <c r="C689" s="156">
        <v>45404</v>
      </c>
      <c r="D689" s="155" t="s">
        <v>440</v>
      </c>
      <c r="E689" s="149" t="s">
        <v>546</v>
      </c>
      <c r="F689" s="149" t="s">
        <v>441</v>
      </c>
      <c r="G689" s="149" t="s">
        <v>442</v>
      </c>
      <c r="H689" s="149" t="str">
        <f t="shared" si="4"/>
        <v>DANIELA CAROLINA LAGUADO BULGHERONI</v>
      </c>
      <c r="I689" s="149" t="s">
        <v>1340</v>
      </c>
      <c r="J689" s="153" t="s">
        <v>548</v>
      </c>
      <c r="K689" s="149" t="s">
        <v>1460</v>
      </c>
      <c r="L689" s="157">
        <v>45434</v>
      </c>
      <c r="M689" s="158"/>
      <c r="N689" s="163">
        <v>2</v>
      </c>
      <c r="O689" s="165" t="s">
        <v>466</v>
      </c>
      <c r="P689" s="161">
        <v>4222.7299999999996</v>
      </c>
      <c r="Q689" s="170">
        <v>45404</v>
      </c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</row>
    <row r="690" spans="1:27">
      <c r="A690" s="154">
        <v>5</v>
      </c>
      <c r="B690" s="155" t="s">
        <v>1354</v>
      </c>
      <c r="C690" s="156">
        <v>45363</v>
      </c>
      <c r="D690" s="155" t="s">
        <v>440</v>
      </c>
      <c r="E690" s="149" t="s">
        <v>1461</v>
      </c>
      <c r="F690" s="149" t="s">
        <v>441</v>
      </c>
      <c r="G690" s="149" t="s">
        <v>442</v>
      </c>
      <c r="H690" s="149" t="str">
        <f t="shared" si="4"/>
        <v>MIGUEL MAYO YÁÑEZ</v>
      </c>
      <c r="I690" s="149" t="s">
        <v>692</v>
      </c>
      <c r="J690" s="153" t="s">
        <v>516</v>
      </c>
      <c r="K690" s="149" t="s">
        <v>1462</v>
      </c>
      <c r="L690" s="157">
        <v>45434</v>
      </c>
      <c r="M690" s="158"/>
      <c r="N690" s="163">
        <v>2</v>
      </c>
      <c r="O690" s="165" t="s">
        <v>466</v>
      </c>
      <c r="P690" s="161">
        <v>4090.77</v>
      </c>
      <c r="Q690" s="186">
        <v>45363</v>
      </c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</row>
    <row r="691" spans="1:27">
      <c r="A691" s="154">
        <v>5</v>
      </c>
      <c r="B691" s="155" t="s">
        <v>1354</v>
      </c>
      <c r="C691" s="156">
        <v>45372</v>
      </c>
      <c r="D691" s="155" t="s">
        <v>440</v>
      </c>
      <c r="E691" s="149" t="s">
        <v>309</v>
      </c>
      <c r="F691" s="149" t="s">
        <v>441</v>
      </c>
      <c r="G691" s="149" t="s">
        <v>442</v>
      </c>
      <c r="H691" s="149" t="str">
        <f t="shared" si="4"/>
        <v>JULIO LÓPEZ MOYA</v>
      </c>
      <c r="I691" s="149" t="s">
        <v>504</v>
      </c>
      <c r="J691" s="149" t="s">
        <v>444</v>
      </c>
      <c r="K691" s="149" t="s">
        <v>1463</v>
      </c>
      <c r="L691" s="157">
        <v>45434</v>
      </c>
      <c r="M691" s="164"/>
      <c r="N691" s="163">
        <v>1</v>
      </c>
      <c r="O691" s="165" t="s">
        <v>446</v>
      </c>
      <c r="P691" s="161">
        <v>2163.64</v>
      </c>
      <c r="Q691" s="170">
        <v>45372</v>
      </c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</row>
    <row r="692" spans="1:27">
      <c r="A692" s="154">
        <v>5</v>
      </c>
      <c r="B692" s="155" t="s">
        <v>1354</v>
      </c>
      <c r="C692" s="156">
        <v>45404</v>
      </c>
      <c r="D692" s="155" t="s">
        <v>440</v>
      </c>
      <c r="E692" s="149" t="s">
        <v>313</v>
      </c>
      <c r="F692" s="149" t="s">
        <v>441</v>
      </c>
      <c r="G692" s="149" t="s">
        <v>442</v>
      </c>
      <c r="H692" s="149" t="str">
        <f t="shared" si="4"/>
        <v>IRIS QUERO CAMPOS</v>
      </c>
      <c r="I692" s="149" t="s">
        <v>1464</v>
      </c>
      <c r="J692" s="153" t="s">
        <v>444</v>
      </c>
      <c r="K692" s="149" t="s">
        <v>1465</v>
      </c>
      <c r="L692" s="157">
        <v>45434</v>
      </c>
      <c r="M692" s="158"/>
      <c r="N692" s="163">
        <v>1</v>
      </c>
      <c r="O692" s="165" t="s">
        <v>446</v>
      </c>
      <c r="P692" s="161">
        <v>2162.73</v>
      </c>
      <c r="Q692" s="170">
        <v>45404</v>
      </c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</row>
    <row r="693" spans="1:27">
      <c r="A693" s="154">
        <v>5</v>
      </c>
      <c r="B693" s="155" t="s">
        <v>1354</v>
      </c>
      <c r="C693" s="156">
        <v>45383</v>
      </c>
      <c r="D693" s="155" t="s">
        <v>440</v>
      </c>
      <c r="E693" s="149" t="s">
        <v>951</v>
      </c>
      <c r="F693" s="149" t="s">
        <v>441</v>
      </c>
      <c r="G693" s="149" t="s">
        <v>442</v>
      </c>
      <c r="H693" s="149" t="str">
        <f t="shared" si="4"/>
        <v>ISABEL PENSADO BANET</v>
      </c>
      <c r="I693" s="149" t="s">
        <v>1446</v>
      </c>
      <c r="J693" s="153" t="s">
        <v>516</v>
      </c>
      <c r="K693" s="149" t="s">
        <v>1466</v>
      </c>
      <c r="L693" s="183">
        <v>45434</v>
      </c>
      <c r="M693" s="149"/>
      <c r="N693" s="163">
        <v>2</v>
      </c>
      <c r="O693" s="149" t="s">
        <v>446</v>
      </c>
      <c r="P693" s="161">
        <v>3604.55</v>
      </c>
      <c r="Q693" s="184">
        <v>45383</v>
      </c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</row>
    <row r="694" spans="1:27">
      <c r="A694" s="154">
        <v>5</v>
      </c>
      <c r="B694" s="155" t="s">
        <v>1354</v>
      </c>
      <c r="C694" s="156">
        <v>45386</v>
      </c>
      <c r="D694" s="155" t="s">
        <v>440</v>
      </c>
      <c r="E694" s="149" t="s">
        <v>312</v>
      </c>
      <c r="F694" s="149" t="s">
        <v>441</v>
      </c>
      <c r="G694" s="149" t="s">
        <v>442</v>
      </c>
      <c r="H694" s="149" t="str">
        <f t="shared" si="4"/>
        <v>FRANCISCO ANTONIO PÉREZ FERNÁNDEZ</v>
      </c>
      <c r="I694" s="149" t="s">
        <v>542</v>
      </c>
      <c r="J694" s="153" t="s">
        <v>455</v>
      </c>
      <c r="K694" s="149" t="s">
        <v>1467</v>
      </c>
      <c r="L694" s="183">
        <v>45434</v>
      </c>
      <c r="M694" s="149"/>
      <c r="N694" s="163">
        <v>1</v>
      </c>
      <c r="O694" s="149" t="s">
        <v>466</v>
      </c>
      <c r="P694" s="161">
        <v>2627.27</v>
      </c>
      <c r="Q694" s="184">
        <v>45386</v>
      </c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</row>
    <row r="695" spans="1:27">
      <c r="A695" s="154">
        <v>5</v>
      </c>
      <c r="B695" s="155" t="s">
        <v>1354</v>
      </c>
      <c r="C695" s="156">
        <v>45265</v>
      </c>
      <c r="D695" s="155" t="s">
        <v>440</v>
      </c>
      <c r="E695" s="149" t="s">
        <v>201</v>
      </c>
      <c r="F695" s="149" t="s">
        <v>441</v>
      </c>
      <c r="G695" s="149" t="s">
        <v>442</v>
      </c>
      <c r="H695" s="149" t="str">
        <f t="shared" si="4"/>
        <v>NATALIA GISSETH PULIDO FONSECA</v>
      </c>
      <c r="I695" s="149" t="s">
        <v>1119</v>
      </c>
      <c r="J695" s="153" t="s">
        <v>548</v>
      </c>
      <c r="K695" s="149" t="s">
        <v>1468</v>
      </c>
      <c r="L695" s="183">
        <v>45434</v>
      </c>
      <c r="M695" s="153"/>
      <c r="N695" s="163">
        <v>2</v>
      </c>
      <c r="O695" s="149" t="s">
        <v>446</v>
      </c>
      <c r="P695" s="161">
        <v>3520.91</v>
      </c>
      <c r="Q695" s="184">
        <v>45265</v>
      </c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</row>
    <row r="696" spans="1:27">
      <c r="A696" s="154">
        <v>5</v>
      </c>
      <c r="B696" s="155" t="s">
        <v>1354</v>
      </c>
      <c r="C696" s="156">
        <v>45345</v>
      </c>
      <c r="D696" s="155" t="s">
        <v>440</v>
      </c>
      <c r="E696" s="149" t="s">
        <v>317</v>
      </c>
      <c r="F696" s="149" t="s">
        <v>441</v>
      </c>
      <c r="G696" s="149" t="s">
        <v>442</v>
      </c>
      <c r="H696" s="149" t="str">
        <f t="shared" si="4"/>
        <v>NO REUERDA ORL</v>
      </c>
      <c r="I696" s="149" t="s">
        <v>469</v>
      </c>
      <c r="J696" s="149" t="s">
        <v>462</v>
      </c>
      <c r="K696" s="149" t="s">
        <v>1469</v>
      </c>
      <c r="L696" s="157">
        <v>45435</v>
      </c>
      <c r="M696" s="158"/>
      <c r="N696" s="163">
        <v>2</v>
      </c>
      <c r="O696" s="165" t="s">
        <v>449</v>
      </c>
      <c r="P696" s="161">
        <v>818.18</v>
      </c>
      <c r="Q696" s="170">
        <v>45345</v>
      </c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</row>
    <row r="697" spans="1:27">
      <c r="A697" s="154">
        <v>5</v>
      </c>
      <c r="B697" s="155" t="s">
        <v>1354</v>
      </c>
      <c r="C697" s="156">
        <v>45406</v>
      </c>
      <c r="D697" s="155" t="s">
        <v>440</v>
      </c>
      <c r="E697" s="149" t="s">
        <v>138</v>
      </c>
      <c r="F697" s="149" t="s">
        <v>441</v>
      </c>
      <c r="G697" s="149" t="s">
        <v>442</v>
      </c>
      <c r="H697" s="149" t="str">
        <f t="shared" si="4"/>
        <v>VICTORIA RIVERO DE JESÚS</v>
      </c>
      <c r="I697" s="149" t="s">
        <v>1470</v>
      </c>
      <c r="J697" s="153" t="s">
        <v>532</v>
      </c>
      <c r="K697" s="149" t="s">
        <v>1471</v>
      </c>
      <c r="L697" s="157">
        <v>45435</v>
      </c>
      <c r="M697" s="158"/>
      <c r="N697" s="163">
        <v>2</v>
      </c>
      <c r="O697" s="165" t="s">
        <v>466</v>
      </c>
      <c r="P697" s="161">
        <v>4000</v>
      </c>
      <c r="Q697" s="170">
        <v>45406</v>
      </c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</row>
    <row r="698" spans="1:27">
      <c r="A698" s="154">
        <v>5</v>
      </c>
      <c r="B698" s="155" t="s">
        <v>1354</v>
      </c>
      <c r="C698" s="156">
        <v>45373</v>
      </c>
      <c r="D698" s="166" t="s">
        <v>440</v>
      </c>
      <c r="E698" s="149" t="s">
        <v>145</v>
      </c>
      <c r="F698" s="149" t="s">
        <v>441</v>
      </c>
      <c r="G698" s="149" t="s">
        <v>442</v>
      </c>
      <c r="H698" s="149" t="str">
        <f t="shared" si="4"/>
        <v>ENRIC CISA LLUIS</v>
      </c>
      <c r="I698" s="149" t="s">
        <v>1472</v>
      </c>
      <c r="J698" s="187" t="s">
        <v>532</v>
      </c>
      <c r="K698" s="149" t="s">
        <v>1473</v>
      </c>
      <c r="L698" s="157">
        <v>45435</v>
      </c>
      <c r="M698" s="158"/>
      <c r="N698" s="163">
        <v>2</v>
      </c>
      <c r="O698" s="165" t="s">
        <v>446</v>
      </c>
      <c r="P698" s="161">
        <v>3604.55</v>
      </c>
      <c r="Q698" s="170">
        <v>45373</v>
      </c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</row>
    <row r="699" spans="1:27">
      <c r="A699" s="154">
        <v>5</v>
      </c>
      <c r="B699" s="155" t="s">
        <v>1354</v>
      </c>
      <c r="C699" s="156">
        <v>45398</v>
      </c>
      <c r="D699" s="155" t="s">
        <v>440</v>
      </c>
      <c r="E699" s="149" t="s">
        <v>122</v>
      </c>
      <c r="F699" s="149" t="s">
        <v>441</v>
      </c>
      <c r="G699" s="149" t="s">
        <v>442</v>
      </c>
      <c r="H699" s="149" t="str">
        <f t="shared" si="4"/>
        <v>MONTSERRAT PORTELL SORIANO</v>
      </c>
      <c r="I699" s="149" t="s">
        <v>669</v>
      </c>
      <c r="J699" s="153" t="s">
        <v>444</v>
      </c>
      <c r="K699" s="149" t="s">
        <v>1474</v>
      </c>
      <c r="L699" s="157">
        <v>45435</v>
      </c>
      <c r="M699" s="158"/>
      <c r="N699" s="163">
        <v>1</v>
      </c>
      <c r="O699" s="165" t="s">
        <v>446</v>
      </c>
      <c r="P699" s="161">
        <v>2162.73</v>
      </c>
      <c r="Q699" s="170">
        <v>45398</v>
      </c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</row>
    <row r="700" spans="1:27">
      <c r="A700" s="154">
        <v>5</v>
      </c>
      <c r="B700" s="155" t="s">
        <v>1354</v>
      </c>
      <c r="C700" s="156">
        <v>45394</v>
      </c>
      <c r="D700" s="155" t="s">
        <v>440</v>
      </c>
      <c r="E700" s="149" t="s">
        <v>506</v>
      </c>
      <c r="F700" s="149" t="s">
        <v>441</v>
      </c>
      <c r="G700" s="149" t="s">
        <v>442</v>
      </c>
      <c r="H700" s="149" t="str">
        <f t="shared" si="4"/>
        <v>MARÍA JESÚS CORNEJO DOMÍNGUEZ</v>
      </c>
      <c r="I700" s="149" t="s">
        <v>507</v>
      </c>
      <c r="J700" s="153" t="s">
        <v>473</v>
      </c>
      <c r="K700" s="149" t="s">
        <v>1475</v>
      </c>
      <c r="L700" s="183">
        <v>45435</v>
      </c>
      <c r="M700" s="149"/>
      <c r="N700" s="163">
        <v>2</v>
      </c>
      <c r="O700" s="149" t="s">
        <v>446</v>
      </c>
      <c r="P700" s="161">
        <v>3295.45</v>
      </c>
      <c r="Q700" s="185">
        <v>45394</v>
      </c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</row>
    <row r="701" spans="1:27">
      <c r="A701" s="154">
        <v>5</v>
      </c>
      <c r="B701" s="155" t="s">
        <v>1354</v>
      </c>
      <c r="C701" s="156">
        <v>45386</v>
      </c>
      <c r="D701" s="155" t="s">
        <v>440</v>
      </c>
      <c r="E701" s="149" t="s">
        <v>312</v>
      </c>
      <c r="F701" s="149" t="s">
        <v>441</v>
      </c>
      <c r="G701" s="149" t="s">
        <v>442</v>
      </c>
      <c r="H701" s="149" t="str">
        <f t="shared" si="4"/>
        <v>ESTEFANÍA BERROCAL POSTIGO</v>
      </c>
      <c r="I701" s="149" t="s">
        <v>927</v>
      </c>
      <c r="J701" s="153" t="s">
        <v>455</v>
      </c>
      <c r="K701" s="149" t="s">
        <v>1476</v>
      </c>
      <c r="L701" s="168">
        <v>45435</v>
      </c>
      <c r="M701" s="149"/>
      <c r="N701" s="163">
        <v>2</v>
      </c>
      <c r="O701" s="149" t="s">
        <v>446</v>
      </c>
      <c r="P701" s="161">
        <v>3153.64</v>
      </c>
      <c r="Q701" s="184">
        <v>45386</v>
      </c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</row>
    <row r="702" spans="1:27">
      <c r="A702" s="154">
        <v>5</v>
      </c>
      <c r="B702" s="155" t="s">
        <v>1354</v>
      </c>
      <c r="C702" s="156">
        <v>45407</v>
      </c>
      <c r="D702" s="155" t="s">
        <v>440</v>
      </c>
      <c r="E702" s="149" t="s">
        <v>239</v>
      </c>
      <c r="F702" s="149" t="s">
        <v>441</v>
      </c>
      <c r="G702" s="149" t="s">
        <v>442</v>
      </c>
      <c r="H702" s="149" t="str">
        <f t="shared" si="4"/>
        <v>ESTEFANÍA BERROCAL POSTIGO</v>
      </c>
      <c r="I702" s="149" t="s">
        <v>927</v>
      </c>
      <c r="J702" s="153" t="s">
        <v>455</v>
      </c>
      <c r="K702" s="149" t="s">
        <v>1477</v>
      </c>
      <c r="L702" s="183">
        <v>45435</v>
      </c>
      <c r="M702" s="149"/>
      <c r="N702" s="163">
        <v>2</v>
      </c>
      <c r="O702" s="149" t="s">
        <v>446</v>
      </c>
      <c r="P702" s="161">
        <v>3441.82</v>
      </c>
      <c r="Q702" s="185">
        <v>45407</v>
      </c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</row>
    <row r="703" spans="1:27">
      <c r="A703" s="154">
        <v>5</v>
      </c>
      <c r="B703" s="155" t="s">
        <v>1354</v>
      </c>
      <c r="C703" s="156">
        <v>45343</v>
      </c>
      <c r="D703" s="155" t="s">
        <v>440</v>
      </c>
      <c r="E703" s="149" t="s">
        <v>460</v>
      </c>
      <c r="F703" s="149" t="s">
        <v>441</v>
      </c>
      <c r="G703" s="149" t="s">
        <v>442</v>
      </c>
      <c r="H703" s="149" t="str">
        <f t="shared" si="4"/>
        <v>ISABEL POLO TOMÁS</v>
      </c>
      <c r="I703" s="149" t="s">
        <v>638</v>
      </c>
      <c r="J703" s="153" t="s">
        <v>462</v>
      </c>
      <c r="K703" s="149" t="s">
        <v>1478</v>
      </c>
      <c r="L703" s="157">
        <v>45436</v>
      </c>
      <c r="M703" s="158"/>
      <c r="N703" s="163">
        <v>1</v>
      </c>
      <c r="O703" s="165" t="s">
        <v>449</v>
      </c>
      <c r="P703" s="161">
        <v>1732.73</v>
      </c>
      <c r="Q703" s="170">
        <v>45343</v>
      </c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</row>
    <row r="704" spans="1:27">
      <c r="A704" s="154">
        <v>5</v>
      </c>
      <c r="B704" s="155" t="s">
        <v>1354</v>
      </c>
      <c r="C704" s="156">
        <v>45028</v>
      </c>
      <c r="D704" s="155" t="s">
        <v>440</v>
      </c>
      <c r="E704" s="149" t="s">
        <v>317</v>
      </c>
      <c r="F704" s="149" t="s">
        <v>441</v>
      </c>
      <c r="G704" s="149" t="s">
        <v>442</v>
      </c>
      <c r="H704" s="149" t="str">
        <f t="shared" si="4"/>
        <v>KAREN ROJAS CRESPO</v>
      </c>
      <c r="I704" s="149" t="s">
        <v>986</v>
      </c>
      <c r="J704" s="153" t="s">
        <v>462</v>
      </c>
      <c r="K704" s="149" t="s">
        <v>1479</v>
      </c>
      <c r="L704" s="157">
        <v>45436</v>
      </c>
      <c r="M704" s="158"/>
      <c r="N704" s="163">
        <v>2</v>
      </c>
      <c r="O704" s="165" t="s">
        <v>449</v>
      </c>
      <c r="P704" s="161">
        <v>818.18</v>
      </c>
      <c r="Q704" s="170">
        <v>45028</v>
      </c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</row>
    <row r="705" spans="1:27">
      <c r="A705" s="154">
        <v>5</v>
      </c>
      <c r="B705" s="155" t="s">
        <v>1354</v>
      </c>
      <c r="C705" s="156">
        <v>45399</v>
      </c>
      <c r="D705" s="155" t="s">
        <v>440</v>
      </c>
      <c r="E705" s="149" t="s">
        <v>311</v>
      </c>
      <c r="F705" s="149" t="s">
        <v>441</v>
      </c>
      <c r="G705" s="149" t="s">
        <v>442</v>
      </c>
      <c r="H705" s="149" t="str">
        <f t="shared" si="4"/>
        <v>NURIA PÉREZ MARTÍN</v>
      </c>
      <c r="I705" s="149" t="s">
        <v>1480</v>
      </c>
      <c r="J705" s="153" t="s">
        <v>444</v>
      </c>
      <c r="K705" s="149" t="s">
        <v>1481</v>
      </c>
      <c r="L705" s="157">
        <v>45436</v>
      </c>
      <c r="M705" s="158"/>
      <c r="N705" s="163">
        <v>2</v>
      </c>
      <c r="O705" s="165" t="s">
        <v>513</v>
      </c>
      <c r="P705" s="161">
        <v>4180</v>
      </c>
      <c r="Q705" s="170">
        <v>45399</v>
      </c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</row>
    <row r="706" spans="1:27">
      <c r="A706" s="154">
        <v>5</v>
      </c>
      <c r="B706" s="155" t="s">
        <v>1354</v>
      </c>
      <c r="C706" s="156">
        <v>45401</v>
      </c>
      <c r="D706" s="155" t="s">
        <v>440</v>
      </c>
      <c r="E706" s="149" t="s">
        <v>1047</v>
      </c>
      <c r="F706" s="149" t="s">
        <v>441</v>
      </c>
      <c r="G706" s="149" t="s">
        <v>442</v>
      </c>
      <c r="H706" s="149" t="str">
        <f t="shared" si="4"/>
        <v>XAVIER URRACA CONTRERAS</v>
      </c>
      <c r="I706" s="149" t="s">
        <v>1482</v>
      </c>
      <c r="J706" s="153" t="s">
        <v>532</v>
      </c>
      <c r="K706" s="149" t="s">
        <v>1483</v>
      </c>
      <c r="L706" s="157">
        <v>45436</v>
      </c>
      <c r="M706" s="158"/>
      <c r="N706" s="163">
        <v>2</v>
      </c>
      <c r="O706" s="165" t="s">
        <v>446</v>
      </c>
      <c r="P706" s="161">
        <v>3604.55</v>
      </c>
      <c r="Q706" s="170">
        <v>45401</v>
      </c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</row>
    <row r="707" spans="1:27">
      <c r="A707" s="154">
        <v>5</v>
      </c>
      <c r="B707" s="155" t="s">
        <v>1354</v>
      </c>
      <c r="C707" s="156">
        <v>45392</v>
      </c>
      <c r="D707" s="155" t="s">
        <v>440</v>
      </c>
      <c r="E707" s="149" t="s">
        <v>315</v>
      </c>
      <c r="F707" s="149" t="s">
        <v>441</v>
      </c>
      <c r="G707" s="149" t="s">
        <v>442</v>
      </c>
      <c r="H707" s="149" t="str">
        <f t="shared" si="4"/>
        <v>JOSÉ GUSTAVO BARROSO BRAOJOS</v>
      </c>
      <c r="I707" s="149" t="s">
        <v>560</v>
      </c>
      <c r="J707" s="153" t="s">
        <v>444</v>
      </c>
      <c r="K707" s="149" t="s">
        <v>1484</v>
      </c>
      <c r="L707" s="157">
        <v>45436</v>
      </c>
      <c r="M707" s="158"/>
      <c r="N707" s="163">
        <v>2</v>
      </c>
      <c r="O707" s="165" t="s">
        <v>466</v>
      </c>
      <c r="P707" s="161">
        <v>4222.7299999999996</v>
      </c>
      <c r="Q707" s="170">
        <v>45392</v>
      </c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</row>
    <row r="708" spans="1:27">
      <c r="A708" s="154">
        <v>5</v>
      </c>
      <c r="B708" s="155" t="s">
        <v>1354</v>
      </c>
      <c r="C708" s="156">
        <v>45405</v>
      </c>
      <c r="D708" s="155" t="s">
        <v>440</v>
      </c>
      <c r="E708" s="149" t="s">
        <v>315</v>
      </c>
      <c r="F708" s="149" t="s">
        <v>441</v>
      </c>
      <c r="G708" s="149" t="s">
        <v>442</v>
      </c>
      <c r="H708" s="149" t="str">
        <f t="shared" si="4"/>
        <v>HELENA MORENO PARDO</v>
      </c>
      <c r="I708" s="149" t="s">
        <v>1345</v>
      </c>
      <c r="J708" s="153" t="s">
        <v>444</v>
      </c>
      <c r="K708" s="149" t="s">
        <v>1485</v>
      </c>
      <c r="L708" s="157">
        <v>45436</v>
      </c>
      <c r="M708" s="164"/>
      <c r="N708" s="163">
        <v>1</v>
      </c>
      <c r="O708" s="165" t="s">
        <v>513</v>
      </c>
      <c r="P708" s="161">
        <v>3549.09</v>
      </c>
      <c r="Q708" s="170">
        <v>45405</v>
      </c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</row>
    <row r="709" spans="1:27">
      <c r="A709" s="154">
        <v>5</v>
      </c>
      <c r="B709" s="155" t="s">
        <v>1354</v>
      </c>
      <c r="C709" s="156">
        <v>45404</v>
      </c>
      <c r="D709" s="155" t="s">
        <v>440</v>
      </c>
      <c r="E709" s="149" t="s">
        <v>98</v>
      </c>
      <c r="F709" s="149" t="s">
        <v>441</v>
      </c>
      <c r="G709" s="149" t="s">
        <v>442</v>
      </c>
      <c r="H709" s="149" t="str">
        <f t="shared" si="4"/>
        <v>AIDA AVIÑOA ARIAS</v>
      </c>
      <c r="I709" s="149" t="s">
        <v>1024</v>
      </c>
      <c r="J709" s="153" t="s">
        <v>462</v>
      </c>
      <c r="K709" s="149" t="s">
        <v>1486</v>
      </c>
      <c r="L709" s="168">
        <v>45436</v>
      </c>
      <c r="M709" s="149"/>
      <c r="N709" s="163">
        <v>2</v>
      </c>
      <c r="O709" s="149" t="s">
        <v>446</v>
      </c>
      <c r="P709" s="161">
        <v>3603.85</v>
      </c>
      <c r="Q709" s="185">
        <v>45404</v>
      </c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</row>
    <row r="710" spans="1:27">
      <c r="A710" s="154">
        <v>5</v>
      </c>
      <c r="B710" s="155" t="s">
        <v>1354</v>
      </c>
      <c r="C710" s="156">
        <v>45408</v>
      </c>
      <c r="D710" s="155" t="s">
        <v>440</v>
      </c>
      <c r="E710" s="149" t="s">
        <v>102</v>
      </c>
      <c r="F710" s="149" t="s">
        <v>441</v>
      </c>
      <c r="G710" s="149" t="s">
        <v>442</v>
      </c>
      <c r="H710" s="149" t="str">
        <f t="shared" si="4"/>
        <v>MÓNICA RODRÍGUEZ</v>
      </c>
      <c r="I710" s="149" t="s">
        <v>897</v>
      </c>
      <c r="J710" s="153" t="s">
        <v>462</v>
      </c>
      <c r="K710" s="149" t="s">
        <v>1487</v>
      </c>
      <c r="L710" s="168">
        <v>45436</v>
      </c>
      <c r="M710" s="149"/>
      <c r="N710" s="163">
        <v>2</v>
      </c>
      <c r="O710" s="149" t="s">
        <v>466</v>
      </c>
      <c r="P710" s="161">
        <v>4000</v>
      </c>
      <c r="Q710" s="185">
        <v>45408</v>
      </c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</row>
    <row r="711" spans="1:27">
      <c r="A711" s="154">
        <v>5</v>
      </c>
      <c r="B711" s="155" t="s">
        <v>1354</v>
      </c>
      <c r="C711" s="156">
        <v>45359</v>
      </c>
      <c r="D711" s="155" t="s">
        <v>440</v>
      </c>
      <c r="E711" s="149" t="s">
        <v>475</v>
      </c>
      <c r="F711" s="149" t="s">
        <v>441</v>
      </c>
      <c r="G711" s="149" t="s">
        <v>442</v>
      </c>
      <c r="H711" s="149" t="str">
        <f t="shared" si="4"/>
        <v>MÓNICA GRANDA ROSALES</v>
      </c>
      <c r="I711" s="149" t="s">
        <v>476</v>
      </c>
      <c r="J711" s="153" t="s">
        <v>473</v>
      </c>
      <c r="K711" s="149" t="s">
        <v>1488</v>
      </c>
      <c r="L711" s="168">
        <v>45436</v>
      </c>
      <c r="M711" s="149"/>
      <c r="N711" s="163">
        <v>1</v>
      </c>
      <c r="O711" s="149" t="s">
        <v>446</v>
      </c>
      <c r="P711" s="161">
        <v>1636.36</v>
      </c>
      <c r="Q711" s="184">
        <v>45359</v>
      </c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</row>
    <row r="712" spans="1:27">
      <c r="A712" s="154">
        <v>5</v>
      </c>
      <c r="B712" s="155" t="s">
        <v>1354</v>
      </c>
      <c r="C712" s="156">
        <v>45366</v>
      </c>
      <c r="D712" s="155" t="s">
        <v>440</v>
      </c>
      <c r="E712" s="149" t="s">
        <v>475</v>
      </c>
      <c r="F712" s="149" t="s">
        <v>441</v>
      </c>
      <c r="G712" s="149" t="s">
        <v>442</v>
      </c>
      <c r="H712" s="149" t="str">
        <f t="shared" si="4"/>
        <v>MÓNICA GRANDA ROSALES</v>
      </c>
      <c r="I712" s="149" t="s">
        <v>476</v>
      </c>
      <c r="J712" s="153" t="s">
        <v>473</v>
      </c>
      <c r="K712" s="149" t="s">
        <v>1489</v>
      </c>
      <c r="L712" s="183">
        <v>45436</v>
      </c>
      <c r="M712" s="149"/>
      <c r="N712" s="163">
        <v>2</v>
      </c>
      <c r="O712" s="149" t="s">
        <v>446</v>
      </c>
      <c r="P712" s="161">
        <v>2727.27</v>
      </c>
      <c r="Q712" s="185">
        <v>45366</v>
      </c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</row>
    <row r="713" spans="1:27">
      <c r="A713" s="154">
        <v>5</v>
      </c>
      <c r="B713" s="155" t="s">
        <v>1354</v>
      </c>
      <c r="C713" s="156">
        <v>45418</v>
      </c>
      <c r="D713" s="155" t="s">
        <v>440</v>
      </c>
      <c r="E713" s="149" t="s">
        <v>475</v>
      </c>
      <c r="F713" s="149" t="s">
        <v>441</v>
      </c>
      <c r="G713" s="149" t="s">
        <v>442</v>
      </c>
      <c r="H713" s="149" t="str">
        <f t="shared" si="4"/>
        <v>MÓNICA GRANDA ROSALES</v>
      </c>
      <c r="I713" s="149" t="s">
        <v>476</v>
      </c>
      <c r="J713" s="153" t="s">
        <v>473</v>
      </c>
      <c r="K713" s="149" t="s">
        <v>1490</v>
      </c>
      <c r="L713" s="183">
        <v>45436</v>
      </c>
      <c r="M713" s="153"/>
      <c r="N713" s="163">
        <v>2</v>
      </c>
      <c r="O713" s="149" t="s">
        <v>446</v>
      </c>
      <c r="P713" s="161">
        <v>1727.27</v>
      </c>
      <c r="Q713" s="185">
        <v>45418</v>
      </c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</row>
    <row r="714" spans="1:27">
      <c r="A714" s="154">
        <v>5</v>
      </c>
      <c r="B714" s="155" t="s">
        <v>1354</v>
      </c>
      <c r="C714" s="156">
        <v>45393</v>
      </c>
      <c r="D714" s="155" t="s">
        <v>440</v>
      </c>
      <c r="E714" s="149" t="s">
        <v>951</v>
      </c>
      <c r="F714" s="149" t="s">
        <v>441</v>
      </c>
      <c r="G714" s="149" t="s">
        <v>442</v>
      </c>
      <c r="H714" s="149" t="str">
        <f>TRIM(SUBSTITUTE(SUBSTITUTE(SUBSTITUTE(SUBSTITUTE(I714,"DR. ",""),"DRA. ",""),"DR. ",""),"DRA ",""))</f>
        <v>ISABEL VAAMONDE SANCHEZ ANDRADE</v>
      </c>
      <c r="I714" s="149" t="s">
        <v>814</v>
      </c>
      <c r="J714" s="153" t="s">
        <v>516</v>
      </c>
      <c r="K714" s="149" t="s">
        <v>1491</v>
      </c>
      <c r="L714" s="157">
        <v>45436</v>
      </c>
      <c r="M714" s="149"/>
      <c r="N714" s="163">
        <v>2</v>
      </c>
      <c r="O714" s="149" t="s">
        <v>446</v>
      </c>
      <c r="P714" s="161">
        <v>3604.55</v>
      </c>
      <c r="Q714" s="184">
        <v>45393</v>
      </c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</row>
    <row r="715" spans="1:27">
      <c r="A715" s="154">
        <v>5</v>
      </c>
      <c r="B715" s="155" t="s">
        <v>1354</v>
      </c>
      <c r="C715" s="156">
        <v>45411</v>
      </c>
      <c r="D715" s="155" t="s">
        <v>440</v>
      </c>
      <c r="E715" s="149" t="s">
        <v>239</v>
      </c>
      <c r="F715" s="149" t="s">
        <v>441</v>
      </c>
      <c r="G715" s="149" t="s">
        <v>442</v>
      </c>
      <c r="H715" s="149" t="str">
        <f t="shared" ref="H715:H969" si="5">TRIM(SUBSTITUTE(SUBSTITUTE(SUBSTITUTE(SUBSTITUTE(I715,"DR. ",""),"DRA. ",""),"DR ",""),"DRA ",""))</f>
        <v>ESTEFANÍA LOZANO REINA</v>
      </c>
      <c r="I715" s="149" t="s">
        <v>1492</v>
      </c>
      <c r="J715" s="153" t="s">
        <v>455</v>
      </c>
      <c r="K715" s="149" t="s">
        <v>1493</v>
      </c>
      <c r="L715" s="157">
        <v>45436</v>
      </c>
      <c r="M715" s="149"/>
      <c r="N715" s="163">
        <v>2</v>
      </c>
      <c r="O715" s="149" t="s">
        <v>449</v>
      </c>
      <c r="P715" s="161">
        <v>2888.18</v>
      </c>
      <c r="Q715" s="184">
        <v>45411</v>
      </c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</row>
    <row r="716" spans="1:27">
      <c r="A716" s="154">
        <v>5</v>
      </c>
      <c r="B716" s="155" t="s">
        <v>1354</v>
      </c>
      <c r="C716" s="156">
        <v>45371</v>
      </c>
      <c r="D716" s="155" t="s">
        <v>440</v>
      </c>
      <c r="E716" s="149" t="s">
        <v>92</v>
      </c>
      <c r="F716" s="149" t="s">
        <v>441</v>
      </c>
      <c r="G716" s="149" t="s">
        <v>442</v>
      </c>
      <c r="H716" s="149" t="str">
        <f t="shared" si="5"/>
        <v>MANUEL GARCÍA LÓPEZ</v>
      </c>
      <c r="I716" s="149" t="s">
        <v>1494</v>
      </c>
      <c r="J716" s="153" t="s">
        <v>462</v>
      </c>
      <c r="K716" s="149" t="s">
        <v>1495</v>
      </c>
      <c r="L716" s="157">
        <v>45439</v>
      </c>
      <c r="M716" s="158"/>
      <c r="N716" s="163">
        <v>2</v>
      </c>
      <c r="O716" s="165" t="s">
        <v>446</v>
      </c>
      <c r="P716" s="161">
        <v>2799.09</v>
      </c>
      <c r="Q716" s="170">
        <v>45371</v>
      </c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</row>
    <row r="717" spans="1:27">
      <c r="A717" s="154">
        <v>5</v>
      </c>
      <c r="B717" s="155" t="s">
        <v>1354</v>
      </c>
      <c r="C717" s="156">
        <v>45407</v>
      </c>
      <c r="D717" s="155" t="s">
        <v>440</v>
      </c>
      <c r="E717" s="149" t="s">
        <v>92</v>
      </c>
      <c r="F717" s="149" t="s">
        <v>441</v>
      </c>
      <c r="G717" s="149" t="s">
        <v>442</v>
      </c>
      <c r="H717" s="149" t="str">
        <f t="shared" si="5"/>
        <v>PEDRO SEGUÍ MOYA</v>
      </c>
      <c r="I717" s="149" t="s">
        <v>779</v>
      </c>
      <c r="J717" s="153" t="s">
        <v>462</v>
      </c>
      <c r="K717" s="149" t="s">
        <v>1496</v>
      </c>
      <c r="L717" s="157">
        <v>45439</v>
      </c>
      <c r="M717" s="158"/>
      <c r="N717" s="163">
        <v>2</v>
      </c>
      <c r="O717" s="165" t="s">
        <v>446</v>
      </c>
      <c r="P717" s="161">
        <v>3709.09</v>
      </c>
      <c r="Q717" s="170">
        <v>45407</v>
      </c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</row>
    <row r="718" spans="1:27">
      <c r="A718" s="154">
        <v>5</v>
      </c>
      <c r="B718" s="155" t="s">
        <v>1354</v>
      </c>
      <c r="C718" s="156">
        <v>45390</v>
      </c>
      <c r="D718" s="155" t="s">
        <v>440</v>
      </c>
      <c r="E718" s="149" t="s">
        <v>317</v>
      </c>
      <c r="F718" s="149" t="s">
        <v>441</v>
      </c>
      <c r="G718" s="149" t="s">
        <v>442</v>
      </c>
      <c r="H718" s="149" t="str">
        <f t="shared" si="5"/>
        <v>GUILLERMO SEVERÁ FERRANDIZ</v>
      </c>
      <c r="I718" s="149" t="s">
        <v>916</v>
      </c>
      <c r="J718" s="153" t="s">
        <v>462</v>
      </c>
      <c r="K718" s="149" t="s">
        <v>1497</v>
      </c>
      <c r="L718" s="157">
        <v>45439</v>
      </c>
      <c r="M718" s="158"/>
      <c r="N718" s="163">
        <v>2</v>
      </c>
      <c r="O718" s="165" t="s">
        <v>449</v>
      </c>
      <c r="P718" s="161">
        <v>2039.09</v>
      </c>
      <c r="Q718" s="170">
        <v>45390</v>
      </c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</row>
    <row r="719" spans="1:27">
      <c r="A719" s="154">
        <v>5</v>
      </c>
      <c r="B719" s="155" t="s">
        <v>1354</v>
      </c>
      <c r="C719" s="156">
        <v>45397</v>
      </c>
      <c r="D719" s="155" t="s">
        <v>440</v>
      </c>
      <c r="E719" s="149" t="s">
        <v>317</v>
      </c>
      <c r="F719" s="149" t="s">
        <v>441</v>
      </c>
      <c r="G719" s="149" t="s">
        <v>442</v>
      </c>
      <c r="H719" s="149" t="str">
        <f t="shared" si="5"/>
        <v>IRENE MONJAS CANOVAS</v>
      </c>
      <c r="I719" s="149" t="s">
        <v>1498</v>
      </c>
      <c r="J719" s="153" t="s">
        <v>462</v>
      </c>
      <c r="K719" s="149" t="s">
        <v>1499</v>
      </c>
      <c r="L719" s="157">
        <v>45439</v>
      </c>
      <c r="M719" s="158"/>
      <c r="N719" s="163">
        <v>2</v>
      </c>
      <c r="O719" s="165" t="s">
        <v>446</v>
      </c>
      <c r="P719" s="161">
        <v>3604.55</v>
      </c>
      <c r="Q719" s="170">
        <v>45397</v>
      </c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</row>
    <row r="720" spans="1:27">
      <c r="A720" s="154">
        <v>5</v>
      </c>
      <c r="B720" s="155" t="s">
        <v>1354</v>
      </c>
      <c r="C720" s="156">
        <v>45384</v>
      </c>
      <c r="D720" s="155" t="s">
        <v>440</v>
      </c>
      <c r="E720" s="149" t="s">
        <v>122</v>
      </c>
      <c r="F720" s="149" t="s">
        <v>441</v>
      </c>
      <c r="G720" s="149" t="s">
        <v>442</v>
      </c>
      <c r="H720" s="149" t="str">
        <f t="shared" si="5"/>
        <v>MONTSERRAT PORTELL SORIANO</v>
      </c>
      <c r="I720" s="149" t="s">
        <v>669</v>
      </c>
      <c r="J720" s="153" t="s">
        <v>444</v>
      </c>
      <c r="K720" s="149" t="s">
        <v>1500</v>
      </c>
      <c r="L720" s="157">
        <v>45439</v>
      </c>
      <c r="M720" s="158"/>
      <c r="N720" s="163">
        <v>2</v>
      </c>
      <c r="O720" s="165" t="s">
        <v>513</v>
      </c>
      <c r="P720" s="161">
        <v>4400</v>
      </c>
      <c r="Q720" s="170">
        <v>45384</v>
      </c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</row>
    <row r="721" spans="1:27">
      <c r="A721" s="154">
        <v>5</v>
      </c>
      <c r="B721" s="155" t="s">
        <v>1354</v>
      </c>
      <c r="C721" s="156">
        <v>45411</v>
      </c>
      <c r="D721" s="155" t="s">
        <v>440</v>
      </c>
      <c r="E721" s="149" t="s">
        <v>315</v>
      </c>
      <c r="F721" s="149" t="s">
        <v>441</v>
      </c>
      <c r="G721" s="149" t="s">
        <v>442</v>
      </c>
      <c r="H721" s="149" t="str">
        <f t="shared" si="5"/>
        <v>JOSÉ GUSTAVO BARROSO BRAOJOS</v>
      </c>
      <c r="I721" s="149" t="s">
        <v>560</v>
      </c>
      <c r="J721" s="153" t="s">
        <v>444</v>
      </c>
      <c r="K721" s="149" t="s">
        <v>1501</v>
      </c>
      <c r="L721" s="157">
        <v>45439</v>
      </c>
      <c r="M721" s="158"/>
      <c r="N721" s="163">
        <v>2</v>
      </c>
      <c r="O721" s="165" t="s">
        <v>513</v>
      </c>
      <c r="P721" s="161">
        <v>4400</v>
      </c>
      <c r="Q721" s="170">
        <v>45411</v>
      </c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</row>
    <row r="722" spans="1:27">
      <c r="A722" s="154">
        <v>5</v>
      </c>
      <c r="B722" s="155" t="s">
        <v>1354</v>
      </c>
      <c r="C722" s="156">
        <v>45400</v>
      </c>
      <c r="D722" s="155" t="s">
        <v>440</v>
      </c>
      <c r="E722" s="149" t="s">
        <v>158</v>
      </c>
      <c r="F722" s="149" t="s">
        <v>441</v>
      </c>
      <c r="G722" s="149" t="s">
        <v>442</v>
      </c>
      <c r="H722" s="149" t="str">
        <f t="shared" si="5"/>
        <v>ESTEBAN SCOLA PLIEGO</v>
      </c>
      <c r="I722" s="149" t="s">
        <v>736</v>
      </c>
      <c r="J722" s="153" t="s">
        <v>444</v>
      </c>
      <c r="K722" s="149" t="s">
        <v>1502</v>
      </c>
      <c r="L722" s="157">
        <v>45439</v>
      </c>
      <c r="M722" s="158"/>
      <c r="N722" s="163">
        <v>2</v>
      </c>
      <c r="O722" s="165" t="s">
        <v>466</v>
      </c>
      <c r="P722" s="161">
        <v>4011.59</v>
      </c>
      <c r="Q722" s="170">
        <v>45400</v>
      </c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</row>
    <row r="723" spans="1:27">
      <c r="A723" s="154">
        <v>5</v>
      </c>
      <c r="B723" s="155" t="s">
        <v>1354</v>
      </c>
      <c r="C723" s="156">
        <v>45392</v>
      </c>
      <c r="D723" s="155" t="s">
        <v>440</v>
      </c>
      <c r="E723" s="149" t="s">
        <v>98</v>
      </c>
      <c r="F723" s="149" t="s">
        <v>441</v>
      </c>
      <c r="G723" s="149" t="s">
        <v>442</v>
      </c>
      <c r="H723" s="149" t="str">
        <f t="shared" si="5"/>
        <v>AIDA AVIÑOA ARIAS</v>
      </c>
      <c r="I723" s="149" t="s">
        <v>1024</v>
      </c>
      <c r="J723" s="153" t="s">
        <v>462</v>
      </c>
      <c r="K723" s="149" t="s">
        <v>1503</v>
      </c>
      <c r="L723" s="168">
        <v>45439</v>
      </c>
      <c r="M723" s="149"/>
      <c r="N723" s="163">
        <v>1</v>
      </c>
      <c r="O723" s="149" t="s">
        <v>466</v>
      </c>
      <c r="P723" s="161">
        <v>2536.36</v>
      </c>
      <c r="Q723" s="184">
        <v>45392</v>
      </c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</row>
    <row r="724" spans="1:27">
      <c r="A724" s="154">
        <v>5</v>
      </c>
      <c r="B724" s="155" t="s">
        <v>1354</v>
      </c>
      <c r="C724" s="156">
        <v>45415</v>
      </c>
      <c r="D724" s="155" t="s">
        <v>440</v>
      </c>
      <c r="E724" s="149" t="s">
        <v>98</v>
      </c>
      <c r="F724" s="149" t="s">
        <v>441</v>
      </c>
      <c r="G724" s="149" t="s">
        <v>442</v>
      </c>
      <c r="H724" s="149" t="str">
        <f t="shared" si="5"/>
        <v>ENRIQUE LÓPEZ MESEGUER</v>
      </c>
      <c r="I724" s="149" t="s">
        <v>1056</v>
      </c>
      <c r="J724" s="149" t="s">
        <v>462</v>
      </c>
      <c r="K724" s="149" t="s">
        <v>1504</v>
      </c>
      <c r="L724" s="183">
        <v>45439</v>
      </c>
      <c r="M724" s="149"/>
      <c r="N724" s="163">
        <v>2</v>
      </c>
      <c r="O724" s="149" t="s">
        <v>446</v>
      </c>
      <c r="P724" s="161">
        <v>3710</v>
      </c>
      <c r="Q724" s="185">
        <v>45415</v>
      </c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</row>
    <row r="725" spans="1:27">
      <c r="A725" s="154">
        <v>5</v>
      </c>
      <c r="B725" s="155" t="s">
        <v>1354</v>
      </c>
      <c r="C725" s="156">
        <v>45406</v>
      </c>
      <c r="D725" s="155" t="s">
        <v>440</v>
      </c>
      <c r="E725" s="149" t="s">
        <v>98</v>
      </c>
      <c r="F725" s="149" t="s">
        <v>441</v>
      </c>
      <c r="G725" s="149" t="s">
        <v>442</v>
      </c>
      <c r="H725" s="149" t="str">
        <f t="shared" si="5"/>
        <v>ENRIQUE VIVIENTE RODRÍGUEZ</v>
      </c>
      <c r="I725" s="149" t="s">
        <v>844</v>
      </c>
      <c r="J725" s="153" t="s">
        <v>462</v>
      </c>
      <c r="K725" s="149" t="s">
        <v>1505</v>
      </c>
      <c r="L725" s="168">
        <v>45439</v>
      </c>
      <c r="M725" s="149"/>
      <c r="N725" s="163">
        <v>2</v>
      </c>
      <c r="O725" s="149" t="s">
        <v>466</v>
      </c>
      <c r="P725" s="161">
        <v>3723.64</v>
      </c>
      <c r="Q725" s="184">
        <v>45406</v>
      </c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</row>
    <row r="726" spans="1:27">
      <c r="A726" s="154">
        <v>5</v>
      </c>
      <c r="B726" s="155" t="s">
        <v>1354</v>
      </c>
      <c r="C726" s="156">
        <v>45397</v>
      </c>
      <c r="D726" s="155" t="s">
        <v>440</v>
      </c>
      <c r="E726" s="149" t="s">
        <v>98</v>
      </c>
      <c r="F726" s="149" t="s">
        <v>441</v>
      </c>
      <c r="G726" s="149" t="s">
        <v>442</v>
      </c>
      <c r="H726" s="149" t="str">
        <f t="shared" si="5"/>
        <v>JUAN PABLO PELEGRÍN HERNÁNDEZ</v>
      </c>
      <c r="I726" s="149" t="s">
        <v>630</v>
      </c>
      <c r="J726" s="153" t="s">
        <v>462</v>
      </c>
      <c r="K726" s="149" t="s">
        <v>1506</v>
      </c>
      <c r="L726" s="168">
        <v>45439</v>
      </c>
      <c r="M726" s="149"/>
      <c r="N726" s="163">
        <v>2</v>
      </c>
      <c r="O726" s="149" t="s">
        <v>449</v>
      </c>
      <c r="P726" s="161">
        <v>2888.18</v>
      </c>
      <c r="Q726" s="185">
        <v>45397</v>
      </c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</row>
    <row r="727" spans="1:27">
      <c r="A727" s="154">
        <v>5</v>
      </c>
      <c r="B727" s="155" t="s">
        <v>1354</v>
      </c>
      <c r="C727" s="156">
        <v>45407</v>
      </c>
      <c r="D727" s="155" t="s">
        <v>440</v>
      </c>
      <c r="E727" s="149" t="s">
        <v>951</v>
      </c>
      <c r="F727" s="149" t="s">
        <v>441</v>
      </c>
      <c r="G727" s="149" t="s">
        <v>442</v>
      </c>
      <c r="H727" s="149" t="str">
        <f t="shared" si="5"/>
        <v>GABRIEL MARTÍNEZ CAPOCCINI</v>
      </c>
      <c r="I727" s="149" t="s">
        <v>1058</v>
      </c>
      <c r="J727" s="153" t="s">
        <v>516</v>
      </c>
      <c r="K727" s="149" t="s">
        <v>1507</v>
      </c>
      <c r="L727" s="168">
        <v>45439</v>
      </c>
      <c r="M727" s="149"/>
      <c r="N727" s="163">
        <v>2</v>
      </c>
      <c r="O727" s="149" t="s">
        <v>446</v>
      </c>
      <c r="P727" s="161">
        <v>3710</v>
      </c>
      <c r="Q727" s="184">
        <v>45407</v>
      </c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</row>
    <row r="728" spans="1:27">
      <c r="A728" s="154">
        <v>5</v>
      </c>
      <c r="B728" s="155" t="s">
        <v>1354</v>
      </c>
      <c r="C728" s="156">
        <v>45103</v>
      </c>
      <c r="D728" s="155" t="s">
        <v>440</v>
      </c>
      <c r="E728" s="149" t="s">
        <v>201</v>
      </c>
      <c r="F728" s="149" t="s">
        <v>441</v>
      </c>
      <c r="G728" s="149" t="s">
        <v>442</v>
      </c>
      <c r="H728" s="149" t="str">
        <f t="shared" si="5"/>
        <v>CARLOS FÉLIX ASENSIO NIETO</v>
      </c>
      <c r="I728" s="149" t="s">
        <v>1097</v>
      </c>
      <c r="J728" s="153" t="s">
        <v>477</v>
      </c>
      <c r="K728" s="149" t="s">
        <v>1508</v>
      </c>
      <c r="L728" s="183">
        <v>45439</v>
      </c>
      <c r="M728" s="149"/>
      <c r="N728" s="163">
        <v>2</v>
      </c>
      <c r="O728" s="149" t="s">
        <v>446</v>
      </c>
      <c r="P728" s="161">
        <v>3710</v>
      </c>
      <c r="Q728" s="185">
        <v>45103</v>
      </c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</row>
    <row r="729" spans="1:27">
      <c r="A729" s="154">
        <v>5</v>
      </c>
      <c r="B729" s="155" t="s">
        <v>1354</v>
      </c>
      <c r="C729" s="156">
        <v>45405</v>
      </c>
      <c r="D729" s="155" t="s">
        <v>440</v>
      </c>
      <c r="E729" s="149" t="s">
        <v>150</v>
      </c>
      <c r="F729" s="149" t="s">
        <v>441</v>
      </c>
      <c r="G729" s="149" t="s">
        <v>442</v>
      </c>
      <c r="H729" s="149" t="str">
        <f t="shared" si="5"/>
        <v>LUÍS MARTÍNEZ BERNABEU</v>
      </c>
      <c r="I729" s="149" t="s">
        <v>483</v>
      </c>
      <c r="J729" s="153" t="s">
        <v>636</v>
      </c>
      <c r="K729" s="149" t="s">
        <v>1509</v>
      </c>
      <c r="L729" s="168">
        <v>45439</v>
      </c>
      <c r="M729" s="149"/>
      <c r="N729" s="163">
        <v>2</v>
      </c>
      <c r="O729" s="149" t="s">
        <v>466</v>
      </c>
      <c r="P729" s="161">
        <v>3800</v>
      </c>
      <c r="Q729" s="185">
        <v>45405</v>
      </c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</row>
    <row r="730" spans="1:27">
      <c r="A730" s="154">
        <v>5</v>
      </c>
      <c r="B730" s="155" t="s">
        <v>1354</v>
      </c>
      <c r="C730" s="156">
        <v>45400</v>
      </c>
      <c r="D730" s="155" t="s">
        <v>440</v>
      </c>
      <c r="E730" s="149" t="s">
        <v>525</v>
      </c>
      <c r="F730" s="149" t="s">
        <v>441</v>
      </c>
      <c r="G730" s="149" t="s">
        <v>442</v>
      </c>
      <c r="H730" s="149" t="str">
        <f t="shared" si="5"/>
        <v>PILAR CASTRO RUIZ</v>
      </c>
      <c r="I730" s="149" t="s">
        <v>526</v>
      </c>
      <c r="J730" s="153" t="s">
        <v>516</v>
      </c>
      <c r="K730" s="149" t="s">
        <v>1510</v>
      </c>
      <c r="L730" s="168">
        <v>45439</v>
      </c>
      <c r="M730" s="149"/>
      <c r="N730" s="163">
        <v>2</v>
      </c>
      <c r="O730" s="149" t="s">
        <v>446</v>
      </c>
      <c r="P730" s="161">
        <v>3545.45</v>
      </c>
      <c r="Q730" s="185">
        <v>45400</v>
      </c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</row>
    <row r="731" spans="1:27">
      <c r="A731" s="154">
        <v>5</v>
      </c>
      <c r="B731" s="155" t="s">
        <v>1354</v>
      </c>
      <c r="C731" s="156">
        <v>45418</v>
      </c>
      <c r="D731" s="155" t="s">
        <v>440</v>
      </c>
      <c r="E731" s="149" t="s">
        <v>109</v>
      </c>
      <c r="F731" s="149" t="s">
        <v>441</v>
      </c>
      <c r="G731" s="149" t="s">
        <v>442</v>
      </c>
      <c r="H731" s="149" t="str">
        <f t="shared" si="5"/>
        <v>JUAN RIESTRA AYORA</v>
      </c>
      <c r="I731" s="149" t="s">
        <v>1159</v>
      </c>
      <c r="J731" s="153" t="s">
        <v>444</v>
      </c>
      <c r="K731" s="149" t="s">
        <v>1511</v>
      </c>
      <c r="L731" s="157">
        <v>45440</v>
      </c>
      <c r="M731" s="158"/>
      <c r="N731" s="163">
        <v>2</v>
      </c>
      <c r="O731" s="165" t="s">
        <v>466</v>
      </c>
      <c r="P731" s="161">
        <v>4000</v>
      </c>
      <c r="Q731" s="170">
        <v>45418</v>
      </c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</row>
    <row r="732" spans="1:27">
      <c r="A732" s="154">
        <v>5</v>
      </c>
      <c r="B732" s="155" t="s">
        <v>1354</v>
      </c>
      <c r="C732" s="156">
        <v>45405</v>
      </c>
      <c r="D732" s="155" t="s">
        <v>440</v>
      </c>
      <c r="E732" s="149" t="s">
        <v>122</v>
      </c>
      <c r="F732" s="149" t="s">
        <v>441</v>
      </c>
      <c r="G732" s="149" t="s">
        <v>442</v>
      </c>
      <c r="H732" s="149" t="str">
        <f t="shared" si="5"/>
        <v>MAR LASSO DE LA VEGA ZAMORA</v>
      </c>
      <c r="I732" s="149" t="s">
        <v>909</v>
      </c>
      <c r="J732" s="153" t="s">
        <v>444</v>
      </c>
      <c r="K732" s="149" t="s">
        <v>1512</v>
      </c>
      <c r="L732" s="157">
        <v>45440</v>
      </c>
      <c r="M732" s="158"/>
      <c r="N732" s="163">
        <v>1</v>
      </c>
      <c r="O732" s="165" t="s">
        <v>466</v>
      </c>
      <c r="P732" s="161">
        <v>2400</v>
      </c>
      <c r="Q732" s="170">
        <v>45405</v>
      </c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</row>
    <row r="733" spans="1:27">
      <c r="A733" s="154">
        <v>5</v>
      </c>
      <c r="B733" s="155" t="s">
        <v>1354</v>
      </c>
      <c r="C733" s="156">
        <v>45406</v>
      </c>
      <c r="D733" s="155" t="s">
        <v>440</v>
      </c>
      <c r="E733" s="149" t="s">
        <v>122</v>
      </c>
      <c r="F733" s="149" t="s">
        <v>441</v>
      </c>
      <c r="G733" s="149" t="s">
        <v>442</v>
      </c>
      <c r="H733" s="149" t="str">
        <f t="shared" si="5"/>
        <v>MONTSERRAT PORTELL SORIANO</v>
      </c>
      <c r="I733" s="149" t="s">
        <v>669</v>
      </c>
      <c r="J733" s="153" t="s">
        <v>444</v>
      </c>
      <c r="K733" s="149" t="s">
        <v>1513</v>
      </c>
      <c r="L733" s="157">
        <v>45440</v>
      </c>
      <c r="M733" s="158"/>
      <c r="N733" s="163">
        <v>2</v>
      </c>
      <c r="O733" s="165" t="s">
        <v>446</v>
      </c>
      <c r="P733" s="161">
        <v>3710</v>
      </c>
      <c r="Q733" s="170">
        <v>45406</v>
      </c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</row>
    <row r="734" spans="1:27">
      <c r="A734" s="154">
        <v>5</v>
      </c>
      <c r="B734" s="155" t="s">
        <v>1354</v>
      </c>
      <c r="C734" s="156">
        <v>45400</v>
      </c>
      <c r="D734" s="155" t="s">
        <v>440</v>
      </c>
      <c r="E734" s="149" t="s">
        <v>315</v>
      </c>
      <c r="F734" s="149" t="s">
        <v>441</v>
      </c>
      <c r="G734" s="149" t="s">
        <v>442</v>
      </c>
      <c r="H734" s="149" t="str">
        <f t="shared" si="5"/>
        <v>MARÍA DEL MAR MEDINA GONZÁLEZ</v>
      </c>
      <c r="I734" s="149" t="s">
        <v>1514</v>
      </c>
      <c r="J734" s="153" t="s">
        <v>444</v>
      </c>
      <c r="K734" s="149" t="s">
        <v>1515</v>
      </c>
      <c r="L734" s="157">
        <v>45440</v>
      </c>
      <c r="M734" s="158"/>
      <c r="N734" s="163">
        <v>2</v>
      </c>
      <c r="O734" s="165" t="s">
        <v>466</v>
      </c>
      <c r="P734" s="161">
        <v>4000</v>
      </c>
      <c r="Q734" s="170">
        <v>45400</v>
      </c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</row>
    <row r="735" spans="1:27">
      <c r="A735" s="154">
        <v>5</v>
      </c>
      <c r="B735" s="155" t="s">
        <v>1354</v>
      </c>
      <c r="C735" s="156">
        <v>45411</v>
      </c>
      <c r="D735" s="155" t="s">
        <v>440</v>
      </c>
      <c r="E735" s="149" t="s">
        <v>618</v>
      </c>
      <c r="F735" s="149" t="s">
        <v>441</v>
      </c>
      <c r="G735" s="149" t="s">
        <v>442</v>
      </c>
      <c r="H735" s="149" t="str">
        <f t="shared" si="5"/>
        <v>JONATHAN ESTEBAN SÁNCHEZ</v>
      </c>
      <c r="I735" s="149" t="s">
        <v>902</v>
      </c>
      <c r="J735" s="153" t="s">
        <v>444</v>
      </c>
      <c r="K735" s="149" t="s">
        <v>1516</v>
      </c>
      <c r="L735" s="157">
        <v>45440</v>
      </c>
      <c r="M735" s="164"/>
      <c r="N735" s="163">
        <v>2</v>
      </c>
      <c r="O735" s="165" t="s">
        <v>513</v>
      </c>
      <c r="P735" s="161">
        <v>4400</v>
      </c>
      <c r="Q735" s="170">
        <v>45411</v>
      </c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</row>
    <row r="736" spans="1:27">
      <c r="A736" s="154">
        <v>5</v>
      </c>
      <c r="B736" s="155" t="s">
        <v>1354</v>
      </c>
      <c r="C736" s="156">
        <v>45183</v>
      </c>
      <c r="D736" s="155" t="s">
        <v>440</v>
      </c>
      <c r="E736" s="149" t="s">
        <v>313</v>
      </c>
      <c r="F736" s="149" t="s">
        <v>441</v>
      </c>
      <c r="G736" s="149" t="s">
        <v>442</v>
      </c>
      <c r="H736" s="149" t="str">
        <f t="shared" si="5"/>
        <v>JULIO LÓPEZ MOYA</v>
      </c>
      <c r="I736" s="149" t="s">
        <v>504</v>
      </c>
      <c r="J736" s="149" t="s">
        <v>444</v>
      </c>
      <c r="K736" s="149" t="s">
        <v>1517</v>
      </c>
      <c r="L736" s="157">
        <v>45440</v>
      </c>
      <c r="M736" s="158"/>
      <c r="N736" s="163">
        <v>2</v>
      </c>
      <c r="O736" s="165" t="s">
        <v>446</v>
      </c>
      <c r="P736" s="161">
        <v>3295.45</v>
      </c>
      <c r="Q736" s="170">
        <v>45183</v>
      </c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</row>
    <row r="737" spans="1:27">
      <c r="A737" s="154">
        <v>5</v>
      </c>
      <c r="B737" s="155" t="s">
        <v>1354</v>
      </c>
      <c r="C737" s="156">
        <v>45408</v>
      </c>
      <c r="D737" s="155" t="s">
        <v>440</v>
      </c>
      <c r="E737" s="149" t="s">
        <v>313</v>
      </c>
      <c r="F737" s="149" t="s">
        <v>441</v>
      </c>
      <c r="G737" s="149" t="s">
        <v>442</v>
      </c>
      <c r="H737" s="149" t="str">
        <f t="shared" si="5"/>
        <v>IGNACIO ARISTEGUI TORRANO</v>
      </c>
      <c r="I737" s="149" t="s">
        <v>1293</v>
      </c>
      <c r="J737" s="153" t="s">
        <v>444</v>
      </c>
      <c r="K737" s="149" t="s">
        <v>1518</v>
      </c>
      <c r="L737" s="157">
        <v>45440</v>
      </c>
      <c r="M737" s="164"/>
      <c r="N737" s="163">
        <v>2</v>
      </c>
      <c r="O737" s="165" t="s">
        <v>466</v>
      </c>
      <c r="P737" s="161">
        <v>4000</v>
      </c>
      <c r="Q737" s="170">
        <v>45408</v>
      </c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</row>
    <row r="738" spans="1:27">
      <c r="A738" s="154">
        <v>5</v>
      </c>
      <c r="B738" s="155" t="s">
        <v>1354</v>
      </c>
      <c r="C738" s="156">
        <v>45393</v>
      </c>
      <c r="D738" s="155" t="s">
        <v>440</v>
      </c>
      <c r="E738" s="149" t="s">
        <v>951</v>
      </c>
      <c r="F738" s="149" t="s">
        <v>441</v>
      </c>
      <c r="G738" s="149" t="s">
        <v>442</v>
      </c>
      <c r="H738" s="149" t="str">
        <f t="shared" si="5"/>
        <v>ISABEL VAAMONDE SANCHEZ ANDRADR</v>
      </c>
      <c r="I738" s="149" t="s">
        <v>1443</v>
      </c>
      <c r="J738" s="153" t="s">
        <v>516</v>
      </c>
      <c r="K738" s="149" t="s">
        <v>1519</v>
      </c>
      <c r="L738" s="183">
        <v>45440</v>
      </c>
      <c r="M738" s="153"/>
      <c r="N738" s="163">
        <v>2</v>
      </c>
      <c r="O738" s="149" t="s">
        <v>446</v>
      </c>
      <c r="P738" s="161">
        <v>3524.55</v>
      </c>
      <c r="Q738" s="184">
        <v>45393</v>
      </c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</row>
    <row r="739" spans="1:27">
      <c r="A739" s="154">
        <v>5</v>
      </c>
      <c r="B739" s="155" t="s">
        <v>1354</v>
      </c>
      <c r="C739" s="156">
        <v>45401</v>
      </c>
      <c r="D739" s="155" t="s">
        <v>440</v>
      </c>
      <c r="E739" s="149" t="s">
        <v>150</v>
      </c>
      <c r="F739" s="149" t="s">
        <v>441</v>
      </c>
      <c r="G739" s="149" t="s">
        <v>442</v>
      </c>
      <c r="H739" s="149" t="str">
        <f t="shared" si="5"/>
        <v>PAULA MARTÍNEZ-RUIZ DE APOCADA</v>
      </c>
      <c r="I739" s="149" t="s">
        <v>1520</v>
      </c>
      <c r="J739" s="153" t="s">
        <v>636</v>
      </c>
      <c r="K739" s="149" t="s">
        <v>1521</v>
      </c>
      <c r="L739" s="183">
        <v>45440</v>
      </c>
      <c r="M739" s="149"/>
      <c r="N739" s="163">
        <v>2</v>
      </c>
      <c r="O739" s="149" t="s">
        <v>446</v>
      </c>
      <c r="P739" s="161">
        <v>3524.5</v>
      </c>
      <c r="Q739" s="185">
        <v>45401</v>
      </c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</row>
    <row r="740" spans="1:27">
      <c r="A740" s="154">
        <v>5</v>
      </c>
      <c r="B740" s="155" t="s">
        <v>1354</v>
      </c>
      <c r="C740" s="156">
        <v>45376</v>
      </c>
      <c r="D740" s="155" t="s">
        <v>440</v>
      </c>
      <c r="E740" s="149" t="s">
        <v>317</v>
      </c>
      <c r="F740" s="149" t="s">
        <v>441</v>
      </c>
      <c r="G740" s="149" t="s">
        <v>442</v>
      </c>
      <c r="H740" s="149" t="str">
        <f t="shared" si="5"/>
        <v>MARIA ROSARIO FERRANDIZ GARCÍA</v>
      </c>
      <c r="I740" s="149" t="s">
        <v>1100</v>
      </c>
      <c r="J740" s="153" t="s">
        <v>462</v>
      </c>
      <c r="K740" s="149" t="s">
        <v>1522</v>
      </c>
      <c r="L740" s="157">
        <v>45441</v>
      </c>
      <c r="M740" s="158"/>
      <c r="N740" s="163">
        <v>1</v>
      </c>
      <c r="O740" s="165" t="s">
        <v>466</v>
      </c>
      <c r="P740" s="161">
        <v>3436.36</v>
      </c>
      <c r="Q740" s="170">
        <v>45376</v>
      </c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</row>
    <row r="741" spans="1:27">
      <c r="A741" s="154">
        <v>5</v>
      </c>
      <c r="B741" s="155" t="s">
        <v>1354</v>
      </c>
      <c r="C741" s="156">
        <v>45414</v>
      </c>
      <c r="D741" s="166" t="s">
        <v>440</v>
      </c>
      <c r="E741" s="149" t="s">
        <v>546</v>
      </c>
      <c r="F741" s="149" t="s">
        <v>441</v>
      </c>
      <c r="G741" s="149" t="s">
        <v>442</v>
      </c>
      <c r="H741" s="149" t="str">
        <f t="shared" si="5"/>
        <v>RAFAEL SANZ TRENADO</v>
      </c>
      <c r="I741" s="149" t="s">
        <v>1523</v>
      </c>
      <c r="J741" s="149" t="s">
        <v>548</v>
      </c>
      <c r="K741" s="149" t="s">
        <v>1524</v>
      </c>
      <c r="L741" s="157">
        <v>45441</v>
      </c>
      <c r="M741" s="158"/>
      <c r="N741" s="163">
        <v>2</v>
      </c>
      <c r="O741" s="165" t="s">
        <v>466</v>
      </c>
      <c r="P741" s="161">
        <v>3714.55</v>
      </c>
      <c r="Q741" s="170">
        <v>45414</v>
      </c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</row>
    <row r="742" spans="1:27">
      <c r="A742" s="154">
        <v>5</v>
      </c>
      <c r="B742" s="155" t="s">
        <v>1354</v>
      </c>
      <c r="C742" s="156">
        <v>45404</v>
      </c>
      <c r="D742" s="155" t="s">
        <v>440</v>
      </c>
      <c r="E742" s="149" t="s">
        <v>145</v>
      </c>
      <c r="F742" s="149" t="s">
        <v>441</v>
      </c>
      <c r="G742" s="149" t="s">
        <v>442</v>
      </c>
      <c r="H742" s="149" t="str">
        <f t="shared" si="5"/>
        <v>BERTA ALEGRE EDO</v>
      </c>
      <c r="I742" s="149" t="s">
        <v>1525</v>
      </c>
      <c r="J742" s="153" t="s">
        <v>532</v>
      </c>
      <c r="K742" s="149" t="s">
        <v>1526</v>
      </c>
      <c r="L742" s="157">
        <v>45441</v>
      </c>
      <c r="M742" s="158"/>
      <c r="N742" s="163">
        <v>1</v>
      </c>
      <c r="O742" s="165" t="s">
        <v>449</v>
      </c>
      <c r="P742" s="161">
        <v>1668.18</v>
      </c>
      <c r="Q742" s="170">
        <v>45404</v>
      </c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</row>
    <row r="743" spans="1:27">
      <c r="A743" s="154">
        <v>5</v>
      </c>
      <c r="B743" s="155" t="s">
        <v>1354</v>
      </c>
      <c r="C743" s="156">
        <v>45404</v>
      </c>
      <c r="D743" s="155" t="s">
        <v>440</v>
      </c>
      <c r="E743" s="149" t="s">
        <v>604</v>
      </c>
      <c r="F743" s="149" t="s">
        <v>441</v>
      </c>
      <c r="G743" s="149" t="s">
        <v>442</v>
      </c>
      <c r="H743" s="149" t="str">
        <f t="shared" si="5"/>
        <v>CARLOS VIDAL REDONDO</v>
      </c>
      <c r="I743" s="149" t="s">
        <v>554</v>
      </c>
      <c r="J743" s="153" t="s">
        <v>516</v>
      </c>
      <c r="K743" s="149" t="s">
        <v>1527</v>
      </c>
      <c r="L743" s="157">
        <v>45441</v>
      </c>
      <c r="M743" s="158"/>
      <c r="N743" s="163">
        <v>2</v>
      </c>
      <c r="O743" s="165" t="s">
        <v>518</v>
      </c>
      <c r="P743" s="161">
        <v>2627.27</v>
      </c>
      <c r="Q743" s="170">
        <v>45404</v>
      </c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</row>
    <row r="744" spans="1:27">
      <c r="A744" s="154">
        <v>5</v>
      </c>
      <c r="B744" s="155" t="s">
        <v>1354</v>
      </c>
      <c r="C744" s="156">
        <v>45385</v>
      </c>
      <c r="D744" s="155" t="s">
        <v>440</v>
      </c>
      <c r="E744" s="149" t="s">
        <v>501</v>
      </c>
      <c r="F744" s="149" t="s">
        <v>441</v>
      </c>
      <c r="G744" s="149" t="s">
        <v>442</v>
      </c>
      <c r="H744" s="149" t="str">
        <f t="shared" si="5"/>
        <v>FERNANDO SALAZAR BARCELONA</v>
      </c>
      <c r="I744" s="149" t="s">
        <v>502</v>
      </c>
      <c r="J744" s="153" t="s">
        <v>548</v>
      </c>
      <c r="K744" s="149" t="s">
        <v>1528</v>
      </c>
      <c r="L744" s="157">
        <v>45441</v>
      </c>
      <c r="M744" s="158"/>
      <c r="N744" s="163">
        <v>2</v>
      </c>
      <c r="O744" s="165" t="s">
        <v>446</v>
      </c>
      <c r="P744" s="161">
        <v>3272.73</v>
      </c>
      <c r="Q744" s="170">
        <v>45385</v>
      </c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</row>
    <row r="745" spans="1:27">
      <c r="A745" s="154">
        <v>5</v>
      </c>
      <c r="B745" s="155" t="s">
        <v>1354</v>
      </c>
      <c r="C745" s="156">
        <v>45406</v>
      </c>
      <c r="D745" s="155" t="s">
        <v>440</v>
      </c>
      <c r="E745" s="149" t="s">
        <v>501</v>
      </c>
      <c r="F745" s="149" t="s">
        <v>441</v>
      </c>
      <c r="G745" s="149" t="s">
        <v>442</v>
      </c>
      <c r="H745" s="149" t="str">
        <f t="shared" si="5"/>
        <v>FERNANDO SALAZAR BARCELONA</v>
      </c>
      <c r="I745" s="149" t="s">
        <v>502</v>
      </c>
      <c r="J745" s="153" t="s">
        <v>548</v>
      </c>
      <c r="K745" s="149" t="s">
        <v>1529</v>
      </c>
      <c r="L745" s="157">
        <v>45441</v>
      </c>
      <c r="M745" s="158"/>
      <c r="N745" s="163">
        <v>2</v>
      </c>
      <c r="O745" s="165" t="s">
        <v>446</v>
      </c>
      <c r="P745" s="161">
        <v>3181.82</v>
      </c>
      <c r="Q745" s="170">
        <v>45406</v>
      </c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</row>
    <row r="746" spans="1:27">
      <c r="A746" s="154">
        <v>5</v>
      </c>
      <c r="B746" s="155" t="s">
        <v>1354</v>
      </c>
      <c r="C746" s="156">
        <v>45406</v>
      </c>
      <c r="D746" s="155" t="s">
        <v>440</v>
      </c>
      <c r="E746" s="149" t="s">
        <v>158</v>
      </c>
      <c r="F746" s="149" t="s">
        <v>441</v>
      </c>
      <c r="G746" s="149" t="s">
        <v>442</v>
      </c>
      <c r="H746" s="149" t="str">
        <f t="shared" si="5"/>
        <v>CARLOS BARAJAS DEL ROSAL</v>
      </c>
      <c r="I746" s="149" t="s">
        <v>660</v>
      </c>
      <c r="J746" s="153" t="s">
        <v>548</v>
      </c>
      <c r="K746" s="149" t="s">
        <v>1530</v>
      </c>
      <c r="L746" s="157">
        <v>45441</v>
      </c>
      <c r="M746" s="158"/>
      <c r="N746" s="163">
        <v>2</v>
      </c>
      <c r="O746" s="165" t="s">
        <v>466</v>
      </c>
      <c r="P746" s="161">
        <v>4000</v>
      </c>
      <c r="Q746" s="170">
        <v>45406</v>
      </c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</row>
    <row r="747" spans="1:27">
      <c r="A747" s="154">
        <v>5</v>
      </c>
      <c r="B747" s="155" t="s">
        <v>1354</v>
      </c>
      <c r="C747" s="156">
        <v>45411</v>
      </c>
      <c r="D747" s="155" t="s">
        <v>440</v>
      </c>
      <c r="E747" s="149" t="s">
        <v>460</v>
      </c>
      <c r="F747" s="149" t="s">
        <v>441</v>
      </c>
      <c r="G747" s="149" t="s">
        <v>442</v>
      </c>
      <c r="H747" s="149" t="str">
        <f t="shared" si="5"/>
        <v>LINO ENGUIDANOS HERNANDORENA</v>
      </c>
      <c r="I747" s="149" t="s">
        <v>461</v>
      </c>
      <c r="J747" s="153" t="s">
        <v>462</v>
      </c>
      <c r="K747" s="149" t="s">
        <v>1531</v>
      </c>
      <c r="L747" s="157">
        <v>45442</v>
      </c>
      <c r="M747" s="158"/>
      <c r="N747" s="163">
        <v>1</v>
      </c>
      <c r="O747" s="165" t="s">
        <v>446</v>
      </c>
      <c r="P747" s="161">
        <v>2227.27</v>
      </c>
      <c r="Q747" s="170">
        <v>45411</v>
      </c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</row>
    <row r="748" spans="1:27">
      <c r="A748" s="154">
        <v>5</v>
      </c>
      <c r="B748" s="155" t="s">
        <v>1354</v>
      </c>
      <c r="C748" s="156">
        <v>45425</v>
      </c>
      <c r="D748" s="155" t="s">
        <v>440</v>
      </c>
      <c r="E748" s="149" t="s">
        <v>318</v>
      </c>
      <c r="F748" s="149" t="s">
        <v>441</v>
      </c>
      <c r="G748" s="149" t="s">
        <v>442</v>
      </c>
      <c r="H748" s="149" t="str">
        <f t="shared" si="5"/>
        <v>JOSÉ RUIZ COELLO MORATALLA</v>
      </c>
      <c r="I748" s="153" t="s">
        <v>1532</v>
      </c>
      <c r="J748" s="153" t="s">
        <v>462</v>
      </c>
      <c r="K748" s="149" t="s">
        <v>1533</v>
      </c>
      <c r="L748" s="157">
        <v>45442</v>
      </c>
      <c r="M748" s="149"/>
      <c r="N748" s="188">
        <v>2</v>
      </c>
      <c r="O748" s="172" t="s">
        <v>449</v>
      </c>
      <c r="P748" s="173">
        <v>2888.18</v>
      </c>
      <c r="Q748" s="168">
        <v>45425</v>
      </c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</row>
    <row r="749" spans="1:27">
      <c r="A749" s="154">
        <v>5</v>
      </c>
      <c r="B749" s="155" t="s">
        <v>1354</v>
      </c>
      <c r="C749" s="156">
        <v>45418</v>
      </c>
      <c r="D749" s="155" t="s">
        <v>440</v>
      </c>
      <c r="E749" s="149" t="s">
        <v>546</v>
      </c>
      <c r="F749" s="149" t="s">
        <v>441</v>
      </c>
      <c r="G749" s="149" t="s">
        <v>442</v>
      </c>
      <c r="H749" s="149" t="str">
        <f t="shared" si="5"/>
        <v>FRANCISCO RAMOS PUERTO</v>
      </c>
      <c r="I749" s="149" t="s">
        <v>1189</v>
      </c>
      <c r="J749" s="153" t="s">
        <v>548</v>
      </c>
      <c r="K749" s="149" t="s">
        <v>1534</v>
      </c>
      <c r="L749" s="157">
        <v>45442</v>
      </c>
      <c r="M749" s="158"/>
      <c r="N749" s="163">
        <v>1</v>
      </c>
      <c r="O749" s="165" t="s">
        <v>466</v>
      </c>
      <c r="P749" s="161">
        <v>2323.64</v>
      </c>
      <c r="Q749" s="170">
        <v>45418</v>
      </c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</row>
    <row r="750" spans="1:27">
      <c r="A750" s="154">
        <v>5</v>
      </c>
      <c r="B750" s="155" t="s">
        <v>1354</v>
      </c>
      <c r="C750" s="156">
        <v>45419</v>
      </c>
      <c r="D750" s="155" t="s">
        <v>440</v>
      </c>
      <c r="E750" s="149" t="s">
        <v>856</v>
      </c>
      <c r="F750" s="149" t="s">
        <v>441</v>
      </c>
      <c r="G750" s="149" t="s">
        <v>442</v>
      </c>
      <c r="H750" s="149" t="str">
        <f t="shared" si="5"/>
        <v>CARLOS DURÁN DÍEZ</v>
      </c>
      <c r="I750" s="149" t="s">
        <v>1535</v>
      </c>
      <c r="J750" s="153" t="s">
        <v>473</v>
      </c>
      <c r="K750" s="149" t="s">
        <v>1536</v>
      </c>
      <c r="L750" s="157">
        <v>45442</v>
      </c>
      <c r="M750" s="158"/>
      <c r="N750" s="163">
        <v>2</v>
      </c>
      <c r="O750" s="165" t="s">
        <v>518</v>
      </c>
      <c r="P750" s="161">
        <v>2727.27</v>
      </c>
      <c r="Q750" s="170">
        <v>45419</v>
      </c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</row>
    <row r="751" spans="1:27">
      <c r="A751" s="154">
        <v>5</v>
      </c>
      <c r="B751" s="155" t="s">
        <v>1354</v>
      </c>
      <c r="C751" s="156">
        <v>45427</v>
      </c>
      <c r="D751" s="155" t="s">
        <v>440</v>
      </c>
      <c r="E751" s="149" t="s">
        <v>563</v>
      </c>
      <c r="F751" s="149" t="s">
        <v>441</v>
      </c>
      <c r="G751" s="149" t="s">
        <v>442</v>
      </c>
      <c r="H751" s="149" t="str">
        <f t="shared" si="5"/>
        <v>NURIA PÉREZ MARTÍN</v>
      </c>
      <c r="I751" s="149" t="s">
        <v>1480</v>
      </c>
      <c r="J751" s="153" t="s">
        <v>444</v>
      </c>
      <c r="K751" s="149" t="s">
        <v>1537</v>
      </c>
      <c r="L751" s="157">
        <v>45442</v>
      </c>
      <c r="M751" s="158"/>
      <c r="N751" s="163">
        <v>1</v>
      </c>
      <c r="O751" s="165" t="s">
        <v>449</v>
      </c>
      <c r="P751" s="161">
        <v>1732.73</v>
      </c>
      <c r="Q751" s="170">
        <v>45427</v>
      </c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</row>
    <row r="752" spans="1:27">
      <c r="A752" s="154">
        <v>5</v>
      </c>
      <c r="B752" s="155" t="s">
        <v>1354</v>
      </c>
      <c r="C752" s="156"/>
      <c r="D752" s="155" t="s">
        <v>440</v>
      </c>
      <c r="E752" s="149" t="s">
        <v>563</v>
      </c>
      <c r="F752" s="149" t="s">
        <v>441</v>
      </c>
      <c r="G752" s="149" t="s">
        <v>442</v>
      </c>
      <c r="H752" s="149" t="str">
        <f t="shared" si="5"/>
        <v>MARÍA DEL MAR MARTÍNEZ RUIZ-COELLO</v>
      </c>
      <c r="I752" s="149" t="s">
        <v>1538</v>
      </c>
      <c r="J752" s="153" t="s">
        <v>444</v>
      </c>
      <c r="K752" s="149" t="s">
        <v>1539</v>
      </c>
      <c r="L752" s="157">
        <v>45442</v>
      </c>
      <c r="M752" s="164"/>
      <c r="N752" s="163">
        <v>2</v>
      </c>
      <c r="O752" s="165" t="s">
        <v>1540</v>
      </c>
      <c r="P752" s="161">
        <v>3800</v>
      </c>
      <c r="Q752" s="170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</row>
    <row r="753" spans="1:27">
      <c r="A753" s="154">
        <v>5</v>
      </c>
      <c r="B753" s="155" t="s">
        <v>1354</v>
      </c>
      <c r="C753" s="156">
        <v>45399</v>
      </c>
      <c r="D753" s="155" t="s">
        <v>440</v>
      </c>
      <c r="E753" s="149" t="s">
        <v>314</v>
      </c>
      <c r="F753" s="149" t="s">
        <v>441</v>
      </c>
      <c r="G753" s="149" t="s">
        <v>442</v>
      </c>
      <c r="H753" s="149" t="str">
        <f t="shared" si="5"/>
        <v>MARÍA DABLANCO BLANCO</v>
      </c>
      <c r="I753" s="149" t="s">
        <v>1541</v>
      </c>
      <c r="J753" s="153" t="s">
        <v>444</v>
      </c>
      <c r="K753" s="149" t="s">
        <v>1542</v>
      </c>
      <c r="L753" s="157">
        <v>45442</v>
      </c>
      <c r="M753" s="164"/>
      <c r="N753" s="163">
        <v>2</v>
      </c>
      <c r="O753" s="165" t="s">
        <v>449</v>
      </c>
      <c r="P753" s="161">
        <v>2813.64</v>
      </c>
      <c r="Q753" s="170">
        <v>45399</v>
      </c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</row>
    <row r="754" spans="1:27">
      <c r="A754" s="154">
        <v>5</v>
      </c>
      <c r="B754" s="155" t="s">
        <v>1354</v>
      </c>
      <c r="C754" s="156">
        <v>45390</v>
      </c>
      <c r="D754" s="155" t="s">
        <v>440</v>
      </c>
      <c r="E754" s="149" t="s">
        <v>98</v>
      </c>
      <c r="F754" s="149" t="s">
        <v>441</v>
      </c>
      <c r="G754" s="149" t="s">
        <v>442</v>
      </c>
      <c r="H754" s="149" t="str">
        <f t="shared" si="5"/>
        <v>ENRIQUE VIVIENTE RODRÍGUEZ</v>
      </c>
      <c r="I754" s="149" t="s">
        <v>844</v>
      </c>
      <c r="J754" s="153" t="s">
        <v>462</v>
      </c>
      <c r="K754" s="149" t="s">
        <v>1543</v>
      </c>
      <c r="L754" s="183">
        <v>45442</v>
      </c>
      <c r="M754" s="153"/>
      <c r="N754" s="163">
        <v>2</v>
      </c>
      <c r="O754" s="149" t="s">
        <v>449</v>
      </c>
      <c r="P754" s="161">
        <v>2780.91</v>
      </c>
      <c r="Q754" s="185">
        <v>45390</v>
      </c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</row>
    <row r="755" spans="1:27">
      <c r="A755" s="154">
        <v>5</v>
      </c>
      <c r="B755" s="155" t="s">
        <v>1354</v>
      </c>
      <c r="C755" s="156">
        <v>45335</v>
      </c>
      <c r="D755" s="155" t="s">
        <v>440</v>
      </c>
      <c r="E755" s="149" t="s">
        <v>102</v>
      </c>
      <c r="F755" s="149" t="s">
        <v>441</v>
      </c>
      <c r="G755" s="149" t="s">
        <v>442</v>
      </c>
      <c r="H755" s="149" t="str">
        <f t="shared" si="5"/>
        <v>MÓNICA RODRÍGUEZ</v>
      </c>
      <c r="I755" s="149" t="s">
        <v>897</v>
      </c>
      <c r="J755" s="153" t="s">
        <v>462</v>
      </c>
      <c r="K755" s="149" t="s">
        <v>1544</v>
      </c>
      <c r="L755" s="168">
        <v>45442</v>
      </c>
      <c r="M755" s="149"/>
      <c r="N755" s="163">
        <v>2</v>
      </c>
      <c r="O755" s="149" t="s">
        <v>446</v>
      </c>
      <c r="P755" s="161">
        <v>3423.64</v>
      </c>
      <c r="Q755" s="184">
        <v>45335</v>
      </c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</row>
    <row r="756" spans="1:27">
      <c r="A756" s="154">
        <v>5</v>
      </c>
      <c r="B756" s="155" t="s">
        <v>1354</v>
      </c>
      <c r="C756" s="156">
        <v>45406</v>
      </c>
      <c r="D756" s="155" t="s">
        <v>440</v>
      </c>
      <c r="E756" s="149" t="s">
        <v>506</v>
      </c>
      <c r="F756" s="149" t="s">
        <v>441</v>
      </c>
      <c r="G756" s="149" t="s">
        <v>442</v>
      </c>
      <c r="H756" s="149" t="str">
        <f t="shared" si="5"/>
        <v>LUIS MIGUEL RINCÓN ESTEBAN</v>
      </c>
      <c r="I756" s="149" t="s">
        <v>1033</v>
      </c>
      <c r="J756" s="153" t="s">
        <v>473</v>
      </c>
      <c r="K756" s="149" t="s">
        <v>1545</v>
      </c>
      <c r="L756" s="183">
        <v>45442</v>
      </c>
      <c r="M756" s="149"/>
      <c r="N756" s="163">
        <v>2</v>
      </c>
      <c r="O756" s="149" t="s">
        <v>446</v>
      </c>
      <c r="P756" s="161">
        <v>3604.55</v>
      </c>
      <c r="Q756" s="185">
        <v>45406</v>
      </c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</row>
    <row r="757" spans="1:27">
      <c r="A757" s="154">
        <v>5</v>
      </c>
      <c r="B757" s="155" t="s">
        <v>1354</v>
      </c>
      <c r="C757" s="156">
        <v>45412</v>
      </c>
      <c r="D757" s="155" t="s">
        <v>440</v>
      </c>
      <c r="E757" s="149" t="s">
        <v>150</v>
      </c>
      <c r="F757" s="149" t="s">
        <v>441</v>
      </c>
      <c r="G757" s="149" t="s">
        <v>442</v>
      </c>
      <c r="H757" s="149" t="str">
        <f t="shared" si="5"/>
        <v>RAIMON GARCÍA CHILLERÓN</v>
      </c>
      <c r="I757" s="149" t="s">
        <v>943</v>
      </c>
      <c r="J757" s="149" t="s">
        <v>636</v>
      </c>
      <c r="K757" s="149" t="s">
        <v>1546</v>
      </c>
      <c r="L757" s="183">
        <v>45442</v>
      </c>
      <c r="M757" s="149"/>
      <c r="N757" s="163">
        <v>2</v>
      </c>
      <c r="O757" s="149" t="s">
        <v>449</v>
      </c>
      <c r="P757" s="161">
        <v>2888.18</v>
      </c>
      <c r="Q757" s="185">
        <v>45412</v>
      </c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</row>
    <row r="758" spans="1:27">
      <c r="A758" s="154">
        <v>5</v>
      </c>
      <c r="B758" s="155" t="s">
        <v>1354</v>
      </c>
      <c r="C758" s="156">
        <v>45405</v>
      </c>
      <c r="D758" s="166" t="s">
        <v>440</v>
      </c>
      <c r="E758" s="149" t="s">
        <v>317</v>
      </c>
      <c r="F758" s="149" t="s">
        <v>441</v>
      </c>
      <c r="G758" s="149" t="s">
        <v>442</v>
      </c>
      <c r="H758" s="149" t="str">
        <f t="shared" si="5"/>
        <v>FRANCISCO PASTOR BEVIÁ</v>
      </c>
      <c r="I758" s="149" t="s">
        <v>464</v>
      </c>
      <c r="J758" s="149" t="s">
        <v>462</v>
      </c>
      <c r="K758" s="149" t="s">
        <v>1547</v>
      </c>
      <c r="L758" s="157">
        <v>45443</v>
      </c>
      <c r="M758" s="158"/>
      <c r="N758" s="163">
        <v>2</v>
      </c>
      <c r="O758" s="165" t="s">
        <v>449</v>
      </c>
      <c r="P758" s="161">
        <v>3436.36</v>
      </c>
      <c r="Q758" s="170">
        <v>45405</v>
      </c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</row>
    <row r="759" spans="1:27">
      <c r="A759" s="154">
        <v>5</v>
      </c>
      <c r="B759" s="155" t="s">
        <v>1354</v>
      </c>
      <c r="C759" s="156">
        <v>45407</v>
      </c>
      <c r="D759" s="155" t="s">
        <v>440</v>
      </c>
      <c r="E759" s="149" t="s">
        <v>317</v>
      </c>
      <c r="F759" s="149" t="s">
        <v>441</v>
      </c>
      <c r="G759" s="149" t="s">
        <v>442</v>
      </c>
      <c r="H759" s="149" t="str">
        <f t="shared" si="5"/>
        <v>FÉLIX RUÍZ DE LA CUESTA JUSTE</v>
      </c>
      <c r="I759" s="149" t="s">
        <v>656</v>
      </c>
      <c r="J759" s="153" t="s">
        <v>462</v>
      </c>
      <c r="K759" s="149" t="s">
        <v>1548</v>
      </c>
      <c r="L759" s="157">
        <v>45443</v>
      </c>
      <c r="M759" s="158"/>
      <c r="N759" s="163">
        <v>2</v>
      </c>
      <c r="O759" s="165" t="s">
        <v>466</v>
      </c>
      <c r="P759" s="161">
        <v>2300</v>
      </c>
      <c r="Q759" s="170">
        <v>45407</v>
      </c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</row>
    <row r="760" spans="1:27">
      <c r="A760" s="154">
        <v>5</v>
      </c>
      <c r="B760" s="155" t="s">
        <v>1354</v>
      </c>
      <c r="C760" s="156">
        <v>45426</v>
      </c>
      <c r="D760" s="155" t="s">
        <v>440</v>
      </c>
      <c r="E760" s="149" t="s">
        <v>311</v>
      </c>
      <c r="F760" s="149" t="s">
        <v>441</v>
      </c>
      <c r="G760" s="149" t="s">
        <v>442</v>
      </c>
      <c r="H760" s="149" t="str">
        <f t="shared" si="5"/>
        <v>PALOMA MARTIN ARAGON</v>
      </c>
      <c r="I760" s="149" t="s">
        <v>1549</v>
      </c>
      <c r="J760" s="153" t="s">
        <v>444</v>
      </c>
      <c r="K760" s="149" t="s">
        <v>1550</v>
      </c>
      <c r="L760" s="157">
        <v>45443</v>
      </c>
      <c r="M760" s="158"/>
      <c r="N760" s="163">
        <v>2</v>
      </c>
      <c r="O760" s="165" t="s">
        <v>446</v>
      </c>
      <c r="P760" s="161">
        <v>3710</v>
      </c>
      <c r="Q760" s="170">
        <v>45426</v>
      </c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</row>
    <row r="761" spans="1:27">
      <c r="A761" s="154">
        <v>5</v>
      </c>
      <c r="B761" s="155" t="s">
        <v>1354</v>
      </c>
      <c r="C761" s="156">
        <v>45421</v>
      </c>
      <c r="D761" s="166" t="s">
        <v>440</v>
      </c>
      <c r="E761" s="149" t="s">
        <v>311</v>
      </c>
      <c r="F761" s="149" t="s">
        <v>441</v>
      </c>
      <c r="G761" s="149" t="s">
        <v>442</v>
      </c>
      <c r="H761" s="149" t="str">
        <f t="shared" si="5"/>
        <v>VICTORIA GARCÍA PECES</v>
      </c>
      <c r="I761" s="149" t="s">
        <v>488</v>
      </c>
      <c r="J761" s="149" t="s">
        <v>444</v>
      </c>
      <c r="K761" s="149" t="s">
        <v>1551</v>
      </c>
      <c r="L761" s="157">
        <v>45443</v>
      </c>
      <c r="M761" s="158"/>
      <c r="N761" s="163">
        <v>1</v>
      </c>
      <c r="O761" s="165" t="s">
        <v>513</v>
      </c>
      <c r="P761" s="161">
        <v>2636.36</v>
      </c>
      <c r="Q761" s="170">
        <v>45421</v>
      </c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</row>
    <row r="762" spans="1:27">
      <c r="A762" s="154">
        <v>5</v>
      </c>
      <c r="B762" s="155" t="s">
        <v>1354</v>
      </c>
      <c r="C762" s="156">
        <v>45412</v>
      </c>
      <c r="D762" s="155" t="s">
        <v>440</v>
      </c>
      <c r="E762" s="149" t="s">
        <v>122</v>
      </c>
      <c r="F762" s="149" t="s">
        <v>441</v>
      </c>
      <c r="G762" s="149" t="s">
        <v>442</v>
      </c>
      <c r="H762" s="149" t="str">
        <f t="shared" si="5"/>
        <v>CONCEPCIÓN PESCADOR MESONERO</v>
      </c>
      <c r="I762" s="149" t="s">
        <v>816</v>
      </c>
      <c r="J762" s="153" t="s">
        <v>444</v>
      </c>
      <c r="K762" s="149" t="s">
        <v>1552</v>
      </c>
      <c r="L762" s="157">
        <v>45443</v>
      </c>
      <c r="M762" s="158"/>
      <c r="N762" s="163">
        <v>2</v>
      </c>
      <c r="O762" s="165" t="s">
        <v>446</v>
      </c>
      <c r="P762" s="161">
        <v>3710</v>
      </c>
      <c r="Q762" s="170">
        <v>45412</v>
      </c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</row>
    <row r="763" spans="1:27">
      <c r="A763" s="154">
        <v>5</v>
      </c>
      <c r="B763" s="155" t="s">
        <v>1354</v>
      </c>
      <c r="C763" s="156">
        <v>45399</v>
      </c>
      <c r="D763" s="155" t="s">
        <v>440</v>
      </c>
      <c r="E763" s="149" t="s">
        <v>158</v>
      </c>
      <c r="F763" s="149" t="s">
        <v>441</v>
      </c>
      <c r="G763" s="149" t="s">
        <v>442</v>
      </c>
      <c r="H763" s="149" t="str">
        <f t="shared" si="5"/>
        <v>JAVIER GARCÍA DOMÍNGUEZ</v>
      </c>
      <c r="I763" s="149" t="s">
        <v>607</v>
      </c>
      <c r="J763" s="153" t="s">
        <v>444</v>
      </c>
      <c r="K763" s="149" t="s">
        <v>1553</v>
      </c>
      <c r="L763" s="157">
        <v>45443</v>
      </c>
      <c r="M763" s="158"/>
      <c r="N763" s="163">
        <v>2</v>
      </c>
      <c r="O763" s="165" t="s">
        <v>446</v>
      </c>
      <c r="P763" s="161">
        <v>3424.09</v>
      </c>
      <c r="Q763" s="170">
        <v>45399</v>
      </c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</row>
    <row r="764" spans="1:27">
      <c r="A764" s="154">
        <v>5</v>
      </c>
      <c r="B764" s="155" t="s">
        <v>1354</v>
      </c>
      <c r="C764" s="156">
        <v>45407</v>
      </c>
      <c r="D764" s="155" t="s">
        <v>440</v>
      </c>
      <c r="E764" s="149" t="s">
        <v>158</v>
      </c>
      <c r="F764" s="149" t="s">
        <v>441</v>
      </c>
      <c r="G764" s="149" t="s">
        <v>442</v>
      </c>
      <c r="H764" s="149" t="str">
        <f t="shared" si="5"/>
        <v>CARLOS BARAJAS DEL ROSAL</v>
      </c>
      <c r="I764" s="149" t="s">
        <v>660</v>
      </c>
      <c r="J764" s="153" t="s">
        <v>548</v>
      </c>
      <c r="K764" s="149" t="s">
        <v>1554</v>
      </c>
      <c r="L764" s="157">
        <v>45443</v>
      </c>
      <c r="M764" s="158"/>
      <c r="N764" s="163">
        <v>1</v>
      </c>
      <c r="O764" s="165" t="s">
        <v>466</v>
      </c>
      <c r="P764" s="161">
        <v>2280</v>
      </c>
      <c r="Q764" s="170">
        <v>45407</v>
      </c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</row>
    <row r="765" spans="1:27">
      <c r="A765" s="154">
        <v>5</v>
      </c>
      <c r="B765" s="155" t="s">
        <v>1354</v>
      </c>
      <c r="C765" s="156">
        <v>45394</v>
      </c>
      <c r="D765" s="155" t="s">
        <v>440</v>
      </c>
      <c r="E765" s="149" t="s">
        <v>98</v>
      </c>
      <c r="F765" s="149" t="s">
        <v>441</v>
      </c>
      <c r="G765" s="149" t="s">
        <v>442</v>
      </c>
      <c r="H765" s="149" t="str">
        <f t="shared" si="5"/>
        <v>MARÍA LÓPEZ ROBLES</v>
      </c>
      <c r="I765" s="149" t="s">
        <v>846</v>
      </c>
      <c r="J765" s="153" t="s">
        <v>462</v>
      </c>
      <c r="K765" s="149" t="s">
        <v>1555</v>
      </c>
      <c r="L765" s="183">
        <v>45443</v>
      </c>
      <c r="M765" s="149"/>
      <c r="N765" s="163">
        <v>1</v>
      </c>
      <c r="O765" s="149" t="s">
        <v>446</v>
      </c>
      <c r="P765" s="161">
        <v>2227.1799999999998</v>
      </c>
      <c r="Q765" s="185">
        <v>45394</v>
      </c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</row>
    <row r="766" spans="1:27">
      <c r="A766" s="154">
        <v>5</v>
      </c>
      <c r="B766" s="155" t="s">
        <v>1354</v>
      </c>
      <c r="C766" s="156">
        <v>45397</v>
      </c>
      <c r="D766" s="155" t="s">
        <v>440</v>
      </c>
      <c r="E766" s="149" t="s">
        <v>98</v>
      </c>
      <c r="F766" s="149" t="s">
        <v>441</v>
      </c>
      <c r="G766" s="149" t="s">
        <v>442</v>
      </c>
      <c r="H766" s="149" t="str">
        <f t="shared" si="5"/>
        <v>JUAN PABLO PELEGRÍN HERNÁNDEZ</v>
      </c>
      <c r="I766" s="149" t="s">
        <v>630</v>
      </c>
      <c r="J766" s="153" t="s">
        <v>462</v>
      </c>
      <c r="K766" s="149" t="s">
        <v>1556</v>
      </c>
      <c r="L766" s="183">
        <v>45443</v>
      </c>
      <c r="M766" s="149"/>
      <c r="N766" s="163">
        <v>2</v>
      </c>
      <c r="O766" s="149" t="s">
        <v>449</v>
      </c>
      <c r="P766" s="161">
        <v>2888.18</v>
      </c>
      <c r="Q766" s="185">
        <v>45397</v>
      </c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</row>
    <row r="767" spans="1:27">
      <c r="A767" s="154">
        <v>5</v>
      </c>
      <c r="B767" s="155" t="s">
        <v>1354</v>
      </c>
      <c r="C767" s="156">
        <v>45398</v>
      </c>
      <c r="D767" s="155" t="s">
        <v>440</v>
      </c>
      <c r="E767" s="149" t="s">
        <v>506</v>
      </c>
      <c r="F767" s="149" t="s">
        <v>441</v>
      </c>
      <c r="G767" s="149" t="s">
        <v>442</v>
      </c>
      <c r="H767" s="149" t="str">
        <f t="shared" si="5"/>
        <v>ÁNGEL MUÑOZ HERRERA</v>
      </c>
      <c r="I767" s="149" t="s">
        <v>666</v>
      </c>
      <c r="J767" s="153" t="s">
        <v>473</v>
      </c>
      <c r="K767" s="149" t="s">
        <v>1557</v>
      </c>
      <c r="L767" s="183">
        <v>45443</v>
      </c>
      <c r="M767" s="153"/>
      <c r="N767" s="163">
        <v>2</v>
      </c>
      <c r="O767" s="149" t="s">
        <v>446</v>
      </c>
      <c r="P767" s="161">
        <v>3604.55</v>
      </c>
      <c r="Q767" s="184">
        <v>45398</v>
      </c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</row>
    <row r="768" spans="1:27">
      <c r="A768" s="154">
        <v>5</v>
      </c>
      <c r="B768" s="155" t="s">
        <v>1354</v>
      </c>
      <c r="C768" s="156">
        <v>45404</v>
      </c>
      <c r="D768" s="155" t="s">
        <v>440</v>
      </c>
      <c r="E768" s="149" t="s">
        <v>239</v>
      </c>
      <c r="F768" s="149" t="s">
        <v>441</v>
      </c>
      <c r="G768" s="149" t="s">
        <v>442</v>
      </c>
      <c r="H768" s="149" t="str">
        <f t="shared" si="5"/>
        <v>ESTEFANÍA BERROCAL POSTIGO</v>
      </c>
      <c r="I768" s="149" t="s">
        <v>927</v>
      </c>
      <c r="J768" s="153" t="s">
        <v>455</v>
      </c>
      <c r="K768" s="149" t="s">
        <v>1558</v>
      </c>
      <c r="L768" s="157">
        <v>45443</v>
      </c>
      <c r="M768" s="149"/>
      <c r="N768" s="163">
        <v>1</v>
      </c>
      <c r="O768" s="149" t="s">
        <v>446</v>
      </c>
      <c r="P768" s="161">
        <v>2253.64</v>
      </c>
      <c r="Q768" s="185">
        <v>45404</v>
      </c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</row>
    <row r="769" spans="1:27">
      <c r="A769" s="154">
        <v>5</v>
      </c>
      <c r="B769" s="155" t="s">
        <v>1354</v>
      </c>
      <c r="C769" s="156">
        <v>45366</v>
      </c>
      <c r="D769" s="155" t="s">
        <v>440</v>
      </c>
      <c r="E769" s="149" t="s">
        <v>485</v>
      </c>
      <c r="F769" s="149" t="s">
        <v>441</v>
      </c>
      <c r="G769" s="149" t="s">
        <v>442</v>
      </c>
      <c r="H769" s="149" t="str">
        <f t="shared" si="5"/>
        <v>ANA FERNÁNDEZ RODRÍGUEZ</v>
      </c>
      <c r="I769" s="149" t="s">
        <v>1237</v>
      </c>
      <c r="J769" s="153" t="s">
        <v>473</v>
      </c>
      <c r="K769" s="149" t="s">
        <v>1559</v>
      </c>
      <c r="L769" s="183">
        <v>45443</v>
      </c>
      <c r="M769" s="149"/>
      <c r="N769" s="163">
        <v>2</v>
      </c>
      <c r="O769" s="149" t="s">
        <v>466</v>
      </c>
      <c r="P769" s="161">
        <v>3977.27</v>
      </c>
      <c r="Q769" s="185">
        <v>45366</v>
      </c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</row>
    <row r="770" spans="1:27">
      <c r="A770" s="154">
        <v>5</v>
      </c>
      <c r="B770" s="155" t="s">
        <v>1354</v>
      </c>
      <c r="C770" s="156">
        <v>45383</v>
      </c>
      <c r="D770" s="155" t="s">
        <v>440</v>
      </c>
      <c r="E770" s="149" t="s">
        <v>485</v>
      </c>
      <c r="F770" s="149" t="s">
        <v>441</v>
      </c>
      <c r="G770" s="149" t="s">
        <v>442</v>
      </c>
      <c r="H770" s="149" t="str">
        <f t="shared" si="5"/>
        <v>JESÚS EDUARDO RAMÍREZ SALAS</v>
      </c>
      <c r="I770" s="149" t="s">
        <v>1560</v>
      </c>
      <c r="J770" s="153" t="s">
        <v>473</v>
      </c>
      <c r="K770" s="149" t="s">
        <v>1561</v>
      </c>
      <c r="L770" s="168">
        <v>45443</v>
      </c>
      <c r="M770" s="149"/>
      <c r="N770" s="163">
        <v>2</v>
      </c>
      <c r="O770" s="149" t="s">
        <v>446</v>
      </c>
      <c r="P770" s="161">
        <v>3522.73</v>
      </c>
      <c r="Q770" s="185">
        <v>45383</v>
      </c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</row>
    <row r="771" spans="1:27">
      <c r="A771" s="154">
        <v>6</v>
      </c>
      <c r="B771" s="155" t="s">
        <v>1562</v>
      </c>
      <c r="C771" s="170">
        <v>45426</v>
      </c>
      <c r="D771" s="155" t="s">
        <v>440</v>
      </c>
      <c r="E771" s="149" t="s">
        <v>145</v>
      </c>
      <c r="F771" s="149" t="s">
        <v>441</v>
      </c>
      <c r="G771" s="149" t="s">
        <v>442</v>
      </c>
      <c r="H771" s="149" t="str">
        <f t="shared" si="5"/>
        <v>DARÍO AGUDELO GARCÍA</v>
      </c>
      <c r="I771" s="149" t="s">
        <v>536</v>
      </c>
      <c r="J771" s="153" t="s">
        <v>532</v>
      </c>
      <c r="K771" s="149" t="s">
        <v>1563</v>
      </c>
      <c r="L771" s="183">
        <v>45446</v>
      </c>
      <c r="M771" s="149"/>
      <c r="N771" s="163">
        <v>2</v>
      </c>
      <c r="O771" s="149" t="s">
        <v>449</v>
      </c>
      <c r="P771" s="161">
        <v>2888.18</v>
      </c>
      <c r="Q771" s="189">
        <v>45426</v>
      </c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</row>
    <row r="772" spans="1:27">
      <c r="A772" s="154">
        <v>6</v>
      </c>
      <c r="B772" s="155" t="s">
        <v>1562</v>
      </c>
      <c r="C772" s="170">
        <v>45418</v>
      </c>
      <c r="D772" s="155" t="s">
        <v>440</v>
      </c>
      <c r="E772" s="149" t="s">
        <v>501</v>
      </c>
      <c r="F772" s="149" t="s">
        <v>441</v>
      </c>
      <c r="G772" s="149" t="s">
        <v>442</v>
      </c>
      <c r="H772" s="149" t="str">
        <f t="shared" si="5"/>
        <v>FERNANDO SALAZAR BARCELONA</v>
      </c>
      <c r="I772" s="149" t="s">
        <v>502</v>
      </c>
      <c r="J772" s="153" t="s">
        <v>548</v>
      </c>
      <c r="K772" s="149" t="s">
        <v>1564</v>
      </c>
      <c r="L772" s="157">
        <v>45446</v>
      </c>
      <c r="M772" s="158"/>
      <c r="N772" s="163">
        <v>2</v>
      </c>
      <c r="O772" s="165" t="s">
        <v>446</v>
      </c>
      <c r="P772" s="161">
        <v>3545.45</v>
      </c>
      <c r="Q772" s="162">
        <v>45418</v>
      </c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</row>
    <row r="773" spans="1:27">
      <c r="A773" s="154">
        <v>6</v>
      </c>
      <c r="B773" s="155" t="s">
        <v>1562</v>
      </c>
      <c r="C773" s="170">
        <v>45432</v>
      </c>
      <c r="D773" s="155" t="s">
        <v>440</v>
      </c>
      <c r="E773" s="149" t="s">
        <v>314</v>
      </c>
      <c r="F773" s="149" t="s">
        <v>441</v>
      </c>
      <c r="G773" s="149" t="s">
        <v>442</v>
      </c>
      <c r="H773" s="149" t="str">
        <f t="shared" si="5"/>
        <v>LAURA DEL TORO GIL</v>
      </c>
      <c r="I773" s="149" t="s">
        <v>1565</v>
      </c>
      <c r="J773" s="153" t="s">
        <v>444</v>
      </c>
      <c r="K773" s="149" t="s">
        <v>1566</v>
      </c>
      <c r="L773" s="157">
        <v>45446</v>
      </c>
      <c r="M773" s="164"/>
      <c r="N773" s="163">
        <v>1</v>
      </c>
      <c r="O773" s="165" t="s">
        <v>449</v>
      </c>
      <c r="P773" s="161">
        <v>1732.73</v>
      </c>
      <c r="Q773" s="162">
        <v>45432</v>
      </c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</row>
    <row r="774" spans="1:27">
      <c r="A774" s="154">
        <v>6</v>
      </c>
      <c r="B774" s="155" t="s">
        <v>1562</v>
      </c>
      <c r="C774" s="170">
        <v>45376</v>
      </c>
      <c r="D774" s="155" t="s">
        <v>440</v>
      </c>
      <c r="E774" s="149" t="s">
        <v>98</v>
      </c>
      <c r="F774" s="149" t="s">
        <v>441</v>
      </c>
      <c r="G774" s="149" t="s">
        <v>442</v>
      </c>
      <c r="H774" s="149" t="str">
        <f t="shared" si="5"/>
        <v>AIDA AVIÑOA ARIAS</v>
      </c>
      <c r="I774" s="149" t="s">
        <v>1024</v>
      </c>
      <c r="J774" s="153" t="s">
        <v>462</v>
      </c>
      <c r="K774" s="149" t="s">
        <v>1567</v>
      </c>
      <c r="L774" s="157">
        <v>45446</v>
      </c>
      <c r="M774" s="164"/>
      <c r="N774" s="163">
        <v>1</v>
      </c>
      <c r="O774" s="165" t="s">
        <v>449</v>
      </c>
      <c r="P774" s="161">
        <v>1481.82</v>
      </c>
      <c r="Q774" s="162">
        <v>45376</v>
      </c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</row>
    <row r="775" spans="1:27">
      <c r="A775" s="154">
        <v>6</v>
      </c>
      <c r="B775" s="155" t="s">
        <v>1562</v>
      </c>
      <c r="C775" s="170">
        <v>45355</v>
      </c>
      <c r="D775" s="155" t="s">
        <v>440</v>
      </c>
      <c r="E775" s="149" t="s">
        <v>98</v>
      </c>
      <c r="F775" s="149" t="s">
        <v>441</v>
      </c>
      <c r="G775" s="149" t="s">
        <v>442</v>
      </c>
      <c r="H775" s="149" t="str">
        <f t="shared" si="5"/>
        <v>MARÍA AGUSTINA SEVILLA GARCÍA</v>
      </c>
      <c r="I775" s="149" t="s">
        <v>538</v>
      </c>
      <c r="J775" s="149" t="s">
        <v>462</v>
      </c>
      <c r="K775" s="149" t="s">
        <v>1568</v>
      </c>
      <c r="L775" s="157">
        <v>45446</v>
      </c>
      <c r="M775" s="158"/>
      <c r="N775" s="163">
        <v>1</v>
      </c>
      <c r="O775" s="165" t="s">
        <v>446</v>
      </c>
      <c r="P775" s="161">
        <v>2162.73</v>
      </c>
      <c r="Q775" s="162">
        <v>45355</v>
      </c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</row>
    <row r="776" spans="1:27">
      <c r="A776" s="154">
        <v>6</v>
      </c>
      <c r="B776" s="155" t="s">
        <v>1562</v>
      </c>
      <c r="C776" s="170">
        <v>45348</v>
      </c>
      <c r="D776" s="155" t="s">
        <v>440</v>
      </c>
      <c r="E776" s="149" t="s">
        <v>475</v>
      </c>
      <c r="F776" s="149" t="s">
        <v>441</v>
      </c>
      <c r="G776" s="149" t="s">
        <v>442</v>
      </c>
      <c r="H776" s="149" t="str">
        <f t="shared" si="5"/>
        <v>DIANA LISBETH</v>
      </c>
      <c r="I776" s="149" t="s">
        <v>681</v>
      </c>
      <c r="J776" s="153" t="s">
        <v>473</v>
      </c>
      <c r="K776" s="149" t="s">
        <v>1569</v>
      </c>
      <c r="L776" s="157">
        <v>45446</v>
      </c>
      <c r="M776" s="158"/>
      <c r="N776" s="163">
        <v>2</v>
      </c>
      <c r="O776" s="165" t="s">
        <v>449</v>
      </c>
      <c r="P776" s="161">
        <v>2909.09</v>
      </c>
      <c r="Q776" s="162">
        <v>45348</v>
      </c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</row>
    <row r="777" spans="1:27">
      <c r="A777" s="154">
        <v>6</v>
      </c>
      <c r="B777" s="155" t="s">
        <v>1562</v>
      </c>
      <c r="C777" s="170">
        <v>44844</v>
      </c>
      <c r="D777" s="155" t="s">
        <v>440</v>
      </c>
      <c r="E777" s="149" t="s">
        <v>150</v>
      </c>
      <c r="F777" s="149" t="s">
        <v>441</v>
      </c>
      <c r="G777" s="149" t="s">
        <v>442</v>
      </c>
      <c r="H777" s="149" t="str">
        <f t="shared" si="5"/>
        <v>IGNACIO LLOPEZ CARRATALÁ</v>
      </c>
      <c r="I777" s="149" t="s">
        <v>635</v>
      </c>
      <c r="J777" s="159" t="s">
        <v>636</v>
      </c>
      <c r="K777" s="149" t="s">
        <v>1570</v>
      </c>
      <c r="L777" s="157">
        <v>45446</v>
      </c>
      <c r="M777" s="164"/>
      <c r="N777" s="163">
        <v>2</v>
      </c>
      <c r="O777" s="174" t="s">
        <v>466</v>
      </c>
      <c r="P777" s="161">
        <v>4000</v>
      </c>
      <c r="Q777" s="162">
        <v>44844</v>
      </c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</row>
    <row r="778" spans="1:27">
      <c r="A778" s="154">
        <v>6</v>
      </c>
      <c r="B778" s="155" t="s">
        <v>1562</v>
      </c>
      <c r="C778" s="170">
        <v>45422</v>
      </c>
      <c r="D778" s="155" t="s">
        <v>440</v>
      </c>
      <c r="E778" s="149" t="s">
        <v>150</v>
      </c>
      <c r="F778" s="149" t="s">
        <v>441</v>
      </c>
      <c r="G778" s="149" t="s">
        <v>442</v>
      </c>
      <c r="H778" s="149" t="str">
        <f t="shared" si="5"/>
        <v>JEAN FRANCO INTRAPRENDENTE MARTINI</v>
      </c>
      <c r="I778" s="149" t="s">
        <v>1271</v>
      </c>
      <c r="J778" s="159" t="s">
        <v>636</v>
      </c>
      <c r="K778" s="149" t="s">
        <v>1571</v>
      </c>
      <c r="L778" s="157">
        <v>45446</v>
      </c>
      <c r="M778" s="164"/>
      <c r="N778" s="163">
        <v>2</v>
      </c>
      <c r="O778" s="165" t="s">
        <v>449</v>
      </c>
      <c r="P778" s="161">
        <v>2743.77</v>
      </c>
      <c r="Q778" s="162">
        <v>45422</v>
      </c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</row>
    <row r="779" spans="1:27">
      <c r="A779" s="154">
        <v>6</v>
      </c>
      <c r="B779" s="155" t="s">
        <v>1562</v>
      </c>
      <c r="C779" s="156">
        <v>45415</v>
      </c>
      <c r="D779" s="155" t="s">
        <v>440</v>
      </c>
      <c r="E779" s="149" t="s">
        <v>546</v>
      </c>
      <c r="F779" s="149" t="s">
        <v>441</v>
      </c>
      <c r="G779" s="149" t="s">
        <v>442</v>
      </c>
      <c r="H779" s="149" t="str">
        <f t="shared" si="5"/>
        <v>JAVIER GARCÍA GÓMEZ</v>
      </c>
      <c r="I779" s="149" t="s">
        <v>946</v>
      </c>
      <c r="J779" s="153" t="s">
        <v>548</v>
      </c>
      <c r="K779" s="149" t="s">
        <v>1572</v>
      </c>
      <c r="L779" s="168">
        <v>45447</v>
      </c>
      <c r="M779" s="149"/>
      <c r="N779" s="163">
        <v>2</v>
      </c>
      <c r="O779" s="149" t="s">
        <v>466</v>
      </c>
      <c r="P779" s="161">
        <v>3714.55</v>
      </c>
      <c r="Q779" s="185">
        <v>45415</v>
      </c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</row>
    <row r="780" spans="1:27">
      <c r="A780" s="154">
        <v>6</v>
      </c>
      <c r="B780" s="155" t="s">
        <v>1562</v>
      </c>
      <c r="C780" s="156">
        <v>45440</v>
      </c>
      <c r="D780" s="155" t="s">
        <v>440</v>
      </c>
      <c r="E780" s="149" t="s">
        <v>601</v>
      </c>
      <c r="F780" s="149" t="s">
        <v>441</v>
      </c>
      <c r="G780" s="149" t="s">
        <v>442</v>
      </c>
      <c r="H780" s="149" t="str">
        <f t="shared" si="5"/>
        <v>ISABEL VAAMONDE SANCHEZ ANDRADR</v>
      </c>
      <c r="I780" s="149" t="s">
        <v>1443</v>
      </c>
      <c r="J780" s="153" t="s">
        <v>516</v>
      </c>
      <c r="K780" s="149" t="s">
        <v>1573</v>
      </c>
      <c r="L780" s="168">
        <v>45447</v>
      </c>
      <c r="M780" s="153"/>
      <c r="N780" s="163">
        <v>2</v>
      </c>
      <c r="O780" s="149" t="s">
        <v>449</v>
      </c>
      <c r="P780" s="161">
        <v>2909.09</v>
      </c>
      <c r="Q780" s="184">
        <v>45440</v>
      </c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</row>
    <row r="781" spans="1:27">
      <c r="A781" s="154">
        <v>6</v>
      </c>
      <c r="B781" s="155" t="s">
        <v>1562</v>
      </c>
      <c r="C781" s="170">
        <v>45415</v>
      </c>
      <c r="D781" s="155" t="s">
        <v>440</v>
      </c>
      <c r="E781" s="149" t="s">
        <v>98</v>
      </c>
      <c r="F781" s="149" t="s">
        <v>441</v>
      </c>
      <c r="G781" s="149" t="s">
        <v>442</v>
      </c>
      <c r="H781" s="149" t="str">
        <f t="shared" si="5"/>
        <v>JESÚS MIGUEL INIESTA TURPÍN</v>
      </c>
      <c r="I781" s="149" t="s">
        <v>594</v>
      </c>
      <c r="J781" s="153" t="s">
        <v>462</v>
      </c>
      <c r="K781" s="149" t="s">
        <v>1574</v>
      </c>
      <c r="L781" s="157">
        <v>45447</v>
      </c>
      <c r="M781" s="158"/>
      <c r="N781" s="163">
        <v>2</v>
      </c>
      <c r="O781" s="165" t="s">
        <v>446</v>
      </c>
      <c r="P781" s="161">
        <v>3710</v>
      </c>
      <c r="Q781" s="162">
        <v>45415</v>
      </c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</row>
    <row r="782" spans="1:27">
      <c r="A782" s="154">
        <v>6</v>
      </c>
      <c r="B782" s="155" t="s">
        <v>1562</v>
      </c>
      <c r="C782" s="170">
        <v>45370</v>
      </c>
      <c r="D782" s="155" t="s">
        <v>440</v>
      </c>
      <c r="E782" s="149" t="s">
        <v>239</v>
      </c>
      <c r="F782" s="149" t="s">
        <v>441</v>
      </c>
      <c r="G782" s="149" t="s">
        <v>442</v>
      </c>
      <c r="H782" s="149" t="str">
        <f t="shared" si="5"/>
        <v>MIGUEL ALBERTO RODRÍGUEZ PÉREZ</v>
      </c>
      <c r="I782" s="149" t="s">
        <v>509</v>
      </c>
      <c r="J782" s="153" t="s">
        <v>455</v>
      </c>
      <c r="K782" s="149" t="s">
        <v>1575</v>
      </c>
      <c r="L782" s="157">
        <v>45447</v>
      </c>
      <c r="M782" s="158"/>
      <c r="N782" s="163">
        <v>2</v>
      </c>
      <c r="O782" s="165" t="s">
        <v>446</v>
      </c>
      <c r="P782" s="161">
        <v>3786.36</v>
      </c>
      <c r="Q782" s="162">
        <v>45370</v>
      </c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</row>
    <row r="783" spans="1:27">
      <c r="A783" s="154">
        <v>6</v>
      </c>
      <c r="B783" s="155" t="s">
        <v>1562</v>
      </c>
      <c r="C783" s="156">
        <v>45393</v>
      </c>
      <c r="D783" s="155" t="s">
        <v>440</v>
      </c>
      <c r="E783" s="149" t="s">
        <v>1044</v>
      </c>
      <c r="F783" s="149" t="s">
        <v>441</v>
      </c>
      <c r="G783" s="149" t="s">
        <v>442</v>
      </c>
      <c r="H783" s="149" t="str">
        <f t="shared" si="5"/>
        <v>RAQUEL SOLIS VAZQUEZ</v>
      </c>
      <c r="I783" s="149" t="s">
        <v>1576</v>
      </c>
      <c r="J783" s="153" t="s">
        <v>455</v>
      </c>
      <c r="K783" s="149" t="s">
        <v>1577</v>
      </c>
      <c r="L783" s="168">
        <v>45448</v>
      </c>
      <c r="M783" s="149"/>
      <c r="N783" s="163">
        <v>2</v>
      </c>
      <c r="O783" s="149" t="s">
        <v>449</v>
      </c>
      <c r="P783" s="161">
        <v>2636.36</v>
      </c>
      <c r="Q783" s="184">
        <v>45393</v>
      </c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</row>
    <row r="784" spans="1:27">
      <c r="A784" s="154">
        <v>6</v>
      </c>
      <c r="B784" s="155" t="s">
        <v>1562</v>
      </c>
      <c r="C784" s="170">
        <v>45411</v>
      </c>
      <c r="D784" s="155" t="s">
        <v>440</v>
      </c>
      <c r="E784" s="149" t="s">
        <v>315</v>
      </c>
      <c r="F784" s="149" t="s">
        <v>441</v>
      </c>
      <c r="G784" s="149" t="s">
        <v>442</v>
      </c>
      <c r="H784" s="149" t="str">
        <f t="shared" si="5"/>
        <v>JOSÉ GUSTAVO BARROSO BRAOJOS</v>
      </c>
      <c r="I784" s="149" t="s">
        <v>560</v>
      </c>
      <c r="J784" s="153" t="s">
        <v>444</v>
      </c>
      <c r="K784" s="149" t="s">
        <v>1578</v>
      </c>
      <c r="L784" s="157">
        <v>45448</v>
      </c>
      <c r="M784" s="158"/>
      <c r="N784" s="163">
        <v>2</v>
      </c>
      <c r="O784" s="165" t="s">
        <v>466</v>
      </c>
      <c r="P784" s="161">
        <v>4000</v>
      </c>
      <c r="Q784" s="162">
        <v>45411</v>
      </c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</row>
    <row r="785" spans="1:27">
      <c r="A785" s="154">
        <v>6</v>
      </c>
      <c r="B785" s="155" t="s">
        <v>1562</v>
      </c>
      <c r="C785" s="156">
        <v>45404</v>
      </c>
      <c r="D785" s="155" t="s">
        <v>440</v>
      </c>
      <c r="E785" s="149" t="s">
        <v>317</v>
      </c>
      <c r="F785" s="149" t="s">
        <v>441</v>
      </c>
      <c r="G785" s="149" t="s">
        <v>442</v>
      </c>
      <c r="H785" s="149" t="str">
        <f t="shared" si="5"/>
        <v>JUAN RAMÓN PAREDES OSADO</v>
      </c>
      <c r="I785" s="149" t="s">
        <v>1579</v>
      </c>
      <c r="J785" s="153" t="s">
        <v>462</v>
      </c>
      <c r="K785" s="149" t="s">
        <v>1580</v>
      </c>
      <c r="L785" s="183">
        <v>45449</v>
      </c>
      <c r="M785" s="149"/>
      <c r="N785" s="163">
        <v>2</v>
      </c>
      <c r="O785" s="149" t="s">
        <v>446</v>
      </c>
      <c r="P785" s="161">
        <v>3604.55</v>
      </c>
      <c r="Q785" s="185">
        <v>45404</v>
      </c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</row>
    <row r="786" spans="1:27">
      <c r="A786" s="154">
        <v>6</v>
      </c>
      <c r="B786" s="155" t="s">
        <v>1562</v>
      </c>
      <c r="C786" s="170">
        <v>45407</v>
      </c>
      <c r="D786" s="155" t="s">
        <v>440</v>
      </c>
      <c r="E786" s="149" t="s">
        <v>158</v>
      </c>
      <c r="F786" s="149" t="s">
        <v>441</v>
      </c>
      <c r="G786" s="149" t="s">
        <v>442</v>
      </c>
      <c r="H786" s="149" t="str">
        <f t="shared" si="5"/>
        <v>JAVIER GARCÍA DOMÍNGUEZ</v>
      </c>
      <c r="I786" s="149" t="s">
        <v>607</v>
      </c>
      <c r="J786" s="153" t="s">
        <v>444</v>
      </c>
      <c r="K786" s="149" t="s">
        <v>1581</v>
      </c>
      <c r="L786" s="157">
        <v>45449</v>
      </c>
      <c r="M786" s="158"/>
      <c r="N786" s="163">
        <v>2</v>
      </c>
      <c r="O786" s="165" t="s">
        <v>466</v>
      </c>
      <c r="P786" s="161">
        <v>2743.77</v>
      </c>
      <c r="Q786" s="162">
        <v>45407</v>
      </c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</row>
    <row r="787" spans="1:27">
      <c r="A787" s="154">
        <v>6</v>
      </c>
      <c r="B787" s="155" t="s">
        <v>1562</v>
      </c>
      <c r="C787" s="170">
        <v>45419</v>
      </c>
      <c r="D787" s="155" t="s">
        <v>440</v>
      </c>
      <c r="E787" s="149" t="s">
        <v>309</v>
      </c>
      <c r="F787" s="149" t="s">
        <v>441</v>
      </c>
      <c r="G787" s="149" t="s">
        <v>442</v>
      </c>
      <c r="H787" s="149" t="str">
        <f t="shared" si="5"/>
        <v>CÉSAR CHARLES MARTÍNEZ</v>
      </c>
      <c r="I787" s="149" t="s">
        <v>495</v>
      </c>
      <c r="J787" s="153" t="s">
        <v>444</v>
      </c>
      <c r="K787" s="149" t="s">
        <v>1582</v>
      </c>
      <c r="L787" s="157">
        <v>45449</v>
      </c>
      <c r="M787" s="158"/>
      <c r="N787" s="163">
        <v>2</v>
      </c>
      <c r="O787" s="165" t="s">
        <v>1540</v>
      </c>
      <c r="P787" s="161">
        <v>3800</v>
      </c>
      <c r="Q787" s="162">
        <v>45419</v>
      </c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</row>
    <row r="788" spans="1:27">
      <c r="A788" s="154">
        <v>6</v>
      </c>
      <c r="B788" s="155" t="s">
        <v>1562</v>
      </c>
      <c r="C788" s="170">
        <v>45433</v>
      </c>
      <c r="D788" s="155" t="s">
        <v>440</v>
      </c>
      <c r="E788" s="149" t="s">
        <v>309</v>
      </c>
      <c r="F788" s="149" t="s">
        <v>441</v>
      </c>
      <c r="G788" s="149" t="s">
        <v>442</v>
      </c>
      <c r="H788" s="149" t="str">
        <f t="shared" si="5"/>
        <v>JOSE JOAQUÍN GUTIÉRREZ BARQUÍN</v>
      </c>
      <c r="I788" s="149" t="s">
        <v>716</v>
      </c>
      <c r="J788" s="153" t="s">
        <v>444</v>
      </c>
      <c r="K788" s="149" t="s">
        <v>1583</v>
      </c>
      <c r="L788" s="157">
        <v>45449</v>
      </c>
      <c r="M788" s="164"/>
      <c r="N788" s="163">
        <v>2</v>
      </c>
      <c r="O788" s="165" t="s">
        <v>449</v>
      </c>
      <c r="P788" s="161">
        <v>2780.91</v>
      </c>
      <c r="Q788" s="162">
        <v>45433</v>
      </c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</row>
    <row r="789" spans="1:27">
      <c r="A789" s="154">
        <v>6</v>
      </c>
      <c r="B789" s="155" t="s">
        <v>1562</v>
      </c>
      <c r="C789" s="170">
        <v>45407</v>
      </c>
      <c r="D789" s="155" t="s">
        <v>440</v>
      </c>
      <c r="E789" s="149" t="s">
        <v>239</v>
      </c>
      <c r="F789" s="149" t="s">
        <v>441</v>
      </c>
      <c r="G789" s="149" t="s">
        <v>442</v>
      </c>
      <c r="H789" s="149" t="str">
        <f t="shared" si="5"/>
        <v>MIGUEL ANTONIO SHEPHERD GONZÁLEZ</v>
      </c>
      <c r="I789" s="149" t="s">
        <v>772</v>
      </c>
      <c r="J789" s="153" t="s">
        <v>455</v>
      </c>
      <c r="K789" s="149" t="s">
        <v>1584</v>
      </c>
      <c r="L789" s="157">
        <v>45449</v>
      </c>
      <c r="M789" s="158"/>
      <c r="N789" s="163">
        <v>2</v>
      </c>
      <c r="O789" s="165" t="s">
        <v>449</v>
      </c>
      <c r="P789" s="161">
        <v>2736.36</v>
      </c>
      <c r="Q789" s="162">
        <v>45407</v>
      </c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</row>
    <row r="790" spans="1:27">
      <c r="A790" s="154">
        <v>6</v>
      </c>
      <c r="B790" s="155" t="s">
        <v>1562</v>
      </c>
      <c r="C790" s="170">
        <v>45315</v>
      </c>
      <c r="D790" s="155" t="s">
        <v>440</v>
      </c>
      <c r="E790" s="149" t="s">
        <v>530</v>
      </c>
      <c r="F790" s="149" t="s">
        <v>441</v>
      </c>
      <c r="G790" s="149" t="s">
        <v>442</v>
      </c>
      <c r="H790" s="149" t="str">
        <f t="shared" si="5"/>
        <v>OLGA FERRER ANDINO</v>
      </c>
      <c r="I790" s="149" t="s">
        <v>1585</v>
      </c>
      <c r="J790" s="153" t="s">
        <v>532</v>
      </c>
      <c r="K790" s="149" t="s">
        <v>1586</v>
      </c>
      <c r="L790" s="157">
        <v>45449</v>
      </c>
      <c r="M790" s="164"/>
      <c r="N790" s="163">
        <v>2</v>
      </c>
      <c r="O790" s="165" t="s">
        <v>518</v>
      </c>
      <c r="P790" s="161">
        <v>2545.4499999999998</v>
      </c>
      <c r="Q790" s="162">
        <v>45315</v>
      </c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</row>
    <row r="791" spans="1:27">
      <c r="A791" s="154">
        <v>6</v>
      </c>
      <c r="B791" s="155" t="s">
        <v>1562</v>
      </c>
      <c r="C791" s="156">
        <v>45393</v>
      </c>
      <c r="D791" s="166" t="s">
        <v>440</v>
      </c>
      <c r="E791" s="149" t="s">
        <v>138</v>
      </c>
      <c r="F791" s="149" t="s">
        <v>441</v>
      </c>
      <c r="G791" s="149" t="s">
        <v>442</v>
      </c>
      <c r="H791" s="149" t="str">
        <f t="shared" si="5"/>
        <v>JESUS-MARIA GRASA PÉREZ</v>
      </c>
      <c r="I791" s="149" t="s">
        <v>591</v>
      </c>
      <c r="J791" s="149" t="s">
        <v>532</v>
      </c>
      <c r="K791" s="149" t="s">
        <v>1587</v>
      </c>
      <c r="L791" s="168">
        <v>45450</v>
      </c>
      <c r="M791" s="149"/>
      <c r="N791" s="163">
        <v>2</v>
      </c>
      <c r="O791" s="149" t="s">
        <v>446</v>
      </c>
      <c r="P791" s="161">
        <v>3604.55</v>
      </c>
      <c r="Q791" s="185">
        <v>45393</v>
      </c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</row>
    <row r="792" spans="1:27">
      <c r="A792" s="154">
        <v>6</v>
      </c>
      <c r="B792" s="155" t="s">
        <v>1562</v>
      </c>
      <c r="C792" s="156">
        <v>45433</v>
      </c>
      <c r="D792" s="155" t="s">
        <v>440</v>
      </c>
      <c r="E792" s="149" t="s">
        <v>546</v>
      </c>
      <c r="F792" s="149" t="s">
        <v>441</v>
      </c>
      <c r="G792" s="149" t="s">
        <v>442</v>
      </c>
      <c r="H792" s="149" t="str">
        <f t="shared" si="5"/>
        <v>JAVIER GARCÍA GÓMEZ</v>
      </c>
      <c r="I792" s="149" t="s">
        <v>946</v>
      </c>
      <c r="J792" s="153" t="s">
        <v>548</v>
      </c>
      <c r="K792" s="149" t="s">
        <v>1588</v>
      </c>
      <c r="L792" s="168">
        <v>45450</v>
      </c>
      <c r="M792" s="149"/>
      <c r="N792" s="163">
        <v>2</v>
      </c>
      <c r="O792" s="149" t="s">
        <v>466</v>
      </c>
      <c r="P792" s="161">
        <v>3888.18</v>
      </c>
      <c r="Q792" s="184">
        <v>45433</v>
      </c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</row>
    <row r="793" spans="1:27">
      <c r="A793" s="154">
        <v>6</v>
      </c>
      <c r="B793" s="155" t="s">
        <v>1562</v>
      </c>
      <c r="C793" s="170">
        <v>45411</v>
      </c>
      <c r="D793" s="155" t="s">
        <v>440</v>
      </c>
      <c r="E793" s="149" t="s">
        <v>311</v>
      </c>
      <c r="F793" s="149" t="s">
        <v>441</v>
      </c>
      <c r="G793" s="149" t="s">
        <v>442</v>
      </c>
      <c r="H793" s="149" t="str">
        <f t="shared" si="5"/>
        <v>NO REUERDA ORL</v>
      </c>
      <c r="I793" s="149" t="s">
        <v>469</v>
      </c>
      <c r="J793" s="149" t="s">
        <v>444</v>
      </c>
      <c r="K793" s="149" t="s">
        <v>1589</v>
      </c>
      <c r="L793" s="183">
        <v>45450</v>
      </c>
      <c r="M793" s="149"/>
      <c r="N793" s="163">
        <v>2</v>
      </c>
      <c r="O793" s="149" t="s">
        <v>449</v>
      </c>
      <c r="P793" s="161">
        <v>2888.18</v>
      </c>
      <c r="Q793" s="189">
        <v>45411</v>
      </c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</row>
    <row r="794" spans="1:27">
      <c r="A794" s="154">
        <v>6</v>
      </c>
      <c r="B794" s="155" t="s">
        <v>1562</v>
      </c>
      <c r="C794" s="170">
        <v>45420</v>
      </c>
      <c r="D794" s="155" t="s">
        <v>440</v>
      </c>
      <c r="E794" s="149" t="s">
        <v>158</v>
      </c>
      <c r="F794" s="149" t="s">
        <v>441</v>
      </c>
      <c r="G794" s="149" t="s">
        <v>442</v>
      </c>
      <c r="H794" s="149" t="str">
        <f t="shared" si="5"/>
        <v>CARLOS BARAJAS DEL ROSAL</v>
      </c>
      <c r="I794" s="149" t="s">
        <v>660</v>
      </c>
      <c r="J794" s="149" t="s">
        <v>548</v>
      </c>
      <c r="K794" s="149" t="s">
        <v>1590</v>
      </c>
      <c r="L794" s="157">
        <v>45450</v>
      </c>
      <c r="M794" s="158"/>
      <c r="N794" s="163">
        <v>1</v>
      </c>
      <c r="O794" s="165" t="s">
        <v>466</v>
      </c>
      <c r="P794" s="161">
        <v>2400</v>
      </c>
      <c r="Q794" s="162">
        <v>45420</v>
      </c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</row>
    <row r="795" spans="1:27">
      <c r="A795" s="154">
        <v>6</v>
      </c>
      <c r="B795" s="155" t="s">
        <v>1562</v>
      </c>
      <c r="C795" s="170">
        <v>45418</v>
      </c>
      <c r="D795" s="155" t="s">
        <v>440</v>
      </c>
      <c r="E795" s="149" t="s">
        <v>158</v>
      </c>
      <c r="F795" s="149" t="s">
        <v>441</v>
      </c>
      <c r="G795" s="149" t="s">
        <v>442</v>
      </c>
      <c r="H795" s="149" t="str">
        <f t="shared" si="5"/>
        <v>CARLOS BARAJAS DEL ROSAL</v>
      </c>
      <c r="I795" s="149" t="s">
        <v>660</v>
      </c>
      <c r="J795" s="153" t="s">
        <v>548</v>
      </c>
      <c r="K795" s="149" t="s">
        <v>1591</v>
      </c>
      <c r="L795" s="157">
        <v>45450</v>
      </c>
      <c r="M795" s="158"/>
      <c r="N795" s="163">
        <v>2</v>
      </c>
      <c r="O795" s="165" t="s">
        <v>513</v>
      </c>
      <c r="P795" s="161">
        <v>4180</v>
      </c>
      <c r="Q795" s="162">
        <v>45418</v>
      </c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</row>
    <row r="796" spans="1:27">
      <c r="A796" s="154">
        <v>6</v>
      </c>
      <c r="B796" s="155" t="s">
        <v>1562</v>
      </c>
      <c r="C796" s="170">
        <v>45401</v>
      </c>
      <c r="D796" s="155" t="s">
        <v>440</v>
      </c>
      <c r="E796" s="149" t="s">
        <v>98</v>
      </c>
      <c r="F796" s="149" t="s">
        <v>441</v>
      </c>
      <c r="G796" s="149" t="s">
        <v>442</v>
      </c>
      <c r="H796" s="149" t="str">
        <f t="shared" si="5"/>
        <v>MARÍA AGUSTINA SEVILLA GARCÍA</v>
      </c>
      <c r="I796" s="149" t="s">
        <v>538</v>
      </c>
      <c r="J796" s="153" t="s">
        <v>462</v>
      </c>
      <c r="K796" s="149" t="s">
        <v>1592</v>
      </c>
      <c r="L796" s="157">
        <v>45450</v>
      </c>
      <c r="M796" s="164"/>
      <c r="N796" s="163">
        <v>2</v>
      </c>
      <c r="O796" s="165" t="s">
        <v>449</v>
      </c>
      <c r="P796" s="161">
        <v>2780.91</v>
      </c>
      <c r="Q796" s="162">
        <v>45401</v>
      </c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</row>
    <row r="797" spans="1:27">
      <c r="A797" s="154">
        <v>6</v>
      </c>
      <c r="B797" s="155" t="s">
        <v>1562</v>
      </c>
      <c r="C797" s="170">
        <v>45407</v>
      </c>
      <c r="D797" s="155" t="s">
        <v>440</v>
      </c>
      <c r="E797" s="149" t="s">
        <v>951</v>
      </c>
      <c r="F797" s="149" t="s">
        <v>441</v>
      </c>
      <c r="G797" s="149" t="s">
        <v>442</v>
      </c>
      <c r="H797" s="149" t="str">
        <f t="shared" si="5"/>
        <v>ISABEL VAAMONDE SANCHEZ ANDRADR</v>
      </c>
      <c r="I797" s="149" t="s">
        <v>1443</v>
      </c>
      <c r="J797" s="153" t="s">
        <v>516</v>
      </c>
      <c r="K797" s="149" t="s">
        <v>1593</v>
      </c>
      <c r="L797" s="157">
        <v>45450</v>
      </c>
      <c r="M797" s="158"/>
      <c r="N797" s="163">
        <v>1</v>
      </c>
      <c r="O797" s="165" t="s">
        <v>449</v>
      </c>
      <c r="P797" s="161">
        <v>1444.09</v>
      </c>
      <c r="Q797" s="162">
        <v>45407</v>
      </c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</row>
    <row r="798" spans="1:27">
      <c r="A798" s="154">
        <v>6</v>
      </c>
      <c r="B798" s="155" t="s">
        <v>1562</v>
      </c>
      <c r="C798" s="170">
        <v>45384</v>
      </c>
      <c r="D798" s="155" t="s">
        <v>440</v>
      </c>
      <c r="E798" s="149" t="s">
        <v>150</v>
      </c>
      <c r="F798" s="190" t="s">
        <v>441</v>
      </c>
      <c r="G798" s="153" t="s">
        <v>442</v>
      </c>
      <c r="H798" s="149" t="str">
        <f t="shared" si="5"/>
        <v>CARLOS DE PAULA VERNETTA</v>
      </c>
      <c r="I798" s="149" t="s">
        <v>1594</v>
      </c>
      <c r="J798" s="159" t="s">
        <v>636</v>
      </c>
      <c r="K798" s="149" t="s">
        <v>1595</v>
      </c>
      <c r="L798" s="157">
        <v>45450</v>
      </c>
      <c r="M798" s="164"/>
      <c r="N798" s="163">
        <v>2</v>
      </c>
      <c r="O798" s="165" t="s">
        <v>446</v>
      </c>
      <c r="P798" s="161">
        <v>3424.32</v>
      </c>
      <c r="Q798" s="162">
        <v>45384</v>
      </c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</row>
    <row r="799" spans="1:27">
      <c r="A799" s="154">
        <v>6</v>
      </c>
      <c r="B799" s="155" t="s">
        <v>1562</v>
      </c>
      <c r="C799" s="170">
        <v>45399</v>
      </c>
      <c r="D799" s="155" t="s">
        <v>440</v>
      </c>
      <c r="E799" s="149" t="s">
        <v>313</v>
      </c>
      <c r="F799" s="149" t="s">
        <v>441</v>
      </c>
      <c r="G799" s="149" t="s">
        <v>442</v>
      </c>
      <c r="H799" s="149" t="str">
        <f t="shared" si="5"/>
        <v>JOSÉ Mª RELANZÓN LOPEZ</v>
      </c>
      <c r="I799" s="149" t="s">
        <v>1596</v>
      </c>
      <c r="J799" s="153" t="s">
        <v>444</v>
      </c>
      <c r="K799" s="149" t="s">
        <v>1597</v>
      </c>
      <c r="L799" s="157">
        <v>45453</v>
      </c>
      <c r="M799" s="158"/>
      <c r="N799" s="163">
        <v>2</v>
      </c>
      <c r="O799" s="165" t="s">
        <v>446</v>
      </c>
      <c r="P799" s="161">
        <v>3524.5</v>
      </c>
      <c r="Q799" s="162">
        <v>45399</v>
      </c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</row>
    <row r="800" spans="1:27">
      <c r="A800" s="154">
        <v>6</v>
      </c>
      <c r="B800" s="155" t="s">
        <v>1562</v>
      </c>
      <c r="C800" s="170">
        <v>45398</v>
      </c>
      <c r="D800" s="155" t="s">
        <v>440</v>
      </c>
      <c r="E800" s="149" t="s">
        <v>98</v>
      </c>
      <c r="F800" s="149" t="s">
        <v>441</v>
      </c>
      <c r="G800" s="149" t="s">
        <v>442</v>
      </c>
      <c r="H800" s="149" t="str">
        <f t="shared" si="5"/>
        <v>MARÍA AGUSTINA SEVILLA GARCÍA</v>
      </c>
      <c r="I800" s="149" t="s">
        <v>538</v>
      </c>
      <c r="J800" s="153" t="s">
        <v>462</v>
      </c>
      <c r="K800" s="149" t="s">
        <v>1598</v>
      </c>
      <c r="L800" s="157">
        <v>45453</v>
      </c>
      <c r="M800" s="158"/>
      <c r="N800" s="163">
        <v>1</v>
      </c>
      <c r="O800" s="165" t="s">
        <v>446</v>
      </c>
      <c r="P800" s="161">
        <v>2162.73</v>
      </c>
      <c r="Q800" s="162">
        <v>45398</v>
      </c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</row>
    <row r="801" spans="1:27">
      <c r="A801" s="154">
        <v>6</v>
      </c>
      <c r="B801" s="155" t="s">
        <v>1562</v>
      </c>
      <c r="C801" s="170">
        <v>45376</v>
      </c>
      <c r="D801" s="155" t="s">
        <v>440</v>
      </c>
      <c r="E801" s="149" t="s">
        <v>1599</v>
      </c>
      <c r="F801" s="149" t="s">
        <v>441</v>
      </c>
      <c r="G801" s="149" t="s">
        <v>442</v>
      </c>
      <c r="H801" s="149" t="str">
        <f t="shared" si="5"/>
        <v>GABRIEL MARTÍNEZ CAPOCCINI</v>
      </c>
      <c r="I801" s="149" t="s">
        <v>1058</v>
      </c>
      <c r="J801" s="159" t="s">
        <v>516</v>
      </c>
      <c r="K801" s="149" t="s">
        <v>1600</v>
      </c>
      <c r="L801" s="157">
        <v>45453</v>
      </c>
      <c r="M801" s="164"/>
      <c r="N801" s="163">
        <v>2</v>
      </c>
      <c r="O801" s="165" t="s">
        <v>518</v>
      </c>
      <c r="P801" s="161">
        <v>2627.27</v>
      </c>
      <c r="Q801" s="162">
        <v>45376</v>
      </c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</row>
    <row r="802" spans="1:27">
      <c r="A802" s="154">
        <v>6</v>
      </c>
      <c r="B802" s="155" t="s">
        <v>1562</v>
      </c>
      <c r="C802" s="170">
        <v>45439</v>
      </c>
      <c r="D802" s="155" t="s">
        <v>440</v>
      </c>
      <c r="E802" s="149" t="s">
        <v>122</v>
      </c>
      <c r="F802" s="149" t="s">
        <v>441</v>
      </c>
      <c r="G802" s="149" t="s">
        <v>442</v>
      </c>
      <c r="H802" s="149" t="str">
        <f t="shared" si="5"/>
        <v>ALBERTO TAUSTE GÓMEZ</v>
      </c>
      <c r="I802" s="149" t="s">
        <v>1601</v>
      </c>
      <c r="J802" s="153" t="s">
        <v>444</v>
      </c>
      <c r="K802" s="149" t="s">
        <v>1602</v>
      </c>
      <c r="L802" s="168">
        <v>45454</v>
      </c>
      <c r="M802" s="149"/>
      <c r="N802" s="163">
        <v>2</v>
      </c>
      <c r="O802" s="149" t="s">
        <v>466</v>
      </c>
      <c r="P802" s="161">
        <v>4000</v>
      </c>
      <c r="Q802" s="191">
        <v>45439</v>
      </c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</row>
    <row r="803" spans="1:27">
      <c r="A803" s="154">
        <v>6</v>
      </c>
      <c r="B803" s="155" t="s">
        <v>1562</v>
      </c>
      <c r="C803" s="170">
        <v>45429</v>
      </c>
      <c r="D803" s="155" t="s">
        <v>440</v>
      </c>
      <c r="E803" s="149" t="s">
        <v>313</v>
      </c>
      <c r="F803" s="149" t="s">
        <v>441</v>
      </c>
      <c r="G803" s="149" t="s">
        <v>442</v>
      </c>
      <c r="H803" s="149" t="str">
        <f t="shared" si="5"/>
        <v>IGNACIO ARISTEGUI TORRANO</v>
      </c>
      <c r="I803" s="149" t="s">
        <v>1293</v>
      </c>
      <c r="J803" s="153" t="s">
        <v>444</v>
      </c>
      <c r="K803" s="149" t="s">
        <v>1603</v>
      </c>
      <c r="L803" s="157">
        <v>45454</v>
      </c>
      <c r="M803" s="164"/>
      <c r="N803" s="163">
        <v>2</v>
      </c>
      <c r="O803" s="165" t="s">
        <v>449</v>
      </c>
      <c r="P803" s="161">
        <v>2888.18</v>
      </c>
      <c r="Q803" s="162">
        <v>45429</v>
      </c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</row>
    <row r="804" spans="1:27">
      <c r="A804" s="154">
        <v>6</v>
      </c>
      <c r="B804" s="155" t="s">
        <v>1562</v>
      </c>
      <c r="C804" s="170">
        <v>45400</v>
      </c>
      <c r="D804" s="155" t="s">
        <v>440</v>
      </c>
      <c r="E804" s="149" t="s">
        <v>930</v>
      </c>
      <c r="F804" s="149" t="s">
        <v>441</v>
      </c>
      <c r="G804" s="149" t="s">
        <v>442</v>
      </c>
      <c r="H804" s="149" t="str">
        <f t="shared" si="5"/>
        <v>MIQUEL GUIRAO CANO</v>
      </c>
      <c r="I804" s="149" t="s">
        <v>1604</v>
      </c>
      <c r="J804" s="159" t="s">
        <v>532</v>
      </c>
      <c r="K804" s="149" t="s">
        <v>1605</v>
      </c>
      <c r="L804" s="157">
        <v>45454</v>
      </c>
      <c r="M804" s="164"/>
      <c r="N804" s="163">
        <v>2</v>
      </c>
      <c r="O804" s="174" t="s">
        <v>449</v>
      </c>
      <c r="P804" s="161">
        <v>2780.91</v>
      </c>
      <c r="Q804" s="162">
        <v>45400</v>
      </c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</row>
    <row r="805" spans="1:27">
      <c r="A805" s="154">
        <v>6</v>
      </c>
      <c r="B805" s="155" t="s">
        <v>1562</v>
      </c>
      <c r="C805" s="170"/>
      <c r="D805" s="155" t="s">
        <v>440</v>
      </c>
      <c r="E805" s="149" t="s">
        <v>145</v>
      </c>
      <c r="F805" s="149" t="s">
        <v>441</v>
      </c>
      <c r="G805" s="149" t="s">
        <v>442</v>
      </c>
      <c r="H805" s="149" t="str">
        <f t="shared" si="5"/>
        <v>JESUS-MARIA GRASA PÉREZ</v>
      </c>
      <c r="I805" s="149" t="s">
        <v>591</v>
      </c>
      <c r="J805" s="153" t="s">
        <v>532</v>
      </c>
      <c r="K805" s="149" t="s">
        <v>1606</v>
      </c>
      <c r="L805" s="168">
        <v>45455</v>
      </c>
      <c r="M805" s="153"/>
      <c r="N805" s="163">
        <v>2</v>
      </c>
      <c r="O805" s="149" t="s">
        <v>446</v>
      </c>
      <c r="P805" s="161">
        <v>3710</v>
      </c>
      <c r="Q805" s="191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</row>
    <row r="806" spans="1:27">
      <c r="A806" s="154">
        <v>6</v>
      </c>
      <c r="B806" s="155" t="s">
        <v>1562</v>
      </c>
      <c r="C806" s="170">
        <v>45321</v>
      </c>
      <c r="D806" s="155" t="s">
        <v>440</v>
      </c>
      <c r="E806" s="149" t="s">
        <v>190</v>
      </c>
      <c r="F806" s="149" t="s">
        <v>441</v>
      </c>
      <c r="G806" s="149" t="s">
        <v>442</v>
      </c>
      <c r="H806" s="149" t="str">
        <f t="shared" si="5"/>
        <v>ANDRÉS BARRIOS RECIO</v>
      </c>
      <c r="I806" s="149" t="s">
        <v>807</v>
      </c>
      <c r="J806" s="153" t="s">
        <v>462</v>
      </c>
      <c r="K806" s="149" t="s">
        <v>1607</v>
      </c>
      <c r="L806" s="157">
        <v>45455</v>
      </c>
      <c r="M806" s="164"/>
      <c r="N806" s="163">
        <v>2</v>
      </c>
      <c r="O806" s="165" t="s">
        <v>449</v>
      </c>
      <c r="P806" s="161">
        <v>2471.8200000000002</v>
      </c>
      <c r="Q806" s="162">
        <v>45321</v>
      </c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</row>
    <row r="807" spans="1:27">
      <c r="A807" s="154">
        <v>6</v>
      </c>
      <c r="B807" s="155" t="s">
        <v>1562</v>
      </c>
      <c r="C807" s="170">
        <v>45399</v>
      </c>
      <c r="D807" s="155" t="s">
        <v>440</v>
      </c>
      <c r="E807" s="149" t="s">
        <v>150</v>
      </c>
      <c r="F807" s="149" t="s">
        <v>441</v>
      </c>
      <c r="G807" s="149" t="s">
        <v>442</v>
      </c>
      <c r="H807" s="149" t="str">
        <f t="shared" si="5"/>
        <v>MANUEL MATEOS FERNÁNDEZ</v>
      </c>
      <c r="I807" s="149" t="s">
        <v>1608</v>
      </c>
      <c r="J807" s="153" t="s">
        <v>636</v>
      </c>
      <c r="K807" s="149" t="s">
        <v>1609</v>
      </c>
      <c r="L807" s="157">
        <v>45455</v>
      </c>
      <c r="M807" s="164"/>
      <c r="N807" s="163">
        <v>2</v>
      </c>
      <c r="O807" s="165" t="s">
        <v>446</v>
      </c>
      <c r="P807" s="161">
        <v>3528.29</v>
      </c>
      <c r="Q807" s="162">
        <v>45399</v>
      </c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</row>
    <row r="808" spans="1:27">
      <c r="A808" s="154">
        <v>6</v>
      </c>
      <c r="B808" s="155" t="s">
        <v>1562</v>
      </c>
      <c r="C808" s="170">
        <v>45429</v>
      </c>
      <c r="D808" s="155" t="s">
        <v>440</v>
      </c>
      <c r="E808" s="149" t="s">
        <v>109</v>
      </c>
      <c r="F808" s="149" t="s">
        <v>441</v>
      </c>
      <c r="G808" s="149" t="s">
        <v>442</v>
      </c>
      <c r="H808" s="149" t="str">
        <f t="shared" si="5"/>
        <v>IRENE MÁRMOL SZMOBATHY</v>
      </c>
      <c r="I808" s="149" t="s">
        <v>1610</v>
      </c>
      <c r="J808" s="153" t="s">
        <v>444</v>
      </c>
      <c r="K808" s="149" t="s">
        <v>1611</v>
      </c>
      <c r="L808" s="168">
        <v>45456</v>
      </c>
      <c r="M808" s="149"/>
      <c r="N808" s="163">
        <v>2</v>
      </c>
      <c r="O808" s="149" t="s">
        <v>513</v>
      </c>
      <c r="P808" s="161">
        <v>4400.13</v>
      </c>
      <c r="Q808" s="191">
        <v>45429</v>
      </c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</row>
    <row r="809" spans="1:27">
      <c r="A809" s="154">
        <v>6</v>
      </c>
      <c r="B809" s="155" t="s">
        <v>1562</v>
      </c>
      <c r="C809" s="170">
        <v>45418</v>
      </c>
      <c r="D809" s="155" t="s">
        <v>440</v>
      </c>
      <c r="E809" s="149" t="s">
        <v>506</v>
      </c>
      <c r="F809" s="149" t="s">
        <v>441</v>
      </c>
      <c r="G809" s="149" t="s">
        <v>442</v>
      </c>
      <c r="H809" s="149" t="str">
        <f t="shared" si="5"/>
        <v>PEDRO BLANCO PÉREZ,</v>
      </c>
      <c r="I809" s="149" t="s">
        <v>623</v>
      </c>
      <c r="J809" s="153" t="s">
        <v>473</v>
      </c>
      <c r="K809" s="149" t="s">
        <v>1612</v>
      </c>
      <c r="L809" s="157">
        <v>45456</v>
      </c>
      <c r="M809" s="158"/>
      <c r="N809" s="163">
        <v>2</v>
      </c>
      <c r="O809" s="165" t="s">
        <v>446</v>
      </c>
      <c r="P809" s="161">
        <v>3604.55</v>
      </c>
      <c r="Q809" s="162">
        <v>45418</v>
      </c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</row>
    <row r="810" spans="1:27">
      <c r="A810" s="154">
        <v>6</v>
      </c>
      <c r="B810" s="155" t="s">
        <v>1562</v>
      </c>
      <c r="C810" s="170">
        <v>45441</v>
      </c>
      <c r="D810" s="155" t="s">
        <v>440</v>
      </c>
      <c r="E810" s="149" t="s">
        <v>115</v>
      </c>
      <c r="F810" s="149" t="s">
        <v>441</v>
      </c>
      <c r="G810" s="149" t="s">
        <v>442</v>
      </c>
      <c r="H810" s="149" t="str">
        <f t="shared" si="5"/>
        <v>RAÚL RUBIO YANGÜAS</v>
      </c>
      <c r="I810" s="149" t="s">
        <v>877</v>
      </c>
      <c r="J810" s="153" t="s">
        <v>444</v>
      </c>
      <c r="K810" s="149" t="s">
        <v>1613</v>
      </c>
      <c r="L810" s="157">
        <v>45456</v>
      </c>
      <c r="M810" s="158"/>
      <c r="N810" s="163">
        <v>2</v>
      </c>
      <c r="O810" s="165" t="s">
        <v>466</v>
      </c>
      <c r="P810" s="161">
        <v>3800</v>
      </c>
      <c r="Q810" s="162">
        <v>45441</v>
      </c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</row>
    <row r="811" spans="1:27">
      <c r="A811" s="154">
        <v>6</v>
      </c>
      <c r="B811" s="155" t="s">
        <v>1562</v>
      </c>
      <c r="C811" s="156">
        <v>45387</v>
      </c>
      <c r="D811" s="155" t="s">
        <v>440</v>
      </c>
      <c r="E811" s="149" t="s">
        <v>317</v>
      </c>
      <c r="F811" s="149" t="s">
        <v>441</v>
      </c>
      <c r="G811" s="149" t="s">
        <v>442</v>
      </c>
      <c r="H811" s="149" t="str">
        <f t="shared" si="5"/>
        <v>ISABEL MENACHES GUARDIOLA</v>
      </c>
      <c r="I811" s="149" t="s">
        <v>1254</v>
      </c>
      <c r="J811" s="153" t="s">
        <v>462</v>
      </c>
      <c r="K811" s="149" t="s">
        <v>1614</v>
      </c>
      <c r="L811" s="183">
        <v>45457</v>
      </c>
      <c r="M811" s="149"/>
      <c r="N811" s="163">
        <v>2</v>
      </c>
      <c r="O811" s="149" t="s">
        <v>446</v>
      </c>
      <c r="P811" s="161">
        <v>4075.45</v>
      </c>
      <c r="Q811" s="185">
        <v>45387</v>
      </c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</row>
    <row r="812" spans="1:27">
      <c r="A812" s="154">
        <v>6</v>
      </c>
      <c r="B812" s="155" t="s">
        <v>1562</v>
      </c>
      <c r="C812" s="170">
        <v>45426</v>
      </c>
      <c r="D812" s="166" t="s">
        <v>440</v>
      </c>
      <c r="E812" s="149" t="s">
        <v>122</v>
      </c>
      <c r="F812" s="149" t="s">
        <v>441</v>
      </c>
      <c r="G812" s="149" t="s">
        <v>442</v>
      </c>
      <c r="H812" s="149" t="str">
        <f t="shared" si="5"/>
        <v>MAR LASSO DE LA VEGA ZAMORA</v>
      </c>
      <c r="I812" s="149" t="s">
        <v>909</v>
      </c>
      <c r="J812" s="149" t="s">
        <v>444</v>
      </c>
      <c r="K812" s="149" t="s">
        <v>1615</v>
      </c>
      <c r="L812" s="168">
        <v>45457</v>
      </c>
      <c r="M812" s="149"/>
      <c r="N812" s="163">
        <v>1</v>
      </c>
      <c r="O812" s="149" t="s">
        <v>466</v>
      </c>
      <c r="P812" s="161">
        <v>2280</v>
      </c>
      <c r="Q812" s="191">
        <v>45426</v>
      </c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</row>
    <row r="813" spans="1:27">
      <c r="A813" s="154">
        <v>6</v>
      </c>
      <c r="B813" s="155" t="s">
        <v>1562</v>
      </c>
      <c r="C813" s="170">
        <v>45113</v>
      </c>
      <c r="D813" s="155" t="s">
        <v>440</v>
      </c>
      <c r="E813" s="149" t="s">
        <v>122</v>
      </c>
      <c r="F813" s="149" t="s">
        <v>441</v>
      </c>
      <c r="G813" s="149" t="s">
        <v>442</v>
      </c>
      <c r="H813" s="149" t="str">
        <f t="shared" si="5"/>
        <v>ANA RUIZ FORNELLS NOREÑA</v>
      </c>
      <c r="I813" s="149" t="s">
        <v>836</v>
      </c>
      <c r="J813" s="153" t="s">
        <v>444</v>
      </c>
      <c r="K813" s="149" t="s">
        <v>1616</v>
      </c>
      <c r="L813" s="168">
        <v>45457</v>
      </c>
      <c r="M813" s="149"/>
      <c r="N813" s="163">
        <v>2</v>
      </c>
      <c r="O813" s="149" t="s">
        <v>446</v>
      </c>
      <c r="P813" s="161">
        <v>3710</v>
      </c>
      <c r="Q813" s="191">
        <v>45113</v>
      </c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</row>
    <row r="814" spans="1:27">
      <c r="A814" s="154">
        <v>6</v>
      </c>
      <c r="B814" s="155" t="s">
        <v>1562</v>
      </c>
      <c r="C814" s="170"/>
      <c r="D814" s="155" t="s">
        <v>440</v>
      </c>
      <c r="E814" s="149" t="s">
        <v>315</v>
      </c>
      <c r="F814" s="149" t="s">
        <v>441</v>
      </c>
      <c r="G814" s="149" t="s">
        <v>442</v>
      </c>
      <c r="H814" s="149" t="str">
        <f t="shared" si="5"/>
        <v>HELENA MORENO PARDO</v>
      </c>
      <c r="I814" s="149" t="s">
        <v>1345</v>
      </c>
      <c r="J814" s="153" t="s">
        <v>444</v>
      </c>
      <c r="K814" s="149" t="s">
        <v>1617</v>
      </c>
      <c r="L814" s="157">
        <v>45457</v>
      </c>
      <c r="M814" s="164"/>
      <c r="N814" s="163">
        <v>2</v>
      </c>
      <c r="O814" s="165" t="s">
        <v>513</v>
      </c>
      <c r="P814" s="161">
        <v>4400</v>
      </c>
      <c r="Q814" s="162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</row>
    <row r="815" spans="1:27">
      <c r="A815" s="154">
        <v>6</v>
      </c>
      <c r="B815" s="155" t="s">
        <v>1562</v>
      </c>
      <c r="C815" s="170">
        <v>45432</v>
      </c>
      <c r="D815" s="155" t="s">
        <v>440</v>
      </c>
      <c r="E815" s="149" t="s">
        <v>563</v>
      </c>
      <c r="F815" s="149" t="s">
        <v>441</v>
      </c>
      <c r="G815" s="149" t="s">
        <v>442</v>
      </c>
      <c r="H815" s="149" t="str">
        <f t="shared" si="5"/>
        <v>MARÍA DEL MAR MARTÍNEZ RUIZ-COELLO</v>
      </c>
      <c r="I815" s="149" t="s">
        <v>1538</v>
      </c>
      <c r="J815" s="153" t="s">
        <v>444</v>
      </c>
      <c r="K815" s="149" t="s">
        <v>1618</v>
      </c>
      <c r="L815" s="157">
        <v>45457</v>
      </c>
      <c r="M815" s="164"/>
      <c r="N815" s="163">
        <v>2</v>
      </c>
      <c r="O815" s="165" t="s">
        <v>1540</v>
      </c>
      <c r="P815" s="161">
        <v>3800</v>
      </c>
      <c r="Q815" s="162">
        <v>45432</v>
      </c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</row>
    <row r="816" spans="1:27">
      <c r="A816" s="154">
        <v>6</v>
      </c>
      <c r="B816" s="155" t="s">
        <v>1562</v>
      </c>
      <c r="C816" s="170">
        <v>45421</v>
      </c>
      <c r="D816" s="155" t="s">
        <v>440</v>
      </c>
      <c r="E816" s="149" t="s">
        <v>109</v>
      </c>
      <c r="F816" s="149" t="s">
        <v>441</v>
      </c>
      <c r="G816" s="149" t="s">
        <v>442</v>
      </c>
      <c r="H816" s="149" t="str">
        <f t="shared" si="5"/>
        <v>MARTA MORATO GALÁN</v>
      </c>
      <c r="I816" s="149" t="s">
        <v>1619</v>
      </c>
      <c r="J816" s="149" t="s">
        <v>444</v>
      </c>
      <c r="K816" s="149" t="s">
        <v>1620</v>
      </c>
      <c r="L816" s="183">
        <v>45460</v>
      </c>
      <c r="M816" s="149"/>
      <c r="N816" s="163">
        <v>2</v>
      </c>
      <c r="O816" s="149" t="s">
        <v>446</v>
      </c>
      <c r="P816" s="161">
        <v>3710</v>
      </c>
      <c r="Q816" s="191">
        <v>45421</v>
      </c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</row>
    <row r="817" spans="1:27">
      <c r="A817" s="154">
        <v>6</v>
      </c>
      <c r="B817" s="155" t="s">
        <v>1562</v>
      </c>
      <c r="C817" s="170">
        <v>45406</v>
      </c>
      <c r="D817" s="155" t="s">
        <v>440</v>
      </c>
      <c r="E817" s="149" t="s">
        <v>271</v>
      </c>
      <c r="F817" s="149" t="s">
        <v>441</v>
      </c>
      <c r="G817" s="149" t="s">
        <v>442</v>
      </c>
      <c r="H817" s="149" t="str">
        <f t="shared" si="5"/>
        <v>ANTONIO BUENO RÍOS</v>
      </c>
      <c r="I817" s="149" t="s">
        <v>519</v>
      </c>
      <c r="J817" s="153" t="s">
        <v>548</v>
      </c>
      <c r="K817" s="149" t="s">
        <v>1621</v>
      </c>
      <c r="L817" s="157">
        <v>45460</v>
      </c>
      <c r="M817" s="158"/>
      <c r="N817" s="163">
        <v>2</v>
      </c>
      <c r="O817" s="165" t="s">
        <v>466</v>
      </c>
      <c r="P817" s="161">
        <v>3800</v>
      </c>
      <c r="Q817" s="162">
        <v>45406</v>
      </c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</row>
    <row r="818" spans="1:27">
      <c r="A818" s="154">
        <v>6</v>
      </c>
      <c r="B818" s="155" t="s">
        <v>1562</v>
      </c>
      <c r="C818" s="170">
        <v>45432</v>
      </c>
      <c r="D818" s="155" t="s">
        <v>440</v>
      </c>
      <c r="E818" s="149" t="s">
        <v>618</v>
      </c>
      <c r="F818" s="149" t="s">
        <v>441</v>
      </c>
      <c r="G818" s="149" t="s">
        <v>442</v>
      </c>
      <c r="H818" s="149" t="str">
        <f t="shared" si="5"/>
        <v>IGNACIO SIERRA ARBIDE</v>
      </c>
      <c r="I818" s="149" t="s">
        <v>888</v>
      </c>
      <c r="J818" s="149" t="s">
        <v>548</v>
      </c>
      <c r="K818" s="149" t="s">
        <v>1622</v>
      </c>
      <c r="L818" s="157">
        <v>45460</v>
      </c>
      <c r="M818" s="158"/>
      <c r="N818" s="163">
        <v>1</v>
      </c>
      <c r="O818" s="165" t="s">
        <v>466</v>
      </c>
      <c r="P818" s="161">
        <v>2400</v>
      </c>
      <c r="Q818" s="162">
        <v>45432</v>
      </c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</row>
    <row r="819" spans="1:27">
      <c r="A819" s="154">
        <v>6</v>
      </c>
      <c r="B819" s="155" t="s">
        <v>1562</v>
      </c>
      <c r="C819" s="170">
        <v>45405</v>
      </c>
      <c r="D819" s="155" t="s">
        <v>440</v>
      </c>
      <c r="E819" s="149" t="s">
        <v>98</v>
      </c>
      <c r="F819" s="149" t="s">
        <v>441</v>
      </c>
      <c r="G819" s="149" t="s">
        <v>442</v>
      </c>
      <c r="H819" s="149" t="str">
        <f t="shared" si="5"/>
        <v>ENRIQUE VIVIENTE RODRÍGUEZ</v>
      </c>
      <c r="I819" s="149" t="s">
        <v>844</v>
      </c>
      <c r="J819" s="153" t="s">
        <v>462</v>
      </c>
      <c r="K819" s="149" t="s">
        <v>1623</v>
      </c>
      <c r="L819" s="157">
        <v>45460</v>
      </c>
      <c r="M819" s="158"/>
      <c r="N819" s="163">
        <v>2</v>
      </c>
      <c r="O819" s="165" t="s">
        <v>466</v>
      </c>
      <c r="P819" s="161">
        <v>4000</v>
      </c>
      <c r="Q819" s="162">
        <v>45405</v>
      </c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</row>
    <row r="820" spans="1:27">
      <c r="A820" s="154">
        <v>6</v>
      </c>
      <c r="B820" s="155" t="s">
        <v>1562</v>
      </c>
      <c r="C820" s="170">
        <v>45425</v>
      </c>
      <c r="D820" s="155" t="s">
        <v>440</v>
      </c>
      <c r="E820" s="149" t="s">
        <v>129</v>
      </c>
      <c r="F820" s="149" t="s">
        <v>441</v>
      </c>
      <c r="G820" s="149" t="s">
        <v>442</v>
      </c>
      <c r="H820" s="149" t="str">
        <f t="shared" si="5"/>
        <v>MARÍA REY MARCOS</v>
      </c>
      <c r="I820" s="149" t="s">
        <v>678</v>
      </c>
      <c r="J820" s="149" t="s">
        <v>516</v>
      </c>
      <c r="K820" s="149" t="s">
        <v>1624</v>
      </c>
      <c r="L820" s="157">
        <v>45460</v>
      </c>
      <c r="M820" s="158"/>
      <c r="N820" s="163">
        <v>1</v>
      </c>
      <c r="O820" s="165" t="s">
        <v>466</v>
      </c>
      <c r="P820" s="161">
        <v>2400</v>
      </c>
      <c r="Q820" s="162">
        <v>45425</v>
      </c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</row>
    <row r="821" spans="1:27">
      <c r="A821" s="154">
        <v>6</v>
      </c>
      <c r="B821" s="155" t="s">
        <v>1562</v>
      </c>
      <c r="C821" s="156">
        <v>45415</v>
      </c>
      <c r="D821" s="155" t="s">
        <v>440</v>
      </c>
      <c r="E821" s="149" t="s">
        <v>318</v>
      </c>
      <c r="F821" s="149" t="s">
        <v>441</v>
      </c>
      <c r="G821" s="149" t="s">
        <v>442</v>
      </c>
      <c r="H821" s="149" t="str">
        <f t="shared" si="5"/>
        <v>MANUEL GÓMEZ FIÑANA</v>
      </c>
      <c r="I821" s="149" t="s">
        <v>1625</v>
      </c>
      <c r="J821" s="153" t="s">
        <v>462</v>
      </c>
      <c r="K821" s="149" t="s">
        <v>1626</v>
      </c>
      <c r="L821" s="183">
        <v>45461</v>
      </c>
      <c r="M821" s="153"/>
      <c r="N821" s="163">
        <v>2</v>
      </c>
      <c r="O821" s="149" t="s">
        <v>446</v>
      </c>
      <c r="P821" s="161">
        <v>3710</v>
      </c>
      <c r="Q821" s="184">
        <v>45415</v>
      </c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</row>
    <row r="822" spans="1:27">
      <c r="A822" s="154">
        <v>6</v>
      </c>
      <c r="B822" s="155" t="s">
        <v>1562</v>
      </c>
      <c r="C822" s="156">
        <v>45450</v>
      </c>
      <c r="D822" s="155" t="s">
        <v>440</v>
      </c>
      <c r="E822" s="149" t="s">
        <v>138</v>
      </c>
      <c r="F822" s="149" t="s">
        <v>441</v>
      </c>
      <c r="G822" s="149" t="s">
        <v>442</v>
      </c>
      <c r="H822" s="149" t="str">
        <f t="shared" si="5"/>
        <v>DOLORES ROMERO PANADRRO</v>
      </c>
      <c r="I822" s="149" t="s">
        <v>988</v>
      </c>
      <c r="J822" s="153" t="s">
        <v>532</v>
      </c>
      <c r="K822" s="149" t="s">
        <v>1627</v>
      </c>
      <c r="L822" s="183">
        <v>45461</v>
      </c>
      <c r="M822" s="153"/>
      <c r="N822" s="163">
        <v>1</v>
      </c>
      <c r="O822" s="149" t="s">
        <v>513</v>
      </c>
      <c r="P822" s="161">
        <v>2640</v>
      </c>
      <c r="Q822" s="185">
        <v>45450</v>
      </c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</row>
    <row r="823" spans="1:27">
      <c r="A823" s="154">
        <v>6</v>
      </c>
      <c r="B823" s="155" t="s">
        <v>1562</v>
      </c>
      <c r="C823" s="156">
        <v>45454</v>
      </c>
      <c r="D823" s="155" t="s">
        <v>440</v>
      </c>
      <c r="E823" s="149" t="s">
        <v>707</v>
      </c>
      <c r="F823" s="149" t="s">
        <v>441</v>
      </c>
      <c r="G823" s="149" t="s">
        <v>442</v>
      </c>
      <c r="H823" s="149" t="str">
        <f t="shared" si="5"/>
        <v>NO REUERDA ORL</v>
      </c>
      <c r="I823" s="149" t="s">
        <v>469</v>
      </c>
      <c r="J823" s="153" t="s">
        <v>462</v>
      </c>
      <c r="K823" s="149" t="s">
        <v>1628</v>
      </c>
      <c r="L823" s="183">
        <v>45461</v>
      </c>
      <c r="M823" s="153"/>
      <c r="N823" s="163">
        <v>1</v>
      </c>
      <c r="O823" s="149" t="s">
        <v>446</v>
      </c>
      <c r="P823" s="161">
        <v>1406.73</v>
      </c>
      <c r="Q823" s="184">
        <v>45454</v>
      </c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</row>
    <row r="824" spans="1:27">
      <c r="A824" s="154">
        <v>6</v>
      </c>
      <c r="B824" s="155" t="s">
        <v>1562</v>
      </c>
      <c r="C824" s="170">
        <v>45044</v>
      </c>
      <c r="D824" s="155" t="s">
        <v>440</v>
      </c>
      <c r="E824" s="149" t="s">
        <v>109</v>
      </c>
      <c r="F824" s="149" t="s">
        <v>441</v>
      </c>
      <c r="G824" s="149" t="s">
        <v>442</v>
      </c>
      <c r="H824" s="149" t="str">
        <f t="shared" si="5"/>
        <v>ANTONIO RODRÍGUEZ RIVERO</v>
      </c>
      <c r="I824" s="149" t="s">
        <v>443</v>
      </c>
      <c r="J824" s="153" t="s">
        <v>444</v>
      </c>
      <c r="K824" s="149" t="s">
        <v>1629</v>
      </c>
      <c r="L824" s="183">
        <v>45461</v>
      </c>
      <c r="M824" s="149"/>
      <c r="N824" s="163">
        <v>2</v>
      </c>
      <c r="O824" s="149" t="s">
        <v>513</v>
      </c>
      <c r="P824" s="161">
        <v>3694.19</v>
      </c>
      <c r="Q824" s="191">
        <v>45044</v>
      </c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</row>
    <row r="825" spans="1:27">
      <c r="A825" s="154">
        <v>6</v>
      </c>
      <c r="B825" s="155" t="s">
        <v>1562</v>
      </c>
      <c r="C825" s="170">
        <v>45443</v>
      </c>
      <c r="D825" s="155" t="s">
        <v>440</v>
      </c>
      <c r="E825" s="149" t="s">
        <v>501</v>
      </c>
      <c r="F825" s="149" t="s">
        <v>441</v>
      </c>
      <c r="G825" s="149" t="s">
        <v>442</v>
      </c>
      <c r="H825" s="149" t="str">
        <f t="shared" si="5"/>
        <v>ESTRELLA GÓMEZ TOMÉ</v>
      </c>
      <c r="I825" s="149" t="s">
        <v>1630</v>
      </c>
      <c r="J825" s="153" t="s">
        <v>548</v>
      </c>
      <c r="K825" s="149" t="s">
        <v>1631</v>
      </c>
      <c r="L825" s="157">
        <v>45461</v>
      </c>
      <c r="M825" s="158"/>
      <c r="N825" s="163">
        <v>2</v>
      </c>
      <c r="O825" s="165" t="s">
        <v>466</v>
      </c>
      <c r="P825" s="161">
        <v>4000</v>
      </c>
      <c r="Q825" s="162">
        <v>45443</v>
      </c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</row>
    <row r="826" spans="1:27">
      <c r="A826" s="154">
        <v>6</v>
      </c>
      <c r="B826" s="155" t="s">
        <v>1562</v>
      </c>
      <c r="C826" s="170"/>
      <c r="D826" s="155" t="s">
        <v>440</v>
      </c>
      <c r="E826" s="149" t="s">
        <v>315</v>
      </c>
      <c r="F826" s="149" t="s">
        <v>441</v>
      </c>
      <c r="G826" s="149" t="s">
        <v>442</v>
      </c>
      <c r="H826" s="149" t="str">
        <f t="shared" si="5"/>
        <v>JOSÉ GUSTAVO BARROSO BRAOJOS</v>
      </c>
      <c r="I826" s="149" t="s">
        <v>560</v>
      </c>
      <c r="J826" s="153" t="s">
        <v>444</v>
      </c>
      <c r="K826" s="149" t="s">
        <v>1632</v>
      </c>
      <c r="L826" s="157">
        <v>45461</v>
      </c>
      <c r="M826" s="158"/>
      <c r="N826" s="163">
        <v>2</v>
      </c>
      <c r="O826" s="165" t="s">
        <v>1540</v>
      </c>
      <c r="P826" s="161">
        <v>4000</v>
      </c>
      <c r="Q826" s="162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</row>
    <row r="827" spans="1:27">
      <c r="A827" s="154">
        <v>6</v>
      </c>
      <c r="B827" s="155" t="s">
        <v>1562</v>
      </c>
      <c r="C827" s="170">
        <v>45435</v>
      </c>
      <c r="D827" s="155" t="s">
        <v>440</v>
      </c>
      <c r="E827" s="149" t="s">
        <v>618</v>
      </c>
      <c r="F827" s="149" t="s">
        <v>441</v>
      </c>
      <c r="G827" s="149" t="s">
        <v>442</v>
      </c>
      <c r="H827" s="149" t="str">
        <f t="shared" si="5"/>
        <v>LAURA GARRIDO GARCÍA</v>
      </c>
      <c r="I827" s="149" t="s">
        <v>922</v>
      </c>
      <c r="J827" s="153" t="s">
        <v>444</v>
      </c>
      <c r="K827" s="149" t="s">
        <v>1633</v>
      </c>
      <c r="L827" s="157">
        <v>45461</v>
      </c>
      <c r="M827" s="164"/>
      <c r="N827" s="163">
        <v>2</v>
      </c>
      <c r="O827" s="165" t="s">
        <v>466</v>
      </c>
      <c r="P827" s="161">
        <v>4000</v>
      </c>
      <c r="Q827" s="162">
        <v>45435</v>
      </c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</row>
    <row r="828" spans="1:27">
      <c r="A828" s="154">
        <v>6</v>
      </c>
      <c r="B828" s="155" t="s">
        <v>1562</v>
      </c>
      <c r="C828" s="170">
        <v>45426</v>
      </c>
      <c r="D828" s="155" t="s">
        <v>440</v>
      </c>
      <c r="E828" s="149" t="s">
        <v>102</v>
      </c>
      <c r="F828" s="149" t="s">
        <v>441</v>
      </c>
      <c r="G828" s="149" t="s">
        <v>442</v>
      </c>
      <c r="H828" s="149" t="str">
        <f t="shared" si="5"/>
        <v>JOSÉ GARCÍA MORILLAS</v>
      </c>
      <c r="I828" s="149" t="s">
        <v>975</v>
      </c>
      <c r="J828" s="153" t="s">
        <v>462</v>
      </c>
      <c r="K828" s="149" t="s">
        <v>1634</v>
      </c>
      <c r="L828" s="157">
        <v>45461</v>
      </c>
      <c r="M828" s="158"/>
      <c r="N828" s="163">
        <v>2</v>
      </c>
      <c r="O828" s="165" t="s">
        <v>446</v>
      </c>
      <c r="P828" s="161">
        <v>3710</v>
      </c>
      <c r="Q828" s="162">
        <v>45426</v>
      </c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</row>
    <row r="829" spans="1:27">
      <c r="A829" s="154">
        <v>6</v>
      </c>
      <c r="B829" s="155" t="s">
        <v>1562</v>
      </c>
      <c r="C829" s="170">
        <v>45401</v>
      </c>
      <c r="D829" s="155" t="s">
        <v>440</v>
      </c>
      <c r="E829" s="149" t="s">
        <v>1635</v>
      </c>
      <c r="F829" s="149" t="s">
        <v>441</v>
      </c>
      <c r="G829" s="149" t="s">
        <v>442</v>
      </c>
      <c r="H829" s="149" t="str">
        <f t="shared" si="5"/>
        <v>NO REUERDA ORL</v>
      </c>
      <c r="I829" s="149" t="s">
        <v>469</v>
      </c>
      <c r="J829" s="153" t="s">
        <v>548</v>
      </c>
      <c r="K829" s="149" t="s">
        <v>1636</v>
      </c>
      <c r="L829" s="157">
        <v>45461</v>
      </c>
      <c r="M829" s="164"/>
      <c r="N829" s="163">
        <v>1</v>
      </c>
      <c r="O829" s="165" t="s">
        <v>513</v>
      </c>
      <c r="P829" s="161">
        <v>1909.09</v>
      </c>
      <c r="Q829" s="162">
        <v>45401</v>
      </c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</row>
    <row r="830" spans="1:27">
      <c r="A830" s="154">
        <v>6</v>
      </c>
      <c r="B830" s="155" t="s">
        <v>1562</v>
      </c>
      <c r="C830" s="170">
        <v>45436</v>
      </c>
      <c r="D830" s="155" t="s">
        <v>440</v>
      </c>
      <c r="E830" s="149" t="s">
        <v>951</v>
      </c>
      <c r="F830" s="149" t="s">
        <v>441</v>
      </c>
      <c r="G830" s="149" t="s">
        <v>442</v>
      </c>
      <c r="H830" s="149" t="str">
        <f t="shared" si="5"/>
        <v>GABRIEL MARTÍNEZ CAPOCCINI</v>
      </c>
      <c r="I830" s="149" t="s">
        <v>1058</v>
      </c>
      <c r="J830" s="153" t="s">
        <v>516</v>
      </c>
      <c r="K830" s="149" t="s">
        <v>1637</v>
      </c>
      <c r="L830" s="157">
        <v>45461</v>
      </c>
      <c r="M830" s="158"/>
      <c r="N830" s="163">
        <v>2</v>
      </c>
      <c r="O830" s="165" t="s">
        <v>449</v>
      </c>
      <c r="P830" s="161">
        <v>2888.18</v>
      </c>
      <c r="Q830" s="162">
        <v>45436</v>
      </c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</row>
    <row r="831" spans="1:27">
      <c r="A831" s="154">
        <v>6</v>
      </c>
      <c r="B831" s="155" t="s">
        <v>1562</v>
      </c>
      <c r="C831" s="170">
        <v>45448</v>
      </c>
      <c r="D831" s="166" t="s">
        <v>440</v>
      </c>
      <c r="E831" s="149" t="s">
        <v>525</v>
      </c>
      <c r="F831" s="149" t="s">
        <v>441</v>
      </c>
      <c r="G831" s="149" t="s">
        <v>442</v>
      </c>
      <c r="H831" s="149" t="str">
        <f t="shared" si="5"/>
        <v>DARÁ SÁNCHEZ RUIZ</v>
      </c>
      <c r="I831" s="149" t="s">
        <v>1638</v>
      </c>
      <c r="J831" s="149" t="s">
        <v>516</v>
      </c>
      <c r="K831" s="149" t="s">
        <v>1639</v>
      </c>
      <c r="L831" s="157">
        <v>45461</v>
      </c>
      <c r="M831" s="164"/>
      <c r="N831" s="163">
        <v>2</v>
      </c>
      <c r="O831" s="165" t="s">
        <v>446</v>
      </c>
      <c r="P831" s="161">
        <v>3436.36</v>
      </c>
      <c r="Q831" s="162">
        <v>45448</v>
      </c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</row>
    <row r="832" spans="1:27">
      <c r="A832" s="154">
        <v>6</v>
      </c>
      <c r="B832" s="155" t="s">
        <v>1562</v>
      </c>
      <c r="C832" s="170">
        <v>45439</v>
      </c>
      <c r="D832" s="155" t="s">
        <v>440</v>
      </c>
      <c r="E832" s="149" t="s">
        <v>525</v>
      </c>
      <c r="F832" s="149" t="s">
        <v>441</v>
      </c>
      <c r="G832" s="149" t="s">
        <v>442</v>
      </c>
      <c r="H832" s="149" t="str">
        <f t="shared" si="5"/>
        <v>DARÁ SÁNCHEZ RUIZ</v>
      </c>
      <c r="I832" s="149" t="s">
        <v>1638</v>
      </c>
      <c r="J832" s="159" t="s">
        <v>516</v>
      </c>
      <c r="K832" s="149" t="s">
        <v>1640</v>
      </c>
      <c r="L832" s="157">
        <v>45461</v>
      </c>
      <c r="M832" s="164"/>
      <c r="N832" s="163">
        <v>2</v>
      </c>
      <c r="O832" s="192" t="s">
        <v>446</v>
      </c>
      <c r="P832" s="161">
        <v>3634.62</v>
      </c>
      <c r="Q832" s="162">
        <v>45439</v>
      </c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</row>
    <row r="833" spans="1:27">
      <c r="A833" s="154">
        <v>6</v>
      </c>
      <c r="B833" s="155" t="s">
        <v>1562</v>
      </c>
      <c r="C833" s="156"/>
      <c r="D833" s="155" t="s">
        <v>440</v>
      </c>
      <c r="E833" s="149" t="s">
        <v>317</v>
      </c>
      <c r="F833" s="149" t="s">
        <v>441</v>
      </c>
      <c r="G833" s="149" t="s">
        <v>442</v>
      </c>
      <c r="H833" s="149" t="str">
        <f t="shared" si="5"/>
        <v>GUILLERMO SEVERÁ FERRANDIZ</v>
      </c>
      <c r="I833" s="149" t="s">
        <v>916</v>
      </c>
      <c r="J833" s="153" t="s">
        <v>462</v>
      </c>
      <c r="K833" s="149" t="s">
        <v>1641</v>
      </c>
      <c r="L833" s="157">
        <v>45462</v>
      </c>
      <c r="M833" s="153"/>
      <c r="N833" s="163">
        <v>2</v>
      </c>
      <c r="O833" s="149" t="s">
        <v>446</v>
      </c>
      <c r="P833" s="161">
        <v>3710</v>
      </c>
      <c r="Q833" s="184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</row>
    <row r="834" spans="1:27">
      <c r="A834" s="154">
        <v>6</v>
      </c>
      <c r="B834" s="155" t="s">
        <v>1562</v>
      </c>
      <c r="C834" s="170">
        <v>45446</v>
      </c>
      <c r="D834" s="155" t="s">
        <v>440</v>
      </c>
      <c r="E834" s="149" t="s">
        <v>109</v>
      </c>
      <c r="F834" s="149" t="s">
        <v>441</v>
      </c>
      <c r="G834" s="149" t="s">
        <v>442</v>
      </c>
      <c r="H834" s="149" t="str">
        <f t="shared" si="5"/>
        <v>ANTONIO RODRÍGUEZ RIVERO</v>
      </c>
      <c r="I834" s="149" t="s">
        <v>443</v>
      </c>
      <c r="J834" s="153" t="s">
        <v>444</v>
      </c>
      <c r="K834" s="149" t="s">
        <v>1642</v>
      </c>
      <c r="L834" s="183">
        <v>45462</v>
      </c>
      <c r="M834" s="149"/>
      <c r="N834" s="163">
        <v>2</v>
      </c>
      <c r="O834" s="149" t="s">
        <v>446</v>
      </c>
      <c r="P834" s="161">
        <v>3710</v>
      </c>
      <c r="Q834" s="191">
        <v>45446</v>
      </c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</row>
    <row r="835" spans="1:27">
      <c r="A835" s="154">
        <v>6</v>
      </c>
      <c r="B835" s="155" t="s">
        <v>1562</v>
      </c>
      <c r="C835" s="170">
        <v>45432</v>
      </c>
      <c r="D835" s="155" t="s">
        <v>440</v>
      </c>
      <c r="E835" s="149" t="s">
        <v>109</v>
      </c>
      <c r="F835" s="149" t="s">
        <v>441</v>
      </c>
      <c r="G835" s="149" t="s">
        <v>442</v>
      </c>
      <c r="H835" s="149" t="str">
        <f t="shared" si="5"/>
        <v>MARÍA GARROTE GARROTE</v>
      </c>
      <c r="I835" s="149" t="s">
        <v>447</v>
      </c>
      <c r="J835" s="153" t="s">
        <v>444</v>
      </c>
      <c r="K835" s="149" t="s">
        <v>1643</v>
      </c>
      <c r="L835" s="168">
        <v>45462</v>
      </c>
      <c r="M835" s="153"/>
      <c r="N835" s="163">
        <v>2</v>
      </c>
      <c r="O835" s="149" t="s">
        <v>449</v>
      </c>
      <c r="P835" s="161">
        <v>2888.18</v>
      </c>
      <c r="Q835" s="191">
        <v>45432</v>
      </c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</row>
    <row r="836" spans="1:27">
      <c r="A836" s="154">
        <v>6</v>
      </c>
      <c r="B836" s="155" t="s">
        <v>1562</v>
      </c>
      <c r="C836" s="170">
        <v>45448</v>
      </c>
      <c r="D836" s="155" t="s">
        <v>440</v>
      </c>
      <c r="E836" s="149" t="s">
        <v>315</v>
      </c>
      <c r="F836" s="149" t="s">
        <v>441</v>
      </c>
      <c r="G836" s="149" t="s">
        <v>442</v>
      </c>
      <c r="H836" s="149" t="str">
        <f t="shared" si="5"/>
        <v>JOSÉ GUSTAVO BARROSO BRAOJOS</v>
      </c>
      <c r="I836" s="149" t="s">
        <v>560</v>
      </c>
      <c r="J836" s="153" t="s">
        <v>444</v>
      </c>
      <c r="K836" s="149" t="s">
        <v>1644</v>
      </c>
      <c r="L836" s="157">
        <v>45462</v>
      </c>
      <c r="M836" s="158"/>
      <c r="N836" s="163">
        <v>2</v>
      </c>
      <c r="O836" s="165" t="s">
        <v>446</v>
      </c>
      <c r="P836" s="161">
        <v>3293.64</v>
      </c>
      <c r="Q836" s="162">
        <v>45448</v>
      </c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</row>
    <row r="837" spans="1:27">
      <c r="A837" s="154">
        <v>6</v>
      </c>
      <c r="B837" s="155" t="s">
        <v>1562</v>
      </c>
      <c r="C837" s="170">
        <v>45455</v>
      </c>
      <c r="D837" s="155" t="s">
        <v>440</v>
      </c>
      <c r="E837" s="149" t="s">
        <v>315</v>
      </c>
      <c r="F837" s="149" t="s">
        <v>441</v>
      </c>
      <c r="G837" s="149" t="s">
        <v>442</v>
      </c>
      <c r="H837" s="149" t="str">
        <f t="shared" si="5"/>
        <v>JOSÉ GUSTAVO BARROSO BRAOJOS</v>
      </c>
      <c r="I837" s="149" t="s">
        <v>560</v>
      </c>
      <c r="J837" s="153" t="s">
        <v>444</v>
      </c>
      <c r="K837" s="149" t="s">
        <v>1645</v>
      </c>
      <c r="L837" s="157">
        <v>45462</v>
      </c>
      <c r="M837" s="158"/>
      <c r="N837" s="163">
        <v>2</v>
      </c>
      <c r="O837" s="165" t="s">
        <v>446</v>
      </c>
      <c r="P837" s="161">
        <v>3710</v>
      </c>
      <c r="Q837" s="162">
        <v>45455</v>
      </c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</row>
    <row r="838" spans="1:27">
      <c r="A838" s="154">
        <v>6</v>
      </c>
      <c r="B838" s="155" t="s">
        <v>1562</v>
      </c>
      <c r="C838" s="170"/>
      <c r="D838" s="155" t="s">
        <v>440</v>
      </c>
      <c r="E838" s="149" t="s">
        <v>315</v>
      </c>
      <c r="F838" s="149" t="s">
        <v>441</v>
      </c>
      <c r="G838" s="149" t="s">
        <v>442</v>
      </c>
      <c r="H838" s="149" t="str">
        <f t="shared" si="5"/>
        <v>CARLOTA SEVIL SERRANO</v>
      </c>
      <c r="I838" s="149" t="s">
        <v>1174</v>
      </c>
      <c r="J838" s="153" t="s">
        <v>444</v>
      </c>
      <c r="K838" s="149" t="s">
        <v>1646</v>
      </c>
      <c r="L838" s="157">
        <v>45462</v>
      </c>
      <c r="M838" s="158"/>
      <c r="N838" s="163">
        <v>2</v>
      </c>
      <c r="O838" s="165" t="s">
        <v>446</v>
      </c>
      <c r="P838" s="161">
        <v>3710</v>
      </c>
      <c r="Q838" s="162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</row>
    <row r="839" spans="1:27">
      <c r="A839" s="154">
        <v>6</v>
      </c>
      <c r="B839" s="155" t="s">
        <v>1562</v>
      </c>
      <c r="C839" s="170"/>
      <c r="D839" s="155" t="s">
        <v>440</v>
      </c>
      <c r="E839" s="149" t="s">
        <v>315</v>
      </c>
      <c r="F839" s="149" t="s">
        <v>441</v>
      </c>
      <c r="G839" s="149" t="s">
        <v>442</v>
      </c>
      <c r="H839" s="149" t="str">
        <f t="shared" si="5"/>
        <v>HELENA MORENO PARDO</v>
      </c>
      <c r="I839" s="149" t="s">
        <v>1345</v>
      </c>
      <c r="J839" s="153" t="s">
        <v>444</v>
      </c>
      <c r="K839" s="149" t="s">
        <v>1647</v>
      </c>
      <c r="L839" s="157">
        <v>45462</v>
      </c>
      <c r="M839" s="158"/>
      <c r="N839" s="163">
        <v>2</v>
      </c>
      <c r="O839" s="165" t="s">
        <v>513</v>
      </c>
      <c r="P839" s="161">
        <v>4400</v>
      </c>
      <c r="Q839" s="162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</row>
    <row r="840" spans="1:27">
      <c r="A840" s="154">
        <v>6</v>
      </c>
      <c r="B840" s="155" t="s">
        <v>1562</v>
      </c>
      <c r="C840" s="170">
        <v>45411</v>
      </c>
      <c r="D840" s="155" t="s">
        <v>440</v>
      </c>
      <c r="E840" s="149" t="s">
        <v>618</v>
      </c>
      <c r="F840" s="149" t="s">
        <v>441</v>
      </c>
      <c r="G840" s="149" t="s">
        <v>442</v>
      </c>
      <c r="H840" s="149" t="str">
        <f t="shared" si="5"/>
        <v>Alejandro Harguindey Antoli-Candela</v>
      </c>
      <c r="I840" s="149" t="s">
        <v>528</v>
      </c>
      <c r="J840" s="153" t="s">
        <v>444</v>
      </c>
      <c r="K840" s="149" t="s">
        <v>1648</v>
      </c>
      <c r="L840" s="157">
        <v>45462</v>
      </c>
      <c r="M840" s="158"/>
      <c r="N840" s="163">
        <v>1</v>
      </c>
      <c r="O840" s="165" t="s">
        <v>466</v>
      </c>
      <c r="P840" s="161">
        <v>2399.88</v>
      </c>
      <c r="Q840" s="162">
        <v>45411</v>
      </c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</row>
    <row r="841" spans="1:27">
      <c r="A841" s="154">
        <v>6</v>
      </c>
      <c r="B841" s="155" t="s">
        <v>1562</v>
      </c>
      <c r="C841" s="170">
        <v>45436</v>
      </c>
      <c r="D841" s="155" t="s">
        <v>440</v>
      </c>
      <c r="E841" s="149" t="s">
        <v>314</v>
      </c>
      <c r="F841" s="149" t="s">
        <v>441</v>
      </c>
      <c r="G841" s="149" t="s">
        <v>442</v>
      </c>
      <c r="H841" s="149" t="str">
        <f t="shared" si="5"/>
        <v>SARA TANBOURA LÓPEZ</v>
      </c>
      <c r="I841" s="149" t="s">
        <v>1329</v>
      </c>
      <c r="J841" s="153" t="s">
        <v>444</v>
      </c>
      <c r="K841" s="149" t="s">
        <v>1649</v>
      </c>
      <c r="L841" s="157">
        <v>45462</v>
      </c>
      <c r="M841" s="158"/>
      <c r="N841" s="163">
        <v>2</v>
      </c>
      <c r="O841" s="165" t="s">
        <v>466</v>
      </c>
      <c r="P841" s="161">
        <v>3800</v>
      </c>
      <c r="Q841" s="162">
        <v>45436</v>
      </c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</row>
    <row r="842" spans="1:27">
      <c r="A842" s="154">
        <v>6</v>
      </c>
      <c r="B842" s="155" t="s">
        <v>1562</v>
      </c>
      <c r="C842" s="170">
        <v>44980</v>
      </c>
      <c r="D842" s="155" t="s">
        <v>440</v>
      </c>
      <c r="E842" s="149" t="s">
        <v>98</v>
      </c>
      <c r="F842" s="149" t="s">
        <v>441</v>
      </c>
      <c r="G842" s="149" t="s">
        <v>442</v>
      </c>
      <c r="H842" s="149" t="str">
        <f t="shared" si="5"/>
        <v>JESÚS MIGUEL INIESTA TURPÍN</v>
      </c>
      <c r="I842" s="149" t="s">
        <v>594</v>
      </c>
      <c r="J842" s="153" t="s">
        <v>462</v>
      </c>
      <c r="K842" s="149" t="s">
        <v>1650</v>
      </c>
      <c r="L842" s="157">
        <v>45462</v>
      </c>
      <c r="M842" s="164"/>
      <c r="N842" s="163">
        <v>2</v>
      </c>
      <c r="O842" s="165" t="s">
        <v>449</v>
      </c>
      <c r="P842" s="161">
        <v>2641.82</v>
      </c>
      <c r="Q842" s="162">
        <v>44980</v>
      </c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</row>
    <row r="843" spans="1:27">
      <c r="A843" s="154">
        <v>6</v>
      </c>
      <c r="B843" s="155" t="s">
        <v>1562</v>
      </c>
      <c r="C843" s="170">
        <v>45427</v>
      </c>
      <c r="D843" s="155" t="s">
        <v>440</v>
      </c>
      <c r="E843" s="149" t="s">
        <v>129</v>
      </c>
      <c r="F843" s="149" t="s">
        <v>441</v>
      </c>
      <c r="G843" s="149" t="s">
        <v>442</v>
      </c>
      <c r="H843" s="149" t="str">
        <f t="shared" si="5"/>
        <v>MOHAMED AL RIFAL AL MASTI</v>
      </c>
      <c r="I843" s="149" t="s">
        <v>995</v>
      </c>
      <c r="J843" s="153" t="s">
        <v>516</v>
      </c>
      <c r="K843" s="149" t="s">
        <v>1651</v>
      </c>
      <c r="L843" s="157">
        <v>45462</v>
      </c>
      <c r="M843" s="164"/>
      <c r="N843" s="163">
        <v>1</v>
      </c>
      <c r="O843" s="165" t="s">
        <v>446</v>
      </c>
      <c r="P843" s="161">
        <v>2226.36</v>
      </c>
      <c r="Q843" s="162">
        <v>45427</v>
      </c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</row>
    <row r="844" spans="1:27">
      <c r="A844" s="154">
        <v>6</v>
      </c>
      <c r="B844" s="155" t="s">
        <v>1562</v>
      </c>
      <c r="C844" s="170">
        <v>45420</v>
      </c>
      <c r="D844" s="155" t="s">
        <v>440</v>
      </c>
      <c r="E844" s="149" t="s">
        <v>485</v>
      </c>
      <c r="F844" s="149" t="s">
        <v>441</v>
      </c>
      <c r="G844" s="149" t="s">
        <v>442</v>
      </c>
      <c r="H844" s="149" t="str">
        <f t="shared" si="5"/>
        <v>JUAN LOSADA CAMPA</v>
      </c>
      <c r="I844" s="193" t="s">
        <v>1652</v>
      </c>
      <c r="J844" s="159" t="s">
        <v>473</v>
      </c>
      <c r="K844" s="149" t="s">
        <v>1653</v>
      </c>
      <c r="L844" s="157">
        <v>45462</v>
      </c>
      <c r="M844" s="164"/>
      <c r="N844" s="163">
        <v>2</v>
      </c>
      <c r="O844" s="165" t="s">
        <v>466</v>
      </c>
      <c r="P844" s="161">
        <v>3886.36</v>
      </c>
      <c r="Q844" s="162">
        <v>45420</v>
      </c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</row>
    <row r="845" spans="1:27">
      <c r="A845" s="154">
        <v>6</v>
      </c>
      <c r="B845" s="155" t="s">
        <v>1562</v>
      </c>
      <c r="C845" s="170">
        <v>45432</v>
      </c>
      <c r="D845" s="155" t="s">
        <v>440</v>
      </c>
      <c r="E845" s="149" t="s">
        <v>525</v>
      </c>
      <c r="F845" s="149" t="s">
        <v>441</v>
      </c>
      <c r="G845" s="153" t="s">
        <v>442</v>
      </c>
      <c r="H845" s="149" t="str">
        <f t="shared" si="5"/>
        <v>GUADALUPE SEQUEIROS SANTIAGO</v>
      </c>
      <c r="I845" s="149" t="s">
        <v>1654</v>
      </c>
      <c r="J845" s="159" t="s">
        <v>516</v>
      </c>
      <c r="K845" s="149" t="s">
        <v>1655</v>
      </c>
      <c r="L845" s="168">
        <v>45462</v>
      </c>
      <c r="M845" s="164"/>
      <c r="N845" s="163">
        <v>2</v>
      </c>
      <c r="O845" s="165" t="s">
        <v>446</v>
      </c>
      <c r="P845" s="161">
        <v>1636.36</v>
      </c>
      <c r="Q845" s="162">
        <v>45432</v>
      </c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</row>
    <row r="846" spans="1:27">
      <c r="A846" s="154">
        <v>6</v>
      </c>
      <c r="B846" s="155" t="s">
        <v>1562</v>
      </c>
      <c r="C846" s="156"/>
      <c r="D846" s="155" t="s">
        <v>440</v>
      </c>
      <c r="E846" s="149" t="s">
        <v>138</v>
      </c>
      <c r="F846" s="149" t="s">
        <v>441</v>
      </c>
      <c r="G846" s="149" t="s">
        <v>442</v>
      </c>
      <c r="H846" s="149" t="str">
        <f t="shared" si="5"/>
        <v>OLGA FERRER ANDINO</v>
      </c>
      <c r="I846" s="149" t="s">
        <v>1585</v>
      </c>
      <c r="J846" s="153" t="s">
        <v>532</v>
      </c>
      <c r="K846" s="149" t="s">
        <v>1656</v>
      </c>
      <c r="L846" s="157">
        <v>45463</v>
      </c>
      <c r="M846" s="153"/>
      <c r="N846" s="163">
        <v>2</v>
      </c>
      <c r="O846" s="149" t="s">
        <v>1540</v>
      </c>
      <c r="P846" s="161">
        <v>3454.55</v>
      </c>
      <c r="Q846" s="184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</row>
    <row r="847" spans="1:27">
      <c r="A847" s="154">
        <v>6</v>
      </c>
      <c r="B847" s="155" t="s">
        <v>1562</v>
      </c>
      <c r="C847" s="156">
        <v>45434</v>
      </c>
      <c r="D847" s="155" t="s">
        <v>440</v>
      </c>
      <c r="E847" s="149" t="s">
        <v>546</v>
      </c>
      <c r="F847" s="149" t="s">
        <v>441</v>
      </c>
      <c r="G847" s="149" t="s">
        <v>442</v>
      </c>
      <c r="H847" s="149" t="str">
        <f t="shared" si="5"/>
        <v>JAVIER GARCÍA GÓMEZ</v>
      </c>
      <c r="I847" s="149" t="s">
        <v>946</v>
      </c>
      <c r="J847" s="153" t="s">
        <v>548</v>
      </c>
      <c r="K847" s="149" t="s">
        <v>1657</v>
      </c>
      <c r="L847" s="183">
        <v>45463</v>
      </c>
      <c r="M847" s="149"/>
      <c r="N847" s="163">
        <v>2</v>
      </c>
      <c r="O847" s="149" t="s">
        <v>513</v>
      </c>
      <c r="P847" s="161">
        <v>3954.55</v>
      </c>
      <c r="Q847" s="185">
        <v>45434</v>
      </c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</row>
    <row r="848" spans="1:27">
      <c r="A848" s="154">
        <v>6</v>
      </c>
      <c r="B848" s="155" t="s">
        <v>1562</v>
      </c>
      <c r="C848" s="170">
        <v>45426</v>
      </c>
      <c r="D848" s="155" t="s">
        <v>440</v>
      </c>
      <c r="E848" s="149" t="s">
        <v>501</v>
      </c>
      <c r="F848" s="149" t="s">
        <v>441</v>
      </c>
      <c r="G848" s="149" t="s">
        <v>442</v>
      </c>
      <c r="H848" s="149" t="str">
        <f t="shared" si="5"/>
        <v>FERNANDO SALAZAR BARCELONA</v>
      </c>
      <c r="I848" s="149" t="s">
        <v>502</v>
      </c>
      <c r="J848" s="153" t="s">
        <v>548</v>
      </c>
      <c r="K848" s="149" t="s">
        <v>1658</v>
      </c>
      <c r="L848" s="183">
        <v>45463</v>
      </c>
      <c r="M848" s="149"/>
      <c r="N848" s="163">
        <v>1</v>
      </c>
      <c r="O848" s="149" t="s">
        <v>466</v>
      </c>
      <c r="P848" s="161">
        <v>1818.18</v>
      </c>
      <c r="Q848" s="191">
        <v>45426</v>
      </c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</row>
    <row r="849" spans="1:27">
      <c r="A849" s="154">
        <v>6</v>
      </c>
      <c r="B849" s="155" t="s">
        <v>1562</v>
      </c>
      <c r="C849" s="170"/>
      <c r="D849" s="155" t="s">
        <v>440</v>
      </c>
      <c r="E849" s="149" t="s">
        <v>315</v>
      </c>
      <c r="F849" s="149" t="s">
        <v>441</v>
      </c>
      <c r="G849" s="149" t="s">
        <v>442</v>
      </c>
      <c r="H849" s="149" t="str">
        <f t="shared" si="5"/>
        <v>JOSÉ GUSTAVO BARROSO BRAOJOS</v>
      </c>
      <c r="I849" s="149" t="s">
        <v>560</v>
      </c>
      <c r="J849" s="153" t="s">
        <v>444</v>
      </c>
      <c r="K849" s="149" t="s">
        <v>1659</v>
      </c>
      <c r="L849" s="157">
        <v>45463</v>
      </c>
      <c r="M849" s="158"/>
      <c r="N849" s="163">
        <v>2</v>
      </c>
      <c r="O849" s="165" t="s">
        <v>446</v>
      </c>
      <c r="P849" s="161">
        <v>3709.62</v>
      </c>
      <c r="Q849" s="162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</row>
    <row r="850" spans="1:27">
      <c r="A850" s="154">
        <v>6</v>
      </c>
      <c r="B850" s="155" t="s">
        <v>1562</v>
      </c>
      <c r="C850" s="170">
        <v>45440</v>
      </c>
      <c r="D850" s="155" t="s">
        <v>440</v>
      </c>
      <c r="E850" s="149" t="s">
        <v>271</v>
      </c>
      <c r="F850" s="149" t="s">
        <v>441</v>
      </c>
      <c r="G850" s="149" t="s">
        <v>442</v>
      </c>
      <c r="H850" s="149" t="str">
        <f t="shared" si="5"/>
        <v>ANTONIO BUENO RÍOS</v>
      </c>
      <c r="I850" s="149" t="s">
        <v>519</v>
      </c>
      <c r="J850" s="153" t="s">
        <v>548</v>
      </c>
      <c r="K850" s="149" t="s">
        <v>1660</v>
      </c>
      <c r="L850" s="157">
        <v>45463</v>
      </c>
      <c r="M850" s="158"/>
      <c r="N850" s="163">
        <v>1</v>
      </c>
      <c r="O850" s="165" t="s">
        <v>466</v>
      </c>
      <c r="P850" s="161">
        <v>2400</v>
      </c>
      <c r="Q850" s="162">
        <v>45440</v>
      </c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</row>
    <row r="851" spans="1:27">
      <c r="A851" s="154">
        <v>6</v>
      </c>
      <c r="B851" s="155" t="s">
        <v>1562</v>
      </c>
      <c r="C851" s="170"/>
      <c r="D851" s="155" t="s">
        <v>440</v>
      </c>
      <c r="E851" s="149" t="s">
        <v>98</v>
      </c>
      <c r="F851" s="149" t="s">
        <v>441</v>
      </c>
      <c r="G851" s="149" t="s">
        <v>442</v>
      </c>
      <c r="H851" s="149" t="str">
        <f t="shared" si="5"/>
        <v>AIDA AVIÑOA ARIAS</v>
      </c>
      <c r="I851" s="149" t="s">
        <v>1024</v>
      </c>
      <c r="J851" s="153" t="s">
        <v>462</v>
      </c>
      <c r="K851" s="149" t="s">
        <v>1661</v>
      </c>
      <c r="L851" s="157">
        <v>45463</v>
      </c>
      <c r="M851" s="164"/>
      <c r="N851" s="163">
        <v>2</v>
      </c>
      <c r="O851" s="165" t="s">
        <v>449</v>
      </c>
      <c r="P851" s="161">
        <v>2888.18</v>
      </c>
      <c r="Q851" s="162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</row>
    <row r="852" spans="1:27">
      <c r="A852" s="154">
        <v>6</v>
      </c>
      <c r="B852" s="155" t="s">
        <v>1562</v>
      </c>
      <c r="C852" s="170">
        <v>45418</v>
      </c>
      <c r="D852" s="155" t="s">
        <v>440</v>
      </c>
      <c r="E852" s="149" t="s">
        <v>485</v>
      </c>
      <c r="F852" s="149" t="s">
        <v>441</v>
      </c>
      <c r="G852" s="149" t="s">
        <v>442</v>
      </c>
      <c r="H852" s="149" t="str">
        <f t="shared" si="5"/>
        <v>ANTONIA CARRANZA CALLEJA</v>
      </c>
      <c r="I852" s="149" t="s">
        <v>511</v>
      </c>
      <c r="J852" s="159" t="s">
        <v>473</v>
      </c>
      <c r="K852" s="149" t="s">
        <v>1662</v>
      </c>
      <c r="L852" s="157">
        <v>45463</v>
      </c>
      <c r="M852" s="164"/>
      <c r="N852" s="163">
        <v>2</v>
      </c>
      <c r="O852" s="174" t="s">
        <v>466</v>
      </c>
      <c r="P852" s="161">
        <v>3977.27</v>
      </c>
      <c r="Q852" s="162">
        <v>45418</v>
      </c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</row>
    <row r="853" spans="1:27">
      <c r="A853" s="154">
        <v>6</v>
      </c>
      <c r="B853" s="155" t="s">
        <v>1562</v>
      </c>
      <c r="C853" s="156">
        <v>45405</v>
      </c>
      <c r="D853" s="155" t="s">
        <v>440</v>
      </c>
      <c r="E853" s="149" t="s">
        <v>92</v>
      </c>
      <c r="F853" s="149" t="s">
        <v>441</v>
      </c>
      <c r="G853" s="149" t="s">
        <v>442</v>
      </c>
      <c r="H853" s="149" t="str">
        <f t="shared" si="5"/>
        <v>Alejandro Harguindey Antoli-Candela</v>
      </c>
      <c r="I853" s="149" t="s">
        <v>528</v>
      </c>
      <c r="J853" s="149" t="s">
        <v>444</v>
      </c>
      <c r="K853" s="149" t="s">
        <v>1663</v>
      </c>
      <c r="L853" s="183">
        <v>45464</v>
      </c>
      <c r="M853" s="149"/>
      <c r="N853" s="163">
        <v>2</v>
      </c>
      <c r="O853" s="149" t="s">
        <v>466</v>
      </c>
      <c r="P853" s="161">
        <v>4000</v>
      </c>
      <c r="Q853" s="185">
        <v>45405</v>
      </c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</row>
    <row r="854" spans="1:27">
      <c r="A854" s="154">
        <v>6</v>
      </c>
      <c r="B854" s="155" t="s">
        <v>1562</v>
      </c>
      <c r="C854" s="156">
        <v>45434</v>
      </c>
      <c r="D854" s="155" t="s">
        <v>440</v>
      </c>
      <c r="E854" s="149" t="s">
        <v>311</v>
      </c>
      <c r="F854" s="149" t="s">
        <v>441</v>
      </c>
      <c r="G854" s="149" t="s">
        <v>442</v>
      </c>
      <c r="H854" s="149" t="str">
        <f t="shared" si="5"/>
        <v>VICTORIA GARCÍA PECES</v>
      </c>
      <c r="I854" s="149" t="s">
        <v>488</v>
      </c>
      <c r="J854" s="153" t="s">
        <v>444</v>
      </c>
      <c r="K854" s="149" t="s">
        <v>1664</v>
      </c>
      <c r="L854" s="183">
        <v>45464</v>
      </c>
      <c r="M854" s="149"/>
      <c r="N854" s="163">
        <v>1</v>
      </c>
      <c r="O854" s="149" t="s">
        <v>446</v>
      </c>
      <c r="P854" s="161">
        <v>2226.36</v>
      </c>
      <c r="Q854" s="185">
        <v>45434</v>
      </c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</row>
    <row r="855" spans="1:27">
      <c r="A855" s="154">
        <v>6</v>
      </c>
      <c r="B855" s="155" t="s">
        <v>1562</v>
      </c>
      <c r="C855" s="156">
        <v>45392</v>
      </c>
      <c r="D855" s="155" t="s">
        <v>440</v>
      </c>
      <c r="E855" s="149" t="s">
        <v>311</v>
      </c>
      <c r="F855" s="149" t="s">
        <v>441</v>
      </c>
      <c r="G855" s="149" t="s">
        <v>442</v>
      </c>
      <c r="H855" s="149" t="str">
        <f t="shared" si="5"/>
        <v>VICTORIA GARCÍA PECES</v>
      </c>
      <c r="I855" s="149" t="s">
        <v>488</v>
      </c>
      <c r="J855" s="153" t="s">
        <v>444</v>
      </c>
      <c r="K855" s="149" t="s">
        <v>1665</v>
      </c>
      <c r="L855" s="183">
        <v>45464</v>
      </c>
      <c r="M855" s="153"/>
      <c r="N855" s="163">
        <v>1</v>
      </c>
      <c r="O855" s="149" t="s">
        <v>446</v>
      </c>
      <c r="P855" s="161">
        <v>2226.36</v>
      </c>
      <c r="Q855" s="185">
        <v>45392</v>
      </c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</row>
    <row r="856" spans="1:27">
      <c r="A856" s="154">
        <v>6</v>
      </c>
      <c r="B856" s="155" t="s">
        <v>1562</v>
      </c>
      <c r="C856" s="170">
        <v>45434</v>
      </c>
      <c r="D856" s="155" t="s">
        <v>440</v>
      </c>
      <c r="E856" s="149" t="s">
        <v>618</v>
      </c>
      <c r="F856" s="149" t="s">
        <v>441</v>
      </c>
      <c r="G856" s="149" t="s">
        <v>442</v>
      </c>
      <c r="H856" s="149" t="str">
        <f t="shared" si="5"/>
        <v>RICARDO GONZÁLEZ-ORUS</v>
      </c>
      <c r="I856" s="149" t="s">
        <v>1266</v>
      </c>
      <c r="J856" s="153" t="s">
        <v>444</v>
      </c>
      <c r="K856" s="149" t="s">
        <v>1666</v>
      </c>
      <c r="L856" s="157">
        <v>45464</v>
      </c>
      <c r="M856" s="158"/>
      <c r="N856" s="163">
        <v>2</v>
      </c>
      <c r="O856" s="165" t="s">
        <v>466</v>
      </c>
      <c r="P856" s="161">
        <v>4000</v>
      </c>
      <c r="Q856" s="162">
        <v>45434</v>
      </c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</row>
    <row r="857" spans="1:27">
      <c r="A857" s="154">
        <v>6</v>
      </c>
      <c r="B857" s="155" t="s">
        <v>1562</v>
      </c>
      <c r="C857" s="170">
        <v>45454</v>
      </c>
      <c r="D857" s="155" t="s">
        <v>440</v>
      </c>
      <c r="E857" s="149" t="s">
        <v>618</v>
      </c>
      <c r="F857" s="149" t="s">
        <v>441</v>
      </c>
      <c r="G857" s="149" t="s">
        <v>442</v>
      </c>
      <c r="H857" s="149" t="str">
        <f t="shared" si="5"/>
        <v>ENRIQUE MELCOM DIEZ</v>
      </c>
      <c r="I857" s="149" t="s">
        <v>628</v>
      </c>
      <c r="J857" s="153" t="s">
        <v>548</v>
      </c>
      <c r="K857" s="149" t="s">
        <v>1667</v>
      </c>
      <c r="L857" s="157">
        <v>45464</v>
      </c>
      <c r="M857" s="164"/>
      <c r="N857" s="163">
        <v>2</v>
      </c>
      <c r="O857" s="165" t="s">
        <v>446</v>
      </c>
      <c r="P857" s="161">
        <v>3710</v>
      </c>
      <c r="Q857" s="162">
        <v>45454</v>
      </c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</row>
    <row r="858" spans="1:27">
      <c r="A858" s="154">
        <v>6</v>
      </c>
      <c r="B858" s="155" t="s">
        <v>1562</v>
      </c>
      <c r="C858" s="170"/>
      <c r="D858" s="155" t="s">
        <v>440</v>
      </c>
      <c r="E858" s="149" t="s">
        <v>239</v>
      </c>
      <c r="F858" s="149" t="s">
        <v>441</v>
      </c>
      <c r="G858" s="149" t="s">
        <v>583</v>
      </c>
      <c r="H858" s="149" t="str">
        <f t="shared" si="5"/>
        <v>CRISTINA ALONSO GONZÁLEZ</v>
      </c>
      <c r="I858" s="149" t="s">
        <v>1668</v>
      </c>
      <c r="J858" s="153" t="s">
        <v>455</v>
      </c>
      <c r="K858" s="149" t="s">
        <v>1669</v>
      </c>
      <c r="L858" s="157">
        <v>45464</v>
      </c>
      <c r="M858" s="158"/>
      <c r="N858" s="163">
        <v>2</v>
      </c>
      <c r="O858" s="165" t="s">
        <v>513</v>
      </c>
      <c r="P858" s="161">
        <v>3190.27</v>
      </c>
      <c r="Q858" s="162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</row>
    <row r="859" spans="1:27">
      <c r="A859" s="154">
        <v>6</v>
      </c>
      <c r="B859" s="155" t="s">
        <v>1562</v>
      </c>
      <c r="C859" s="170">
        <v>45411</v>
      </c>
      <c r="D859" s="155" t="s">
        <v>440</v>
      </c>
      <c r="E859" s="149" t="s">
        <v>485</v>
      </c>
      <c r="F859" s="149" t="s">
        <v>441</v>
      </c>
      <c r="G859" s="149" t="s">
        <v>442</v>
      </c>
      <c r="H859" s="149" t="str">
        <f t="shared" si="5"/>
        <v>VICTORIA DUQUE HOLGUERA</v>
      </c>
      <c r="I859" s="149" t="s">
        <v>1670</v>
      </c>
      <c r="J859" s="159" t="s">
        <v>473</v>
      </c>
      <c r="K859" s="149" t="s">
        <v>1671</v>
      </c>
      <c r="L859" s="168">
        <v>45464</v>
      </c>
      <c r="M859" s="164"/>
      <c r="N859" s="163">
        <v>2</v>
      </c>
      <c r="O859" s="165" t="s">
        <v>446</v>
      </c>
      <c r="P859" s="161">
        <v>3522.73</v>
      </c>
      <c r="Q859" s="162">
        <v>45411</v>
      </c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</row>
    <row r="860" spans="1:27">
      <c r="A860" s="154">
        <v>6</v>
      </c>
      <c r="B860" s="155" t="s">
        <v>1562</v>
      </c>
      <c r="C860" s="156">
        <v>45434</v>
      </c>
      <c r="D860" s="155" t="s">
        <v>440</v>
      </c>
      <c r="E860" s="149" t="s">
        <v>1672</v>
      </c>
      <c r="F860" s="149" t="s">
        <v>441</v>
      </c>
      <c r="G860" s="149" t="s">
        <v>442</v>
      </c>
      <c r="H860" s="149" t="str">
        <f t="shared" si="5"/>
        <v>ISABEL VAAMONDE SANCHEZ ANDRADR</v>
      </c>
      <c r="I860" s="149" t="s">
        <v>1443</v>
      </c>
      <c r="J860" s="153" t="s">
        <v>516</v>
      </c>
      <c r="K860" s="149" t="s">
        <v>1673</v>
      </c>
      <c r="L860" s="168">
        <v>45467</v>
      </c>
      <c r="M860" s="153"/>
      <c r="N860" s="163">
        <v>2</v>
      </c>
      <c r="O860" s="149" t="s">
        <v>449</v>
      </c>
      <c r="P860" s="161">
        <v>2900</v>
      </c>
      <c r="Q860" s="184">
        <v>45434</v>
      </c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</row>
    <row r="861" spans="1:27">
      <c r="A861" s="154">
        <v>6</v>
      </c>
      <c r="B861" s="155" t="s">
        <v>1562</v>
      </c>
      <c r="C861" s="170">
        <v>45412</v>
      </c>
      <c r="D861" s="155" t="s">
        <v>440</v>
      </c>
      <c r="E861" s="149" t="s">
        <v>311</v>
      </c>
      <c r="F861" s="149" t="s">
        <v>441</v>
      </c>
      <c r="G861" s="149" t="s">
        <v>442</v>
      </c>
      <c r="H861" s="149" t="str">
        <f t="shared" si="5"/>
        <v>MARÍA TERESA HERRERA MERA</v>
      </c>
      <c r="I861" s="149" t="s">
        <v>564</v>
      </c>
      <c r="J861" s="153" t="s">
        <v>444</v>
      </c>
      <c r="K861" s="149" t="s">
        <v>1674</v>
      </c>
      <c r="L861" s="183">
        <v>45467</v>
      </c>
      <c r="M861" s="153"/>
      <c r="N861" s="163">
        <v>1</v>
      </c>
      <c r="O861" s="149" t="s">
        <v>466</v>
      </c>
      <c r="P861" s="161">
        <v>2400</v>
      </c>
      <c r="Q861" s="191">
        <v>45412</v>
      </c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</row>
    <row r="862" spans="1:27">
      <c r="A862" s="154">
        <v>6</v>
      </c>
      <c r="B862" s="155" t="s">
        <v>1562</v>
      </c>
      <c r="C862" s="170">
        <v>45442</v>
      </c>
      <c r="D862" s="155" t="s">
        <v>440</v>
      </c>
      <c r="E862" s="149" t="s">
        <v>109</v>
      </c>
      <c r="F862" s="149" t="s">
        <v>441</v>
      </c>
      <c r="G862" s="149" t="s">
        <v>442</v>
      </c>
      <c r="H862" s="149" t="str">
        <f t="shared" si="5"/>
        <v>ANTONIO RODRÍGUEZ RIVERO</v>
      </c>
      <c r="I862" s="149" t="s">
        <v>443</v>
      </c>
      <c r="J862" s="149" t="s">
        <v>444</v>
      </c>
      <c r="K862" s="149" t="s">
        <v>1675</v>
      </c>
      <c r="L862" s="183">
        <v>45467</v>
      </c>
      <c r="M862" s="149"/>
      <c r="N862" s="163">
        <v>2</v>
      </c>
      <c r="O862" s="149" t="s">
        <v>466</v>
      </c>
      <c r="P862" s="161">
        <v>3800</v>
      </c>
      <c r="Q862" s="189">
        <v>45442</v>
      </c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</row>
    <row r="863" spans="1:27">
      <c r="A863" s="154">
        <v>6</v>
      </c>
      <c r="B863" s="155" t="s">
        <v>1562</v>
      </c>
      <c r="C863" s="170">
        <v>45429</v>
      </c>
      <c r="D863" s="155" t="s">
        <v>440</v>
      </c>
      <c r="E863" s="149" t="s">
        <v>109</v>
      </c>
      <c r="F863" s="149" t="s">
        <v>441</v>
      </c>
      <c r="G863" s="149" t="s">
        <v>442</v>
      </c>
      <c r="H863" s="149" t="str">
        <f t="shared" si="5"/>
        <v>ANTONIO RODRÍGUEZ RIVERO</v>
      </c>
      <c r="I863" s="149" t="s">
        <v>443</v>
      </c>
      <c r="J863" s="153" t="s">
        <v>444</v>
      </c>
      <c r="K863" s="149" t="s">
        <v>1676</v>
      </c>
      <c r="L863" s="168">
        <v>45467</v>
      </c>
      <c r="M863" s="149"/>
      <c r="N863" s="163">
        <v>2</v>
      </c>
      <c r="O863" s="149" t="s">
        <v>446</v>
      </c>
      <c r="P863" s="161">
        <v>3709.83</v>
      </c>
      <c r="Q863" s="191">
        <v>45429</v>
      </c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</row>
    <row r="864" spans="1:27">
      <c r="A864" s="154">
        <v>6</v>
      </c>
      <c r="B864" s="155" t="s">
        <v>1562</v>
      </c>
      <c r="C864" s="170">
        <v>45429</v>
      </c>
      <c r="D864" s="155" t="s">
        <v>440</v>
      </c>
      <c r="E864" s="149" t="s">
        <v>109</v>
      </c>
      <c r="F864" s="149" t="s">
        <v>441</v>
      </c>
      <c r="G864" s="149" t="s">
        <v>442</v>
      </c>
      <c r="H864" s="149" t="str">
        <f t="shared" si="5"/>
        <v>ANTONIO RODRÍGUEZ RIVERO</v>
      </c>
      <c r="I864" s="149" t="s">
        <v>443</v>
      </c>
      <c r="J864" s="153" t="s">
        <v>444</v>
      </c>
      <c r="K864" s="149" t="s">
        <v>1677</v>
      </c>
      <c r="L864" s="168">
        <v>45467</v>
      </c>
      <c r="M864" s="149"/>
      <c r="N864" s="163">
        <v>2</v>
      </c>
      <c r="O864" s="149" t="s">
        <v>449</v>
      </c>
      <c r="P864" s="161">
        <v>2888.18</v>
      </c>
      <c r="Q864" s="191">
        <v>45429</v>
      </c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</row>
    <row r="865" spans="1:27">
      <c r="A865" s="154">
        <v>6</v>
      </c>
      <c r="B865" s="155" t="s">
        <v>1562</v>
      </c>
      <c r="C865" s="170"/>
      <c r="D865" s="155" t="s">
        <v>440</v>
      </c>
      <c r="E865" s="149" t="s">
        <v>158</v>
      </c>
      <c r="F865" s="149" t="s">
        <v>441</v>
      </c>
      <c r="G865" s="149" t="s">
        <v>441</v>
      </c>
      <c r="H865" s="149" t="str">
        <f t="shared" si="5"/>
        <v>GUILLERMO SAN JUAN DE LA MORETA</v>
      </c>
      <c r="I865" s="149" t="s">
        <v>826</v>
      </c>
      <c r="J865" s="149" t="s">
        <v>444</v>
      </c>
      <c r="K865" s="149" t="s">
        <v>1678</v>
      </c>
      <c r="L865" s="157">
        <v>45467</v>
      </c>
      <c r="M865" s="158"/>
      <c r="N865" s="163">
        <v>2</v>
      </c>
      <c r="O865" s="165" t="s">
        <v>446</v>
      </c>
      <c r="P865" s="161">
        <v>3524.5</v>
      </c>
      <c r="Q865" s="162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</row>
    <row r="866" spans="1:27">
      <c r="A866" s="154">
        <v>6</v>
      </c>
      <c r="B866" s="155" t="s">
        <v>1562</v>
      </c>
      <c r="C866" s="170"/>
      <c r="D866" s="155" t="s">
        <v>440</v>
      </c>
      <c r="E866" s="149" t="s">
        <v>158</v>
      </c>
      <c r="F866" s="149" t="s">
        <v>441</v>
      </c>
      <c r="G866" s="149" t="s">
        <v>441</v>
      </c>
      <c r="H866" s="149" t="str">
        <f t="shared" si="5"/>
        <v>ANTONIO RODRÍGUEZ RIVERO</v>
      </c>
      <c r="I866" s="149" t="s">
        <v>443</v>
      </c>
      <c r="J866" s="153" t="s">
        <v>444</v>
      </c>
      <c r="K866" s="149" t="s">
        <v>1679</v>
      </c>
      <c r="L866" s="157">
        <v>45467</v>
      </c>
      <c r="M866" s="158"/>
      <c r="N866" s="163">
        <v>2</v>
      </c>
      <c r="O866" s="165" t="s">
        <v>449</v>
      </c>
      <c r="P866" s="161">
        <v>2888.02</v>
      </c>
      <c r="Q866" s="162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</row>
    <row r="867" spans="1:27">
      <c r="A867" s="154">
        <v>6</v>
      </c>
      <c r="B867" s="155" t="s">
        <v>1562</v>
      </c>
      <c r="C867" s="170">
        <v>45436</v>
      </c>
      <c r="D867" s="155" t="s">
        <v>440</v>
      </c>
      <c r="E867" s="149" t="s">
        <v>309</v>
      </c>
      <c r="F867" s="149" t="s">
        <v>441</v>
      </c>
      <c r="G867" s="149" t="s">
        <v>442</v>
      </c>
      <c r="H867" s="149" t="str">
        <f t="shared" si="5"/>
        <v>JOAQUIN GUTIERREZ BARQUIN</v>
      </c>
      <c r="I867" s="149" t="s">
        <v>1680</v>
      </c>
      <c r="J867" s="153" t="s">
        <v>444</v>
      </c>
      <c r="K867" s="149" t="s">
        <v>1681</v>
      </c>
      <c r="L867" s="157">
        <v>45467</v>
      </c>
      <c r="M867" s="158"/>
      <c r="N867" s="163">
        <v>2</v>
      </c>
      <c r="O867" s="165" t="s">
        <v>449</v>
      </c>
      <c r="P867" s="161">
        <v>2888.18</v>
      </c>
      <c r="Q867" s="162">
        <v>45436</v>
      </c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</row>
    <row r="868" spans="1:27">
      <c r="A868" s="154">
        <v>6</v>
      </c>
      <c r="B868" s="155" t="s">
        <v>1562</v>
      </c>
      <c r="C868" s="170"/>
      <c r="D868" s="155" t="s">
        <v>440</v>
      </c>
      <c r="E868" s="149" t="s">
        <v>239</v>
      </c>
      <c r="F868" s="149" t="s">
        <v>441</v>
      </c>
      <c r="G868" s="149" t="s">
        <v>442</v>
      </c>
      <c r="H868" s="149" t="str">
        <f t="shared" si="5"/>
        <v>ENRIQUE GÓMEZ ALDAZ</v>
      </c>
      <c r="I868" s="149" t="s">
        <v>1682</v>
      </c>
      <c r="J868" s="153" t="s">
        <v>455</v>
      </c>
      <c r="K868" s="149" t="s">
        <v>1683</v>
      </c>
      <c r="L868" s="168">
        <v>45467</v>
      </c>
      <c r="M868" s="164"/>
      <c r="N868" s="163">
        <v>2</v>
      </c>
      <c r="O868" s="165" t="s">
        <v>513</v>
      </c>
      <c r="P868" s="161">
        <v>4400</v>
      </c>
      <c r="Q868" s="162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</row>
    <row r="869" spans="1:27">
      <c r="A869" s="154">
        <v>6</v>
      </c>
      <c r="B869" s="155" t="s">
        <v>1562</v>
      </c>
      <c r="C869" s="170">
        <v>45447</v>
      </c>
      <c r="D869" s="155" t="s">
        <v>440</v>
      </c>
      <c r="E869" s="149" t="s">
        <v>201</v>
      </c>
      <c r="F869" s="149" t="s">
        <v>441</v>
      </c>
      <c r="G869" s="149" t="s">
        <v>442</v>
      </c>
      <c r="H869" s="149" t="str">
        <f t="shared" si="5"/>
        <v>CARLOS FÉLIX ASENSIO NIETO</v>
      </c>
      <c r="I869" s="149" t="s">
        <v>1097</v>
      </c>
      <c r="J869" s="153" t="s">
        <v>548</v>
      </c>
      <c r="K869" s="149" t="s">
        <v>1684</v>
      </c>
      <c r="L869" s="168">
        <v>45467</v>
      </c>
      <c r="M869" s="158"/>
      <c r="N869" s="163">
        <v>2</v>
      </c>
      <c r="O869" s="165" t="s">
        <v>446</v>
      </c>
      <c r="P869" s="161">
        <v>3523.64</v>
      </c>
      <c r="Q869" s="162">
        <v>45447</v>
      </c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</row>
    <row r="870" spans="1:27">
      <c r="A870" s="154">
        <v>6</v>
      </c>
      <c r="B870" s="155" t="s">
        <v>1562</v>
      </c>
      <c r="C870" s="170">
        <v>45397</v>
      </c>
      <c r="D870" s="155" t="s">
        <v>440</v>
      </c>
      <c r="E870" s="149" t="s">
        <v>525</v>
      </c>
      <c r="F870" s="149" t="s">
        <v>441</v>
      </c>
      <c r="G870" s="149" t="s">
        <v>442</v>
      </c>
      <c r="H870" s="149" t="str">
        <f t="shared" si="5"/>
        <v>ADELA PÉREZ-CARO RÍOS</v>
      </c>
      <c r="I870" s="149" t="s">
        <v>895</v>
      </c>
      <c r="J870" s="159" t="s">
        <v>516</v>
      </c>
      <c r="K870" s="149" t="s">
        <v>1685</v>
      </c>
      <c r="L870" s="157">
        <v>45467</v>
      </c>
      <c r="M870" s="164"/>
      <c r="N870" s="163">
        <v>2</v>
      </c>
      <c r="O870" s="165" t="s">
        <v>446</v>
      </c>
      <c r="P870" s="161">
        <v>3363.64</v>
      </c>
      <c r="Q870" s="162">
        <v>45397</v>
      </c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</row>
    <row r="871" spans="1:27">
      <c r="A871" s="154">
        <v>6</v>
      </c>
      <c r="B871" s="155" t="s">
        <v>1562</v>
      </c>
      <c r="C871" s="156">
        <v>45407</v>
      </c>
      <c r="D871" s="155" t="s">
        <v>440</v>
      </c>
      <c r="E871" s="149" t="s">
        <v>460</v>
      </c>
      <c r="F871" s="149" t="s">
        <v>450</v>
      </c>
      <c r="G871" s="149" t="s">
        <v>451</v>
      </c>
      <c r="H871" s="149" t="str">
        <f t="shared" si="5"/>
        <v>GUILLERMO SEVERÁ FERRANDIZ</v>
      </c>
      <c r="I871" s="149" t="s">
        <v>916</v>
      </c>
      <c r="J871" s="153" t="s">
        <v>462</v>
      </c>
      <c r="K871" s="149" t="s">
        <v>1686</v>
      </c>
      <c r="L871" s="168">
        <v>45468</v>
      </c>
      <c r="M871" s="149"/>
      <c r="N871" s="163">
        <v>2</v>
      </c>
      <c r="O871" s="149" t="s">
        <v>466</v>
      </c>
      <c r="P871" s="161">
        <v>3800</v>
      </c>
      <c r="Q871" s="184">
        <v>45407</v>
      </c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</row>
    <row r="872" spans="1:27">
      <c r="A872" s="154">
        <v>6</v>
      </c>
      <c r="B872" s="155" t="s">
        <v>1562</v>
      </c>
      <c r="C872" s="156"/>
      <c r="D872" s="155" t="s">
        <v>440</v>
      </c>
      <c r="E872" s="149" t="s">
        <v>317</v>
      </c>
      <c r="F872" s="149" t="s">
        <v>441</v>
      </c>
      <c r="G872" s="149" t="s">
        <v>442</v>
      </c>
      <c r="H872" s="149" t="str">
        <f t="shared" si="5"/>
        <v>FRANCISCO PASTOR BEVIÁ</v>
      </c>
      <c r="I872" s="149" t="s">
        <v>464</v>
      </c>
      <c r="J872" s="153" t="s">
        <v>462</v>
      </c>
      <c r="K872" s="149" t="s">
        <v>1687</v>
      </c>
      <c r="L872" s="168">
        <v>45468</v>
      </c>
      <c r="M872" s="149"/>
      <c r="N872" s="163">
        <v>2</v>
      </c>
      <c r="O872" s="149" t="s">
        <v>449</v>
      </c>
      <c r="P872" s="161">
        <v>909.09</v>
      </c>
      <c r="Q872" s="185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</row>
    <row r="873" spans="1:27">
      <c r="A873" s="154">
        <v>6</v>
      </c>
      <c r="B873" s="155" t="s">
        <v>1562</v>
      </c>
      <c r="C873" s="156"/>
      <c r="D873" s="155" t="s">
        <v>440</v>
      </c>
      <c r="E873" s="149" t="s">
        <v>317</v>
      </c>
      <c r="F873" s="149" t="s">
        <v>441</v>
      </c>
      <c r="G873" s="149" t="s">
        <v>442</v>
      </c>
      <c r="H873" s="149" t="str">
        <f t="shared" si="5"/>
        <v>MARIA ROSARIO FERRANDIZ GARCÍA</v>
      </c>
      <c r="I873" s="149" t="s">
        <v>1100</v>
      </c>
      <c r="J873" s="153" t="s">
        <v>462</v>
      </c>
      <c r="K873" s="149" t="s">
        <v>1688</v>
      </c>
      <c r="L873" s="183">
        <v>45468</v>
      </c>
      <c r="M873" s="149"/>
      <c r="N873" s="163">
        <v>2</v>
      </c>
      <c r="O873" s="149" t="s">
        <v>513</v>
      </c>
      <c r="P873" s="161">
        <v>4336.3599999999997</v>
      </c>
      <c r="Q873" s="185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</row>
    <row r="874" spans="1:27">
      <c r="A874" s="154">
        <v>6</v>
      </c>
      <c r="B874" s="155" t="s">
        <v>1562</v>
      </c>
      <c r="C874" s="170">
        <v>45419</v>
      </c>
      <c r="D874" s="155" t="s">
        <v>440</v>
      </c>
      <c r="E874" s="149" t="s">
        <v>122</v>
      </c>
      <c r="F874" s="149" t="s">
        <v>441</v>
      </c>
      <c r="G874" s="149" t="s">
        <v>442</v>
      </c>
      <c r="H874" s="149" t="str">
        <f t="shared" si="5"/>
        <v>MAR LASSO DE LA VEGA ZAMORA</v>
      </c>
      <c r="I874" s="149" t="s">
        <v>909</v>
      </c>
      <c r="J874" s="153" t="s">
        <v>444</v>
      </c>
      <c r="K874" s="149" t="s">
        <v>1689</v>
      </c>
      <c r="L874" s="168">
        <v>45468</v>
      </c>
      <c r="M874" s="149"/>
      <c r="N874" s="163">
        <v>1</v>
      </c>
      <c r="O874" s="149" t="s">
        <v>1540</v>
      </c>
      <c r="P874" s="161">
        <v>2280</v>
      </c>
      <c r="Q874" s="191">
        <v>45419</v>
      </c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</row>
    <row r="875" spans="1:27">
      <c r="A875" s="154">
        <v>6</v>
      </c>
      <c r="B875" s="155" t="s">
        <v>1562</v>
      </c>
      <c r="C875" s="170">
        <v>45422</v>
      </c>
      <c r="D875" s="155" t="s">
        <v>440</v>
      </c>
      <c r="E875" s="149" t="s">
        <v>122</v>
      </c>
      <c r="F875" s="149" t="s">
        <v>441</v>
      </c>
      <c r="G875" s="149" t="s">
        <v>442</v>
      </c>
      <c r="H875" s="149" t="str">
        <f t="shared" si="5"/>
        <v>JESÚS RAMOS FERNÁNDEZ</v>
      </c>
      <c r="I875" s="149" t="s">
        <v>649</v>
      </c>
      <c r="J875" s="153" t="s">
        <v>444</v>
      </c>
      <c r="K875" s="149" t="s">
        <v>1690</v>
      </c>
      <c r="L875" s="168">
        <v>45468</v>
      </c>
      <c r="M875" s="153"/>
      <c r="N875" s="163">
        <v>2</v>
      </c>
      <c r="O875" s="149" t="s">
        <v>446</v>
      </c>
      <c r="P875" s="161">
        <v>3710</v>
      </c>
      <c r="Q875" s="191">
        <v>45422</v>
      </c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</row>
    <row r="876" spans="1:27">
      <c r="A876" s="154">
        <v>6</v>
      </c>
      <c r="B876" s="155" t="s">
        <v>1562</v>
      </c>
      <c r="C876" s="170">
        <v>45446</v>
      </c>
      <c r="D876" s="155" t="s">
        <v>440</v>
      </c>
      <c r="E876" s="149" t="s">
        <v>122</v>
      </c>
      <c r="F876" s="149" t="s">
        <v>441</v>
      </c>
      <c r="G876" s="149" t="s">
        <v>442</v>
      </c>
      <c r="H876" s="149" t="str">
        <f t="shared" si="5"/>
        <v>SERGIO Zaragoza GUIJO</v>
      </c>
      <c r="I876" s="149" t="s">
        <v>906</v>
      </c>
      <c r="J876" s="153" t="s">
        <v>444</v>
      </c>
      <c r="K876" s="149" t="s">
        <v>1691</v>
      </c>
      <c r="L876" s="183">
        <v>45468</v>
      </c>
      <c r="M876" s="149"/>
      <c r="N876" s="163">
        <v>2</v>
      </c>
      <c r="O876" s="149" t="s">
        <v>446</v>
      </c>
      <c r="P876" s="161">
        <v>3710</v>
      </c>
      <c r="Q876" s="191">
        <v>45446</v>
      </c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</row>
    <row r="877" spans="1:27">
      <c r="A877" s="154">
        <v>6</v>
      </c>
      <c r="B877" s="155" t="s">
        <v>1562</v>
      </c>
      <c r="C877" s="170">
        <v>45422</v>
      </c>
      <c r="D877" s="155" t="s">
        <v>440</v>
      </c>
      <c r="E877" s="149" t="s">
        <v>122</v>
      </c>
      <c r="F877" s="149" t="s">
        <v>441</v>
      </c>
      <c r="G877" s="149" t="s">
        <v>442</v>
      </c>
      <c r="H877" s="149" t="str">
        <f t="shared" si="5"/>
        <v>MAR LASSO DE LA VEGA ZAMORA</v>
      </c>
      <c r="I877" s="149" t="s">
        <v>909</v>
      </c>
      <c r="J877" s="153" t="s">
        <v>444</v>
      </c>
      <c r="K877" s="149" t="s">
        <v>1692</v>
      </c>
      <c r="L877" s="183">
        <v>45468</v>
      </c>
      <c r="M877" s="149"/>
      <c r="N877" s="163">
        <v>2</v>
      </c>
      <c r="O877" s="149" t="s">
        <v>1540</v>
      </c>
      <c r="P877" s="161">
        <v>4000</v>
      </c>
      <c r="Q877" s="189">
        <v>45422</v>
      </c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</row>
    <row r="878" spans="1:27">
      <c r="A878" s="154">
        <v>6</v>
      </c>
      <c r="B878" s="155" t="s">
        <v>1562</v>
      </c>
      <c r="C878" s="170">
        <v>45342</v>
      </c>
      <c r="D878" s="155" t="s">
        <v>440</v>
      </c>
      <c r="E878" s="149" t="s">
        <v>271</v>
      </c>
      <c r="F878" s="149" t="s">
        <v>441</v>
      </c>
      <c r="G878" s="149" t="s">
        <v>442</v>
      </c>
      <c r="H878" s="149" t="str">
        <f t="shared" si="5"/>
        <v>LUIS JIMÉNEZ FERRERES</v>
      </c>
      <c r="I878" s="149" t="s">
        <v>1693</v>
      </c>
      <c r="J878" s="153" t="s">
        <v>548</v>
      </c>
      <c r="K878" s="149" t="s">
        <v>1694</v>
      </c>
      <c r="L878" s="157">
        <v>45468</v>
      </c>
      <c r="M878" s="158"/>
      <c r="N878" s="163">
        <v>2</v>
      </c>
      <c r="O878" s="165" t="s">
        <v>449</v>
      </c>
      <c r="P878" s="161">
        <v>2641.87</v>
      </c>
      <c r="Q878" s="162">
        <v>45342</v>
      </c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</row>
    <row r="879" spans="1:27">
      <c r="A879" s="154">
        <v>6</v>
      </c>
      <c r="B879" s="155" t="s">
        <v>1562</v>
      </c>
      <c r="C879" s="170"/>
      <c r="D879" s="155" t="s">
        <v>440</v>
      </c>
      <c r="E879" s="149" t="s">
        <v>98</v>
      </c>
      <c r="F879" s="149" t="s">
        <v>441</v>
      </c>
      <c r="G879" s="149" t="s">
        <v>442</v>
      </c>
      <c r="H879" s="149" t="str">
        <f t="shared" si="5"/>
        <v>MARÍA AGUSTINA SEVILLA GARCÍA</v>
      </c>
      <c r="I879" s="149" t="s">
        <v>538</v>
      </c>
      <c r="J879" s="153" t="s">
        <v>462</v>
      </c>
      <c r="K879" s="149" t="s">
        <v>1695</v>
      </c>
      <c r="L879" s="157">
        <v>45468</v>
      </c>
      <c r="M879" s="164"/>
      <c r="N879" s="163">
        <v>1</v>
      </c>
      <c r="O879" s="165" t="s">
        <v>513</v>
      </c>
      <c r="P879" s="161">
        <v>2639.42</v>
      </c>
      <c r="Q879" s="162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</row>
    <row r="880" spans="1:27">
      <c r="A880" s="154">
        <v>6</v>
      </c>
      <c r="B880" s="155" t="s">
        <v>1562</v>
      </c>
      <c r="C880" s="170"/>
      <c r="D880" s="155" t="s">
        <v>440</v>
      </c>
      <c r="E880" s="149" t="s">
        <v>98</v>
      </c>
      <c r="F880" s="149" t="s">
        <v>441</v>
      </c>
      <c r="G880" s="149" t="s">
        <v>442</v>
      </c>
      <c r="H880" s="149" t="str">
        <f t="shared" si="5"/>
        <v>AIDA AVIÑOA ARIAS</v>
      </c>
      <c r="I880" s="149" t="s">
        <v>1024</v>
      </c>
      <c r="J880" s="153" t="s">
        <v>462</v>
      </c>
      <c r="K880" s="149" t="s">
        <v>1696</v>
      </c>
      <c r="L880" s="157">
        <v>45468</v>
      </c>
      <c r="M880" s="164"/>
      <c r="N880" s="163">
        <v>2</v>
      </c>
      <c r="O880" s="165" t="s">
        <v>1540</v>
      </c>
      <c r="P880" s="161">
        <v>2961.82</v>
      </c>
      <c r="Q880" s="162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</row>
    <row r="881" spans="1:27">
      <c r="A881" s="154">
        <v>6</v>
      </c>
      <c r="B881" s="155" t="s">
        <v>1562</v>
      </c>
      <c r="C881" s="170">
        <v>45384</v>
      </c>
      <c r="D881" s="155" t="s">
        <v>440</v>
      </c>
      <c r="E881" s="149" t="s">
        <v>102</v>
      </c>
      <c r="F881" s="149" t="s">
        <v>441</v>
      </c>
      <c r="G881" s="149" t="s">
        <v>442</v>
      </c>
      <c r="H881" s="149" t="str">
        <f t="shared" si="5"/>
        <v>MÓNICA RODRÍGUEZ</v>
      </c>
      <c r="I881" s="149" t="s">
        <v>897</v>
      </c>
      <c r="J881" s="153" t="s">
        <v>462</v>
      </c>
      <c r="K881" s="149" t="s">
        <v>1697</v>
      </c>
      <c r="L881" s="157">
        <v>45468</v>
      </c>
      <c r="M881" s="158"/>
      <c r="N881" s="163">
        <v>1</v>
      </c>
      <c r="O881" s="165" t="s">
        <v>449</v>
      </c>
      <c r="P881" s="161">
        <v>1550</v>
      </c>
      <c r="Q881" s="162">
        <v>45384</v>
      </c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</row>
    <row r="882" spans="1:27">
      <c r="A882" s="154">
        <v>6</v>
      </c>
      <c r="B882" s="155" t="s">
        <v>1562</v>
      </c>
      <c r="C882" s="170">
        <v>45358</v>
      </c>
      <c r="D882" s="166" t="s">
        <v>440</v>
      </c>
      <c r="E882" s="149" t="s">
        <v>506</v>
      </c>
      <c r="F882" s="149" t="s">
        <v>441</v>
      </c>
      <c r="G882" s="149" t="s">
        <v>442</v>
      </c>
      <c r="H882" s="149" t="str">
        <f t="shared" si="5"/>
        <v>MARÍA JESÚS CORNEJO DOMÍNGUEZ</v>
      </c>
      <c r="I882" s="149" t="s">
        <v>507</v>
      </c>
      <c r="J882" s="149" t="s">
        <v>473</v>
      </c>
      <c r="K882" s="149" t="s">
        <v>1698</v>
      </c>
      <c r="L882" s="157">
        <v>45468</v>
      </c>
      <c r="M882" s="158"/>
      <c r="N882" s="163">
        <v>2</v>
      </c>
      <c r="O882" s="165" t="s">
        <v>446</v>
      </c>
      <c r="P882" s="161">
        <v>3604.55</v>
      </c>
      <c r="Q882" s="162">
        <v>45358</v>
      </c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</row>
    <row r="883" spans="1:27">
      <c r="A883" s="154">
        <v>6</v>
      </c>
      <c r="B883" s="155" t="s">
        <v>1562</v>
      </c>
      <c r="C883" s="170">
        <v>45432</v>
      </c>
      <c r="D883" s="155" t="s">
        <v>440</v>
      </c>
      <c r="E883" s="149" t="s">
        <v>506</v>
      </c>
      <c r="F883" s="149" t="s">
        <v>441</v>
      </c>
      <c r="G883" s="149" t="s">
        <v>442</v>
      </c>
      <c r="H883" s="149" t="str">
        <f t="shared" si="5"/>
        <v>MARÍA JESÚS CORNEJO DOMÍNGUEZ</v>
      </c>
      <c r="I883" s="149" t="s">
        <v>507</v>
      </c>
      <c r="J883" s="153" t="s">
        <v>473</v>
      </c>
      <c r="K883" s="149" t="s">
        <v>1699</v>
      </c>
      <c r="L883" s="157">
        <v>45468</v>
      </c>
      <c r="M883" s="158"/>
      <c r="N883" s="163">
        <v>2</v>
      </c>
      <c r="O883" s="165" t="s">
        <v>446</v>
      </c>
      <c r="P883" s="161">
        <v>3604.55</v>
      </c>
      <c r="Q883" s="162">
        <v>45432</v>
      </c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</row>
    <row r="884" spans="1:27">
      <c r="A884" s="154">
        <v>6</v>
      </c>
      <c r="B884" s="155" t="s">
        <v>1562</v>
      </c>
      <c r="C884" s="170">
        <v>45426</v>
      </c>
      <c r="D884" s="155" t="s">
        <v>440</v>
      </c>
      <c r="E884" s="149" t="s">
        <v>506</v>
      </c>
      <c r="F884" s="149" t="s">
        <v>441</v>
      </c>
      <c r="G884" s="149" t="s">
        <v>442</v>
      </c>
      <c r="H884" s="149" t="str">
        <f t="shared" si="5"/>
        <v>LUIS MIGUEL RINCÓN ESTEBAN</v>
      </c>
      <c r="I884" s="149" t="s">
        <v>1033</v>
      </c>
      <c r="J884" s="149" t="s">
        <v>473</v>
      </c>
      <c r="K884" s="149" t="s">
        <v>1700</v>
      </c>
      <c r="L884" s="157">
        <v>45468</v>
      </c>
      <c r="M884" s="164"/>
      <c r="N884" s="163">
        <v>2</v>
      </c>
      <c r="O884" s="165" t="s">
        <v>449</v>
      </c>
      <c r="P884" s="161">
        <v>2780.91</v>
      </c>
      <c r="Q884" s="162">
        <v>45426</v>
      </c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</row>
    <row r="885" spans="1:27">
      <c r="A885" s="154">
        <v>6</v>
      </c>
      <c r="B885" s="155" t="s">
        <v>1562</v>
      </c>
      <c r="C885" s="170">
        <v>45428</v>
      </c>
      <c r="D885" s="155" t="s">
        <v>440</v>
      </c>
      <c r="E885" s="149" t="s">
        <v>506</v>
      </c>
      <c r="F885" s="149" t="s">
        <v>441</v>
      </c>
      <c r="G885" s="149" t="s">
        <v>442</v>
      </c>
      <c r="H885" s="149" t="str">
        <f t="shared" si="5"/>
        <v>MARÍA JESÚS CORNEJO DOMÍNGUEZ</v>
      </c>
      <c r="I885" s="149" t="s">
        <v>507</v>
      </c>
      <c r="J885" s="153" t="s">
        <v>473</v>
      </c>
      <c r="K885" s="149" t="s">
        <v>1701</v>
      </c>
      <c r="L885" s="157">
        <v>45468</v>
      </c>
      <c r="M885" s="158"/>
      <c r="N885" s="163">
        <v>2</v>
      </c>
      <c r="O885" s="165" t="s">
        <v>446</v>
      </c>
      <c r="P885" s="161">
        <v>3604.55</v>
      </c>
      <c r="Q885" s="162">
        <v>45428</v>
      </c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</row>
    <row r="886" spans="1:27">
      <c r="A886" s="154">
        <v>6</v>
      </c>
      <c r="B886" s="155" t="s">
        <v>1562</v>
      </c>
      <c r="C886" s="170">
        <v>45404</v>
      </c>
      <c r="D886" s="155" t="s">
        <v>440</v>
      </c>
      <c r="E886" s="149" t="s">
        <v>312</v>
      </c>
      <c r="F886" s="149" t="s">
        <v>441</v>
      </c>
      <c r="G886" s="149" t="s">
        <v>442</v>
      </c>
      <c r="H886" s="149" t="str">
        <f t="shared" si="5"/>
        <v>JOSEFA OLMEDO MARTÍNEZ</v>
      </c>
      <c r="I886" s="149" t="s">
        <v>970</v>
      </c>
      <c r="J886" s="159" t="s">
        <v>455</v>
      </c>
      <c r="K886" s="149" t="s">
        <v>1702</v>
      </c>
      <c r="L886" s="157">
        <v>45468</v>
      </c>
      <c r="M886" s="164"/>
      <c r="N886" s="163">
        <v>2</v>
      </c>
      <c r="O886" s="165" t="s">
        <v>446</v>
      </c>
      <c r="P886" s="161">
        <v>3710</v>
      </c>
      <c r="Q886" s="162">
        <v>45404</v>
      </c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</row>
    <row r="887" spans="1:27">
      <c r="A887" s="154">
        <v>6</v>
      </c>
      <c r="B887" s="155" t="s">
        <v>1562</v>
      </c>
      <c r="C887" s="170">
        <v>45468</v>
      </c>
      <c r="D887" s="155" t="s">
        <v>440</v>
      </c>
      <c r="E887" s="149" t="s">
        <v>1703</v>
      </c>
      <c r="F887" s="149" t="s">
        <v>60</v>
      </c>
      <c r="G887" s="149" t="s">
        <v>442</v>
      </c>
      <c r="H887" s="149" t="str">
        <f t="shared" si="5"/>
        <v>ESTEFANÍA LOZANO REINA</v>
      </c>
      <c r="I887" s="149" t="s">
        <v>1492</v>
      </c>
      <c r="J887" s="153" t="s">
        <v>455</v>
      </c>
      <c r="K887" s="149" t="s">
        <v>1704</v>
      </c>
      <c r="L887" s="157">
        <v>45468</v>
      </c>
      <c r="M887" s="164"/>
      <c r="N887" s="163">
        <v>2</v>
      </c>
      <c r="O887" s="165" t="s">
        <v>1705</v>
      </c>
      <c r="P887" s="161">
        <v>3084.05</v>
      </c>
      <c r="Q887" s="162">
        <v>45468</v>
      </c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</row>
    <row r="888" spans="1:27">
      <c r="A888" s="154">
        <v>6</v>
      </c>
      <c r="B888" s="155" t="s">
        <v>1562</v>
      </c>
      <c r="C888" s="170"/>
      <c r="D888" s="155" t="s">
        <v>440</v>
      </c>
      <c r="E888" s="149" t="s">
        <v>239</v>
      </c>
      <c r="F888" s="149" t="s">
        <v>441</v>
      </c>
      <c r="G888" s="149" t="s">
        <v>442</v>
      </c>
      <c r="H888" s="149" t="str">
        <f t="shared" si="5"/>
        <v>FRANCISCO ALÉS CONEJO</v>
      </c>
      <c r="I888" s="149" t="s">
        <v>997</v>
      </c>
      <c r="J888" s="153" t="s">
        <v>455</v>
      </c>
      <c r="K888" s="149" t="s">
        <v>1706</v>
      </c>
      <c r="L888" s="168">
        <v>45468</v>
      </c>
      <c r="M888" s="158"/>
      <c r="N888" s="163">
        <v>2</v>
      </c>
      <c r="O888" s="165" t="s">
        <v>1540</v>
      </c>
      <c r="P888" s="161">
        <v>4000</v>
      </c>
      <c r="Q888" s="162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</row>
    <row r="889" spans="1:27">
      <c r="A889" s="154">
        <v>6</v>
      </c>
      <c r="B889" s="155" t="s">
        <v>1562</v>
      </c>
      <c r="C889" s="170"/>
      <c r="D889" s="155" t="s">
        <v>440</v>
      </c>
      <c r="E889" s="149" t="s">
        <v>201</v>
      </c>
      <c r="F889" s="149" t="s">
        <v>441</v>
      </c>
      <c r="G889" s="149" t="s">
        <v>442</v>
      </c>
      <c r="H889" s="149" t="str">
        <f t="shared" si="5"/>
        <v>CARLOS FÉLIX ASENSIO NIETO</v>
      </c>
      <c r="I889" s="149" t="s">
        <v>1097</v>
      </c>
      <c r="J889" s="153" t="s">
        <v>548</v>
      </c>
      <c r="K889" s="149" t="s">
        <v>1707</v>
      </c>
      <c r="L889" s="157">
        <v>45468</v>
      </c>
      <c r="M889" s="164"/>
      <c r="N889" s="163">
        <v>2</v>
      </c>
      <c r="O889" s="165" t="s">
        <v>446</v>
      </c>
      <c r="P889" s="161">
        <v>3710</v>
      </c>
      <c r="Q889" s="162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</row>
    <row r="890" spans="1:27">
      <c r="A890" s="154">
        <v>6</v>
      </c>
      <c r="B890" s="155" t="s">
        <v>1562</v>
      </c>
      <c r="C890" s="156"/>
      <c r="D890" s="155" t="s">
        <v>440</v>
      </c>
      <c r="E890" s="149" t="s">
        <v>317</v>
      </c>
      <c r="F890" s="149" t="s">
        <v>441</v>
      </c>
      <c r="G890" s="149" t="s">
        <v>442</v>
      </c>
      <c r="H890" s="149" t="str">
        <f t="shared" si="5"/>
        <v>MARIA ROSARIO FERRANDIZ GARCÍA</v>
      </c>
      <c r="I890" s="149" t="s">
        <v>1100</v>
      </c>
      <c r="J890" s="153" t="s">
        <v>462</v>
      </c>
      <c r="K890" s="149" t="s">
        <v>1708</v>
      </c>
      <c r="L890" s="183">
        <v>45469</v>
      </c>
      <c r="M890" s="149"/>
      <c r="N890" s="163">
        <v>2</v>
      </c>
      <c r="O890" s="149" t="s">
        <v>449</v>
      </c>
      <c r="P890" s="161">
        <v>2577.27</v>
      </c>
      <c r="Q890" s="185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</row>
    <row r="891" spans="1:27">
      <c r="A891" s="154">
        <v>6</v>
      </c>
      <c r="B891" s="155" t="s">
        <v>1562</v>
      </c>
      <c r="C891" s="156">
        <v>45439</v>
      </c>
      <c r="D891" s="155" t="s">
        <v>440</v>
      </c>
      <c r="E891" s="149" t="s">
        <v>311</v>
      </c>
      <c r="F891" s="149" t="s">
        <v>441</v>
      </c>
      <c r="G891" s="149" t="s">
        <v>442</v>
      </c>
      <c r="H891" s="149" t="str">
        <f t="shared" si="5"/>
        <v>VICTORIA GARCÍA PECES</v>
      </c>
      <c r="I891" s="149" t="s">
        <v>488</v>
      </c>
      <c r="J891" s="153" t="s">
        <v>444</v>
      </c>
      <c r="K891" s="149" t="s">
        <v>1709</v>
      </c>
      <c r="L891" s="183">
        <v>45469</v>
      </c>
      <c r="M891" s="149"/>
      <c r="N891" s="163">
        <v>1</v>
      </c>
      <c r="O891" s="149" t="s">
        <v>466</v>
      </c>
      <c r="P891" s="161">
        <v>2403.64</v>
      </c>
      <c r="Q891" s="185">
        <v>45439</v>
      </c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</row>
    <row r="892" spans="1:27">
      <c r="A892" s="154">
        <v>6</v>
      </c>
      <c r="B892" s="155" t="s">
        <v>1562</v>
      </c>
      <c r="C892" s="170">
        <v>45441</v>
      </c>
      <c r="D892" s="155" t="s">
        <v>440</v>
      </c>
      <c r="E892" s="149" t="s">
        <v>501</v>
      </c>
      <c r="F892" s="149" t="s">
        <v>441</v>
      </c>
      <c r="G892" s="149" t="s">
        <v>442</v>
      </c>
      <c r="H892" s="149" t="str">
        <f t="shared" si="5"/>
        <v>FERNANDO SALAZAR BARCELONA</v>
      </c>
      <c r="I892" s="149" t="s">
        <v>502</v>
      </c>
      <c r="J892" s="153" t="s">
        <v>548</v>
      </c>
      <c r="K892" s="149" t="s">
        <v>1710</v>
      </c>
      <c r="L892" s="183">
        <v>45469</v>
      </c>
      <c r="M892" s="149"/>
      <c r="N892" s="163">
        <v>2</v>
      </c>
      <c r="O892" s="149" t="s">
        <v>466</v>
      </c>
      <c r="P892" s="161">
        <v>3818.18</v>
      </c>
      <c r="Q892" s="191">
        <v>45441</v>
      </c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</row>
    <row r="893" spans="1:27">
      <c r="A893" s="154">
        <v>6</v>
      </c>
      <c r="B893" s="155" t="s">
        <v>1562</v>
      </c>
      <c r="C893" s="170">
        <v>45432</v>
      </c>
      <c r="D893" s="155" t="s">
        <v>440</v>
      </c>
      <c r="E893" s="149" t="s">
        <v>671</v>
      </c>
      <c r="F893" s="149" t="s">
        <v>441</v>
      </c>
      <c r="G893" s="149" t="s">
        <v>442</v>
      </c>
      <c r="H893" s="149" t="str">
        <f t="shared" si="5"/>
        <v>PEDRO JUIZ LÓPEZ</v>
      </c>
      <c r="I893" s="149" t="s">
        <v>672</v>
      </c>
      <c r="J893" s="153" t="s">
        <v>516</v>
      </c>
      <c r="K893" s="149" t="s">
        <v>1711</v>
      </c>
      <c r="L893" s="157">
        <v>45469</v>
      </c>
      <c r="M893" s="158"/>
      <c r="N893" s="163">
        <v>1</v>
      </c>
      <c r="O893" s="165" t="s">
        <v>446</v>
      </c>
      <c r="P893" s="161">
        <v>2272.73</v>
      </c>
      <c r="Q893" s="162">
        <v>45432</v>
      </c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</row>
    <row r="894" spans="1:27">
      <c r="A894" s="154">
        <v>6</v>
      </c>
      <c r="B894" s="155" t="s">
        <v>1562</v>
      </c>
      <c r="C894" s="170">
        <v>45436</v>
      </c>
      <c r="D894" s="155" t="s">
        <v>440</v>
      </c>
      <c r="E894" s="149" t="s">
        <v>271</v>
      </c>
      <c r="F894" s="149" t="s">
        <v>441</v>
      </c>
      <c r="G894" s="149" t="s">
        <v>442</v>
      </c>
      <c r="H894" s="149" t="str">
        <f t="shared" si="5"/>
        <v>Alejandro Harguindey Antoli-Candela</v>
      </c>
      <c r="I894" s="149" t="s">
        <v>528</v>
      </c>
      <c r="J894" s="153" t="s">
        <v>444</v>
      </c>
      <c r="K894" s="149" t="s">
        <v>1712</v>
      </c>
      <c r="L894" s="157">
        <v>45469</v>
      </c>
      <c r="M894" s="158"/>
      <c r="N894" s="163">
        <v>2</v>
      </c>
      <c r="O894" s="165" t="s">
        <v>466</v>
      </c>
      <c r="P894" s="161">
        <v>4000</v>
      </c>
      <c r="Q894" s="162">
        <v>45436</v>
      </c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</row>
    <row r="895" spans="1:27">
      <c r="A895" s="154">
        <v>6</v>
      </c>
      <c r="B895" s="155" t="s">
        <v>1562</v>
      </c>
      <c r="C895" s="170">
        <v>45448</v>
      </c>
      <c r="D895" s="155" t="s">
        <v>440</v>
      </c>
      <c r="E895" s="149" t="s">
        <v>271</v>
      </c>
      <c r="F895" s="149" t="s">
        <v>441</v>
      </c>
      <c r="G895" s="149" t="s">
        <v>442</v>
      </c>
      <c r="H895" s="149" t="str">
        <f t="shared" si="5"/>
        <v>FRANCISCO J, REDONDO DEL BARCO</v>
      </c>
      <c r="I895" s="149" t="s">
        <v>723</v>
      </c>
      <c r="J895" s="149" t="s">
        <v>548</v>
      </c>
      <c r="K895" s="149" t="s">
        <v>1713</v>
      </c>
      <c r="L895" s="157">
        <v>45469</v>
      </c>
      <c r="M895" s="158"/>
      <c r="N895" s="163">
        <v>1</v>
      </c>
      <c r="O895" s="165" t="s">
        <v>466</v>
      </c>
      <c r="P895" s="161">
        <v>2400</v>
      </c>
      <c r="Q895" s="162">
        <v>45448</v>
      </c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</row>
    <row r="896" spans="1:27">
      <c r="A896" s="154">
        <v>6</v>
      </c>
      <c r="B896" s="155" t="s">
        <v>1562</v>
      </c>
      <c r="C896" s="170"/>
      <c r="D896" s="155" t="s">
        <v>440</v>
      </c>
      <c r="E896" s="149" t="s">
        <v>158</v>
      </c>
      <c r="F896" s="149" t="s">
        <v>441</v>
      </c>
      <c r="G896" s="149" t="s">
        <v>441</v>
      </c>
      <c r="H896" s="149" t="str">
        <f t="shared" si="5"/>
        <v>LAURA GARRIDO GARCÍA</v>
      </c>
      <c r="I896" s="149" t="s">
        <v>922</v>
      </c>
      <c r="J896" s="149" t="s">
        <v>444</v>
      </c>
      <c r="K896" s="149" t="s">
        <v>1714</v>
      </c>
      <c r="L896" s="157">
        <v>45469</v>
      </c>
      <c r="M896" s="158"/>
      <c r="N896" s="163">
        <v>2</v>
      </c>
      <c r="O896" s="165" t="s">
        <v>1540</v>
      </c>
      <c r="P896" s="161">
        <v>3800</v>
      </c>
      <c r="Q896" s="162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</row>
    <row r="897" spans="1:27">
      <c r="A897" s="154">
        <v>6</v>
      </c>
      <c r="B897" s="155" t="s">
        <v>1562</v>
      </c>
      <c r="C897" s="170"/>
      <c r="D897" s="155" t="s">
        <v>440</v>
      </c>
      <c r="E897" s="149" t="s">
        <v>158</v>
      </c>
      <c r="F897" s="149" t="s">
        <v>441</v>
      </c>
      <c r="G897" s="149" t="s">
        <v>441</v>
      </c>
      <c r="H897" s="149" t="str">
        <f t="shared" si="5"/>
        <v>JAVIER GARCÍA DOMÍNGUEZ</v>
      </c>
      <c r="I897" s="149" t="s">
        <v>607</v>
      </c>
      <c r="J897" s="153" t="s">
        <v>444</v>
      </c>
      <c r="K897" s="149" t="s">
        <v>1715</v>
      </c>
      <c r="L897" s="157">
        <v>45469</v>
      </c>
      <c r="M897" s="158"/>
      <c r="N897" s="163">
        <v>2</v>
      </c>
      <c r="O897" s="165" t="s">
        <v>1540</v>
      </c>
      <c r="P897" s="161">
        <v>3800</v>
      </c>
      <c r="Q897" s="162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</row>
    <row r="898" spans="1:27">
      <c r="A898" s="154">
        <v>6</v>
      </c>
      <c r="B898" s="155" t="s">
        <v>1562</v>
      </c>
      <c r="C898" s="170"/>
      <c r="D898" s="155" t="s">
        <v>440</v>
      </c>
      <c r="E898" s="149" t="s">
        <v>98</v>
      </c>
      <c r="F898" s="149" t="s">
        <v>441</v>
      </c>
      <c r="G898" s="149" t="s">
        <v>442</v>
      </c>
      <c r="H898" s="149" t="str">
        <f t="shared" si="5"/>
        <v>MARÍA AGUSTINA SEVILLA GARCÍA</v>
      </c>
      <c r="I898" s="149" t="s">
        <v>538</v>
      </c>
      <c r="J898" s="153" t="s">
        <v>462</v>
      </c>
      <c r="K898" s="149" t="s">
        <v>1716</v>
      </c>
      <c r="L898" s="157">
        <v>45469</v>
      </c>
      <c r="M898" s="158"/>
      <c r="N898" s="163">
        <v>2</v>
      </c>
      <c r="O898" s="165" t="s">
        <v>449</v>
      </c>
      <c r="P898" s="161">
        <v>2579.09</v>
      </c>
      <c r="Q898" s="162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</row>
    <row r="899" spans="1:27">
      <c r="A899" s="154">
        <v>6</v>
      </c>
      <c r="B899" s="155" t="s">
        <v>1562</v>
      </c>
      <c r="C899" s="170">
        <v>45442</v>
      </c>
      <c r="D899" s="155" t="s">
        <v>440</v>
      </c>
      <c r="E899" s="149" t="s">
        <v>102</v>
      </c>
      <c r="F899" s="149" t="s">
        <v>441</v>
      </c>
      <c r="G899" s="149" t="s">
        <v>442</v>
      </c>
      <c r="H899" s="149" t="str">
        <f t="shared" si="5"/>
        <v>MARÍA AGUSTINA SEVILLA GARCÍA</v>
      </c>
      <c r="I899" s="149" t="s">
        <v>538</v>
      </c>
      <c r="J899" s="153" t="s">
        <v>462</v>
      </c>
      <c r="K899" s="149" t="s">
        <v>1717</v>
      </c>
      <c r="L899" s="157">
        <v>45469</v>
      </c>
      <c r="M899" s="164"/>
      <c r="N899" s="163">
        <v>2</v>
      </c>
      <c r="O899" s="165" t="s">
        <v>1540</v>
      </c>
      <c r="P899" s="161">
        <v>3800</v>
      </c>
      <c r="Q899" s="162">
        <v>45442</v>
      </c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</row>
    <row r="900" spans="1:27">
      <c r="A900" s="154">
        <v>6</v>
      </c>
      <c r="B900" s="155" t="s">
        <v>1562</v>
      </c>
      <c r="C900" s="170">
        <v>45420</v>
      </c>
      <c r="D900" s="155" t="s">
        <v>440</v>
      </c>
      <c r="E900" s="149" t="s">
        <v>190</v>
      </c>
      <c r="F900" s="149" t="s">
        <v>441</v>
      </c>
      <c r="G900" s="149" t="s">
        <v>442</v>
      </c>
      <c r="H900" s="149" t="str">
        <f t="shared" si="5"/>
        <v>FRANCISCO GARCÍA PURRIÑOS</v>
      </c>
      <c r="I900" s="149" t="s">
        <v>610</v>
      </c>
      <c r="J900" s="153" t="s">
        <v>462</v>
      </c>
      <c r="K900" s="149" t="s">
        <v>1718</v>
      </c>
      <c r="L900" s="157">
        <v>45469</v>
      </c>
      <c r="M900" s="164"/>
      <c r="N900" s="163">
        <v>1</v>
      </c>
      <c r="O900" s="165" t="s">
        <v>446</v>
      </c>
      <c r="P900" s="161">
        <v>2226.36</v>
      </c>
      <c r="Q900" s="162">
        <v>45420</v>
      </c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</row>
    <row r="901" spans="1:27">
      <c r="A901" s="154">
        <v>6</v>
      </c>
      <c r="B901" s="155" t="s">
        <v>1562</v>
      </c>
      <c r="C901" s="170">
        <v>45428</v>
      </c>
      <c r="D901" s="155" t="s">
        <v>440</v>
      </c>
      <c r="E901" s="149" t="s">
        <v>190</v>
      </c>
      <c r="F901" s="149" t="s">
        <v>441</v>
      </c>
      <c r="G901" s="149" t="s">
        <v>442</v>
      </c>
      <c r="H901" s="149" t="str">
        <f t="shared" si="5"/>
        <v>Mª TERESA ALMELA ROJO</v>
      </c>
      <c r="I901" s="149" t="s">
        <v>1137</v>
      </c>
      <c r="J901" s="153" t="s">
        <v>462</v>
      </c>
      <c r="K901" s="149" t="s">
        <v>1719</v>
      </c>
      <c r="L901" s="157">
        <v>45469</v>
      </c>
      <c r="M901" s="158"/>
      <c r="N901" s="163">
        <v>2</v>
      </c>
      <c r="O901" s="165" t="s">
        <v>446</v>
      </c>
      <c r="P901" s="161">
        <v>3556.36</v>
      </c>
      <c r="Q901" s="162">
        <v>45428</v>
      </c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</row>
    <row r="902" spans="1:27">
      <c r="A902" s="154">
        <v>6</v>
      </c>
      <c r="B902" s="155" t="s">
        <v>1562</v>
      </c>
      <c r="C902" s="170">
        <v>45442</v>
      </c>
      <c r="D902" s="155" t="s">
        <v>440</v>
      </c>
      <c r="E902" s="149" t="s">
        <v>190</v>
      </c>
      <c r="F902" s="149" t="s">
        <v>441</v>
      </c>
      <c r="G902" s="149" t="s">
        <v>442</v>
      </c>
      <c r="H902" s="149" t="str">
        <f t="shared" si="5"/>
        <v>NATHALIE FAGES CÁRCELES</v>
      </c>
      <c r="I902" s="149" t="s">
        <v>726</v>
      </c>
      <c r="J902" s="153" t="s">
        <v>462</v>
      </c>
      <c r="K902" s="149" t="s">
        <v>1720</v>
      </c>
      <c r="L902" s="157">
        <v>45469</v>
      </c>
      <c r="M902" s="164"/>
      <c r="N902" s="163">
        <v>2</v>
      </c>
      <c r="O902" s="165" t="s">
        <v>449</v>
      </c>
      <c r="P902" s="161">
        <v>2888.18</v>
      </c>
      <c r="Q902" s="162">
        <v>45442</v>
      </c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</row>
    <row r="903" spans="1:27">
      <c r="A903" s="154">
        <v>6</v>
      </c>
      <c r="B903" s="155" t="s">
        <v>1562</v>
      </c>
      <c r="C903" s="170"/>
      <c r="D903" s="155" t="s">
        <v>440</v>
      </c>
      <c r="E903" s="149" t="s">
        <v>239</v>
      </c>
      <c r="F903" s="149" t="s">
        <v>441</v>
      </c>
      <c r="G903" s="149" t="s">
        <v>442</v>
      </c>
      <c r="H903" s="149" t="str">
        <f t="shared" si="5"/>
        <v>GUSTAVO BENAVENTE BERMUDO</v>
      </c>
      <c r="I903" s="149" t="s">
        <v>1721</v>
      </c>
      <c r="J903" s="153" t="s">
        <v>455</v>
      </c>
      <c r="K903" s="149" t="s">
        <v>1722</v>
      </c>
      <c r="L903" s="157">
        <v>45469</v>
      </c>
      <c r="M903" s="164"/>
      <c r="N903" s="163">
        <v>2</v>
      </c>
      <c r="O903" s="165" t="s">
        <v>446</v>
      </c>
      <c r="P903" s="161">
        <v>3477.27</v>
      </c>
      <c r="Q903" s="162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</row>
    <row r="904" spans="1:27">
      <c r="A904" s="154">
        <v>6</v>
      </c>
      <c r="B904" s="155" t="s">
        <v>1562</v>
      </c>
      <c r="C904" s="170"/>
      <c r="D904" s="155" t="s">
        <v>440</v>
      </c>
      <c r="E904" s="149" t="s">
        <v>239</v>
      </c>
      <c r="F904" s="149" t="s">
        <v>441</v>
      </c>
      <c r="G904" s="149" t="s">
        <v>442</v>
      </c>
      <c r="H904" s="149" t="str">
        <f t="shared" si="5"/>
        <v>Mª LUISA CALERO RAMOS</v>
      </c>
      <c r="I904" s="149" t="s">
        <v>809</v>
      </c>
      <c r="J904" s="153" t="s">
        <v>455</v>
      </c>
      <c r="K904" s="149" t="s">
        <v>1723</v>
      </c>
      <c r="L904" s="168">
        <v>45469</v>
      </c>
      <c r="M904" s="158"/>
      <c r="N904" s="163">
        <v>2</v>
      </c>
      <c r="O904" s="165" t="s">
        <v>446</v>
      </c>
      <c r="P904" s="161">
        <v>2321.8200000000002</v>
      </c>
      <c r="Q904" s="162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</row>
    <row r="905" spans="1:27">
      <c r="A905" s="154">
        <v>6</v>
      </c>
      <c r="B905" s="155" t="s">
        <v>1562</v>
      </c>
      <c r="C905" s="170">
        <v>45414</v>
      </c>
      <c r="D905" s="155" t="s">
        <v>440</v>
      </c>
      <c r="E905" s="149" t="s">
        <v>530</v>
      </c>
      <c r="F905" s="149" t="s">
        <v>441</v>
      </c>
      <c r="G905" s="149" t="s">
        <v>442</v>
      </c>
      <c r="H905" s="149" t="str">
        <f t="shared" si="5"/>
        <v>DARÍO AGUDELO GARCÍA</v>
      </c>
      <c r="I905" s="149" t="s">
        <v>536</v>
      </c>
      <c r="J905" s="153" t="s">
        <v>532</v>
      </c>
      <c r="K905" s="149" t="s">
        <v>1724</v>
      </c>
      <c r="L905" s="157">
        <v>45469</v>
      </c>
      <c r="M905" s="164"/>
      <c r="N905" s="163">
        <v>1</v>
      </c>
      <c r="O905" s="165" t="s">
        <v>446</v>
      </c>
      <c r="P905" s="161">
        <v>1610.91</v>
      </c>
      <c r="Q905" s="162">
        <v>45414</v>
      </c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</row>
    <row r="906" spans="1:27">
      <c r="A906" s="154">
        <v>6</v>
      </c>
      <c r="B906" s="155" t="s">
        <v>1562</v>
      </c>
      <c r="C906" s="170">
        <v>45456</v>
      </c>
      <c r="D906" s="155" t="s">
        <v>440</v>
      </c>
      <c r="E906" s="149" t="s">
        <v>115</v>
      </c>
      <c r="F906" s="149" t="s">
        <v>441</v>
      </c>
      <c r="G906" s="149" t="s">
        <v>442</v>
      </c>
      <c r="H906" s="149" t="str">
        <f t="shared" si="5"/>
        <v>MARÍA GARROTE GARROTE</v>
      </c>
      <c r="I906" s="149" t="s">
        <v>447</v>
      </c>
      <c r="J906" s="153" t="s">
        <v>444</v>
      </c>
      <c r="K906" s="149" t="s">
        <v>1725</v>
      </c>
      <c r="L906" s="157">
        <v>45469</v>
      </c>
      <c r="M906" s="164"/>
      <c r="N906" s="163">
        <v>2</v>
      </c>
      <c r="O906" s="165" t="s">
        <v>446</v>
      </c>
      <c r="P906" s="161">
        <v>3524.55</v>
      </c>
      <c r="Q906" s="162">
        <v>45456</v>
      </c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</row>
    <row r="907" spans="1:27">
      <c r="A907" s="154">
        <v>6</v>
      </c>
      <c r="B907" s="155" t="s">
        <v>1562</v>
      </c>
      <c r="C907" s="170">
        <v>45428</v>
      </c>
      <c r="D907" s="155" t="s">
        <v>440</v>
      </c>
      <c r="E907" s="149" t="s">
        <v>150</v>
      </c>
      <c r="F907" s="149" t="s">
        <v>441</v>
      </c>
      <c r="G907" s="149" t="s">
        <v>442</v>
      </c>
      <c r="H907" s="149" t="str">
        <f t="shared" si="5"/>
        <v>CELIA LÓPEZ MOLLA</v>
      </c>
      <c r="I907" s="149" t="s">
        <v>1726</v>
      </c>
      <c r="J907" s="159" t="s">
        <v>636</v>
      </c>
      <c r="K907" s="149" t="s">
        <v>1727</v>
      </c>
      <c r="L907" s="157">
        <v>45469</v>
      </c>
      <c r="M907" s="164"/>
      <c r="N907" s="163">
        <v>2</v>
      </c>
      <c r="O907" s="165" t="s">
        <v>449</v>
      </c>
      <c r="P907" s="161">
        <v>2888.18</v>
      </c>
      <c r="Q907" s="162">
        <v>45428</v>
      </c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</row>
    <row r="908" spans="1:27">
      <c r="A908" s="154">
        <v>6</v>
      </c>
      <c r="B908" s="155" t="s">
        <v>1562</v>
      </c>
      <c r="C908" s="170">
        <v>45468</v>
      </c>
      <c r="D908" s="155" t="s">
        <v>440</v>
      </c>
      <c r="E908" s="149" t="s">
        <v>1599</v>
      </c>
      <c r="F908" s="149" t="s">
        <v>441</v>
      </c>
      <c r="G908" s="149" t="s">
        <v>442</v>
      </c>
      <c r="H908" s="149" t="str">
        <f t="shared" si="5"/>
        <v>JOAQUÍN PÉREZ VILLAR</v>
      </c>
      <c r="I908" s="149" t="s">
        <v>1728</v>
      </c>
      <c r="J908" s="159" t="s">
        <v>516</v>
      </c>
      <c r="K908" s="149" t="s">
        <v>1729</v>
      </c>
      <c r="L908" s="168">
        <v>45469</v>
      </c>
      <c r="M908" s="164"/>
      <c r="N908" s="163">
        <v>1</v>
      </c>
      <c r="O908" s="165" t="s">
        <v>518</v>
      </c>
      <c r="P908" s="161">
        <v>909.09</v>
      </c>
      <c r="Q908" s="162">
        <v>45468</v>
      </c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</row>
    <row r="909" spans="1:27">
      <c r="A909" s="154">
        <v>6</v>
      </c>
      <c r="B909" s="155" t="s">
        <v>1562</v>
      </c>
      <c r="C909" s="170">
        <v>45426</v>
      </c>
      <c r="D909" s="155" t="s">
        <v>440</v>
      </c>
      <c r="E909" s="149" t="s">
        <v>930</v>
      </c>
      <c r="F909" s="149" t="s">
        <v>441</v>
      </c>
      <c r="G909" s="149" t="s">
        <v>442</v>
      </c>
      <c r="H909" s="149" t="str">
        <f t="shared" si="5"/>
        <v>ENRIQUE ROMERO VAN ABELEEN</v>
      </c>
      <c r="I909" s="149" t="s">
        <v>1273</v>
      </c>
      <c r="J909" s="159" t="s">
        <v>532</v>
      </c>
      <c r="K909" s="149" t="s">
        <v>1730</v>
      </c>
      <c r="L909" s="157">
        <v>45469</v>
      </c>
      <c r="M909" s="164"/>
      <c r="N909" s="163">
        <v>2</v>
      </c>
      <c r="O909" s="174" t="s">
        <v>466</v>
      </c>
      <c r="P909" s="161">
        <v>4000</v>
      </c>
      <c r="Q909" s="162">
        <v>45426</v>
      </c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</row>
    <row r="910" spans="1:27">
      <c r="A910" s="154">
        <v>6</v>
      </c>
      <c r="B910" s="155" t="s">
        <v>1562</v>
      </c>
      <c r="C910" s="156">
        <v>45440</v>
      </c>
      <c r="D910" s="155" t="s">
        <v>440</v>
      </c>
      <c r="E910" s="149" t="s">
        <v>92</v>
      </c>
      <c r="F910" s="149" t="s">
        <v>441</v>
      </c>
      <c r="G910" s="149" t="s">
        <v>442</v>
      </c>
      <c r="H910" s="149" t="str">
        <f t="shared" si="5"/>
        <v>PEDRO SEGUÍ MOYA</v>
      </c>
      <c r="I910" s="149" t="s">
        <v>779</v>
      </c>
      <c r="J910" s="153" t="s">
        <v>462</v>
      </c>
      <c r="K910" s="149" t="s">
        <v>1731</v>
      </c>
      <c r="L910" s="183">
        <v>45470</v>
      </c>
      <c r="M910" s="149"/>
      <c r="N910" s="163">
        <v>1</v>
      </c>
      <c r="O910" s="149" t="s">
        <v>449</v>
      </c>
      <c r="P910" s="161">
        <v>1550</v>
      </c>
      <c r="Q910" s="185">
        <v>45440</v>
      </c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</row>
    <row r="911" spans="1:27">
      <c r="A911" s="154">
        <v>6</v>
      </c>
      <c r="B911" s="155" t="s">
        <v>1562</v>
      </c>
      <c r="C911" s="156">
        <v>45450</v>
      </c>
      <c r="D911" s="155" t="s">
        <v>440</v>
      </c>
      <c r="E911" s="149" t="s">
        <v>546</v>
      </c>
      <c r="F911" s="149" t="s">
        <v>441</v>
      </c>
      <c r="G911" s="149" t="s">
        <v>442</v>
      </c>
      <c r="H911" s="149" t="str">
        <f t="shared" si="5"/>
        <v>MANUEL MARTÍ PEÑA</v>
      </c>
      <c r="I911" s="149" t="s">
        <v>1732</v>
      </c>
      <c r="J911" s="153" t="s">
        <v>548</v>
      </c>
      <c r="K911" s="149" t="s">
        <v>1733</v>
      </c>
      <c r="L911" s="183">
        <v>45470</v>
      </c>
      <c r="M911" s="149"/>
      <c r="N911" s="163">
        <v>2</v>
      </c>
      <c r="O911" s="149" t="s">
        <v>449</v>
      </c>
      <c r="P911" s="161">
        <v>3454.55</v>
      </c>
      <c r="Q911" s="185">
        <v>45450</v>
      </c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</row>
    <row r="912" spans="1:27">
      <c r="A912" s="154">
        <v>6</v>
      </c>
      <c r="B912" s="155" t="s">
        <v>1562</v>
      </c>
      <c r="C912" s="156">
        <v>45439</v>
      </c>
      <c r="D912" s="155" t="s">
        <v>440</v>
      </c>
      <c r="E912" s="149" t="s">
        <v>311</v>
      </c>
      <c r="F912" s="149" t="s">
        <v>441</v>
      </c>
      <c r="G912" s="149" t="s">
        <v>442</v>
      </c>
      <c r="H912" s="149" t="str">
        <f t="shared" si="5"/>
        <v>ELISABETH AMARILLO ESPITIA</v>
      </c>
      <c r="I912" s="149" t="s">
        <v>467</v>
      </c>
      <c r="J912" s="153" t="s">
        <v>444</v>
      </c>
      <c r="K912" s="149" t="s">
        <v>1734</v>
      </c>
      <c r="L912" s="183">
        <v>45470</v>
      </c>
      <c r="M912" s="153"/>
      <c r="N912" s="163">
        <v>2</v>
      </c>
      <c r="O912" s="149" t="s">
        <v>446</v>
      </c>
      <c r="P912" s="161">
        <v>3709.62</v>
      </c>
      <c r="Q912" s="184">
        <v>45439</v>
      </c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</row>
    <row r="913" spans="1:27">
      <c r="A913" s="154">
        <v>6</v>
      </c>
      <c r="B913" s="155" t="s">
        <v>1562</v>
      </c>
      <c r="C913" s="170">
        <v>45441</v>
      </c>
      <c r="D913" s="155" t="s">
        <v>440</v>
      </c>
      <c r="E913" s="149" t="s">
        <v>501</v>
      </c>
      <c r="F913" s="149" t="s">
        <v>441</v>
      </c>
      <c r="G913" s="149" t="s">
        <v>442</v>
      </c>
      <c r="H913" s="149" t="str">
        <f t="shared" si="5"/>
        <v>FERNANDO SALAZAR BARCELONA</v>
      </c>
      <c r="I913" s="149" t="s">
        <v>502</v>
      </c>
      <c r="J913" s="153" t="s">
        <v>548</v>
      </c>
      <c r="K913" s="149" t="s">
        <v>1735</v>
      </c>
      <c r="L913" s="157">
        <v>45470</v>
      </c>
      <c r="M913" s="164"/>
      <c r="N913" s="163">
        <v>2</v>
      </c>
      <c r="O913" s="165" t="s">
        <v>446</v>
      </c>
      <c r="P913" s="161">
        <v>3272.73</v>
      </c>
      <c r="Q913" s="162">
        <v>45441</v>
      </c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</row>
    <row r="914" spans="1:27">
      <c r="A914" s="154">
        <v>6</v>
      </c>
      <c r="B914" s="155" t="s">
        <v>1562</v>
      </c>
      <c r="C914" s="170">
        <v>45453</v>
      </c>
      <c r="D914" s="155" t="s">
        <v>440</v>
      </c>
      <c r="E914" s="149" t="s">
        <v>315</v>
      </c>
      <c r="F914" s="149" t="s">
        <v>441</v>
      </c>
      <c r="G914" s="149" t="s">
        <v>442</v>
      </c>
      <c r="H914" s="149" t="str">
        <f t="shared" si="5"/>
        <v>JOSÉ GUSTAVO BARROSO BRAOJOS</v>
      </c>
      <c r="I914" s="149" t="s">
        <v>560</v>
      </c>
      <c r="J914" s="153" t="s">
        <v>444</v>
      </c>
      <c r="K914" s="149" t="s">
        <v>1736</v>
      </c>
      <c r="L914" s="157">
        <v>45470</v>
      </c>
      <c r="M914" s="158"/>
      <c r="N914" s="163">
        <v>2</v>
      </c>
      <c r="O914" s="165" t="s">
        <v>449</v>
      </c>
      <c r="P914" s="161">
        <v>2888.18</v>
      </c>
      <c r="Q914" s="162">
        <v>45453</v>
      </c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</row>
    <row r="915" spans="1:27">
      <c r="A915" s="154">
        <v>6</v>
      </c>
      <c r="B915" s="155" t="s">
        <v>1562</v>
      </c>
      <c r="C915" s="170">
        <v>45442</v>
      </c>
      <c r="D915" s="155" t="s">
        <v>440</v>
      </c>
      <c r="E915" s="149" t="s">
        <v>271</v>
      </c>
      <c r="F915" s="149" t="s">
        <v>441</v>
      </c>
      <c r="G915" s="149" t="s">
        <v>442</v>
      </c>
      <c r="H915" s="149" t="str">
        <f t="shared" si="5"/>
        <v>FRANCISCO J, REDONDO DEL BARCO</v>
      </c>
      <c r="I915" s="149" t="s">
        <v>723</v>
      </c>
      <c r="J915" s="153" t="s">
        <v>548</v>
      </c>
      <c r="K915" s="149" t="s">
        <v>1737</v>
      </c>
      <c r="L915" s="157">
        <v>45470</v>
      </c>
      <c r="M915" s="158"/>
      <c r="N915" s="163">
        <v>1</v>
      </c>
      <c r="O915" s="165" t="s">
        <v>466</v>
      </c>
      <c r="P915" s="161">
        <v>2400</v>
      </c>
      <c r="Q915" s="162">
        <v>45442</v>
      </c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</row>
    <row r="916" spans="1:27">
      <c r="A916" s="154">
        <v>6</v>
      </c>
      <c r="B916" s="155" t="s">
        <v>1562</v>
      </c>
      <c r="C916" s="170">
        <v>45442</v>
      </c>
      <c r="D916" s="155" t="s">
        <v>440</v>
      </c>
      <c r="E916" s="149" t="s">
        <v>309</v>
      </c>
      <c r="F916" s="149" t="s">
        <v>441</v>
      </c>
      <c r="G916" s="149" t="s">
        <v>442</v>
      </c>
      <c r="H916" s="149" t="str">
        <f t="shared" si="5"/>
        <v>RICARDO GONZÁLEZ-ORUS</v>
      </c>
      <c r="I916" s="149" t="s">
        <v>1266</v>
      </c>
      <c r="J916" s="153" t="s">
        <v>444</v>
      </c>
      <c r="K916" s="149" t="s">
        <v>1738</v>
      </c>
      <c r="L916" s="157">
        <v>45470</v>
      </c>
      <c r="M916" s="164"/>
      <c r="N916" s="163">
        <v>2</v>
      </c>
      <c r="O916" s="165" t="s">
        <v>446</v>
      </c>
      <c r="P916" s="161">
        <v>3709.09</v>
      </c>
      <c r="Q916" s="162">
        <v>45442</v>
      </c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</row>
    <row r="917" spans="1:27">
      <c r="A917" s="154">
        <v>6</v>
      </c>
      <c r="B917" s="155" t="s">
        <v>1562</v>
      </c>
      <c r="C917" s="170">
        <v>45426</v>
      </c>
      <c r="D917" s="155" t="s">
        <v>440</v>
      </c>
      <c r="E917" s="149" t="s">
        <v>618</v>
      </c>
      <c r="F917" s="149" t="s">
        <v>441</v>
      </c>
      <c r="G917" s="149" t="s">
        <v>442</v>
      </c>
      <c r="H917" s="149" t="str">
        <f t="shared" si="5"/>
        <v>TERESA RIVERA SCHMITZ</v>
      </c>
      <c r="I917" s="149" t="s">
        <v>1739</v>
      </c>
      <c r="J917" s="153" t="s">
        <v>548</v>
      </c>
      <c r="K917" s="149" t="s">
        <v>1740</v>
      </c>
      <c r="L917" s="157">
        <v>45470</v>
      </c>
      <c r="M917" s="164"/>
      <c r="N917" s="163">
        <v>2</v>
      </c>
      <c r="O917" s="165" t="s">
        <v>466</v>
      </c>
      <c r="P917" s="161">
        <v>4000</v>
      </c>
      <c r="Q917" s="162">
        <v>45426</v>
      </c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</row>
    <row r="918" spans="1:27">
      <c r="A918" s="154">
        <v>6</v>
      </c>
      <c r="B918" s="155" t="s">
        <v>1562</v>
      </c>
      <c r="C918" s="170">
        <v>45463</v>
      </c>
      <c r="D918" s="155" t="s">
        <v>440</v>
      </c>
      <c r="E918" s="149" t="s">
        <v>190</v>
      </c>
      <c r="F918" s="149" t="s">
        <v>441</v>
      </c>
      <c r="G918" s="149" t="s">
        <v>442</v>
      </c>
      <c r="H918" s="149" t="str">
        <f t="shared" si="5"/>
        <v>NATHALIE FAGES CÁRCELES</v>
      </c>
      <c r="I918" s="149" t="s">
        <v>726</v>
      </c>
      <c r="J918" s="153" t="s">
        <v>462</v>
      </c>
      <c r="K918" s="149" t="s">
        <v>1741</v>
      </c>
      <c r="L918" s="157">
        <v>45470</v>
      </c>
      <c r="M918" s="158"/>
      <c r="N918" s="163">
        <v>1</v>
      </c>
      <c r="O918" s="194" t="s">
        <v>449</v>
      </c>
      <c r="P918" s="161">
        <v>1732.73</v>
      </c>
      <c r="Q918" s="162">
        <v>45463</v>
      </c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</row>
    <row r="919" spans="1:27">
      <c r="A919" s="154">
        <v>6</v>
      </c>
      <c r="B919" s="155" t="s">
        <v>1562</v>
      </c>
      <c r="C919" s="170">
        <v>45443</v>
      </c>
      <c r="D919" s="155" t="s">
        <v>440</v>
      </c>
      <c r="E919" s="149" t="s">
        <v>115</v>
      </c>
      <c r="F919" s="149" t="s">
        <v>441</v>
      </c>
      <c r="G919" s="149" t="s">
        <v>442</v>
      </c>
      <c r="H919" s="149" t="str">
        <f t="shared" si="5"/>
        <v>MARÍA GARROTE GARROTE</v>
      </c>
      <c r="I919" s="149" t="s">
        <v>447</v>
      </c>
      <c r="J919" s="153" t="s">
        <v>444</v>
      </c>
      <c r="K919" s="149" t="s">
        <v>1742</v>
      </c>
      <c r="L919" s="168">
        <v>45470</v>
      </c>
      <c r="M919" s="158"/>
      <c r="N919" s="163">
        <v>2</v>
      </c>
      <c r="O919" s="165" t="s">
        <v>466</v>
      </c>
      <c r="P919" s="161">
        <v>3800</v>
      </c>
      <c r="Q919" s="162">
        <v>45443</v>
      </c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</row>
    <row r="920" spans="1:27">
      <c r="A920" s="154">
        <v>6</v>
      </c>
      <c r="B920" s="155" t="s">
        <v>1562</v>
      </c>
      <c r="C920" s="170">
        <v>45429</v>
      </c>
      <c r="D920" s="155" t="s">
        <v>440</v>
      </c>
      <c r="E920" s="149" t="s">
        <v>150</v>
      </c>
      <c r="F920" s="149" t="s">
        <v>441</v>
      </c>
      <c r="G920" s="149" t="s">
        <v>442</v>
      </c>
      <c r="H920" s="149" t="str">
        <f t="shared" si="5"/>
        <v>PAULA MARTÍNEZ-RUIZ DE APOCADA</v>
      </c>
      <c r="I920" s="149" t="s">
        <v>1520</v>
      </c>
      <c r="J920" s="153" t="s">
        <v>636</v>
      </c>
      <c r="K920" s="149" t="s">
        <v>1743</v>
      </c>
      <c r="L920" s="157">
        <v>45470</v>
      </c>
      <c r="M920" s="158"/>
      <c r="N920" s="163">
        <v>2</v>
      </c>
      <c r="O920" s="165" t="s">
        <v>446</v>
      </c>
      <c r="P920" s="161">
        <v>3524.5</v>
      </c>
      <c r="Q920" s="162">
        <v>45429</v>
      </c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</row>
    <row r="921" spans="1:27">
      <c r="A921" s="154">
        <v>6</v>
      </c>
      <c r="B921" s="155" t="s">
        <v>1562</v>
      </c>
      <c r="C921" s="170">
        <v>45425</v>
      </c>
      <c r="D921" s="155" t="s">
        <v>440</v>
      </c>
      <c r="E921" s="149" t="s">
        <v>1599</v>
      </c>
      <c r="F921" s="149" t="s">
        <v>441</v>
      </c>
      <c r="G921" s="149" t="s">
        <v>442</v>
      </c>
      <c r="H921" s="149" t="str">
        <f t="shared" si="5"/>
        <v>MARGARITA REYES DÍAZ</v>
      </c>
      <c r="I921" s="149" t="s">
        <v>1744</v>
      </c>
      <c r="J921" s="159" t="s">
        <v>516</v>
      </c>
      <c r="K921" s="149" t="s">
        <v>1745</v>
      </c>
      <c r="L921" s="157">
        <v>45470</v>
      </c>
      <c r="M921" s="164"/>
      <c r="N921" s="163">
        <v>1</v>
      </c>
      <c r="O921" s="165" t="s">
        <v>449</v>
      </c>
      <c r="P921" s="161">
        <v>1718.18</v>
      </c>
      <c r="Q921" s="162">
        <v>45425</v>
      </c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</row>
    <row r="922" spans="1:27">
      <c r="A922" s="154">
        <v>6</v>
      </c>
      <c r="B922" s="155" t="s">
        <v>1562</v>
      </c>
      <c r="C922" s="156"/>
      <c r="D922" s="155" t="s">
        <v>440</v>
      </c>
      <c r="E922" s="149" t="s">
        <v>317</v>
      </c>
      <c r="F922" s="149" t="s">
        <v>441</v>
      </c>
      <c r="G922" s="149" t="s">
        <v>442</v>
      </c>
      <c r="H922" s="149" t="str">
        <f t="shared" si="5"/>
        <v>CRISTINA MUÑOZ PINTO</v>
      </c>
      <c r="I922" s="149" t="s">
        <v>899</v>
      </c>
      <c r="J922" s="149" t="s">
        <v>462</v>
      </c>
      <c r="K922" s="149" t="s">
        <v>1746</v>
      </c>
      <c r="L922" s="168">
        <v>45471</v>
      </c>
      <c r="M922" s="149"/>
      <c r="N922" s="163">
        <v>2</v>
      </c>
      <c r="O922" s="149" t="s">
        <v>449</v>
      </c>
      <c r="P922" s="161">
        <v>2909.09</v>
      </c>
      <c r="Q922" s="184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</row>
    <row r="923" spans="1:27">
      <c r="A923" s="154">
        <v>6</v>
      </c>
      <c r="B923" s="155" t="s">
        <v>1562</v>
      </c>
      <c r="C923" s="170">
        <v>45457</v>
      </c>
      <c r="D923" s="155" t="s">
        <v>440</v>
      </c>
      <c r="E923" s="149" t="s">
        <v>1747</v>
      </c>
      <c r="F923" s="149" t="s">
        <v>441</v>
      </c>
      <c r="G923" s="149" t="s">
        <v>442</v>
      </c>
      <c r="H923" s="149" t="str">
        <f t="shared" si="5"/>
        <v>JOSÉ GUSTAVO BARROSO BRAOJOS</v>
      </c>
      <c r="I923" s="149" t="s">
        <v>560</v>
      </c>
      <c r="J923" s="153" t="s">
        <v>444</v>
      </c>
      <c r="K923" s="149" t="s">
        <v>1748</v>
      </c>
      <c r="L923" s="157">
        <v>45471</v>
      </c>
      <c r="M923" s="158"/>
      <c r="N923" s="163">
        <v>1</v>
      </c>
      <c r="O923" s="165" t="s">
        <v>1749</v>
      </c>
      <c r="P923" s="161">
        <v>2581.8200000000002</v>
      </c>
      <c r="Q923" s="162">
        <v>45457</v>
      </c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</row>
    <row r="924" spans="1:27">
      <c r="A924" s="154">
        <v>6</v>
      </c>
      <c r="B924" s="155" t="s">
        <v>1562</v>
      </c>
      <c r="C924" s="170">
        <v>45426</v>
      </c>
      <c r="D924" s="155" t="s">
        <v>440</v>
      </c>
      <c r="E924" s="149" t="s">
        <v>271</v>
      </c>
      <c r="F924" s="149" t="s">
        <v>441</v>
      </c>
      <c r="G924" s="149" t="s">
        <v>442</v>
      </c>
      <c r="H924" s="149" t="str">
        <f t="shared" si="5"/>
        <v>JAVIER OLARIETA SOTO</v>
      </c>
      <c r="I924" s="149" t="s">
        <v>881</v>
      </c>
      <c r="J924" s="153" t="s">
        <v>444</v>
      </c>
      <c r="K924" s="149" t="s">
        <v>1750</v>
      </c>
      <c r="L924" s="157">
        <v>45471</v>
      </c>
      <c r="M924" s="158"/>
      <c r="N924" s="163">
        <v>1</v>
      </c>
      <c r="O924" s="165" t="s">
        <v>466</v>
      </c>
      <c r="P924" s="161">
        <v>2400</v>
      </c>
      <c r="Q924" s="162">
        <v>45426</v>
      </c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</row>
    <row r="925" spans="1:27">
      <c r="A925" s="154">
        <v>6</v>
      </c>
      <c r="B925" s="155" t="s">
        <v>1562</v>
      </c>
      <c r="C925" s="170"/>
      <c r="D925" s="155" t="s">
        <v>440</v>
      </c>
      <c r="E925" s="149" t="s">
        <v>158</v>
      </c>
      <c r="F925" s="149" t="s">
        <v>441</v>
      </c>
      <c r="G925" s="149" t="s">
        <v>441</v>
      </c>
      <c r="H925" s="149" t="str">
        <f t="shared" si="5"/>
        <v>GUILLERMO SAN JUAN DE LA MORETA</v>
      </c>
      <c r="I925" s="149" t="s">
        <v>826</v>
      </c>
      <c r="J925" s="153" t="s">
        <v>444</v>
      </c>
      <c r="K925" s="149" t="s">
        <v>1751</v>
      </c>
      <c r="L925" s="157">
        <v>45471</v>
      </c>
      <c r="M925" s="164"/>
      <c r="N925" s="163">
        <v>2</v>
      </c>
      <c r="O925" s="165" t="s">
        <v>1540</v>
      </c>
      <c r="P925" s="161">
        <v>3800</v>
      </c>
      <c r="Q925" s="162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</row>
    <row r="926" spans="1:27">
      <c r="A926" s="154">
        <v>6</v>
      </c>
      <c r="B926" s="155" t="s">
        <v>1562</v>
      </c>
      <c r="C926" s="170">
        <v>45440</v>
      </c>
      <c r="D926" s="155" t="s">
        <v>440</v>
      </c>
      <c r="E926" s="149" t="s">
        <v>618</v>
      </c>
      <c r="F926" s="149" t="s">
        <v>441</v>
      </c>
      <c r="G926" s="149" t="s">
        <v>442</v>
      </c>
      <c r="H926" s="149" t="str">
        <f t="shared" si="5"/>
        <v>IGNACIO SIERRA ARBIDE</v>
      </c>
      <c r="I926" s="149" t="s">
        <v>888</v>
      </c>
      <c r="J926" s="149" t="s">
        <v>548</v>
      </c>
      <c r="K926" s="149" t="s">
        <v>1752</v>
      </c>
      <c r="L926" s="157">
        <v>45471</v>
      </c>
      <c r="M926" s="158"/>
      <c r="N926" s="163">
        <v>2</v>
      </c>
      <c r="O926" s="165" t="s">
        <v>466</v>
      </c>
      <c r="P926" s="161">
        <v>4000</v>
      </c>
      <c r="Q926" s="162">
        <v>45440</v>
      </c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</row>
    <row r="927" spans="1:27">
      <c r="A927" s="154">
        <v>6</v>
      </c>
      <c r="B927" s="155" t="s">
        <v>1562</v>
      </c>
      <c r="C927" s="170">
        <v>45357</v>
      </c>
      <c r="D927" s="155" t="s">
        <v>440</v>
      </c>
      <c r="E927" s="149" t="s">
        <v>475</v>
      </c>
      <c r="F927" s="149" t="s">
        <v>441</v>
      </c>
      <c r="G927" s="149" t="s">
        <v>442</v>
      </c>
      <c r="H927" s="149" t="str">
        <f t="shared" si="5"/>
        <v>MÓNICA GRANDA ROSALES</v>
      </c>
      <c r="I927" s="149" t="s">
        <v>476</v>
      </c>
      <c r="J927" s="153" t="s">
        <v>473</v>
      </c>
      <c r="K927" s="149" t="s">
        <v>1753</v>
      </c>
      <c r="L927" s="157">
        <v>45471</v>
      </c>
      <c r="M927" s="158"/>
      <c r="N927" s="163">
        <v>2</v>
      </c>
      <c r="O927" s="165" t="s">
        <v>446</v>
      </c>
      <c r="P927" s="161">
        <v>3909.09</v>
      </c>
      <c r="Q927" s="162">
        <v>45357</v>
      </c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</row>
    <row r="928" spans="1:27">
      <c r="A928" s="154">
        <v>6</v>
      </c>
      <c r="B928" s="155" t="s">
        <v>1562</v>
      </c>
      <c r="C928" s="170">
        <v>45429</v>
      </c>
      <c r="D928" s="155" t="s">
        <v>440</v>
      </c>
      <c r="E928" s="149" t="s">
        <v>506</v>
      </c>
      <c r="F928" s="149" t="s">
        <v>441</v>
      </c>
      <c r="G928" s="149" t="s">
        <v>442</v>
      </c>
      <c r="H928" s="149" t="str">
        <f t="shared" si="5"/>
        <v>ÁNGEL BATUECAS CALETRÍO</v>
      </c>
      <c r="I928" s="149" t="s">
        <v>1754</v>
      </c>
      <c r="J928" s="153" t="s">
        <v>473</v>
      </c>
      <c r="K928" s="149" t="s">
        <v>1755</v>
      </c>
      <c r="L928" s="157">
        <v>45471</v>
      </c>
      <c r="M928" s="158"/>
      <c r="N928" s="163">
        <v>1</v>
      </c>
      <c r="O928" s="165" t="s">
        <v>466</v>
      </c>
      <c r="P928" s="161">
        <v>2536.36</v>
      </c>
      <c r="Q928" s="162">
        <v>45429</v>
      </c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</row>
    <row r="929" spans="1:27">
      <c r="A929" s="154">
        <v>6</v>
      </c>
      <c r="B929" s="155" t="s">
        <v>1562</v>
      </c>
      <c r="C929" s="170">
        <v>45446</v>
      </c>
      <c r="D929" s="155" t="s">
        <v>440</v>
      </c>
      <c r="E929" s="149" t="s">
        <v>190</v>
      </c>
      <c r="F929" s="149" t="s">
        <v>441</v>
      </c>
      <c r="G929" s="149" t="s">
        <v>442</v>
      </c>
      <c r="H929" s="149" t="str">
        <f t="shared" si="5"/>
        <v>ANTONIO GALINDO FERNÁNDEZ</v>
      </c>
      <c r="I929" s="149" t="s">
        <v>892</v>
      </c>
      <c r="J929" s="153" t="s">
        <v>462</v>
      </c>
      <c r="K929" s="149" t="s">
        <v>1756</v>
      </c>
      <c r="L929" s="157">
        <v>45471</v>
      </c>
      <c r="M929" s="158"/>
      <c r="N929" s="163">
        <v>2</v>
      </c>
      <c r="O929" s="165" t="s">
        <v>449</v>
      </c>
      <c r="P929" s="161">
        <v>2888.02</v>
      </c>
      <c r="Q929" s="162">
        <v>45446</v>
      </c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</row>
    <row r="930" spans="1:27">
      <c r="A930" s="154">
        <v>6</v>
      </c>
      <c r="B930" s="155" t="s">
        <v>1562</v>
      </c>
      <c r="C930" s="170">
        <v>45421</v>
      </c>
      <c r="D930" s="155" t="s">
        <v>440</v>
      </c>
      <c r="E930" s="149" t="s">
        <v>485</v>
      </c>
      <c r="F930" s="149" t="s">
        <v>441</v>
      </c>
      <c r="G930" s="149" t="s">
        <v>442</v>
      </c>
      <c r="H930" s="149" t="str">
        <f t="shared" si="5"/>
        <v>CARLOS LÓPEZ AZANZA</v>
      </c>
      <c r="I930" s="149" t="s">
        <v>867</v>
      </c>
      <c r="J930" s="159" t="s">
        <v>473</v>
      </c>
      <c r="K930" s="149" t="s">
        <v>1757</v>
      </c>
      <c r="L930" s="157">
        <v>45471</v>
      </c>
      <c r="M930" s="164"/>
      <c r="N930" s="163">
        <v>2</v>
      </c>
      <c r="O930" s="165" t="s">
        <v>466</v>
      </c>
      <c r="P930" s="161">
        <v>3886.36</v>
      </c>
      <c r="Q930" s="162">
        <v>45421</v>
      </c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</row>
    <row r="931" spans="1:27">
      <c r="A931" s="154">
        <v>6</v>
      </c>
      <c r="B931" s="155" t="s">
        <v>1562</v>
      </c>
      <c r="C931" s="170">
        <v>45440</v>
      </c>
      <c r="D931" s="155" t="s">
        <v>440</v>
      </c>
      <c r="E931" s="149" t="s">
        <v>930</v>
      </c>
      <c r="F931" s="149" t="s">
        <v>441</v>
      </c>
      <c r="G931" s="149" t="s">
        <v>442</v>
      </c>
      <c r="H931" s="149" t="str">
        <f t="shared" si="5"/>
        <v>ENRIQUE ROMERO VAN ABELEEN</v>
      </c>
      <c r="I931" s="149" t="s">
        <v>1273</v>
      </c>
      <c r="J931" s="159" t="s">
        <v>532</v>
      </c>
      <c r="K931" s="149" t="s">
        <v>1758</v>
      </c>
      <c r="L931" s="157">
        <v>45471</v>
      </c>
      <c r="M931" s="164"/>
      <c r="N931" s="163">
        <v>2</v>
      </c>
      <c r="O931" s="174" t="s">
        <v>466</v>
      </c>
      <c r="P931" s="161">
        <v>4000</v>
      </c>
      <c r="Q931" s="162">
        <v>45440</v>
      </c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</row>
    <row r="932" spans="1:27">
      <c r="A932" s="154">
        <v>6</v>
      </c>
      <c r="B932" s="155" t="s">
        <v>1562</v>
      </c>
      <c r="C932" s="170">
        <v>45432</v>
      </c>
      <c r="D932" s="155" t="s">
        <v>440</v>
      </c>
      <c r="E932" s="149" t="s">
        <v>475</v>
      </c>
      <c r="F932" s="149" t="s">
        <v>441</v>
      </c>
      <c r="G932" s="149" t="s">
        <v>442</v>
      </c>
      <c r="H932" s="149" t="str">
        <f t="shared" si="5"/>
        <v>XENIA MOTA ROJAS</v>
      </c>
      <c r="I932" s="149" t="s">
        <v>1077</v>
      </c>
      <c r="J932" s="149" t="s">
        <v>473</v>
      </c>
      <c r="K932" s="149" t="s">
        <v>1759</v>
      </c>
      <c r="L932" s="157">
        <v>45472</v>
      </c>
      <c r="M932" s="158"/>
      <c r="N932" s="163">
        <v>2</v>
      </c>
      <c r="O932" s="165" t="s">
        <v>449</v>
      </c>
      <c r="P932" s="161">
        <v>3545.45</v>
      </c>
      <c r="Q932" s="162">
        <v>45432</v>
      </c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</row>
    <row r="933" spans="1:27">
      <c r="A933" s="154">
        <v>7</v>
      </c>
      <c r="B933" s="155" t="s">
        <v>1760</v>
      </c>
      <c r="C933" s="195">
        <v>45447</v>
      </c>
      <c r="D933" s="155" t="s">
        <v>440</v>
      </c>
      <c r="E933" s="149" t="s">
        <v>604</v>
      </c>
      <c r="F933" s="153" t="s">
        <v>441</v>
      </c>
      <c r="G933" s="149" t="s">
        <v>442</v>
      </c>
      <c r="H933" s="149" t="str">
        <f t="shared" si="5"/>
        <v>ISABEL VAAMONDE SANCHEZ ANDRADR</v>
      </c>
      <c r="I933" s="149" t="s">
        <v>1443</v>
      </c>
      <c r="J933" s="153" t="s">
        <v>516</v>
      </c>
      <c r="K933" s="149" t="s">
        <v>1761</v>
      </c>
      <c r="L933" s="168">
        <v>45474</v>
      </c>
      <c r="M933" s="164"/>
      <c r="N933" s="163">
        <v>2</v>
      </c>
      <c r="O933" s="165" t="s">
        <v>518</v>
      </c>
      <c r="P933" s="161">
        <v>2627.27</v>
      </c>
      <c r="Q933" s="196">
        <v>45447</v>
      </c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</row>
    <row r="934" spans="1:27">
      <c r="A934" s="154">
        <v>7</v>
      </c>
      <c r="B934" s="155" t="s">
        <v>1760</v>
      </c>
      <c r="C934" s="195"/>
      <c r="D934" s="155" t="s">
        <v>440</v>
      </c>
      <c r="E934" s="149" t="s">
        <v>98</v>
      </c>
      <c r="F934" s="153" t="s">
        <v>441</v>
      </c>
      <c r="G934" s="149" t="s">
        <v>442</v>
      </c>
      <c r="H934" s="149" t="str">
        <f t="shared" si="5"/>
        <v>JESÚS MIGUEL INIESTA TURPÍN</v>
      </c>
      <c r="I934" s="149" t="s">
        <v>594</v>
      </c>
      <c r="J934" s="153" t="s">
        <v>462</v>
      </c>
      <c r="K934" s="149" t="s">
        <v>1762</v>
      </c>
      <c r="L934" s="168">
        <v>45474</v>
      </c>
      <c r="M934" s="164"/>
      <c r="N934" s="163">
        <v>2</v>
      </c>
      <c r="O934" s="165" t="s">
        <v>449</v>
      </c>
      <c r="P934" s="161">
        <v>2887.5</v>
      </c>
      <c r="Q934" s="196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</row>
    <row r="935" spans="1:27">
      <c r="A935" s="154">
        <v>7</v>
      </c>
      <c r="B935" s="155" t="s">
        <v>1760</v>
      </c>
      <c r="C935" s="195">
        <v>45441</v>
      </c>
      <c r="D935" s="155" t="s">
        <v>440</v>
      </c>
      <c r="E935" s="149" t="s">
        <v>1763</v>
      </c>
      <c r="F935" s="153" t="s">
        <v>441</v>
      </c>
      <c r="G935" s="149" t="s">
        <v>442</v>
      </c>
      <c r="H935" s="149" t="str">
        <f t="shared" si="5"/>
        <v>MARTA CALVO PÉREZ</v>
      </c>
      <c r="I935" s="149" t="s">
        <v>1764</v>
      </c>
      <c r="J935" s="153" t="s">
        <v>473</v>
      </c>
      <c r="K935" s="149" t="s">
        <v>1765</v>
      </c>
      <c r="L935" s="168">
        <v>45474</v>
      </c>
      <c r="M935" s="164"/>
      <c r="N935" s="163">
        <v>1</v>
      </c>
      <c r="O935" s="165" t="s">
        <v>446</v>
      </c>
      <c r="P935" s="161">
        <v>2162.73</v>
      </c>
      <c r="Q935" s="196">
        <v>45441</v>
      </c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</row>
    <row r="936" spans="1:27">
      <c r="A936" s="154">
        <v>7</v>
      </c>
      <c r="B936" s="155" t="s">
        <v>1760</v>
      </c>
      <c r="C936" s="195">
        <v>45447</v>
      </c>
      <c r="D936" s="155" t="s">
        <v>440</v>
      </c>
      <c r="E936" s="149" t="s">
        <v>1766</v>
      </c>
      <c r="F936" s="153" t="s">
        <v>441</v>
      </c>
      <c r="G936" s="149" t="s">
        <v>442</v>
      </c>
      <c r="H936" s="149" t="str">
        <f t="shared" si="5"/>
        <v>Mª LUISA CALERO RAMOS</v>
      </c>
      <c r="I936" s="149" t="s">
        <v>809</v>
      </c>
      <c r="J936" s="153" t="s">
        <v>455</v>
      </c>
      <c r="K936" s="149" t="s">
        <v>1767</v>
      </c>
      <c r="L936" s="157">
        <v>45474</v>
      </c>
      <c r="M936" s="164"/>
      <c r="N936" s="163">
        <v>2</v>
      </c>
      <c r="O936" s="165" t="s">
        <v>466</v>
      </c>
      <c r="P936" s="161">
        <v>4000</v>
      </c>
      <c r="Q936" s="196">
        <v>45447</v>
      </c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</row>
    <row r="937" spans="1:27">
      <c r="A937" s="154">
        <v>7</v>
      </c>
      <c r="B937" s="155" t="s">
        <v>1760</v>
      </c>
      <c r="C937" s="170">
        <v>45471</v>
      </c>
      <c r="D937" s="155" t="s">
        <v>440</v>
      </c>
      <c r="E937" s="149" t="s">
        <v>601</v>
      </c>
      <c r="F937" s="149" t="s">
        <v>441</v>
      </c>
      <c r="G937" s="149" t="s">
        <v>442</v>
      </c>
      <c r="H937" s="149" t="str">
        <f t="shared" si="5"/>
        <v>JUAN LATORRE LÓPEZ</v>
      </c>
      <c r="I937" s="149" t="s">
        <v>1768</v>
      </c>
      <c r="J937" s="159" t="s">
        <v>516</v>
      </c>
      <c r="K937" s="149" t="s">
        <v>1769</v>
      </c>
      <c r="L937" s="157">
        <v>45475</v>
      </c>
      <c r="M937" s="164"/>
      <c r="N937" s="163">
        <v>2</v>
      </c>
      <c r="O937" s="165" t="s">
        <v>449</v>
      </c>
      <c r="P937" s="161">
        <v>2909.09</v>
      </c>
      <c r="Q937" s="162">
        <v>45471</v>
      </c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</row>
    <row r="938" spans="1:27">
      <c r="A938" s="154">
        <v>7</v>
      </c>
      <c r="B938" s="155" t="s">
        <v>1760</v>
      </c>
      <c r="C938" s="195"/>
      <c r="D938" s="155" t="s">
        <v>440</v>
      </c>
      <c r="E938" s="149" t="s">
        <v>145</v>
      </c>
      <c r="F938" s="153" t="s">
        <v>441</v>
      </c>
      <c r="G938" s="149" t="s">
        <v>442</v>
      </c>
      <c r="H938" s="149" t="str">
        <f t="shared" si="5"/>
        <v>JESUS-MARIA GRASA PÉREZ</v>
      </c>
      <c r="I938" s="149" t="s">
        <v>591</v>
      </c>
      <c r="J938" s="153" t="s">
        <v>532</v>
      </c>
      <c r="K938" s="149" t="s">
        <v>1770</v>
      </c>
      <c r="L938" s="168">
        <v>45475</v>
      </c>
      <c r="M938" s="164"/>
      <c r="N938" s="163">
        <v>2</v>
      </c>
      <c r="O938" s="165" t="s">
        <v>449</v>
      </c>
      <c r="P938" s="161">
        <v>2743.78</v>
      </c>
      <c r="Q938" s="196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</row>
    <row r="939" spans="1:27">
      <c r="A939" s="154">
        <v>7</v>
      </c>
      <c r="B939" s="155" t="s">
        <v>1760</v>
      </c>
      <c r="C939" s="195">
        <v>45448</v>
      </c>
      <c r="D939" s="155" t="s">
        <v>440</v>
      </c>
      <c r="E939" s="149" t="s">
        <v>671</v>
      </c>
      <c r="F939" s="153" t="s">
        <v>441</v>
      </c>
      <c r="G939" s="149" t="s">
        <v>442</v>
      </c>
      <c r="H939" s="149" t="str">
        <f t="shared" si="5"/>
        <v>PEDRO JUIZ LÓPEZ</v>
      </c>
      <c r="I939" s="149" t="s">
        <v>672</v>
      </c>
      <c r="J939" s="153" t="s">
        <v>516</v>
      </c>
      <c r="K939" s="149" t="s">
        <v>1771</v>
      </c>
      <c r="L939" s="168">
        <v>45475</v>
      </c>
      <c r="M939" s="164"/>
      <c r="N939" s="163">
        <v>2</v>
      </c>
      <c r="O939" s="165" t="s">
        <v>466</v>
      </c>
      <c r="P939" s="161">
        <v>4436.3599999999997</v>
      </c>
      <c r="Q939" s="196">
        <v>45448</v>
      </c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</row>
    <row r="940" spans="1:27">
      <c r="A940" s="154">
        <v>7</v>
      </c>
      <c r="B940" s="155" t="s">
        <v>1760</v>
      </c>
      <c r="C940" s="195"/>
      <c r="D940" s="155" t="s">
        <v>440</v>
      </c>
      <c r="E940" s="149" t="s">
        <v>98</v>
      </c>
      <c r="F940" s="153" t="s">
        <v>441</v>
      </c>
      <c r="G940" s="149" t="s">
        <v>442</v>
      </c>
      <c r="H940" s="149" t="str">
        <f t="shared" si="5"/>
        <v>LAURA GAÑÁN ALBUISECH</v>
      </c>
      <c r="I940" s="149" t="s">
        <v>1772</v>
      </c>
      <c r="J940" s="153" t="s">
        <v>462</v>
      </c>
      <c r="K940" s="149" t="s">
        <v>1773</v>
      </c>
      <c r="L940" s="168">
        <v>45475</v>
      </c>
      <c r="M940" s="164"/>
      <c r="N940" s="163">
        <v>2</v>
      </c>
      <c r="O940" s="165" t="s">
        <v>1540</v>
      </c>
      <c r="P940" s="161">
        <v>3507.27</v>
      </c>
      <c r="Q940" s="196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</row>
    <row r="941" spans="1:27">
      <c r="A941" s="154">
        <v>7</v>
      </c>
      <c r="B941" s="155" t="s">
        <v>1760</v>
      </c>
      <c r="C941" s="195"/>
      <c r="D941" s="155" t="s">
        <v>440</v>
      </c>
      <c r="E941" s="149" t="s">
        <v>239</v>
      </c>
      <c r="F941" s="153" t="s">
        <v>441</v>
      </c>
      <c r="G941" s="149" t="s">
        <v>442</v>
      </c>
      <c r="H941" s="149" t="str">
        <f t="shared" si="5"/>
        <v>MIGUEL RODRIGUEZ PÉREZ</v>
      </c>
      <c r="I941" s="149" t="s">
        <v>864</v>
      </c>
      <c r="J941" s="153" t="s">
        <v>455</v>
      </c>
      <c r="K941" s="149" t="s">
        <v>1774</v>
      </c>
      <c r="L941" s="157">
        <v>45475</v>
      </c>
      <c r="M941" s="164"/>
      <c r="N941" s="163">
        <v>2</v>
      </c>
      <c r="O941" s="165" t="s">
        <v>446</v>
      </c>
      <c r="P941" s="161">
        <v>3293.64</v>
      </c>
      <c r="Q941" s="196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</row>
    <row r="942" spans="1:27">
      <c r="A942" s="154">
        <v>7</v>
      </c>
      <c r="B942" s="155" t="s">
        <v>1760</v>
      </c>
      <c r="C942" s="195">
        <v>45450</v>
      </c>
      <c r="D942" s="155" t="s">
        <v>440</v>
      </c>
      <c r="E942" s="149" t="s">
        <v>150</v>
      </c>
      <c r="F942" s="153" t="s">
        <v>441</v>
      </c>
      <c r="G942" s="149" t="s">
        <v>442</v>
      </c>
      <c r="H942" s="149" t="str">
        <f t="shared" si="5"/>
        <v>CELIA LÓPEZ MOLLA</v>
      </c>
      <c r="I942" s="149" t="s">
        <v>1726</v>
      </c>
      <c r="J942" s="153" t="s">
        <v>636</v>
      </c>
      <c r="K942" s="149" t="s">
        <v>1775</v>
      </c>
      <c r="L942" s="157">
        <v>45475</v>
      </c>
      <c r="M942" s="164"/>
      <c r="N942" s="163">
        <v>2</v>
      </c>
      <c r="O942" s="165" t="s">
        <v>513</v>
      </c>
      <c r="P942" s="161">
        <v>4400</v>
      </c>
      <c r="Q942" s="196">
        <v>45450</v>
      </c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</row>
    <row r="943" spans="1:27">
      <c r="A943" s="154">
        <v>7</v>
      </c>
      <c r="B943" s="155" t="s">
        <v>1760</v>
      </c>
      <c r="C943" s="170"/>
      <c r="D943" s="166" t="s">
        <v>440</v>
      </c>
      <c r="E943" s="149" t="s">
        <v>317</v>
      </c>
      <c r="F943" s="149" t="s">
        <v>441</v>
      </c>
      <c r="G943" s="149" t="s">
        <v>442</v>
      </c>
      <c r="H943" s="149" t="str">
        <f t="shared" si="5"/>
        <v>FRANCISCO PASTOR BEVIÁ</v>
      </c>
      <c r="I943" s="149" t="s">
        <v>464</v>
      </c>
      <c r="J943" s="149" t="s">
        <v>462</v>
      </c>
      <c r="K943" s="149" t="s">
        <v>1776</v>
      </c>
      <c r="L943" s="157">
        <v>45476</v>
      </c>
      <c r="M943" s="164"/>
      <c r="N943" s="163">
        <v>2</v>
      </c>
      <c r="O943" s="174" t="s">
        <v>449</v>
      </c>
      <c r="P943" s="161">
        <v>2340.91</v>
      </c>
      <c r="Q943" s="162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</row>
    <row r="944" spans="1:27">
      <c r="A944" s="154">
        <v>7</v>
      </c>
      <c r="B944" s="155" t="s">
        <v>1760</v>
      </c>
      <c r="C944" s="195">
        <v>45435</v>
      </c>
      <c r="D944" s="155" t="s">
        <v>440</v>
      </c>
      <c r="E944" s="149" t="s">
        <v>309</v>
      </c>
      <c r="F944" s="153" t="s">
        <v>441</v>
      </c>
      <c r="G944" s="149" t="s">
        <v>442</v>
      </c>
      <c r="H944" s="149" t="str">
        <f t="shared" si="5"/>
        <v>RICARDO GONZÁLEZ-ORUS</v>
      </c>
      <c r="I944" s="149" t="s">
        <v>1266</v>
      </c>
      <c r="J944" s="153" t="s">
        <v>444</v>
      </c>
      <c r="K944" s="149" t="s">
        <v>1777</v>
      </c>
      <c r="L944" s="168">
        <v>45476</v>
      </c>
      <c r="M944" s="164"/>
      <c r="N944" s="163">
        <v>1</v>
      </c>
      <c r="O944" s="165" t="s">
        <v>1540</v>
      </c>
      <c r="P944" s="161">
        <v>2400</v>
      </c>
      <c r="Q944" s="196">
        <v>45435</v>
      </c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</row>
    <row r="945" spans="1:27">
      <c r="A945" s="154">
        <v>7</v>
      </c>
      <c r="B945" s="155" t="s">
        <v>1760</v>
      </c>
      <c r="C945" s="195"/>
      <c r="D945" s="155" t="s">
        <v>440</v>
      </c>
      <c r="E945" s="149" t="s">
        <v>98</v>
      </c>
      <c r="F945" s="153" t="s">
        <v>441</v>
      </c>
      <c r="G945" s="149" t="s">
        <v>442</v>
      </c>
      <c r="H945" s="149" t="str">
        <f t="shared" si="5"/>
        <v>ENRIQUE VIVIENTE RODRÍGUEZ</v>
      </c>
      <c r="I945" s="149" t="s">
        <v>844</v>
      </c>
      <c r="J945" s="153" t="s">
        <v>462</v>
      </c>
      <c r="K945" s="149" t="s">
        <v>1778</v>
      </c>
      <c r="L945" s="168">
        <v>45476</v>
      </c>
      <c r="M945" s="164"/>
      <c r="N945" s="163">
        <v>2</v>
      </c>
      <c r="O945" s="165" t="s">
        <v>449</v>
      </c>
      <c r="P945" s="161">
        <v>2780.91</v>
      </c>
      <c r="Q945" s="196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</row>
    <row r="946" spans="1:27">
      <c r="A946" s="154">
        <v>7</v>
      </c>
      <c r="B946" s="155" t="s">
        <v>1760</v>
      </c>
      <c r="C946" s="195">
        <v>45436</v>
      </c>
      <c r="D946" s="155" t="s">
        <v>440</v>
      </c>
      <c r="E946" s="149" t="s">
        <v>1766</v>
      </c>
      <c r="F946" s="153" t="s">
        <v>441</v>
      </c>
      <c r="G946" s="149" t="s">
        <v>442</v>
      </c>
      <c r="H946" s="149" t="str">
        <f t="shared" si="5"/>
        <v>LUCIA PRIETO SÁNCHEZ DE LA PUERTA</v>
      </c>
      <c r="I946" s="149" t="s">
        <v>457</v>
      </c>
      <c r="J946" s="153" t="s">
        <v>455</v>
      </c>
      <c r="K946" s="149" t="s">
        <v>1779</v>
      </c>
      <c r="L946" s="157">
        <v>45476</v>
      </c>
      <c r="M946" s="164"/>
      <c r="N946" s="163">
        <v>2</v>
      </c>
      <c r="O946" s="165" t="s">
        <v>446</v>
      </c>
      <c r="P946" s="161">
        <v>3710</v>
      </c>
      <c r="Q946" s="196">
        <v>45436</v>
      </c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</row>
    <row r="947" spans="1:27">
      <c r="A947" s="154">
        <v>7</v>
      </c>
      <c r="B947" s="155" t="s">
        <v>1760</v>
      </c>
      <c r="C947" s="195"/>
      <c r="D947" s="166" t="s">
        <v>440</v>
      </c>
      <c r="E947" s="149" t="s">
        <v>201</v>
      </c>
      <c r="F947" s="153" t="s">
        <v>441</v>
      </c>
      <c r="G947" s="149" t="s">
        <v>442</v>
      </c>
      <c r="H947" s="149" t="str">
        <f t="shared" si="5"/>
        <v>AINHOA MORENO BRAVO</v>
      </c>
      <c r="I947" s="149" t="s">
        <v>741</v>
      </c>
      <c r="J947" s="153" t="s">
        <v>548</v>
      </c>
      <c r="K947" s="149" t="s">
        <v>1780</v>
      </c>
      <c r="L947" s="157">
        <v>45476</v>
      </c>
      <c r="M947" s="164"/>
      <c r="N947" s="163">
        <v>1</v>
      </c>
      <c r="O947" s="165" t="s">
        <v>1540</v>
      </c>
      <c r="P947" s="161">
        <v>2400</v>
      </c>
      <c r="Q947" s="196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</row>
    <row r="948" spans="1:27">
      <c r="A948" s="154">
        <v>7</v>
      </c>
      <c r="B948" s="155" t="s">
        <v>1760</v>
      </c>
      <c r="C948" s="195">
        <v>45432</v>
      </c>
      <c r="D948" s="155" t="s">
        <v>440</v>
      </c>
      <c r="E948" s="149" t="s">
        <v>530</v>
      </c>
      <c r="F948" s="153" t="s">
        <v>441</v>
      </c>
      <c r="G948" s="149" t="s">
        <v>442</v>
      </c>
      <c r="H948" s="149" t="str">
        <f t="shared" si="5"/>
        <v>JOAQUIM BROTO SUMALLA</v>
      </c>
      <c r="I948" s="149" t="s">
        <v>531</v>
      </c>
      <c r="J948" s="153" t="s">
        <v>532</v>
      </c>
      <c r="K948" s="149" t="s">
        <v>1781</v>
      </c>
      <c r="L948" s="157">
        <v>45476</v>
      </c>
      <c r="M948" s="164"/>
      <c r="N948" s="163">
        <v>1</v>
      </c>
      <c r="O948" s="165" t="s">
        <v>446</v>
      </c>
      <c r="P948" s="161">
        <v>1757.27</v>
      </c>
      <c r="Q948" s="196">
        <v>45432</v>
      </c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</row>
    <row r="949" spans="1:27">
      <c r="A949" s="154">
        <v>7</v>
      </c>
      <c r="B949" s="155" t="s">
        <v>1760</v>
      </c>
      <c r="C949" s="170">
        <v>45450</v>
      </c>
      <c r="D949" s="155" t="s">
        <v>440</v>
      </c>
      <c r="E949" s="149" t="s">
        <v>1782</v>
      </c>
      <c r="F949" s="149" t="s">
        <v>441</v>
      </c>
      <c r="G949" s="149" t="s">
        <v>442</v>
      </c>
      <c r="H949" s="149" t="str">
        <f t="shared" si="5"/>
        <v>ISIDORO RUBIO CORREA</v>
      </c>
      <c r="I949" s="149" t="s">
        <v>1783</v>
      </c>
      <c r="J949" s="159" t="s">
        <v>455</v>
      </c>
      <c r="K949" s="149" t="s">
        <v>1784</v>
      </c>
      <c r="L949" s="157">
        <v>45477</v>
      </c>
      <c r="M949" s="164"/>
      <c r="N949" s="163">
        <v>2</v>
      </c>
      <c r="O949" s="165" t="s">
        <v>446</v>
      </c>
      <c r="P949" s="161">
        <v>3635.45</v>
      </c>
      <c r="Q949" s="162">
        <v>45450</v>
      </c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</row>
    <row r="950" spans="1:27">
      <c r="A950" s="154">
        <v>7</v>
      </c>
      <c r="B950" s="155" t="s">
        <v>1760</v>
      </c>
      <c r="C950" s="195"/>
      <c r="D950" s="155" t="s">
        <v>440</v>
      </c>
      <c r="E950" s="149" t="s">
        <v>158</v>
      </c>
      <c r="F950" s="153" t="s">
        <v>441</v>
      </c>
      <c r="G950" s="149" t="s">
        <v>441</v>
      </c>
      <c r="H950" s="149" t="str">
        <f t="shared" si="5"/>
        <v>CARLOS BARAJAS DEL ROSAL</v>
      </c>
      <c r="I950" s="149" t="s">
        <v>660</v>
      </c>
      <c r="J950" s="153" t="s">
        <v>548</v>
      </c>
      <c r="K950" s="149" t="s">
        <v>1785</v>
      </c>
      <c r="L950" s="157">
        <v>45477</v>
      </c>
      <c r="M950" s="164"/>
      <c r="N950" s="163">
        <v>2</v>
      </c>
      <c r="O950" s="165" t="s">
        <v>1540</v>
      </c>
      <c r="P950" s="161">
        <v>4000</v>
      </c>
      <c r="Q950" s="196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</row>
    <row r="951" spans="1:27">
      <c r="A951" s="154">
        <v>7</v>
      </c>
      <c r="B951" s="155" t="s">
        <v>1760</v>
      </c>
      <c r="C951" s="195">
        <v>45397</v>
      </c>
      <c r="D951" s="155" t="s">
        <v>440</v>
      </c>
      <c r="E951" s="149" t="s">
        <v>102</v>
      </c>
      <c r="F951" s="153" t="s">
        <v>441</v>
      </c>
      <c r="G951" s="149" t="s">
        <v>442</v>
      </c>
      <c r="H951" s="149" t="str">
        <f t="shared" si="5"/>
        <v>SANTIAGO MORENO PAREDES</v>
      </c>
      <c r="I951" s="149" t="s">
        <v>968</v>
      </c>
      <c r="J951" s="153" t="s">
        <v>462</v>
      </c>
      <c r="K951" s="149" t="s">
        <v>1786</v>
      </c>
      <c r="L951" s="168">
        <v>45477</v>
      </c>
      <c r="M951" s="164"/>
      <c r="N951" s="163">
        <v>2</v>
      </c>
      <c r="O951" s="165" t="s">
        <v>446</v>
      </c>
      <c r="P951" s="161">
        <v>3710</v>
      </c>
      <c r="Q951" s="196">
        <v>45397</v>
      </c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</row>
    <row r="952" spans="1:27">
      <c r="A952" s="154">
        <v>7</v>
      </c>
      <c r="B952" s="155" t="s">
        <v>1760</v>
      </c>
      <c r="C952" s="195">
        <v>45453</v>
      </c>
      <c r="D952" s="155" t="s">
        <v>440</v>
      </c>
      <c r="E952" s="149" t="s">
        <v>201</v>
      </c>
      <c r="F952" s="153" t="s">
        <v>441</v>
      </c>
      <c r="G952" s="149" t="s">
        <v>442</v>
      </c>
      <c r="H952" s="149" t="str">
        <f t="shared" si="5"/>
        <v>CARLOS FÉLIX ASENSIO NIETO</v>
      </c>
      <c r="I952" s="149" t="s">
        <v>1097</v>
      </c>
      <c r="J952" s="153" t="s">
        <v>548</v>
      </c>
      <c r="K952" s="149" t="s">
        <v>1787</v>
      </c>
      <c r="L952" s="157">
        <v>45477</v>
      </c>
      <c r="M952" s="164"/>
      <c r="N952" s="163">
        <v>2</v>
      </c>
      <c r="O952" s="165" t="s">
        <v>513</v>
      </c>
      <c r="P952" s="161">
        <v>4276.3599999999997</v>
      </c>
      <c r="Q952" s="196">
        <v>45453</v>
      </c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</row>
    <row r="953" spans="1:27">
      <c r="A953" s="154">
        <v>7</v>
      </c>
      <c r="B953" s="155" t="s">
        <v>1760</v>
      </c>
      <c r="C953" s="195">
        <v>45434</v>
      </c>
      <c r="D953" s="166" t="s">
        <v>440</v>
      </c>
      <c r="E953" s="149" t="s">
        <v>150</v>
      </c>
      <c r="F953" s="153" t="s">
        <v>441</v>
      </c>
      <c r="G953" s="149" t="s">
        <v>442</v>
      </c>
      <c r="H953" s="149" t="str">
        <f t="shared" si="5"/>
        <v>MANUEL MATEOS FERNÁNDEZ</v>
      </c>
      <c r="I953" s="149" t="s">
        <v>1608</v>
      </c>
      <c r="J953" s="153" t="s">
        <v>636</v>
      </c>
      <c r="K953" s="149" t="s">
        <v>1788</v>
      </c>
      <c r="L953" s="157">
        <v>45477</v>
      </c>
      <c r="M953" s="164"/>
      <c r="N953" s="163">
        <v>2</v>
      </c>
      <c r="O953" s="165" t="s">
        <v>449</v>
      </c>
      <c r="P953" s="161">
        <v>2888.18</v>
      </c>
      <c r="Q953" s="196">
        <v>45434</v>
      </c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</row>
    <row r="954" spans="1:27">
      <c r="A954" s="154">
        <v>7</v>
      </c>
      <c r="B954" s="155" t="s">
        <v>1760</v>
      </c>
      <c r="C954" s="170"/>
      <c r="D954" s="155" t="s">
        <v>440</v>
      </c>
      <c r="E954" s="149" t="s">
        <v>138</v>
      </c>
      <c r="F954" s="149" t="s">
        <v>441</v>
      </c>
      <c r="G954" s="149" t="s">
        <v>442</v>
      </c>
      <c r="H954" s="149" t="str">
        <f t="shared" si="5"/>
        <v>ELADIO SICILIA MALUENDA</v>
      </c>
      <c r="I954" s="149" t="s">
        <v>1789</v>
      </c>
      <c r="J954" s="159" t="s">
        <v>532</v>
      </c>
      <c r="K954" s="149" t="s">
        <v>1790</v>
      </c>
      <c r="L954" s="157">
        <v>45478</v>
      </c>
      <c r="M954" s="164"/>
      <c r="N954" s="163">
        <v>2</v>
      </c>
      <c r="O954" s="165" t="s">
        <v>1540</v>
      </c>
      <c r="P954" s="161">
        <v>4000</v>
      </c>
      <c r="Q954" s="162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</row>
    <row r="955" spans="1:27">
      <c r="A955" s="154">
        <v>7</v>
      </c>
      <c r="B955" s="155" t="s">
        <v>1760</v>
      </c>
      <c r="C955" s="195">
        <v>45398</v>
      </c>
      <c r="D955" s="155" t="s">
        <v>440</v>
      </c>
      <c r="E955" s="149" t="s">
        <v>122</v>
      </c>
      <c r="F955" s="153" t="s">
        <v>441</v>
      </c>
      <c r="G955" s="149" t="s">
        <v>442</v>
      </c>
      <c r="H955" s="149" t="str">
        <f t="shared" si="5"/>
        <v>MAR LASSO DE LA VEGA ZAMORA</v>
      </c>
      <c r="I955" s="149" t="s">
        <v>909</v>
      </c>
      <c r="J955" s="153" t="s">
        <v>444</v>
      </c>
      <c r="K955" s="149" t="s">
        <v>1791</v>
      </c>
      <c r="L955" s="168">
        <v>45478</v>
      </c>
      <c r="M955" s="164"/>
      <c r="N955" s="163">
        <v>2</v>
      </c>
      <c r="O955" s="165" t="s">
        <v>449</v>
      </c>
      <c r="P955" s="161">
        <v>2780.77</v>
      </c>
      <c r="Q955" s="196">
        <v>45398</v>
      </c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</row>
    <row r="956" spans="1:27">
      <c r="A956" s="154">
        <v>7</v>
      </c>
      <c r="B956" s="155" t="s">
        <v>1760</v>
      </c>
      <c r="C956" s="195">
        <v>45478</v>
      </c>
      <c r="D956" s="155" t="s">
        <v>440</v>
      </c>
      <c r="E956" s="149" t="s">
        <v>158</v>
      </c>
      <c r="F956" s="153" t="s">
        <v>441</v>
      </c>
      <c r="G956" s="149" t="s">
        <v>442</v>
      </c>
      <c r="H956" s="149" t="str">
        <f t="shared" si="5"/>
        <v>NO REUERDA ORL</v>
      </c>
      <c r="I956" s="149" t="s">
        <v>469</v>
      </c>
      <c r="J956" s="153" t="s">
        <v>444</v>
      </c>
      <c r="K956" s="149" t="s">
        <v>1792</v>
      </c>
      <c r="L956" s="157">
        <v>45478</v>
      </c>
      <c r="M956" s="164"/>
      <c r="N956" s="163">
        <v>1</v>
      </c>
      <c r="O956" s="165" t="s">
        <v>1540</v>
      </c>
      <c r="P956" s="161">
        <v>2400</v>
      </c>
      <c r="Q956" s="196">
        <v>45478</v>
      </c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</row>
    <row r="957" spans="1:27">
      <c r="A957" s="154">
        <v>7</v>
      </c>
      <c r="B957" s="155" t="s">
        <v>1760</v>
      </c>
      <c r="C957" s="195">
        <v>45443</v>
      </c>
      <c r="D957" s="155" t="s">
        <v>440</v>
      </c>
      <c r="E957" s="149" t="s">
        <v>129</v>
      </c>
      <c r="F957" s="153" t="s">
        <v>441</v>
      </c>
      <c r="G957" s="149" t="s">
        <v>442</v>
      </c>
      <c r="H957" s="149" t="str">
        <f t="shared" si="5"/>
        <v>JOSE ANTONIO TORRE EIRIZ</v>
      </c>
      <c r="I957" s="149" t="s">
        <v>1793</v>
      </c>
      <c r="J957" s="153" t="s">
        <v>516</v>
      </c>
      <c r="K957" s="149" t="s">
        <v>1794</v>
      </c>
      <c r="L957" s="168">
        <v>45478</v>
      </c>
      <c r="M957" s="164"/>
      <c r="N957" s="163">
        <v>2</v>
      </c>
      <c r="O957" s="165" t="s">
        <v>466</v>
      </c>
      <c r="P957" s="161">
        <v>4000</v>
      </c>
      <c r="Q957" s="196">
        <v>45443</v>
      </c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</row>
    <row r="958" spans="1:27">
      <c r="A958" s="154">
        <v>7</v>
      </c>
      <c r="B958" s="155" t="s">
        <v>1760</v>
      </c>
      <c r="C958" s="195">
        <v>45468</v>
      </c>
      <c r="D958" s="155" t="s">
        <v>440</v>
      </c>
      <c r="E958" s="149" t="s">
        <v>201</v>
      </c>
      <c r="F958" s="153" t="s">
        <v>441</v>
      </c>
      <c r="G958" s="149" t="s">
        <v>442</v>
      </c>
      <c r="H958" s="149" t="str">
        <f t="shared" si="5"/>
        <v>JORGE PRADA PENDOLERO</v>
      </c>
      <c r="I958" s="149" t="s">
        <v>701</v>
      </c>
      <c r="J958" s="153" t="s">
        <v>444</v>
      </c>
      <c r="K958" s="149" t="s">
        <v>1795</v>
      </c>
      <c r="L958" s="157">
        <v>45478</v>
      </c>
      <c r="M958" s="164"/>
      <c r="N958" s="163">
        <v>1</v>
      </c>
      <c r="O958" s="165" t="s">
        <v>446</v>
      </c>
      <c r="P958" s="161">
        <v>2226.36</v>
      </c>
      <c r="Q958" s="196">
        <v>45468</v>
      </c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</row>
    <row r="959" spans="1:27">
      <c r="A959" s="154">
        <v>7</v>
      </c>
      <c r="B959" s="155" t="s">
        <v>1760</v>
      </c>
      <c r="C959" s="195">
        <v>45427</v>
      </c>
      <c r="D959" s="155" t="s">
        <v>440</v>
      </c>
      <c r="E959" s="149" t="s">
        <v>530</v>
      </c>
      <c r="F959" s="153" t="s">
        <v>441</v>
      </c>
      <c r="G959" s="149" t="s">
        <v>442</v>
      </c>
      <c r="H959" s="149" t="str">
        <f t="shared" si="5"/>
        <v>JOSEP MARIA ORRIT ARENAS</v>
      </c>
      <c r="I959" s="149" t="s">
        <v>954</v>
      </c>
      <c r="J959" s="153" t="s">
        <v>532</v>
      </c>
      <c r="K959" s="149" t="s">
        <v>1796</v>
      </c>
      <c r="L959" s="157">
        <v>45478</v>
      </c>
      <c r="M959" s="164"/>
      <c r="N959" s="163">
        <v>1</v>
      </c>
      <c r="O959" s="165" t="s">
        <v>518</v>
      </c>
      <c r="P959" s="161">
        <v>1272.73</v>
      </c>
      <c r="Q959" s="196">
        <v>45427</v>
      </c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</row>
    <row r="960" spans="1:27">
      <c r="A960" s="154">
        <v>7</v>
      </c>
      <c r="B960" s="155" t="s">
        <v>1760</v>
      </c>
      <c r="C960" s="170"/>
      <c r="D960" s="155" t="s">
        <v>440</v>
      </c>
      <c r="E960" s="149" t="s">
        <v>317</v>
      </c>
      <c r="F960" s="149" t="s">
        <v>441</v>
      </c>
      <c r="G960" s="149" t="s">
        <v>442</v>
      </c>
      <c r="H960" s="149" t="str">
        <f t="shared" si="5"/>
        <v>IRENE MONJAS CANOVAS</v>
      </c>
      <c r="I960" s="149" t="s">
        <v>1498</v>
      </c>
      <c r="J960" s="159" t="s">
        <v>462</v>
      </c>
      <c r="K960" s="149" t="s">
        <v>1797</v>
      </c>
      <c r="L960" s="157">
        <v>45481</v>
      </c>
      <c r="M960" s="164"/>
      <c r="N960" s="163">
        <v>2</v>
      </c>
      <c r="O960" s="165" t="s">
        <v>446</v>
      </c>
      <c r="P960" s="161">
        <v>3604.55</v>
      </c>
      <c r="Q960" s="162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</row>
    <row r="961" spans="1:27">
      <c r="A961" s="154">
        <v>7</v>
      </c>
      <c r="B961" s="155" t="s">
        <v>1760</v>
      </c>
      <c r="C961" s="170">
        <v>45441</v>
      </c>
      <c r="D961" s="155" t="s">
        <v>440</v>
      </c>
      <c r="E961" s="149" t="s">
        <v>1782</v>
      </c>
      <c r="F961" s="149" t="s">
        <v>441</v>
      </c>
      <c r="G961" s="149" t="s">
        <v>442</v>
      </c>
      <c r="H961" s="149" t="str">
        <f t="shared" si="5"/>
        <v>TOMAS MOGOLLON CANO CORTES</v>
      </c>
      <c r="I961" s="149" t="s">
        <v>1045</v>
      </c>
      <c r="J961" s="159" t="s">
        <v>455</v>
      </c>
      <c r="K961" s="149" t="s">
        <v>1798</v>
      </c>
      <c r="L961" s="157">
        <v>45481</v>
      </c>
      <c r="M961" s="164"/>
      <c r="N961" s="163">
        <v>2</v>
      </c>
      <c r="O961" s="192" t="s">
        <v>446</v>
      </c>
      <c r="P961" s="161">
        <v>3635.45</v>
      </c>
      <c r="Q961" s="162">
        <v>45441</v>
      </c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</row>
    <row r="962" spans="1:27">
      <c r="A962" s="154">
        <v>7</v>
      </c>
      <c r="B962" s="155" t="s">
        <v>1760</v>
      </c>
      <c r="C962" s="195">
        <v>45453</v>
      </c>
      <c r="D962" s="155" t="s">
        <v>440</v>
      </c>
      <c r="E962" s="149" t="s">
        <v>563</v>
      </c>
      <c r="F962" s="153" t="s">
        <v>441</v>
      </c>
      <c r="G962" s="149" t="s">
        <v>442</v>
      </c>
      <c r="H962" s="149" t="str">
        <f t="shared" si="5"/>
        <v>MARÍA CECILIA SCOLA TORRES</v>
      </c>
      <c r="I962" s="149" t="s">
        <v>1799</v>
      </c>
      <c r="J962" s="153" t="s">
        <v>444</v>
      </c>
      <c r="K962" s="149" t="s">
        <v>1800</v>
      </c>
      <c r="L962" s="157">
        <v>45481</v>
      </c>
      <c r="M962" s="164"/>
      <c r="N962" s="163">
        <v>1</v>
      </c>
      <c r="O962" s="165" t="s">
        <v>449</v>
      </c>
      <c r="P962" s="161">
        <v>1645.45</v>
      </c>
      <c r="Q962" s="196">
        <v>45453</v>
      </c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</row>
    <row r="963" spans="1:27">
      <c r="A963" s="154">
        <v>7</v>
      </c>
      <c r="B963" s="155" t="s">
        <v>1760</v>
      </c>
      <c r="C963" s="195">
        <v>45450</v>
      </c>
      <c r="D963" s="155" t="s">
        <v>440</v>
      </c>
      <c r="E963" s="149" t="s">
        <v>102</v>
      </c>
      <c r="F963" s="153" t="s">
        <v>441</v>
      </c>
      <c r="G963" s="149" t="s">
        <v>442</v>
      </c>
      <c r="H963" s="149" t="str">
        <f t="shared" si="5"/>
        <v>JOSÉ GARCÍA MORILLAS</v>
      </c>
      <c r="I963" s="149" t="s">
        <v>975</v>
      </c>
      <c r="J963" s="153" t="s">
        <v>462</v>
      </c>
      <c r="K963" s="149" t="s">
        <v>1801</v>
      </c>
      <c r="L963" s="168">
        <v>45481</v>
      </c>
      <c r="M963" s="164"/>
      <c r="N963" s="163">
        <v>2</v>
      </c>
      <c r="O963" s="165" t="s">
        <v>1540</v>
      </c>
      <c r="P963" s="161">
        <v>4000</v>
      </c>
      <c r="Q963" s="196">
        <v>45450</v>
      </c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</row>
    <row r="964" spans="1:27">
      <c r="A964" s="154">
        <v>7</v>
      </c>
      <c r="B964" s="155" t="s">
        <v>1760</v>
      </c>
      <c r="C964" s="195">
        <v>45462</v>
      </c>
      <c r="D964" s="155" t="s">
        <v>440</v>
      </c>
      <c r="E964" s="149" t="s">
        <v>201</v>
      </c>
      <c r="F964" s="153" t="s">
        <v>441</v>
      </c>
      <c r="G964" s="149" t="s">
        <v>442</v>
      </c>
      <c r="H964" s="149" t="str">
        <f t="shared" si="5"/>
        <v>CARLOS FÉLIX ASENSIO NIETO</v>
      </c>
      <c r="I964" s="149" t="s">
        <v>1097</v>
      </c>
      <c r="J964" s="153" t="s">
        <v>548</v>
      </c>
      <c r="K964" s="149" t="s">
        <v>1802</v>
      </c>
      <c r="L964" s="157">
        <v>45481</v>
      </c>
      <c r="M964" s="164"/>
      <c r="N964" s="163">
        <v>2</v>
      </c>
      <c r="O964" s="165" t="s">
        <v>1540</v>
      </c>
      <c r="P964" s="161">
        <v>4000</v>
      </c>
      <c r="Q964" s="196">
        <v>45462</v>
      </c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</row>
    <row r="965" spans="1:27">
      <c r="A965" s="154">
        <v>7</v>
      </c>
      <c r="B965" s="155" t="s">
        <v>1760</v>
      </c>
      <c r="C965" s="170"/>
      <c r="D965" s="155" t="s">
        <v>440</v>
      </c>
      <c r="E965" s="149" t="s">
        <v>460</v>
      </c>
      <c r="F965" s="149" t="s">
        <v>441</v>
      </c>
      <c r="G965" s="149" t="s">
        <v>442</v>
      </c>
      <c r="H965" s="149" t="str">
        <f t="shared" si="5"/>
        <v>MARÍA EMILIA GARCÍA RUÍZ</v>
      </c>
      <c r="I965" s="149" t="s">
        <v>1037</v>
      </c>
      <c r="J965" s="159" t="s">
        <v>462</v>
      </c>
      <c r="K965" s="149" t="s">
        <v>1803</v>
      </c>
      <c r="L965" s="157">
        <v>45482</v>
      </c>
      <c r="M965" s="164"/>
      <c r="N965" s="163">
        <v>1</v>
      </c>
      <c r="O965" s="165" t="s">
        <v>446</v>
      </c>
      <c r="P965" s="161">
        <v>2226.44</v>
      </c>
      <c r="Q965" s="162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</row>
    <row r="966" spans="1:27">
      <c r="A966" s="154">
        <v>7</v>
      </c>
      <c r="B966" s="155" t="s">
        <v>1760</v>
      </c>
      <c r="C966" s="170">
        <v>45426</v>
      </c>
      <c r="D966" s="155" t="s">
        <v>440</v>
      </c>
      <c r="E966" s="149" t="s">
        <v>514</v>
      </c>
      <c r="F966" s="149" t="s">
        <v>441</v>
      </c>
      <c r="G966" s="149" t="s">
        <v>442</v>
      </c>
      <c r="H966" s="149" t="str">
        <f t="shared" si="5"/>
        <v>ISABEL PENSADO BANET</v>
      </c>
      <c r="I966" s="149" t="s">
        <v>1446</v>
      </c>
      <c r="J966" s="159" t="s">
        <v>516</v>
      </c>
      <c r="K966" s="149" t="s">
        <v>1804</v>
      </c>
      <c r="L966" s="157">
        <v>45482</v>
      </c>
      <c r="M966" s="164"/>
      <c r="N966" s="163">
        <v>2</v>
      </c>
      <c r="O966" s="192" t="s">
        <v>518</v>
      </c>
      <c r="P966" s="161">
        <v>2363.64</v>
      </c>
      <c r="Q966" s="162">
        <v>45426</v>
      </c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</row>
    <row r="967" spans="1:27">
      <c r="A967" s="154">
        <v>7</v>
      </c>
      <c r="B967" s="155" t="s">
        <v>1760</v>
      </c>
      <c r="C967" s="170">
        <v>45442</v>
      </c>
      <c r="D967" s="166" t="s">
        <v>440</v>
      </c>
      <c r="E967" s="149" t="s">
        <v>311</v>
      </c>
      <c r="F967" s="149" t="s">
        <v>441</v>
      </c>
      <c r="G967" s="149" t="s">
        <v>442</v>
      </c>
      <c r="H967" s="149" t="str">
        <f t="shared" si="5"/>
        <v>VICTORIA GARCÍA PECES</v>
      </c>
      <c r="I967" s="149" t="s">
        <v>488</v>
      </c>
      <c r="J967" s="149" t="s">
        <v>444</v>
      </c>
      <c r="K967" s="149" t="s">
        <v>1805</v>
      </c>
      <c r="L967" s="168">
        <v>45482</v>
      </c>
      <c r="M967" s="164"/>
      <c r="N967" s="163">
        <v>2</v>
      </c>
      <c r="O967" s="165" t="s">
        <v>513</v>
      </c>
      <c r="P967" s="161">
        <v>3910.58</v>
      </c>
      <c r="Q967" s="162">
        <v>45442</v>
      </c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</row>
    <row r="968" spans="1:27">
      <c r="A968" s="154">
        <v>7</v>
      </c>
      <c r="B968" s="155" t="s">
        <v>1760</v>
      </c>
      <c r="C968" s="195">
        <v>45453</v>
      </c>
      <c r="D968" s="155" t="s">
        <v>440</v>
      </c>
      <c r="E968" s="149" t="s">
        <v>122</v>
      </c>
      <c r="F968" s="153" t="s">
        <v>441</v>
      </c>
      <c r="G968" s="149" t="s">
        <v>442</v>
      </c>
      <c r="H968" s="149" t="str">
        <f t="shared" si="5"/>
        <v>JESÚS RAMOS FERNÁNDEZ</v>
      </c>
      <c r="I968" s="149" t="s">
        <v>649</v>
      </c>
      <c r="J968" s="153" t="s">
        <v>444</v>
      </c>
      <c r="K968" s="149" t="s">
        <v>1806</v>
      </c>
      <c r="L968" s="157">
        <v>45482</v>
      </c>
      <c r="M968" s="164"/>
      <c r="N968" s="163">
        <v>1</v>
      </c>
      <c r="O968" s="165" t="s">
        <v>449</v>
      </c>
      <c r="P968" s="161">
        <v>1732.73</v>
      </c>
      <c r="Q968" s="196">
        <v>45453</v>
      </c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</row>
    <row r="969" spans="1:27">
      <c r="A969" s="154">
        <v>7</v>
      </c>
      <c r="B969" s="155" t="s">
        <v>1760</v>
      </c>
      <c r="C969" s="195">
        <v>45449</v>
      </c>
      <c r="D969" s="155" t="s">
        <v>440</v>
      </c>
      <c r="E969" s="149" t="s">
        <v>309</v>
      </c>
      <c r="F969" s="153" t="s">
        <v>441</v>
      </c>
      <c r="G969" s="149" t="s">
        <v>442</v>
      </c>
      <c r="H969" s="149" t="str">
        <f t="shared" si="5"/>
        <v>CRISTINA POVEDANO FERNÁNDEZ</v>
      </c>
      <c r="I969" s="149" t="s">
        <v>1807</v>
      </c>
      <c r="J969" s="153" t="s">
        <v>444</v>
      </c>
      <c r="K969" s="149" t="s">
        <v>1808</v>
      </c>
      <c r="L969" s="168">
        <v>45482</v>
      </c>
      <c r="M969" s="164"/>
      <c r="N969" s="163">
        <v>2</v>
      </c>
      <c r="O969" s="165" t="s">
        <v>446</v>
      </c>
      <c r="P969" s="161">
        <v>3454.55</v>
      </c>
      <c r="Q969" s="196">
        <v>45449</v>
      </c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</row>
    <row r="970" spans="1:27">
      <c r="A970" s="154">
        <v>7</v>
      </c>
      <c r="B970" s="155" t="s">
        <v>1760</v>
      </c>
      <c r="C970" s="195">
        <v>45461</v>
      </c>
      <c r="D970" s="155" t="s">
        <v>440</v>
      </c>
      <c r="E970" s="149" t="s">
        <v>190</v>
      </c>
      <c r="F970" s="153" t="s">
        <v>441</v>
      </c>
      <c r="G970" s="149" t="s">
        <v>442</v>
      </c>
      <c r="H970" s="149" t="str">
        <f t="shared" ref="H970:H1224" si="6">TRIM(SUBSTITUTE(SUBSTITUTE(SUBSTITUTE(SUBSTITUTE(I970,"DR. ",""),"DRA. ",""),"DR ",""),"DRA ",""))</f>
        <v>ANDRÉS BARRIOS RECIO</v>
      </c>
      <c r="I970" s="149" t="s">
        <v>807</v>
      </c>
      <c r="J970" s="153" t="s">
        <v>462</v>
      </c>
      <c r="K970" s="149" t="s">
        <v>1809</v>
      </c>
      <c r="L970" s="168">
        <v>45482</v>
      </c>
      <c r="M970" s="164"/>
      <c r="N970" s="163">
        <v>2</v>
      </c>
      <c r="O970" s="165" t="s">
        <v>446</v>
      </c>
      <c r="P970" s="161">
        <v>3710</v>
      </c>
      <c r="Q970" s="196">
        <v>45461</v>
      </c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</row>
    <row r="971" spans="1:27">
      <c r="A971" s="154">
        <v>7</v>
      </c>
      <c r="B971" s="155" t="s">
        <v>1760</v>
      </c>
      <c r="C971" s="195">
        <v>45453</v>
      </c>
      <c r="D971" s="155" t="s">
        <v>440</v>
      </c>
      <c r="E971" s="149" t="s">
        <v>150</v>
      </c>
      <c r="F971" s="153" t="s">
        <v>441</v>
      </c>
      <c r="G971" s="149" t="s">
        <v>442</v>
      </c>
      <c r="H971" s="149" t="str">
        <f t="shared" si="6"/>
        <v>RAIMON GARCÍA CHILLERÓN</v>
      </c>
      <c r="I971" s="149" t="s">
        <v>943</v>
      </c>
      <c r="J971" s="153" t="s">
        <v>636</v>
      </c>
      <c r="K971" s="149" t="s">
        <v>1810</v>
      </c>
      <c r="L971" s="157">
        <v>45482</v>
      </c>
      <c r="M971" s="164"/>
      <c r="N971" s="163">
        <v>2</v>
      </c>
      <c r="O971" s="165" t="s">
        <v>1540</v>
      </c>
      <c r="P971" s="161">
        <v>4000</v>
      </c>
      <c r="Q971" s="196">
        <v>45453</v>
      </c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</row>
    <row r="972" spans="1:27">
      <c r="A972" s="154">
        <v>7</v>
      </c>
      <c r="B972" s="155" t="s">
        <v>1760</v>
      </c>
      <c r="C972" s="195">
        <v>45469</v>
      </c>
      <c r="D972" s="155" t="s">
        <v>440</v>
      </c>
      <c r="E972" s="149" t="s">
        <v>158</v>
      </c>
      <c r="F972" s="153" t="s">
        <v>441</v>
      </c>
      <c r="G972" s="149" t="s">
        <v>441</v>
      </c>
      <c r="H972" s="149" t="str">
        <f t="shared" si="6"/>
        <v>CARLOS BARAJAS DEL ROSAL</v>
      </c>
      <c r="I972" s="149" t="s">
        <v>660</v>
      </c>
      <c r="J972" s="153" t="s">
        <v>548</v>
      </c>
      <c r="K972" s="149" t="s">
        <v>1811</v>
      </c>
      <c r="L972" s="168">
        <v>45483</v>
      </c>
      <c r="M972" s="164"/>
      <c r="N972" s="163">
        <v>1</v>
      </c>
      <c r="O972" s="165" t="s">
        <v>513</v>
      </c>
      <c r="P972" s="161">
        <v>2640</v>
      </c>
      <c r="Q972" s="196">
        <v>45469</v>
      </c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</row>
    <row r="973" spans="1:27">
      <c r="A973" s="154">
        <v>7</v>
      </c>
      <c r="B973" s="155" t="s">
        <v>1760</v>
      </c>
      <c r="C973" s="195">
        <v>45414</v>
      </c>
      <c r="D973" s="155" t="s">
        <v>440</v>
      </c>
      <c r="E973" s="149" t="s">
        <v>1763</v>
      </c>
      <c r="F973" s="153" t="s">
        <v>441</v>
      </c>
      <c r="G973" s="149" t="s">
        <v>442</v>
      </c>
      <c r="H973" s="149" t="str">
        <f t="shared" si="6"/>
        <v>MARÍA JESÚS CORNEJO DOMÍNGUEZ</v>
      </c>
      <c r="I973" s="149" t="s">
        <v>507</v>
      </c>
      <c r="J973" s="153" t="s">
        <v>473</v>
      </c>
      <c r="K973" s="149" t="s">
        <v>1812</v>
      </c>
      <c r="L973" s="168">
        <v>45483</v>
      </c>
      <c r="M973" s="164"/>
      <c r="N973" s="163">
        <v>2</v>
      </c>
      <c r="O973" s="165" t="s">
        <v>449</v>
      </c>
      <c r="P973" s="161">
        <v>2780.91</v>
      </c>
      <c r="Q973" s="196">
        <v>45414</v>
      </c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</row>
    <row r="974" spans="1:27">
      <c r="A974" s="154">
        <v>7</v>
      </c>
      <c r="B974" s="155" t="s">
        <v>1760</v>
      </c>
      <c r="C974" s="195">
        <v>45434</v>
      </c>
      <c r="D974" s="155" t="s">
        <v>440</v>
      </c>
      <c r="E974" s="149" t="s">
        <v>530</v>
      </c>
      <c r="F974" s="153" t="s">
        <v>441</v>
      </c>
      <c r="G974" s="149" t="s">
        <v>442</v>
      </c>
      <c r="H974" s="149" t="str">
        <f t="shared" si="6"/>
        <v>JOAQUIM BROTO SUMALLA</v>
      </c>
      <c r="I974" s="149" t="s">
        <v>531</v>
      </c>
      <c r="J974" s="153" t="s">
        <v>532</v>
      </c>
      <c r="K974" s="149" t="s">
        <v>1813</v>
      </c>
      <c r="L974" s="157">
        <v>45483</v>
      </c>
      <c r="M974" s="164"/>
      <c r="N974" s="163">
        <v>1</v>
      </c>
      <c r="O974" s="165" t="s">
        <v>518</v>
      </c>
      <c r="P974" s="161">
        <v>1313.64</v>
      </c>
      <c r="Q974" s="196">
        <v>45434</v>
      </c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</row>
    <row r="975" spans="1:27">
      <c r="A975" s="154">
        <v>7</v>
      </c>
      <c r="B975" s="155" t="s">
        <v>1760</v>
      </c>
      <c r="C975" s="170"/>
      <c r="D975" s="155" t="s">
        <v>440</v>
      </c>
      <c r="E975" s="149" t="s">
        <v>138</v>
      </c>
      <c r="F975" s="149" t="s">
        <v>441</v>
      </c>
      <c r="G975" s="149" t="s">
        <v>442</v>
      </c>
      <c r="H975" s="149" t="str">
        <f t="shared" si="6"/>
        <v>MARTA SANDOVAL PUIG</v>
      </c>
      <c r="I975" s="149" t="s">
        <v>781</v>
      </c>
      <c r="J975" s="159" t="s">
        <v>532</v>
      </c>
      <c r="K975" s="149" t="s">
        <v>1814</v>
      </c>
      <c r="L975" s="157">
        <v>45484</v>
      </c>
      <c r="M975" s="164"/>
      <c r="N975" s="163">
        <v>1</v>
      </c>
      <c r="O975" s="192" t="s">
        <v>1540</v>
      </c>
      <c r="P975" s="161">
        <v>2400</v>
      </c>
      <c r="Q975" s="162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</row>
    <row r="976" spans="1:27">
      <c r="A976" s="154">
        <v>7</v>
      </c>
      <c r="B976" s="155" t="s">
        <v>1760</v>
      </c>
      <c r="C976" s="170">
        <v>45471</v>
      </c>
      <c r="D976" s="155" t="s">
        <v>440</v>
      </c>
      <c r="E976" s="149" t="s">
        <v>1815</v>
      </c>
      <c r="F976" s="149" t="s">
        <v>441</v>
      </c>
      <c r="G976" s="149" t="s">
        <v>442</v>
      </c>
      <c r="H976" s="149" t="str">
        <f t="shared" si="6"/>
        <v>MANUEL CAÑETE DOMÍNGUEZ</v>
      </c>
      <c r="I976" s="149" t="s">
        <v>1380</v>
      </c>
      <c r="J976" s="159" t="s">
        <v>548</v>
      </c>
      <c r="K976" s="149" t="s">
        <v>1816</v>
      </c>
      <c r="L976" s="157">
        <v>45484</v>
      </c>
      <c r="M976" s="164"/>
      <c r="N976" s="163">
        <v>2</v>
      </c>
      <c r="O976" s="165" t="s">
        <v>513</v>
      </c>
      <c r="P976" s="161">
        <v>3954.55</v>
      </c>
      <c r="Q976" s="162">
        <v>45471</v>
      </c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</row>
    <row r="977" spans="1:27">
      <c r="A977" s="154">
        <v>7</v>
      </c>
      <c r="B977" s="155" t="s">
        <v>1760</v>
      </c>
      <c r="C977" s="195">
        <v>45427</v>
      </c>
      <c r="D977" s="155" t="s">
        <v>440</v>
      </c>
      <c r="E977" s="149" t="s">
        <v>1817</v>
      </c>
      <c r="F977" s="153" t="s">
        <v>441</v>
      </c>
      <c r="G977" s="149" t="s">
        <v>442</v>
      </c>
      <c r="H977" s="149" t="str">
        <f t="shared" si="6"/>
        <v>FERNANDO SALAZAR BARCELONA</v>
      </c>
      <c r="I977" s="149" t="s">
        <v>502</v>
      </c>
      <c r="J977" s="153" t="s">
        <v>548</v>
      </c>
      <c r="K977" s="149" t="s">
        <v>1818</v>
      </c>
      <c r="L977" s="157">
        <v>45484</v>
      </c>
      <c r="M977" s="164"/>
      <c r="N977" s="163">
        <v>2</v>
      </c>
      <c r="O977" s="165" t="s">
        <v>446</v>
      </c>
      <c r="P977" s="161">
        <v>3363.64</v>
      </c>
      <c r="Q977" s="196">
        <v>45427</v>
      </c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</row>
    <row r="978" spans="1:27">
      <c r="A978" s="154">
        <v>7</v>
      </c>
      <c r="B978" s="155" t="s">
        <v>1760</v>
      </c>
      <c r="C978" s="195">
        <v>45442</v>
      </c>
      <c r="D978" s="155" t="s">
        <v>440</v>
      </c>
      <c r="E978" s="149" t="s">
        <v>671</v>
      </c>
      <c r="F978" s="153" t="s">
        <v>441</v>
      </c>
      <c r="G978" s="149" t="s">
        <v>442</v>
      </c>
      <c r="H978" s="149" t="str">
        <f t="shared" si="6"/>
        <v>PEDRO JUIZ LÓPEZ</v>
      </c>
      <c r="I978" s="149" t="s">
        <v>672</v>
      </c>
      <c r="J978" s="153" t="s">
        <v>516</v>
      </c>
      <c r="K978" s="149" t="s">
        <v>1819</v>
      </c>
      <c r="L978" s="157">
        <v>45484</v>
      </c>
      <c r="M978" s="164"/>
      <c r="N978" s="163">
        <v>1</v>
      </c>
      <c r="O978" s="165" t="s">
        <v>446</v>
      </c>
      <c r="P978" s="161">
        <v>2136.36</v>
      </c>
      <c r="Q978" s="196">
        <v>45442</v>
      </c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</row>
    <row r="979" spans="1:27">
      <c r="A979" s="154">
        <v>7</v>
      </c>
      <c r="B979" s="155" t="s">
        <v>1760</v>
      </c>
      <c r="C979" s="195">
        <v>45467</v>
      </c>
      <c r="D979" s="155" t="s">
        <v>440</v>
      </c>
      <c r="E979" s="149" t="s">
        <v>158</v>
      </c>
      <c r="F979" s="153" t="s">
        <v>441</v>
      </c>
      <c r="G979" s="149" t="s">
        <v>441</v>
      </c>
      <c r="H979" s="149" t="str">
        <f t="shared" si="6"/>
        <v>MIGUEL VACA GONZÁLEZ</v>
      </c>
      <c r="I979" s="149" t="s">
        <v>1347</v>
      </c>
      <c r="J979" s="153" t="s">
        <v>444</v>
      </c>
      <c r="K979" s="149" t="s">
        <v>1820</v>
      </c>
      <c r="L979" s="157">
        <v>45484</v>
      </c>
      <c r="M979" s="164"/>
      <c r="N979" s="163">
        <v>1</v>
      </c>
      <c r="O979" s="165" t="s">
        <v>446</v>
      </c>
      <c r="P979" s="161">
        <v>2226.36</v>
      </c>
      <c r="Q979" s="196">
        <v>45467</v>
      </c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</row>
    <row r="980" spans="1:27">
      <c r="A980" s="154">
        <v>7</v>
      </c>
      <c r="B980" s="155" t="s">
        <v>1760</v>
      </c>
      <c r="C980" s="195">
        <v>45455</v>
      </c>
      <c r="D980" s="155" t="s">
        <v>440</v>
      </c>
      <c r="E980" s="149" t="s">
        <v>129</v>
      </c>
      <c r="F980" s="153" t="s">
        <v>441</v>
      </c>
      <c r="G980" s="149" t="s">
        <v>442</v>
      </c>
      <c r="H980" s="149" t="str">
        <f t="shared" si="6"/>
        <v>MARÍA REY MARCOS</v>
      </c>
      <c r="I980" s="149" t="s">
        <v>678</v>
      </c>
      <c r="J980" s="153" t="s">
        <v>516</v>
      </c>
      <c r="K980" s="149" t="s">
        <v>1821</v>
      </c>
      <c r="L980" s="168">
        <v>45484</v>
      </c>
      <c r="M980" s="164"/>
      <c r="N980" s="163">
        <v>2</v>
      </c>
      <c r="O980" s="165" t="s">
        <v>466</v>
      </c>
      <c r="P980" s="161">
        <v>3999.85</v>
      </c>
      <c r="Q980" s="196">
        <v>45455</v>
      </c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</row>
    <row r="981" spans="1:27">
      <c r="A981" s="154">
        <v>7</v>
      </c>
      <c r="B981" s="155" t="s">
        <v>1760</v>
      </c>
      <c r="C981" s="195">
        <v>45455</v>
      </c>
      <c r="D981" s="155" t="s">
        <v>440</v>
      </c>
      <c r="E981" s="149" t="s">
        <v>129</v>
      </c>
      <c r="F981" s="153" t="s">
        <v>441</v>
      </c>
      <c r="G981" s="149" t="s">
        <v>442</v>
      </c>
      <c r="H981" s="149" t="str">
        <f t="shared" si="6"/>
        <v>MARÍA REY MARCOS</v>
      </c>
      <c r="I981" s="149" t="s">
        <v>678</v>
      </c>
      <c r="J981" s="153" t="s">
        <v>516</v>
      </c>
      <c r="K981" s="149" t="s">
        <v>1822</v>
      </c>
      <c r="L981" s="168">
        <v>45484</v>
      </c>
      <c r="M981" s="164"/>
      <c r="N981" s="163">
        <v>2</v>
      </c>
      <c r="O981" s="165" t="s">
        <v>466</v>
      </c>
      <c r="P981" s="161">
        <v>4000</v>
      </c>
      <c r="Q981" s="196">
        <v>45455</v>
      </c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</row>
    <row r="982" spans="1:27">
      <c r="A982" s="154">
        <v>7</v>
      </c>
      <c r="B982" s="155" t="s">
        <v>1760</v>
      </c>
      <c r="C982" s="195">
        <v>45443</v>
      </c>
      <c r="D982" s="155" t="s">
        <v>440</v>
      </c>
      <c r="E982" s="149" t="s">
        <v>102</v>
      </c>
      <c r="F982" s="153" t="s">
        <v>441</v>
      </c>
      <c r="G982" s="149" t="s">
        <v>442</v>
      </c>
      <c r="H982" s="149" t="str">
        <f t="shared" si="6"/>
        <v>JUAN JAVIER ÁLVAREZ LÓPEZ</v>
      </c>
      <c r="I982" s="149" t="s">
        <v>664</v>
      </c>
      <c r="J982" s="153" t="s">
        <v>462</v>
      </c>
      <c r="K982" s="149" t="s">
        <v>1823</v>
      </c>
      <c r="L982" s="168">
        <v>45484</v>
      </c>
      <c r="M982" s="164"/>
      <c r="N982" s="163">
        <v>2</v>
      </c>
      <c r="O982" s="165" t="s">
        <v>449</v>
      </c>
      <c r="P982" s="161">
        <v>2888.18</v>
      </c>
      <c r="Q982" s="196">
        <v>45443</v>
      </c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</row>
    <row r="983" spans="1:27">
      <c r="A983" s="154">
        <v>7</v>
      </c>
      <c r="B983" s="155" t="s">
        <v>1760</v>
      </c>
      <c r="C983" s="195">
        <v>45439</v>
      </c>
      <c r="D983" s="155" t="s">
        <v>440</v>
      </c>
      <c r="E983" s="149" t="s">
        <v>150</v>
      </c>
      <c r="F983" s="153" t="s">
        <v>441</v>
      </c>
      <c r="G983" s="149" t="s">
        <v>442</v>
      </c>
      <c r="H983" s="149" t="str">
        <f t="shared" si="6"/>
        <v>AGUSTÍN CAMPOS CATALÁ</v>
      </c>
      <c r="I983" s="149" t="s">
        <v>1824</v>
      </c>
      <c r="J983" s="153" t="s">
        <v>636</v>
      </c>
      <c r="K983" s="149" t="s">
        <v>1825</v>
      </c>
      <c r="L983" s="157">
        <v>45484</v>
      </c>
      <c r="M983" s="164"/>
      <c r="N983" s="163">
        <v>2</v>
      </c>
      <c r="O983" s="165" t="s">
        <v>446</v>
      </c>
      <c r="P983" s="161">
        <v>3524.5</v>
      </c>
      <c r="Q983" s="196">
        <v>45439</v>
      </c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</row>
    <row r="984" spans="1:27">
      <c r="A984" s="154">
        <v>7</v>
      </c>
      <c r="B984" s="155" t="s">
        <v>1760</v>
      </c>
      <c r="C984" s="170">
        <v>45450</v>
      </c>
      <c r="D984" s="155" t="s">
        <v>440</v>
      </c>
      <c r="E984" s="149" t="s">
        <v>514</v>
      </c>
      <c r="F984" s="149" t="s">
        <v>441</v>
      </c>
      <c r="G984" s="149" t="s">
        <v>442</v>
      </c>
      <c r="H984" s="149" t="str">
        <f t="shared" si="6"/>
        <v>ERNESTO VARELA MARTÍNEZ</v>
      </c>
      <c r="I984" s="149" t="s">
        <v>515</v>
      </c>
      <c r="J984" s="159" t="s">
        <v>516</v>
      </c>
      <c r="K984" s="149" t="s">
        <v>1826</v>
      </c>
      <c r="L984" s="157">
        <v>45485</v>
      </c>
      <c r="M984" s="164"/>
      <c r="N984" s="163">
        <v>2</v>
      </c>
      <c r="O984" s="165" t="s">
        <v>518</v>
      </c>
      <c r="P984" s="161">
        <v>2627.27</v>
      </c>
      <c r="Q984" s="162">
        <v>45450</v>
      </c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</row>
    <row r="985" spans="1:27">
      <c r="A985" s="154">
        <v>7</v>
      </c>
      <c r="B985" s="155" t="s">
        <v>1760</v>
      </c>
      <c r="C985" s="195">
        <v>45453</v>
      </c>
      <c r="D985" s="155" t="s">
        <v>440</v>
      </c>
      <c r="E985" s="149" t="s">
        <v>315</v>
      </c>
      <c r="F985" s="153" t="s">
        <v>441</v>
      </c>
      <c r="G985" s="149" t="s">
        <v>442</v>
      </c>
      <c r="H985" s="149" t="str">
        <f t="shared" si="6"/>
        <v>FRANCISCO J, REDONDO DEL BARCO</v>
      </c>
      <c r="I985" s="149" t="s">
        <v>723</v>
      </c>
      <c r="J985" s="153" t="s">
        <v>548</v>
      </c>
      <c r="K985" s="149" t="s">
        <v>1827</v>
      </c>
      <c r="L985" s="157">
        <v>45485</v>
      </c>
      <c r="M985" s="164"/>
      <c r="N985" s="163">
        <v>2</v>
      </c>
      <c r="O985" s="165" t="s">
        <v>1540</v>
      </c>
      <c r="P985" s="161">
        <v>3118.18</v>
      </c>
      <c r="Q985" s="196">
        <v>45453</v>
      </c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</row>
    <row r="986" spans="1:27">
      <c r="A986" s="154">
        <v>7</v>
      </c>
      <c r="B986" s="155" t="s">
        <v>1760</v>
      </c>
      <c r="C986" s="195"/>
      <c r="D986" s="155" t="s">
        <v>440</v>
      </c>
      <c r="E986" s="149" t="s">
        <v>158</v>
      </c>
      <c r="F986" s="153" t="s">
        <v>441</v>
      </c>
      <c r="G986" s="149" t="s">
        <v>441</v>
      </c>
      <c r="H986" s="149" t="str">
        <f t="shared" si="6"/>
        <v>CARLOS BARAJAS DEL ROSAL</v>
      </c>
      <c r="I986" s="149" t="s">
        <v>660</v>
      </c>
      <c r="J986" s="153" t="s">
        <v>548</v>
      </c>
      <c r="K986" s="149" t="s">
        <v>1828</v>
      </c>
      <c r="L986" s="157">
        <v>45485</v>
      </c>
      <c r="M986" s="164"/>
      <c r="N986" s="163">
        <v>2</v>
      </c>
      <c r="O986" s="165" t="s">
        <v>446</v>
      </c>
      <c r="P986" s="161">
        <v>3710</v>
      </c>
      <c r="Q986" s="196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</row>
    <row r="987" spans="1:27">
      <c r="A987" s="154">
        <v>7</v>
      </c>
      <c r="B987" s="155" t="s">
        <v>1760</v>
      </c>
      <c r="C987" s="195"/>
      <c r="D987" s="155" t="s">
        <v>440</v>
      </c>
      <c r="E987" s="149" t="s">
        <v>158</v>
      </c>
      <c r="F987" s="153" t="s">
        <v>441</v>
      </c>
      <c r="G987" s="149" t="s">
        <v>441</v>
      </c>
      <c r="H987" s="149" t="str">
        <f t="shared" si="6"/>
        <v>JAVIER GARCÍA DOMÍNGUEZ</v>
      </c>
      <c r="I987" s="149" t="s">
        <v>607</v>
      </c>
      <c r="J987" s="153" t="s">
        <v>444</v>
      </c>
      <c r="K987" s="149" t="s">
        <v>1829</v>
      </c>
      <c r="L987" s="157">
        <v>45485</v>
      </c>
      <c r="M987" s="164"/>
      <c r="N987" s="163">
        <v>2</v>
      </c>
      <c r="O987" s="165" t="s">
        <v>449</v>
      </c>
      <c r="P987" s="161">
        <v>2888.18</v>
      </c>
      <c r="Q987" s="196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</row>
    <row r="988" spans="1:27">
      <c r="A988" s="154">
        <v>7</v>
      </c>
      <c r="B988" s="155" t="s">
        <v>1760</v>
      </c>
      <c r="C988" s="195">
        <v>45463</v>
      </c>
      <c r="D988" s="155" t="s">
        <v>440</v>
      </c>
      <c r="E988" s="149" t="s">
        <v>309</v>
      </c>
      <c r="F988" s="153" t="s">
        <v>441</v>
      </c>
      <c r="G988" s="149" t="s">
        <v>442</v>
      </c>
      <c r="H988" s="149" t="str">
        <f t="shared" si="6"/>
        <v>JOSE JOAQUÍN GUTIÉRREZ BARQUÍN</v>
      </c>
      <c r="I988" s="149" t="s">
        <v>716</v>
      </c>
      <c r="J988" s="153" t="s">
        <v>444</v>
      </c>
      <c r="K988" s="149" t="s">
        <v>1830</v>
      </c>
      <c r="L988" s="168">
        <v>45485</v>
      </c>
      <c r="M988" s="164"/>
      <c r="N988" s="163">
        <v>1</v>
      </c>
      <c r="O988" s="165" t="s">
        <v>449</v>
      </c>
      <c r="P988" s="161">
        <v>1732.73</v>
      </c>
      <c r="Q988" s="196">
        <v>45463</v>
      </c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</row>
    <row r="989" spans="1:27">
      <c r="A989" s="154">
        <v>7</v>
      </c>
      <c r="B989" s="155" t="s">
        <v>1760</v>
      </c>
      <c r="C989" s="195">
        <v>45468</v>
      </c>
      <c r="D989" s="155" t="s">
        <v>440</v>
      </c>
      <c r="E989" s="149" t="s">
        <v>150</v>
      </c>
      <c r="F989" s="153" t="s">
        <v>441</v>
      </c>
      <c r="G989" s="149"/>
      <c r="H989" s="149" t="str">
        <f t="shared" si="6"/>
        <v>NO REUERDA ORL</v>
      </c>
      <c r="I989" s="149" t="s">
        <v>469</v>
      </c>
      <c r="J989" s="153" t="s">
        <v>636</v>
      </c>
      <c r="K989" s="149" t="s">
        <v>1831</v>
      </c>
      <c r="L989" s="157">
        <v>45485</v>
      </c>
      <c r="M989" s="164"/>
      <c r="N989" s="163">
        <v>2</v>
      </c>
      <c r="O989" s="165" t="s">
        <v>446</v>
      </c>
      <c r="P989" s="161">
        <v>3524.5</v>
      </c>
      <c r="Q989" s="196">
        <v>45468</v>
      </c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</row>
    <row r="990" spans="1:27">
      <c r="A990" s="154">
        <v>7</v>
      </c>
      <c r="B990" s="155" t="s">
        <v>1760</v>
      </c>
      <c r="C990" s="195">
        <v>45476</v>
      </c>
      <c r="D990" s="155" t="s">
        <v>440</v>
      </c>
      <c r="E990" s="149" t="s">
        <v>571</v>
      </c>
      <c r="F990" s="153" t="s">
        <v>441</v>
      </c>
      <c r="G990" s="149" t="s">
        <v>442</v>
      </c>
      <c r="H990" s="149" t="str">
        <f t="shared" si="6"/>
        <v>JAIME LEACHE PUEYO</v>
      </c>
      <c r="I990" s="149" t="s">
        <v>1832</v>
      </c>
      <c r="J990" s="153" t="s">
        <v>532</v>
      </c>
      <c r="K990" s="149" t="s">
        <v>1833</v>
      </c>
      <c r="L990" s="157">
        <v>45485</v>
      </c>
      <c r="M990" s="164"/>
      <c r="N990" s="163">
        <v>2</v>
      </c>
      <c r="O990" s="165" t="s">
        <v>449</v>
      </c>
      <c r="P990" s="161">
        <v>3000</v>
      </c>
      <c r="Q990" s="196">
        <v>45476</v>
      </c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</row>
    <row r="991" spans="1:27">
      <c r="A991" s="154">
        <v>7</v>
      </c>
      <c r="B991" s="155" t="s">
        <v>1760</v>
      </c>
      <c r="C991" s="170"/>
      <c r="D991" s="166" t="s">
        <v>440</v>
      </c>
      <c r="E991" s="149" t="s">
        <v>317</v>
      </c>
      <c r="F991" s="149" t="s">
        <v>441</v>
      </c>
      <c r="G991" s="149" t="s">
        <v>442</v>
      </c>
      <c r="H991" s="149" t="str">
        <f t="shared" si="6"/>
        <v>KAREN ROJAS CRESPO</v>
      </c>
      <c r="I991" s="149" t="s">
        <v>986</v>
      </c>
      <c r="J991" s="149" t="s">
        <v>462</v>
      </c>
      <c r="K991" s="149" t="s">
        <v>1834</v>
      </c>
      <c r="L991" s="157">
        <v>45488</v>
      </c>
      <c r="M991" s="164"/>
      <c r="N991" s="163">
        <v>2</v>
      </c>
      <c r="O991" s="192" t="s">
        <v>1540</v>
      </c>
      <c r="P991" s="161">
        <v>3636.36</v>
      </c>
      <c r="Q991" s="162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</row>
    <row r="992" spans="1:27">
      <c r="A992" s="154">
        <v>7</v>
      </c>
      <c r="B992" s="155" t="s">
        <v>1760</v>
      </c>
      <c r="C992" s="170">
        <v>45450</v>
      </c>
      <c r="D992" s="155" t="s">
        <v>440</v>
      </c>
      <c r="E992" s="149" t="s">
        <v>514</v>
      </c>
      <c r="F992" s="149" t="s">
        <v>441</v>
      </c>
      <c r="G992" s="149" t="s">
        <v>442</v>
      </c>
      <c r="H992" s="149" t="str">
        <f t="shared" si="6"/>
        <v>CARLOS VIDAL REDONDO</v>
      </c>
      <c r="I992" s="149" t="s">
        <v>554</v>
      </c>
      <c r="J992" s="149" t="s">
        <v>516</v>
      </c>
      <c r="K992" s="149" t="s">
        <v>1835</v>
      </c>
      <c r="L992" s="157">
        <v>45488</v>
      </c>
      <c r="M992" s="164"/>
      <c r="N992" s="163">
        <v>2</v>
      </c>
      <c r="O992" s="165" t="s">
        <v>518</v>
      </c>
      <c r="P992" s="161">
        <v>2627.27</v>
      </c>
      <c r="Q992" s="162">
        <v>45450</v>
      </c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</row>
    <row r="993" spans="1:27">
      <c r="A993" s="154">
        <v>7</v>
      </c>
      <c r="B993" s="155" t="s">
        <v>1760</v>
      </c>
      <c r="C993" s="170">
        <v>45469</v>
      </c>
      <c r="D993" s="155" t="s">
        <v>440</v>
      </c>
      <c r="E993" s="149" t="s">
        <v>311</v>
      </c>
      <c r="F993" s="149" t="s">
        <v>441</v>
      </c>
      <c r="G993" s="149" t="s">
        <v>442</v>
      </c>
      <c r="H993" s="149" t="str">
        <f t="shared" si="6"/>
        <v>MARÍA TERESA HERRERA MERA</v>
      </c>
      <c r="I993" s="149" t="s">
        <v>564</v>
      </c>
      <c r="J993" s="153" t="s">
        <v>444</v>
      </c>
      <c r="K993" s="149" t="s">
        <v>1836</v>
      </c>
      <c r="L993" s="157">
        <v>45488</v>
      </c>
      <c r="M993" s="164"/>
      <c r="N993" s="163">
        <v>2</v>
      </c>
      <c r="O993" s="165" t="s">
        <v>449</v>
      </c>
      <c r="P993" s="161">
        <v>2888.18</v>
      </c>
      <c r="Q993" s="162">
        <v>45469</v>
      </c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</row>
    <row r="994" spans="1:27">
      <c r="A994" s="154">
        <v>7</v>
      </c>
      <c r="B994" s="155" t="s">
        <v>1760</v>
      </c>
      <c r="C994" s="195"/>
      <c r="D994" s="155" t="s">
        <v>440</v>
      </c>
      <c r="E994" s="149" t="s">
        <v>158</v>
      </c>
      <c r="F994" s="153" t="s">
        <v>441</v>
      </c>
      <c r="G994" s="149" t="s">
        <v>441</v>
      </c>
      <c r="H994" s="149" t="str">
        <f t="shared" si="6"/>
        <v>CARLOS BARAJAS DEL ROSAL</v>
      </c>
      <c r="I994" s="149" t="s">
        <v>660</v>
      </c>
      <c r="J994" s="153" t="s">
        <v>548</v>
      </c>
      <c r="K994" s="149" t="s">
        <v>1837</v>
      </c>
      <c r="L994" s="157">
        <v>45488</v>
      </c>
      <c r="M994" s="164"/>
      <c r="N994" s="163">
        <v>2</v>
      </c>
      <c r="O994" s="165" t="s">
        <v>1540</v>
      </c>
      <c r="P994" s="161">
        <v>4000</v>
      </c>
      <c r="Q994" s="196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</row>
    <row r="995" spans="1:27">
      <c r="A995" s="154">
        <v>7</v>
      </c>
      <c r="B995" s="155" t="s">
        <v>1760</v>
      </c>
      <c r="C995" s="195">
        <v>45443</v>
      </c>
      <c r="D995" s="155" t="s">
        <v>440</v>
      </c>
      <c r="E995" s="149" t="s">
        <v>309</v>
      </c>
      <c r="F995" s="153" t="s">
        <v>441</v>
      </c>
      <c r="G995" s="149" t="s">
        <v>442</v>
      </c>
      <c r="H995" s="149" t="str">
        <f t="shared" si="6"/>
        <v>JAIME SANABRIA BRASSART</v>
      </c>
      <c r="I995" s="149" t="s">
        <v>479</v>
      </c>
      <c r="J995" s="153" t="s">
        <v>548</v>
      </c>
      <c r="K995" s="149" t="s">
        <v>1838</v>
      </c>
      <c r="L995" s="168">
        <v>45488</v>
      </c>
      <c r="M995" s="164"/>
      <c r="N995" s="163">
        <v>2</v>
      </c>
      <c r="O995" s="165" t="s">
        <v>1540</v>
      </c>
      <c r="P995" s="161">
        <v>2000</v>
      </c>
      <c r="Q995" s="196">
        <v>45443</v>
      </c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</row>
    <row r="996" spans="1:27">
      <c r="A996" s="154">
        <v>7</v>
      </c>
      <c r="B996" s="155" t="s">
        <v>1760</v>
      </c>
      <c r="C996" s="195">
        <v>45457</v>
      </c>
      <c r="D996" s="155" t="s">
        <v>440</v>
      </c>
      <c r="E996" s="149" t="s">
        <v>309</v>
      </c>
      <c r="F996" s="153" t="s">
        <v>441</v>
      </c>
      <c r="G996" s="149" t="s">
        <v>442</v>
      </c>
      <c r="H996" s="149" t="str">
        <f t="shared" si="6"/>
        <v>CÉSAR CHARLES MARTÍNEZ</v>
      </c>
      <c r="I996" s="149" t="s">
        <v>495</v>
      </c>
      <c r="J996" s="153" t="s">
        <v>444</v>
      </c>
      <c r="K996" s="149" t="s">
        <v>1839</v>
      </c>
      <c r="L996" s="168">
        <v>45488</v>
      </c>
      <c r="M996" s="164"/>
      <c r="N996" s="163">
        <v>2</v>
      </c>
      <c r="O996" s="165" t="s">
        <v>449</v>
      </c>
      <c r="P996" s="161">
        <v>2888.18</v>
      </c>
      <c r="Q996" s="196">
        <v>45457</v>
      </c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</row>
    <row r="997" spans="1:27">
      <c r="A997" s="154">
        <v>7</v>
      </c>
      <c r="B997" s="155" t="s">
        <v>1760</v>
      </c>
      <c r="C997" s="195">
        <v>45467</v>
      </c>
      <c r="D997" s="155" t="s">
        <v>440</v>
      </c>
      <c r="E997" s="149" t="s">
        <v>190</v>
      </c>
      <c r="F997" s="153" t="s">
        <v>441</v>
      </c>
      <c r="G997" s="149" t="s">
        <v>442</v>
      </c>
      <c r="H997" s="149" t="str">
        <f t="shared" si="6"/>
        <v>ALBERTO RAPOSO JIMÉNEZ</v>
      </c>
      <c r="I997" s="149" t="s">
        <v>1840</v>
      </c>
      <c r="J997" s="153" t="s">
        <v>462</v>
      </c>
      <c r="K997" s="149" t="s">
        <v>1841</v>
      </c>
      <c r="L997" s="168">
        <v>45488</v>
      </c>
      <c r="M997" s="164"/>
      <c r="N997" s="163">
        <v>2</v>
      </c>
      <c r="O997" s="165" t="s">
        <v>446</v>
      </c>
      <c r="P997" s="161">
        <v>3710</v>
      </c>
      <c r="Q997" s="196">
        <v>45467</v>
      </c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</row>
    <row r="998" spans="1:27">
      <c r="A998" s="154">
        <v>7</v>
      </c>
      <c r="B998" s="155" t="s">
        <v>1760</v>
      </c>
      <c r="C998" s="170">
        <v>45463</v>
      </c>
      <c r="D998" s="166" t="s">
        <v>440</v>
      </c>
      <c r="E998" s="149" t="s">
        <v>1815</v>
      </c>
      <c r="F998" s="190" t="s">
        <v>441</v>
      </c>
      <c r="G998" s="149" t="s">
        <v>442</v>
      </c>
      <c r="H998" s="149" t="str">
        <f t="shared" si="6"/>
        <v>MANUEL CAÑETE DOMÍNGUEZ</v>
      </c>
      <c r="I998" s="149" t="s">
        <v>1380</v>
      </c>
      <c r="J998" s="149" t="s">
        <v>548</v>
      </c>
      <c r="K998" s="149" t="s">
        <v>1842</v>
      </c>
      <c r="L998" s="157">
        <v>45489</v>
      </c>
      <c r="M998" s="164"/>
      <c r="N998" s="163">
        <v>2</v>
      </c>
      <c r="O998" s="165" t="s">
        <v>513</v>
      </c>
      <c r="P998" s="161">
        <v>4700</v>
      </c>
      <c r="Q998" s="162">
        <v>45463</v>
      </c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</row>
    <row r="999" spans="1:27">
      <c r="A999" s="154">
        <v>7</v>
      </c>
      <c r="B999" s="155" t="s">
        <v>1760</v>
      </c>
      <c r="C999" s="170">
        <v>45474</v>
      </c>
      <c r="D999" s="155" t="s">
        <v>440</v>
      </c>
      <c r="E999" s="149" t="s">
        <v>601</v>
      </c>
      <c r="F999" s="149" t="s">
        <v>441</v>
      </c>
      <c r="G999" s="149" t="s">
        <v>442</v>
      </c>
      <c r="H999" s="149" t="str">
        <f t="shared" si="6"/>
        <v>MIGUEL MAYO YÁÑEZ</v>
      </c>
      <c r="I999" s="149" t="s">
        <v>692</v>
      </c>
      <c r="J999" s="153" t="s">
        <v>516</v>
      </c>
      <c r="K999" s="149" t="s">
        <v>1843</v>
      </c>
      <c r="L999" s="157">
        <v>45489</v>
      </c>
      <c r="M999" s="164"/>
      <c r="N999" s="163">
        <v>2</v>
      </c>
      <c r="O999" s="165" t="s">
        <v>446</v>
      </c>
      <c r="P999" s="161">
        <v>2090.91</v>
      </c>
      <c r="Q999" s="162">
        <v>45474</v>
      </c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</row>
    <row r="1000" spans="1:27">
      <c r="A1000" s="154">
        <v>7</v>
      </c>
      <c r="B1000" s="155" t="s">
        <v>1760</v>
      </c>
      <c r="C1000" s="195">
        <v>45461</v>
      </c>
      <c r="D1000" s="155" t="s">
        <v>440</v>
      </c>
      <c r="E1000" s="149" t="s">
        <v>109</v>
      </c>
      <c r="F1000" s="153" t="s">
        <v>441</v>
      </c>
      <c r="G1000" s="149" t="s">
        <v>442</v>
      </c>
      <c r="H1000" s="149" t="str">
        <f t="shared" si="6"/>
        <v>BEATRIZ SANTOS DUQUE</v>
      </c>
      <c r="I1000" s="149" t="s">
        <v>1844</v>
      </c>
      <c r="J1000" s="153" t="s">
        <v>444</v>
      </c>
      <c r="K1000" s="149" t="s">
        <v>1845</v>
      </c>
      <c r="L1000" s="157">
        <v>45489</v>
      </c>
      <c r="M1000" s="164"/>
      <c r="N1000" s="163">
        <v>2</v>
      </c>
      <c r="O1000" s="165" t="s">
        <v>446</v>
      </c>
      <c r="P1000" s="161">
        <v>3709.83</v>
      </c>
      <c r="Q1000" s="196">
        <v>45461</v>
      </c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</row>
    <row r="1001" spans="1:27">
      <c r="A1001" s="154">
        <v>7</v>
      </c>
      <c r="B1001" s="155" t="s">
        <v>1760</v>
      </c>
      <c r="C1001" s="195">
        <v>45442</v>
      </c>
      <c r="D1001" s="155" t="s">
        <v>440</v>
      </c>
      <c r="E1001" s="149" t="s">
        <v>1817</v>
      </c>
      <c r="F1001" s="153" t="s">
        <v>441</v>
      </c>
      <c r="G1001" s="149" t="s">
        <v>442</v>
      </c>
      <c r="H1001" s="149" t="str">
        <f t="shared" si="6"/>
        <v>FRANCISCO JAVIER MOLLA RUDIEZ</v>
      </c>
      <c r="I1001" s="149" t="s">
        <v>1263</v>
      </c>
      <c r="J1001" s="153" t="s">
        <v>548</v>
      </c>
      <c r="K1001" s="149" t="s">
        <v>1846</v>
      </c>
      <c r="L1001" s="157">
        <v>45489</v>
      </c>
      <c r="M1001" s="164"/>
      <c r="N1001" s="163">
        <v>2</v>
      </c>
      <c r="O1001" s="165" t="s">
        <v>466</v>
      </c>
      <c r="P1001" s="161">
        <v>4000</v>
      </c>
      <c r="Q1001" s="196">
        <v>45442</v>
      </c>
      <c r="R1001" s="153"/>
      <c r="S1001" s="153"/>
      <c r="T1001" s="153"/>
      <c r="U1001" s="153"/>
      <c r="V1001" s="153"/>
      <c r="W1001" s="153"/>
      <c r="X1001" s="153"/>
      <c r="Y1001" s="153"/>
      <c r="Z1001" s="153"/>
      <c r="AA1001" s="153"/>
    </row>
    <row r="1002" spans="1:27">
      <c r="A1002" s="154">
        <v>7</v>
      </c>
      <c r="B1002" s="155" t="s">
        <v>1760</v>
      </c>
      <c r="C1002" s="195">
        <v>45464</v>
      </c>
      <c r="D1002" s="155" t="s">
        <v>440</v>
      </c>
      <c r="E1002" s="149" t="s">
        <v>98</v>
      </c>
      <c r="F1002" s="153" t="s">
        <v>441</v>
      </c>
      <c r="G1002" s="149"/>
      <c r="H1002" s="149" t="str">
        <f t="shared" si="6"/>
        <v>ENRIQUE LÓPEZ MESEGUER</v>
      </c>
      <c r="I1002" s="149" t="s">
        <v>1056</v>
      </c>
      <c r="J1002" s="153" t="s">
        <v>462</v>
      </c>
      <c r="K1002" s="149" t="s">
        <v>1847</v>
      </c>
      <c r="L1002" s="168">
        <v>45489</v>
      </c>
      <c r="M1002" s="164"/>
      <c r="N1002" s="163">
        <v>2</v>
      </c>
      <c r="O1002" s="165" t="s">
        <v>449</v>
      </c>
      <c r="P1002" s="161">
        <v>2888.18</v>
      </c>
      <c r="Q1002" s="196">
        <v>45464</v>
      </c>
      <c r="R1002" s="153"/>
      <c r="S1002" s="153"/>
      <c r="T1002" s="153"/>
      <c r="U1002" s="153"/>
      <c r="V1002" s="153"/>
      <c r="W1002" s="153"/>
      <c r="X1002" s="153"/>
      <c r="Y1002" s="153"/>
      <c r="Z1002" s="153"/>
      <c r="AA1002" s="153"/>
    </row>
    <row r="1003" spans="1:27">
      <c r="A1003" s="154">
        <v>7</v>
      </c>
      <c r="B1003" s="155" t="s">
        <v>1760</v>
      </c>
      <c r="C1003" s="195">
        <v>45463</v>
      </c>
      <c r="D1003" s="155" t="s">
        <v>440</v>
      </c>
      <c r="E1003" s="149" t="s">
        <v>201</v>
      </c>
      <c r="F1003" s="153" t="s">
        <v>441</v>
      </c>
      <c r="G1003" s="149" t="s">
        <v>442</v>
      </c>
      <c r="H1003" s="149" t="str">
        <f t="shared" si="6"/>
        <v>CARLOS FÉLIX ASENSIO NIETO</v>
      </c>
      <c r="I1003" s="149" t="s">
        <v>1097</v>
      </c>
      <c r="J1003" s="153" t="s">
        <v>548</v>
      </c>
      <c r="K1003" s="149" t="s">
        <v>1848</v>
      </c>
      <c r="L1003" s="157">
        <v>45489</v>
      </c>
      <c r="M1003" s="164"/>
      <c r="N1003" s="163">
        <v>1</v>
      </c>
      <c r="O1003" s="165" t="s">
        <v>1540</v>
      </c>
      <c r="P1003" s="161">
        <v>2403.64</v>
      </c>
      <c r="Q1003" s="196">
        <v>45463</v>
      </c>
      <c r="R1003" s="153"/>
      <c r="S1003" s="153"/>
      <c r="T1003" s="153"/>
      <c r="U1003" s="153"/>
      <c r="V1003" s="153"/>
      <c r="W1003" s="153"/>
      <c r="X1003" s="153"/>
      <c r="Y1003" s="153"/>
      <c r="Z1003" s="153"/>
      <c r="AA1003" s="153"/>
    </row>
    <row r="1004" spans="1:27">
      <c r="A1004" s="154">
        <v>7</v>
      </c>
      <c r="B1004" s="155" t="s">
        <v>1760</v>
      </c>
      <c r="C1004" s="195">
        <v>45457</v>
      </c>
      <c r="D1004" s="155" t="s">
        <v>440</v>
      </c>
      <c r="E1004" s="149" t="s">
        <v>150</v>
      </c>
      <c r="F1004" s="153" t="s">
        <v>441</v>
      </c>
      <c r="G1004" s="149" t="s">
        <v>442</v>
      </c>
      <c r="H1004" s="149" t="str">
        <f t="shared" si="6"/>
        <v>VANESA PÉREZ GUILLÉN</v>
      </c>
      <c r="I1004" s="149" t="s">
        <v>1849</v>
      </c>
      <c r="J1004" s="153" t="s">
        <v>636</v>
      </c>
      <c r="K1004" s="149" t="s">
        <v>1850</v>
      </c>
      <c r="L1004" s="157">
        <v>45490</v>
      </c>
      <c r="M1004" s="164"/>
      <c r="N1004" s="163">
        <v>2</v>
      </c>
      <c r="O1004" s="165" t="s">
        <v>1540</v>
      </c>
      <c r="P1004" s="161">
        <v>3800</v>
      </c>
      <c r="Q1004" s="196">
        <v>45457</v>
      </c>
      <c r="R1004" s="153"/>
      <c r="S1004" s="153"/>
      <c r="T1004" s="153"/>
      <c r="U1004" s="153"/>
      <c r="V1004" s="153"/>
      <c r="W1004" s="153"/>
      <c r="X1004" s="153"/>
      <c r="Y1004" s="153"/>
      <c r="Z1004" s="153"/>
      <c r="AA1004" s="153"/>
    </row>
    <row r="1005" spans="1:27">
      <c r="A1005" s="154">
        <v>7</v>
      </c>
      <c r="B1005" s="155" t="s">
        <v>1760</v>
      </c>
      <c r="C1005" s="195">
        <v>45071</v>
      </c>
      <c r="D1005" s="155" t="s">
        <v>440</v>
      </c>
      <c r="E1005" s="149" t="s">
        <v>525</v>
      </c>
      <c r="F1005" s="153" t="s">
        <v>441</v>
      </c>
      <c r="G1005" s="149" t="s">
        <v>442</v>
      </c>
      <c r="H1005" s="149" t="str">
        <f t="shared" si="6"/>
        <v>ADELA PÉREZ-CARO RÍOS</v>
      </c>
      <c r="I1005" s="149" t="s">
        <v>895</v>
      </c>
      <c r="J1005" s="153" t="s">
        <v>516</v>
      </c>
      <c r="K1005" s="149" t="s">
        <v>1851</v>
      </c>
      <c r="L1005" s="157">
        <v>45490</v>
      </c>
      <c r="M1005" s="164"/>
      <c r="N1005" s="163">
        <v>1</v>
      </c>
      <c r="O1005" s="165" t="s">
        <v>446</v>
      </c>
      <c r="P1005" s="161">
        <v>727.27</v>
      </c>
      <c r="Q1005" s="196">
        <v>45071</v>
      </c>
      <c r="R1005" s="153"/>
      <c r="S1005" s="153"/>
      <c r="T1005" s="153"/>
      <c r="U1005" s="153"/>
      <c r="V1005" s="153"/>
      <c r="W1005" s="153"/>
      <c r="X1005" s="153"/>
      <c r="Y1005" s="153"/>
      <c r="Z1005" s="153"/>
      <c r="AA1005" s="153"/>
    </row>
    <row r="1006" spans="1:27">
      <c r="A1006" s="154">
        <v>7</v>
      </c>
      <c r="B1006" s="155" t="s">
        <v>1760</v>
      </c>
      <c r="C1006" s="195">
        <v>45418</v>
      </c>
      <c r="D1006" s="155" t="s">
        <v>440</v>
      </c>
      <c r="E1006" s="149" t="s">
        <v>164</v>
      </c>
      <c r="F1006" s="153" t="s">
        <v>441</v>
      </c>
      <c r="G1006" s="149" t="s">
        <v>442</v>
      </c>
      <c r="H1006" s="149" t="str">
        <f t="shared" si="6"/>
        <v>Alejandro Harguindey Antoli-Candela</v>
      </c>
      <c r="I1006" s="149" t="s">
        <v>528</v>
      </c>
      <c r="J1006" s="153" t="s">
        <v>455</v>
      </c>
      <c r="K1006" s="149" t="s">
        <v>1852</v>
      </c>
      <c r="L1006" s="168">
        <v>45491</v>
      </c>
      <c r="M1006" s="164"/>
      <c r="N1006" s="163">
        <v>2</v>
      </c>
      <c r="O1006" s="165" t="s">
        <v>446</v>
      </c>
      <c r="P1006" s="161">
        <v>3710</v>
      </c>
      <c r="Q1006" s="196">
        <v>45418</v>
      </c>
      <c r="R1006" s="153"/>
      <c r="S1006" s="153"/>
      <c r="T1006" s="153"/>
      <c r="U1006" s="153"/>
      <c r="V1006" s="153"/>
      <c r="W1006" s="153"/>
      <c r="X1006" s="153"/>
      <c r="Y1006" s="153"/>
      <c r="Z1006" s="153"/>
      <c r="AA1006" s="153"/>
    </row>
    <row r="1007" spans="1:27">
      <c r="A1007" s="154">
        <v>7</v>
      </c>
      <c r="B1007" s="155" t="s">
        <v>1760</v>
      </c>
      <c r="C1007" s="195">
        <v>45446</v>
      </c>
      <c r="D1007" s="155" t="s">
        <v>440</v>
      </c>
      <c r="E1007" s="149" t="s">
        <v>951</v>
      </c>
      <c r="F1007" s="153" t="s">
        <v>441</v>
      </c>
      <c r="G1007" s="149" t="s">
        <v>442</v>
      </c>
      <c r="H1007" s="149" t="str">
        <f t="shared" si="6"/>
        <v>ERNESTO VARELA MARTÍNEZ</v>
      </c>
      <c r="I1007" s="149" t="s">
        <v>515</v>
      </c>
      <c r="J1007" s="153" t="s">
        <v>516</v>
      </c>
      <c r="K1007" s="149" t="s">
        <v>1853</v>
      </c>
      <c r="L1007" s="168">
        <v>45491</v>
      </c>
      <c r="M1007" s="164"/>
      <c r="N1007" s="163">
        <v>2</v>
      </c>
      <c r="O1007" s="165" t="s">
        <v>449</v>
      </c>
      <c r="P1007" s="161">
        <v>2888.18</v>
      </c>
      <c r="Q1007" s="196">
        <v>45446</v>
      </c>
      <c r="R1007" s="153"/>
      <c r="S1007" s="153"/>
      <c r="T1007" s="153"/>
      <c r="U1007" s="153"/>
      <c r="V1007" s="153"/>
      <c r="W1007" s="153"/>
      <c r="X1007" s="153"/>
      <c r="Y1007" s="153"/>
      <c r="Z1007" s="153"/>
      <c r="AA1007" s="153"/>
    </row>
    <row r="1008" spans="1:27">
      <c r="A1008" s="154">
        <v>7</v>
      </c>
      <c r="B1008" s="155" t="s">
        <v>1760</v>
      </c>
      <c r="C1008" s="195">
        <v>45463</v>
      </c>
      <c r="D1008" s="155" t="s">
        <v>440</v>
      </c>
      <c r="E1008" s="149" t="s">
        <v>951</v>
      </c>
      <c r="F1008" s="153" t="s">
        <v>441</v>
      </c>
      <c r="G1008" s="149" t="s">
        <v>442</v>
      </c>
      <c r="H1008" s="149" t="str">
        <f t="shared" si="6"/>
        <v>ANTONIO GUSTAVO LIROLA DELGADO</v>
      </c>
      <c r="I1008" s="149" t="s">
        <v>743</v>
      </c>
      <c r="J1008" s="153" t="s">
        <v>516</v>
      </c>
      <c r="K1008" s="149" t="s">
        <v>1854</v>
      </c>
      <c r="L1008" s="168">
        <v>45491</v>
      </c>
      <c r="M1008" s="164"/>
      <c r="N1008" s="163">
        <v>2</v>
      </c>
      <c r="O1008" s="165" t="s">
        <v>513</v>
      </c>
      <c r="P1008" s="161">
        <v>4400</v>
      </c>
      <c r="Q1008" s="196">
        <v>45463</v>
      </c>
      <c r="R1008" s="153"/>
      <c r="S1008" s="153"/>
      <c r="T1008" s="153"/>
      <c r="U1008" s="153"/>
      <c r="V1008" s="153"/>
      <c r="W1008" s="153"/>
      <c r="X1008" s="153"/>
      <c r="Y1008" s="153"/>
      <c r="Z1008" s="153"/>
      <c r="AA1008" s="153"/>
    </row>
    <row r="1009" spans="1:27">
      <c r="A1009" s="154">
        <v>7</v>
      </c>
      <c r="B1009" s="155" t="s">
        <v>1760</v>
      </c>
      <c r="C1009" s="195">
        <v>45457</v>
      </c>
      <c r="D1009" s="155" t="s">
        <v>440</v>
      </c>
      <c r="E1009" s="149" t="s">
        <v>951</v>
      </c>
      <c r="F1009" s="153" t="s">
        <v>441</v>
      </c>
      <c r="G1009" s="149" t="s">
        <v>442</v>
      </c>
      <c r="H1009" s="149" t="str">
        <f t="shared" si="6"/>
        <v>GABRIEL MARTÍNEZ CAPOCCINI</v>
      </c>
      <c r="I1009" s="149" t="s">
        <v>1058</v>
      </c>
      <c r="J1009" s="153" t="s">
        <v>516</v>
      </c>
      <c r="K1009" s="149" t="s">
        <v>1855</v>
      </c>
      <c r="L1009" s="168">
        <v>45491</v>
      </c>
      <c r="M1009" s="164"/>
      <c r="N1009" s="163">
        <v>2</v>
      </c>
      <c r="O1009" s="165" t="s">
        <v>466</v>
      </c>
      <c r="P1009" s="161">
        <v>4000</v>
      </c>
      <c r="Q1009" s="196">
        <v>45457</v>
      </c>
      <c r="R1009" s="153"/>
      <c r="S1009" s="153"/>
      <c r="T1009" s="153"/>
      <c r="U1009" s="153"/>
      <c r="V1009" s="153"/>
      <c r="W1009" s="153"/>
      <c r="X1009" s="153"/>
      <c r="Y1009" s="153"/>
      <c r="Z1009" s="153"/>
      <c r="AA1009" s="153"/>
    </row>
    <row r="1010" spans="1:27">
      <c r="A1010" s="154">
        <v>7</v>
      </c>
      <c r="B1010" s="155" t="s">
        <v>1760</v>
      </c>
      <c r="C1010" s="195">
        <v>45469</v>
      </c>
      <c r="D1010" s="155" t="s">
        <v>440</v>
      </c>
      <c r="E1010" s="149" t="s">
        <v>1766</v>
      </c>
      <c r="F1010" s="153" t="s">
        <v>441</v>
      </c>
      <c r="G1010" s="149" t="s">
        <v>442</v>
      </c>
      <c r="H1010" s="149" t="str">
        <f t="shared" si="6"/>
        <v>ESTEFANÍA BERROCAL POSTIGO</v>
      </c>
      <c r="I1010" s="149" t="s">
        <v>927</v>
      </c>
      <c r="J1010" s="153" t="s">
        <v>455</v>
      </c>
      <c r="K1010" s="149" t="s">
        <v>1856</v>
      </c>
      <c r="L1010" s="157">
        <v>45491</v>
      </c>
      <c r="M1010" s="164"/>
      <c r="N1010" s="163">
        <v>2</v>
      </c>
      <c r="O1010" s="165" t="s">
        <v>446</v>
      </c>
      <c r="P1010" s="161">
        <v>3372.73</v>
      </c>
      <c r="Q1010" s="196">
        <v>45469</v>
      </c>
      <c r="R1010" s="153"/>
      <c r="S1010" s="153"/>
      <c r="T1010" s="153"/>
      <c r="U1010" s="153"/>
      <c r="V1010" s="153"/>
      <c r="W1010" s="153"/>
      <c r="X1010" s="153"/>
      <c r="Y1010" s="153"/>
      <c r="Z1010" s="153"/>
      <c r="AA1010" s="153"/>
    </row>
    <row r="1011" spans="1:27">
      <c r="A1011" s="154">
        <v>7</v>
      </c>
      <c r="B1011" s="155" t="s">
        <v>1760</v>
      </c>
      <c r="C1011" s="195">
        <v>45467</v>
      </c>
      <c r="D1011" s="155" t="s">
        <v>440</v>
      </c>
      <c r="E1011" s="149" t="s">
        <v>239</v>
      </c>
      <c r="F1011" s="153" t="s">
        <v>441</v>
      </c>
      <c r="G1011" s="149" t="s">
        <v>442</v>
      </c>
      <c r="H1011" s="149" t="str">
        <f t="shared" si="6"/>
        <v>ESTEFANÍA BERROCAL POSTIGO</v>
      </c>
      <c r="I1011" s="149" t="s">
        <v>927</v>
      </c>
      <c r="J1011" s="153" t="s">
        <v>455</v>
      </c>
      <c r="K1011" s="149" t="s">
        <v>1857</v>
      </c>
      <c r="L1011" s="157">
        <v>45491</v>
      </c>
      <c r="M1011" s="164"/>
      <c r="N1011" s="163">
        <v>2</v>
      </c>
      <c r="O1011" s="165" t="s">
        <v>513</v>
      </c>
      <c r="P1011" s="161">
        <v>4400</v>
      </c>
      <c r="Q1011" s="196">
        <v>45467</v>
      </c>
      <c r="R1011" s="153"/>
      <c r="S1011" s="153"/>
      <c r="T1011" s="153"/>
      <c r="U1011" s="153"/>
      <c r="V1011" s="153"/>
      <c r="W1011" s="153"/>
      <c r="X1011" s="153"/>
      <c r="Y1011" s="153"/>
      <c r="Z1011" s="153"/>
      <c r="AA1011" s="153"/>
    </row>
    <row r="1012" spans="1:27">
      <c r="A1012" s="154">
        <v>7</v>
      </c>
      <c r="B1012" s="155" t="s">
        <v>1760</v>
      </c>
      <c r="C1012" s="195">
        <v>45414</v>
      </c>
      <c r="D1012" s="155" t="s">
        <v>440</v>
      </c>
      <c r="E1012" s="149" t="s">
        <v>150</v>
      </c>
      <c r="F1012" s="153" t="s">
        <v>441</v>
      </c>
      <c r="G1012" s="149" t="s">
        <v>442</v>
      </c>
      <c r="H1012" s="149" t="str">
        <f t="shared" si="6"/>
        <v>JOSÉ MONTALT MARCO</v>
      </c>
      <c r="I1012" s="149" t="s">
        <v>1858</v>
      </c>
      <c r="J1012" s="153" t="s">
        <v>636</v>
      </c>
      <c r="K1012" s="149" t="s">
        <v>1859</v>
      </c>
      <c r="L1012" s="157">
        <v>45491</v>
      </c>
      <c r="M1012" s="164"/>
      <c r="N1012" s="163">
        <v>2</v>
      </c>
      <c r="O1012" s="165" t="s">
        <v>446</v>
      </c>
      <c r="P1012" s="161">
        <v>3524.5</v>
      </c>
      <c r="Q1012" s="196">
        <v>45414</v>
      </c>
      <c r="R1012" s="153"/>
      <c r="S1012" s="153"/>
      <c r="T1012" s="153"/>
      <c r="U1012" s="153"/>
      <c r="V1012" s="153"/>
      <c r="W1012" s="153"/>
      <c r="X1012" s="153"/>
      <c r="Y1012" s="153"/>
      <c r="Z1012" s="153"/>
      <c r="AA1012" s="153"/>
    </row>
    <row r="1013" spans="1:27">
      <c r="A1013" s="154">
        <v>7</v>
      </c>
      <c r="B1013" s="155" t="s">
        <v>1760</v>
      </c>
      <c r="C1013" s="195">
        <v>45470</v>
      </c>
      <c r="D1013" s="155" t="s">
        <v>440</v>
      </c>
      <c r="E1013" s="149" t="s">
        <v>150</v>
      </c>
      <c r="F1013" s="153" t="s">
        <v>441</v>
      </c>
      <c r="G1013" s="149" t="s">
        <v>442</v>
      </c>
      <c r="H1013" s="149" t="str">
        <f t="shared" si="6"/>
        <v>FE RUBIO ESCOLANO</v>
      </c>
      <c r="I1013" s="149" t="s">
        <v>1860</v>
      </c>
      <c r="J1013" s="153" t="s">
        <v>636</v>
      </c>
      <c r="K1013" s="149" t="s">
        <v>1861</v>
      </c>
      <c r="L1013" s="157">
        <v>45491</v>
      </c>
      <c r="M1013" s="164"/>
      <c r="N1013" s="163">
        <v>2</v>
      </c>
      <c r="O1013" s="165" t="s">
        <v>446</v>
      </c>
      <c r="P1013" s="161">
        <v>3710</v>
      </c>
      <c r="Q1013" s="196">
        <v>45470</v>
      </c>
      <c r="R1013" s="153"/>
      <c r="S1013" s="153"/>
      <c r="T1013" s="153"/>
      <c r="U1013" s="153"/>
      <c r="V1013" s="153"/>
      <c r="W1013" s="153"/>
      <c r="X1013" s="153"/>
      <c r="Y1013" s="153"/>
      <c r="Z1013" s="153"/>
      <c r="AA1013" s="153"/>
    </row>
    <row r="1014" spans="1:27">
      <c r="A1014" s="154">
        <v>7</v>
      </c>
      <c r="B1014" s="155" t="s">
        <v>1760</v>
      </c>
      <c r="C1014" s="195">
        <v>45421</v>
      </c>
      <c r="D1014" s="155" t="s">
        <v>440</v>
      </c>
      <c r="E1014" s="149" t="s">
        <v>1862</v>
      </c>
      <c r="F1014" s="153" t="s">
        <v>441</v>
      </c>
      <c r="G1014" s="153" t="s">
        <v>442</v>
      </c>
      <c r="H1014" s="149" t="str">
        <f t="shared" si="6"/>
        <v>CARLOS LÓPEZ AZANZA</v>
      </c>
      <c r="I1014" s="149" t="s">
        <v>867</v>
      </c>
      <c r="J1014" s="153" t="s">
        <v>473</v>
      </c>
      <c r="K1014" s="149" t="s">
        <v>1863</v>
      </c>
      <c r="L1014" s="157">
        <v>45491</v>
      </c>
      <c r="M1014" s="164"/>
      <c r="N1014" s="163">
        <v>2</v>
      </c>
      <c r="O1014" s="165" t="s">
        <v>466</v>
      </c>
      <c r="P1014" s="161">
        <v>3886.36</v>
      </c>
      <c r="Q1014" s="196">
        <v>45421</v>
      </c>
      <c r="R1014" s="153"/>
      <c r="S1014" s="153"/>
      <c r="T1014" s="153"/>
      <c r="U1014" s="153"/>
      <c r="V1014" s="153"/>
      <c r="W1014" s="153"/>
      <c r="X1014" s="153"/>
      <c r="Y1014" s="153"/>
      <c r="Z1014" s="153"/>
      <c r="AA1014" s="153"/>
    </row>
    <row r="1015" spans="1:27">
      <c r="A1015" s="154">
        <v>7</v>
      </c>
      <c r="B1015" s="155" t="s">
        <v>1760</v>
      </c>
      <c r="C1015" s="170">
        <v>45461</v>
      </c>
      <c r="D1015" s="155" t="s">
        <v>440</v>
      </c>
      <c r="E1015" s="149" t="s">
        <v>308</v>
      </c>
      <c r="F1015" s="149" t="s">
        <v>441</v>
      </c>
      <c r="G1015" s="149" t="s">
        <v>442</v>
      </c>
      <c r="H1015" s="149" t="str">
        <f t="shared" si="6"/>
        <v>ÁLVARO SÁNCHEZ ÁLVAREZ</v>
      </c>
      <c r="I1015" s="149" t="s">
        <v>972</v>
      </c>
      <c r="J1015" s="149" t="s">
        <v>548</v>
      </c>
      <c r="K1015" s="149" t="s">
        <v>1864</v>
      </c>
      <c r="L1015" s="157">
        <v>45492</v>
      </c>
      <c r="M1015" s="164"/>
      <c r="N1015" s="163">
        <v>2</v>
      </c>
      <c r="O1015" s="165" t="s">
        <v>1540</v>
      </c>
      <c r="P1015" s="161">
        <v>4000</v>
      </c>
      <c r="Q1015" s="162">
        <v>45461</v>
      </c>
      <c r="R1015" s="153"/>
      <c r="S1015" s="153"/>
      <c r="T1015" s="153"/>
      <c r="U1015" s="153"/>
      <c r="V1015" s="153"/>
      <c r="W1015" s="153"/>
      <c r="X1015" s="153"/>
      <c r="Y1015" s="153"/>
      <c r="Z1015" s="153"/>
      <c r="AA1015" s="153"/>
    </row>
    <row r="1016" spans="1:27">
      <c r="A1016" s="154">
        <v>7</v>
      </c>
      <c r="B1016" s="155" t="s">
        <v>1760</v>
      </c>
      <c r="C1016" s="170"/>
      <c r="D1016" s="155" t="s">
        <v>440</v>
      </c>
      <c r="E1016" s="149" t="s">
        <v>317</v>
      </c>
      <c r="F1016" s="149" t="s">
        <v>441</v>
      </c>
      <c r="G1016" s="149" t="s">
        <v>442</v>
      </c>
      <c r="H1016" s="149" t="str">
        <f t="shared" si="6"/>
        <v>Ana Gabriela Jover Espla</v>
      </c>
      <c r="I1016" s="149" t="s">
        <v>1865</v>
      </c>
      <c r="J1016" s="159" t="s">
        <v>462</v>
      </c>
      <c r="K1016" s="149" t="s">
        <v>1866</v>
      </c>
      <c r="L1016" s="168">
        <v>45492</v>
      </c>
      <c r="M1016" s="164"/>
      <c r="N1016" s="163">
        <v>2</v>
      </c>
      <c r="O1016" s="165" t="s">
        <v>449</v>
      </c>
      <c r="P1016" s="161">
        <v>2845.45</v>
      </c>
      <c r="Q1016" s="162"/>
      <c r="R1016" s="153"/>
      <c r="S1016" s="153"/>
      <c r="T1016" s="153"/>
      <c r="U1016" s="153"/>
      <c r="V1016" s="153"/>
      <c r="W1016" s="153"/>
      <c r="X1016" s="153"/>
      <c r="Y1016" s="153"/>
      <c r="Z1016" s="153"/>
      <c r="AA1016" s="153"/>
    </row>
    <row r="1017" spans="1:27">
      <c r="A1017" s="154">
        <v>7</v>
      </c>
      <c r="B1017" s="155" t="s">
        <v>1760</v>
      </c>
      <c r="C1017" s="195">
        <v>45456</v>
      </c>
      <c r="D1017" s="155" t="s">
        <v>440</v>
      </c>
      <c r="E1017" s="149" t="s">
        <v>1763</v>
      </c>
      <c r="F1017" s="153" t="s">
        <v>441</v>
      </c>
      <c r="G1017" s="149" t="s">
        <v>442</v>
      </c>
      <c r="H1017" s="149" t="str">
        <f t="shared" si="6"/>
        <v>MARÍA JESÚS CORNEJO DOMÍNGUEZ</v>
      </c>
      <c r="I1017" s="149" t="s">
        <v>507</v>
      </c>
      <c r="J1017" s="153" t="s">
        <v>473</v>
      </c>
      <c r="K1017" s="149" t="s">
        <v>1867</v>
      </c>
      <c r="L1017" s="168">
        <v>45492</v>
      </c>
      <c r="M1017" s="164"/>
      <c r="N1017" s="163">
        <v>2</v>
      </c>
      <c r="O1017" s="165" t="s">
        <v>449</v>
      </c>
      <c r="P1017" s="161">
        <v>2780.91</v>
      </c>
      <c r="Q1017" s="196">
        <v>45456</v>
      </c>
      <c r="R1017" s="153"/>
      <c r="S1017" s="153"/>
      <c r="T1017" s="153"/>
      <c r="U1017" s="153"/>
      <c r="V1017" s="153"/>
      <c r="W1017" s="153"/>
      <c r="X1017" s="153"/>
      <c r="Y1017" s="153"/>
      <c r="Z1017" s="153"/>
      <c r="AA1017" s="153"/>
    </row>
    <row r="1018" spans="1:27">
      <c r="A1018" s="154">
        <v>7</v>
      </c>
      <c r="B1018" s="155" t="s">
        <v>1760</v>
      </c>
      <c r="C1018" s="195"/>
      <c r="D1018" s="155" t="s">
        <v>440</v>
      </c>
      <c r="E1018" s="149" t="s">
        <v>239</v>
      </c>
      <c r="F1018" s="153" t="s">
        <v>441</v>
      </c>
      <c r="G1018" s="149" t="s">
        <v>442</v>
      </c>
      <c r="H1018" s="149" t="str">
        <f t="shared" si="6"/>
        <v>JESÚS CROVATO ROJAS</v>
      </c>
      <c r="I1018" s="149" t="s">
        <v>977</v>
      </c>
      <c r="J1018" s="153" t="s">
        <v>455</v>
      </c>
      <c r="K1018" s="149" t="s">
        <v>1868</v>
      </c>
      <c r="L1018" s="157">
        <v>45492</v>
      </c>
      <c r="M1018" s="164"/>
      <c r="N1018" s="163">
        <v>2</v>
      </c>
      <c r="O1018" s="165" t="s">
        <v>1540</v>
      </c>
      <c r="P1018" s="161">
        <v>4000</v>
      </c>
      <c r="Q1018" s="196"/>
      <c r="R1018" s="153"/>
      <c r="S1018" s="153"/>
      <c r="T1018" s="153"/>
      <c r="U1018" s="153"/>
      <c r="V1018" s="153"/>
      <c r="W1018" s="153"/>
      <c r="X1018" s="153"/>
      <c r="Y1018" s="153"/>
      <c r="Z1018" s="153"/>
      <c r="AA1018" s="153"/>
    </row>
    <row r="1019" spans="1:27">
      <c r="A1019" s="154">
        <v>7</v>
      </c>
      <c r="B1019" s="155" t="s">
        <v>1760</v>
      </c>
      <c r="C1019" s="170">
        <v>45476</v>
      </c>
      <c r="D1019" s="155" t="s">
        <v>440</v>
      </c>
      <c r="E1019" s="149" t="s">
        <v>311</v>
      </c>
      <c r="F1019" s="149" t="s">
        <v>441</v>
      </c>
      <c r="G1019" s="149" t="s">
        <v>442</v>
      </c>
      <c r="H1019" s="149" t="str">
        <f t="shared" si="6"/>
        <v>CONCEPCION RODRÍGUEZ IZQUIERDO</v>
      </c>
      <c r="I1019" s="149" t="s">
        <v>1869</v>
      </c>
      <c r="J1019" s="153" t="s">
        <v>444</v>
      </c>
      <c r="K1019" s="149" t="s">
        <v>1870</v>
      </c>
      <c r="L1019" s="157">
        <v>45495</v>
      </c>
      <c r="M1019" s="164"/>
      <c r="N1019" s="163">
        <v>2</v>
      </c>
      <c r="O1019" s="165" t="s">
        <v>446</v>
      </c>
      <c r="P1019" s="161">
        <v>3710</v>
      </c>
      <c r="Q1019" s="162">
        <v>45476</v>
      </c>
      <c r="R1019" s="153"/>
      <c r="S1019" s="153"/>
      <c r="T1019" s="153"/>
      <c r="U1019" s="153"/>
      <c r="V1019" s="153"/>
      <c r="W1019" s="153"/>
      <c r="X1019" s="153"/>
      <c r="Y1019" s="153"/>
      <c r="Z1019" s="153"/>
      <c r="AA1019" s="153"/>
    </row>
    <row r="1020" spans="1:27">
      <c r="A1020" s="154">
        <v>7</v>
      </c>
      <c r="B1020" s="155" t="s">
        <v>1760</v>
      </c>
      <c r="C1020" s="195">
        <v>45475</v>
      </c>
      <c r="D1020" s="155" t="s">
        <v>440</v>
      </c>
      <c r="E1020" s="149" t="s">
        <v>314</v>
      </c>
      <c r="F1020" s="153" t="s">
        <v>441</v>
      </c>
      <c r="G1020" s="149" t="s">
        <v>442</v>
      </c>
      <c r="H1020" s="149" t="str">
        <f t="shared" si="6"/>
        <v>Alejandro Harguindey Antoli-Candela</v>
      </c>
      <c r="I1020" s="149" t="s">
        <v>528</v>
      </c>
      <c r="J1020" s="153" t="s">
        <v>444</v>
      </c>
      <c r="K1020" s="149" t="s">
        <v>1871</v>
      </c>
      <c r="L1020" s="168">
        <v>45495</v>
      </c>
      <c r="M1020" s="164"/>
      <c r="N1020" s="163">
        <v>1</v>
      </c>
      <c r="O1020" s="165" t="s">
        <v>513</v>
      </c>
      <c r="P1020" s="161">
        <v>2640</v>
      </c>
      <c r="Q1020" s="196">
        <v>45475</v>
      </c>
      <c r="R1020" s="153"/>
      <c r="S1020" s="153"/>
      <c r="T1020" s="153"/>
      <c r="U1020" s="153"/>
      <c r="V1020" s="153"/>
      <c r="W1020" s="153"/>
      <c r="X1020" s="153"/>
      <c r="Y1020" s="153"/>
      <c r="Z1020" s="153"/>
      <c r="AA1020" s="153"/>
    </row>
    <row r="1021" spans="1:27">
      <c r="A1021" s="154">
        <v>7</v>
      </c>
      <c r="B1021" s="155" t="s">
        <v>1760</v>
      </c>
      <c r="C1021" s="195">
        <v>45447</v>
      </c>
      <c r="D1021" s="155" t="s">
        <v>440</v>
      </c>
      <c r="E1021" s="149" t="s">
        <v>314</v>
      </c>
      <c r="F1021" s="153" t="s">
        <v>441</v>
      </c>
      <c r="G1021" s="149" t="s">
        <v>442</v>
      </c>
      <c r="H1021" s="149" t="str">
        <f t="shared" si="6"/>
        <v>ITZIAR ÁLVAREZ PALACIOS</v>
      </c>
      <c r="I1021" s="149" t="s">
        <v>734</v>
      </c>
      <c r="J1021" s="153" t="s">
        <v>444</v>
      </c>
      <c r="K1021" s="149" t="s">
        <v>1872</v>
      </c>
      <c r="L1021" s="168">
        <v>45495</v>
      </c>
      <c r="M1021" s="164"/>
      <c r="N1021" s="163">
        <v>2</v>
      </c>
      <c r="O1021" s="165" t="s">
        <v>449</v>
      </c>
      <c r="P1021" s="161">
        <v>2743.77</v>
      </c>
      <c r="Q1021" s="196">
        <v>45447</v>
      </c>
      <c r="R1021" s="153"/>
      <c r="S1021" s="153"/>
      <c r="T1021" s="153"/>
      <c r="U1021" s="153"/>
      <c r="V1021" s="153"/>
      <c r="W1021" s="153"/>
      <c r="X1021" s="153"/>
      <c r="Y1021" s="153"/>
      <c r="Z1021" s="153"/>
      <c r="AA1021" s="153"/>
    </row>
    <row r="1022" spans="1:27">
      <c r="A1022" s="154">
        <v>7</v>
      </c>
      <c r="B1022" s="155" t="s">
        <v>1760</v>
      </c>
      <c r="C1022" s="195">
        <v>45467</v>
      </c>
      <c r="D1022" s="155" t="s">
        <v>440</v>
      </c>
      <c r="E1022" s="149" t="s">
        <v>98</v>
      </c>
      <c r="F1022" s="153" t="s">
        <v>441</v>
      </c>
      <c r="G1022" s="149"/>
      <c r="H1022" s="149" t="str">
        <f t="shared" si="6"/>
        <v>JESÚS MIGUEL INIESTA TURPÍN</v>
      </c>
      <c r="I1022" s="149" t="s">
        <v>594</v>
      </c>
      <c r="J1022" s="153" t="s">
        <v>462</v>
      </c>
      <c r="K1022" s="149" t="s">
        <v>1873</v>
      </c>
      <c r="L1022" s="168">
        <v>45495</v>
      </c>
      <c r="M1022" s="164"/>
      <c r="N1022" s="163">
        <v>2</v>
      </c>
      <c r="O1022" s="165" t="s">
        <v>449</v>
      </c>
      <c r="P1022" s="161">
        <v>2888.18</v>
      </c>
      <c r="Q1022" s="196">
        <v>45467</v>
      </c>
      <c r="R1022" s="153"/>
      <c r="S1022" s="153"/>
      <c r="T1022" s="153"/>
      <c r="U1022" s="153"/>
      <c r="V1022" s="153"/>
      <c r="W1022" s="153"/>
      <c r="X1022" s="153"/>
      <c r="Y1022" s="153"/>
      <c r="Z1022" s="153"/>
      <c r="AA1022" s="153"/>
    </row>
    <row r="1023" spans="1:27">
      <c r="A1023" s="154">
        <v>7</v>
      </c>
      <c r="B1023" s="155" t="s">
        <v>1760</v>
      </c>
      <c r="C1023" s="195">
        <v>45474</v>
      </c>
      <c r="D1023" s="155" t="s">
        <v>440</v>
      </c>
      <c r="E1023" s="149" t="s">
        <v>129</v>
      </c>
      <c r="F1023" s="153" t="s">
        <v>441</v>
      </c>
      <c r="G1023" s="149" t="s">
        <v>442</v>
      </c>
      <c r="H1023" s="149" t="str">
        <f t="shared" si="6"/>
        <v>MARÍA REY MARCOS</v>
      </c>
      <c r="I1023" s="149" t="s">
        <v>678</v>
      </c>
      <c r="J1023" s="153" t="s">
        <v>516</v>
      </c>
      <c r="K1023" s="149" t="s">
        <v>1874</v>
      </c>
      <c r="L1023" s="168">
        <v>45495</v>
      </c>
      <c r="M1023" s="164"/>
      <c r="N1023" s="163">
        <v>2</v>
      </c>
      <c r="O1023" s="165" t="s">
        <v>466</v>
      </c>
      <c r="P1023" s="161">
        <v>3999.85</v>
      </c>
      <c r="Q1023" s="196">
        <v>45474</v>
      </c>
      <c r="R1023" s="153"/>
      <c r="S1023" s="153"/>
      <c r="T1023" s="153"/>
      <c r="U1023" s="153"/>
      <c r="V1023" s="153"/>
      <c r="W1023" s="153"/>
      <c r="X1023" s="153"/>
      <c r="Y1023" s="153"/>
      <c r="Z1023" s="153"/>
      <c r="AA1023" s="153"/>
    </row>
    <row r="1024" spans="1:27">
      <c r="A1024" s="154">
        <v>7</v>
      </c>
      <c r="B1024" s="155" t="s">
        <v>1760</v>
      </c>
      <c r="C1024" s="195">
        <v>45477</v>
      </c>
      <c r="D1024" s="155" t="s">
        <v>440</v>
      </c>
      <c r="E1024" s="149" t="s">
        <v>102</v>
      </c>
      <c r="F1024" s="153" t="s">
        <v>441</v>
      </c>
      <c r="G1024" s="149" t="s">
        <v>442</v>
      </c>
      <c r="H1024" s="149" t="str">
        <f t="shared" si="6"/>
        <v>JUAN JAVIER ÁLVAREZ LÓPEZ</v>
      </c>
      <c r="I1024" s="149" t="s">
        <v>664</v>
      </c>
      <c r="J1024" s="153" t="s">
        <v>462</v>
      </c>
      <c r="K1024" s="149" t="s">
        <v>1875</v>
      </c>
      <c r="L1024" s="168">
        <v>45495</v>
      </c>
      <c r="M1024" s="164"/>
      <c r="N1024" s="163">
        <v>2</v>
      </c>
      <c r="O1024" s="165" t="s">
        <v>1540</v>
      </c>
      <c r="P1024" s="161">
        <v>3800</v>
      </c>
      <c r="Q1024" s="196">
        <v>45477</v>
      </c>
      <c r="R1024" s="153"/>
      <c r="S1024" s="153"/>
      <c r="T1024" s="153"/>
      <c r="U1024" s="153"/>
      <c r="V1024" s="153"/>
      <c r="W1024" s="153"/>
      <c r="X1024" s="153"/>
      <c r="Y1024" s="153"/>
      <c r="Z1024" s="153"/>
      <c r="AA1024" s="153"/>
    </row>
    <row r="1025" spans="1:27">
      <c r="A1025" s="154">
        <v>7</v>
      </c>
      <c r="B1025" s="155" t="s">
        <v>1760</v>
      </c>
      <c r="C1025" s="195">
        <v>45474</v>
      </c>
      <c r="D1025" s="155" t="s">
        <v>440</v>
      </c>
      <c r="E1025" s="149" t="s">
        <v>190</v>
      </c>
      <c r="F1025" s="153" t="s">
        <v>441</v>
      </c>
      <c r="G1025" s="149" t="s">
        <v>442</v>
      </c>
      <c r="H1025" s="149" t="str">
        <f t="shared" si="6"/>
        <v>ANA GIRIBET FERNANDEZ-PACHECO</v>
      </c>
      <c r="I1025" s="149" t="s">
        <v>1876</v>
      </c>
      <c r="J1025" s="153" t="s">
        <v>462</v>
      </c>
      <c r="K1025" s="149" t="s">
        <v>1877</v>
      </c>
      <c r="L1025" s="168">
        <v>45495</v>
      </c>
      <c r="M1025" s="164"/>
      <c r="N1025" s="163">
        <v>2</v>
      </c>
      <c r="O1025" s="165" t="s">
        <v>466</v>
      </c>
      <c r="P1025" s="161">
        <v>4000.13</v>
      </c>
      <c r="Q1025" s="196">
        <v>45474</v>
      </c>
      <c r="R1025" s="153"/>
      <c r="S1025" s="153"/>
      <c r="T1025" s="153"/>
      <c r="U1025" s="153"/>
      <c r="V1025" s="153"/>
      <c r="W1025" s="153"/>
      <c r="X1025" s="153"/>
      <c r="Y1025" s="153"/>
      <c r="Z1025" s="153"/>
      <c r="AA1025" s="153"/>
    </row>
    <row r="1026" spans="1:27">
      <c r="A1026" s="154">
        <v>7</v>
      </c>
      <c r="B1026" s="155" t="s">
        <v>1760</v>
      </c>
      <c r="C1026" s="195">
        <v>45467</v>
      </c>
      <c r="D1026" s="155" t="s">
        <v>440</v>
      </c>
      <c r="E1026" s="149" t="s">
        <v>1766</v>
      </c>
      <c r="F1026" s="153" t="s">
        <v>441</v>
      </c>
      <c r="G1026" s="149" t="s">
        <v>442</v>
      </c>
      <c r="H1026" s="149" t="str">
        <f t="shared" si="6"/>
        <v>ENRIQUE GÓMEZ ALDAZ</v>
      </c>
      <c r="I1026" s="149" t="s">
        <v>1682</v>
      </c>
      <c r="J1026" s="153" t="s">
        <v>455</v>
      </c>
      <c r="K1026" s="149" t="s">
        <v>1878</v>
      </c>
      <c r="L1026" s="157">
        <v>45495</v>
      </c>
      <c r="M1026" s="164"/>
      <c r="N1026" s="163">
        <v>2</v>
      </c>
      <c r="O1026" s="165" t="s">
        <v>446</v>
      </c>
      <c r="P1026" s="161">
        <v>3710</v>
      </c>
      <c r="Q1026" s="196">
        <v>45467</v>
      </c>
      <c r="R1026" s="153"/>
      <c r="S1026" s="153"/>
      <c r="T1026" s="153"/>
      <c r="U1026" s="153"/>
      <c r="V1026" s="153"/>
      <c r="W1026" s="153"/>
      <c r="X1026" s="153"/>
      <c r="Y1026" s="153"/>
      <c r="Z1026" s="153"/>
      <c r="AA1026" s="153"/>
    </row>
    <row r="1027" spans="1:27">
      <c r="A1027" s="154">
        <v>7</v>
      </c>
      <c r="B1027" s="155" t="s">
        <v>1760</v>
      </c>
      <c r="C1027" s="195">
        <v>45448</v>
      </c>
      <c r="D1027" s="155" t="s">
        <v>440</v>
      </c>
      <c r="E1027" s="149" t="s">
        <v>115</v>
      </c>
      <c r="F1027" s="153" t="s">
        <v>441</v>
      </c>
      <c r="G1027" s="149" t="s">
        <v>442</v>
      </c>
      <c r="H1027" s="149" t="str">
        <f t="shared" si="6"/>
        <v>MARÍA GARROTE GARROTE</v>
      </c>
      <c r="I1027" s="149" t="s">
        <v>447</v>
      </c>
      <c r="J1027" s="153" t="s">
        <v>444</v>
      </c>
      <c r="K1027" s="149" t="s">
        <v>1879</v>
      </c>
      <c r="L1027" s="157">
        <v>45495</v>
      </c>
      <c r="M1027" s="164"/>
      <c r="N1027" s="163">
        <v>2</v>
      </c>
      <c r="O1027" s="165" t="s">
        <v>446</v>
      </c>
      <c r="P1027" s="161">
        <v>3602.73</v>
      </c>
      <c r="Q1027" s="196">
        <v>45448</v>
      </c>
      <c r="R1027" s="153"/>
      <c r="S1027" s="153"/>
      <c r="T1027" s="153"/>
      <c r="U1027" s="153"/>
      <c r="V1027" s="153"/>
      <c r="W1027" s="153"/>
      <c r="X1027" s="153"/>
      <c r="Y1027" s="153"/>
      <c r="Z1027" s="153"/>
      <c r="AA1027" s="153"/>
    </row>
    <row r="1028" spans="1:27">
      <c r="A1028" s="154">
        <v>7</v>
      </c>
      <c r="B1028" s="155" t="s">
        <v>1760</v>
      </c>
      <c r="C1028" s="195">
        <v>45453</v>
      </c>
      <c r="D1028" s="155" t="s">
        <v>440</v>
      </c>
      <c r="E1028" s="149" t="s">
        <v>525</v>
      </c>
      <c r="F1028" s="153" t="s">
        <v>441</v>
      </c>
      <c r="G1028" s="149" t="s">
        <v>442</v>
      </c>
      <c r="H1028" s="149" t="str">
        <f t="shared" si="6"/>
        <v>PILAR CASTRO RUIZ</v>
      </c>
      <c r="I1028" s="149" t="s">
        <v>526</v>
      </c>
      <c r="J1028" s="153" t="s">
        <v>516</v>
      </c>
      <c r="K1028" s="149" t="s">
        <v>1880</v>
      </c>
      <c r="L1028" s="157">
        <v>45495</v>
      </c>
      <c r="M1028" s="164"/>
      <c r="N1028" s="163">
        <v>1</v>
      </c>
      <c r="O1028" s="165" t="s">
        <v>446</v>
      </c>
      <c r="P1028" s="161">
        <v>1727.27</v>
      </c>
      <c r="Q1028" s="196">
        <v>45453</v>
      </c>
      <c r="R1028" s="153"/>
      <c r="S1028" s="153"/>
      <c r="T1028" s="153"/>
      <c r="U1028" s="153"/>
      <c r="V1028" s="153"/>
      <c r="W1028" s="153"/>
      <c r="X1028" s="153"/>
      <c r="Y1028" s="153"/>
      <c r="Z1028" s="153"/>
      <c r="AA1028" s="153"/>
    </row>
    <row r="1029" spans="1:27">
      <c r="A1029" s="154">
        <v>7</v>
      </c>
      <c r="B1029" s="155" t="s">
        <v>1760</v>
      </c>
      <c r="C1029" s="170"/>
      <c r="D1029" s="155" t="s">
        <v>440</v>
      </c>
      <c r="E1029" s="149" t="s">
        <v>318</v>
      </c>
      <c r="F1029" s="149" t="s">
        <v>441</v>
      </c>
      <c r="G1029" s="149" t="s">
        <v>442</v>
      </c>
      <c r="H1029" s="149" t="str">
        <f t="shared" si="6"/>
        <v>JOSÉ LUIS BATLLES MEDINA</v>
      </c>
      <c r="I1029" s="149" t="s">
        <v>1881</v>
      </c>
      <c r="J1029" s="159" t="s">
        <v>462</v>
      </c>
      <c r="K1029" s="149" t="s">
        <v>1882</v>
      </c>
      <c r="L1029" s="157">
        <v>45496</v>
      </c>
      <c r="M1029" s="164"/>
      <c r="N1029" s="163">
        <v>2</v>
      </c>
      <c r="O1029" s="165" t="s">
        <v>446</v>
      </c>
      <c r="P1029" s="161">
        <v>3604.55</v>
      </c>
      <c r="Q1029" s="162"/>
      <c r="R1029" s="153"/>
      <c r="S1029" s="153"/>
      <c r="T1029" s="153"/>
      <c r="U1029" s="153"/>
      <c r="V1029" s="153"/>
      <c r="W1029" s="153"/>
      <c r="X1029" s="153"/>
      <c r="Y1029" s="153"/>
      <c r="Z1029" s="153"/>
      <c r="AA1029" s="153"/>
    </row>
    <row r="1030" spans="1:27">
      <c r="A1030" s="154">
        <v>7</v>
      </c>
      <c r="B1030" s="155" t="s">
        <v>1760</v>
      </c>
      <c r="C1030" s="170">
        <v>45481</v>
      </c>
      <c r="D1030" s="155" t="s">
        <v>440</v>
      </c>
      <c r="E1030" s="149" t="s">
        <v>514</v>
      </c>
      <c r="F1030" s="149" t="s">
        <v>441</v>
      </c>
      <c r="G1030" s="149" t="s">
        <v>442</v>
      </c>
      <c r="H1030" s="149" t="str">
        <f t="shared" si="6"/>
        <v>ERNESTO VARELA MARTÍNEZ</v>
      </c>
      <c r="I1030" s="149" t="s">
        <v>515</v>
      </c>
      <c r="J1030" s="159" t="s">
        <v>516</v>
      </c>
      <c r="K1030" s="149" t="s">
        <v>1883</v>
      </c>
      <c r="L1030" s="157">
        <v>45496</v>
      </c>
      <c r="M1030" s="164"/>
      <c r="N1030" s="163">
        <v>2</v>
      </c>
      <c r="O1030" s="165" t="s">
        <v>518</v>
      </c>
      <c r="P1030" s="161">
        <v>2627.27</v>
      </c>
      <c r="Q1030" s="162">
        <v>45481</v>
      </c>
      <c r="R1030" s="153"/>
      <c r="S1030" s="153"/>
      <c r="T1030" s="153"/>
      <c r="U1030" s="153"/>
      <c r="V1030" s="153"/>
      <c r="W1030" s="153"/>
      <c r="X1030" s="153"/>
      <c r="Y1030" s="153"/>
      <c r="Z1030" s="153"/>
      <c r="AA1030" s="153"/>
    </row>
    <row r="1031" spans="1:27">
      <c r="A1031" s="154">
        <v>7</v>
      </c>
      <c r="B1031" s="155" t="s">
        <v>1760</v>
      </c>
      <c r="C1031" s="170">
        <v>45462</v>
      </c>
      <c r="D1031" s="155" t="s">
        <v>440</v>
      </c>
      <c r="E1031" s="149" t="s">
        <v>109</v>
      </c>
      <c r="F1031" s="149" t="s">
        <v>441</v>
      </c>
      <c r="G1031" s="149" t="s">
        <v>442</v>
      </c>
      <c r="H1031" s="149" t="str">
        <f t="shared" si="6"/>
        <v>ANTONIO RODRÍGUEZ RIVERO</v>
      </c>
      <c r="I1031" s="149" t="s">
        <v>443</v>
      </c>
      <c r="J1031" s="159" t="s">
        <v>444</v>
      </c>
      <c r="K1031" s="149" t="s">
        <v>1884</v>
      </c>
      <c r="L1031" s="157">
        <v>45496</v>
      </c>
      <c r="M1031" s="164"/>
      <c r="N1031" s="163">
        <v>2</v>
      </c>
      <c r="O1031" s="165" t="s">
        <v>446</v>
      </c>
      <c r="P1031" s="161">
        <v>3710</v>
      </c>
      <c r="Q1031" s="162">
        <v>45462</v>
      </c>
      <c r="R1031" s="153"/>
      <c r="S1031" s="153"/>
      <c r="T1031" s="153"/>
      <c r="U1031" s="153"/>
      <c r="V1031" s="153"/>
      <c r="W1031" s="153"/>
      <c r="X1031" s="153"/>
      <c r="Y1031" s="153"/>
      <c r="Z1031" s="153"/>
      <c r="AA1031" s="153"/>
    </row>
    <row r="1032" spans="1:27">
      <c r="A1032" s="154">
        <v>7</v>
      </c>
      <c r="B1032" s="155" t="s">
        <v>1760</v>
      </c>
      <c r="C1032" s="195">
        <v>45459</v>
      </c>
      <c r="D1032" s="155" t="s">
        <v>440</v>
      </c>
      <c r="E1032" s="149" t="s">
        <v>109</v>
      </c>
      <c r="F1032" s="153" t="s">
        <v>441</v>
      </c>
      <c r="G1032" s="149" t="s">
        <v>442</v>
      </c>
      <c r="H1032" s="149" t="str">
        <f t="shared" si="6"/>
        <v>MARÍA GARROTE GARROTE</v>
      </c>
      <c r="I1032" s="149" t="s">
        <v>447</v>
      </c>
      <c r="J1032" s="153" t="s">
        <v>444</v>
      </c>
      <c r="K1032" s="149" t="s">
        <v>1885</v>
      </c>
      <c r="L1032" s="157">
        <v>45496</v>
      </c>
      <c r="M1032" s="164"/>
      <c r="N1032" s="163">
        <v>2</v>
      </c>
      <c r="O1032" s="165" t="s">
        <v>446</v>
      </c>
      <c r="P1032" s="161">
        <v>3710</v>
      </c>
      <c r="Q1032" s="196">
        <v>45459</v>
      </c>
      <c r="R1032" s="153"/>
      <c r="S1032" s="153"/>
      <c r="T1032" s="153"/>
      <c r="U1032" s="153"/>
      <c r="V1032" s="153"/>
      <c r="W1032" s="153"/>
      <c r="X1032" s="153"/>
      <c r="Y1032" s="153"/>
      <c r="Z1032" s="153"/>
      <c r="AA1032" s="153"/>
    </row>
    <row r="1033" spans="1:27">
      <c r="A1033" s="154">
        <v>7</v>
      </c>
      <c r="B1033" s="155" t="s">
        <v>1760</v>
      </c>
      <c r="C1033" s="195">
        <v>45467</v>
      </c>
      <c r="D1033" s="155" t="s">
        <v>440</v>
      </c>
      <c r="E1033" s="149" t="s">
        <v>109</v>
      </c>
      <c r="F1033" s="153" t="s">
        <v>441</v>
      </c>
      <c r="G1033" s="149" t="s">
        <v>442</v>
      </c>
      <c r="H1033" s="149" t="str">
        <f t="shared" si="6"/>
        <v>ANTONIO RODRÍGUEZ RIVERO</v>
      </c>
      <c r="I1033" s="149" t="s">
        <v>443</v>
      </c>
      <c r="J1033" s="153" t="s">
        <v>444</v>
      </c>
      <c r="K1033" s="149" t="s">
        <v>1886</v>
      </c>
      <c r="L1033" s="157">
        <v>45496</v>
      </c>
      <c r="M1033" s="164"/>
      <c r="N1033" s="163">
        <v>2</v>
      </c>
      <c r="O1033" s="165" t="s">
        <v>1540</v>
      </c>
      <c r="P1033" s="161">
        <v>4000</v>
      </c>
      <c r="Q1033" s="196">
        <v>45467</v>
      </c>
      <c r="R1033" s="153"/>
      <c r="S1033" s="153"/>
      <c r="T1033" s="153"/>
      <c r="U1033" s="153"/>
      <c r="V1033" s="153"/>
      <c r="W1033" s="153"/>
      <c r="X1033" s="153"/>
      <c r="Y1033" s="153"/>
      <c r="Z1033" s="153"/>
      <c r="AA1033" s="153"/>
    </row>
    <row r="1034" spans="1:27">
      <c r="A1034" s="154">
        <v>7</v>
      </c>
      <c r="B1034" s="155" t="s">
        <v>1760</v>
      </c>
      <c r="C1034" s="195">
        <v>45476</v>
      </c>
      <c r="D1034" s="155" t="s">
        <v>440</v>
      </c>
      <c r="E1034" s="149" t="s">
        <v>122</v>
      </c>
      <c r="F1034" s="153" t="s">
        <v>441</v>
      </c>
      <c r="G1034" s="149" t="s">
        <v>442</v>
      </c>
      <c r="H1034" s="149" t="str">
        <f t="shared" si="6"/>
        <v>MONTSERRAT PORTELL SORIANO</v>
      </c>
      <c r="I1034" s="149" t="s">
        <v>669</v>
      </c>
      <c r="J1034" s="153" t="s">
        <v>444</v>
      </c>
      <c r="K1034" s="149" t="s">
        <v>1887</v>
      </c>
      <c r="L1034" s="157">
        <v>45496</v>
      </c>
      <c r="M1034" s="164"/>
      <c r="N1034" s="163">
        <v>2</v>
      </c>
      <c r="O1034" s="165" t="s">
        <v>1540</v>
      </c>
      <c r="P1034" s="161">
        <v>3800</v>
      </c>
      <c r="Q1034" s="196">
        <v>45476</v>
      </c>
      <c r="R1034" s="153"/>
      <c r="S1034" s="153"/>
      <c r="T1034" s="153"/>
      <c r="U1034" s="153"/>
      <c r="V1034" s="153"/>
      <c r="W1034" s="153"/>
      <c r="X1034" s="153"/>
      <c r="Y1034" s="153"/>
      <c r="Z1034" s="153"/>
      <c r="AA1034" s="153"/>
    </row>
    <row r="1035" spans="1:27">
      <c r="A1035" s="154">
        <v>7</v>
      </c>
      <c r="B1035" s="155" t="s">
        <v>1760</v>
      </c>
      <c r="C1035" s="195"/>
      <c r="D1035" s="155" t="s">
        <v>440</v>
      </c>
      <c r="E1035" s="149" t="s">
        <v>158</v>
      </c>
      <c r="F1035" s="153" t="s">
        <v>441</v>
      </c>
      <c r="G1035" s="149" t="s">
        <v>441</v>
      </c>
      <c r="H1035" s="149" t="str">
        <f t="shared" si="6"/>
        <v>CARLOS BARAJAS DEL ROSAL</v>
      </c>
      <c r="I1035" s="149" t="s">
        <v>660</v>
      </c>
      <c r="J1035" s="153" t="s">
        <v>548</v>
      </c>
      <c r="K1035" s="149" t="s">
        <v>1888</v>
      </c>
      <c r="L1035" s="157">
        <v>45496</v>
      </c>
      <c r="M1035" s="164"/>
      <c r="N1035" s="163">
        <v>2</v>
      </c>
      <c r="O1035" s="165" t="s">
        <v>1540</v>
      </c>
      <c r="P1035" s="161">
        <v>4000</v>
      </c>
      <c r="Q1035" s="196"/>
      <c r="R1035" s="153"/>
      <c r="S1035" s="153"/>
      <c r="T1035" s="153"/>
      <c r="U1035" s="153"/>
      <c r="V1035" s="153"/>
      <c r="W1035" s="153"/>
      <c r="X1035" s="153"/>
      <c r="Y1035" s="153"/>
      <c r="Z1035" s="153"/>
      <c r="AA1035" s="153"/>
    </row>
    <row r="1036" spans="1:27">
      <c r="A1036" s="154">
        <v>7</v>
      </c>
      <c r="B1036" s="155" t="s">
        <v>1760</v>
      </c>
      <c r="C1036" s="195">
        <v>45467</v>
      </c>
      <c r="D1036" s="155" t="s">
        <v>440</v>
      </c>
      <c r="E1036" s="149" t="s">
        <v>98</v>
      </c>
      <c r="F1036" s="153" t="s">
        <v>441</v>
      </c>
      <c r="G1036" s="149" t="s">
        <v>442</v>
      </c>
      <c r="H1036" s="149" t="str">
        <f t="shared" si="6"/>
        <v>JUAN PABLO PELEGRÍN HERNÁNDEZ</v>
      </c>
      <c r="I1036" s="149" t="s">
        <v>630</v>
      </c>
      <c r="J1036" s="153" t="s">
        <v>462</v>
      </c>
      <c r="K1036" s="149" t="s">
        <v>1889</v>
      </c>
      <c r="L1036" s="168">
        <v>45496</v>
      </c>
      <c r="M1036" s="164"/>
      <c r="N1036" s="163">
        <v>2</v>
      </c>
      <c r="O1036" s="165" t="s">
        <v>446</v>
      </c>
      <c r="P1036" s="161">
        <v>3710</v>
      </c>
      <c r="Q1036" s="196">
        <v>45467</v>
      </c>
      <c r="R1036" s="153"/>
      <c r="S1036" s="153"/>
      <c r="T1036" s="153"/>
      <c r="U1036" s="153"/>
      <c r="V1036" s="153"/>
      <c r="W1036" s="153"/>
      <c r="X1036" s="153"/>
      <c r="Y1036" s="153"/>
      <c r="Z1036" s="153"/>
      <c r="AA1036" s="153"/>
    </row>
    <row r="1037" spans="1:27">
      <c r="A1037" s="154">
        <v>7</v>
      </c>
      <c r="B1037" s="155" t="s">
        <v>1760</v>
      </c>
      <c r="C1037" s="195">
        <v>45475</v>
      </c>
      <c r="D1037" s="155" t="s">
        <v>440</v>
      </c>
      <c r="E1037" s="149" t="s">
        <v>98</v>
      </c>
      <c r="F1037" s="153" t="s">
        <v>441</v>
      </c>
      <c r="G1037" s="149" t="s">
        <v>442</v>
      </c>
      <c r="H1037" s="149" t="str">
        <f t="shared" si="6"/>
        <v>BEATRIZ RODRÍGUEZ GONZÁLEZ HERRERO</v>
      </c>
      <c r="I1037" s="149" t="s">
        <v>1398</v>
      </c>
      <c r="J1037" s="153" t="s">
        <v>462</v>
      </c>
      <c r="K1037" s="149" t="s">
        <v>1890</v>
      </c>
      <c r="L1037" s="168">
        <v>45496</v>
      </c>
      <c r="M1037" s="164"/>
      <c r="N1037" s="163">
        <v>2</v>
      </c>
      <c r="O1037" s="165" t="s">
        <v>449</v>
      </c>
      <c r="P1037" s="161">
        <v>2888.18</v>
      </c>
      <c r="Q1037" s="196">
        <v>45475</v>
      </c>
      <c r="R1037" s="153"/>
      <c r="S1037" s="153"/>
      <c r="T1037" s="153"/>
      <c r="U1037" s="153"/>
      <c r="V1037" s="153"/>
      <c r="W1037" s="153"/>
      <c r="X1037" s="153"/>
      <c r="Y1037" s="153"/>
      <c r="Z1037" s="153"/>
      <c r="AA1037" s="153"/>
    </row>
    <row r="1038" spans="1:27">
      <c r="A1038" s="154">
        <v>7</v>
      </c>
      <c r="B1038" s="155" t="s">
        <v>1760</v>
      </c>
      <c r="C1038" s="195">
        <v>45496</v>
      </c>
      <c r="D1038" s="155" t="s">
        <v>440</v>
      </c>
      <c r="E1038" s="149" t="s">
        <v>1763</v>
      </c>
      <c r="F1038" s="153" t="s">
        <v>441</v>
      </c>
      <c r="G1038" s="149" t="s">
        <v>442</v>
      </c>
      <c r="H1038" s="149" t="str">
        <f t="shared" si="6"/>
        <v>MARÍA JESÚS CORNEJO DOMÍNGUEZ</v>
      </c>
      <c r="I1038" s="149" t="s">
        <v>507</v>
      </c>
      <c r="J1038" s="153" t="s">
        <v>473</v>
      </c>
      <c r="K1038" s="149" t="s">
        <v>1891</v>
      </c>
      <c r="L1038" s="168">
        <v>45496</v>
      </c>
      <c r="M1038" s="164"/>
      <c r="N1038" s="163">
        <v>2</v>
      </c>
      <c r="O1038" s="165" t="s">
        <v>446</v>
      </c>
      <c r="P1038" s="161">
        <v>3604.55</v>
      </c>
      <c r="Q1038" s="196">
        <v>45496</v>
      </c>
      <c r="R1038" s="153"/>
      <c r="S1038" s="153"/>
      <c r="T1038" s="153"/>
      <c r="U1038" s="153"/>
      <c r="V1038" s="153"/>
      <c r="W1038" s="153"/>
      <c r="X1038" s="153"/>
      <c r="Y1038" s="153"/>
      <c r="Z1038" s="153"/>
      <c r="AA1038" s="153"/>
    </row>
    <row r="1039" spans="1:27">
      <c r="A1039" s="154">
        <v>7</v>
      </c>
      <c r="B1039" s="155" t="s">
        <v>1760</v>
      </c>
      <c r="C1039" s="195">
        <v>45476</v>
      </c>
      <c r="D1039" s="155" t="s">
        <v>440</v>
      </c>
      <c r="E1039" s="149" t="s">
        <v>150</v>
      </c>
      <c r="F1039" s="153" t="s">
        <v>441</v>
      </c>
      <c r="G1039" s="149" t="s">
        <v>442</v>
      </c>
      <c r="H1039" s="149" t="str">
        <f t="shared" si="6"/>
        <v>AGUSTÍN CAMPOS CATALÁ</v>
      </c>
      <c r="I1039" s="149" t="s">
        <v>1824</v>
      </c>
      <c r="J1039" s="153" t="s">
        <v>636</v>
      </c>
      <c r="K1039" s="149" t="s">
        <v>1892</v>
      </c>
      <c r="L1039" s="157">
        <v>45496</v>
      </c>
      <c r="M1039" s="164"/>
      <c r="N1039" s="163">
        <v>2</v>
      </c>
      <c r="O1039" s="165" t="s">
        <v>1540</v>
      </c>
      <c r="P1039" s="161">
        <v>3800</v>
      </c>
      <c r="Q1039" s="196">
        <v>45476</v>
      </c>
      <c r="R1039" s="153"/>
      <c r="S1039" s="153"/>
      <c r="T1039" s="153"/>
      <c r="U1039" s="153"/>
      <c r="V1039" s="153"/>
      <c r="W1039" s="153"/>
      <c r="X1039" s="153"/>
      <c r="Y1039" s="153"/>
      <c r="Z1039" s="153"/>
      <c r="AA1039" s="153"/>
    </row>
    <row r="1040" spans="1:27">
      <c r="A1040" s="154">
        <v>7</v>
      </c>
      <c r="B1040" s="155" t="s">
        <v>1760</v>
      </c>
      <c r="C1040" s="195">
        <v>45434</v>
      </c>
      <c r="D1040" s="155" t="s">
        <v>440</v>
      </c>
      <c r="E1040" s="149" t="s">
        <v>1862</v>
      </c>
      <c r="F1040" s="153" t="s">
        <v>441</v>
      </c>
      <c r="G1040" s="149" t="s">
        <v>442</v>
      </c>
      <c r="H1040" s="149" t="str">
        <f t="shared" si="6"/>
        <v>JORGE FREIJANES OTERO</v>
      </c>
      <c r="I1040" s="149" t="s">
        <v>1893</v>
      </c>
      <c r="J1040" s="153" t="s">
        <v>473</v>
      </c>
      <c r="K1040" s="149" t="s">
        <v>1894</v>
      </c>
      <c r="L1040" s="157">
        <v>45496</v>
      </c>
      <c r="M1040" s="164"/>
      <c r="N1040" s="163">
        <v>2</v>
      </c>
      <c r="O1040" s="165" t="s">
        <v>466</v>
      </c>
      <c r="P1040" s="161">
        <v>3977.27</v>
      </c>
      <c r="Q1040" s="196">
        <v>45434</v>
      </c>
      <c r="R1040" s="153"/>
      <c r="S1040" s="153"/>
      <c r="T1040" s="153"/>
      <c r="U1040" s="153"/>
      <c r="V1040" s="153"/>
      <c r="W1040" s="153"/>
      <c r="X1040" s="153"/>
      <c r="Y1040" s="153"/>
      <c r="Z1040" s="153"/>
      <c r="AA1040" s="153"/>
    </row>
    <row r="1041" spans="1:27">
      <c r="A1041" s="154">
        <v>7</v>
      </c>
      <c r="B1041" s="155" t="s">
        <v>1760</v>
      </c>
      <c r="C1041" s="170">
        <v>45461</v>
      </c>
      <c r="D1041" s="155" t="s">
        <v>440</v>
      </c>
      <c r="E1041" s="149" t="s">
        <v>514</v>
      </c>
      <c r="F1041" s="149" t="s">
        <v>441</v>
      </c>
      <c r="G1041" s="149" t="s">
        <v>442</v>
      </c>
      <c r="H1041" s="149" t="str">
        <f t="shared" si="6"/>
        <v>CARLOS VIDAL REDONDO</v>
      </c>
      <c r="I1041" s="149" t="s">
        <v>554</v>
      </c>
      <c r="J1041" s="159" t="s">
        <v>516</v>
      </c>
      <c r="K1041" s="149" t="s">
        <v>1895</v>
      </c>
      <c r="L1041" s="157">
        <v>45497</v>
      </c>
      <c r="M1041" s="164"/>
      <c r="N1041" s="163">
        <v>2</v>
      </c>
      <c r="O1041" s="165" t="s">
        <v>518</v>
      </c>
      <c r="P1041" s="161">
        <v>2818.18</v>
      </c>
      <c r="Q1041" s="162">
        <v>45461</v>
      </c>
      <c r="R1041" s="153"/>
      <c r="S1041" s="153"/>
      <c r="T1041" s="153"/>
      <c r="U1041" s="153"/>
      <c r="V1041" s="153"/>
      <c r="W1041" s="153"/>
      <c r="X1041" s="153"/>
      <c r="Y1041" s="153"/>
      <c r="Z1041" s="153"/>
      <c r="AA1041" s="153"/>
    </row>
    <row r="1042" spans="1:27">
      <c r="A1042" s="154">
        <v>7</v>
      </c>
      <c r="B1042" s="155" t="s">
        <v>1760</v>
      </c>
      <c r="C1042" s="195">
        <v>45464</v>
      </c>
      <c r="D1042" s="155" t="s">
        <v>440</v>
      </c>
      <c r="E1042" s="149" t="s">
        <v>145</v>
      </c>
      <c r="F1042" s="153" t="s">
        <v>441</v>
      </c>
      <c r="G1042" s="153" t="s">
        <v>442</v>
      </c>
      <c r="H1042" s="149" t="str">
        <f t="shared" si="6"/>
        <v>JESUS-MARIA GRASA PÉREZ</v>
      </c>
      <c r="I1042" s="149" t="s">
        <v>591</v>
      </c>
      <c r="J1042" s="153" t="s">
        <v>532</v>
      </c>
      <c r="K1042" s="149" t="s">
        <v>1896</v>
      </c>
      <c r="L1042" s="157">
        <v>45497</v>
      </c>
      <c r="M1042" s="164"/>
      <c r="N1042" s="163">
        <v>2</v>
      </c>
      <c r="O1042" s="165" t="s">
        <v>446</v>
      </c>
      <c r="P1042" s="161">
        <v>3710</v>
      </c>
      <c r="Q1042" s="196">
        <v>45464</v>
      </c>
      <c r="R1042" s="153"/>
      <c r="S1042" s="153"/>
      <c r="T1042" s="153"/>
      <c r="U1042" s="153"/>
      <c r="V1042" s="153"/>
      <c r="W1042" s="153"/>
      <c r="X1042" s="153"/>
      <c r="Y1042" s="153"/>
      <c r="Z1042" s="153"/>
      <c r="AA1042" s="153"/>
    </row>
    <row r="1043" spans="1:27">
      <c r="A1043" s="154">
        <v>7</v>
      </c>
      <c r="B1043" s="155" t="s">
        <v>1760</v>
      </c>
      <c r="C1043" s="195">
        <v>45477</v>
      </c>
      <c r="D1043" s="155" t="s">
        <v>440</v>
      </c>
      <c r="E1043" s="149" t="s">
        <v>315</v>
      </c>
      <c r="F1043" s="153" t="s">
        <v>441</v>
      </c>
      <c r="G1043" s="149" t="s">
        <v>442</v>
      </c>
      <c r="H1043" s="149" t="str">
        <f t="shared" si="6"/>
        <v>JOSÉ GUSTAVO BARROSO BRAOJOS</v>
      </c>
      <c r="I1043" s="149" t="s">
        <v>560</v>
      </c>
      <c r="J1043" s="153" t="s">
        <v>444</v>
      </c>
      <c r="K1043" s="149" t="s">
        <v>1897</v>
      </c>
      <c r="L1043" s="157">
        <v>45497</v>
      </c>
      <c r="M1043" s="164"/>
      <c r="N1043" s="163">
        <v>2</v>
      </c>
      <c r="O1043" s="165" t="s">
        <v>446</v>
      </c>
      <c r="P1043" s="161">
        <v>3710</v>
      </c>
      <c r="Q1043" s="196">
        <v>45477</v>
      </c>
      <c r="R1043" s="153"/>
      <c r="S1043" s="153"/>
      <c r="T1043" s="153"/>
      <c r="U1043" s="153"/>
      <c r="V1043" s="153"/>
      <c r="W1043" s="153"/>
      <c r="X1043" s="153"/>
      <c r="Y1043" s="153"/>
      <c r="Z1043" s="153"/>
      <c r="AA1043" s="153"/>
    </row>
    <row r="1044" spans="1:27">
      <c r="A1044" s="154">
        <v>7</v>
      </c>
      <c r="B1044" s="155" t="s">
        <v>1760</v>
      </c>
      <c r="C1044" s="195">
        <v>45470</v>
      </c>
      <c r="D1044" s="155" t="s">
        <v>440</v>
      </c>
      <c r="E1044" s="149" t="s">
        <v>158</v>
      </c>
      <c r="F1044" s="153" t="s">
        <v>441</v>
      </c>
      <c r="G1044" s="149" t="s">
        <v>442</v>
      </c>
      <c r="H1044" s="149" t="str">
        <f t="shared" si="6"/>
        <v>JAVIER GARCÍA DOMÍNGUEZ</v>
      </c>
      <c r="I1044" s="149" t="s">
        <v>607</v>
      </c>
      <c r="J1044" s="153" t="s">
        <v>444</v>
      </c>
      <c r="K1044" s="149" t="s">
        <v>1898</v>
      </c>
      <c r="L1044" s="168">
        <v>45497</v>
      </c>
      <c r="M1044" s="164"/>
      <c r="N1044" s="163">
        <v>2</v>
      </c>
      <c r="O1044" s="165" t="s">
        <v>446</v>
      </c>
      <c r="P1044" s="161">
        <v>3524.49</v>
      </c>
      <c r="Q1044" s="196">
        <v>45470</v>
      </c>
      <c r="R1044" s="153"/>
      <c r="S1044" s="153"/>
      <c r="T1044" s="153"/>
      <c r="U1044" s="153"/>
      <c r="V1044" s="153"/>
      <c r="W1044" s="153"/>
      <c r="X1044" s="153"/>
      <c r="Y1044" s="153"/>
      <c r="Z1044" s="153"/>
      <c r="AA1044" s="153"/>
    </row>
    <row r="1045" spans="1:27">
      <c r="A1045" s="154">
        <v>7</v>
      </c>
      <c r="B1045" s="155" t="s">
        <v>1760</v>
      </c>
      <c r="C1045" s="195">
        <v>45477</v>
      </c>
      <c r="D1045" s="155" t="s">
        <v>440</v>
      </c>
      <c r="E1045" s="149" t="s">
        <v>164</v>
      </c>
      <c r="F1045" s="153" t="s">
        <v>441</v>
      </c>
      <c r="G1045" s="149" t="s">
        <v>442</v>
      </c>
      <c r="H1045" s="149" t="str">
        <f t="shared" si="6"/>
        <v>Alejandro Harguindey Antoli-Candela</v>
      </c>
      <c r="I1045" s="149" t="s">
        <v>528</v>
      </c>
      <c r="J1045" s="153" t="s">
        <v>444</v>
      </c>
      <c r="K1045" s="149" t="s">
        <v>1899</v>
      </c>
      <c r="L1045" s="168">
        <v>45497</v>
      </c>
      <c r="M1045" s="164"/>
      <c r="N1045" s="163">
        <v>1</v>
      </c>
      <c r="O1045" s="165" t="s">
        <v>1540</v>
      </c>
      <c r="P1045" s="161">
        <v>2400</v>
      </c>
      <c r="Q1045" s="196">
        <v>45477</v>
      </c>
      <c r="R1045" s="153"/>
      <c r="S1045" s="153"/>
      <c r="T1045" s="153"/>
      <c r="U1045" s="153"/>
      <c r="V1045" s="153"/>
      <c r="W1045" s="153"/>
      <c r="X1045" s="153"/>
      <c r="Y1045" s="153"/>
      <c r="Z1045" s="153"/>
      <c r="AA1045" s="153"/>
    </row>
    <row r="1046" spans="1:27">
      <c r="A1046" s="154">
        <v>7</v>
      </c>
      <c r="B1046" s="155" t="s">
        <v>1760</v>
      </c>
      <c r="C1046" s="195">
        <v>45476</v>
      </c>
      <c r="D1046" s="155" t="s">
        <v>440</v>
      </c>
      <c r="E1046" s="149" t="s">
        <v>102</v>
      </c>
      <c r="F1046" s="153" t="s">
        <v>441</v>
      </c>
      <c r="G1046" s="149" t="s">
        <v>442</v>
      </c>
      <c r="H1046" s="149" t="str">
        <f t="shared" si="6"/>
        <v>JUAN JAVIER ÁLVAREZ LÓPEZ</v>
      </c>
      <c r="I1046" s="149" t="s">
        <v>664</v>
      </c>
      <c r="J1046" s="153" t="s">
        <v>462</v>
      </c>
      <c r="K1046" s="149" t="s">
        <v>1900</v>
      </c>
      <c r="L1046" s="168">
        <v>45497</v>
      </c>
      <c r="M1046" s="164"/>
      <c r="N1046" s="163">
        <v>2</v>
      </c>
      <c r="O1046" s="165" t="s">
        <v>1540</v>
      </c>
      <c r="P1046" s="161">
        <v>4000</v>
      </c>
      <c r="Q1046" s="196">
        <v>45476</v>
      </c>
      <c r="R1046" s="153"/>
      <c r="S1046" s="153"/>
      <c r="T1046" s="153"/>
      <c r="U1046" s="153"/>
      <c r="V1046" s="153"/>
      <c r="W1046" s="153"/>
      <c r="X1046" s="153"/>
      <c r="Y1046" s="153"/>
      <c r="Z1046" s="153"/>
      <c r="AA1046" s="153"/>
    </row>
    <row r="1047" spans="1:27">
      <c r="A1047" s="154">
        <v>7</v>
      </c>
      <c r="B1047" s="155" t="s">
        <v>1760</v>
      </c>
      <c r="C1047" s="195">
        <v>45461</v>
      </c>
      <c r="D1047" s="155" t="s">
        <v>440</v>
      </c>
      <c r="E1047" s="149" t="s">
        <v>471</v>
      </c>
      <c r="F1047" s="153" t="s">
        <v>441</v>
      </c>
      <c r="G1047" s="149" t="s">
        <v>442</v>
      </c>
      <c r="H1047" s="149" t="str">
        <f t="shared" si="6"/>
        <v>MARÍA LOURDES HERNÁNDEZ DE LOS SANTOS</v>
      </c>
      <c r="I1047" s="149" t="s">
        <v>1901</v>
      </c>
      <c r="J1047" s="153" t="s">
        <v>473</v>
      </c>
      <c r="K1047" s="149" t="s">
        <v>1902</v>
      </c>
      <c r="L1047" s="168">
        <v>45497</v>
      </c>
      <c r="M1047" s="164"/>
      <c r="N1047" s="163">
        <v>2</v>
      </c>
      <c r="O1047" s="165" t="s">
        <v>446</v>
      </c>
      <c r="P1047" s="161">
        <v>3524.55</v>
      </c>
      <c r="Q1047" s="196">
        <v>45461</v>
      </c>
      <c r="R1047" s="153"/>
      <c r="S1047" s="153"/>
      <c r="T1047" s="153"/>
      <c r="U1047" s="153"/>
      <c r="V1047" s="153"/>
      <c r="W1047" s="153"/>
      <c r="X1047" s="153"/>
      <c r="Y1047" s="153"/>
      <c r="Z1047" s="153"/>
      <c r="AA1047" s="153"/>
    </row>
    <row r="1048" spans="1:27">
      <c r="A1048" s="154">
        <v>7</v>
      </c>
      <c r="B1048" s="155" t="s">
        <v>1760</v>
      </c>
      <c r="C1048" s="170"/>
      <c r="D1048" s="155" t="s">
        <v>440</v>
      </c>
      <c r="E1048" s="149" t="s">
        <v>317</v>
      </c>
      <c r="F1048" s="149" t="s">
        <v>441</v>
      </c>
      <c r="G1048" s="149" t="s">
        <v>442</v>
      </c>
      <c r="H1048" s="149" t="str">
        <f t="shared" si="6"/>
        <v>FRANCISCO PASTOR BEVIÁ</v>
      </c>
      <c r="I1048" s="149" t="s">
        <v>464</v>
      </c>
      <c r="J1048" s="159" t="s">
        <v>462</v>
      </c>
      <c r="K1048" s="149" t="s">
        <v>1903</v>
      </c>
      <c r="L1048" s="168">
        <v>45498</v>
      </c>
      <c r="M1048" s="164"/>
      <c r="N1048" s="163">
        <v>2</v>
      </c>
      <c r="O1048" s="165" t="s">
        <v>513</v>
      </c>
      <c r="P1048" s="161">
        <v>4345.45</v>
      </c>
      <c r="Q1048" s="162"/>
      <c r="R1048" s="153"/>
      <c r="S1048" s="153"/>
      <c r="T1048" s="153"/>
      <c r="U1048" s="153"/>
      <c r="V1048" s="153"/>
      <c r="W1048" s="153"/>
      <c r="X1048" s="153"/>
      <c r="Y1048" s="153"/>
      <c r="Z1048" s="153"/>
      <c r="AA1048" s="153"/>
    </row>
    <row r="1049" spans="1:27">
      <c r="A1049" s="154">
        <v>7</v>
      </c>
      <c r="B1049" s="155" t="s">
        <v>1760</v>
      </c>
      <c r="C1049" s="170">
        <v>45464</v>
      </c>
      <c r="D1049" s="155" t="s">
        <v>440</v>
      </c>
      <c r="E1049" s="149" t="s">
        <v>138</v>
      </c>
      <c r="F1049" s="149" t="s">
        <v>441</v>
      </c>
      <c r="G1049" s="149" t="s">
        <v>442</v>
      </c>
      <c r="H1049" s="149" t="str">
        <f t="shared" si="6"/>
        <v>MARTA SANDOVAL PUIG</v>
      </c>
      <c r="I1049" s="149" t="s">
        <v>781</v>
      </c>
      <c r="J1049" s="159" t="s">
        <v>532</v>
      </c>
      <c r="K1049" s="149" t="s">
        <v>1904</v>
      </c>
      <c r="L1049" s="168">
        <v>45498</v>
      </c>
      <c r="M1049" s="164"/>
      <c r="N1049" s="163">
        <v>2</v>
      </c>
      <c r="O1049" s="192" t="s">
        <v>446</v>
      </c>
      <c r="P1049" s="161">
        <v>3710</v>
      </c>
      <c r="Q1049" s="162">
        <v>45464</v>
      </c>
      <c r="R1049" s="153"/>
      <c r="S1049" s="153"/>
      <c r="T1049" s="153"/>
      <c r="U1049" s="153"/>
      <c r="V1049" s="153"/>
      <c r="W1049" s="153"/>
      <c r="X1049" s="153"/>
      <c r="Y1049" s="153"/>
      <c r="Z1049" s="153"/>
      <c r="AA1049" s="153"/>
    </row>
    <row r="1050" spans="1:27">
      <c r="A1050" s="154">
        <v>7</v>
      </c>
      <c r="B1050" s="155" t="s">
        <v>1760</v>
      </c>
      <c r="C1050" s="195">
        <v>45461</v>
      </c>
      <c r="D1050" s="155" t="s">
        <v>440</v>
      </c>
      <c r="E1050" s="149" t="s">
        <v>1905</v>
      </c>
      <c r="F1050" s="153" t="s">
        <v>441</v>
      </c>
      <c r="G1050" s="149" t="s">
        <v>442</v>
      </c>
      <c r="H1050" s="149" t="str">
        <f t="shared" si="6"/>
        <v>CARLOS DURÁN DÍEZ</v>
      </c>
      <c r="I1050" s="149" t="s">
        <v>1535</v>
      </c>
      <c r="J1050" s="153" t="s">
        <v>473</v>
      </c>
      <c r="K1050" s="149" t="s">
        <v>1906</v>
      </c>
      <c r="L1050" s="157">
        <v>45498</v>
      </c>
      <c r="M1050" s="164"/>
      <c r="N1050" s="163">
        <v>2</v>
      </c>
      <c r="O1050" s="165" t="s">
        <v>513</v>
      </c>
      <c r="P1050" s="161">
        <v>5318.18</v>
      </c>
      <c r="Q1050" s="196">
        <v>45461</v>
      </c>
      <c r="R1050" s="153"/>
      <c r="S1050" s="153"/>
      <c r="T1050" s="153"/>
      <c r="U1050" s="153"/>
      <c r="V1050" s="153"/>
      <c r="W1050" s="153"/>
      <c r="X1050" s="153"/>
      <c r="Y1050" s="153"/>
      <c r="Z1050" s="153"/>
      <c r="AA1050" s="153"/>
    </row>
    <row r="1051" spans="1:27">
      <c r="A1051" s="154">
        <v>7</v>
      </c>
      <c r="B1051" s="155" t="s">
        <v>1760</v>
      </c>
      <c r="C1051" s="195">
        <v>45461</v>
      </c>
      <c r="D1051" s="155" t="s">
        <v>440</v>
      </c>
      <c r="E1051" s="149" t="s">
        <v>98</v>
      </c>
      <c r="F1051" s="153" t="s">
        <v>441</v>
      </c>
      <c r="G1051" s="149" t="s">
        <v>442</v>
      </c>
      <c r="H1051" s="149" t="str">
        <f t="shared" si="6"/>
        <v>MARÍA AGUSTINA SEVILLA GARCÍA</v>
      </c>
      <c r="I1051" s="149" t="s">
        <v>538</v>
      </c>
      <c r="J1051" s="153" t="s">
        <v>462</v>
      </c>
      <c r="K1051" s="149" t="s">
        <v>1907</v>
      </c>
      <c r="L1051" s="168">
        <v>45498</v>
      </c>
      <c r="M1051" s="164"/>
      <c r="N1051" s="163">
        <v>2</v>
      </c>
      <c r="O1051" s="165" t="s">
        <v>513</v>
      </c>
      <c r="P1051" s="161">
        <v>4180</v>
      </c>
      <c r="Q1051" s="196">
        <v>45461</v>
      </c>
      <c r="R1051" s="153"/>
      <c r="S1051" s="153"/>
      <c r="T1051" s="153"/>
      <c r="U1051" s="153"/>
      <c r="V1051" s="153"/>
      <c r="W1051" s="153"/>
      <c r="X1051" s="153"/>
      <c r="Y1051" s="153"/>
      <c r="Z1051" s="153"/>
      <c r="AA1051" s="153"/>
    </row>
    <row r="1052" spans="1:27">
      <c r="A1052" s="154">
        <v>7</v>
      </c>
      <c r="B1052" s="155" t="s">
        <v>1760</v>
      </c>
      <c r="C1052" s="195">
        <v>45447</v>
      </c>
      <c r="D1052" s="155" t="s">
        <v>440</v>
      </c>
      <c r="E1052" s="149" t="s">
        <v>1763</v>
      </c>
      <c r="F1052" s="153" t="s">
        <v>441</v>
      </c>
      <c r="G1052" s="149" t="s">
        <v>442</v>
      </c>
      <c r="H1052" s="149" t="str">
        <f t="shared" si="6"/>
        <v>JUAN CARLOS DEL POZO DE DIOS</v>
      </c>
      <c r="I1052" s="149" t="s">
        <v>1908</v>
      </c>
      <c r="J1052" s="153" t="s">
        <v>473</v>
      </c>
      <c r="K1052" s="149" t="s">
        <v>1909</v>
      </c>
      <c r="L1052" s="168">
        <v>45498</v>
      </c>
      <c r="M1052" s="164"/>
      <c r="N1052" s="163">
        <v>2</v>
      </c>
      <c r="O1052" s="165" t="s">
        <v>446</v>
      </c>
      <c r="P1052" s="161">
        <v>3604.55</v>
      </c>
      <c r="Q1052" s="196">
        <v>45447</v>
      </c>
      <c r="R1052" s="153"/>
      <c r="S1052" s="153"/>
      <c r="T1052" s="153"/>
      <c r="U1052" s="153"/>
      <c r="V1052" s="153"/>
      <c r="W1052" s="153"/>
      <c r="X1052" s="153"/>
      <c r="Y1052" s="153"/>
      <c r="Z1052" s="153"/>
      <c r="AA1052" s="153"/>
    </row>
    <row r="1053" spans="1:27">
      <c r="A1053" s="154">
        <v>7</v>
      </c>
      <c r="B1053" s="155" t="s">
        <v>1760</v>
      </c>
      <c r="C1053" s="195">
        <v>45468</v>
      </c>
      <c r="D1053" s="155" t="s">
        <v>440</v>
      </c>
      <c r="E1053" s="149" t="s">
        <v>239</v>
      </c>
      <c r="F1053" s="153" t="s">
        <v>441</v>
      </c>
      <c r="G1053" s="149" t="s">
        <v>442</v>
      </c>
      <c r="H1053" s="149" t="str">
        <f t="shared" si="6"/>
        <v>Mª LUISA CALERO RAMOS</v>
      </c>
      <c r="I1053" s="149" t="s">
        <v>809</v>
      </c>
      <c r="J1053" s="153" t="s">
        <v>455</v>
      </c>
      <c r="K1053" s="149" t="s">
        <v>1910</v>
      </c>
      <c r="L1053" s="157">
        <v>45498</v>
      </c>
      <c r="M1053" s="164"/>
      <c r="N1053" s="163">
        <v>2</v>
      </c>
      <c r="O1053" s="165" t="s">
        <v>446</v>
      </c>
      <c r="P1053" s="161">
        <v>3710</v>
      </c>
      <c r="Q1053" s="196">
        <v>45468</v>
      </c>
      <c r="R1053" s="153"/>
      <c r="S1053" s="153"/>
      <c r="T1053" s="153"/>
      <c r="U1053" s="153"/>
      <c r="V1053" s="153"/>
      <c r="W1053" s="153"/>
      <c r="X1053" s="153"/>
      <c r="Y1053" s="153"/>
      <c r="Z1053" s="153"/>
      <c r="AA1053" s="153"/>
    </row>
    <row r="1054" spans="1:27">
      <c r="A1054" s="154">
        <v>7</v>
      </c>
      <c r="B1054" s="155" t="s">
        <v>1760</v>
      </c>
      <c r="C1054" s="170">
        <v>45474</v>
      </c>
      <c r="D1054" s="155" t="s">
        <v>440</v>
      </c>
      <c r="E1054" s="149" t="s">
        <v>317</v>
      </c>
      <c r="F1054" s="149" t="s">
        <v>441</v>
      </c>
      <c r="G1054" s="149" t="s">
        <v>442</v>
      </c>
      <c r="H1054" s="149" t="str">
        <f t="shared" si="6"/>
        <v>CRISTINA MUÑOZ PINTO</v>
      </c>
      <c r="I1054" s="149" t="s">
        <v>899</v>
      </c>
      <c r="J1054" s="159" t="s">
        <v>462</v>
      </c>
      <c r="K1054" s="149" t="s">
        <v>1911</v>
      </c>
      <c r="L1054" s="157">
        <v>45499</v>
      </c>
      <c r="M1054" s="164"/>
      <c r="N1054" s="163">
        <v>2</v>
      </c>
      <c r="O1054" s="192" t="s">
        <v>446</v>
      </c>
      <c r="P1054" s="161">
        <v>3710</v>
      </c>
      <c r="Q1054" s="162">
        <v>45474</v>
      </c>
      <c r="R1054" s="153"/>
      <c r="S1054" s="153"/>
      <c r="T1054" s="153"/>
      <c r="U1054" s="153"/>
      <c r="V1054" s="153"/>
      <c r="W1054" s="153"/>
      <c r="X1054" s="153"/>
      <c r="Y1054" s="153"/>
      <c r="Z1054" s="153"/>
      <c r="AA1054" s="153"/>
    </row>
    <row r="1055" spans="1:27">
      <c r="A1055" s="154">
        <v>7</v>
      </c>
      <c r="B1055" s="155" t="s">
        <v>1760</v>
      </c>
      <c r="C1055" s="170">
        <v>45468</v>
      </c>
      <c r="D1055" s="155" t="s">
        <v>440</v>
      </c>
      <c r="E1055" s="149" t="s">
        <v>109</v>
      </c>
      <c r="F1055" s="149" t="s">
        <v>441</v>
      </c>
      <c r="G1055" s="149" t="s">
        <v>442</v>
      </c>
      <c r="H1055" s="149" t="str">
        <f t="shared" si="6"/>
        <v>MARÍA GARROTE GARROTE</v>
      </c>
      <c r="I1055" s="149" t="s">
        <v>447</v>
      </c>
      <c r="J1055" s="153" t="s">
        <v>444</v>
      </c>
      <c r="K1055" s="149" t="s">
        <v>1912</v>
      </c>
      <c r="L1055" s="157">
        <v>45499</v>
      </c>
      <c r="M1055" s="164"/>
      <c r="N1055" s="163">
        <v>1</v>
      </c>
      <c r="O1055" s="165" t="s">
        <v>449</v>
      </c>
      <c r="P1055" s="161">
        <v>1732.73</v>
      </c>
      <c r="Q1055" s="162">
        <v>45468</v>
      </c>
      <c r="R1055" s="153"/>
      <c r="S1055" s="153"/>
      <c r="T1055" s="153"/>
      <c r="U1055" s="153"/>
      <c r="V1055" s="153"/>
      <c r="W1055" s="153"/>
      <c r="X1055" s="153"/>
      <c r="Y1055" s="153"/>
      <c r="Z1055" s="153"/>
      <c r="AA1055" s="153"/>
    </row>
    <row r="1056" spans="1:27">
      <c r="A1056" s="154">
        <v>7</v>
      </c>
      <c r="B1056" s="155" t="s">
        <v>1760</v>
      </c>
      <c r="C1056" s="195">
        <v>45475</v>
      </c>
      <c r="D1056" s="155" t="s">
        <v>440</v>
      </c>
      <c r="E1056" s="149" t="s">
        <v>1817</v>
      </c>
      <c r="F1056" s="153" t="s">
        <v>441</v>
      </c>
      <c r="G1056" s="149" t="s">
        <v>442</v>
      </c>
      <c r="H1056" s="149" t="str">
        <f t="shared" si="6"/>
        <v>FERNANDO SALAZAR BARCELONA</v>
      </c>
      <c r="I1056" s="149" t="s">
        <v>502</v>
      </c>
      <c r="J1056" s="153" t="s">
        <v>548</v>
      </c>
      <c r="K1056" s="149" t="s">
        <v>1913</v>
      </c>
      <c r="L1056" s="157">
        <v>45499</v>
      </c>
      <c r="M1056" s="164"/>
      <c r="N1056" s="163">
        <v>2</v>
      </c>
      <c r="O1056" s="165" t="s">
        <v>466</v>
      </c>
      <c r="P1056" s="161">
        <v>4000</v>
      </c>
      <c r="Q1056" s="196">
        <v>45475</v>
      </c>
      <c r="R1056" s="153"/>
      <c r="S1056" s="153"/>
      <c r="T1056" s="153"/>
      <c r="U1056" s="153"/>
      <c r="V1056" s="153"/>
      <c r="W1056" s="153"/>
      <c r="X1056" s="153"/>
      <c r="Y1056" s="153"/>
      <c r="Z1056" s="153"/>
      <c r="AA1056" s="153"/>
    </row>
    <row r="1057" spans="1:27">
      <c r="A1057" s="154">
        <v>7</v>
      </c>
      <c r="B1057" s="155" t="s">
        <v>1760</v>
      </c>
      <c r="C1057" s="195">
        <v>45354</v>
      </c>
      <c r="D1057" s="155" t="s">
        <v>440</v>
      </c>
      <c r="E1057" s="149" t="s">
        <v>271</v>
      </c>
      <c r="F1057" s="153" t="s">
        <v>441</v>
      </c>
      <c r="G1057" s="149" t="s">
        <v>442</v>
      </c>
      <c r="H1057" s="149" t="str">
        <f t="shared" si="6"/>
        <v>ANTONIO BUENO RÍOS</v>
      </c>
      <c r="I1057" s="149" t="s">
        <v>519</v>
      </c>
      <c r="J1057" s="153" t="s">
        <v>548</v>
      </c>
      <c r="K1057" s="149" t="s">
        <v>1914</v>
      </c>
      <c r="L1057" s="157">
        <v>45499</v>
      </c>
      <c r="M1057" s="164"/>
      <c r="N1057" s="163">
        <v>2</v>
      </c>
      <c r="O1057" s="165" t="s">
        <v>449</v>
      </c>
      <c r="P1057" s="161">
        <v>2502.8200000000002</v>
      </c>
      <c r="Q1057" s="196">
        <v>45354</v>
      </c>
      <c r="R1057" s="153"/>
      <c r="S1057" s="153"/>
      <c r="T1057" s="153"/>
      <c r="U1057" s="153"/>
      <c r="V1057" s="153"/>
      <c r="W1057" s="153"/>
      <c r="X1057" s="153"/>
      <c r="Y1057" s="153"/>
      <c r="Z1057" s="153"/>
      <c r="AA1057" s="153"/>
    </row>
    <row r="1058" spans="1:27">
      <c r="A1058" s="154">
        <v>7</v>
      </c>
      <c r="B1058" s="155" t="s">
        <v>1760</v>
      </c>
      <c r="C1058" s="195">
        <v>45452</v>
      </c>
      <c r="D1058" s="155" t="s">
        <v>440</v>
      </c>
      <c r="E1058" s="149" t="s">
        <v>271</v>
      </c>
      <c r="F1058" s="153" t="s">
        <v>441</v>
      </c>
      <c r="G1058" s="149" t="s">
        <v>442</v>
      </c>
      <c r="H1058" s="149" t="str">
        <f t="shared" si="6"/>
        <v>Alejandro Harguindey Antoli-Candela</v>
      </c>
      <c r="I1058" s="149" t="s">
        <v>528</v>
      </c>
      <c r="J1058" s="153" t="s">
        <v>444</v>
      </c>
      <c r="K1058" s="149" t="s">
        <v>1915</v>
      </c>
      <c r="L1058" s="157">
        <v>45499</v>
      </c>
      <c r="M1058" s="164"/>
      <c r="N1058" s="163">
        <v>1</v>
      </c>
      <c r="O1058" s="165" t="s">
        <v>1540</v>
      </c>
      <c r="P1058" s="161">
        <v>2335.4499999999998</v>
      </c>
      <c r="Q1058" s="196">
        <v>45452</v>
      </c>
      <c r="R1058" s="153"/>
      <c r="S1058" s="153"/>
      <c r="T1058" s="153"/>
      <c r="U1058" s="153"/>
      <c r="V1058" s="153"/>
      <c r="W1058" s="153"/>
      <c r="X1058" s="153"/>
      <c r="Y1058" s="153"/>
      <c r="Z1058" s="153"/>
      <c r="AA1058" s="153"/>
    </row>
    <row r="1059" spans="1:27">
      <c r="A1059" s="154">
        <v>7</v>
      </c>
      <c r="B1059" s="155" t="s">
        <v>1760</v>
      </c>
      <c r="C1059" s="195">
        <v>45471</v>
      </c>
      <c r="D1059" s="155" t="s">
        <v>440</v>
      </c>
      <c r="E1059" s="149" t="s">
        <v>1766</v>
      </c>
      <c r="F1059" s="153" t="s">
        <v>441</v>
      </c>
      <c r="G1059" s="149" t="s">
        <v>442</v>
      </c>
      <c r="H1059" s="149" t="str">
        <f t="shared" si="6"/>
        <v>JESÚS CROVATO ROJAS</v>
      </c>
      <c r="I1059" s="149" t="s">
        <v>977</v>
      </c>
      <c r="J1059" s="153" t="s">
        <v>455</v>
      </c>
      <c r="K1059" s="149" t="s">
        <v>1916</v>
      </c>
      <c r="L1059" s="157">
        <v>45499</v>
      </c>
      <c r="M1059" s="164"/>
      <c r="N1059" s="163">
        <v>2</v>
      </c>
      <c r="O1059" s="165" t="s">
        <v>446</v>
      </c>
      <c r="P1059" s="161">
        <v>3710</v>
      </c>
      <c r="Q1059" s="196">
        <v>45471</v>
      </c>
      <c r="R1059" s="153"/>
      <c r="S1059" s="153"/>
      <c r="T1059" s="153"/>
      <c r="U1059" s="153"/>
      <c r="V1059" s="153"/>
      <c r="W1059" s="153"/>
      <c r="X1059" s="153"/>
      <c r="Y1059" s="153"/>
      <c r="Z1059" s="153"/>
      <c r="AA1059" s="153"/>
    </row>
    <row r="1060" spans="1:27">
      <c r="A1060" s="154">
        <v>7</v>
      </c>
      <c r="B1060" s="155" t="s">
        <v>1760</v>
      </c>
      <c r="C1060" s="195">
        <v>45462</v>
      </c>
      <c r="D1060" s="155" t="s">
        <v>440</v>
      </c>
      <c r="E1060" s="149" t="s">
        <v>239</v>
      </c>
      <c r="F1060" s="153" t="s">
        <v>441</v>
      </c>
      <c r="G1060" s="149"/>
      <c r="H1060" s="149" t="str">
        <f t="shared" si="6"/>
        <v>Mª LUISA CALERO RAMOS</v>
      </c>
      <c r="I1060" s="149" t="s">
        <v>809</v>
      </c>
      <c r="J1060" s="153" t="s">
        <v>455</v>
      </c>
      <c r="K1060" s="149" t="s">
        <v>1917</v>
      </c>
      <c r="L1060" s="157">
        <v>45499</v>
      </c>
      <c r="M1060" s="164"/>
      <c r="N1060" s="163">
        <v>2</v>
      </c>
      <c r="O1060" s="165" t="s">
        <v>446</v>
      </c>
      <c r="P1060" s="161">
        <v>3524.5</v>
      </c>
      <c r="Q1060" s="196">
        <v>45462</v>
      </c>
      <c r="R1060" s="153"/>
      <c r="S1060" s="153"/>
      <c r="T1060" s="153"/>
      <c r="U1060" s="153"/>
      <c r="V1060" s="153"/>
      <c r="W1060" s="153"/>
      <c r="X1060" s="153"/>
      <c r="Y1060" s="153"/>
      <c r="Z1060" s="153"/>
      <c r="AA1060" s="153"/>
    </row>
    <row r="1061" spans="1:27">
      <c r="A1061" s="154">
        <v>7</v>
      </c>
      <c r="B1061" s="155" t="s">
        <v>1760</v>
      </c>
      <c r="C1061" s="195"/>
      <c r="D1061" s="155" t="s">
        <v>440</v>
      </c>
      <c r="E1061" s="149" t="s">
        <v>239</v>
      </c>
      <c r="F1061" s="153" t="s">
        <v>441</v>
      </c>
      <c r="G1061" s="149" t="s">
        <v>442</v>
      </c>
      <c r="H1061" s="149" t="str">
        <f t="shared" si="6"/>
        <v>LUCIA PRIETO SÁNCHEZ DE LA PUERTA</v>
      </c>
      <c r="I1061" s="149" t="s">
        <v>457</v>
      </c>
      <c r="J1061" s="153" t="s">
        <v>455</v>
      </c>
      <c r="K1061" s="149" t="s">
        <v>1918</v>
      </c>
      <c r="L1061" s="157">
        <v>45499</v>
      </c>
      <c r="M1061" s="164"/>
      <c r="N1061" s="163">
        <v>2</v>
      </c>
      <c r="O1061" s="165" t="s">
        <v>446</v>
      </c>
      <c r="P1061" s="161">
        <v>3710</v>
      </c>
      <c r="Q1061" s="196"/>
      <c r="R1061" s="153"/>
      <c r="S1061" s="153"/>
      <c r="T1061" s="153"/>
      <c r="U1061" s="153"/>
      <c r="V1061" s="153"/>
      <c r="W1061" s="153"/>
      <c r="X1061" s="153"/>
      <c r="Y1061" s="153"/>
      <c r="Z1061" s="153"/>
      <c r="AA1061" s="153"/>
    </row>
    <row r="1062" spans="1:27">
      <c r="A1062" s="154">
        <v>7</v>
      </c>
      <c r="B1062" s="155" t="s">
        <v>1760</v>
      </c>
      <c r="C1062" s="195">
        <v>45457</v>
      </c>
      <c r="D1062" s="155" t="s">
        <v>440</v>
      </c>
      <c r="E1062" s="149" t="s">
        <v>239</v>
      </c>
      <c r="F1062" s="153" t="s">
        <v>441</v>
      </c>
      <c r="G1062" s="149"/>
      <c r="H1062" s="149" t="str">
        <f t="shared" si="6"/>
        <v>FRANCISCO ALÉS CONEJO</v>
      </c>
      <c r="I1062" s="149" t="s">
        <v>997</v>
      </c>
      <c r="J1062" s="153" t="s">
        <v>455</v>
      </c>
      <c r="K1062" s="149" t="s">
        <v>1919</v>
      </c>
      <c r="L1062" s="157">
        <v>45499</v>
      </c>
      <c r="M1062" s="164"/>
      <c r="N1062" s="163">
        <v>2</v>
      </c>
      <c r="O1062" s="165" t="s">
        <v>1540</v>
      </c>
      <c r="P1062" s="161">
        <v>3800</v>
      </c>
      <c r="Q1062" s="196">
        <v>45457</v>
      </c>
      <c r="R1062" s="153"/>
      <c r="S1062" s="153"/>
      <c r="T1062" s="153"/>
      <c r="U1062" s="153"/>
      <c r="V1062" s="153"/>
      <c r="W1062" s="153"/>
      <c r="X1062" s="153"/>
      <c r="Y1062" s="153"/>
      <c r="Z1062" s="153"/>
      <c r="AA1062" s="153"/>
    </row>
    <row r="1063" spans="1:27">
      <c r="A1063" s="154">
        <v>7</v>
      </c>
      <c r="B1063" s="155" t="s">
        <v>1760</v>
      </c>
      <c r="C1063" s="195"/>
      <c r="D1063" s="155" t="s">
        <v>440</v>
      </c>
      <c r="E1063" s="149" t="s">
        <v>115</v>
      </c>
      <c r="F1063" s="153" t="s">
        <v>441</v>
      </c>
      <c r="G1063" s="149" t="s">
        <v>442</v>
      </c>
      <c r="H1063" s="149" t="str">
        <f t="shared" si="6"/>
        <v>MARÍA GARROTE GARROTE</v>
      </c>
      <c r="I1063" s="149" t="s">
        <v>447</v>
      </c>
      <c r="J1063" s="153" t="s">
        <v>444</v>
      </c>
      <c r="K1063" s="149" t="s">
        <v>1920</v>
      </c>
      <c r="L1063" s="157">
        <v>45499</v>
      </c>
      <c r="M1063" s="164"/>
      <c r="N1063" s="163">
        <v>2</v>
      </c>
      <c r="O1063" s="165" t="s">
        <v>466</v>
      </c>
      <c r="P1063" s="161">
        <v>3800</v>
      </c>
      <c r="Q1063" s="196"/>
      <c r="R1063" s="153"/>
      <c r="S1063" s="153"/>
      <c r="T1063" s="153"/>
      <c r="U1063" s="153"/>
      <c r="V1063" s="153"/>
      <c r="W1063" s="153"/>
      <c r="X1063" s="153"/>
      <c r="Y1063" s="153"/>
      <c r="Z1063" s="153"/>
      <c r="AA1063" s="153"/>
    </row>
    <row r="1064" spans="1:27">
      <c r="A1064" s="154">
        <v>7</v>
      </c>
      <c r="B1064" s="155" t="s">
        <v>1760</v>
      </c>
      <c r="C1064" s="170">
        <v>45481</v>
      </c>
      <c r="D1064" s="155" t="s">
        <v>440</v>
      </c>
      <c r="E1064" s="149" t="s">
        <v>317</v>
      </c>
      <c r="F1064" s="149" t="s">
        <v>441</v>
      </c>
      <c r="G1064" s="149" t="s">
        <v>442</v>
      </c>
      <c r="H1064" s="149" t="str">
        <f t="shared" si="6"/>
        <v>NO REUERDA ORL</v>
      </c>
      <c r="I1064" s="149" t="s">
        <v>469</v>
      </c>
      <c r="J1064" s="159" t="s">
        <v>462</v>
      </c>
      <c r="K1064" s="149" t="s">
        <v>1921</v>
      </c>
      <c r="L1064" s="157">
        <v>45502</v>
      </c>
      <c r="M1064" s="164"/>
      <c r="N1064" s="163">
        <v>2</v>
      </c>
      <c r="O1064" s="165" t="s">
        <v>513</v>
      </c>
      <c r="P1064" s="161">
        <v>4400</v>
      </c>
      <c r="Q1064" s="162">
        <v>45481</v>
      </c>
      <c r="R1064" s="153"/>
      <c r="S1064" s="153"/>
      <c r="T1064" s="153"/>
      <c r="U1064" s="153"/>
      <c r="V1064" s="153"/>
      <c r="W1064" s="153"/>
      <c r="X1064" s="153"/>
      <c r="Y1064" s="153"/>
      <c r="Z1064" s="153"/>
      <c r="AA1064" s="153"/>
    </row>
    <row r="1065" spans="1:27">
      <c r="A1065" s="154">
        <v>7</v>
      </c>
      <c r="B1065" s="155" t="s">
        <v>1760</v>
      </c>
      <c r="C1065" s="170">
        <v>45470</v>
      </c>
      <c r="D1065" s="155" t="s">
        <v>440</v>
      </c>
      <c r="E1065" s="149" t="s">
        <v>1815</v>
      </c>
      <c r="F1065" s="149" t="s">
        <v>441</v>
      </c>
      <c r="G1065" s="149" t="s">
        <v>442</v>
      </c>
      <c r="H1065" s="149" t="str">
        <f t="shared" si="6"/>
        <v>MANUEL CAÑETE DOMÍNGUEZ</v>
      </c>
      <c r="I1065" s="149" t="s">
        <v>1380</v>
      </c>
      <c r="J1065" s="153" t="s">
        <v>548</v>
      </c>
      <c r="K1065" s="149" t="s">
        <v>1922</v>
      </c>
      <c r="L1065" s="157">
        <v>45502</v>
      </c>
      <c r="M1065" s="164"/>
      <c r="N1065" s="163">
        <v>2</v>
      </c>
      <c r="O1065" s="165" t="s">
        <v>466</v>
      </c>
      <c r="P1065" s="161">
        <v>3532.73</v>
      </c>
      <c r="Q1065" s="162">
        <v>45470</v>
      </c>
      <c r="R1065" s="153"/>
      <c r="S1065" s="153"/>
      <c r="T1065" s="153"/>
      <c r="U1065" s="153"/>
      <c r="V1065" s="153"/>
      <c r="W1065" s="153"/>
      <c r="X1065" s="153"/>
      <c r="Y1065" s="153"/>
      <c r="Z1065" s="153"/>
      <c r="AA1065" s="153"/>
    </row>
    <row r="1066" spans="1:27">
      <c r="A1066" s="154">
        <v>7</v>
      </c>
      <c r="B1066" s="155" t="s">
        <v>1760</v>
      </c>
      <c r="C1066" s="195">
        <v>45463</v>
      </c>
      <c r="D1066" s="155" t="s">
        <v>440</v>
      </c>
      <c r="E1066" s="149" t="s">
        <v>145</v>
      </c>
      <c r="F1066" s="153" t="s">
        <v>441</v>
      </c>
      <c r="G1066" s="149" t="s">
        <v>442</v>
      </c>
      <c r="H1066" s="149" t="str">
        <f t="shared" si="6"/>
        <v>JESUS-MARIA GRASA PÉREZ</v>
      </c>
      <c r="I1066" s="149" t="s">
        <v>591</v>
      </c>
      <c r="J1066" s="153" t="s">
        <v>532</v>
      </c>
      <c r="K1066" s="149" t="s">
        <v>1923</v>
      </c>
      <c r="L1066" s="157">
        <v>45502</v>
      </c>
      <c r="M1066" s="164"/>
      <c r="N1066" s="163">
        <v>2</v>
      </c>
      <c r="O1066" s="165" t="s">
        <v>1540</v>
      </c>
      <c r="P1066" s="161">
        <v>4000</v>
      </c>
      <c r="Q1066" s="196">
        <v>45463</v>
      </c>
      <c r="R1066" s="153"/>
      <c r="S1066" s="153"/>
      <c r="T1066" s="153"/>
      <c r="U1066" s="153"/>
      <c r="V1066" s="153"/>
      <c r="W1066" s="153"/>
      <c r="X1066" s="153"/>
      <c r="Y1066" s="153"/>
      <c r="Z1066" s="153"/>
      <c r="AA1066" s="153"/>
    </row>
    <row r="1067" spans="1:27">
      <c r="A1067" s="154">
        <v>7</v>
      </c>
      <c r="B1067" s="155" t="s">
        <v>1760</v>
      </c>
      <c r="C1067" s="195">
        <v>45475</v>
      </c>
      <c r="D1067" s="166" t="s">
        <v>440</v>
      </c>
      <c r="E1067" s="149" t="s">
        <v>122</v>
      </c>
      <c r="F1067" s="153" t="s">
        <v>441</v>
      </c>
      <c r="G1067" s="149" t="s">
        <v>442</v>
      </c>
      <c r="H1067" s="149" t="str">
        <f t="shared" si="6"/>
        <v>MAR LASSO DE LA VEGA ZAMORA</v>
      </c>
      <c r="I1067" s="149" t="s">
        <v>909</v>
      </c>
      <c r="J1067" s="153" t="s">
        <v>444</v>
      </c>
      <c r="K1067" s="149" t="s">
        <v>1924</v>
      </c>
      <c r="L1067" s="157">
        <v>45502</v>
      </c>
      <c r="M1067" s="164"/>
      <c r="N1067" s="163">
        <v>2</v>
      </c>
      <c r="O1067" s="165" t="s">
        <v>513</v>
      </c>
      <c r="P1067" s="161">
        <v>4400</v>
      </c>
      <c r="Q1067" s="196">
        <v>45475</v>
      </c>
      <c r="R1067" s="153"/>
      <c r="S1067" s="153"/>
      <c r="T1067" s="153"/>
      <c r="U1067" s="153"/>
      <c r="V1067" s="153"/>
      <c r="W1067" s="153"/>
      <c r="X1067" s="153"/>
      <c r="Y1067" s="153"/>
      <c r="Z1067" s="153"/>
      <c r="AA1067" s="153"/>
    </row>
    <row r="1068" spans="1:27">
      <c r="A1068" s="154">
        <v>7</v>
      </c>
      <c r="B1068" s="155" t="s">
        <v>1760</v>
      </c>
      <c r="C1068" s="195">
        <v>45354</v>
      </c>
      <c r="D1068" s="155" t="s">
        <v>440</v>
      </c>
      <c r="E1068" s="149" t="s">
        <v>271</v>
      </c>
      <c r="F1068" s="153" t="s">
        <v>450</v>
      </c>
      <c r="G1068" s="149" t="s">
        <v>451</v>
      </c>
      <c r="H1068" s="149" t="str">
        <f t="shared" si="6"/>
        <v>ANTONIO BUENO RÍOS</v>
      </c>
      <c r="I1068" s="149" t="s">
        <v>519</v>
      </c>
      <c r="J1068" s="153" t="s">
        <v>548</v>
      </c>
      <c r="K1068" s="149" t="s">
        <v>1925</v>
      </c>
      <c r="L1068" s="157">
        <v>45502</v>
      </c>
      <c r="M1068" s="164"/>
      <c r="N1068" s="163">
        <v>2</v>
      </c>
      <c r="O1068" s="165" t="s">
        <v>449</v>
      </c>
      <c r="P1068" s="161">
        <v>2502.8200000000002</v>
      </c>
      <c r="Q1068" s="196">
        <v>45354</v>
      </c>
      <c r="R1068" s="153"/>
      <c r="S1068" s="153"/>
      <c r="T1068" s="153"/>
      <c r="U1068" s="153"/>
      <c r="V1068" s="153"/>
      <c r="W1068" s="153"/>
      <c r="X1068" s="153"/>
      <c r="Y1068" s="153"/>
      <c r="Z1068" s="153"/>
      <c r="AA1068" s="153"/>
    </row>
    <row r="1069" spans="1:27">
      <c r="A1069" s="154">
        <v>7</v>
      </c>
      <c r="B1069" s="155" t="s">
        <v>1760</v>
      </c>
      <c r="C1069" s="195">
        <v>45483</v>
      </c>
      <c r="D1069" s="155" t="s">
        <v>440</v>
      </c>
      <c r="E1069" s="149" t="s">
        <v>563</v>
      </c>
      <c r="F1069" s="153" t="s">
        <v>441</v>
      </c>
      <c r="G1069" s="149" t="s">
        <v>442</v>
      </c>
      <c r="H1069" s="149" t="str">
        <f t="shared" si="6"/>
        <v>JULIO LÓPEZ MOYA</v>
      </c>
      <c r="I1069" s="149" t="s">
        <v>504</v>
      </c>
      <c r="J1069" s="153" t="s">
        <v>444</v>
      </c>
      <c r="K1069" s="149" t="s">
        <v>1926</v>
      </c>
      <c r="L1069" s="168">
        <v>45502</v>
      </c>
      <c r="M1069" s="164"/>
      <c r="N1069" s="163">
        <v>1</v>
      </c>
      <c r="O1069" s="165" t="s">
        <v>449</v>
      </c>
      <c r="P1069" s="161">
        <v>1732.73</v>
      </c>
      <c r="Q1069" s="196">
        <v>45483</v>
      </c>
      <c r="R1069" s="153"/>
      <c r="S1069" s="153"/>
      <c r="T1069" s="153"/>
      <c r="U1069" s="153"/>
      <c r="V1069" s="153"/>
      <c r="W1069" s="153"/>
      <c r="X1069" s="153"/>
      <c r="Y1069" s="153"/>
      <c r="Z1069" s="153"/>
      <c r="AA1069" s="153"/>
    </row>
    <row r="1070" spans="1:27">
      <c r="A1070" s="154">
        <v>7</v>
      </c>
      <c r="B1070" s="155" t="s">
        <v>1760</v>
      </c>
      <c r="C1070" s="195">
        <v>45477</v>
      </c>
      <c r="D1070" s="155" t="s">
        <v>440</v>
      </c>
      <c r="E1070" s="149" t="s">
        <v>158</v>
      </c>
      <c r="F1070" s="153" t="s">
        <v>441</v>
      </c>
      <c r="G1070" s="149" t="s">
        <v>442</v>
      </c>
      <c r="H1070" s="149" t="str">
        <f t="shared" si="6"/>
        <v>GARCÍA DOMÍNGUEZ</v>
      </c>
      <c r="I1070" s="149" t="s">
        <v>588</v>
      </c>
      <c r="J1070" s="153" t="s">
        <v>444</v>
      </c>
      <c r="K1070" s="149" t="s">
        <v>1927</v>
      </c>
      <c r="L1070" s="157">
        <v>45502</v>
      </c>
      <c r="M1070" s="164"/>
      <c r="N1070" s="163">
        <v>2</v>
      </c>
      <c r="O1070" s="165" t="s">
        <v>446</v>
      </c>
      <c r="P1070" s="161">
        <v>3710</v>
      </c>
      <c r="Q1070" s="196">
        <v>45477</v>
      </c>
      <c r="R1070" s="153"/>
      <c r="S1070" s="153"/>
      <c r="T1070" s="153"/>
      <c r="U1070" s="153"/>
      <c r="V1070" s="153"/>
      <c r="W1070" s="153"/>
      <c r="X1070" s="153"/>
      <c r="Y1070" s="153"/>
      <c r="Z1070" s="153"/>
      <c r="AA1070" s="153"/>
    </row>
    <row r="1071" spans="1:27">
      <c r="A1071" s="154">
        <v>7</v>
      </c>
      <c r="B1071" s="155" t="s">
        <v>1760</v>
      </c>
      <c r="C1071" s="195">
        <v>45468</v>
      </c>
      <c r="D1071" s="155" t="s">
        <v>440</v>
      </c>
      <c r="E1071" s="149" t="s">
        <v>98</v>
      </c>
      <c r="F1071" s="153" t="s">
        <v>441</v>
      </c>
      <c r="G1071" s="149" t="s">
        <v>442</v>
      </c>
      <c r="H1071" s="149" t="str">
        <f t="shared" si="6"/>
        <v>ENRIQUE LÓPEZ MESEGUER</v>
      </c>
      <c r="I1071" s="149" t="s">
        <v>1056</v>
      </c>
      <c r="J1071" s="153" t="s">
        <v>462</v>
      </c>
      <c r="K1071" s="149" t="s">
        <v>1928</v>
      </c>
      <c r="L1071" s="168">
        <v>45502</v>
      </c>
      <c r="M1071" s="164"/>
      <c r="N1071" s="163">
        <v>2</v>
      </c>
      <c r="O1071" s="165" t="s">
        <v>446</v>
      </c>
      <c r="P1071" s="161">
        <v>3710</v>
      </c>
      <c r="Q1071" s="196">
        <v>45468</v>
      </c>
      <c r="R1071" s="153"/>
      <c r="S1071" s="153"/>
      <c r="T1071" s="153"/>
      <c r="U1071" s="153"/>
      <c r="V1071" s="153"/>
      <c r="W1071" s="153"/>
      <c r="X1071" s="153"/>
      <c r="Y1071" s="153"/>
      <c r="Z1071" s="153"/>
      <c r="AA1071" s="153"/>
    </row>
    <row r="1072" spans="1:27">
      <c r="A1072" s="154">
        <v>7</v>
      </c>
      <c r="B1072" s="155" t="s">
        <v>1760</v>
      </c>
      <c r="C1072" s="195">
        <v>45474</v>
      </c>
      <c r="D1072" s="155" t="s">
        <v>440</v>
      </c>
      <c r="E1072" s="149" t="s">
        <v>129</v>
      </c>
      <c r="F1072" s="153" t="s">
        <v>441</v>
      </c>
      <c r="G1072" s="149" t="s">
        <v>442</v>
      </c>
      <c r="H1072" s="149" t="str">
        <f t="shared" si="6"/>
        <v>MARÍA REY MARCOS</v>
      </c>
      <c r="I1072" s="149" t="s">
        <v>678</v>
      </c>
      <c r="J1072" s="153" t="s">
        <v>516</v>
      </c>
      <c r="K1072" s="149" t="s">
        <v>1929</v>
      </c>
      <c r="L1072" s="168">
        <v>45502</v>
      </c>
      <c r="M1072" s="164"/>
      <c r="N1072" s="163">
        <v>2</v>
      </c>
      <c r="O1072" s="165" t="s">
        <v>449</v>
      </c>
      <c r="P1072" s="161">
        <v>2888.12</v>
      </c>
      <c r="Q1072" s="196">
        <v>45474</v>
      </c>
      <c r="R1072" s="153"/>
      <c r="S1072" s="153"/>
      <c r="T1072" s="153"/>
      <c r="U1072" s="153"/>
      <c r="V1072" s="153"/>
      <c r="W1072" s="153"/>
      <c r="X1072" s="153"/>
      <c r="Y1072" s="153"/>
      <c r="Z1072" s="153"/>
      <c r="AA1072" s="153"/>
    </row>
    <row r="1073" spans="1:27">
      <c r="A1073" s="154">
        <v>7</v>
      </c>
      <c r="B1073" s="155" t="s">
        <v>1760</v>
      </c>
      <c r="C1073" s="195">
        <v>45468</v>
      </c>
      <c r="D1073" s="155" t="s">
        <v>440</v>
      </c>
      <c r="E1073" s="149" t="s">
        <v>115</v>
      </c>
      <c r="F1073" s="153" t="s">
        <v>441</v>
      </c>
      <c r="G1073" s="149" t="s">
        <v>442</v>
      </c>
      <c r="H1073" s="149" t="str">
        <f t="shared" si="6"/>
        <v>NATALY MONTAÑO RUEDA</v>
      </c>
      <c r="I1073" s="149" t="s">
        <v>1930</v>
      </c>
      <c r="J1073" s="153" t="s">
        <v>444</v>
      </c>
      <c r="K1073" s="149" t="s">
        <v>1931</v>
      </c>
      <c r="L1073" s="157">
        <v>45502</v>
      </c>
      <c r="M1073" s="164"/>
      <c r="N1073" s="163">
        <v>2</v>
      </c>
      <c r="O1073" s="165" t="s">
        <v>513</v>
      </c>
      <c r="P1073" s="161">
        <v>4400</v>
      </c>
      <c r="Q1073" s="196">
        <v>45468</v>
      </c>
      <c r="R1073" s="153"/>
      <c r="S1073" s="153"/>
      <c r="T1073" s="153"/>
      <c r="U1073" s="153"/>
      <c r="V1073" s="153"/>
      <c r="W1073" s="153"/>
      <c r="X1073" s="153"/>
      <c r="Y1073" s="153"/>
      <c r="Z1073" s="153"/>
      <c r="AA1073" s="153"/>
    </row>
    <row r="1074" spans="1:27">
      <c r="A1074" s="154">
        <v>7</v>
      </c>
      <c r="B1074" s="155" t="s">
        <v>1760</v>
      </c>
      <c r="C1074" s="170"/>
      <c r="D1074" s="155" t="s">
        <v>440</v>
      </c>
      <c r="E1074" s="149" t="s">
        <v>138</v>
      </c>
      <c r="F1074" s="149" t="s">
        <v>441</v>
      </c>
      <c r="G1074" s="149" t="s">
        <v>442</v>
      </c>
      <c r="H1074" s="149" t="str">
        <f t="shared" si="6"/>
        <v>JESUS-MARIA GRASA PÉREZ</v>
      </c>
      <c r="I1074" s="149" t="s">
        <v>591</v>
      </c>
      <c r="J1074" s="159" t="s">
        <v>532</v>
      </c>
      <c r="K1074" s="149" t="s">
        <v>1932</v>
      </c>
      <c r="L1074" s="157">
        <v>45503</v>
      </c>
      <c r="M1074" s="164"/>
      <c r="N1074" s="163">
        <v>2</v>
      </c>
      <c r="O1074" s="165" t="s">
        <v>1540</v>
      </c>
      <c r="P1074" s="161">
        <v>4000</v>
      </c>
      <c r="Q1074" s="162"/>
      <c r="R1074" s="153"/>
      <c r="S1074" s="153"/>
      <c r="T1074" s="153"/>
      <c r="U1074" s="153"/>
      <c r="V1074" s="153"/>
      <c r="W1074" s="153"/>
      <c r="X1074" s="153"/>
      <c r="Y1074" s="153"/>
      <c r="Z1074" s="153"/>
      <c r="AA1074" s="153"/>
    </row>
    <row r="1075" spans="1:27">
      <c r="A1075" s="154">
        <v>7</v>
      </c>
      <c r="B1075" s="155" t="s">
        <v>1760</v>
      </c>
      <c r="C1075" s="195">
        <v>45463</v>
      </c>
      <c r="D1075" s="155" t="s">
        <v>440</v>
      </c>
      <c r="E1075" s="149" t="s">
        <v>145</v>
      </c>
      <c r="F1075" s="153" t="s">
        <v>441</v>
      </c>
      <c r="G1075" s="149" t="s">
        <v>442</v>
      </c>
      <c r="H1075" s="149" t="str">
        <f t="shared" si="6"/>
        <v>JESUS-MARIA GRASA PÉREZ</v>
      </c>
      <c r="I1075" s="149" t="s">
        <v>591</v>
      </c>
      <c r="J1075" s="153" t="s">
        <v>532</v>
      </c>
      <c r="K1075" s="149" t="s">
        <v>1933</v>
      </c>
      <c r="L1075" s="157">
        <v>45503</v>
      </c>
      <c r="M1075" s="164"/>
      <c r="N1075" s="163">
        <v>1</v>
      </c>
      <c r="O1075" s="165" t="s">
        <v>449</v>
      </c>
      <c r="P1075" s="161">
        <v>1732.73</v>
      </c>
      <c r="Q1075" s="196">
        <v>45463</v>
      </c>
      <c r="R1075" s="153"/>
      <c r="S1075" s="153"/>
      <c r="T1075" s="153"/>
      <c r="U1075" s="153"/>
      <c r="V1075" s="153"/>
      <c r="W1075" s="153"/>
      <c r="X1075" s="153"/>
      <c r="Y1075" s="153"/>
      <c r="Z1075" s="153"/>
      <c r="AA1075" s="153"/>
    </row>
    <row r="1076" spans="1:27">
      <c r="A1076" s="154">
        <v>7</v>
      </c>
      <c r="B1076" s="155" t="s">
        <v>1760</v>
      </c>
      <c r="C1076" s="195">
        <v>45469</v>
      </c>
      <c r="D1076" s="155" t="s">
        <v>440</v>
      </c>
      <c r="E1076" s="149" t="s">
        <v>122</v>
      </c>
      <c r="F1076" s="153" t="s">
        <v>441</v>
      </c>
      <c r="G1076" s="149"/>
      <c r="H1076" s="149" t="str">
        <f t="shared" si="6"/>
        <v>MARÍA TERESA HERRERA MERA</v>
      </c>
      <c r="I1076" s="149" t="s">
        <v>564</v>
      </c>
      <c r="J1076" s="153" t="s">
        <v>444</v>
      </c>
      <c r="K1076" s="149" t="s">
        <v>1934</v>
      </c>
      <c r="L1076" s="157">
        <v>45503</v>
      </c>
      <c r="M1076" s="164"/>
      <c r="N1076" s="163">
        <v>2</v>
      </c>
      <c r="O1076" s="165" t="s">
        <v>449</v>
      </c>
      <c r="P1076" s="161">
        <v>2888.18</v>
      </c>
      <c r="Q1076" s="196">
        <v>45469</v>
      </c>
      <c r="R1076" s="153"/>
      <c r="S1076" s="153"/>
      <c r="T1076" s="153"/>
      <c r="U1076" s="153"/>
      <c r="V1076" s="153"/>
      <c r="W1076" s="153"/>
      <c r="X1076" s="153"/>
      <c r="Y1076" s="153"/>
      <c r="Z1076" s="153"/>
      <c r="AA1076" s="153"/>
    </row>
    <row r="1077" spans="1:27">
      <c r="A1077" s="154">
        <v>7</v>
      </c>
      <c r="B1077" s="155" t="s">
        <v>1760</v>
      </c>
      <c r="C1077" s="195"/>
      <c r="D1077" s="155" t="s">
        <v>440</v>
      </c>
      <c r="E1077" s="149" t="s">
        <v>315</v>
      </c>
      <c r="F1077" s="153" t="s">
        <v>441</v>
      </c>
      <c r="G1077" s="149" t="s">
        <v>442</v>
      </c>
      <c r="H1077" s="149" t="str">
        <f t="shared" si="6"/>
        <v>JOSÉ GUSTAVO BARROSO BRAOJOS</v>
      </c>
      <c r="I1077" s="149" t="s">
        <v>560</v>
      </c>
      <c r="J1077" s="153" t="s">
        <v>444</v>
      </c>
      <c r="K1077" s="149" t="s">
        <v>1935</v>
      </c>
      <c r="L1077" s="157">
        <v>45503</v>
      </c>
      <c r="M1077" s="164"/>
      <c r="N1077" s="163">
        <v>2</v>
      </c>
      <c r="O1077" s="165" t="s">
        <v>1540</v>
      </c>
      <c r="P1077" s="161">
        <v>3800</v>
      </c>
      <c r="Q1077" s="196"/>
      <c r="R1077" s="153"/>
      <c r="S1077" s="153"/>
      <c r="T1077" s="153"/>
      <c r="U1077" s="153"/>
      <c r="V1077" s="153"/>
      <c r="W1077" s="153"/>
      <c r="X1077" s="153"/>
      <c r="Y1077" s="153"/>
      <c r="Z1077" s="153"/>
      <c r="AA1077" s="153"/>
    </row>
    <row r="1078" spans="1:27">
      <c r="A1078" s="154">
        <v>7</v>
      </c>
      <c r="B1078" s="155" t="s">
        <v>1760</v>
      </c>
      <c r="C1078" s="195"/>
      <c r="D1078" s="155" t="s">
        <v>440</v>
      </c>
      <c r="E1078" s="149" t="s">
        <v>158</v>
      </c>
      <c r="F1078" s="153" t="s">
        <v>441</v>
      </c>
      <c r="G1078" s="149" t="s">
        <v>441</v>
      </c>
      <c r="H1078" s="149" t="str">
        <f t="shared" si="6"/>
        <v>JOAQUÍN ALACIO CASERO</v>
      </c>
      <c r="I1078" s="149" t="s">
        <v>651</v>
      </c>
      <c r="J1078" s="153" t="s">
        <v>444</v>
      </c>
      <c r="K1078" s="149" t="s">
        <v>1936</v>
      </c>
      <c r="L1078" s="157">
        <v>45503</v>
      </c>
      <c r="M1078" s="164"/>
      <c r="N1078" s="163">
        <v>2</v>
      </c>
      <c r="O1078" s="165" t="s">
        <v>1540</v>
      </c>
      <c r="P1078" s="161">
        <v>4000</v>
      </c>
      <c r="Q1078" s="196"/>
      <c r="R1078" s="153"/>
      <c r="S1078" s="153"/>
      <c r="T1078" s="153"/>
      <c r="U1078" s="153"/>
      <c r="V1078" s="153"/>
      <c r="W1078" s="153"/>
      <c r="X1078" s="153"/>
      <c r="Y1078" s="153"/>
      <c r="Z1078" s="153"/>
      <c r="AA1078" s="153"/>
    </row>
    <row r="1079" spans="1:27">
      <c r="A1079" s="154">
        <v>7</v>
      </c>
      <c r="B1079" s="155" t="s">
        <v>1760</v>
      </c>
      <c r="C1079" s="195">
        <v>45455</v>
      </c>
      <c r="D1079" s="155" t="s">
        <v>440</v>
      </c>
      <c r="E1079" s="149" t="s">
        <v>314</v>
      </c>
      <c r="F1079" s="153" t="s">
        <v>441</v>
      </c>
      <c r="G1079" s="149" t="s">
        <v>442</v>
      </c>
      <c r="H1079" s="149" t="str">
        <f t="shared" si="6"/>
        <v>LAURA DEL TORO GIL</v>
      </c>
      <c r="I1079" s="149" t="s">
        <v>1565</v>
      </c>
      <c r="J1079" s="153" t="s">
        <v>444</v>
      </c>
      <c r="K1079" s="149" t="s">
        <v>1937</v>
      </c>
      <c r="L1079" s="168">
        <v>45503</v>
      </c>
      <c r="M1079" s="164"/>
      <c r="N1079" s="163">
        <v>2</v>
      </c>
      <c r="O1079" s="165" t="s">
        <v>446</v>
      </c>
      <c r="P1079" s="161">
        <v>3710</v>
      </c>
      <c r="Q1079" s="196">
        <v>45455</v>
      </c>
      <c r="R1079" s="153"/>
      <c r="S1079" s="153"/>
      <c r="T1079" s="153"/>
      <c r="U1079" s="153"/>
      <c r="V1079" s="153"/>
      <c r="W1079" s="153"/>
      <c r="X1079" s="153"/>
      <c r="Y1079" s="153"/>
      <c r="Z1079" s="153"/>
      <c r="AA1079" s="153"/>
    </row>
    <row r="1080" spans="1:27">
      <c r="A1080" s="154">
        <v>7</v>
      </c>
      <c r="B1080" s="155" t="s">
        <v>1760</v>
      </c>
      <c r="C1080" s="170">
        <v>45441</v>
      </c>
      <c r="D1080" s="155" t="s">
        <v>440</v>
      </c>
      <c r="E1080" s="149" t="s">
        <v>460</v>
      </c>
      <c r="F1080" s="149" t="s">
        <v>441</v>
      </c>
      <c r="G1080" s="149" t="s">
        <v>442</v>
      </c>
      <c r="H1080" s="149" t="str">
        <f t="shared" si="6"/>
        <v>MARÍA EMILIA GARCÍA RUÍZ</v>
      </c>
      <c r="I1080" s="149" t="s">
        <v>1037</v>
      </c>
      <c r="J1080" s="149" t="s">
        <v>462</v>
      </c>
      <c r="K1080" s="149" t="s">
        <v>1938</v>
      </c>
      <c r="L1080" s="157">
        <v>45504</v>
      </c>
      <c r="M1080" s="164"/>
      <c r="N1080" s="163">
        <v>2</v>
      </c>
      <c r="O1080" s="165" t="s">
        <v>466</v>
      </c>
      <c r="P1080" s="161">
        <v>4000</v>
      </c>
      <c r="Q1080" s="162">
        <v>45441</v>
      </c>
      <c r="R1080" s="153"/>
      <c r="S1080" s="153"/>
      <c r="T1080" s="153"/>
      <c r="U1080" s="153"/>
      <c r="V1080" s="153"/>
      <c r="W1080" s="153"/>
      <c r="X1080" s="153"/>
      <c r="Y1080" s="153"/>
      <c r="Z1080" s="153"/>
      <c r="AA1080" s="153"/>
    </row>
    <row r="1081" spans="1:27">
      <c r="A1081" s="154">
        <v>7</v>
      </c>
      <c r="B1081" s="155" t="s">
        <v>1760</v>
      </c>
      <c r="C1081" s="195">
        <v>45482</v>
      </c>
      <c r="D1081" s="155" t="s">
        <v>440</v>
      </c>
      <c r="E1081" s="149" t="s">
        <v>315</v>
      </c>
      <c r="F1081" s="153" t="s">
        <v>441</v>
      </c>
      <c r="G1081" s="149" t="s">
        <v>442</v>
      </c>
      <c r="H1081" s="149" t="str">
        <f t="shared" si="6"/>
        <v>LAURA YEGUAS RAMÍREZ</v>
      </c>
      <c r="I1081" s="149" t="s">
        <v>786</v>
      </c>
      <c r="J1081" s="153" t="s">
        <v>548</v>
      </c>
      <c r="K1081" s="149" t="s">
        <v>1939</v>
      </c>
      <c r="L1081" s="157">
        <v>45504</v>
      </c>
      <c r="M1081" s="164"/>
      <c r="N1081" s="163">
        <v>2</v>
      </c>
      <c r="O1081" s="165" t="s">
        <v>446</v>
      </c>
      <c r="P1081" s="161">
        <v>3524.55</v>
      </c>
      <c r="Q1081" s="196">
        <v>45482</v>
      </c>
      <c r="R1081" s="153"/>
      <c r="S1081" s="153"/>
      <c r="T1081" s="153"/>
      <c r="U1081" s="153"/>
      <c r="V1081" s="153"/>
      <c r="W1081" s="153"/>
      <c r="X1081" s="153"/>
      <c r="Y1081" s="153"/>
      <c r="Z1081" s="153"/>
      <c r="AA1081" s="153"/>
    </row>
    <row r="1082" spans="1:27">
      <c r="A1082" s="154">
        <v>7</v>
      </c>
      <c r="B1082" s="155" t="s">
        <v>1760</v>
      </c>
      <c r="C1082" s="195">
        <v>45495</v>
      </c>
      <c r="D1082" s="155" t="s">
        <v>440</v>
      </c>
      <c r="E1082" s="149" t="s">
        <v>315</v>
      </c>
      <c r="F1082" s="153" t="s">
        <v>441</v>
      </c>
      <c r="G1082" s="149" t="s">
        <v>442</v>
      </c>
      <c r="H1082" s="149" t="str">
        <f t="shared" si="6"/>
        <v>MARÍA DEL MAR MEDINA GONZÁLEZ</v>
      </c>
      <c r="I1082" s="149" t="s">
        <v>1514</v>
      </c>
      <c r="J1082" s="153" t="s">
        <v>444</v>
      </c>
      <c r="K1082" s="149" t="s">
        <v>1940</v>
      </c>
      <c r="L1082" s="157">
        <v>45504</v>
      </c>
      <c r="M1082" s="164"/>
      <c r="N1082" s="163">
        <v>2</v>
      </c>
      <c r="O1082" s="165" t="s">
        <v>1540</v>
      </c>
      <c r="P1082" s="161">
        <v>3800</v>
      </c>
      <c r="Q1082" s="196">
        <v>45495</v>
      </c>
      <c r="R1082" s="153"/>
      <c r="S1082" s="153"/>
      <c r="T1082" s="153"/>
      <c r="U1082" s="153"/>
      <c r="V1082" s="153"/>
      <c r="W1082" s="153"/>
      <c r="X1082" s="153"/>
      <c r="Y1082" s="153"/>
      <c r="Z1082" s="153"/>
      <c r="AA1082" s="153"/>
    </row>
    <row r="1083" spans="1:27">
      <c r="A1083" s="154">
        <v>7</v>
      </c>
      <c r="B1083" s="155" t="s">
        <v>1760</v>
      </c>
      <c r="C1083" s="195">
        <v>45475</v>
      </c>
      <c r="D1083" s="155" t="s">
        <v>440</v>
      </c>
      <c r="E1083" s="149" t="s">
        <v>129</v>
      </c>
      <c r="F1083" s="153" t="s">
        <v>441</v>
      </c>
      <c r="G1083" s="149" t="s">
        <v>442</v>
      </c>
      <c r="H1083" s="149" t="str">
        <f t="shared" si="6"/>
        <v>SOCORRO TEDÍN GARCÍA</v>
      </c>
      <c r="I1083" s="149" t="s">
        <v>966</v>
      </c>
      <c r="J1083" s="153" t="s">
        <v>516</v>
      </c>
      <c r="K1083" s="149" t="s">
        <v>1941</v>
      </c>
      <c r="L1083" s="168">
        <v>45504</v>
      </c>
      <c r="M1083" s="164"/>
      <c r="N1083" s="163">
        <v>2</v>
      </c>
      <c r="O1083" s="165" t="s">
        <v>449</v>
      </c>
      <c r="P1083" s="161">
        <v>2888.18</v>
      </c>
      <c r="Q1083" s="196">
        <v>45475</v>
      </c>
      <c r="R1083" s="153"/>
      <c r="S1083" s="153"/>
      <c r="T1083" s="153"/>
      <c r="U1083" s="153"/>
      <c r="V1083" s="153"/>
      <c r="W1083" s="153"/>
      <c r="X1083" s="153"/>
      <c r="Y1083" s="153"/>
      <c r="Z1083" s="153"/>
      <c r="AA1083" s="153"/>
    </row>
    <row r="1084" spans="1:27">
      <c r="A1084" s="154">
        <v>8</v>
      </c>
      <c r="B1084" s="155" t="s">
        <v>1942</v>
      </c>
      <c r="C1084" s="195">
        <v>45476</v>
      </c>
      <c r="D1084" s="155" t="s">
        <v>440</v>
      </c>
      <c r="E1084" s="149" t="s">
        <v>546</v>
      </c>
      <c r="F1084" s="153" t="s">
        <v>441</v>
      </c>
      <c r="G1084" s="149" t="s">
        <v>442</v>
      </c>
      <c r="H1084" s="149" t="str">
        <f t="shared" si="6"/>
        <v>JAVIER GARCÍA GÓMEZ</v>
      </c>
      <c r="I1084" s="149" t="s">
        <v>946</v>
      </c>
      <c r="J1084" s="153" t="s">
        <v>548</v>
      </c>
      <c r="K1084" s="149" t="s">
        <v>1943</v>
      </c>
      <c r="L1084" s="157">
        <v>45505</v>
      </c>
      <c r="M1084" s="164"/>
      <c r="N1084" s="163">
        <v>2</v>
      </c>
      <c r="O1084" s="165" t="s">
        <v>466</v>
      </c>
      <c r="P1084" s="161">
        <v>3954.55</v>
      </c>
      <c r="Q1084" s="196">
        <v>45476</v>
      </c>
      <c r="R1084" s="153"/>
      <c r="S1084" s="153"/>
      <c r="T1084" s="153"/>
      <c r="U1084" s="153"/>
      <c r="V1084" s="153"/>
      <c r="W1084" s="153"/>
      <c r="X1084" s="153"/>
      <c r="Y1084" s="153"/>
      <c r="Z1084" s="153"/>
      <c r="AA1084" s="153"/>
    </row>
    <row r="1085" spans="1:27">
      <c r="A1085" s="154">
        <v>8</v>
      </c>
      <c r="B1085" s="155" t="s">
        <v>1942</v>
      </c>
      <c r="C1085" s="195">
        <v>45481</v>
      </c>
      <c r="D1085" s="155" t="s">
        <v>440</v>
      </c>
      <c r="E1085" s="149" t="s">
        <v>501</v>
      </c>
      <c r="F1085" s="153" t="s">
        <v>441</v>
      </c>
      <c r="G1085" s="149" t="s">
        <v>442</v>
      </c>
      <c r="H1085" s="149" t="str">
        <f t="shared" si="6"/>
        <v>FERNANDO SALAZAR BARCELONA</v>
      </c>
      <c r="I1085" s="149" t="s">
        <v>502</v>
      </c>
      <c r="J1085" s="153" t="s">
        <v>548</v>
      </c>
      <c r="K1085" s="149" t="s">
        <v>1944</v>
      </c>
      <c r="L1085" s="168">
        <v>45505</v>
      </c>
      <c r="M1085" s="164"/>
      <c r="N1085" s="163">
        <v>2</v>
      </c>
      <c r="O1085" s="165" t="s">
        <v>466</v>
      </c>
      <c r="P1085" s="161">
        <v>4000</v>
      </c>
      <c r="Q1085" s="196">
        <v>45481</v>
      </c>
      <c r="R1085" s="153"/>
      <c r="S1085" s="153"/>
      <c r="T1085" s="153"/>
      <c r="U1085" s="153"/>
      <c r="V1085" s="153"/>
      <c r="W1085" s="153"/>
      <c r="X1085" s="153"/>
      <c r="Y1085" s="153"/>
      <c r="Z1085" s="153"/>
      <c r="AA1085" s="153"/>
    </row>
    <row r="1086" spans="1:27">
      <c r="A1086" s="154">
        <v>8</v>
      </c>
      <c r="B1086" s="155" t="s">
        <v>1942</v>
      </c>
      <c r="C1086" s="195">
        <v>45187</v>
      </c>
      <c r="D1086" s="155" t="s">
        <v>440</v>
      </c>
      <c r="E1086" s="149" t="s">
        <v>164</v>
      </c>
      <c r="F1086" s="149" t="s">
        <v>441</v>
      </c>
      <c r="G1086" s="149" t="s">
        <v>442</v>
      </c>
      <c r="H1086" s="149" t="str">
        <f t="shared" si="6"/>
        <v>Alejandro Harguindey Antoli-Candela</v>
      </c>
      <c r="I1086" s="149" t="s">
        <v>528</v>
      </c>
      <c r="J1086" s="153" t="s">
        <v>444</v>
      </c>
      <c r="K1086" s="149" t="s">
        <v>1945</v>
      </c>
      <c r="L1086" s="168">
        <v>45505</v>
      </c>
      <c r="M1086" s="164"/>
      <c r="N1086" s="163">
        <v>2</v>
      </c>
      <c r="O1086" s="165" t="s">
        <v>1540</v>
      </c>
      <c r="P1086" s="161">
        <v>4000</v>
      </c>
      <c r="Q1086" s="196">
        <v>45187</v>
      </c>
      <c r="R1086" s="153"/>
      <c r="S1086" s="153"/>
      <c r="T1086" s="153"/>
      <c r="U1086" s="153"/>
      <c r="V1086" s="153"/>
      <c r="W1086" s="153"/>
      <c r="X1086" s="153"/>
      <c r="Y1086" s="153"/>
      <c r="Z1086" s="153"/>
      <c r="AA1086" s="153"/>
    </row>
    <row r="1087" spans="1:27">
      <c r="A1087" s="154">
        <v>8</v>
      </c>
      <c r="B1087" s="155" t="s">
        <v>1942</v>
      </c>
      <c r="C1087" s="195">
        <v>45467</v>
      </c>
      <c r="D1087" s="155" t="s">
        <v>440</v>
      </c>
      <c r="E1087" s="149" t="s">
        <v>1763</v>
      </c>
      <c r="F1087" s="149" t="s">
        <v>441</v>
      </c>
      <c r="G1087" s="149" t="s">
        <v>442</v>
      </c>
      <c r="H1087" s="149" t="str">
        <f t="shared" si="6"/>
        <v>LUIS MIGUEL RINCÓN ESTEBAN</v>
      </c>
      <c r="I1087" s="149" t="s">
        <v>1033</v>
      </c>
      <c r="J1087" s="153" t="s">
        <v>473</v>
      </c>
      <c r="K1087" s="149" t="s">
        <v>1946</v>
      </c>
      <c r="L1087" s="168">
        <v>45505</v>
      </c>
      <c r="M1087" s="158"/>
      <c r="N1087" s="163">
        <v>1</v>
      </c>
      <c r="O1087" s="165" t="s">
        <v>466</v>
      </c>
      <c r="P1087" s="161">
        <v>904.55</v>
      </c>
      <c r="Q1087" s="196">
        <v>45467</v>
      </c>
      <c r="R1087" s="153"/>
      <c r="S1087" s="153"/>
      <c r="T1087" s="153"/>
      <c r="U1087" s="153"/>
      <c r="V1087" s="153"/>
      <c r="W1087" s="153"/>
      <c r="X1087" s="153"/>
      <c r="Y1087" s="153"/>
      <c r="Z1087" s="153"/>
      <c r="AA1087" s="153"/>
    </row>
    <row r="1088" spans="1:27">
      <c r="A1088" s="154">
        <v>8</v>
      </c>
      <c r="B1088" s="155" t="s">
        <v>1942</v>
      </c>
      <c r="C1088" s="195">
        <v>45461</v>
      </c>
      <c r="D1088" s="155" t="s">
        <v>440</v>
      </c>
      <c r="E1088" s="149" t="s">
        <v>485</v>
      </c>
      <c r="F1088" s="149" t="s">
        <v>441</v>
      </c>
      <c r="G1088" s="149" t="s">
        <v>442</v>
      </c>
      <c r="H1088" s="149" t="str">
        <f t="shared" si="6"/>
        <v>MANUEL ACUÑA GARCÍA</v>
      </c>
      <c r="I1088" s="149" t="s">
        <v>472</v>
      </c>
      <c r="J1088" s="149" t="s">
        <v>473</v>
      </c>
      <c r="K1088" s="149" t="s">
        <v>1947</v>
      </c>
      <c r="L1088" s="168">
        <v>45505</v>
      </c>
      <c r="M1088" s="164"/>
      <c r="N1088" s="163">
        <v>2</v>
      </c>
      <c r="O1088" s="165" t="s">
        <v>466</v>
      </c>
      <c r="P1088" s="161">
        <v>3977.27</v>
      </c>
      <c r="Q1088" s="196">
        <v>45461</v>
      </c>
      <c r="R1088" s="153"/>
      <c r="S1088" s="153"/>
      <c r="T1088" s="153"/>
      <c r="U1088" s="153"/>
      <c r="V1088" s="153"/>
      <c r="W1088" s="153"/>
      <c r="X1088" s="153"/>
      <c r="Y1088" s="153"/>
      <c r="Z1088" s="153"/>
      <c r="AA1088" s="153"/>
    </row>
    <row r="1089" spans="1:27">
      <c r="A1089" s="154">
        <v>8</v>
      </c>
      <c r="B1089" s="155" t="s">
        <v>1942</v>
      </c>
      <c r="C1089" s="195">
        <v>45461</v>
      </c>
      <c r="D1089" s="155" t="s">
        <v>440</v>
      </c>
      <c r="E1089" s="149" t="s">
        <v>485</v>
      </c>
      <c r="F1089" s="149" t="s">
        <v>441</v>
      </c>
      <c r="G1089" s="149" t="s">
        <v>442</v>
      </c>
      <c r="H1089" s="149" t="str">
        <f t="shared" si="6"/>
        <v>MARIO CUETOS AZCONA</v>
      </c>
      <c r="I1089" s="149" t="s">
        <v>1948</v>
      </c>
      <c r="J1089" s="149" t="s">
        <v>473</v>
      </c>
      <c r="K1089" s="149" t="s">
        <v>1949</v>
      </c>
      <c r="L1089" s="168">
        <v>45505</v>
      </c>
      <c r="M1089" s="164"/>
      <c r="N1089" s="163">
        <v>1</v>
      </c>
      <c r="O1089" s="165" t="s">
        <v>513</v>
      </c>
      <c r="P1089" s="161">
        <v>2307.27</v>
      </c>
      <c r="Q1089" s="196">
        <v>45461</v>
      </c>
      <c r="R1089" s="153"/>
      <c r="S1089" s="153"/>
      <c r="T1089" s="153"/>
      <c r="U1089" s="153"/>
      <c r="V1089" s="153"/>
      <c r="W1089" s="153"/>
      <c r="X1089" s="153"/>
      <c r="Y1089" s="153"/>
      <c r="Z1089" s="153"/>
      <c r="AA1089" s="153"/>
    </row>
    <row r="1090" spans="1:27">
      <c r="A1090" s="154">
        <v>8</v>
      </c>
      <c r="B1090" s="155" t="s">
        <v>1942</v>
      </c>
      <c r="C1090" s="195">
        <v>45466</v>
      </c>
      <c r="D1090" s="155" t="s">
        <v>440</v>
      </c>
      <c r="E1090" s="149" t="s">
        <v>788</v>
      </c>
      <c r="F1090" s="149" t="s">
        <v>441</v>
      </c>
      <c r="G1090" s="149" t="s">
        <v>442</v>
      </c>
      <c r="H1090" s="149" t="str">
        <f t="shared" si="6"/>
        <v>FEDERICO ARRUTIA DIEZ</v>
      </c>
      <c r="I1090" s="149" t="s">
        <v>789</v>
      </c>
      <c r="J1090" s="153" t="s">
        <v>1950</v>
      </c>
      <c r="K1090" s="149" t="s">
        <v>1951</v>
      </c>
      <c r="L1090" s="168">
        <v>45506</v>
      </c>
      <c r="M1090" s="158"/>
      <c r="N1090" s="163">
        <v>2</v>
      </c>
      <c r="O1090" s="165" t="s">
        <v>446</v>
      </c>
      <c r="P1090" s="161">
        <v>3524.5</v>
      </c>
      <c r="Q1090" s="196">
        <v>45466</v>
      </c>
      <c r="R1090" s="153"/>
      <c r="S1090" s="153"/>
      <c r="T1090" s="153"/>
      <c r="U1090" s="153"/>
      <c r="V1090" s="153"/>
      <c r="W1090" s="153"/>
      <c r="X1090" s="153"/>
      <c r="Y1090" s="153"/>
      <c r="Z1090" s="153"/>
      <c r="AA1090" s="153"/>
    </row>
    <row r="1091" spans="1:27">
      <c r="A1091" s="154">
        <v>8</v>
      </c>
      <c r="B1091" s="155" t="s">
        <v>1942</v>
      </c>
      <c r="C1091" s="195">
        <v>45488</v>
      </c>
      <c r="D1091" s="155" t="s">
        <v>440</v>
      </c>
      <c r="E1091" s="149" t="s">
        <v>201</v>
      </c>
      <c r="F1091" s="149" t="s">
        <v>441</v>
      </c>
      <c r="G1091" s="149" t="s">
        <v>442</v>
      </c>
      <c r="H1091" s="149" t="str">
        <f t="shared" si="6"/>
        <v>JORGE PRADA PENDOLERO</v>
      </c>
      <c r="I1091" s="149" t="s">
        <v>701</v>
      </c>
      <c r="J1091" s="153" t="s">
        <v>444</v>
      </c>
      <c r="K1091" s="149" t="s">
        <v>1952</v>
      </c>
      <c r="L1091" s="168">
        <v>45506</v>
      </c>
      <c r="M1091" s="164"/>
      <c r="N1091" s="163">
        <v>1</v>
      </c>
      <c r="O1091" s="165" t="s">
        <v>449</v>
      </c>
      <c r="P1091" s="161">
        <v>1732.73</v>
      </c>
      <c r="Q1091" s="196">
        <v>45488</v>
      </c>
      <c r="R1091" s="153"/>
      <c r="S1091" s="153"/>
      <c r="T1091" s="153"/>
      <c r="U1091" s="153"/>
      <c r="V1091" s="153"/>
      <c r="W1091" s="153"/>
      <c r="X1091" s="153"/>
      <c r="Y1091" s="153"/>
      <c r="Z1091" s="153"/>
      <c r="AA1091" s="153"/>
    </row>
    <row r="1092" spans="1:27">
      <c r="A1092" s="154">
        <v>8</v>
      </c>
      <c r="B1092" s="155" t="s">
        <v>1942</v>
      </c>
      <c r="C1092" s="195">
        <v>45497</v>
      </c>
      <c r="D1092" s="155" t="s">
        <v>440</v>
      </c>
      <c r="E1092" s="149" t="s">
        <v>150</v>
      </c>
      <c r="F1092" s="149" t="s">
        <v>441</v>
      </c>
      <c r="G1092" s="149" t="s">
        <v>442</v>
      </c>
      <c r="H1092" s="149" t="str">
        <f t="shared" si="6"/>
        <v>JEAN FRANCO INTRAPRENDENTE MARTINI</v>
      </c>
      <c r="I1092" s="149" t="s">
        <v>1271</v>
      </c>
      <c r="J1092" s="153" t="s">
        <v>636</v>
      </c>
      <c r="K1092" s="149" t="s">
        <v>1953</v>
      </c>
      <c r="L1092" s="168">
        <v>45506</v>
      </c>
      <c r="M1092" s="158"/>
      <c r="N1092" s="163">
        <v>2</v>
      </c>
      <c r="O1092" s="165" t="s">
        <v>446</v>
      </c>
      <c r="P1092" s="161">
        <v>3524.5</v>
      </c>
      <c r="Q1092" s="196">
        <v>45497</v>
      </c>
      <c r="R1092" s="153"/>
      <c r="S1092" s="153"/>
      <c r="T1092" s="153"/>
      <c r="U1092" s="153"/>
      <c r="V1092" s="153"/>
      <c r="W1092" s="153"/>
      <c r="X1092" s="153"/>
      <c r="Y1092" s="153"/>
      <c r="Z1092" s="153"/>
      <c r="AA1092" s="153"/>
    </row>
    <row r="1093" spans="1:27">
      <c r="A1093" s="154">
        <v>8</v>
      </c>
      <c r="B1093" s="155" t="s">
        <v>1942</v>
      </c>
      <c r="C1093" s="197">
        <v>45435</v>
      </c>
      <c r="D1093" s="155" t="s">
        <v>440</v>
      </c>
      <c r="E1093" s="149" t="s">
        <v>164</v>
      </c>
      <c r="F1093" s="149" t="s">
        <v>441</v>
      </c>
      <c r="G1093" s="149" t="s">
        <v>442</v>
      </c>
      <c r="H1093" s="149" t="str">
        <f t="shared" si="6"/>
        <v>ANTONIO RODRÍGUEZ RIVERO</v>
      </c>
      <c r="I1093" s="149" t="s">
        <v>443</v>
      </c>
      <c r="J1093" s="153" t="s">
        <v>444</v>
      </c>
      <c r="K1093" s="149" t="s">
        <v>1954</v>
      </c>
      <c r="L1093" s="168">
        <v>45509</v>
      </c>
      <c r="M1093" s="164"/>
      <c r="N1093" s="163">
        <v>2</v>
      </c>
      <c r="O1093" s="165" t="s">
        <v>446</v>
      </c>
      <c r="P1093" s="161">
        <v>3710</v>
      </c>
      <c r="Q1093" s="198">
        <v>45435</v>
      </c>
      <c r="R1093" s="153"/>
      <c r="S1093" s="153"/>
      <c r="T1093" s="153"/>
      <c r="U1093" s="153"/>
      <c r="V1093" s="153"/>
      <c r="W1093" s="153"/>
      <c r="X1093" s="153"/>
      <c r="Y1093" s="153"/>
      <c r="Z1093" s="153"/>
      <c r="AA1093" s="153"/>
    </row>
    <row r="1094" spans="1:27">
      <c r="A1094" s="154">
        <v>8</v>
      </c>
      <c r="B1094" s="155" t="s">
        <v>1942</v>
      </c>
      <c r="C1094" s="195">
        <v>45474</v>
      </c>
      <c r="D1094" s="155" t="s">
        <v>440</v>
      </c>
      <c r="E1094" s="149" t="s">
        <v>317</v>
      </c>
      <c r="F1094" s="153" t="s">
        <v>441</v>
      </c>
      <c r="G1094" s="149" t="s">
        <v>442</v>
      </c>
      <c r="H1094" s="149" t="str">
        <f t="shared" si="6"/>
        <v>GUILLERMO SEVERÁ FERRANDIZ</v>
      </c>
      <c r="I1094" s="149" t="s">
        <v>916</v>
      </c>
      <c r="J1094" s="153" t="s">
        <v>462</v>
      </c>
      <c r="K1094" s="149" t="s">
        <v>1955</v>
      </c>
      <c r="L1094" s="157">
        <v>45510</v>
      </c>
      <c r="M1094" s="164"/>
      <c r="N1094" s="163">
        <v>1</v>
      </c>
      <c r="O1094" s="165" t="s">
        <v>446</v>
      </c>
      <c r="P1094" s="161">
        <v>2226.36</v>
      </c>
      <c r="Q1094" s="196">
        <v>45474</v>
      </c>
      <c r="R1094" s="153"/>
      <c r="S1094" s="153"/>
      <c r="T1094" s="153"/>
      <c r="U1094" s="153"/>
      <c r="V1094" s="153"/>
      <c r="W1094" s="153"/>
      <c r="X1094" s="153"/>
      <c r="Y1094" s="153"/>
      <c r="Z1094" s="153"/>
      <c r="AA1094" s="153"/>
    </row>
    <row r="1095" spans="1:27">
      <c r="A1095" s="154">
        <v>8</v>
      </c>
      <c r="B1095" s="155" t="s">
        <v>1942</v>
      </c>
      <c r="C1095" s="195">
        <v>45484</v>
      </c>
      <c r="D1095" s="155" t="s">
        <v>440</v>
      </c>
      <c r="E1095" s="149" t="s">
        <v>546</v>
      </c>
      <c r="F1095" s="153" t="s">
        <v>441</v>
      </c>
      <c r="G1095" s="149" t="s">
        <v>442</v>
      </c>
      <c r="H1095" s="149" t="str">
        <f t="shared" si="6"/>
        <v>JAVIER GARCÍA GÓMEZ</v>
      </c>
      <c r="I1095" s="149" t="s">
        <v>946</v>
      </c>
      <c r="J1095" s="153" t="s">
        <v>548</v>
      </c>
      <c r="K1095" s="149" t="s">
        <v>1956</v>
      </c>
      <c r="L1095" s="157">
        <v>45510</v>
      </c>
      <c r="M1095" s="164"/>
      <c r="N1095" s="163">
        <v>1</v>
      </c>
      <c r="O1095" s="165" t="s">
        <v>513</v>
      </c>
      <c r="P1095" s="161">
        <v>1977.27</v>
      </c>
      <c r="Q1095" s="196">
        <v>45484</v>
      </c>
      <c r="R1095" s="153"/>
      <c r="S1095" s="153"/>
      <c r="T1095" s="153"/>
      <c r="U1095" s="153"/>
      <c r="V1095" s="153"/>
      <c r="W1095" s="153"/>
      <c r="X1095" s="153"/>
      <c r="Y1095" s="153"/>
      <c r="Z1095" s="153"/>
      <c r="AA1095" s="153"/>
    </row>
    <row r="1096" spans="1:27">
      <c r="A1096" s="154">
        <v>8</v>
      </c>
      <c r="B1096" s="155" t="s">
        <v>1942</v>
      </c>
      <c r="C1096" s="195">
        <v>45481</v>
      </c>
      <c r="D1096" s="155" t="s">
        <v>440</v>
      </c>
      <c r="E1096" s="149" t="s">
        <v>546</v>
      </c>
      <c r="F1096" s="153" t="s">
        <v>441</v>
      </c>
      <c r="G1096" s="149" t="s">
        <v>442</v>
      </c>
      <c r="H1096" s="149" t="str">
        <f t="shared" si="6"/>
        <v>MANUEL MARTÍ PEÑA</v>
      </c>
      <c r="I1096" s="149" t="s">
        <v>1732</v>
      </c>
      <c r="J1096" s="153" t="s">
        <v>548</v>
      </c>
      <c r="K1096" s="149" t="s">
        <v>1957</v>
      </c>
      <c r="L1096" s="157">
        <v>45510</v>
      </c>
      <c r="M1096" s="164"/>
      <c r="N1096" s="163">
        <v>2</v>
      </c>
      <c r="O1096" s="165" t="s">
        <v>513</v>
      </c>
      <c r="P1096" s="161">
        <v>3954.55</v>
      </c>
      <c r="Q1096" s="196">
        <v>45481</v>
      </c>
      <c r="R1096" s="153"/>
      <c r="S1096" s="153"/>
      <c r="T1096" s="153"/>
      <c r="U1096" s="153"/>
      <c r="V1096" s="153"/>
      <c r="W1096" s="153"/>
      <c r="X1096" s="153"/>
      <c r="Y1096" s="153"/>
      <c r="Z1096" s="153"/>
      <c r="AA1096" s="153"/>
    </row>
    <row r="1097" spans="1:27">
      <c r="A1097" s="154">
        <v>8</v>
      </c>
      <c r="B1097" s="155" t="s">
        <v>1942</v>
      </c>
      <c r="C1097" s="195">
        <v>45460</v>
      </c>
      <c r="D1097" s="155" t="s">
        <v>440</v>
      </c>
      <c r="E1097" s="149" t="s">
        <v>501</v>
      </c>
      <c r="F1097" s="153" t="s">
        <v>441</v>
      </c>
      <c r="G1097" s="149" t="s">
        <v>442</v>
      </c>
      <c r="H1097" s="149" t="str">
        <f t="shared" si="6"/>
        <v>FERNANDO SALAZAR BARCELONA</v>
      </c>
      <c r="I1097" s="149" t="s">
        <v>502</v>
      </c>
      <c r="J1097" s="153" t="s">
        <v>548</v>
      </c>
      <c r="K1097" s="149" t="s">
        <v>1958</v>
      </c>
      <c r="L1097" s="168">
        <v>45510</v>
      </c>
      <c r="M1097" s="164"/>
      <c r="N1097" s="163">
        <v>1</v>
      </c>
      <c r="O1097" s="165" t="s">
        <v>513</v>
      </c>
      <c r="P1097" s="161">
        <v>2181.8200000000002</v>
      </c>
      <c r="Q1097" s="196">
        <v>45460</v>
      </c>
      <c r="R1097" s="153"/>
      <c r="S1097" s="153"/>
      <c r="T1097" s="153"/>
      <c r="U1097" s="153"/>
      <c r="V1097" s="153"/>
      <c r="W1097" s="153"/>
      <c r="X1097" s="153"/>
      <c r="Y1097" s="153"/>
      <c r="Z1097" s="153"/>
      <c r="AA1097" s="153"/>
    </row>
    <row r="1098" spans="1:27">
      <c r="A1098" s="154">
        <v>8</v>
      </c>
      <c r="B1098" s="155" t="s">
        <v>1942</v>
      </c>
      <c r="C1098" s="195"/>
      <c r="D1098" s="155" t="s">
        <v>440</v>
      </c>
      <c r="E1098" s="149" t="s">
        <v>98</v>
      </c>
      <c r="F1098" s="149" t="s">
        <v>441</v>
      </c>
      <c r="G1098" s="149" t="s">
        <v>442</v>
      </c>
      <c r="H1098" s="149" t="str">
        <f t="shared" si="6"/>
        <v>MARÍA AGUSTINA SEVILLA GARCÍA</v>
      </c>
      <c r="I1098" s="149" t="s">
        <v>538</v>
      </c>
      <c r="J1098" s="153" t="s">
        <v>462</v>
      </c>
      <c r="K1098" s="149" t="s">
        <v>1959</v>
      </c>
      <c r="L1098" s="168">
        <v>45510</v>
      </c>
      <c r="M1098" s="164"/>
      <c r="N1098" s="163">
        <v>2</v>
      </c>
      <c r="O1098" s="165" t="s">
        <v>446</v>
      </c>
      <c r="P1098" s="161">
        <v>3523.64</v>
      </c>
      <c r="Q1098" s="196"/>
      <c r="R1098" s="153"/>
      <c r="S1098" s="153"/>
      <c r="T1098" s="153"/>
      <c r="U1098" s="153"/>
      <c r="V1098" s="153"/>
      <c r="W1098" s="153"/>
      <c r="X1098" s="153"/>
      <c r="Y1098" s="153"/>
      <c r="Z1098" s="153"/>
      <c r="AA1098" s="153"/>
    </row>
    <row r="1099" spans="1:27">
      <c r="A1099" s="154">
        <v>8</v>
      </c>
      <c r="B1099" s="155" t="s">
        <v>1942</v>
      </c>
      <c r="C1099" s="195">
        <v>45476</v>
      </c>
      <c r="D1099" s="155" t="s">
        <v>440</v>
      </c>
      <c r="E1099" s="149" t="s">
        <v>546</v>
      </c>
      <c r="F1099" s="153" t="s">
        <v>441</v>
      </c>
      <c r="G1099" s="149" t="s">
        <v>442</v>
      </c>
      <c r="H1099" s="149" t="str">
        <f t="shared" si="6"/>
        <v>CIFUENTES NAVAS</v>
      </c>
      <c r="I1099" s="149" t="s">
        <v>1960</v>
      </c>
      <c r="J1099" s="153" t="s">
        <v>548</v>
      </c>
      <c r="K1099" s="149" t="s">
        <v>1961</v>
      </c>
      <c r="L1099" s="157">
        <v>45511</v>
      </c>
      <c r="M1099" s="164"/>
      <c r="N1099" s="163">
        <v>1</v>
      </c>
      <c r="O1099" s="165" t="s">
        <v>513</v>
      </c>
      <c r="P1099" s="161">
        <v>1886.36</v>
      </c>
      <c r="Q1099" s="196">
        <v>45476</v>
      </c>
      <c r="R1099" s="153"/>
      <c r="S1099" s="153"/>
      <c r="T1099" s="153"/>
      <c r="U1099" s="153"/>
      <c r="V1099" s="153"/>
      <c r="W1099" s="153"/>
      <c r="X1099" s="153"/>
      <c r="Y1099" s="153"/>
      <c r="Z1099" s="153"/>
      <c r="AA1099" s="153"/>
    </row>
    <row r="1100" spans="1:27">
      <c r="A1100" s="154">
        <v>8</v>
      </c>
      <c r="B1100" s="155" t="s">
        <v>1942</v>
      </c>
      <c r="C1100" s="195">
        <v>45496</v>
      </c>
      <c r="D1100" s="155" t="s">
        <v>440</v>
      </c>
      <c r="E1100" s="149" t="s">
        <v>150</v>
      </c>
      <c r="F1100" s="149" t="s">
        <v>441</v>
      </c>
      <c r="G1100" s="149" t="s">
        <v>442</v>
      </c>
      <c r="H1100" s="149" t="str">
        <f t="shared" si="6"/>
        <v>PAULA MARTÍNEZ-RUIZ DE APOCADA</v>
      </c>
      <c r="I1100" s="149" t="s">
        <v>1520</v>
      </c>
      <c r="J1100" s="149" t="s">
        <v>636</v>
      </c>
      <c r="K1100" s="149" t="s">
        <v>1962</v>
      </c>
      <c r="L1100" s="168">
        <v>45511</v>
      </c>
      <c r="M1100" s="164"/>
      <c r="N1100" s="163">
        <v>2</v>
      </c>
      <c r="O1100" s="165" t="s">
        <v>449</v>
      </c>
      <c r="P1100" s="161">
        <v>2743.78</v>
      </c>
      <c r="Q1100" s="196">
        <v>45496</v>
      </c>
      <c r="R1100" s="153"/>
      <c r="S1100" s="153"/>
      <c r="T1100" s="153"/>
      <c r="U1100" s="153"/>
      <c r="V1100" s="153"/>
      <c r="W1100" s="153"/>
      <c r="X1100" s="153"/>
      <c r="Y1100" s="153"/>
      <c r="Z1100" s="153"/>
      <c r="AA1100" s="153"/>
    </row>
    <row r="1101" spans="1:27">
      <c r="A1101" s="154">
        <v>8</v>
      </c>
      <c r="B1101" s="155" t="s">
        <v>1942</v>
      </c>
      <c r="C1101" s="195">
        <v>45476</v>
      </c>
      <c r="D1101" s="155" t="s">
        <v>440</v>
      </c>
      <c r="E1101" s="149" t="s">
        <v>856</v>
      </c>
      <c r="F1101" s="153" t="s">
        <v>450</v>
      </c>
      <c r="G1101" s="149" t="s">
        <v>451</v>
      </c>
      <c r="H1101" s="149" t="str">
        <f t="shared" si="6"/>
        <v>SARA FERNANDRZ CASCÓN</v>
      </c>
      <c r="I1101" s="149" t="s">
        <v>1963</v>
      </c>
      <c r="J1101" s="153" t="s">
        <v>473</v>
      </c>
      <c r="K1101" s="149" t="s">
        <v>1964</v>
      </c>
      <c r="L1101" s="168">
        <v>45512</v>
      </c>
      <c r="M1101" s="164"/>
      <c r="N1101" s="163">
        <v>2</v>
      </c>
      <c r="O1101" s="165" t="s">
        <v>518</v>
      </c>
      <c r="P1101" s="161">
        <v>2909.09</v>
      </c>
      <c r="Q1101" s="196">
        <v>45476</v>
      </c>
      <c r="R1101" s="153"/>
      <c r="S1101" s="153"/>
      <c r="T1101" s="153"/>
      <c r="U1101" s="153"/>
      <c r="V1101" s="153"/>
      <c r="W1101" s="153"/>
      <c r="X1101" s="153"/>
      <c r="Y1101" s="153"/>
      <c r="Z1101" s="153"/>
      <c r="AA1101" s="153"/>
    </row>
    <row r="1102" spans="1:27">
      <c r="A1102" s="154">
        <v>8</v>
      </c>
      <c r="B1102" s="155" t="s">
        <v>1942</v>
      </c>
      <c r="C1102" s="195">
        <v>45055</v>
      </c>
      <c r="D1102" s="155" t="s">
        <v>440</v>
      </c>
      <c r="E1102" s="149" t="s">
        <v>309</v>
      </c>
      <c r="F1102" s="153" t="s">
        <v>441</v>
      </c>
      <c r="G1102" s="149" t="s">
        <v>442</v>
      </c>
      <c r="H1102" s="149" t="str">
        <f t="shared" si="6"/>
        <v>JOSE JOAQUÍN GUTIÉRREZ BARQUÍN</v>
      </c>
      <c r="I1102" s="149" t="s">
        <v>716</v>
      </c>
      <c r="J1102" s="153" t="s">
        <v>444</v>
      </c>
      <c r="K1102" s="149" t="s">
        <v>1965</v>
      </c>
      <c r="L1102" s="168">
        <v>45512</v>
      </c>
      <c r="M1102" s="164"/>
      <c r="N1102" s="163">
        <v>1</v>
      </c>
      <c r="O1102" s="165" t="s">
        <v>446</v>
      </c>
      <c r="P1102" s="161">
        <v>1545.45</v>
      </c>
      <c r="Q1102" s="196">
        <v>45055</v>
      </c>
      <c r="R1102" s="153"/>
      <c r="S1102" s="153"/>
      <c r="T1102" s="153"/>
      <c r="U1102" s="153"/>
      <c r="V1102" s="153"/>
      <c r="W1102" s="153"/>
      <c r="X1102" s="153"/>
      <c r="Y1102" s="153"/>
      <c r="Z1102" s="153"/>
      <c r="AA1102" s="153"/>
    </row>
    <row r="1103" spans="1:27">
      <c r="A1103" s="154">
        <v>8</v>
      </c>
      <c r="B1103" s="155" t="s">
        <v>1942</v>
      </c>
      <c r="C1103" s="195">
        <v>45495</v>
      </c>
      <c r="D1103" s="155" t="s">
        <v>440</v>
      </c>
      <c r="E1103" s="149" t="s">
        <v>164</v>
      </c>
      <c r="F1103" s="149" t="s">
        <v>441</v>
      </c>
      <c r="G1103" s="149" t="s">
        <v>442</v>
      </c>
      <c r="H1103" s="149" t="str">
        <f t="shared" si="6"/>
        <v>LAURA YEGUAS RAMÍREZ</v>
      </c>
      <c r="I1103" s="149" t="s">
        <v>786</v>
      </c>
      <c r="J1103" s="153" t="s">
        <v>444</v>
      </c>
      <c r="K1103" s="149" t="s">
        <v>1966</v>
      </c>
      <c r="L1103" s="168">
        <v>45512</v>
      </c>
      <c r="M1103" s="158"/>
      <c r="N1103" s="163">
        <v>2</v>
      </c>
      <c r="O1103" s="165" t="s">
        <v>449</v>
      </c>
      <c r="P1103" s="161">
        <v>2888.18</v>
      </c>
      <c r="Q1103" s="196">
        <v>45495</v>
      </c>
      <c r="R1103" s="153"/>
      <c r="S1103" s="153"/>
      <c r="T1103" s="153"/>
      <c r="U1103" s="153"/>
      <c r="V1103" s="153"/>
      <c r="W1103" s="153"/>
      <c r="X1103" s="153"/>
      <c r="Y1103" s="153"/>
      <c r="Z1103" s="153"/>
      <c r="AA1103" s="153"/>
    </row>
    <row r="1104" spans="1:27">
      <c r="A1104" s="154">
        <v>8</v>
      </c>
      <c r="B1104" s="155" t="s">
        <v>1942</v>
      </c>
      <c r="C1104" s="195">
        <v>45446</v>
      </c>
      <c r="D1104" s="155" t="s">
        <v>440</v>
      </c>
      <c r="E1104" s="149" t="s">
        <v>530</v>
      </c>
      <c r="F1104" s="149" t="s">
        <v>441</v>
      </c>
      <c r="G1104" s="149" t="s">
        <v>442</v>
      </c>
      <c r="H1104" s="149" t="str">
        <f t="shared" si="6"/>
        <v>FERRAN BALLESTEROS ALONSO</v>
      </c>
      <c r="I1104" s="149" t="s">
        <v>1967</v>
      </c>
      <c r="J1104" s="153" t="s">
        <v>532</v>
      </c>
      <c r="K1104" s="149" t="s">
        <v>1968</v>
      </c>
      <c r="L1104" s="168">
        <v>45512</v>
      </c>
      <c r="M1104" s="158"/>
      <c r="N1104" s="163">
        <v>1</v>
      </c>
      <c r="O1104" s="165" t="s">
        <v>518</v>
      </c>
      <c r="P1104" s="161">
        <v>1313.64</v>
      </c>
      <c r="Q1104" s="196">
        <v>45446</v>
      </c>
      <c r="R1104" s="153"/>
      <c r="S1104" s="153"/>
      <c r="T1104" s="153"/>
      <c r="U1104" s="153"/>
      <c r="V1104" s="153"/>
      <c r="W1104" s="153"/>
      <c r="X1104" s="153"/>
      <c r="Y1104" s="153"/>
      <c r="Z1104" s="153"/>
      <c r="AA1104" s="153"/>
    </row>
    <row r="1105" spans="1:27">
      <c r="A1105" s="154">
        <v>8</v>
      </c>
      <c r="B1105" s="155" t="s">
        <v>1942</v>
      </c>
      <c r="C1105" s="195">
        <v>45474</v>
      </c>
      <c r="D1105" s="155" t="s">
        <v>440</v>
      </c>
      <c r="E1105" s="149" t="s">
        <v>109</v>
      </c>
      <c r="F1105" s="153" t="s">
        <v>441</v>
      </c>
      <c r="G1105" s="149" t="s">
        <v>442</v>
      </c>
      <c r="H1105" s="149" t="str">
        <f t="shared" si="6"/>
        <v>MARÍA GARROTE GARROTE</v>
      </c>
      <c r="I1105" s="149" t="s">
        <v>447</v>
      </c>
      <c r="J1105" s="153" t="s">
        <v>444</v>
      </c>
      <c r="K1105" s="149" t="s">
        <v>1969</v>
      </c>
      <c r="L1105" s="168">
        <v>45513</v>
      </c>
      <c r="M1105" s="164"/>
      <c r="N1105" s="163">
        <v>1</v>
      </c>
      <c r="O1105" s="165" t="s">
        <v>446</v>
      </c>
      <c r="P1105" s="161">
        <v>1849.09</v>
      </c>
      <c r="Q1105" s="196">
        <v>45474</v>
      </c>
      <c r="R1105" s="153"/>
      <c r="S1105" s="153"/>
      <c r="T1105" s="153"/>
      <c r="U1105" s="153"/>
      <c r="V1105" s="153"/>
      <c r="W1105" s="153"/>
      <c r="X1105" s="153"/>
      <c r="Y1105" s="153"/>
      <c r="Z1105" s="153"/>
      <c r="AA1105" s="153"/>
    </row>
    <row r="1106" spans="1:27">
      <c r="A1106" s="154">
        <v>8</v>
      </c>
      <c r="B1106" s="155" t="s">
        <v>1942</v>
      </c>
      <c r="C1106" s="195">
        <v>45338</v>
      </c>
      <c r="D1106" s="155" t="s">
        <v>440</v>
      </c>
      <c r="E1106" s="149" t="s">
        <v>951</v>
      </c>
      <c r="F1106" s="149" t="s">
        <v>441</v>
      </c>
      <c r="G1106" s="149" t="s">
        <v>442</v>
      </c>
      <c r="H1106" s="149" t="str">
        <f t="shared" si="6"/>
        <v>SERGIO CODINA ALONSO</v>
      </c>
      <c r="I1106" s="149" t="s">
        <v>1970</v>
      </c>
      <c r="J1106" s="153" t="s">
        <v>516</v>
      </c>
      <c r="K1106" s="149" t="s">
        <v>1971</v>
      </c>
      <c r="L1106" s="168">
        <v>45513</v>
      </c>
      <c r="M1106" s="164"/>
      <c r="N1106" s="163">
        <v>2</v>
      </c>
      <c r="O1106" s="165" t="s">
        <v>449</v>
      </c>
      <c r="P1106" s="161">
        <v>2780.91</v>
      </c>
      <c r="Q1106" s="196">
        <v>45338</v>
      </c>
      <c r="R1106" s="153"/>
      <c r="S1106" s="153"/>
      <c r="T1106" s="153"/>
      <c r="U1106" s="153"/>
      <c r="V1106" s="153"/>
      <c r="W1106" s="153"/>
      <c r="X1106" s="153"/>
      <c r="Y1106" s="153"/>
      <c r="Z1106" s="153"/>
      <c r="AA1106" s="153"/>
    </row>
    <row r="1107" spans="1:27">
      <c r="A1107" s="154">
        <v>8</v>
      </c>
      <c r="B1107" s="155" t="s">
        <v>1942</v>
      </c>
      <c r="C1107" s="195">
        <v>45474</v>
      </c>
      <c r="D1107" s="155" t="s">
        <v>440</v>
      </c>
      <c r="E1107" s="149" t="s">
        <v>239</v>
      </c>
      <c r="F1107" s="149" t="s">
        <v>441</v>
      </c>
      <c r="G1107" s="149" t="s">
        <v>442</v>
      </c>
      <c r="H1107" s="149" t="str">
        <f t="shared" si="6"/>
        <v>MARÍA AMPARO ÁLVAREZ DE TOLEDO JEUTE</v>
      </c>
      <c r="I1107" s="149" t="s">
        <v>1972</v>
      </c>
      <c r="J1107" s="153" t="s">
        <v>455</v>
      </c>
      <c r="K1107" s="149" t="s">
        <v>1973</v>
      </c>
      <c r="L1107" s="168">
        <v>45513</v>
      </c>
      <c r="M1107" s="164"/>
      <c r="N1107" s="163">
        <v>1</v>
      </c>
      <c r="O1107" s="165" t="s">
        <v>1540</v>
      </c>
      <c r="P1107" s="161">
        <v>2283.4499999999998</v>
      </c>
      <c r="Q1107" s="196">
        <v>45474</v>
      </c>
      <c r="R1107" s="153"/>
      <c r="S1107" s="153"/>
      <c r="T1107" s="153"/>
      <c r="U1107" s="153"/>
      <c r="V1107" s="153"/>
      <c r="W1107" s="153"/>
      <c r="X1107" s="153"/>
      <c r="Y1107" s="153"/>
      <c r="Z1107" s="153"/>
      <c r="AA1107" s="153"/>
    </row>
    <row r="1108" spans="1:27">
      <c r="A1108" s="154">
        <v>8</v>
      </c>
      <c r="B1108" s="155" t="s">
        <v>1942</v>
      </c>
      <c r="C1108" s="195"/>
      <c r="D1108" s="155" t="s">
        <v>440</v>
      </c>
      <c r="E1108" s="149" t="s">
        <v>671</v>
      </c>
      <c r="F1108" s="153" t="s">
        <v>441</v>
      </c>
      <c r="G1108" s="149" t="s">
        <v>442</v>
      </c>
      <c r="H1108" s="149" t="str">
        <f t="shared" si="6"/>
        <v>JUAN PEDRO RUBIO RODRÍGUEZ</v>
      </c>
      <c r="I1108" s="149" t="s">
        <v>1974</v>
      </c>
      <c r="J1108" s="153" t="s">
        <v>516</v>
      </c>
      <c r="K1108" s="149" t="s">
        <v>1975</v>
      </c>
      <c r="L1108" s="168">
        <v>45517</v>
      </c>
      <c r="M1108" s="164"/>
      <c r="N1108" s="163">
        <v>1</v>
      </c>
      <c r="O1108" s="165" t="s">
        <v>513</v>
      </c>
      <c r="P1108" s="161">
        <v>1818.18</v>
      </c>
      <c r="Q1108" s="196"/>
      <c r="R1108" s="153"/>
      <c r="S1108" s="153"/>
      <c r="T1108" s="153"/>
      <c r="U1108" s="153"/>
      <c r="V1108" s="153"/>
      <c r="W1108" s="153"/>
      <c r="X1108" s="153"/>
      <c r="Y1108" s="153"/>
      <c r="Z1108" s="153"/>
      <c r="AA1108" s="153"/>
    </row>
    <row r="1109" spans="1:27">
      <c r="A1109" s="154">
        <v>8</v>
      </c>
      <c r="B1109" s="155" t="s">
        <v>1942</v>
      </c>
      <c r="C1109" s="195">
        <v>45475</v>
      </c>
      <c r="D1109" s="155" t="s">
        <v>440</v>
      </c>
      <c r="E1109" s="149" t="s">
        <v>506</v>
      </c>
      <c r="F1109" s="149" t="s">
        <v>441</v>
      </c>
      <c r="G1109" s="149" t="s">
        <v>442</v>
      </c>
      <c r="H1109" s="149" t="str">
        <f t="shared" si="6"/>
        <v>MARÍA JESÚS CORNEJO DOMÍNGUEZ</v>
      </c>
      <c r="I1109" s="149" t="s">
        <v>507</v>
      </c>
      <c r="J1109" s="153" t="s">
        <v>473</v>
      </c>
      <c r="K1109" s="149" t="s">
        <v>1976</v>
      </c>
      <c r="L1109" s="168">
        <v>45517</v>
      </c>
      <c r="M1109" s="158"/>
      <c r="N1109" s="163">
        <v>1</v>
      </c>
      <c r="O1109" s="165" t="s">
        <v>446</v>
      </c>
      <c r="P1109" s="161">
        <v>2162.73</v>
      </c>
      <c r="Q1109" s="196">
        <v>45475</v>
      </c>
      <c r="R1109" s="153"/>
      <c r="S1109" s="153"/>
      <c r="T1109" s="153"/>
      <c r="U1109" s="153"/>
      <c r="V1109" s="153"/>
      <c r="W1109" s="153"/>
      <c r="X1109" s="153"/>
      <c r="Y1109" s="153"/>
      <c r="Z1109" s="153"/>
      <c r="AA1109" s="153"/>
    </row>
    <row r="1110" spans="1:27">
      <c r="A1110" s="154">
        <v>8</v>
      </c>
      <c r="B1110" s="155" t="s">
        <v>1942</v>
      </c>
      <c r="C1110" s="195">
        <v>45484</v>
      </c>
      <c r="D1110" s="155" t="s">
        <v>440</v>
      </c>
      <c r="E1110" s="149" t="s">
        <v>1461</v>
      </c>
      <c r="F1110" s="153" t="s">
        <v>441</v>
      </c>
      <c r="G1110" s="149" t="s">
        <v>442</v>
      </c>
      <c r="H1110" s="149" t="str">
        <f t="shared" si="6"/>
        <v>JOSÉ EUGENIO ESTRADA GROMAZ</v>
      </c>
      <c r="I1110" s="149" t="s">
        <v>602</v>
      </c>
      <c r="J1110" s="153" t="s">
        <v>516</v>
      </c>
      <c r="K1110" s="149" t="s">
        <v>1977</v>
      </c>
      <c r="L1110" s="168">
        <v>45518</v>
      </c>
      <c r="M1110" s="164"/>
      <c r="N1110" s="163">
        <v>2</v>
      </c>
      <c r="O1110" s="165" t="s">
        <v>449</v>
      </c>
      <c r="P1110" s="161">
        <v>2909.09</v>
      </c>
      <c r="Q1110" s="196">
        <v>45484</v>
      </c>
      <c r="R1110" s="153"/>
      <c r="S1110" s="153"/>
      <c r="T1110" s="153"/>
      <c r="U1110" s="153"/>
      <c r="V1110" s="153"/>
      <c r="W1110" s="153"/>
      <c r="X1110" s="153"/>
      <c r="Y1110" s="153"/>
      <c r="Z1110" s="153"/>
      <c r="AA1110" s="153"/>
    </row>
    <row r="1111" spans="1:27">
      <c r="A1111" s="154">
        <v>8</v>
      </c>
      <c r="B1111" s="155" t="s">
        <v>1942</v>
      </c>
      <c r="C1111" s="195">
        <v>45446</v>
      </c>
      <c r="D1111" s="155" t="s">
        <v>440</v>
      </c>
      <c r="E1111" s="149" t="s">
        <v>506</v>
      </c>
      <c r="F1111" s="149" t="s">
        <v>441</v>
      </c>
      <c r="G1111" s="149" t="s">
        <v>442</v>
      </c>
      <c r="H1111" s="149" t="str">
        <f t="shared" si="6"/>
        <v>LUIS MIGUEL RINCÓN ESTEBAN</v>
      </c>
      <c r="I1111" s="149" t="s">
        <v>1033</v>
      </c>
      <c r="J1111" s="153" t="s">
        <v>473</v>
      </c>
      <c r="K1111" s="149" t="s">
        <v>1946</v>
      </c>
      <c r="L1111" s="168">
        <v>45518</v>
      </c>
      <c r="M1111" s="158"/>
      <c r="N1111" s="163">
        <v>1</v>
      </c>
      <c r="O1111" s="165" t="s">
        <v>466</v>
      </c>
      <c r="P1111" s="161">
        <v>904</v>
      </c>
      <c r="Q1111" s="196">
        <v>45446</v>
      </c>
      <c r="R1111" s="153"/>
      <c r="S1111" s="153"/>
      <c r="T1111" s="153"/>
      <c r="U1111" s="153"/>
      <c r="V1111" s="153"/>
      <c r="W1111" s="153"/>
      <c r="X1111" s="153"/>
      <c r="Y1111" s="153"/>
      <c r="Z1111" s="153"/>
      <c r="AA1111" s="153"/>
    </row>
    <row r="1112" spans="1:27">
      <c r="A1112" s="154">
        <v>8</v>
      </c>
      <c r="B1112" s="155" t="s">
        <v>1942</v>
      </c>
      <c r="C1112" s="195">
        <v>45495</v>
      </c>
      <c r="D1112" s="155" t="s">
        <v>440</v>
      </c>
      <c r="E1112" s="149" t="s">
        <v>102</v>
      </c>
      <c r="F1112" s="149" t="s">
        <v>441</v>
      </c>
      <c r="G1112" s="149" t="s">
        <v>442</v>
      </c>
      <c r="H1112" s="149" t="str">
        <f t="shared" si="6"/>
        <v>AURORA LÓPEZ LLAMES</v>
      </c>
      <c r="I1112" s="149" t="s">
        <v>1978</v>
      </c>
      <c r="J1112" s="153" t="s">
        <v>462</v>
      </c>
      <c r="K1112" s="149" t="s">
        <v>1979</v>
      </c>
      <c r="L1112" s="168">
        <v>45523</v>
      </c>
      <c r="M1112" s="158"/>
      <c r="N1112" s="163">
        <v>2</v>
      </c>
      <c r="O1112" s="165" t="s">
        <v>449</v>
      </c>
      <c r="P1112" s="161">
        <v>2888.18</v>
      </c>
      <c r="Q1112" s="196">
        <v>45495</v>
      </c>
      <c r="R1112" s="153"/>
      <c r="S1112" s="153"/>
      <c r="T1112" s="153"/>
      <c r="U1112" s="153"/>
      <c r="V1112" s="153"/>
      <c r="W1112" s="153"/>
      <c r="X1112" s="153"/>
      <c r="Y1112" s="153"/>
      <c r="Z1112" s="153"/>
      <c r="AA1112" s="153"/>
    </row>
    <row r="1113" spans="1:27">
      <c r="A1113" s="154">
        <v>8</v>
      </c>
      <c r="B1113" s="155" t="s">
        <v>1942</v>
      </c>
      <c r="C1113" s="195">
        <v>45524</v>
      </c>
      <c r="D1113" s="155" t="s">
        <v>440</v>
      </c>
      <c r="E1113" s="149" t="s">
        <v>1461</v>
      </c>
      <c r="F1113" s="153" t="s">
        <v>441</v>
      </c>
      <c r="G1113" s="149" t="s">
        <v>442</v>
      </c>
      <c r="H1113" s="149" t="str">
        <f t="shared" si="6"/>
        <v>MIGUEL MAYO YÁÑEZ</v>
      </c>
      <c r="I1113" s="149" t="s">
        <v>692</v>
      </c>
      <c r="J1113" s="153" t="s">
        <v>516</v>
      </c>
      <c r="K1113" s="149" t="s">
        <v>1980</v>
      </c>
      <c r="L1113" s="168">
        <v>45524</v>
      </c>
      <c r="M1113" s="164"/>
      <c r="N1113" s="163">
        <v>2</v>
      </c>
      <c r="O1113" s="165" t="s">
        <v>446</v>
      </c>
      <c r="P1113" s="161">
        <v>3272.73</v>
      </c>
      <c r="Q1113" s="196">
        <v>45524</v>
      </c>
      <c r="R1113" s="153"/>
      <c r="S1113" s="153"/>
      <c r="T1113" s="153"/>
      <c r="U1113" s="153"/>
      <c r="V1113" s="153"/>
      <c r="W1113" s="153"/>
      <c r="X1113" s="153"/>
      <c r="Y1113" s="153"/>
      <c r="Z1113" s="153"/>
      <c r="AA1113" s="153"/>
    </row>
    <row r="1114" spans="1:27">
      <c r="A1114" s="154">
        <v>8</v>
      </c>
      <c r="B1114" s="155" t="s">
        <v>1942</v>
      </c>
      <c r="C1114" s="195">
        <v>45482</v>
      </c>
      <c r="D1114" s="155" t="s">
        <v>440</v>
      </c>
      <c r="E1114" s="149" t="s">
        <v>164</v>
      </c>
      <c r="F1114" s="149" t="s">
        <v>441</v>
      </c>
      <c r="G1114" s="149" t="s">
        <v>442</v>
      </c>
      <c r="H1114" s="149" t="str">
        <f t="shared" si="6"/>
        <v>HELENA MORENO PARDO</v>
      </c>
      <c r="I1114" s="149" t="s">
        <v>1345</v>
      </c>
      <c r="J1114" s="153" t="s">
        <v>444</v>
      </c>
      <c r="K1114" s="149" t="s">
        <v>1981</v>
      </c>
      <c r="L1114" s="168">
        <v>45524</v>
      </c>
      <c r="M1114" s="164"/>
      <c r="N1114" s="163">
        <v>2</v>
      </c>
      <c r="O1114" s="165" t="s">
        <v>1540</v>
      </c>
      <c r="P1114" s="161">
        <v>4000</v>
      </c>
      <c r="Q1114" s="196">
        <v>45482</v>
      </c>
      <c r="R1114" s="153"/>
      <c r="S1114" s="153"/>
      <c r="T1114" s="153"/>
      <c r="U1114" s="153"/>
      <c r="V1114" s="153"/>
      <c r="W1114" s="153"/>
      <c r="X1114" s="153"/>
      <c r="Y1114" s="153"/>
      <c r="Z1114" s="153"/>
      <c r="AA1114" s="153"/>
    </row>
    <row r="1115" spans="1:27">
      <c r="A1115" s="154">
        <v>8</v>
      </c>
      <c r="B1115" s="155" t="s">
        <v>1942</v>
      </c>
      <c r="C1115" s="195">
        <v>45468</v>
      </c>
      <c r="D1115" s="155" t="s">
        <v>440</v>
      </c>
      <c r="E1115" s="149" t="s">
        <v>102</v>
      </c>
      <c r="F1115" s="149" t="s">
        <v>441</v>
      </c>
      <c r="G1115" s="149" t="s">
        <v>442</v>
      </c>
      <c r="H1115" s="149" t="str">
        <f t="shared" si="6"/>
        <v>JUAN JAVIER ÁLVAREZ LÓPEZ</v>
      </c>
      <c r="I1115" s="149" t="s">
        <v>664</v>
      </c>
      <c r="J1115" s="153" t="s">
        <v>462</v>
      </c>
      <c r="K1115" s="149" t="s">
        <v>1982</v>
      </c>
      <c r="L1115" s="168">
        <v>45524</v>
      </c>
      <c r="M1115" s="158"/>
      <c r="N1115" s="163">
        <v>2</v>
      </c>
      <c r="O1115" s="165" t="s">
        <v>449</v>
      </c>
      <c r="P1115" s="161">
        <v>2743.64</v>
      </c>
      <c r="Q1115" s="196">
        <v>45468</v>
      </c>
      <c r="R1115" s="153"/>
      <c r="S1115" s="153"/>
      <c r="T1115" s="153"/>
      <c r="U1115" s="153"/>
      <c r="V1115" s="153"/>
      <c r="W1115" s="153"/>
      <c r="X1115" s="153"/>
      <c r="Y1115" s="153"/>
      <c r="Z1115" s="153"/>
      <c r="AA1115" s="153"/>
    </row>
    <row r="1116" spans="1:27">
      <c r="A1116" s="154">
        <v>8</v>
      </c>
      <c r="B1116" s="155" t="s">
        <v>1942</v>
      </c>
      <c r="C1116" s="195">
        <v>45482</v>
      </c>
      <c r="D1116" s="155" t="s">
        <v>440</v>
      </c>
      <c r="E1116" s="149" t="s">
        <v>138</v>
      </c>
      <c r="F1116" s="153" t="s">
        <v>441</v>
      </c>
      <c r="G1116" s="149" t="s">
        <v>442</v>
      </c>
      <c r="H1116" s="149" t="str">
        <f t="shared" si="6"/>
        <v>JOSÉ MIGUEL COSTA GONZÁLEZ</v>
      </c>
      <c r="I1116" s="149" t="s">
        <v>1983</v>
      </c>
      <c r="J1116" s="153" t="s">
        <v>532</v>
      </c>
      <c r="K1116" s="149" t="s">
        <v>1984</v>
      </c>
      <c r="L1116" s="157">
        <v>45525</v>
      </c>
      <c r="M1116" s="164"/>
      <c r="N1116" s="163">
        <v>2</v>
      </c>
      <c r="O1116" s="165" t="s">
        <v>449</v>
      </c>
      <c r="P1116" s="161">
        <v>2888.18</v>
      </c>
      <c r="Q1116" s="196">
        <v>45482</v>
      </c>
      <c r="R1116" s="153"/>
      <c r="S1116" s="153"/>
      <c r="T1116" s="153"/>
      <c r="U1116" s="153"/>
      <c r="V1116" s="153"/>
      <c r="W1116" s="153"/>
      <c r="X1116" s="153"/>
      <c r="Y1116" s="153"/>
      <c r="Z1116" s="153"/>
      <c r="AA1116" s="153"/>
    </row>
    <row r="1117" spans="1:27">
      <c r="A1117" s="154">
        <v>8</v>
      </c>
      <c r="B1117" s="155" t="s">
        <v>1942</v>
      </c>
      <c r="C1117" s="195">
        <v>45420</v>
      </c>
      <c r="D1117" s="155" t="s">
        <v>440</v>
      </c>
      <c r="E1117" s="149" t="s">
        <v>501</v>
      </c>
      <c r="F1117" s="153" t="s">
        <v>441</v>
      </c>
      <c r="G1117" s="149" t="s">
        <v>442</v>
      </c>
      <c r="H1117" s="149" t="str">
        <f t="shared" si="6"/>
        <v>FERNANDO SALAZAR BARCELONA</v>
      </c>
      <c r="I1117" s="149" t="s">
        <v>502</v>
      </c>
      <c r="J1117" s="153" t="s">
        <v>548</v>
      </c>
      <c r="K1117" s="149" t="s">
        <v>1985</v>
      </c>
      <c r="L1117" s="168">
        <v>45525</v>
      </c>
      <c r="M1117" s="164"/>
      <c r="N1117" s="163">
        <v>1</v>
      </c>
      <c r="O1117" s="165" t="s">
        <v>449</v>
      </c>
      <c r="P1117" s="161">
        <v>1363.64</v>
      </c>
      <c r="Q1117" s="196">
        <v>45420</v>
      </c>
      <c r="R1117" s="153"/>
      <c r="S1117" s="153"/>
      <c r="T1117" s="153"/>
      <c r="U1117" s="153"/>
      <c r="V1117" s="153"/>
      <c r="W1117" s="153"/>
      <c r="X1117" s="153"/>
      <c r="Y1117" s="153"/>
      <c r="Z1117" s="153"/>
      <c r="AA1117" s="153"/>
    </row>
    <row r="1118" spans="1:27">
      <c r="A1118" s="154">
        <v>8</v>
      </c>
      <c r="B1118" s="155" t="s">
        <v>1942</v>
      </c>
      <c r="C1118" s="195">
        <v>45490</v>
      </c>
      <c r="D1118" s="155" t="s">
        <v>440</v>
      </c>
      <c r="E1118" s="149" t="s">
        <v>239</v>
      </c>
      <c r="F1118" s="149" t="s">
        <v>441</v>
      </c>
      <c r="G1118" s="149" t="s">
        <v>442</v>
      </c>
      <c r="H1118" s="149" t="str">
        <f t="shared" si="6"/>
        <v>ANTONIO GANDÚL MERCHÁN</v>
      </c>
      <c r="I1118" s="149" t="s">
        <v>770</v>
      </c>
      <c r="J1118" s="153" t="s">
        <v>455</v>
      </c>
      <c r="K1118" s="149" t="s">
        <v>1986</v>
      </c>
      <c r="L1118" s="168">
        <v>45525</v>
      </c>
      <c r="M1118" s="158"/>
      <c r="N1118" s="163">
        <v>2</v>
      </c>
      <c r="O1118" s="165" t="s">
        <v>446</v>
      </c>
      <c r="P1118" s="161">
        <v>3710</v>
      </c>
      <c r="Q1118" s="196">
        <v>45490</v>
      </c>
      <c r="R1118" s="153"/>
      <c r="S1118" s="153"/>
      <c r="T1118" s="153"/>
      <c r="U1118" s="153"/>
      <c r="V1118" s="153"/>
      <c r="W1118" s="153"/>
      <c r="X1118" s="153"/>
      <c r="Y1118" s="153"/>
      <c r="Z1118" s="153"/>
      <c r="AA1118" s="153"/>
    </row>
    <row r="1119" spans="1:27">
      <c r="A1119" s="154">
        <v>8</v>
      </c>
      <c r="B1119" s="155" t="s">
        <v>1942</v>
      </c>
      <c r="C1119" s="195">
        <v>45457</v>
      </c>
      <c r="D1119" s="155" t="s">
        <v>440</v>
      </c>
      <c r="E1119" s="149" t="s">
        <v>92</v>
      </c>
      <c r="F1119" s="153" t="s">
        <v>441</v>
      </c>
      <c r="G1119" s="149" t="s">
        <v>442</v>
      </c>
      <c r="H1119" s="149" t="str">
        <f t="shared" si="6"/>
        <v>BLANCA MARIA MARTINEZ DURO</v>
      </c>
      <c r="I1119" s="149" t="s">
        <v>1987</v>
      </c>
      <c r="J1119" s="153" t="s">
        <v>462</v>
      </c>
      <c r="K1119" s="149" t="s">
        <v>1988</v>
      </c>
      <c r="L1119" s="157">
        <v>45526</v>
      </c>
      <c r="M1119" s="164"/>
      <c r="N1119" s="163">
        <v>2</v>
      </c>
      <c r="O1119" s="165" t="s">
        <v>466</v>
      </c>
      <c r="P1119" s="161">
        <v>4000</v>
      </c>
      <c r="Q1119" s="196">
        <v>45457</v>
      </c>
      <c r="R1119" s="153"/>
      <c r="S1119" s="153"/>
      <c r="T1119" s="153"/>
      <c r="U1119" s="153"/>
      <c r="V1119" s="153"/>
      <c r="W1119" s="153"/>
      <c r="X1119" s="153"/>
      <c r="Y1119" s="153"/>
      <c r="Z1119" s="153"/>
      <c r="AA1119" s="153"/>
    </row>
    <row r="1120" spans="1:27">
      <c r="A1120" s="154">
        <v>8</v>
      </c>
      <c r="B1120" s="155" t="s">
        <v>1942</v>
      </c>
      <c r="C1120" s="195">
        <v>45478</v>
      </c>
      <c r="D1120" s="155" t="s">
        <v>440</v>
      </c>
      <c r="E1120" s="149" t="s">
        <v>501</v>
      </c>
      <c r="F1120" s="153" t="s">
        <v>441</v>
      </c>
      <c r="G1120" s="149" t="s">
        <v>442</v>
      </c>
      <c r="H1120" s="149" t="str">
        <f t="shared" si="6"/>
        <v>FERNANDO SALAZAR BARCELONA</v>
      </c>
      <c r="I1120" s="149" t="s">
        <v>502</v>
      </c>
      <c r="J1120" s="153" t="s">
        <v>548</v>
      </c>
      <c r="K1120" s="149" t="s">
        <v>1989</v>
      </c>
      <c r="L1120" s="168">
        <v>45526</v>
      </c>
      <c r="M1120" s="164"/>
      <c r="N1120" s="163">
        <v>1</v>
      </c>
      <c r="O1120" s="165" t="s">
        <v>513</v>
      </c>
      <c r="P1120" s="161">
        <v>2363.64</v>
      </c>
      <c r="Q1120" s="196">
        <v>45478</v>
      </c>
      <c r="R1120" s="153"/>
      <c r="S1120" s="153"/>
      <c r="T1120" s="153"/>
      <c r="U1120" s="153"/>
      <c r="V1120" s="153"/>
      <c r="W1120" s="153"/>
      <c r="X1120" s="153"/>
      <c r="Y1120" s="153"/>
      <c r="Z1120" s="153"/>
      <c r="AA1120" s="153"/>
    </row>
    <row r="1121" spans="1:27">
      <c r="A1121" s="154">
        <v>8</v>
      </c>
      <c r="B1121" s="155" t="s">
        <v>1942</v>
      </c>
      <c r="C1121" s="195"/>
      <c r="D1121" s="155" t="s">
        <v>440</v>
      </c>
      <c r="E1121" s="149" t="s">
        <v>98</v>
      </c>
      <c r="F1121" s="149" t="s">
        <v>441</v>
      </c>
      <c r="G1121" s="149" t="s">
        <v>442</v>
      </c>
      <c r="H1121" s="149" t="str">
        <f t="shared" si="6"/>
        <v>MARÍA AGUSTINA SEVILLA GARCÍA</v>
      </c>
      <c r="I1121" s="149" t="s">
        <v>538</v>
      </c>
      <c r="J1121" s="153" t="s">
        <v>462</v>
      </c>
      <c r="K1121" s="149" t="s">
        <v>1990</v>
      </c>
      <c r="L1121" s="168">
        <v>45526</v>
      </c>
      <c r="M1121" s="158"/>
      <c r="N1121" s="163">
        <v>2</v>
      </c>
      <c r="O1121" s="165" t="s">
        <v>446</v>
      </c>
      <c r="P1121" s="161">
        <v>3710</v>
      </c>
      <c r="Q1121" s="196"/>
      <c r="R1121" s="153"/>
      <c r="S1121" s="153"/>
      <c r="T1121" s="153"/>
      <c r="U1121" s="153"/>
      <c r="V1121" s="153"/>
      <c r="W1121" s="153"/>
      <c r="X1121" s="153"/>
      <c r="Y1121" s="153"/>
      <c r="Z1121" s="153"/>
      <c r="AA1121" s="153"/>
    </row>
    <row r="1122" spans="1:27">
      <c r="A1122" s="154">
        <v>8</v>
      </c>
      <c r="B1122" s="155" t="s">
        <v>1942</v>
      </c>
      <c r="C1122" s="195">
        <v>45497</v>
      </c>
      <c r="D1122" s="155" t="s">
        <v>440</v>
      </c>
      <c r="E1122" s="149" t="s">
        <v>129</v>
      </c>
      <c r="F1122" s="149" t="s">
        <v>441</v>
      </c>
      <c r="G1122" s="149" t="s">
        <v>442</v>
      </c>
      <c r="H1122" s="149" t="str">
        <f t="shared" si="6"/>
        <v>Rafael Alfonso Hurtado Ruzza</v>
      </c>
      <c r="I1122" s="149" t="s">
        <v>768</v>
      </c>
      <c r="J1122" s="153" t="s">
        <v>516</v>
      </c>
      <c r="K1122" s="149" t="s">
        <v>1991</v>
      </c>
      <c r="L1122" s="168">
        <v>45526</v>
      </c>
      <c r="M1122" s="158"/>
      <c r="N1122" s="163">
        <v>2</v>
      </c>
      <c r="O1122" s="165" t="s">
        <v>446</v>
      </c>
      <c r="P1122" s="161">
        <v>3524.5</v>
      </c>
      <c r="Q1122" s="196">
        <v>45497</v>
      </c>
      <c r="R1122" s="153"/>
      <c r="S1122" s="153"/>
      <c r="T1122" s="153"/>
      <c r="U1122" s="153"/>
      <c r="V1122" s="153"/>
      <c r="W1122" s="153"/>
      <c r="X1122" s="153"/>
      <c r="Y1122" s="153"/>
      <c r="Z1122" s="153"/>
      <c r="AA1122" s="153"/>
    </row>
    <row r="1123" spans="1:27">
      <c r="A1123" s="154">
        <v>8</v>
      </c>
      <c r="B1123" s="155" t="s">
        <v>1942</v>
      </c>
      <c r="C1123" s="195">
        <v>45477</v>
      </c>
      <c r="D1123" s="155" t="s">
        <v>440</v>
      </c>
      <c r="E1123" s="149" t="s">
        <v>471</v>
      </c>
      <c r="F1123" s="149" t="s">
        <v>441</v>
      </c>
      <c r="G1123" s="149" t="s">
        <v>442</v>
      </c>
      <c r="H1123" s="149" t="str">
        <f t="shared" si="6"/>
        <v>CARMEN VALLÉS RODRÍGUEZ</v>
      </c>
      <c r="I1123" s="149" t="s">
        <v>1387</v>
      </c>
      <c r="J1123" s="149" t="s">
        <v>473</v>
      </c>
      <c r="K1123" s="149" t="s">
        <v>1992</v>
      </c>
      <c r="L1123" s="168">
        <v>45526</v>
      </c>
      <c r="M1123" s="158"/>
      <c r="N1123" s="163">
        <v>2</v>
      </c>
      <c r="O1123" s="165" t="s">
        <v>1540</v>
      </c>
      <c r="P1123" s="161">
        <v>3800</v>
      </c>
      <c r="Q1123" s="196">
        <v>45477</v>
      </c>
      <c r="R1123" s="153"/>
      <c r="S1123" s="153"/>
      <c r="T1123" s="153"/>
      <c r="U1123" s="153"/>
      <c r="V1123" s="153"/>
      <c r="W1123" s="153"/>
      <c r="X1123" s="153"/>
      <c r="Y1123" s="153"/>
      <c r="Z1123" s="153"/>
      <c r="AA1123" s="153"/>
    </row>
    <row r="1124" spans="1:27">
      <c r="A1124" s="154">
        <v>8</v>
      </c>
      <c r="B1124" s="155" t="s">
        <v>1942</v>
      </c>
      <c r="C1124" s="195">
        <v>45454</v>
      </c>
      <c r="D1124" s="155" t="s">
        <v>440</v>
      </c>
      <c r="E1124" s="149" t="s">
        <v>525</v>
      </c>
      <c r="F1124" s="149" t="s">
        <v>441</v>
      </c>
      <c r="G1124" s="149" t="s">
        <v>442</v>
      </c>
      <c r="H1124" s="149" t="str">
        <f t="shared" si="6"/>
        <v>MANUEL ESTEVEZ GARCÍA</v>
      </c>
      <c r="I1124" s="149" t="s">
        <v>1409</v>
      </c>
      <c r="J1124" s="149" t="s">
        <v>516</v>
      </c>
      <c r="K1124" s="149" t="s">
        <v>1993</v>
      </c>
      <c r="L1124" s="168">
        <v>45526</v>
      </c>
      <c r="M1124" s="164"/>
      <c r="N1124" s="163">
        <v>1</v>
      </c>
      <c r="O1124" s="165" t="s">
        <v>446</v>
      </c>
      <c r="P1124" s="161">
        <v>1681.82</v>
      </c>
      <c r="Q1124" s="196">
        <v>45454</v>
      </c>
      <c r="R1124" s="153"/>
      <c r="S1124" s="153"/>
      <c r="T1124" s="153"/>
      <c r="U1124" s="153"/>
      <c r="V1124" s="153"/>
      <c r="W1124" s="153"/>
      <c r="X1124" s="153"/>
      <c r="Y1124" s="153"/>
      <c r="Z1124" s="153"/>
      <c r="AA1124" s="153"/>
    </row>
    <row r="1125" spans="1:27">
      <c r="A1125" s="154">
        <v>8</v>
      </c>
      <c r="B1125" s="155" t="s">
        <v>1942</v>
      </c>
      <c r="C1125" s="195">
        <v>45469</v>
      </c>
      <c r="D1125" s="155" t="s">
        <v>440</v>
      </c>
      <c r="E1125" s="149" t="s">
        <v>501</v>
      </c>
      <c r="F1125" s="153" t="s">
        <v>441</v>
      </c>
      <c r="G1125" s="149" t="s">
        <v>442</v>
      </c>
      <c r="H1125" s="149" t="str">
        <f t="shared" si="6"/>
        <v>FERNANDO SALAZAR BARCELONA</v>
      </c>
      <c r="I1125" s="149" t="s">
        <v>502</v>
      </c>
      <c r="J1125" s="153" t="s">
        <v>548</v>
      </c>
      <c r="K1125" s="149" t="s">
        <v>1994</v>
      </c>
      <c r="L1125" s="168">
        <v>45527</v>
      </c>
      <c r="M1125" s="164"/>
      <c r="N1125" s="163">
        <v>2</v>
      </c>
      <c r="O1125" s="165" t="s">
        <v>446</v>
      </c>
      <c r="P1125" s="161">
        <v>3454.55</v>
      </c>
      <c r="Q1125" s="196">
        <v>45469</v>
      </c>
      <c r="R1125" s="153"/>
      <c r="S1125" s="153"/>
      <c r="T1125" s="153"/>
      <c r="U1125" s="153"/>
      <c r="V1125" s="153"/>
      <c r="W1125" s="153"/>
      <c r="X1125" s="153"/>
      <c r="Y1125" s="153"/>
      <c r="Z1125" s="153"/>
      <c r="AA1125" s="153"/>
    </row>
    <row r="1126" spans="1:27">
      <c r="A1126" s="154">
        <v>8</v>
      </c>
      <c r="B1126" s="155" t="s">
        <v>1942</v>
      </c>
      <c r="C1126" s="195">
        <v>45476</v>
      </c>
      <c r="D1126" s="155" t="s">
        <v>440</v>
      </c>
      <c r="E1126" s="149" t="s">
        <v>129</v>
      </c>
      <c r="F1126" s="149" t="s">
        <v>441</v>
      </c>
      <c r="G1126" s="149" t="s">
        <v>442</v>
      </c>
      <c r="H1126" s="149" t="str">
        <f t="shared" si="6"/>
        <v>ANA QUINTANA SANJUAN</v>
      </c>
      <c r="I1126" s="149" t="s">
        <v>925</v>
      </c>
      <c r="J1126" s="149" t="s">
        <v>516</v>
      </c>
      <c r="K1126" s="149" t="s">
        <v>1995</v>
      </c>
      <c r="L1126" s="168">
        <v>45527</v>
      </c>
      <c r="M1126" s="158"/>
      <c r="N1126" s="163">
        <v>1</v>
      </c>
      <c r="O1126" s="165" t="s">
        <v>449</v>
      </c>
      <c r="P1126" s="161">
        <v>1636.54</v>
      </c>
      <c r="Q1126" s="196">
        <v>45476</v>
      </c>
      <c r="R1126" s="153"/>
      <c r="S1126" s="153"/>
      <c r="T1126" s="153"/>
      <c r="U1126" s="153"/>
      <c r="V1126" s="153"/>
      <c r="W1126" s="153"/>
      <c r="X1126" s="153"/>
      <c r="Y1126" s="153"/>
      <c r="Z1126" s="153"/>
      <c r="AA1126" s="153"/>
    </row>
    <row r="1127" spans="1:27">
      <c r="A1127" s="154">
        <v>8</v>
      </c>
      <c r="B1127" s="155" t="s">
        <v>1942</v>
      </c>
      <c r="C1127" s="195">
        <v>45488</v>
      </c>
      <c r="D1127" s="155" t="s">
        <v>440</v>
      </c>
      <c r="E1127" s="149" t="s">
        <v>506</v>
      </c>
      <c r="F1127" s="149" t="s">
        <v>441</v>
      </c>
      <c r="G1127" s="149" t="s">
        <v>442</v>
      </c>
      <c r="H1127" s="149" t="str">
        <f t="shared" si="6"/>
        <v>LUIS MIGUEL RINCÓN ESTEBAN</v>
      </c>
      <c r="I1127" s="149" t="s">
        <v>1033</v>
      </c>
      <c r="J1127" s="153" t="s">
        <v>473</v>
      </c>
      <c r="K1127" s="149" t="s">
        <v>1996</v>
      </c>
      <c r="L1127" s="168">
        <v>45527</v>
      </c>
      <c r="M1127" s="164"/>
      <c r="N1127" s="163">
        <v>2</v>
      </c>
      <c r="O1127" s="165" t="s">
        <v>446</v>
      </c>
      <c r="P1127" s="161">
        <v>3604.55</v>
      </c>
      <c r="Q1127" s="196">
        <v>45488</v>
      </c>
      <c r="R1127" s="153"/>
      <c r="S1127" s="153"/>
      <c r="T1127" s="153"/>
      <c r="U1127" s="153"/>
      <c r="V1127" s="153"/>
      <c r="W1127" s="153"/>
      <c r="X1127" s="153"/>
      <c r="Y1127" s="153"/>
      <c r="Z1127" s="153"/>
      <c r="AA1127" s="153"/>
    </row>
    <row r="1128" spans="1:27">
      <c r="A1128" s="154">
        <v>8</v>
      </c>
      <c r="B1128" s="155" t="s">
        <v>1942</v>
      </c>
      <c r="C1128" s="195">
        <v>45496</v>
      </c>
      <c r="D1128" s="155" t="s">
        <v>440</v>
      </c>
      <c r="E1128" s="149" t="s">
        <v>145</v>
      </c>
      <c r="F1128" s="153" t="s">
        <v>441</v>
      </c>
      <c r="G1128" s="149" t="s">
        <v>442</v>
      </c>
      <c r="H1128" s="149" t="str">
        <f t="shared" si="6"/>
        <v>DARÍO AGUDELO GARCÍA</v>
      </c>
      <c r="I1128" s="149" t="s">
        <v>536</v>
      </c>
      <c r="J1128" s="153" t="s">
        <v>532</v>
      </c>
      <c r="K1128" s="149" t="s">
        <v>1997</v>
      </c>
      <c r="L1128" s="168">
        <v>45530</v>
      </c>
      <c r="M1128" s="164"/>
      <c r="N1128" s="163">
        <v>2</v>
      </c>
      <c r="O1128" s="165" t="s">
        <v>449</v>
      </c>
      <c r="P1128" s="161">
        <v>2888.18</v>
      </c>
      <c r="Q1128" s="196">
        <v>45496</v>
      </c>
      <c r="R1128" s="153"/>
      <c r="S1128" s="153"/>
      <c r="T1128" s="153"/>
      <c r="U1128" s="153"/>
      <c r="V1128" s="153"/>
      <c r="W1128" s="153"/>
      <c r="X1128" s="153"/>
      <c r="Y1128" s="153"/>
      <c r="Z1128" s="153"/>
      <c r="AA1128" s="153"/>
    </row>
    <row r="1129" spans="1:27">
      <c r="A1129" s="154">
        <v>8</v>
      </c>
      <c r="B1129" s="155" t="s">
        <v>1942</v>
      </c>
      <c r="C1129" s="195">
        <v>45475</v>
      </c>
      <c r="D1129" s="155" t="s">
        <v>440</v>
      </c>
      <c r="E1129" s="149" t="s">
        <v>312</v>
      </c>
      <c r="F1129" s="149" t="s">
        <v>441</v>
      </c>
      <c r="G1129" s="149" t="s">
        <v>442</v>
      </c>
      <c r="H1129" s="149" t="str">
        <f t="shared" si="6"/>
        <v>NO REUERDA ORL</v>
      </c>
      <c r="I1129" s="149" t="s">
        <v>469</v>
      </c>
      <c r="J1129" s="153" t="s">
        <v>455</v>
      </c>
      <c r="K1129" s="149" t="s">
        <v>1998</v>
      </c>
      <c r="L1129" s="168">
        <v>45530</v>
      </c>
      <c r="M1129" s="164"/>
      <c r="N1129" s="163">
        <v>2</v>
      </c>
      <c r="O1129" s="165" t="s">
        <v>449</v>
      </c>
      <c r="P1129" s="161">
        <v>2888.18</v>
      </c>
      <c r="Q1129" s="196">
        <v>45475</v>
      </c>
      <c r="R1129" s="153"/>
      <c r="S1129" s="153"/>
      <c r="T1129" s="153"/>
      <c r="U1129" s="153"/>
      <c r="V1129" s="153"/>
      <c r="W1129" s="153"/>
      <c r="X1129" s="153"/>
      <c r="Y1129" s="153"/>
      <c r="Z1129" s="153"/>
      <c r="AA1129" s="153"/>
    </row>
    <row r="1130" spans="1:27">
      <c r="A1130" s="154">
        <v>8</v>
      </c>
      <c r="B1130" s="155" t="s">
        <v>1942</v>
      </c>
      <c r="C1130" s="195"/>
      <c r="D1130" s="155" t="s">
        <v>440</v>
      </c>
      <c r="E1130" s="149" t="s">
        <v>145</v>
      </c>
      <c r="F1130" s="153" t="s">
        <v>441</v>
      </c>
      <c r="G1130" s="149" t="s">
        <v>442</v>
      </c>
      <c r="H1130" s="149" t="str">
        <f t="shared" si="6"/>
        <v>AINA BRUNET</v>
      </c>
      <c r="I1130" s="149" t="s">
        <v>1999</v>
      </c>
      <c r="J1130" s="153" t="s">
        <v>532</v>
      </c>
      <c r="K1130" s="149" t="s">
        <v>2000</v>
      </c>
      <c r="L1130" s="168">
        <v>45531</v>
      </c>
      <c r="M1130" s="164"/>
      <c r="N1130" s="163">
        <v>2</v>
      </c>
      <c r="O1130" s="165" t="s">
        <v>446</v>
      </c>
      <c r="P1130" s="161">
        <v>3524.5</v>
      </c>
      <c r="Q1130" s="196"/>
      <c r="R1130" s="153"/>
      <c r="S1130" s="153"/>
      <c r="T1130" s="153"/>
      <c r="U1130" s="153"/>
      <c r="V1130" s="153"/>
      <c r="W1130" s="153"/>
      <c r="X1130" s="153"/>
      <c r="Y1130" s="153"/>
      <c r="Z1130" s="153"/>
      <c r="AA1130" s="153"/>
    </row>
    <row r="1131" spans="1:27">
      <c r="A1131" s="154">
        <v>8</v>
      </c>
      <c r="B1131" s="155" t="s">
        <v>1942</v>
      </c>
      <c r="C1131" s="195">
        <v>45497</v>
      </c>
      <c r="D1131" s="155" t="s">
        <v>440</v>
      </c>
      <c r="E1131" s="149" t="s">
        <v>122</v>
      </c>
      <c r="F1131" s="153" t="s">
        <v>441</v>
      </c>
      <c r="G1131" s="149" t="s">
        <v>442</v>
      </c>
      <c r="H1131" s="149" t="str">
        <f t="shared" si="6"/>
        <v>JESÚS ATALAYA DÍAZ</v>
      </c>
      <c r="I1131" s="149" t="s">
        <v>799</v>
      </c>
      <c r="J1131" s="153" t="s">
        <v>444</v>
      </c>
      <c r="K1131" s="149" t="s">
        <v>2001</v>
      </c>
      <c r="L1131" s="168">
        <v>45531</v>
      </c>
      <c r="M1131" s="164"/>
      <c r="N1131" s="163">
        <v>2</v>
      </c>
      <c r="O1131" s="165" t="s">
        <v>1540</v>
      </c>
      <c r="P1131" s="161">
        <v>4000</v>
      </c>
      <c r="Q1131" s="196">
        <v>45497</v>
      </c>
      <c r="R1131" s="153"/>
      <c r="S1131" s="153"/>
      <c r="T1131" s="153"/>
      <c r="U1131" s="153"/>
      <c r="V1131" s="153"/>
      <c r="W1131" s="153"/>
      <c r="X1131" s="153"/>
      <c r="Y1131" s="153"/>
      <c r="Z1131" s="153"/>
      <c r="AA1131" s="153"/>
    </row>
    <row r="1132" spans="1:27">
      <c r="A1132" s="154">
        <v>8</v>
      </c>
      <c r="B1132" s="155" t="s">
        <v>1942</v>
      </c>
      <c r="C1132" s="195">
        <v>45484</v>
      </c>
      <c r="D1132" s="155" t="s">
        <v>440</v>
      </c>
      <c r="E1132" s="149" t="s">
        <v>671</v>
      </c>
      <c r="F1132" s="153" t="s">
        <v>441</v>
      </c>
      <c r="G1132" s="149" t="s">
        <v>442</v>
      </c>
      <c r="H1132" s="149" t="str">
        <f t="shared" si="6"/>
        <v>PEDRO JUIZ LÓPEZ</v>
      </c>
      <c r="I1132" s="149" t="s">
        <v>672</v>
      </c>
      <c r="J1132" s="153" t="s">
        <v>516</v>
      </c>
      <c r="K1132" s="149" t="s">
        <v>2002</v>
      </c>
      <c r="L1132" s="168">
        <v>45531</v>
      </c>
      <c r="M1132" s="164"/>
      <c r="N1132" s="163">
        <v>1</v>
      </c>
      <c r="O1132" s="165" t="s">
        <v>446</v>
      </c>
      <c r="P1132" s="161">
        <v>2181.8200000000002</v>
      </c>
      <c r="Q1132" s="196">
        <v>45484</v>
      </c>
      <c r="R1132" s="153"/>
      <c r="S1132" s="153"/>
      <c r="T1132" s="153"/>
      <c r="U1132" s="153"/>
      <c r="V1132" s="153"/>
      <c r="W1132" s="153"/>
      <c r="X1132" s="153"/>
      <c r="Y1132" s="153"/>
      <c r="Z1132" s="153"/>
      <c r="AA1132" s="153"/>
    </row>
    <row r="1133" spans="1:27">
      <c r="A1133" s="154">
        <v>8</v>
      </c>
      <c r="B1133" s="155" t="s">
        <v>1942</v>
      </c>
      <c r="C1133" s="195">
        <v>45467</v>
      </c>
      <c r="D1133" s="155" t="s">
        <v>440</v>
      </c>
      <c r="E1133" s="149" t="s">
        <v>98</v>
      </c>
      <c r="F1133" s="149" t="s">
        <v>441</v>
      </c>
      <c r="G1133" s="149" t="s">
        <v>442</v>
      </c>
      <c r="H1133" s="149" t="str">
        <f t="shared" si="6"/>
        <v>JESÚS MIGUEL INIESTA TURPÍN</v>
      </c>
      <c r="I1133" s="149" t="s">
        <v>594</v>
      </c>
      <c r="J1133" s="153" t="s">
        <v>462</v>
      </c>
      <c r="K1133" s="149" t="s">
        <v>2003</v>
      </c>
      <c r="L1133" s="168">
        <v>45531</v>
      </c>
      <c r="M1133" s="164"/>
      <c r="N1133" s="163">
        <v>2</v>
      </c>
      <c r="O1133" s="165" t="s">
        <v>1540</v>
      </c>
      <c r="P1133" s="161">
        <v>3507.27</v>
      </c>
      <c r="Q1133" s="196">
        <v>45467</v>
      </c>
      <c r="R1133" s="153"/>
      <c r="S1133" s="153"/>
      <c r="T1133" s="153"/>
      <c r="U1133" s="153"/>
      <c r="V1133" s="153"/>
      <c r="W1133" s="153"/>
      <c r="X1133" s="153"/>
      <c r="Y1133" s="153"/>
      <c r="Z1133" s="153"/>
      <c r="AA1133" s="153"/>
    </row>
    <row r="1134" spans="1:27">
      <c r="A1134" s="154">
        <v>8</v>
      </c>
      <c r="B1134" s="155" t="s">
        <v>1942</v>
      </c>
      <c r="C1134" s="195"/>
      <c r="D1134" s="155" t="s">
        <v>440</v>
      </c>
      <c r="E1134" s="149" t="s">
        <v>239</v>
      </c>
      <c r="F1134" s="149" t="s">
        <v>441</v>
      </c>
      <c r="G1134" s="149" t="s">
        <v>442</v>
      </c>
      <c r="H1134" s="149" t="str">
        <f t="shared" si="6"/>
        <v>MARÍA JOSEFA HERVÁS NÚÑEZ</v>
      </c>
      <c r="I1134" s="149" t="s">
        <v>2004</v>
      </c>
      <c r="J1134" s="153" t="s">
        <v>455</v>
      </c>
      <c r="K1134" s="149" t="s">
        <v>2005</v>
      </c>
      <c r="L1134" s="168">
        <v>45531</v>
      </c>
      <c r="M1134" s="164"/>
      <c r="N1134" s="163">
        <v>2</v>
      </c>
      <c r="O1134" s="165" t="s">
        <v>1540</v>
      </c>
      <c r="P1134" s="161">
        <v>3800</v>
      </c>
      <c r="Q1134" s="196"/>
      <c r="R1134" s="153"/>
      <c r="S1134" s="153"/>
      <c r="T1134" s="153"/>
      <c r="U1134" s="153"/>
      <c r="V1134" s="153"/>
      <c r="W1134" s="153"/>
      <c r="X1134" s="153"/>
      <c r="Y1134" s="153"/>
      <c r="Z1134" s="153"/>
      <c r="AA1134" s="153"/>
    </row>
    <row r="1135" spans="1:27">
      <c r="A1135" s="154">
        <v>8</v>
      </c>
      <c r="B1135" s="155" t="s">
        <v>1942</v>
      </c>
      <c r="C1135" s="195">
        <v>45474</v>
      </c>
      <c r="D1135" s="155" t="s">
        <v>440</v>
      </c>
      <c r="E1135" s="149" t="s">
        <v>317</v>
      </c>
      <c r="F1135" s="153" t="s">
        <v>441</v>
      </c>
      <c r="G1135" s="149" t="s">
        <v>442</v>
      </c>
      <c r="H1135" s="149" t="str">
        <f t="shared" si="6"/>
        <v>CRISTINA MUÑOZ PINTO</v>
      </c>
      <c r="I1135" s="149" t="s">
        <v>899</v>
      </c>
      <c r="J1135" s="153" t="s">
        <v>462</v>
      </c>
      <c r="K1135" s="149" t="s">
        <v>2006</v>
      </c>
      <c r="L1135" s="157">
        <v>45532</v>
      </c>
      <c r="M1135" s="164"/>
      <c r="N1135" s="163">
        <v>2</v>
      </c>
      <c r="O1135" s="165" t="s">
        <v>449</v>
      </c>
      <c r="P1135" s="161">
        <v>2888.18</v>
      </c>
      <c r="Q1135" s="196">
        <v>45474</v>
      </c>
      <c r="R1135" s="153"/>
      <c r="S1135" s="153"/>
      <c r="T1135" s="153"/>
      <c r="U1135" s="153"/>
      <c r="V1135" s="153"/>
      <c r="W1135" s="153"/>
      <c r="X1135" s="153"/>
      <c r="Y1135" s="153"/>
      <c r="Z1135" s="153"/>
      <c r="AA1135" s="153"/>
    </row>
    <row r="1136" spans="1:27">
      <c r="A1136" s="154">
        <v>8</v>
      </c>
      <c r="B1136" s="155" t="s">
        <v>1942</v>
      </c>
      <c r="C1136" s="195">
        <v>45503</v>
      </c>
      <c r="D1136" s="155" t="s">
        <v>440</v>
      </c>
      <c r="E1136" s="149" t="s">
        <v>145</v>
      </c>
      <c r="F1136" s="153" t="s">
        <v>441</v>
      </c>
      <c r="G1136" s="149" t="s">
        <v>442</v>
      </c>
      <c r="H1136" s="149" t="str">
        <f t="shared" si="6"/>
        <v>MARTA MESALLES RUIZ</v>
      </c>
      <c r="I1136" s="149" t="s">
        <v>2007</v>
      </c>
      <c r="J1136" s="153" t="s">
        <v>532</v>
      </c>
      <c r="K1136" s="149" t="s">
        <v>2008</v>
      </c>
      <c r="L1136" s="168">
        <v>45532</v>
      </c>
      <c r="M1136" s="164"/>
      <c r="N1136" s="163">
        <v>2</v>
      </c>
      <c r="O1136" s="165" t="s">
        <v>449</v>
      </c>
      <c r="P1136" s="161">
        <v>2888.18</v>
      </c>
      <c r="Q1136" s="196">
        <v>45503</v>
      </c>
      <c r="R1136" s="153"/>
      <c r="S1136" s="153"/>
      <c r="T1136" s="153"/>
      <c r="U1136" s="153"/>
      <c r="V1136" s="153"/>
      <c r="W1136" s="153"/>
      <c r="X1136" s="153"/>
      <c r="Y1136" s="153"/>
      <c r="Z1136" s="153"/>
      <c r="AA1136" s="153"/>
    </row>
    <row r="1137" spans="1:27">
      <c r="A1137" s="154">
        <v>8</v>
      </c>
      <c r="B1137" s="155" t="s">
        <v>1942</v>
      </c>
      <c r="C1137" s="195"/>
      <c r="D1137" s="155" t="s">
        <v>440</v>
      </c>
      <c r="E1137" s="149" t="s">
        <v>98</v>
      </c>
      <c r="F1137" s="149" t="s">
        <v>441</v>
      </c>
      <c r="G1137" s="149" t="s">
        <v>442</v>
      </c>
      <c r="H1137" s="149" t="str">
        <f t="shared" si="6"/>
        <v>ENRIQUE VIVIENTE RODRÍGUEZ</v>
      </c>
      <c r="I1137" s="149" t="s">
        <v>844</v>
      </c>
      <c r="J1137" s="153" t="s">
        <v>462</v>
      </c>
      <c r="K1137" s="149" t="s">
        <v>2009</v>
      </c>
      <c r="L1137" s="168">
        <v>45532</v>
      </c>
      <c r="M1137" s="164"/>
      <c r="N1137" s="163">
        <v>1</v>
      </c>
      <c r="O1137" s="165" t="s">
        <v>513</v>
      </c>
      <c r="P1137" s="161">
        <v>2230</v>
      </c>
      <c r="Q1137" s="196"/>
      <c r="R1137" s="153"/>
      <c r="S1137" s="153"/>
      <c r="T1137" s="153"/>
      <c r="U1137" s="153"/>
      <c r="V1137" s="153"/>
      <c r="W1137" s="153"/>
      <c r="X1137" s="153"/>
      <c r="Y1137" s="153"/>
      <c r="Z1137" s="153"/>
      <c r="AA1137" s="153"/>
    </row>
    <row r="1138" spans="1:27">
      <c r="A1138" s="154">
        <v>8</v>
      </c>
      <c r="B1138" s="155" t="s">
        <v>1942</v>
      </c>
      <c r="C1138" s="195">
        <v>45481</v>
      </c>
      <c r="D1138" s="155" t="s">
        <v>440</v>
      </c>
      <c r="E1138" s="149" t="s">
        <v>122</v>
      </c>
      <c r="F1138" s="153" t="s">
        <v>441</v>
      </c>
      <c r="G1138" s="149" t="s">
        <v>442</v>
      </c>
      <c r="H1138" s="149" t="str">
        <f t="shared" si="6"/>
        <v>VIRGINIA DÍAZ GUERRERO</v>
      </c>
      <c r="I1138" s="149" t="s">
        <v>2010</v>
      </c>
      <c r="J1138" s="153" t="s">
        <v>444</v>
      </c>
      <c r="K1138" s="149" t="s">
        <v>2011</v>
      </c>
      <c r="L1138" s="168">
        <v>45533</v>
      </c>
      <c r="M1138" s="164"/>
      <c r="N1138" s="163">
        <v>2</v>
      </c>
      <c r="O1138" s="165" t="s">
        <v>513</v>
      </c>
      <c r="P1138" s="161">
        <v>4400</v>
      </c>
      <c r="Q1138" s="196">
        <v>45481</v>
      </c>
      <c r="R1138" s="153"/>
      <c r="S1138" s="153"/>
      <c r="T1138" s="153"/>
      <c r="U1138" s="153"/>
      <c r="V1138" s="153"/>
      <c r="W1138" s="153"/>
      <c r="X1138" s="153"/>
      <c r="Y1138" s="153"/>
      <c r="Z1138" s="153"/>
      <c r="AA1138" s="153"/>
    </row>
    <row r="1139" spans="1:27">
      <c r="A1139" s="154">
        <v>8</v>
      </c>
      <c r="B1139" s="155" t="s">
        <v>1942</v>
      </c>
      <c r="C1139" s="195">
        <v>45524</v>
      </c>
      <c r="D1139" s="155" t="s">
        <v>440</v>
      </c>
      <c r="E1139" s="149" t="s">
        <v>856</v>
      </c>
      <c r="F1139" s="153" t="s">
        <v>441</v>
      </c>
      <c r="G1139" s="149" t="s">
        <v>442</v>
      </c>
      <c r="H1139" s="149" t="str">
        <f t="shared" si="6"/>
        <v>GERARDO MARTIN SIGUENZA</v>
      </c>
      <c r="I1139" s="149" t="s">
        <v>1382</v>
      </c>
      <c r="J1139" s="153" t="s">
        <v>473</v>
      </c>
      <c r="K1139" s="149" t="s">
        <v>2012</v>
      </c>
      <c r="L1139" s="168">
        <v>45533</v>
      </c>
      <c r="M1139" s="164"/>
      <c r="N1139" s="163">
        <v>2</v>
      </c>
      <c r="O1139" s="165" t="s">
        <v>446</v>
      </c>
      <c r="P1139" s="161">
        <v>3710</v>
      </c>
      <c r="Q1139" s="196">
        <v>45524</v>
      </c>
      <c r="R1139" s="153"/>
      <c r="S1139" s="153"/>
      <c r="T1139" s="153"/>
      <c r="U1139" s="153"/>
      <c r="V1139" s="153"/>
      <c r="W1139" s="153"/>
      <c r="X1139" s="153"/>
      <c r="Y1139" s="153"/>
      <c r="Z1139" s="153"/>
      <c r="AA1139" s="153"/>
    </row>
    <row r="1140" spans="1:27">
      <c r="A1140" s="154">
        <v>8</v>
      </c>
      <c r="B1140" s="155" t="s">
        <v>1942</v>
      </c>
      <c r="C1140" s="195">
        <v>45442</v>
      </c>
      <c r="D1140" s="155" t="s">
        <v>440</v>
      </c>
      <c r="E1140" s="149" t="s">
        <v>314</v>
      </c>
      <c r="F1140" s="149" t="s">
        <v>441</v>
      </c>
      <c r="G1140" s="149" t="s">
        <v>442</v>
      </c>
      <c r="H1140" s="149" t="str">
        <f t="shared" si="6"/>
        <v>VÍCTOR JOSÉ GONZÁLEZ ARIAS</v>
      </c>
      <c r="I1140" s="199" t="s">
        <v>2013</v>
      </c>
      <c r="J1140" s="153" t="s">
        <v>444</v>
      </c>
      <c r="K1140" s="149" t="s">
        <v>2014</v>
      </c>
      <c r="L1140" s="168">
        <v>45533</v>
      </c>
      <c r="M1140" s="164"/>
      <c r="N1140" s="163">
        <v>2</v>
      </c>
      <c r="O1140" s="165" t="s">
        <v>1540</v>
      </c>
      <c r="P1140" s="161">
        <v>3507.27</v>
      </c>
      <c r="Q1140" s="196">
        <v>45442</v>
      </c>
      <c r="R1140" s="153"/>
      <c r="S1140" s="153"/>
      <c r="T1140" s="153"/>
      <c r="U1140" s="153"/>
      <c r="V1140" s="153"/>
      <c r="W1140" s="153"/>
      <c r="X1140" s="153"/>
      <c r="Y1140" s="153"/>
      <c r="Z1140" s="153"/>
      <c r="AA1140" s="153"/>
    </row>
    <row r="1141" spans="1:27">
      <c r="A1141" s="154">
        <v>8</v>
      </c>
      <c r="B1141" s="155" t="s">
        <v>1942</v>
      </c>
      <c r="C1141" s="195">
        <v>45488</v>
      </c>
      <c r="D1141" s="155" t="s">
        <v>440</v>
      </c>
      <c r="E1141" s="149" t="s">
        <v>506</v>
      </c>
      <c r="F1141" s="149" t="s">
        <v>441</v>
      </c>
      <c r="G1141" s="149" t="s">
        <v>442</v>
      </c>
      <c r="H1141" s="149" t="str">
        <f t="shared" si="6"/>
        <v>JOSE ANTONIO SANCIPRIANO HERNÁNDEZ</v>
      </c>
      <c r="I1141" s="149" t="s">
        <v>2015</v>
      </c>
      <c r="J1141" s="153" t="s">
        <v>473</v>
      </c>
      <c r="K1141" s="149" t="s">
        <v>2016</v>
      </c>
      <c r="L1141" s="168">
        <v>45533</v>
      </c>
      <c r="M1141" s="158"/>
      <c r="N1141" s="163">
        <v>2</v>
      </c>
      <c r="O1141" s="165" t="s">
        <v>446</v>
      </c>
      <c r="P1141" s="161">
        <v>3604.55</v>
      </c>
      <c r="Q1141" s="196">
        <v>45488</v>
      </c>
      <c r="R1141" s="153"/>
      <c r="S1141" s="153"/>
      <c r="T1141" s="153"/>
      <c r="U1141" s="153"/>
      <c r="V1141" s="153"/>
      <c r="W1141" s="153"/>
      <c r="X1141" s="153"/>
      <c r="Y1141" s="153"/>
      <c r="Z1141" s="153"/>
      <c r="AA1141" s="153"/>
    </row>
    <row r="1142" spans="1:27">
      <c r="A1142" s="154">
        <v>8</v>
      </c>
      <c r="B1142" s="155" t="s">
        <v>1942</v>
      </c>
      <c r="C1142" s="195">
        <v>45462</v>
      </c>
      <c r="D1142" s="155" t="s">
        <v>440</v>
      </c>
      <c r="E1142" s="149" t="s">
        <v>239</v>
      </c>
      <c r="F1142" s="149" t="s">
        <v>441</v>
      </c>
      <c r="G1142" s="149" t="s">
        <v>442</v>
      </c>
      <c r="H1142" s="149" t="str">
        <f t="shared" si="6"/>
        <v>NO REUERDA ORL</v>
      </c>
      <c r="I1142" s="149" t="s">
        <v>469</v>
      </c>
      <c r="J1142" s="153" t="s">
        <v>455</v>
      </c>
      <c r="K1142" s="149" t="s">
        <v>2017</v>
      </c>
      <c r="L1142" s="168">
        <v>45533</v>
      </c>
      <c r="M1142" s="158"/>
      <c r="N1142" s="163">
        <v>2</v>
      </c>
      <c r="O1142" s="165" t="s">
        <v>1540</v>
      </c>
      <c r="P1142" s="161">
        <v>3800</v>
      </c>
      <c r="Q1142" s="196">
        <v>45462</v>
      </c>
      <c r="R1142" s="153"/>
      <c r="S1142" s="153"/>
      <c r="T1142" s="153"/>
      <c r="U1142" s="153"/>
      <c r="V1142" s="153"/>
      <c r="W1142" s="153"/>
      <c r="X1142" s="153"/>
      <c r="Y1142" s="153"/>
      <c r="Z1142" s="153"/>
      <c r="AA1142" s="153"/>
    </row>
    <row r="1143" spans="1:27">
      <c r="A1143" s="154">
        <v>8</v>
      </c>
      <c r="B1143" s="155" t="s">
        <v>1942</v>
      </c>
      <c r="C1143" s="195">
        <v>45490</v>
      </c>
      <c r="D1143" s="155" t="s">
        <v>440</v>
      </c>
      <c r="E1143" s="149" t="s">
        <v>317</v>
      </c>
      <c r="F1143" s="153" t="s">
        <v>441</v>
      </c>
      <c r="G1143" s="149" t="s">
        <v>442</v>
      </c>
      <c r="H1143" s="149" t="str">
        <f t="shared" si="6"/>
        <v>CRISTINA MUÑOZ PINTO</v>
      </c>
      <c r="I1143" s="149" t="s">
        <v>899</v>
      </c>
      <c r="J1143" s="153" t="s">
        <v>462</v>
      </c>
      <c r="K1143" s="149" t="s">
        <v>2018</v>
      </c>
      <c r="L1143" s="157">
        <v>45534</v>
      </c>
      <c r="M1143" s="164"/>
      <c r="N1143" s="163">
        <v>1</v>
      </c>
      <c r="O1143" s="165" t="s">
        <v>449</v>
      </c>
      <c r="P1143" s="161">
        <v>1718.18</v>
      </c>
      <c r="Q1143" s="196">
        <v>45490</v>
      </c>
      <c r="R1143" s="153"/>
      <c r="S1143" s="153"/>
      <c r="T1143" s="153"/>
      <c r="U1143" s="153"/>
      <c r="V1143" s="153"/>
      <c r="W1143" s="153"/>
      <c r="X1143" s="153"/>
      <c r="Y1143" s="153"/>
      <c r="Z1143" s="153"/>
      <c r="AA1143" s="153"/>
    </row>
    <row r="1144" spans="1:27">
      <c r="A1144" s="154">
        <v>8</v>
      </c>
      <c r="B1144" s="155" t="s">
        <v>1942</v>
      </c>
      <c r="C1144" s="195">
        <v>45489</v>
      </c>
      <c r="D1144" s="155" t="s">
        <v>440</v>
      </c>
      <c r="E1144" s="149" t="s">
        <v>138</v>
      </c>
      <c r="F1144" s="153" t="s">
        <v>441</v>
      </c>
      <c r="G1144" s="149" t="s">
        <v>442</v>
      </c>
      <c r="H1144" s="149" t="str">
        <f t="shared" si="6"/>
        <v>EVIANS GÓMEZ DE LA ROSA</v>
      </c>
      <c r="I1144" s="149" t="s">
        <v>794</v>
      </c>
      <c r="J1144" s="153" t="s">
        <v>532</v>
      </c>
      <c r="K1144" s="149" t="s">
        <v>2019</v>
      </c>
      <c r="L1144" s="157">
        <v>45534</v>
      </c>
      <c r="M1144" s="164"/>
      <c r="N1144" s="163">
        <v>2</v>
      </c>
      <c r="O1144" s="165" t="s">
        <v>1540</v>
      </c>
      <c r="P1144" s="161">
        <v>4000</v>
      </c>
      <c r="Q1144" s="196">
        <v>45489</v>
      </c>
      <c r="R1144" s="153"/>
      <c r="S1144" s="153"/>
      <c r="T1144" s="153"/>
      <c r="U1144" s="153"/>
      <c r="V1144" s="153"/>
      <c r="W1144" s="153"/>
      <c r="X1144" s="153"/>
      <c r="Y1144" s="153"/>
      <c r="Z1144" s="153"/>
      <c r="AA1144" s="153"/>
    </row>
    <row r="1145" spans="1:27">
      <c r="A1145" s="154">
        <v>8</v>
      </c>
      <c r="B1145" s="155" t="s">
        <v>1942</v>
      </c>
      <c r="C1145" s="195">
        <v>45477</v>
      </c>
      <c r="D1145" s="155" t="s">
        <v>440</v>
      </c>
      <c r="E1145" s="149" t="s">
        <v>546</v>
      </c>
      <c r="F1145" s="153" t="s">
        <v>441</v>
      </c>
      <c r="G1145" s="149" t="s">
        <v>442</v>
      </c>
      <c r="H1145" s="149" t="str">
        <f t="shared" si="6"/>
        <v>JAVIER GARCÍA GÓMEZ</v>
      </c>
      <c r="I1145" s="149" t="s">
        <v>946</v>
      </c>
      <c r="J1145" s="153" t="s">
        <v>548</v>
      </c>
      <c r="K1145" s="149" t="s">
        <v>2020</v>
      </c>
      <c r="L1145" s="157">
        <v>45534</v>
      </c>
      <c r="M1145" s="164"/>
      <c r="N1145" s="163">
        <v>2</v>
      </c>
      <c r="O1145" s="165" t="s">
        <v>449</v>
      </c>
      <c r="P1145" s="161">
        <v>2770</v>
      </c>
      <c r="Q1145" s="196">
        <v>45477</v>
      </c>
      <c r="R1145" s="153"/>
      <c r="S1145" s="153"/>
      <c r="T1145" s="153"/>
      <c r="U1145" s="153"/>
      <c r="V1145" s="153"/>
      <c r="W1145" s="153"/>
      <c r="X1145" s="153"/>
      <c r="Y1145" s="153"/>
      <c r="Z1145" s="153"/>
      <c r="AA1145" s="153"/>
    </row>
    <row r="1146" spans="1:27">
      <c r="A1146" s="154">
        <v>8</v>
      </c>
      <c r="B1146" s="155" t="s">
        <v>1942</v>
      </c>
      <c r="C1146" s="195">
        <v>45455</v>
      </c>
      <c r="D1146" s="155" t="s">
        <v>440</v>
      </c>
      <c r="E1146" s="149" t="s">
        <v>311</v>
      </c>
      <c r="F1146" s="153" t="s">
        <v>441</v>
      </c>
      <c r="G1146" s="149" t="s">
        <v>442</v>
      </c>
      <c r="H1146" s="149" t="str">
        <f t="shared" si="6"/>
        <v>PALOMA MARTÍN- ARAGÓN MARTIÍ</v>
      </c>
      <c r="I1146" s="149" t="s">
        <v>643</v>
      </c>
      <c r="J1146" s="153" t="s">
        <v>444</v>
      </c>
      <c r="K1146" s="149" t="s">
        <v>2021</v>
      </c>
      <c r="L1146" s="168">
        <v>45534</v>
      </c>
      <c r="M1146" s="164"/>
      <c r="N1146" s="163">
        <v>2</v>
      </c>
      <c r="O1146" s="165" t="s">
        <v>1540</v>
      </c>
      <c r="P1146" s="161">
        <v>3454.55</v>
      </c>
      <c r="Q1146" s="196">
        <v>45455</v>
      </c>
      <c r="R1146" s="153"/>
      <c r="S1146" s="153"/>
      <c r="T1146" s="153"/>
      <c r="U1146" s="153"/>
      <c r="V1146" s="153"/>
      <c r="W1146" s="153"/>
      <c r="X1146" s="153"/>
      <c r="Y1146" s="153"/>
      <c r="Z1146" s="153"/>
      <c r="AA1146" s="153"/>
    </row>
    <row r="1147" spans="1:27">
      <c r="A1147" s="154">
        <v>8</v>
      </c>
      <c r="B1147" s="155" t="s">
        <v>1942</v>
      </c>
      <c r="C1147" s="195">
        <v>45488</v>
      </c>
      <c r="D1147" s="155" t="s">
        <v>440</v>
      </c>
      <c r="E1147" s="149" t="s">
        <v>98</v>
      </c>
      <c r="F1147" s="149" t="s">
        <v>441</v>
      </c>
      <c r="G1147" s="149" t="s">
        <v>442</v>
      </c>
      <c r="H1147" s="149" t="str">
        <f t="shared" si="6"/>
        <v>NO REUERDA ORL</v>
      </c>
      <c r="I1147" s="149" t="s">
        <v>469</v>
      </c>
      <c r="J1147" s="149" t="s">
        <v>462</v>
      </c>
      <c r="K1147" s="149" t="s">
        <v>2022</v>
      </c>
      <c r="L1147" s="168">
        <v>45534</v>
      </c>
      <c r="M1147" s="164"/>
      <c r="N1147" s="163">
        <v>2</v>
      </c>
      <c r="O1147" s="165" t="s">
        <v>449</v>
      </c>
      <c r="P1147" s="161">
        <v>2743.27</v>
      </c>
      <c r="Q1147" s="196">
        <v>45488</v>
      </c>
      <c r="R1147" s="153"/>
      <c r="S1147" s="153"/>
      <c r="T1147" s="153"/>
      <c r="U1147" s="153"/>
      <c r="V1147" s="153"/>
      <c r="W1147" s="153"/>
      <c r="X1147" s="153"/>
      <c r="Y1147" s="153"/>
      <c r="Z1147" s="153"/>
      <c r="AA1147" s="153"/>
    </row>
    <row r="1148" spans="1:27">
      <c r="A1148" s="154">
        <v>9</v>
      </c>
      <c r="B1148" s="155" t="s">
        <v>2023</v>
      </c>
      <c r="C1148" s="195">
        <v>45509</v>
      </c>
      <c r="D1148" s="155" t="s">
        <v>440</v>
      </c>
      <c r="E1148" s="149" t="s">
        <v>501</v>
      </c>
      <c r="F1148" s="153" t="s">
        <v>441</v>
      </c>
      <c r="G1148" s="149" t="s">
        <v>442</v>
      </c>
      <c r="H1148" s="149" t="str">
        <f t="shared" si="6"/>
        <v>FERNANDO SALAZAR BARCELONA</v>
      </c>
      <c r="I1148" s="149" t="s">
        <v>502</v>
      </c>
      <c r="J1148" s="153" t="s">
        <v>548</v>
      </c>
      <c r="K1148" s="149" t="s">
        <v>2024</v>
      </c>
      <c r="L1148" s="168">
        <v>45537</v>
      </c>
      <c r="M1148" s="164"/>
      <c r="N1148" s="163">
        <v>2</v>
      </c>
      <c r="O1148" s="165" t="s">
        <v>446</v>
      </c>
      <c r="P1148" s="161">
        <v>3454.55</v>
      </c>
      <c r="Q1148" s="196">
        <v>45509</v>
      </c>
      <c r="R1148" s="153"/>
      <c r="S1148" s="153"/>
      <c r="T1148" s="153"/>
      <c r="U1148" s="153"/>
      <c r="V1148" s="153"/>
      <c r="W1148" s="153"/>
      <c r="X1148" s="153"/>
      <c r="Y1148" s="153"/>
      <c r="Z1148" s="153"/>
      <c r="AA1148" s="153"/>
    </row>
    <row r="1149" spans="1:27">
      <c r="A1149" s="154">
        <v>9</v>
      </c>
      <c r="B1149" s="155" t="s">
        <v>2023</v>
      </c>
      <c r="C1149" s="195"/>
      <c r="D1149" s="155" t="s">
        <v>440</v>
      </c>
      <c r="E1149" s="149" t="s">
        <v>158</v>
      </c>
      <c r="F1149" s="153" t="s">
        <v>441</v>
      </c>
      <c r="G1149" s="149" t="s">
        <v>441</v>
      </c>
      <c r="H1149" s="149" t="str">
        <f t="shared" si="6"/>
        <v>JAVIER GARCÍA DOMÍNGUEZ</v>
      </c>
      <c r="I1149" s="149" t="s">
        <v>607</v>
      </c>
      <c r="J1149" s="153" t="s">
        <v>444</v>
      </c>
      <c r="K1149" s="149" t="s">
        <v>2025</v>
      </c>
      <c r="L1149" s="168">
        <v>45537</v>
      </c>
      <c r="M1149" s="164"/>
      <c r="N1149" s="163">
        <v>2</v>
      </c>
      <c r="O1149" s="165" t="s">
        <v>446</v>
      </c>
      <c r="P1149" s="161">
        <v>3604.55</v>
      </c>
      <c r="Q1149" s="196"/>
      <c r="R1149" s="153"/>
      <c r="S1149" s="153"/>
      <c r="T1149" s="153"/>
      <c r="U1149" s="153"/>
      <c r="V1149" s="153"/>
      <c r="W1149" s="153"/>
      <c r="X1149" s="153"/>
      <c r="Y1149" s="153"/>
      <c r="Z1149" s="153"/>
      <c r="AA1149" s="153"/>
    </row>
    <row r="1150" spans="1:27">
      <c r="A1150" s="154">
        <v>9</v>
      </c>
      <c r="B1150" s="155" t="s">
        <v>2023</v>
      </c>
      <c r="C1150" s="195">
        <v>45483</v>
      </c>
      <c r="D1150" s="155" t="s">
        <v>440</v>
      </c>
      <c r="E1150" s="149" t="s">
        <v>546</v>
      </c>
      <c r="F1150" s="149" t="s">
        <v>441</v>
      </c>
      <c r="G1150" s="149" t="s">
        <v>442</v>
      </c>
      <c r="H1150" s="149" t="str">
        <f t="shared" si="6"/>
        <v>JAVIER GARCÍA GÓMEZ</v>
      </c>
      <c r="I1150" s="149" t="s">
        <v>946</v>
      </c>
      <c r="J1150" s="149" t="s">
        <v>548</v>
      </c>
      <c r="K1150" s="149" t="s">
        <v>2026</v>
      </c>
      <c r="L1150" s="168">
        <v>45538</v>
      </c>
      <c r="M1150" s="164"/>
      <c r="N1150" s="163">
        <v>2</v>
      </c>
      <c r="O1150" s="165" t="s">
        <v>513</v>
      </c>
      <c r="P1150" s="161">
        <v>4700</v>
      </c>
      <c r="Q1150" s="196">
        <v>45483</v>
      </c>
      <c r="R1150" s="153"/>
      <c r="S1150" s="153"/>
      <c r="T1150" s="153"/>
      <c r="U1150" s="153"/>
      <c r="V1150" s="153"/>
      <c r="W1150" s="153"/>
      <c r="X1150" s="153"/>
      <c r="Y1150" s="153"/>
      <c r="Z1150" s="153"/>
      <c r="AA1150" s="153"/>
    </row>
    <row r="1151" spans="1:27">
      <c r="A1151" s="154">
        <v>9</v>
      </c>
      <c r="B1151" s="155" t="s">
        <v>2023</v>
      </c>
      <c r="C1151" s="195">
        <v>45530</v>
      </c>
      <c r="D1151" s="155" t="s">
        <v>440</v>
      </c>
      <c r="E1151" s="149" t="s">
        <v>856</v>
      </c>
      <c r="F1151" s="153" t="s">
        <v>441</v>
      </c>
      <c r="G1151" s="149" t="s">
        <v>442</v>
      </c>
      <c r="H1151" s="149" t="str">
        <f t="shared" si="6"/>
        <v>GERARDO MARTIN SIGUENZA</v>
      </c>
      <c r="I1151" s="149" t="s">
        <v>1382</v>
      </c>
      <c r="J1151" s="153" t="s">
        <v>473</v>
      </c>
      <c r="K1151" s="149" t="s">
        <v>2027</v>
      </c>
      <c r="L1151" s="168">
        <v>45538</v>
      </c>
      <c r="M1151" s="164"/>
      <c r="N1151" s="163">
        <v>2</v>
      </c>
      <c r="O1151" s="165" t="s">
        <v>449</v>
      </c>
      <c r="P1151" s="161">
        <v>3181.82</v>
      </c>
      <c r="Q1151" s="196">
        <v>45530</v>
      </c>
      <c r="R1151" s="153"/>
      <c r="S1151" s="153"/>
      <c r="T1151" s="153"/>
      <c r="U1151" s="153"/>
      <c r="V1151" s="153"/>
      <c r="W1151" s="153"/>
      <c r="X1151" s="153"/>
      <c r="Y1151" s="153"/>
      <c r="Z1151" s="153"/>
      <c r="AA1151" s="153"/>
    </row>
    <row r="1152" spans="1:27">
      <c r="A1152" s="154">
        <v>9</v>
      </c>
      <c r="B1152" s="155" t="s">
        <v>2023</v>
      </c>
      <c r="C1152" s="195">
        <v>45468</v>
      </c>
      <c r="D1152" s="155" t="s">
        <v>440</v>
      </c>
      <c r="E1152" s="149" t="s">
        <v>308</v>
      </c>
      <c r="F1152" s="149" t="s">
        <v>441</v>
      </c>
      <c r="G1152" s="149" t="s">
        <v>442</v>
      </c>
      <c r="H1152" s="149" t="str">
        <f t="shared" si="6"/>
        <v>ADOLFO TOLEDANO MUÑOZ</v>
      </c>
      <c r="I1152" s="149" t="s">
        <v>556</v>
      </c>
      <c r="J1152" s="149" t="s">
        <v>444</v>
      </c>
      <c r="K1152" s="149" t="s">
        <v>2028</v>
      </c>
      <c r="L1152" s="168">
        <v>45539</v>
      </c>
      <c r="M1152" s="164"/>
      <c r="N1152" s="163">
        <v>2</v>
      </c>
      <c r="O1152" s="165" t="s">
        <v>1540</v>
      </c>
      <c r="P1152" s="161">
        <v>4000</v>
      </c>
      <c r="Q1152" s="196">
        <v>45468</v>
      </c>
      <c r="R1152" s="153"/>
      <c r="S1152" s="153"/>
      <c r="T1152" s="153"/>
      <c r="U1152" s="153"/>
      <c r="V1152" s="153"/>
      <c r="W1152" s="153"/>
      <c r="X1152" s="153"/>
      <c r="Y1152" s="153"/>
      <c r="Z1152" s="153"/>
      <c r="AA1152" s="153"/>
    </row>
    <row r="1153" spans="1:27">
      <c r="A1153" s="154">
        <v>9</v>
      </c>
      <c r="B1153" s="155" t="s">
        <v>2023</v>
      </c>
      <c r="C1153" s="195">
        <v>45504</v>
      </c>
      <c r="D1153" s="155" t="s">
        <v>440</v>
      </c>
      <c r="E1153" s="149" t="s">
        <v>122</v>
      </c>
      <c r="F1153" s="149" t="s">
        <v>441</v>
      </c>
      <c r="G1153" s="149" t="s">
        <v>442</v>
      </c>
      <c r="H1153" s="149" t="str">
        <f t="shared" si="6"/>
        <v>VICENTE MARTÍNEZ SANTOS</v>
      </c>
      <c r="I1153" s="149" t="s">
        <v>558</v>
      </c>
      <c r="J1153" s="149" t="s">
        <v>444</v>
      </c>
      <c r="K1153" s="149" t="s">
        <v>2029</v>
      </c>
      <c r="L1153" s="168">
        <v>45539</v>
      </c>
      <c r="M1153" s="164"/>
      <c r="N1153" s="163">
        <v>2</v>
      </c>
      <c r="O1153" s="165" t="s">
        <v>513</v>
      </c>
      <c r="P1153" s="161">
        <v>4400</v>
      </c>
      <c r="Q1153" s="196">
        <v>45504</v>
      </c>
      <c r="R1153" s="153"/>
      <c r="S1153" s="153"/>
      <c r="T1153" s="153"/>
      <c r="U1153" s="153"/>
      <c r="V1153" s="153"/>
      <c r="W1153" s="153"/>
      <c r="X1153" s="153"/>
      <c r="Y1153" s="153"/>
      <c r="Z1153" s="153"/>
      <c r="AA1153" s="153"/>
    </row>
    <row r="1154" spans="1:27">
      <c r="A1154" s="154">
        <v>9</v>
      </c>
      <c r="B1154" s="155" t="s">
        <v>2023</v>
      </c>
      <c r="C1154" s="195">
        <v>45485</v>
      </c>
      <c r="D1154" s="166" t="s">
        <v>440</v>
      </c>
      <c r="E1154" s="149" t="s">
        <v>314</v>
      </c>
      <c r="F1154" s="153" t="s">
        <v>441</v>
      </c>
      <c r="G1154" s="149" t="s">
        <v>442</v>
      </c>
      <c r="H1154" s="149" t="str">
        <f t="shared" si="6"/>
        <v>VÍCTOR JOSÉ GONZÁLEZ ARIAS</v>
      </c>
      <c r="I1154" s="149" t="s">
        <v>2013</v>
      </c>
      <c r="J1154" s="153" t="s">
        <v>444</v>
      </c>
      <c r="K1154" s="149" t="s">
        <v>2030</v>
      </c>
      <c r="L1154" s="168">
        <v>45539</v>
      </c>
      <c r="M1154" s="164"/>
      <c r="N1154" s="163">
        <v>2</v>
      </c>
      <c r="O1154" s="165" t="s">
        <v>1540</v>
      </c>
      <c r="P1154" s="161">
        <v>3800</v>
      </c>
      <c r="Q1154" s="196">
        <v>45485</v>
      </c>
      <c r="R1154" s="153"/>
      <c r="S1154" s="153"/>
      <c r="T1154" s="153"/>
      <c r="U1154" s="153"/>
      <c r="V1154" s="153"/>
      <c r="W1154" s="153"/>
      <c r="X1154" s="153"/>
      <c r="Y1154" s="153"/>
      <c r="Z1154" s="153"/>
      <c r="AA1154" s="153"/>
    </row>
    <row r="1155" spans="1:27">
      <c r="A1155" s="154">
        <v>9</v>
      </c>
      <c r="B1155" s="155" t="s">
        <v>2023</v>
      </c>
      <c r="C1155" s="195">
        <v>45502</v>
      </c>
      <c r="D1155" s="155" t="s">
        <v>440</v>
      </c>
      <c r="E1155" s="149" t="s">
        <v>475</v>
      </c>
      <c r="F1155" s="153" t="s">
        <v>441</v>
      </c>
      <c r="G1155" s="149" t="s">
        <v>442</v>
      </c>
      <c r="H1155" s="149" t="str">
        <f t="shared" si="6"/>
        <v>MÓNICA GRANDA ROSALES</v>
      </c>
      <c r="I1155" s="149" t="s">
        <v>476</v>
      </c>
      <c r="J1155" s="153" t="s">
        <v>473</v>
      </c>
      <c r="K1155" s="149" t="s">
        <v>2031</v>
      </c>
      <c r="L1155" s="168">
        <v>45539</v>
      </c>
      <c r="M1155" s="164"/>
      <c r="N1155" s="163">
        <v>2</v>
      </c>
      <c r="O1155" s="165" t="s">
        <v>449</v>
      </c>
      <c r="P1155" s="161">
        <v>3090.91</v>
      </c>
      <c r="Q1155" s="196">
        <v>45502</v>
      </c>
      <c r="R1155" s="153"/>
      <c r="S1155" s="153"/>
      <c r="T1155" s="153"/>
      <c r="U1155" s="153"/>
      <c r="V1155" s="153"/>
      <c r="W1155" s="153"/>
      <c r="X1155" s="153"/>
      <c r="Y1155" s="153"/>
      <c r="Z1155" s="153"/>
      <c r="AA1155" s="153"/>
    </row>
    <row r="1156" spans="1:27">
      <c r="A1156" s="154">
        <v>9</v>
      </c>
      <c r="B1156" s="155" t="s">
        <v>2023</v>
      </c>
      <c r="C1156" s="195">
        <v>45470</v>
      </c>
      <c r="D1156" s="155" t="s">
        <v>440</v>
      </c>
      <c r="E1156" s="149" t="s">
        <v>2032</v>
      </c>
      <c r="F1156" s="153" t="s">
        <v>441</v>
      </c>
      <c r="G1156" s="149" t="s">
        <v>442</v>
      </c>
      <c r="H1156" s="149" t="str">
        <f t="shared" si="6"/>
        <v>DIANA LISBETH</v>
      </c>
      <c r="I1156" s="149" t="s">
        <v>681</v>
      </c>
      <c r="J1156" s="153" t="s">
        <v>473</v>
      </c>
      <c r="K1156" s="149" t="s">
        <v>2033</v>
      </c>
      <c r="L1156" s="168">
        <v>45540</v>
      </c>
      <c r="M1156" s="164"/>
      <c r="N1156" s="163">
        <v>2</v>
      </c>
      <c r="O1156" s="165" t="s">
        <v>446</v>
      </c>
      <c r="P1156" s="161">
        <v>3545.45</v>
      </c>
      <c r="Q1156" s="196">
        <v>45470</v>
      </c>
      <c r="R1156" s="153"/>
      <c r="S1156" s="153"/>
      <c r="T1156" s="153"/>
      <c r="U1156" s="153"/>
      <c r="V1156" s="153"/>
      <c r="W1156" s="153"/>
      <c r="X1156" s="153"/>
      <c r="Y1156" s="153"/>
      <c r="Z1156" s="153"/>
      <c r="AA1156" s="153"/>
    </row>
    <row r="1157" spans="1:27">
      <c r="A1157" s="200">
        <v>9</v>
      </c>
      <c r="B1157" s="201" t="s">
        <v>2023</v>
      </c>
      <c r="C1157" s="202">
        <v>45510</v>
      </c>
      <c r="D1157" s="201" t="s">
        <v>440</v>
      </c>
      <c r="E1157" s="167" t="s">
        <v>129</v>
      </c>
      <c r="F1157" s="203" t="s">
        <v>441</v>
      </c>
      <c r="G1157" s="167" t="s">
        <v>442</v>
      </c>
      <c r="H1157" s="149" t="str">
        <f t="shared" si="6"/>
        <v>MOHAMED AL RIFAL AL MASTI</v>
      </c>
      <c r="I1157" s="167" t="s">
        <v>995</v>
      </c>
      <c r="J1157" s="203" t="s">
        <v>516</v>
      </c>
      <c r="K1157" s="167" t="s">
        <v>2034</v>
      </c>
      <c r="L1157" s="204">
        <v>45540</v>
      </c>
      <c r="M1157" s="205"/>
      <c r="N1157" s="173">
        <v>2</v>
      </c>
      <c r="O1157" s="174" t="s">
        <v>446</v>
      </c>
      <c r="P1157" s="175">
        <v>3391.82</v>
      </c>
      <c r="Q1157" s="206">
        <v>45510</v>
      </c>
      <c r="R1157" s="153"/>
      <c r="S1157" s="153"/>
      <c r="T1157" s="153"/>
      <c r="U1157" s="153"/>
      <c r="V1157" s="153"/>
      <c r="W1157" s="153"/>
      <c r="X1157" s="153"/>
      <c r="Y1157" s="153"/>
      <c r="Z1157" s="153"/>
      <c r="AA1157" s="153"/>
    </row>
    <row r="1158" spans="1:27">
      <c r="A1158" s="154">
        <v>9</v>
      </c>
      <c r="B1158" s="155" t="s">
        <v>2023</v>
      </c>
      <c r="C1158" s="195">
        <v>45474</v>
      </c>
      <c r="D1158" s="155" t="s">
        <v>440</v>
      </c>
      <c r="E1158" s="149" t="s">
        <v>239</v>
      </c>
      <c r="F1158" s="153" t="s">
        <v>441</v>
      </c>
      <c r="G1158" s="149" t="s">
        <v>2035</v>
      </c>
      <c r="H1158" s="149" t="str">
        <f t="shared" si="6"/>
        <v>ESTEFANÍA BERROCAL POSTIGO</v>
      </c>
      <c r="I1158" s="149" t="s">
        <v>927</v>
      </c>
      <c r="J1158" s="153" t="s">
        <v>455</v>
      </c>
      <c r="K1158" s="149" t="s">
        <v>2036</v>
      </c>
      <c r="L1158" s="168">
        <v>45540</v>
      </c>
      <c r="M1158" s="164"/>
      <c r="N1158" s="163">
        <v>2</v>
      </c>
      <c r="O1158" s="165" t="s">
        <v>1540</v>
      </c>
      <c r="P1158" s="161">
        <v>3507.27</v>
      </c>
      <c r="Q1158" s="196">
        <v>45474</v>
      </c>
      <c r="R1158" s="153"/>
      <c r="S1158" s="153"/>
      <c r="T1158" s="153"/>
      <c r="U1158" s="153"/>
      <c r="V1158" s="153"/>
      <c r="W1158" s="153"/>
      <c r="X1158" s="153"/>
      <c r="Y1158" s="153"/>
      <c r="Z1158" s="153"/>
      <c r="AA1158" s="153"/>
    </row>
    <row r="1159" spans="1:27">
      <c r="A1159" s="154">
        <v>9</v>
      </c>
      <c r="B1159" s="155" t="s">
        <v>2023</v>
      </c>
      <c r="C1159" s="195">
        <v>45518</v>
      </c>
      <c r="D1159" s="155" t="s">
        <v>440</v>
      </c>
      <c r="E1159" s="149" t="s">
        <v>856</v>
      </c>
      <c r="F1159" s="149" t="s">
        <v>441</v>
      </c>
      <c r="G1159" s="149" t="s">
        <v>442</v>
      </c>
      <c r="H1159" s="149" t="str">
        <f t="shared" si="6"/>
        <v>CARLOS DURÁN DÍEZ</v>
      </c>
      <c r="I1159" s="149" t="s">
        <v>1535</v>
      </c>
      <c r="J1159" s="149" t="s">
        <v>473</v>
      </c>
      <c r="K1159" s="149" t="s">
        <v>2037</v>
      </c>
      <c r="L1159" s="168">
        <v>45541</v>
      </c>
      <c r="M1159" s="164"/>
      <c r="N1159" s="163">
        <v>2</v>
      </c>
      <c r="O1159" s="165" t="s">
        <v>449</v>
      </c>
      <c r="P1159" s="161">
        <v>2909.09</v>
      </c>
      <c r="Q1159" s="196">
        <v>45518</v>
      </c>
      <c r="R1159" s="153"/>
      <c r="S1159" s="153"/>
      <c r="T1159" s="153"/>
      <c r="U1159" s="153"/>
      <c r="V1159" s="153"/>
      <c r="W1159" s="153"/>
      <c r="X1159" s="153"/>
      <c r="Y1159" s="153"/>
      <c r="Z1159" s="153"/>
      <c r="AA1159" s="153"/>
    </row>
    <row r="1160" spans="1:27">
      <c r="A1160" s="154">
        <v>9</v>
      </c>
      <c r="B1160" s="155" t="s">
        <v>2023</v>
      </c>
      <c r="C1160" s="195">
        <v>45513</v>
      </c>
      <c r="D1160" s="155" t="s">
        <v>440</v>
      </c>
      <c r="E1160" s="149" t="s">
        <v>546</v>
      </c>
      <c r="F1160" s="149" t="s">
        <v>441</v>
      </c>
      <c r="G1160" s="149" t="s">
        <v>442</v>
      </c>
      <c r="H1160" s="149" t="str">
        <f t="shared" si="6"/>
        <v>MANUEL CAÑETE DOMÍNGUEZ</v>
      </c>
      <c r="I1160" s="149" t="s">
        <v>1380</v>
      </c>
      <c r="J1160" s="149" t="s">
        <v>548</v>
      </c>
      <c r="K1160" s="149" t="s">
        <v>2038</v>
      </c>
      <c r="L1160" s="168">
        <v>45544</v>
      </c>
      <c r="M1160" s="164"/>
      <c r="N1160" s="163">
        <v>2</v>
      </c>
      <c r="O1160" s="165" t="s">
        <v>466</v>
      </c>
      <c r="P1160" s="161">
        <v>3954.55</v>
      </c>
      <c r="Q1160" s="196">
        <v>45513</v>
      </c>
      <c r="R1160" s="153"/>
      <c r="S1160" s="153"/>
      <c r="T1160" s="153"/>
      <c r="U1160" s="153"/>
      <c r="V1160" s="153"/>
      <c r="W1160" s="153"/>
      <c r="X1160" s="153"/>
      <c r="Y1160" s="153"/>
      <c r="Z1160" s="153"/>
      <c r="AA1160" s="153"/>
    </row>
    <row r="1161" spans="1:27">
      <c r="A1161" s="154">
        <v>9</v>
      </c>
      <c r="B1161" s="155" t="s">
        <v>2023</v>
      </c>
      <c r="C1161" s="195">
        <v>45503</v>
      </c>
      <c r="D1161" s="155" t="s">
        <v>440</v>
      </c>
      <c r="E1161" s="149" t="s">
        <v>164</v>
      </c>
      <c r="F1161" s="153" t="s">
        <v>441</v>
      </c>
      <c r="G1161" s="149" t="s">
        <v>442</v>
      </c>
      <c r="H1161" s="149" t="str">
        <f t="shared" si="6"/>
        <v>Alejandro Harguindey Antoli-Candela</v>
      </c>
      <c r="I1161" s="149" t="s">
        <v>528</v>
      </c>
      <c r="J1161" s="153" t="s">
        <v>444</v>
      </c>
      <c r="K1161" s="149" t="s">
        <v>2039</v>
      </c>
      <c r="L1161" s="168">
        <v>45544</v>
      </c>
      <c r="M1161" s="164"/>
      <c r="N1161" s="163">
        <v>2</v>
      </c>
      <c r="O1161" s="165" t="s">
        <v>1540</v>
      </c>
      <c r="P1161" s="161">
        <v>3118.18</v>
      </c>
      <c r="Q1161" s="196">
        <v>45503</v>
      </c>
      <c r="R1161" s="153"/>
      <c r="S1161" s="153"/>
      <c r="T1161" s="153"/>
      <c r="U1161" s="153"/>
      <c r="V1161" s="153"/>
      <c r="W1161" s="153"/>
      <c r="X1161" s="153"/>
      <c r="Y1161" s="153"/>
      <c r="Z1161" s="153"/>
      <c r="AA1161" s="153"/>
    </row>
    <row r="1162" spans="1:27">
      <c r="A1162" s="154">
        <v>9</v>
      </c>
      <c r="B1162" s="155" t="s">
        <v>2023</v>
      </c>
      <c r="C1162" s="195">
        <v>45516</v>
      </c>
      <c r="D1162" s="155" t="s">
        <v>440</v>
      </c>
      <c r="E1162" s="149" t="s">
        <v>150</v>
      </c>
      <c r="F1162" s="153" t="s">
        <v>441</v>
      </c>
      <c r="G1162" s="149" t="s">
        <v>442</v>
      </c>
      <c r="H1162" s="149" t="str">
        <f t="shared" si="6"/>
        <v>MARTÍN EDUARDO MARCANO ACUÑA</v>
      </c>
      <c r="I1162" s="149" t="s">
        <v>2040</v>
      </c>
      <c r="J1162" s="153" t="s">
        <v>636</v>
      </c>
      <c r="K1162" s="149" t="s">
        <v>2041</v>
      </c>
      <c r="L1162" s="168">
        <v>45544</v>
      </c>
      <c r="M1162" s="164"/>
      <c r="N1162" s="163">
        <v>2</v>
      </c>
      <c r="O1162" s="165" t="s">
        <v>449</v>
      </c>
      <c r="P1162" s="161">
        <v>2743.77</v>
      </c>
      <c r="Q1162" s="196">
        <v>45516</v>
      </c>
      <c r="R1162" s="153"/>
      <c r="S1162" s="153"/>
      <c r="T1162" s="153"/>
      <c r="U1162" s="153"/>
      <c r="V1162" s="153"/>
      <c r="W1162" s="153"/>
      <c r="X1162" s="153"/>
      <c r="Y1162" s="153"/>
      <c r="Z1162" s="153"/>
      <c r="AA1162" s="153"/>
    </row>
    <row r="1163" spans="1:27">
      <c r="A1163" s="154">
        <v>9</v>
      </c>
      <c r="B1163" s="155" t="s">
        <v>2023</v>
      </c>
      <c r="C1163" s="195">
        <v>45510</v>
      </c>
      <c r="D1163" s="155" t="s">
        <v>440</v>
      </c>
      <c r="E1163" s="149" t="s">
        <v>317</v>
      </c>
      <c r="F1163" s="149" t="s">
        <v>441</v>
      </c>
      <c r="G1163" s="149" t="s">
        <v>442</v>
      </c>
      <c r="H1163" s="149" t="str">
        <f t="shared" si="6"/>
        <v>ALICIA MATEO ESPINOSA</v>
      </c>
      <c r="I1163" s="149" t="s">
        <v>574</v>
      </c>
      <c r="J1163" s="149" t="s">
        <v>462</v>
      </c>
      <c r="K1163" s="149" t="s">
        <v>2042</v>
      </c>
      <c r="L1163" s="168">
        <v>45545</v>
      </c>
      <c r="M1163" s="164"/>
      <c r="N1163" s="163">
        <v>2</v>
      </c>
      <c r="O1163" s="165" t="s">
        <v>446</v>
      </c>
      <c r="P1163" s="161">
        <v>3710</v>
      </c>
      <c r="Q1163" s="196">
        <v>45510</v>
      </c>
      <c r="R1163" s="153"/>
      <c r="S1163" s="153"/>
      <c r="T1163" s="153"/>
      <c r="U1163" s="153"/>
      <c r="V1163" s="153"/>
      <c r="W1163" s="153"/>
      <c r="X1163" s="153"/>
      <c r="Y1163" s="153"/>
      <c r="Z1163" s="153"/>
      <c r="AA1163" s="153"/>
    </row>
    <row r="1164" spans="1:27">
      <c r="A1164" s="154">
        <v>9</v>
      </c>
      <c r="B1164" s="155" t="s">
        <v>2023</v>
      </c>
      <c r="C1164" s="195">
        <v>45506</v>
      </c>
      <c r="D1164" s="155" t="s">
        <v>440</v>
      </c>
      <c r="E1164" s="149" t="s">
        <v>315</v>
      </c>
      <c r="F1164" s="153" t="s">
        <v>441</v>
      </c>
      <c r="G1164" s="149" t="s">
        <v>442</v>
      </c>
      <c r="H1164" s="149" t="str">
        <f t="shared" si="6"/>
        <v>MARÍA DEL MAR MEDINA GONZÁLEZ</v>
      </c>
      <c r="I1164" s="149" t="s">
        <v>1514</v>
      </c>
      <c r="J1164" s="153" t="s">
        <v>444</v>
      </c>
      <c r="K1164" s="149" t="s">
        <v>2043</v>
      </c>
      <c r="L1164" s="168">
        <v>45545</v>
      </c>
      <c r="M1164" s="164"/>
      <c r="N1164" s="163">
        <v>2</v>
      </c>
      <c r="O1164" s="165" t="s">
        <v>446</v>
      </c>
      <c r="P1164" s="161">
        <v>3272.73</v>
      </c>
      <c r="Q1164" s="196">
        <v>45506</v>
      </c>
      <c r="R1164" s="153"/>
      <c r="S1164" s="153"/>
      <c r="T1164" s="153"/>
      <c r="U1164" s="153"/>
      <c r="V1164" s="153"/>
      <c r="W1164" s="153"/>
      <c r="X1164" s="153"/>
      <c r="Y1164" s="153"/>
      <c r="Z1164" s="153"/>
      <c r="AA1164" s="153"/>
    </row>
    <row r="1165" spans="1:27">
      <c r="A1165" s="154">
        <v>9</v>
      </c>
      <c r="B1165" s="155" t="s">
        <v>2023</v>
      </c>
      <c r="C1165" s="195">
        <v>45399</v>
      </c>
      <c r="D1165" s="155" t="s">
        <v>440</v>
      </c>
      <c r="E1165" s="149" t="s">
        <v>164</v>
      </c>
      <c r="F1165" s="153" t="s">
        <v>441</v>
      </c>
      <c r="G1165" s="149" t="s">
        <v>442</v>
      </c>
      <c r="H1165" s="149" t="str">
        <f t="shared" si="6"/>
        <v>OSCAR A, SÁNCHEZ VALENZUELA</v>
      </c>
      <c r="I1165" s="167" t="s">
        <v>1369</v>
      </c>
      <c r="J1165" s="153" t="s">
        <v>444</v>
      </c>
      <c r="K1165" s="149" t="s">
        <v>2044</v>
      </c>
      <c r="L1165" s="168">
        <v>45545</v>
      </c>
      <c r="M1165" s="164"/>
      <c r="N1165" s="163">
        <v>2</v>
      </c>
      <c r="O1165" s="165" t="s">
        <v>446</v>
      </c>
      <c r="P1165" s="161">
        <v>3710</v>
      </c>
      <c r="Q1165" s="196">
        <v>45399</v>
      </c>
      <c r="R1165" s="153"/>
      <c r="S1165" s="153"/>
      <c r="T1165" s="153"/>
      <c r="U1165" s="153"/>
      <c r="V1165" s="153"/>
      <c r="W1165" s="153"/>
      <c r="X1165" s="153"/>
      <c r="Y1165" s="153"/>
      <c r="Z1165" s="153"/>
      <c r="AA1165" s="153"/>
    </row>
    <row r="1166" spans="1:27">
      <c r="A1166" s="154">
        <v>9</v>
      </c>
      <c r="B1166" s="155" t="s">
        <v>2023</v>
      </c>
      <c r="C1166" s="195">
        <v>45511</v>
      </c>
      <c r="D1166" s="155" t="s">
        <v>440</v>
      </c>
      <c r="E1166" s="149" t="s">
        <v>501</v>
      </c>
      <c r="F1166" s="153" t="s">
        <v>441</v>
      </c>
      <c r="G1166" s="149" t="s">
        <v>442</v>
      </c>
      <c r="H1166" s="149" t="str">
        <f t="shared" si="6"/>
        <v>CRISTINA IBAÑEZ MUÑOZ</v>
      </c>
      <c r="I1166" s="149" t="s">
        <v>838</v>
      </c>
      <c r="J1166" s="153" t="s">
        <v>548</v>
      </c>
      <c r="K1166" s="149" t="s">
        <v>2045</v>
      </c>
      <c r="L1166" s="168">
        <v>45546</v>
      </c>
      <c r="M1166" s="164"/>
      <c r="N1166" s="163">
        <v>1</v>
      </c>
      <c r="O1166" s="165" t="s">
        <v>513</v>
      </c>
      <c r="P1166" s="161">
        <v>2181.8200000000002</v>
      </c>
      <c r="Q1166" s="196">
        <v>45511</v>
      </c>
      <c r="R1166" s="153"/>
      <c r="S1166" s="153"/>
      <c r="T1166" s="153"/>
      <c r="U1166" s="153"/>
      <c r="V1166" s="153"/>
      <c r="W1166" s="153"/>
      <c r="X1166" s="153"/>
      <c r="Y1166" s="153"/>
      <c r="Z1166" s="153"/>
      <c r="AA1166" s="153"/>
    </row>
    <row r="1167" spans="1:27">
      <c r="A1167" s="154">
        <v>9</v>
      </c>
      <c r="B1167" s="155" t="s">
        <v>2023</v>
      </c>
      <c r="C1167" s="195">
        <v>45520</v>
      </c>
      <c r="D1167" s="155" t="s">
        <v>440</v>
      </c>
      <c r="E1167" s="149" t="s">
        <v>571</v>
      </c>
      <c r="F1167" s="153" t="s">
        <v>441</v>
      </c>
      <c r="G1167" s="149" t="s">
        <v>442</v>
      </c>
      <c r="H1167" s="149" t="str">
        <f t="shared" si="6"/>
        <v>JOSÉ TISNER NIETO</v>
      </c>
      <c r="I1167" s="149" t="s">
        <v>1356</v>
      </c>
      <c r="J1167" s="153" t="s">
        <v>532</v>
      </c>
      <c r="K1167" s="149" t="s">
        <v>2046</v>
      </c>
      <c r="L1167" s="168">
        <v>45546</v>
      </c>
      <c r="M1167" s="164"/>
      <c r="N1167" s="163">
        <v>2</v>
      </c>
      <c r="O1167" s="165" t="s">
        <v>446</v>
      </c>
      <c r="P1167" s="161">
        <v>3636.36</v>
      </c>
      <c r="Q1167" s="196">
        <v>45520</v>
      </c>
      <c r="R1167" s="153"/>
      <c r="S1167" s="153"/>
      <c r="T1167" s="153"/>
      <c r="U1167" s="153"/>
      <c r="V1167" s="153"/>
      <c r="W1167" s="153"/>
      <c r="X1167" s="153"/>
      <c r="Y1167" s="153"/>
      <c r="Z1167" s="153"/>
      <c r="AA1167" s="153"/>
    </row>
    <row r="1168" spans="1:27">
      <c r="A1168" s="154">
        <v>9</v>
      </c>
      <c r="B1168" s="155" t="s">
        <v>2023</v>
      </c>
      <c r="C1168" s="195">
        <v>45504</v>
      </c>
      <c r="D1168" s="155" t="s">
        <v>440</v>
      </c>
      <c r="E1168" s="149" t="s">
        <v>671</v>
      </c>
      <c r="F1168" s="153" t="s">
        <v>441</v>
      </c>
      <c r="G1168" s="149" t="s">
        <v>442</v>
      </c>
      <c r="H1168" s="149" t="str">
        <f t="shared" si="6"/>
        <v>JOSÉ MIGUEL COSTA GONZÁLEZ</v>
      </c>
      <c r="I1168" s="149" t="s">
        <v>1983</v>
      </c>
      <c r="J1168" s="153" t="s">
        <v>516</v>
      </c>
      <c r="K1168" s="149" t="s">
        <v>2047</v>
      </c>
      <c r="L1168" s="168">
        <v>45547</v>
      </c>
      <c r="M1168" s="164"/>
      <c r="N1168" s="163">
        <v>2</v>
      </c>
      <c r="O1168" s="165" t="s">
        <v>446</v>
      </c>
      <c r="P1168" s="161">
        <v>3636.36</v>
      </c>
      <c r="Q1168" s="196">
        <v>45504</v>
      </c>
      <c r="R1168" s="153"/>
      <c r="S1168" s="153"/>
      <c r="T1168" s="153"/>
      <c r="U1168" s="153"/>
      <c r="V1168" s="153"/>
      <c r="W1168" s="153"/>
      <c r="X1168" s="153"/>
      <c r="Y1168" s="153"/>
      <c r="Z1168" s="153"/>
      <c r="AA1168" s="153"/>
    </row>
    <row r="1169" spans="1:27">
      <c r="A1169" s="154">
        <v>9</v>
      </c>
      <c r="B1169" s="155" t="s">
        <v>2023</v>
      </c>
      <c r="C1169" s="195">
        <v>45476</v>
      </c>
      <c r="D1169" s="155" t="s">
        <v>440</v>
      </c>
      <c r="E1169" s="149" t="s">
        <v>475</v>
      </c>
      <c r="F1169" s="153" t="s">
        <v>441</v>
      </c>
      <c r="G1169" s="149" t="s">
        <v>442</v>
      </c>
      <c r="H1169" s="149" t="str">
        <f t="shared" si="6"/>
        <v>DIANA LISBETH</v>
      </c>
      <c r="I1169" s="149" t="s">
        <v>681</v>
      </c>
      <c r="J1169" s="153" t="s">
        <v>473</v>
      </c>
      <c r="K1169" s="149" t="s">
        <v>2048</v>
      </c>
      <c r="L1169" s="168">
        <v>45547</v>
      </c>
      <c r="M1169" s="164"/>
      <c r="N1169" s="163">
        <v>2</v>
      </c>
      <c r="O1169" s="165" t="s">
        <v>518</v>
      </c>
      <c r="P1169" s="161">
        <v>3090.91</v>
      </c>
      <c r="Q1169" s="196">
        <v>45476</v>
      </c>
      <c r="R1169" s="153"/>
      <c r="S1169" s="153"/>
      <c r="T1169" s="153"/>
      <c r="U1169" s="153"/>
      <c r="V1169" s="153"/>
      <c r="W1169" s="153"/>
      <c r="X1169" s="153"/>
      <c r="Y1169" s="153"/>
      <c r="Z1169" s="153"/>
      <c r="AA1169" s="153"/>
    </row>
    <row r="1170" spans="1:27">
      <c r="A1170" s="188">
        <v>9</v>
      </c>
      <c r="B1170" s="167" t="s">
        <v>2023</v>
      </c>
      <c r="C1170" s="171">
        <v>44983</v>
      </c>
      <c r="D1170" s="167" t="s">
        <v>440</v>
      </c>
      <c r="E1170" s="167" t="s">
        <v>311</v>
      </c>
      <c r="F1170" s="167" t="s">
        <v>2049</v>
      </c>
      <c r="G1170" s="167" t="s">
        <v>583</v>
      </c>
      <c r="H1170" s="149" t="str">
        <f t="shared" si="6"/>
        <v>VICTORIA GARCÍA PECES</v>
      </c>
      <c r="I1170" s="167" t="s">
        <v>488</v>
      </c>
      <c r="J1170" s="167" t="s">
        <v>444</v>
      </c>
      <c r="K1170" s="177" t="s">
        <v>489</v>
      </c>
      <c r="L1170" s="171">
        <v>45547</v>
      </c>
      <c r="M1170" s="149"/>
      <c r="N1170" s="159">
        <v>1</v>
      </c>
      <c r="O1170" s="149" t="s">
        <v>446</v>
      </c>
      <c r="P1170" s="159">
        <v>1470</v>
      </c>
      <c r="Q1170" s="157">
        <v>44983</v>
      </c>
      <c r="R1170" s="153"/>
      <c r="S1170" s="153"/>
      <c r="T1170" s="153"/>
      <c r="U1170" s="153"/>
      <c r="V1170" s="153"/>
      <c r="W1170" s="153"/>
      <c r="X1170" s="153"/>
      <c r="Y1170" s="153"/>
      <c r="Z1170" s="153"/>
      <c r="AA1170" s="153"/>
    </row>
    <row r="1171" spans="1:27">
      <c r="A1171" s="154">
        <v>9</v>
      </c>
      <c r="B1171" s="155" t="s">
        <v>2023</v>
      </c>
      <c r="C1171" s="195">
        <v>45538</v>
      </c>
      <c r="D1171" s="155" t="s">
        <v>440</v>
      </c>
      <c r="E1171" s="149" t="s">
        <v>315</v>
      </c>
      <c r="F1171" s="153" t="s">
        <v>441</v>
      </c>
      <c r="G1171" s="149" t="s">
        <v>442</v>
      </c>
      <c r="H1171" s="149" t="str">
        <f t="shared" si="6"/>
        <v>MARÍA DEL MAR MEDINA GONZÁLEZ</v>
      </c>
      <c r="I1171" s="149" t="s">
        <v>1514</v>
      </c>
      <c r="J1171" s="153" t="s">
        <v>444</v>
      </c>
      <c r="K1171" s="149" t="s">
        <v>2050</v>
      </c>
      <c r="L1171" s="168">
        <v>45551</v>
      </c>
      <c r="M1171" s="164"/>
      <c r="N1171" s="163">
        <v>2</v>
      </c>
      <c r="O1171" s="165" t="s">
        <v>513</v>
      </c>
      <c r="P1171" s="161">
        <v>4400</v>
      </c>
      <c r="Q1171" s="196">
        <v>45538</v>
      </c>
      <c r="R1171" s="153"/>
      <c r="S1171" s="153"/>
      <c r="T1171" s="153"/>
      <c r="U1171" s="153"/>
      <c r="V1171" s="153"/>
      <c r="W1171" s="153"/>
      <c r="X1171" s="153"/>
      <c r="Y1171" s="153"/>
      <c r="Z1171" s="153"/>
      <c r="AA1171" s="153"/>
    </row>
    <row r="1172" spans="1:27">
      <c r="A1172" s="154">
        <v>9</v>
      </c>
      <c r="B1172" s="155" t="s">
        <v>2023</v>
      </c>
      <c r="C1172" s="195">
        <v>45503</v>
      </c>
      <c r="D1172" s="155" t="s">
        <v>440</v>
      </c>
      <c r="E1172" s="149" t="s">
        <v>158</v>
      </c>
      <c r="F1172" s="153" t="s">
        <v>441</v>
      </c>
      <c r="G1172" s="149" t="s">
        <v>441</v>
      </c>
      <c r="H1172" s="149" t="str">
        <f t="shared" si="6"/>
        <v>CARLOS BARAJAS DEL ROSAL</v>
      </c>
      <c r="I1172" s="149" t="s">
        <v>660</v>
      </c>
      <c r="J1172" s="153" t="s">
        <v>548</v>
      </c>
      <c r="K1172" s="149" t="s">
        <v>2051</v>
      </c>
      <c r="L1172" s="168">
        <v>45551</v>
      </c>
      <c r="M1172" s="164"/>
      <c r="N1172" s="163">
        <v>1</v>
      </c>
      <c r="O1172" s="165" t="s">
        <v>1540</v>
      </c>
      <c r="P1172" s="161">
        <v>2400</v>
      </c>
      <c r="Q1172" s="196">
        <v>45503</v>
      </c>
      <c r="R1172" s="153"/>
      <c r="S1172" s="153"/>
      <c r="T1172" s="153"/>
      <c r="U1172" s="153"/>
      <c r="V1172" s="153"/>
      <c r="W1172" s="153"/>
      <c r="X1172" s="153"/>
      <c r="Y1172" s="153"/>
      <c r="Z1172" s="153"/>
      <c r="AA1172" s="153"/>
    </row>
    <row r="1173" spans="1:27">
      <c r="A1173" s="154">
        <v>9</v>
      </c>
      <c r="B1173" s="155" t="s">
        <v>2023</v>
      </c>
      <c r="C1173" s="195">
        <v>45537</v>
      </c>
      <c r="D1173" s="155" t="s">
        <v>440</v>
      </c>
      <c r="E1173" s="149" t="s">
        <v>164</v>
      </c>
      <c r="F1173" s="153" t="s">
        <v>441</v>
      </c>
      <c r="G1173" s="149" t="s">
        <v>442</v>
      </c>
      <c r="H1173" s="149" t="str">
        <f t="shared" si="6"/>
        <v>BEATRIZ ARANA FERNÁNDEZ</v>
      </c>
      <c r="I1173" s="149" t="s">
        <v>936</v>
      </c>
      <c r="J1173" s="153" t="s">
        <v>444</v>
      </c>
      <c r="K1173" s="149" t="s">
        <v>2052</v>
      </c>
      <c r="L1173" s="168">
        <v>45551</v>
      </c>
      <c r="M1173" s="164"/>
      <c r="N1173" s="163">
        <v>2</v>
      </c>
      <c r="O1173" s="165" t="s">
        <v>446</v>
      </c>
      <c r="P1173" s="161">
        <v>3710</v>
      </c>
      <c r="Q1173" s="196">
        <v>45537</v>
      </c>
      <c r="R1173" s="153"/>
      <c r="S1173" s="153"/>
      <c r="T1173" s="153"/>
      <c r="U1173" s="153"/>
      <c r="V1173" s="153"/>
      <c r="W1173" s="153"/>
      <c r="X1173" s="153"/>
      <c r="Y1173" s="153"/>
      <c r="Z1173" s="153"/>
      <c r="AA1173" s="153"/>
    </row>
    <row r="1174" spans="1:27">
      <c r="A1174" s="154">
        <v>9</v>
      </c>
      <c r="B1174" s="155" t="s">
        <v>2023</v>
      </c>
      <c r="C1174" s="195">
        <v>45496</v>
      </c>
      <c r="D1174" s="155" t="s">
        <v>440</v>
      </c>
      <c r="E1174" s="149" t="s">
        <v>314</v>
      </c>
      <c r="F1174" s="153" t="s">
        <v>441</v>
      </c>
      <c r="G1174" s="149" t="s">
        <v>442</v>
      </c>
      <c r="H1174" s="149" t="str">
        <f t="shared" si="6"/>
        <v>VÍCTOR JOSÉ GONZÁLEZ ARIAS</v>
      </c>
      <c r="I1174" s="149" t="s">
        <v>2013</v>
      </c>
      <c r="J1174" s="153" t="s">
        <v>444</v>
      </c>
      <c r="K1174" s="149" t="s">
        <v>2053</v>
      </c>
      <c r="L1174" s="168">
        <v>45551</v>
      </c>
      <c r="M1174" s="164"/>
      <c r="N1174" s="163">
        <v>2</v>
      </c>
      <c r="O1174" s="165" t="s">
        <v>449</v>
      </c>
      <c r="P1174" s="161">
        <v>2743.77</v>
      </c>
      <c r="Q1174" s="196">
        <v>45496</v>
      </c>
      <c r="R1174" s="153"/>
      <c r="S1174" s="153"/>
      <c r="T1174" s="153"/>
      <c r="U1174" s="153"/>
      <c r="V1174" s="153"/>
      <c r="W1174" s="153"/>
      <c r="X1174" s="153"/>
      <c r="Y1174" s="153"/>
      <c r="Z1174" s="153"/>
      <c r="AA1174" s="153"/>
    </row>
    <row r="1175" spans="1:27">
      <c r="A1175" s="154">
        <v>9</v>
      </c>
      <c r="B1175" s="155" t="s">
        <v>2023</v>
      </c>
      <c r="C1175" s="195">
        <v>45488</v>
      </c>
      <c r="D1175" s="155" t="s">
        <v>440</v>
      </c>
      <c r="E1175" s="149" t="s">
        <v>506</v>
      </c>
      <c r="F1175" s="153" t="s">
        <v>441</v>
      </c>
      <c r="G1175" s="149" t="s">
        <v>442</v>
      </c>
      <c r="H1175" s="149" t="str">
        <f t="shared" si="6"/>
        <v>NO REUERDA ORL</v>
      </c>
      <c r="I1175" s="149" t="s">
        <v>469</v>
      </c>
      <c r="J1175" s="153" t="s">
        <v>473</v>
      </c>
      <c r="K1175" s="149" t="s">
        <v>2054</v>
      </c>
      <c r="L1175" s="168">
        <v>45551</v>
      </c>
      <c r="M1175" s="164"/>
      <c r="N1175" s="163">
        <v>2</v>
      </c>
      <c r="O1175" s="165" t="s">
        <v>446</v>
      </c>
      <c r="P1175" s="161">
        <v>3604.55</v>
      </c>
      <c r="Q1175" s="196">
        <v>45488</v>
      </c>
      <c r="R1175" s="153"/>
      <c r="S1175" s="153"/>
      <c r="T1175" s="153"/>
      <c r="U1175" s="153"/>
      <c r="V1175" s="153"/>
      <c r="W1175" s="153"/>
      <c r="X1175" s="153"/>
      <c r="Y1175" s="153"/>
      <c r="Z1175" s="153"/>
      <c r="AA1175" s="153"/>
    </row>
    <row r="1176" spans="1:27">
      <c r="A1176" s="154">
        <v>9</v>
      </c>
      <c r="B1176" s="155" t="s">
        <v>2023</v>
      </c>
      <c r="C1176" s="195"/>
      <c r="D1176" s="155" t="s">
        <v>440</v>
      </c>
      <c r="E1176" s="149" t="s">
        <v>201</v>
      </c>
      <c r="F1176" s="153" t="s">
        <v>441</v>
      </c>
      <c r="G1176" s="149" t="s">
        <v>442</v>
      </c>
      <c r="H1176" s="149" t="str">
        <f t="shared" si="6"/>
        <v>NATALIA GISSETH PULIDO FONSECA</v>
      </c>
      <c r="I1176" s="149" t="s">
        <v>1119</v>
      </c>
      <c r="J1176" s="153" t="s">
        <v>548</v>
      </c>
      <c r="K1176" s="149" t="s">
        <v>2055</v>
      </c>
      <c r="L1176" s="168">
        <v>45551</v>
      </c>
      <c r="M1176" s="164"/>
      <c r="N1176" s="163">
        <v>1</v>
      </c>
      <c r="O1176" s="165" t="s">
        <v>446</v>
      </c>
      <c r="P1176" s="161">
        <v>2161.8200000000002</v>
      </c>
      <c r="Q1176" s="196"/>
      <c r="R1176" s="153"/>
      <c r="S1176" s="153"/>
      <c r="T1176" s="153"/>
      <c r="U1176" s="153"/>
      <c r="V1176" s="153"/>
      <c r="W1176" s="153"/>
      <c r="X1176" s="153"/>
      <c r="Y1176" s="153"/>
      <c r="Z1176" s="153"/>
      <c r="AA1176" s="153"/>
    </row>
    <row r="1177" spans="1:27">
      <c r="A1177" s="154">
        <v>9</v>
      </c>
      <c r="B1177" s="155" t="s">
        <v>2023</v>
      </c>
      <c r="C1177" s="195">
        <v>45509</v>
      </c>
      <c r="D1177" s="166" t="s">
        <v>440</v>
      </c>
      <c r="E1177" s="149" t="s">
        <v>530</v>
      </c>
      <c r="F1177" s="153" t="s">
        <v>441</v>
      </c>
      <c r="G1177" s="149" t="s">
        <v>442</v>
      </c>
      <c r="H1177" s="149" t="str">
        <f t="shared" si="6"/>
        <v>JOAQUIM BROTO SUMALLA</v>
      </c>
      <c r="I1177" s="149" t="s">
        <v>531</v>
      </c>
      <c r="J1177" s="153" t="s">
        <v>532</v>
      </c>
      <c r="K1177" s="149" t="s">
        <v>2056</v>
      </c>
      <c r="L1177" s="168">
        <v>45551</v>
      </c>
      <c r="M1177" s="164"/>
      <c r="N1177" s="163">
        <v>2</v>
      </c>
      <c r="O1177" s="165" t="s">
        <v>518</v>
      </c>
      <c r="P1177" s="161">
        <v>2936.36</v>
      </c>
      <c r="Q1177" s="196">
        <v>45509</v>
      </c>
      <c r="R1177" s="153"/>
      <c r="S1177" s="153"/>
      <c r="T1177" s="153"/>
      <c r="U1177" s="153"/>
      <c r="V1177" s="153"/>
      <c r="W1177" s="153"/>
      <c r="X1177" s="153"/>
      <c r="Y1177" s="153"/>
      <c r="Z1177" s="153"/>
      <c r="AA1177" s="153"/>
    </row>
    <row r="1178" spans="1:27">
      <c r="A1178" s="154">
        <v>9</v>
      </c>
      <c r="B1178" s="155" t="s">
        <v>2023</v>
      </c>
      <c r="C1178" s="195">
        <v>45526</v>
      </c>
      <c r="D1178" s="166" t="s">
        <v>440</v>
      </c>
      <c r="E1178" s="149" t="s">
        <v>115</v>
      </c>
      <c r="F1178" s="153" t="s">
        <v>441</v>
      </c>
      <c r="G1178" s="149" t="s">
        <v>442</v>
      </c>
      <c r="H1178" s="149" t="str">
        <f t="shared" si="6"/>
        <v>MARÍA GARROTE GARROTE</v>
      </c>
      <c r="I1178" s="149" t="s">
        <v>447</v>
      </c>
      <c r="J1178" s="153" t="s">
        <v>444</v>
      </c>
      <c r="K1178" s="149" t="s">
        <v>2057</v>
      </c>
      <c r="L1178" s="168">
        <v>45551</v>
      </c>
      <c r="M1178" s="164"/>
      <c r="N1178" s="163">
        <v>2</v>
      </c>
      <c r="O1178" s="165" t="s">
        <v>446</v>
      </c>
      <c r="P1178" s="161">
        <v>3709.09</v>
      </c>
      <c r="Q1178" s="196">
        <v>45526</v>
      </c>
      <c r="R1178" s="153"/>
      <c r="S1178" s="153"/>
      <c r="T1178" s="153"/>
      <c r="U1178" s="153"/>
      <c r="V1178" s="153"/>
      <c r="W1178" s="153"/>
      <c r="X1178" s="153"/>
      <c r="Y1178" s="153"/>
      <c r="Z1178" s="153"/>
      <c r="AA1178" s="153"/>
    </row>
    <row r="1179" spans="1:27">
      <c r="A1179" s="154">
        <v>9</v>
      </c>
      <c r="B1179" s="155" t="s">
        <v>2023</v>
      </c>
      <c r="C1179" s="195">
        <v>45524</v>
      </c>
      <c r="D1179" s="155" t="s">
        <v>440</v>
      </c>
      <c r="E1179" s="149" t="s">
        <v>115</v>
      </c>
      <c r="F1179" s="153" t="s">
        <v>441</v>
      </c>
      <c r="G1179" s="149" t="s">
        <v>442</v>
      </c>
      <c r="H1179" s="149" t="str">
        <f t="shared" si="6"/>
        <v>MARÍA GARROTE GARROTE</v>
      </c>
      <c r="I1179" s="149" t="s">
        <v>447</v>
      </c>
      <c r="J1179" s="153" t="s">
        <v>444</v>
      </c>
      <c r="K1179" s="149" t="s">
        <v>2058</v>
      </c>
      <c r="L1179" s="168">
        <v>45551</v>
      </c>
      <c r="M1179" s="164"/>
      <c r="N1179" s="163">
        <v>2</v>
      </c>
      <c r="O1179" s="165" t="s">
        <v>1540</v>
      </c>
      <c r="P1179" s="161">
        <v>4000</v>
      </c>
      <c r="Q1179" s="196">
        <v>45524</v>
      </c>
      <c r="R1179" s="153"/>
      <c r="S1179" s="153"/>
      <c r="T1179" s="153"/>
      <c r="U1179" s="153"/>
      <c r="V1179" s="153"/>
      <c r="W1179" s="153"/>
      <c r="X1179" s="153"/>
      <c r="Y1179" s="153"/>
      <c r="Z1179" s="153"/>
      <c r="AA1179" s="153"/>
    </row>
    <row r="1180" spans="1:27">
      <c r="A1180" s="154">
        <v>9</v>
      </c>
      <c r="B1180" s="155" t="s">
        <v>2023</v>
      </c>
      <c r="C1180" s="195">
        <v>45490</v>
      </c>
      <c r="D1180" s="155" t="s">
        <v>440</v>
      </c>
      <c r="E1180" s="149" t="s">
        <v>525</v>
      </c>
      <c r="F1180" s="153" t="s">
        <v>441</v>
      </c>
      <c r="G1180" s="149" t="s">
        <v>442</v>
      </c>
      <c r="H1180" s="149" t="str">
        <f t="shared" si="6"/>
        <v>DARÁ SÁNCHEZ RUIZ</v>
      </c>
      <c r="I1180" s="149" t="s">
        <v>1638</v>
      </c>
      <c r="J1180" s="153" t="s">
        <v>516</v>
      </c>
      <c r="K1180" s="149" t="s">
        <v>2059</v>
      </c>
      <c r="L1180" s="168">
        <v>45551</v>
      </c>
      <c r="M1180" s="164"/>
      <c r="N1180" s="163">
        <v>2</v>
      </c>
      <c r="O1180" s="165" t="s">
        <v>446</v>
      </c>
      <c r="P1180" s="161">
        <v>3454.55</v>
      </c>
      <c r="Q1180" s="196">
        <v>45490</v>
      </c>
      <c r="R1180" s="153"/>
      <c r="S1180" s="153"/>
      <c r="T1180" s="153"/>
      <c r="U1180" s="153"/>
      <c r="V1180" s="153"/>
      <c r="W1180" s="153"/>
      <c r="X1180" s="153"/>
      <c r="Y1180" s="153"/>
      <c r="Z1180" s="153"/>
      <c r="AA1180" s="153"/>
    </row>
    <row r="1181" spans="1:27">
      <c r="A1181" s="154">
        <v>9</v>
      </c>
      <c r="B1181" s="155" t="s">
        <v>2023</v>
      </c>
      <c r="C1181" s="195">
        <v>45478</v>
      </c>
      <c r="D1181" s="155" t="s">
        <v>440</v>
      </c>
      <c r="E1181" s="149" t="s">
        <v>317</v>
      </c>
      <c r="F1181" s="149" t="s">
        <v>441</v>
      </c>
      <c r="G1181" s="149" t="s">
        <v>442</v>
      </c>
      <c r="H1181" s="149" t="str">
        <f t="shared" si="6"/>
        <v>NO REUERDA ORL</v>
      </c>
      <c r="I1181" s="149" t="s">
        <v>469</v>
      </c>
      <c r="J1181" s="149" t="s">
        <v>462</v>
      </c>
      <c r="K1181" s="149" t="s">
        <v>2060</v>
      </c>
      <c r="L1181" s="168">
        <v>45552</v>
      </c>
      <c r="M1181" s="164"/>
      <c r="N1181" s="163">
        <v>2</v>
      </c>
      <c r="O1181" s="165" t="s">
        <v>513</v>
      </c>
      <c r="P1181" s="161">
        <v>909.09</v>
      </c>
      <c r="Q1181" s="196">
        <v>45478</v>
      </c>
      <c r="R1181" s="153"/>
      <c r="S1181" s="153"/>
      <c r="T1181" s="153"/>
      <c r="U1181" s="153"/>
      <c r="V1181" s="153"/>
      <c r="W1181" s="153"/>
      <c r="X1181" s="153"/>
      <c r="Y1181" s="153"/>
      <c r="Z1181" s="153"/>
      <c r="AA1181" s="153"/>
    </row>
    <row r="1182" spans="1:27">
      <c r="A1182" s="154">
        <v>9</v>
      </c>
      <c r="B1182" s="155" t="s">
        <v>2023</v>
      </c>
      <c r="C1182" s="195">
        <v>45505</v>
      </c>
      <c r="D1182" s="155" t="s">
        <v>440</v>
      </c>
      <c r="E1182" s="149" t="s">
        <v>122</v>
      </c>
      <c r="F1182" s="149" t="s">
        <v>441</v>
      </c>
      <c r="G1182" s="149" t="s">
        <v>442</v>
      </c>
      <c r="H1182" s="149" t="str">
        <f t="shared" si="6"/>
        <v>CRISTINA VADUVA</v>
      </c>
      <c r="I1182" s="149" t="s">
        <v>499</v>
      </c>
      <c r="J1182" s="149" t="s">
        <v>444</v>
      </c>
      <c r="K1182" s="149" t="s">
        <v>2061</v>
      </c>
      <c r="L1182" s="168">
        <v>45552</v>
      </c>
      <c r="M1182" s="164"/>
      <c r="N1182" s="163">
        <v>1</v>
      </c>
      <c r="O1182" s="165" t="s">
        <v>449</v>
      </c>
      <c r="P1182" s="161">
        <v>1732.73</v>
      </c>
      <c r="Q1182" s="196">
        <v>45505</v>
      </c>
      <c r="R1182" s="153"/>
      <c r="S1182" s="153"/>
      <c r="T1182" s="153"/>
      <c r="U1182" s="153"/>
      <c r="V1182" s="153"/>
      <c r="W1182" s="153"/>
      <c r="X1182" s="153"/>
      <c r="Y1182" s="153"/>
      <c r="Z1182" s="153"/>
      <c r="AA1182" s="153"/>
    </row>
    <row r="1183" spans="1:27">
      <c r="A1183" s="154">
        <v>9</v>
      </c>
      <c r="B1183" s="155" t="s">
        <v>2023</v>
      </c>
      <c r="C1183" s="195">
        <v>45495</v>
      </c>
      <c r="D1183" s="155" t="s">
        <v>440</v>
      </c>
      <c r="E1183" s="149" t="s">
        <v>122</v>
      </c>
      <c r="F1183" s="149" t="s">
        <v>441</v>
      </c>
      <c r="G1183" s="149" t="s">
        <v>2062</v>
      </c>
      <c r="H1183" s="149" t="str">
        <f t="shared" si="6"/>
        <v>MONTSERRAT PORTELL SORIANO</v>
      </c>
      <c r="I1183" s="149" t="s">
        <v>669</v>
      </c>
      <c r="J1183" s="149" t="s">
        <v>444</v>
      </c>
      <c r="K1183" s="149" t="s">
        <v>2063</v>
      </c>
      <c r="L1183" s="168">
        <v>45552</v>
      </c>
      <c r="M1183" s="164"/>
      <c r="N1183" s="163">
        <v>2</v>
      </c>
      <c r="O1183" s="165" t="s">
        <v>449</v>
      </c>
      <c r="P1183" s="161">
        <v>2743.64</v>
      </c>
      <c r="Q1183" s="196">
        <v>45495</v>
      </c>
      <c r="R1183" s="153"/>
      <c r="S1183" s="153"/>
      <c r="T1183" s="153"/>
      <c r="U1183" s="153"/>
      <c r="V1183" s="153"/>
      <c r="W1183" s="153"/>
      <c r="X1183" s="153"/>
      <c r="Y1183" s="153"/>
      <c r="Z1183" s="153"/>
      <c r="AA1183" s="153"/>
    </row>
    <row r="1184" spans="1:27">
      <c r="A1184" s="154">
        <v>9</v>
      </c>
      <c r="B1184" s="155" t="s">
        <v>2023</v>
      </c>
      <c r="C1184" s="195">
        <v>45034</v>
      </c>
      <c r="D1184" s="155" t="s">
        <v>440</v>
      </c>
      <c r="E1184" s="149" t="s">
        <v>930</v>
      </c>
      <c r="F1184" s="153" t="s">
        <v>441</v>
      </c>
      <c r="G1184" s="149" t="s">
        <v>442</v>
      </c>
      <c r="H1184" s="149" t="str">
        <f t="shared" si="6"/>
        <v>XAVIER GONZÁLEZ COMPTA</v>
      </c>
      <c r="I1184" s="149" t="s">
        <v>2064</v>
      </c>
      <c r="J1184" s="153" t="s">
        <v>532</v>
      </c>
      <c r="K1184" s="149" t="s">
        <v>2065</v>
      </c>
      <c r="L1184" s="168">
        <v>45552</v>
      </c>
      <c r="M1184" s="164"/>
      <c r="N1184" s="163">
        <v>2</v>
      </c>
      <c r="O1184" s="165" t="s">
        <v>446</v>
      </c>
      <c r="P1184" s="161">
        <v>2799.09</v>
      </c>
      <c r="Q1184" s="196">
        <v>45034</v>
      </c>
      <c r="R1184" s="153"/>
      <c r="S1184" s="153"/>
      <c r="T1184" s="153"/>
      <c r="U1184" s="153"/>
      <c r="V1184" s="153"/>
      <c r="W1184" s="153"/>
      <c r="X1184" s="153"/>
      <c r="Y1184" s="153"/>
      <c r="Z1184" s="153"/>
      <c r="AA1184" s="153"/>
    </row>
    <row r="1185" spans="1:27">
      <c r="A1185" s="154">
        <v>9</v>
      </c>
      <c r="B1185" s="155" t="s">
        <v>2023</v>
      </c>
      <c r="C1185" s="195">
        <v>45537</v>
      </c>
      <c r="D1185" s="155" t="s">
        <v>440</v>
      </c>
      <c r="E1185" s="149" t="s">
        <v>309</v>
      </c>
      <c r="F1185" s="153" t="s">
        <v>441</v>
      </c>
      <c r="G1185" s="149"/>
      <c r="H1185" s="149" t="str">
        <f t="shared" si="6"/>
        <v>RICARDO GONZÁLEZ-ORUS</v>
      </c>
      <c r="I1185" s="149" t="s">
        <v>1266</v>
      </c>
      <c r="J1185" s="153" t="s">
        <v>444</v>
      </c>
      <c r="K1185" s="149" t="s">
        <v>2066</v>
      </c>
      <c r="L1185" s="168">
        <v>45553</v>
      </c>
      <c r="M1185" s="164"/>
      <c r="N1185" s="163">
        <v>1</v>
      </c>
      <c r="O1185" s="165" t="s">
        <v>446</v>
      </c>
      <c r="P1185" s="161">
        <v>2226.36</v>
      </c>
      <c r="Q1185" s="196">
        <v>45537</v>
      </c>
      <c r="R1185" s="153"/>
      <c r="S1185" s="153"/>
      <c r="T1185" s="153"/>
      <c r="U1185" s="153"/>
      <c r="V1185" s="153"/>
      <c r="W1185" s="153"/>
      <c r="X1185" s="153"/>
      <c r="Y1185" s="153"/>
      <c r="Z1185" s="153"/>
      <c r="AA1185" s="153"/>
    </row>
    <row r="1186" spans="1:27">
      <c r="A1186" s="154">
        <v>9</v>
      </c>
      <c r="B1186" s="155" t="s">
        <v>2023</v>
      </c>
      <c r="C1186" s="195">
        <v>45477</v>
      </c>
      <c r="D1186" s="155" t="s">
        <v>440</v>
      </c>
      <c r="E1186" s="149" t="s">
        <v>317</v>
      </c>
      <c r="F1186" s="149" t="s">
        <v>441</v>
      </c>
      <c r="G1186" s="149" t="s">
        <v>442</v>
      </c>
      <c r="H1186" s="149" t="str">
        <f t="shared" si="6"/>
        <v>GUILLERMO SEVERÁ FERRANDIZ</v>
      </c>
      <c r="I1186" s="149" t="s">
        <v>916</v>
      </c>
      <c r="J1186" s="149" t="s">
        <v>462</v>
      </c>
      <c r="K1186" s="149" t="s">
        <v>2067</v>
      </c>
      <c r="L1186" s="168">
        <v>45554</v>
      </c>
      <c r="M1186" s="164"/>
      <c r="N1186" s="163">
        <v>2</v>
      </c>
      <c r="O1186" s="165" t="s">
        <v>513</v>
      </c>
      <c r="P1186" s="161">
        <v>4400</v>
      </c>
      <c r="Q1186" s="196">
        <v>45477</v>
      </c>
      <c r="R1186" s="153"/>
      <c r="S1186" s="153"/>
      <c r="T1186" s="153"/>
      <c r="U1186" s="153"/>
      <c r="V1186" s="153"/>
      <c r="W1186" s="153"/>
      <c r="X1186" s="153"/>
      <c r="Y1186" s="153"/>
      <c r="Z1186" s="153"/>
      <c r="AA1186" s="153"/>
    </row>
    <row r="1187" spans="1:27">
      <c r="A1187" s="154">
        <v>9</v>
      </c>
      <c r="B1187" s="155" t="s">
        <v>2023</v>
      </c>
      <c r="C1187" s="195">
        <v>45533</v>
      </c>
      <c r="D1187" s="155" t="s">
        <v>440</v>
      </c>
      <c r="E1187" s="149" t="s">
        <v>309</v>
      </c>
      <c r="F1187" s="153" t="s">
        <v>441</v>
      </c>
      <c r="G1187" s="149"/>
      <c r="H1187" s="149" t="str">
        <f t="shared" si="6"/>
        <v>JAIME MARTÍN CARRANZA</v>
      </c>
      <c r="I1187" s="149" t="s">
        <v>2068</v>
      </c>
      <c r="J1187" s="153" t="s">
        <v>444</v>
      </c>
      <c r="K1187" s="149" t="s">
        <v>2069</v>
      </c>
      <c r="L1187" s="168">
        <v>45554</v>
      </c>
      <c r="M1187" s="164"/>
      <c r="N1187" s="163">
        <v>2</v>
      </c>
      <c r="O1187" s="165" t="s">
        <v>446</v>
      </c>
      <c r="P1187" s="161">
        <v>3709.09</v>
      </c>
      <c r="Q1187" s="196">
        <v>45533</v>
      </c>
      <c r="R1187" s="153"/>
      <c r="S1187" s="153"/>
      <c r="T1187" s="153"/>
      <c r="U1187" s="153"/>
      <c r="V1187" s="153"/>
      <c r="W1187" s="153"/>
      <c r="X1187" s="153"/>
      <c r="Y1187" s="153"/>
      <c r="Z1187" s="153"/>
      <c r="AA1187" s="153"/>
    </row>
    <row r="1188" spans="1:27">
      <c r="A1188" s="154">
        <v>9</v>
      </c>
      <c r="B1188" s="155" t="s">
        <v>2023</v>
      </c>
      <c r="C1188" s="195">
        <v>45511</v>
      </c>
      <c r="D1188" s="166" t="s">
        <v>440</v>
      </c>
      <c r="E1188" s="149" t="s">
        <v>115</v>
      </c>
      <c r="F1188" s="153" t="s">
        <v>441</v>
      </c>
      <c r="G1188" s="149" t="s">
        <v>442</v>
      </c>
      <c r="H1188" s="149" t="str">
        <f t="shared" si="6"/>
        <v>MARÍA GARROTE GARROTE</v>
      </c>
      <c r="I1188" s="149" t="s">
        <v>447</v>
      </c>
      <c r="J1188" s="153" t="s">
        <v>444</v>
      </c>
      <c r="K1188" s="149" t="s">
        <v>2070</v>
      </c>
      <c r="L1188" s="168">
        <v>45554</v>
      </c>
      <c r="M1188" s="164"/>
      <c r="N1188" s="163">
        <v>2</v>
      </c>
      <c r="O1188" s="165" t="s">
        <v>446</v>
      </c>
      <c r="P1188" s="161">
        <v>3524.5</v>
      </c>
      <c r="Q1188" s="196">
        <v>45511</v>
      </c>
      <c r="R1188" s="153"/>
      <c r="S1188" s="153"/>
      <c r="T1188" s="153"/>
      <c r="U1188" s="153"/>
      <c r="V1188" s="153"/>
      <c r="W1188" s="153"/>
      <c r="X1188" s="153"/>
      <c r="Y1188" s="153"/>
      <c r="Z1188" s="153"/>
      <c r="AA1188" s="153"/>
    </row>
    <row r="1189" spans="1:27">
      <c r="A1189" s="154">
        <v>9</v>
      </c>
      <c r="B1189" s="155" t="s">
        <v>2023</v>
      </c>
      <c r="C1189" s="195">
        <v>45518</v>
      </c>
      <c r="D1189" s="155" t="s">
        <v>440</v>
      </c>
      <c r="E1189" s="149" t="s">
        <v>1599</v>
      </c>
      <c r="F1189" s="153" t="s">
        <v>441</v>
      </c>
      <c r="G1189" s="149" t="s">
        <v>442</v>
      </c>
      <c r="H1189" s="149" t="str">
        <f t="shared" si="6"/>
        <v>MARGARITA REYES DÍAZ</v>
      </c>
      <c r="I1189" s="149" t="s">
        <v>1744</v>
      </c>
      <c r="J1189" s="153" t="s">
        <v>516</v>
      </c>
      <c r="K1189" s="149" t="s">
        <v>2071</v>
      </c>
      <c r="L1189" s="168">
        <v>45554</v>
      </c>
      <c r="M1189" s="164"/>
      <c r="N1189" s="163">
        <v>2</v>
      </c>
      <c r="O1189" s="165" t="s">
        <v>518</v>
      </c>
      <c r="P1189" s="161">
        <v>2627.27</v>
      </c>
      <c r="Q1189" s="196">
        <v>45518</v>
      </c>
      <c r="R1189" s="153"/>
      <c r="S1189" s="153"/>
      <c r="T1189" s="153"/>
      <c r="U1189" s="153"/>
      <c r="V1189" s="153"/>
      <c r="W1189" s="153"/>
      <c r="X1189" s="153"/>
      <c r="Y1189" s="153"/>
      <c r="Z1189" s="153"/>
      <c r="AA1189" s="153"/>
    </row>
    <row r="1190" spans="1:27">
      <c r="A1190" s="154">
        <v>9</v>
      </c>
      <c r="B1190" s="155" t="s">
        <v>2023</v>
      </c>
      <c r="C1190" s="195">
        <v>45538</v>
      </c>
      <c r="D1190" s="155" t="s">
        <v>440</v>
      </c>
      <c r="E1190" s="149" t="s">
        <v>514</v>
      </c>
      <c r="F1190" s="149" t="s">
        <v>441</v>
      </c>
      <c r="G1190" s="149" t="s">
        <v>442</v>
      </c>
      <c r="H1190" s="149" t="str">
        <f t="shared" si="6"/>
        <v>CARLOS VIDAL REDONDO</v>
      </c>
      <c r="I1190" s="149" t="s">
        <v>554</v>
      </c>
      <c r="J1190" s="149" t="s">
        <v>516</v>
      </c>
      <c r="K1190" s="149" t="s">
        <v>2072</v>
      </c>
      <c r="L1190" s="168">
        <v>45555</v>
      </c>
      <c r="M1190" s="164"/>
      <c r="N1190" s="163">
        <v>1</v>
      </c>
      <c r="O1190" s="165" t="s">
        <v>518</v>
      </c>
      <c r="P1190" s="161">
        <v>1923.08</v>
      </c>
      <c r="Q1190" s="196">
        <v>45538</v>
      </c>
      <c r="R1190" s="153"/>
      <c r="S1190" s="153"/>
      <c r="T1190" s="153"/>
      <c r="U1190" s="153"/>
      <c r="V1190" s="153"/>
      <c r="W1190" s="153"/>
      <c r="X1190" s="153"/>
      <c r="Y1190" s="153"/>
      <c r="Z1190" s="153"/>
      <c r="AA1190" s="153"/>
    </row>
    <row r="1191" spans="1:27">
      <c r="A1191" s="154">
        <v>9</v>
      </c>
      <c r="B1191" s="155" t="s">
        <v>2023</v>
      </c>
      <c r="C1191" s="195">
        <v>45523</v>
      </c>
      <c r="D1191" s="155" t="s">
        <v>440</v>
      </c>
      <c r="E1191" s="149" t="s">
        <v>601</v>
      </c>
      <c r="F1191" s="149" t="s">
        <v>441</v>
      </c>
      <c r="G1191" s="149" t="s">
        <v>442</v>
      </c>
      <c r="H1191" s="149" t="str">
        <f t="shared" si="6"/>
        <v>BELÉN GARCÍA CARREIRA</v>
      </c>
      <c r="I1191" s="149" t="s">
        <v>2073</v>
      </c>
      <c r="J1191" s="149" t="s">
        <v>516</v>
      </c>
      <c r="K1191" s="149" t="s">
        <v>2074</v>
      </c>
      <c r="L1191" s="168">
        <v>45555</v>
      </c>
      <c r="M1191" s="164"/>
      <c r="N1191" s="163">
        <v>2</v>
      </c>
      <c r="O1191" s="165" t="s">
        <v>449</v>
      </c>
      <c r="P1191" s="161">
        <v>2727.27</v>
      </c>
      <c r="Q1191" s="196">
        <v>45523</v>
      </c>
      <c r="R1191" s="153"/>
      <c r="S1191" s="153"/>
      <c r="T1191" s="153"/>
      <c r="U1191" s="153"/>
      <c r="V1191" s="153"/>
      <c r="W1191" s="153"/>
      <c r="X1191" s="153"/>
      <c r="Y1191" s="153"/>
      <c r="Z1191" s="153"/>
      <c r="AA1191" s="153"/>
    </row>
    <row r="1192" spans="1:27">
      <c r="A1192" s="154">
        <v>9</v>
      </c>
      <c r="B1192" s="155" t="s">
        <v>2023</v>
      </c>
      <c r="C1192" s="195">
        <v>45510</v>
      </c>
      <c r="D1192" s="155" t="s">
        <v>440</v>
      </c>
      <c r="E1192" s="149" t="s">
        <v>309</v>
      </c>
      <c r="F1192" s="153" t="s">
        <v>441</v>
      </c>
      <c r="G1192" s="149" t="s">
        <v>442</v>
      </c>
      <c r="H1192" s="149" t="str">
        <f t="shared" si="6"/>
        <v>JAIME MARTÍN CARRANZA</v>
      </c>
      <c r="I1192" s="149" t="s">
        <v>2068</v>
      </c>
      <c r="J1192" s="153" t="s">
        <v>444</v>
      </c>
      <c r="K1192" s="149" t="s">
        <v>2075</v>
      </c>
      <c r="L1192" s="168">
        <v>45555</v>
      </c>
      <c r="M1192" s="164"/>
      <c r="N1192" s="163">
        <v>2</v>
      </c>
      <c r="O1192" s="165" t="s">
        <v>449</v>
      </c>
      <c r="P1192" s="161">
        <v>2681.82</v>
      </c>
      <c r="Q1192" s="196">
        <v>45510</v>
      </c>
      <c r="R1192" s="153"/>
      <c r="S1192" s="153"/>
      <c r="T1192" s="153"/>
      <c r="U1192" s="153"/>
      <c r="V1192" s="153"/>
      <c r="W1192" s="153"/>
      <c r="X1192" s="153"/>
      <c r="Y1192" s="153"/>
      <c r="Z1192" s="153"/>
      <c r="AA1192" s="153"/>
    </row>
    <row r="1193" spans="1:27">
      <c r="A1193" s="154">
        <v>9</v>
      </c>
      <c r="B1193" s="155" t="s">
        <v>2023</v>
      </c>
      <c r="C1193" s="195">
        <v>45491</v>
      </c>
      <c r="D1193" s="155" t="s">
        <v>440</v>
      </c>
      <c r="E1193" s="149" t="s">
        <v>313</v>
      </c>
      <c r="F1193" s="153" t="s">
        <v>441</v>
      </c>
      <c r="G1193" s="149" t="s">
        <v>442</v>
      </c>
      <c r="H1193" s="149" t="str">
        <f t="shared" si="6"/>
        <v>NO REUERDA ORL</v>
      </c>
      <c r="I1193" s="149" t="s">
        <v>469</v>
      </c>
      <c r="J1193" s="153" t="s">
        <v>444</v>
      </c>
      <c r="K1193" s="149" t="s">
        <v>2076</v>
      </c>
      <c r="L1193" s="168">
        <v>45555</v>
      </c>
      <c r="M1193" s="164"/>
      <c r="N1193" s="163">
        <v>2</v>
      </c>
      <c r="O1193" s="165" t="s">
        <v>1540</v>
      </c>
      <c r="P1193" s="161">
        <v>3118.18</v>
      </c>
      <c r="Q1193" s="196">
        <v>45491</v>
      </c>
      <c r="R1193" s="153"/>
      <c r="S1193" s="153"/>
      <c r="T1193" s="153"/>
      <c r="U1193" s="153"/>
      <c r="V1193" s="153"/>
      <c r="W1193" s="153"/>
      <c r="X1193" s="153"/>
      <c r="Y1193" s="153"/>
      <c r="Z1193" s="153"/>
      <c r="AA1193" s="153"/>
    </row>
    <row r="1194" spans="1:27">
      <c r="A1194" s="154">
        <v>9</v>
      </c>
      <c r="B1194" s="155" t="s">
        <v>2023</v>
      </c>
      <c r="C1194" s="195">
        <v>45526</v>
      </c>
      <c r="D1194" s="155" t="s">
        <v>440</v>
      </c>
      <c r="E1194" s="149" t="s">
        <v>313</v>
      </c>
      <c r="F1194" s="153" t="s">
        <v>441</v>
      </c>
      <c r="G1194" s="149" t="s">
        <v>442</v>
      </c>
      <c r="H1194" s="149" t="str">
        <f t="shared" si="6"/>
        <v>ESTEBAN SCOLA PLIEGO</v>
      </c>
      <c r="I1194" s="149" t="s">
        <v>736</v>
      </c>
      <c r="J1194" s="153" t="s">
        <v>444</v>
      </c>
      <c r="K1194" s="149" t="s">
        <v>2077</v>
      </c>
      <c r="L1194" s="168">
        <v>45555</v>
      </c>
      <c r="M1194" s="164"/>
      <c r="N1194" s="163">
        <v>2</v>
      </c>
      <c r="O1194" s="165" t="s">
        <v>1540</v>
      </c>
      <c r="P1194" s="161">
        <v>3800</v>
      </c>
      <c r="Q1194" s="196">
        <v>45526</v>
      </c>
      <c r="R1194" s="153"/>
      <c r="S1194" s="153"/>
      <c r="T1194" s="153"/>
      <c r="U1194" s="153"/>
      <c r="V1194" s="153"/>
      <c r="W1194" s="153"/>
      <c r="X1194" s="153"/>
      <c r="Y1194" s="153"/>
      <c r="Z1194" s="153"/>
      <c r="AA1194" s="153"/>
    </row>
    <row r="1195" spans="1:27">
      <c r="A1195" s="154">
        <v>9</v>
      </c>
      <c r="B1195" s="155" t="s">
        <v>2023</v>
      </c>
      <c r="C1195" s="195">
        <v>45531</v>
      </c>
      <c r="D1195" s="155" t="s">
        <v>440</v>
      </c>
      <c r="E1195" s="149" t="s">
        <v>129</v>
      </c>
      <c r="F1195" s="153" t="s">
        <v>441</v>
      </c>
      <c r="G1195" s="149" t="s">
        <v>442</v>
      </c>
      <c r="H1195" s="149" t="str">
        <f t="shared" si="6"/>
        <v>ALEJANDRO DÍAZ UÑA</v>
      </c>
      <c r="I1195" s="149" t="s">
        <v>2078</v>
      </c>
      <c r="J1195" s="153" t="s">
        <v>516</v>
      </c>
      <c r="K1195" s="149" t="s">
        <v>2079</v>
      </c>
      <c r="L1195" s="168">
        <v>45555</v>
      </c>
      <c r="M1195" s="164"/>
      <c r="N1195" s="163">
        <v>2</v>
      </c>
      <c r="O1195" s="165" t="s">
        <v>466</v>
      </c>
      <c r="P1195" s="161">
        <v>4000</v>
      </c>
      <c r="Q1195" s="196">
        <v>45531</v>
      </c>
      <c r="R1195" s="153"/>
      <c r="S1195" s="153"/>
      <c r="T1195" s="153"/>
      <c r="U1195" s="153"/>
      <c r="V1195" s="153"/>
      <c r="W1195" s="153"/>
      <c r="X1195" s="153"/>
      <c r="Y1195" s="153"/>
      <c r="Z1195" s="153"/>
      <c r="AA1195" s="153"/>
    </row>
    <row r="1196" spans="1:27">
      <c r="A1196" s="154">
        <v>9</v>
      </c>
      <c r="B1196" s="155" t="s">
        <v>2023</v>
      </c>
      <c r="C1196" s="195">
        <v>45526</v>
      </c>
      <c r="D1196" s="155" t="s">
        <v>440</v>
      </c>
      <c r="E1196" s="149" t="s">
        <v>102</v>
      </c>
      <c r="F1196" s="153" t="s">
        <v>441</v>
      </c>
      <c r="G1196" s="149" t="s">
        <v>442</v>
      </c>
      <c r="H1196" s="149" t="str">
        <f t="shared" si="6"/>
        <v>SANTIAGO MORENO PAREDES</v>
      </c>
      <c r="I1196" s="149" t="s">
        <v>968</v>
      </c>
      <c r="J1196" s="153" t="s">
        <v>462</v>
      </c>
      <c r="K1196" s="149" t="s">
        <v>2080</v>
      </c>
      <c r="L1196" s="168">
        <v>45555</v>
      </c>
      <c r="M1196" s="164"/>
      <c r="N1196" s="163">
        <v>2</v>
      </c>
      <c r="O1196" s="165" t="s">
        <v>449</v>
      </c>
      <c r="P1196" s="161">
        <v>2888.18</v>
      </c>
      <c r="Q1196" s="196">
        <v>45526</v>
      </c>
      <c r="R1196" s="153"/>
      <c r="S1196" s="153"/>
      <c r="T1196" s="153"/>
      <c r="U1196" s="153"/>
      <c r="V1196" s="153"/>
      <c r="W1196" s="153"/>
      <c r="X1196" s="153"/>
      <c r="Y1196" s="153"/>
      <c r="Z1196" s="153"/>
      <c r="AA1196" s="153"/>
    </row>
    <row r="1197" spans="1:27">
      <c r="A1197" s="154">
        <v>9</v>
      </c>
      <c r="B1197" s="155" t="s">
        <v>2023</v>
      </c>
      <c r="C1197" s="195">
        <v>45469</v>
      </c>
      <c r="D1197" s="155" t="s">
        <v>440</v>
      </c>
      <c r="E1197" s="149" t="s">
        <v>239</v>
      </c>
      <c r="F1197" s="153" t="s">
        <v>441</v>
      </c>
      <c r="G1197" s="149" t="s">
        <v>442</v>
      </c>
      <c r="H1197" s="149" t="str">
        <f t="shared" si="6"/>
        <v>FRANCISCO JOSÉ ESTRADA MOLINA</v>
      </c>
      <c r="I1197" s="149" t="s">
        <v>1177</v>
      </c>
      <c r="J1197" s="153" t="s">
        <v>455</v>
      </c>
      <c r="K1197" s="149" t="s">
        <v>2081</v>
      </c>
      <c r="L1197" s="168">
        <v>45555</v>
      </c>
      <c r="M1197" s="164"/>
      <c r="N1197" s="163">
        <v>2</v>
      </c>
      <c r="O1197" s="165" t="s">
        <v>449</v>
      </c>
      <c r="P1197" s="161">
        <v>2743.77</v>
      </c>
      <c r="Q1197" s="196">
        <v>45469</v>
      </c>
      <c r="R1197" s="153"/>
      <c r="S1197" s="153"/>
      <c r="T1197" s="153"/>
      <c r="U1197" s="153"/>
      <c r="V1197" s="153"/>
      <c r="W1197" s="153"/>
      <c r="X1197" s="153"/>
      <c r="Y1197" s="153"/>
      <c r="Z1197" s="153"/>
      <c r="AA1197" s="153"/>
    </row>
    <row r="1198" spans="1:27">
      <c r="A1198" s="154">
        <v>9</v>
      </c>
      <c r="B1198" s="155" t="s">
        <v>2023</v>
      </c>
      <c r="C1198" s="195">
        <v>45496</v>
      </c>
      <c r="D1198" s="155" t="s">
        <v>440</v>
      </c>
      <c r="E1198" s="149" t="s">
        <v>460</v>
      </c>
      <c r="F1198" s="149" t="s">
        <v>441</v>
      </c>
      <c r="G1198" s="149" t="s">
        <v>442</v>
      </c>
      <c r="H1198" s="149" t="str">
        <f t="shared" si="6"/>
        <v>CARLOS VELÁSQUEZ FERMÍN</v>
      </c>
      <c r="I1198" s="149" t="s">
        <v>831</v>
      </c>
      <c r="J1198" s="149" t="s">
        <v>462</v>
      </c>
      <c r="K1198" s="149" t="s">
        <v>2082</v>
      </c>
      <c r="L1198" s="168">
        <v>45558</v>
      </c>
      <c r="M1198" s="164"/>
      <c r="N1198" s="163">
        <v>2</v>
      </c>
      <c r="O1198" s="165" t="s">
        <v>466</v>
      </c>
      <c r="P1198" s="161">
        <v>3800</v>
      </c>
      <c r="Q1198" s="196">
        <v>45496</v>
      </c>
      <c r="R1198" s="153"/>
      <c r="S1198" s="153"/>
      <c r="T1198" s="153"/>
      <c r="U1198" s="153"/>
      <c r="V1198" s="153"/>
      <c r="W1198" s="153"/>
      <c r="X1198" s="153"/>
      <c r="Y1198" s="153"/>
      <c r="Z1198" s="153"/>
      <c r="AA1198" s="153"/>
    </row>
    <row r="1199" spans="1:27">
      <c r="A1199" s="154">
        <v>9</v>
      </c>
      <c r="B1199" s="155" t="s">
        <v>2023</v>
      </c>
      <c r="C1199" s="195">
        <v>45523</v>
      </c>
      <c r="D1199" s="155" t="s">
        <v>440</v>
      </c>
      <c r="E1199" s="149" t="s">
        <v>317</v>
      </c>
      <c r="F1199" s="149" t="s">
        <v>441</v>
      </c>
      <c r="G1199" s="149" t="s">
        <v>442</v>
      </c>
      <c r="H1199" s="149" t="str">
        <f t="shared" si="6"/>
        <v>OSCAR ALEMÁN LÓPEZ</v>
      </c>
      <c r="I1199" s="149" t="s">
        <v>497</v>
      </c>
      <c r="J1199" s="149" t="s">
        <v>462</v>
      </c>
      <c r="K1199" s="149" t="s">
        <v>2083</v>
      </c>
      <c r="L1199" s="168">
        <v>45558</v>
      </c>
      <c r="M1199" s="164"/>
      <c r="N1199" s="163">
        <v>2</v>
      </c>
      <c r="O1199" s="165" t="s">
        <v>449</v>
      </c>
      <c r="P1199" s="161">
        <v>2888.18</v>
      </c>
      <c r="Q1199" s="196">
        <v>45523</v>
      </c>
      <c r="R1199" s="153"/>
      <c r="S1199" s="153"/>
      <c r="T1199" s="153"/>
      <c r="U1199" s="153"/>
      <c r="V1199" s="153"/>
      <c r="W1199" s="153"/>
      <c r="X1199" s="153"/>
      <c r="Y1199" s="153"/>
      <c r="Z1199" s="153"/>
      <c r="AA1199" s="153"/>
    </row>
    <row r="1200" spans="1:27">
      <c r="A1200" s="154">
        <v>9</v>
      </c>
      <c r="B1200" s="155" t="s">
        <v>2023</v>
      </c>
      <c r="C1200" s="195">
        <v>45474</v>
      </c>
      <c r="D1200" s="155" t="s">
        <v>440</v>
      </c>
      <c r="E1200" s="149" t="s">
        <v>514</v>
      </c>
      <c r="F1200" s="149" t="s">
        <v>441</v>
      </c>
      <c r="G1200" s="149" t="s">
        <v>442</v>
      </c>
      <c r="H1200" s="149" t="str">
        <f t="shared" si="6"/>
        <v>ERNESTO VARELA MARTÍNEZ</v>
      </c>
      <c r="I1200" s="149" t="s">
        <v>515</v>
      </c>
      <c r="J1200" s="149" t="s">
        <v>516</v>
      </c>
      <c r="K1200" s="149" t="s">
        <v>2084</v>
      </c>
      <c r="L1200" s="168">
        <v>45558</v>
      </c>
      <c r="M1200" s="164"/>
      <c r="N1200" s="163">
        <v>2</v>
      </c>
      <c r="O1200" s="165" t="s">
        <v>518</v>
      </c>
      <c r="P1200" s="161">
        <v>2627.27</v>
      </c>
      <c r="Q1200" s="196">
        <v>45474</v>
      </c>
      <c r="R1200" s="153"/>
      <c r="S1200" s="153"/>
      <c r="T1200" s="153"/>
      <c r="U1200" s="153"/>
      <c r="V1200" s="153"/>
      <c r="W1200" s="153"/>
      <c r="X1200" s="153"/>
      <c r="Y1200" s="153"/>
      <c r="Z1200" s="153"/>
      <c r="AA1200" s="153"/>
    </row>
    <row r="1201" spans="1:27">
      <c r="A1201" s="154">
        <v>9</v>
      </c>
      <c r="B1201" s="155" t="s">
        <v>2023</v>
      </c>
      <c r="C1201" s="195">
        <v>41941</v>
      </c>
      <c r="D1201" s="155" t="s">
        <v>440</v>
      </c>
      <c r="E1201" s="149" t="s">
        <v>311</v>
      </c>
      <c r="F1201" s="149" t="s">
        <v>441</v>
      </c>
      <c r="G1201" s="149" t="s">
        <v>442</v>
      </c>
      <c r="H1201" s="149" t="str">
        <f t="shared" si="6"/>
        <v>RAIMUNDO ANDRES NAVARRO MEDIANO</v>
      </c>
      <c r="I1201" s="149" t="s">
        <v>1126</v>
      </c>
      <c r="J1201" s="149" t="s">
        <v>444</v>
      </c>
      <c r="K1201" s="149" t="s">
        <v>2085</v>
      </c>
      <c r="L1201" s="168">
        <v>45558</v>
      </c>
      <c r="M1201" s="164"/>
      <c r="N1201" s="163">
        <v>2</v>
      </c>
      <c r="O1201" s="165" t="s">
        <v>449</v>
      </c>
      <c r="P1201" s="161">
        <v>2888.18</v>
      </c>
      <c r="Q1201" s="196">
        <v>41941</v>
      </c>
      <c r="R1201" s="153"/>
      <c r="S1201" s="153"/>
      <c r="T1201" s="153"/>
      <c r="U1201" s="153"/>
      <c r="V1201" s="153"/>
      <c r="W1201" s="153"/>
      <c r="X1201" s="153"/>
      <c r="Y1201" s="153"/>
      <c r="Z1201" s="153"/>
      <c r="AA1201" s="153"/>
    </row>
    <row r="1202" spans="1:27">
      <c r="A1202" s="154">
        <v>9</v>
      </c>
      <c r="B1202" s="155" t="s">
        <v>2023</v>
      </c>
      <c r="C1202" s="195">
        <v>45523</v>
      </c>
      <c r="D1202" s="155" t="s">
        <v>440</v>
      </c>
      <c r="E1202" s="149" t="s">
        <v>122</v>
      </c>
      <c r="F1202" s="149" t="s">
        <v>441</v>
      </c>
      <c r="G1202" s="149"/>
      <c r="H1202" s="149" t="str">
        <f t="shared" si="6"/>
        <v>CONCEPCIÓN PESCADOR MESONERO</v>
      </c>
      <c r="I1202" s="149" t="s">
        <v>816</v>
      </c>
      <c r="J1202" s="149" t="s">
        <v>444</v>
      </c>
      <c r="K1202" s="149" t="s">
        <v>2086</v>
      </c>
      <c r="L1202" s="168">
        <v>45558</v>
      </c>
      <c r="M1202" s="164"/>
      <c r="N1202" s="163">
        <v>2</v>
      </c>
      <c r="O1202" s="165" t="s">
        <v>446</v>
      </c>
      <c r="P1202" s="161">
        <v>3710</v>
      </c>
      <c r="Q1202" s="196">
        <v>45523</v>
      </c>
      <c r="R1202" s="153"/>
      <c r="S1202" s="153"/>
      <c r="T1202" s="153"/>
      <c r="U1202" s="153"/>
      <c r="V1202" s="153"/>
      <c r="W1202" s="153"/>
      <c r="X1202" s="153"/>
      <c r="Y1202" s="153"/>
      <c r="Z1202" s="153"/>
      <c r="AA1202" s="153"/>
    </row>
    <row r="1203" spans="1:27">
      <c r="A1203" s="154">
        <v>9</v>
      </c>
      <c r="B1203" s="155" t="s">
        <v>2023</v>
      </c>
      <c r="C1203" s="195">
        <v>45315</v>
      </c>
      <c r="D1203" s="155" t="s">
        <v>440</v>
      </c>
      <c r="E1203" s="149" t="s">
        <v>102</v>
      </c>
      <c r="F1203" s="153" t="s">
        <v>441</v>
      </c>
      <c r="G1203" s="149" t="s">
        <v>442</v>
      </c>
      <c r="H1203" s="149" t="str">
        <f t="shared" si="6"/>
        <v>JUAN JAVIER ÁLVAREZ LÓPEZ</v>
      </c>
      <c r="I1203" s="149" t="s">
        <v>664</v>
      </c>
      <c r="J1203" s="153" t="s">
        <v>462</v>
      </c>
      <c r="K1203" s="149" t="s">
        <v>2087</v>
      </c>
      <c r="L1203" s="168">
        <v>45558</v>
      </c>
      <c r="M1203" s="164"/>
      <c r="N1203" s="163">
        <v>2</v>
      </c>
      <c r="O1203" s="165" t="s">
        <v>449</v>
      </c>
      <c r="P1203" s="161">
        <v>2471.8200000000002</v>
      </c>
      <c r="Q1203" s="196">
        <v>45315</v>
      </c>
      <c r="R1203" s="153"/>
      <c r="S1203" s="153"/>
      <c r="T1203" s="153"/>
      <c r="U1203" s="153"/>
      <c r="V1203" s="153"/>
      <c r="W1203" s="153"/>
      <c r="X1203" s="153"/>
      <c r="Y1203" s="153"/>
      <c r="Z1203" s="153"/>
      <c r="AA1203" s="153"/>
    </row>
    <row r="1204" spans="1:27">
      <c r="A1204" s="154">
        <v>9</v>
      </c>
      <c r="B1204" s="155" t="s">
        <v>2023</v>
      </c>
      <c r="C1204" s="195">
        <v>45478</v>
      </c>
      <c r="D1204" s="155" t="s">
        <v>440</v>
      </c>
      <c r="E1204" s="149" t="s">
        <v>506</v>
      </c>
      <c r="F1204" s="153" t="s">
        <v>441</v>
      </c>
      <c r="G1204" s="149" t="s">
        <v>442</v>
      </c>
      <c r="H1204" s="149" t="str">
        <f t="shared" si="6"/>
        <v>LUIS MIGUEL RINCÓN ESTEBAN</v>
      </c>
      <c r="I1204" s="149" t="s">
        <v>1033</v>
      </c>
      <c r="J1204" s="153" t="s">
        <v>473</v>
      </c>
      <c r="K1204" s="149" t="s">
        <v>2088</v>
      </c>
      <c r="L1204" s="168">
        <v>45558</v>
      </c>
      <c r="M1204" s="164"/>
      <c r="N1204" s="163">
        <v>2</v>
      </c>
      <c r="O1204" s="165" t="s">
        <v>446</v>
      </c>
      <c r="P1204" s="161">
        <v>3604.55</v>
      </c>
      <c r="Q1204" s="196">
        <v>45478</v>
      </c>
      <c r="R1204" s="153"/>
      <c r="S1204" s="153"/>
      <c r="T1204" s="153"/>
      <c r="U1204" s="153"/>
      <c r="V1204" s="153"/>
      <c r="W1204" s="153"/>
      <c r="X1204" s="153"/>
      <c r="Y1204" s="153"/>
      <c r="Z1204" s="153"/>
      <c r="AA1204" s="153"/>
    </row>
    <row r="1205" spans="1:27">
      <c r="A1205" s="154">
        <v>9</v>
      </c>
      <c r="B1205" s="155" t="s">
        <v>2023</v>
      </c>
      <c r="C1205" s="195">
        <v>45504</v>
      </c>
      <c r="D1205" s="155" t="s">
        <v>440</v>
      </c>
      <c r="E1205" s="149" t="s">
        <v>525</v>
      </c>
      <c r="F1205" s="153" t="s">
        <v>441</v>
      </c>
      <c r="G1205" s="149" t="s">
        <v>442</v>
      </c>
      <c r="H1205" s="149" t="str">
        <f t="shared" si="6"/>
        <v>PILAR CASTRO RUIZ</v>
      </c>
      <c r="I1205" s="149" t="s">
        <v>526</v>
      </c>
      <c r="J1205" s="153" t="s">
        <v>516</v>
      </c>
      <c r="K1205" s="149" t="s">
        <v>2089</v>
      </c>
      <c r="L1205" s="168">
        <v>45558</v>
      </c>
      <c r="M1205" s="164"/>
      <c r="N1205" s="163">
        <v>2</v>
      </c>
      <c r="O1205" s="165" t="s">
        <v>446</v>
      </c>
      <c r="P1205" s="161">
        <v>3545.45</v>
      </c>
      <c r="Q1205" s="196">
        <v>45504</v>
      </c>
      <c r="R1205" s="153"/>
      <c r="S1205" s="153"/>
      <c r="T1205" s="153"/>
      <c r="U1205" s="153"/>
      <c r="V1205" s="153"/>
      <c r="W1205" s="153"/>
      <c r="X1205" s="153"/>
      <c r="Y1205" s="153"/>
      <c r="Z1205" s="153"/>
      <c r="AA1205" s="153"/>
    </row>
    <row r="1206" spans="1:27">
      <c r="A1206" s="154">
        <v>9</v>
      </c>
      <c r="B1206" s="155" t="s">
        <v>2023</v>
      </c>
      <c r="C1206" s="195">
        <v>45525</v>
      </c>
      <c r="D1206" s="155" t="s">
        <v>440</v>
      </c>
      <c r="E1206" s="149" t="s">
        <v>92</v>
      </c>
      <c r="F1206" s="149" t="s">
        <v>441</v>
      </c>
      <c r="G1206" s="149" t="s">
        <v>442</v>
      </c>
      <c r="H1206" s="149" t="str">
        <f t="shared" si="6"/>
        <v>PEDRO SEGUÍ MOYA</v>
      </c>
      <c r="I1206" s="149" t="s">
        <v>779</v>
      </c>
      <c r="J1206" s="149" t="s">
        <v>462</v>
      </c>
      <c r="K1206" s="149" t="s">
        <v>2090</v>
      </c>
      <c r="L1206" s="168">
        <v>45559</v>
      </c>
      <c r="M1206" s="164"/>
      <c r="N1206" s="163">
        <v>2</v>
      </c>
      <c r="O1206" s="165" t="s">
        <v>446</v>
      </c>
      <c r="P1206" s="161">
        <v>3709.09</v>
      </c>
      <c r="Q1206" s="196">
        <v>45525</v>
      </c>
      <c r="R1206" s="153"/>
      <c r="S1206" s="153"/>
      <c r="T1206" s="153"/>
      <c r="U1206" s="153"/>
      <c r="V1206" s="153"/>
      <c r="W1206" s="153"/>
      <c r="X1206" s="153"/>
      <c r="Y1206" s="153"/>
      <c r="Z1206" s="153"/>
      <c r="AA1206" s="153"/>
    </row>
    <row r="1207" spans="1:27">
      <c r="A1207" s="154">
        <v>9</v>
      </c>
      <c r="B1207" s="155" t="s">
        <v>2023</v>
      </c>
      <c r="C1207" s="195">
        <v>45483</v>
      </c>
      <c r="D1207" s="155" t="s">
        <v>440</v>
      </c>
      <c r="E1207" s="149" t="s">
        <v>318</v>
      </c>
      <c r="F1207" s="149" t="s">
        <v>441</v>
      </c>
      <c r="G1207" s="149" t="s">
        <v>442</v>
      </c>
      <c r="H1207" s="149" t="str">
        <f t="shared" si="6"/>
        <v>ANTONIO JOSÉ FERNÁNDEZ PÉREZ</v>
      </c>
      <c r="I1207" s="149" t="s">
        <v>2091</v>
      </c>
      <c r="J1207" s="149" t="s">
        <v>636</v>
      </c>
      <c r="K1207" s="149" t="s">
        <v>2092</v>
      </c>
      <c r="L1207" s="168">
        <v>45559</v>
      </c>
      <c r="M1207" s="164"/>
      <c r="N1207" s="163">
        <v>2</v>
      </c>
      <c r="O1207" s="165" t="s">
        <v>1540</v>
      </c>
      <c r="P1207" s="161">
        <v>4000</v>
      </c>
      <c r="Q1207" s="196">
        <v>45483</v>
      </c>
      <c r="R1207" s="153"/>
      <c r="S1207" s="153"/>
      <c r="T1207" s="153"/>
      <c r="U1207" s="153"/>
      <c r="V1207" s="153"/>
      <c r="W1207" s="153"/>
      <c r="X1207" s="153"/>
      <c r="Y1207" s="153"/>
      <c r="Z1207" s="153"/>
      <c r="AA1207" s="153"/>
    </row>
    <row r="1208" spans="1:27">
      <c r="A1208" s="154">
        <v>9</v>
      </c>
      <c r="B1208" s="155" t="s">
        <v>2023</v>
      </c>
      <c r="C1208" s="195">
        <v>45533</v>
      </c>
      <c r="D1208" s="155" t="s">
        <v>440</v>
      </c>
      <c r="E1208" s="149" t="s">
        <v>311</v>
      </c>
      <c r="F1208" s="149" t="s">
        <v>441</v>
      </c>
      <c r="G1208" s="149" t="s">
        <v>442</v>
      </c>
      <c r="H1208" s="149" t="str">
        <f t="shared" si="6"/>
        <v>ÓSCAR ALFONSO ARENAS BRITEZ</v>
      </c>
      <c r="I1208" s="149" t="s">
        <v>980</v>
      </c>
      <c r="J1208" s="149" t="s">
        <v>444</v>
      </c>
      <c r="K1208" s="149" t="s">
        <v>2093</v>
      </c>
      <c r="L1208" s="168">
        <v>45559</v>
      </c>
      <c r="M1208" s="164"/>
      <c r="N1208" s="163">
        <v>2</v>
      </c>
      <c r="O1208" s="165" t="s">
        <v>513</v>
      </c>
      <c r="P1208" s="161">
        <v>3960</v>
      </c>
      <c r="Q1208" s="196">
        <v>45533</v>
      </c>
      <c r="R1208" s="153"/>
      <c r="S1208" s="153"/>
      <c r="T1208" s="153"/>
      <c r="U1208" s="153"/>
      <c r="V1208" s="153"/>
      <c r="W1208" s="153"/>
      <c r="X1208" s="153"/>
      <c r="Y1208" s="153"/>
      <c r="Z1208" s="153"/>
      <c r="AA1208" s="153"/>
    </row>
    <row r="1209" spans="1:27">
      <c r="A1209" s="154">
        <v>9</v>
      </c>
      <c r="B1209" s="155" t="s">
        <v>2023</v>
      </c>
      <c r="C1209" s="195">
        <v>45547</v>
      </c>
      <c r="D1209" s="155" t="s">
        <v>440</v>
      </c>
      <c r="E1209" s="149" t="s">
        <v>309</v>
      </c>
      <c r="F1209" s="153" t="s">
        <v>441</v>
      </c>
      <c r="G1209" s="149"/>
      <c r="H1209" s="149" t="str">
        <f t="shared" si="6"/>
        <v>BÁRBARA CASTILLO ÁVILA</v>
      </c>
      <c r="I1209" s="149" t="s">
        <v>676</v>
      </c>
      <c r="J1209" s="153" t="s">
        <v>444</v>
      </c>
      <c r="K1209" s="149" t="s">
        <v>2094</v>
      </c>
      <c r="L1209" s="168">
        <v>45559</v>
      </c>
      <c r="M1209" s="164"/>
      <c r="N1209" s="163">
        <v>2</v>
      </c>
      <c r="O1209" s="165" t="s">
        <v>446</v>
      </c>
      <c r="P1209" s="161">
        <v>3338.18</v>
      </c>
      <c r="Q1209" s="196">
        <v>45547</v>
      </c>
      <c r="R1209" s="153"/>
      <c r="S1209" s="153"/>
      <c r="T1209" s="153"/>
      <c r="U1209" s="153"/>
      <c r="V1209" s="153"/>
      <c r="W1209" s="153"/>
      <c r="X1209" s="153"/>
      <c r="Y1209" s="153"/>
      <c r="Z1209" s="153"/>
      <c r="AA1209" s="153"/>
    </row>
    <row r="1210" spans="1:27">
      <c r="A1210" s="154">
        <v>9</v>
      </c>
      <c r="B1210" s="155" t="s">
        <v>2023</v>
      </c>
      <c r="C1210" s="195">
        <v>45484</v>
      </c>
      <c r="D1210" s="155" t="s">
        <v>440</v>
      </c>
      <c r="E1210" s="149" t="s">
        <v>102</v>
      </c>
      <c r="F1210" s="153" t="s">
        <v>441</v>
      </c>
      <c r="G1210" s="149" t="s">
        <v>442</v>
      </c>
      <c r="H1210" s="149" t="str">
        <f t="shared" si="6"/>
        <v>JUAN JAVIER ÁLVAREZ LÓPEZ</v>
      </c>
      <c r="I1210" s="149" t="s">
        <v>664</v>
      </c>
      <c r="J1210" s="153" t="s">
        <v>462</v>
      </c>
      <c r="K1210" s="149" t="s">
        <v>2095</v>
      </c>
      <c r="L1210" s="168">
        <v>45559</v>
      </c>
      <c r="M1210" s="164"/>
      <c r="N1210" s="163">
        <v>1</v>
      </c>
      <c r="O1210" s="165" t="s">
        <v>1540</v>
      </c>
      <c r="P1210" s="161">
        <v>2400</v>
      </c>
      <c r="Q1210" s="196">
        <v>45484</v>
      </c>
      <c r="R1210" s="153"/>
      <c r="S1210" s="203"/>
      <c r="T1210" s="203"/>
      <c r="U1210" s="203"/>
      <c r="V1210" s="203"/>
      <c r="W1210" s="203"/>
      <c r="X1210" s="203"/>
      <c r="Y1210" s="203"/>
      <c r="Z1210" s="203"/>
      <c r="AA1210" s="203"/>
    </row>
    <row r="1211" spans="1:27">
      <c r="A1211" s="154">
        <v>9</v>
      </c>
      <c r="B1211" s="155" t="s">
        <v>2023</v>
      </c>
      <c r="C1211" s="195">
        <v>45538</v>
      </c>
      <c r="D1211" s="166" t="s">
        <v>440</v>
      </c>
      <c r="E1211" s="149" t="s">
        <v>102</v>
      </c>
      <c r="F1211" s="153" t="s">
        <v>441</v>
      </c>
      <c r="G1211" s="149" t="s">
        <v>442</v>
      </c>
      <c r="H1211" s="149" t="str">
        <f t="shared" si="6"/>
        <v>JOSÉ GARCÍA MORILLAS</v>
      </c>
      <c r="I1211" s="149" t="s">
        <v>975</v>
      </c>
      <c r="J1211" s="153" t="s">
        <v>462</v>
      </c>
      <c r="K1211" s="149" t="s">
        <v>2096</v>
      </c>
      <c r="L1211" s="168">
        <v>45559</v>
      </c>
      <c r="M1211" s="164"/>
      <c r="N1211" s="163">
        <v>2</v>
      </c>
      <c r="O1211" s="165" t="s">
        <v>1540</v>
      </c>
      <c r="P1211" s="161">
        <v>4000</v>
      </c>
      <c r="Q1211" s="196">
        <v>45538</v>
      </c>
      <c r="R1211" s="153"/>
      <c r="S1211" s="153"/>
      <c r="T1211" s="153"/>
      <c r="U1211" s="153"/>
      <c r="V1211" s="153"/>
      <c r="W1211" s="153"/>
      <c r="X1211" s="153"/>
      <c r="Y1211" s="153"/>
      <c r="Z1211" s="153"/>
      <c r="AA1211" s="153"/>
    </row>
    <row r="1212" spans="1:27">
      <c r="A1212" s="154">
        <v>9</v>
      </c>
      <c r="B1212" s="155" t="s">
        <v>2023</v>
      </c>
      <c r="C1212" s="195">
        <v>45524</v>
      </c>
      <c r="D1212" s="155" t="s">
        <v>440</v>
      </c>
      <c r="E1212" s="149" t="s">
        <v>951</v>
      </c>
      <c r="F1212" s="153" t="s">
        <v>441</v>
      </c>
      <c r="G1212" s="149" t="s">
        <v>442</v>
      </c>
      <c r="H1212" s="149" t="str">
        <f t="shared" si="6"/>
        <v>JOAQUÍN GUERRA GÓMEZ</v>
      </c>
      <c r="I1212" s="149" t="s">
        <v>714</v>
      </c>
      <c r="J1212" s="153" t="s">
        <v>516</v>
      </c>
      <c r="K1212" s="149" t="s">
        <v>2097</v>
      </c>
      <c r="L1212" s="168">
        <v>45559</v>
      </c>
      <c r="M1212" s="164"/>
      <c r="N1212" s="163">
        <v>2</v>
      </c>
      <c r="O1212" s="165" t="s">
        <v>466</v>
      </c>
      <c r="P1212" s="161">
        <v>3800</v>
      </c>
      <c r="Q1212" s="196">
        <v>45524</v>
      </c>
      <c r="R1212" s="153"/>
      <c r="S1212" s="153"/>
      <c r="T1212" s="153"/>
      <c r="U1212" s="153"/>
      <c r="V1212" s="153"/>
      <c r="W1212" s="153"/>
      <c r="X1212" s="153"/>
      <c r="Y1212" s="153"/>
      <c r="Z1212" s="153"/>
      <c r="AA1212" s="153"/>
    </row>
    <row r="1213" spans="1:27">
      <c r="A1213" s="154">
        <v>9</v>
      </c>
      <c r="B1213" s="155" t="s">
        <v>2023</v>
      </c>
      <c r="C1213" s="195">
        <v>45503</v>
      </c>
      <c r="D1213" s="155" t="s">
        <v>440</v>
      </c>
      <c r="E1213" s="149" t="s">
        <v>92</v>
      </c>
      <c r="F1213" s="149" t="s">
        <v>441</v>
      </c>
      <c r="G1213" s="149" t="s">
        <v>442</v>
      </c>
      <c r="H1213" s="149" t="str">
        <f t="shared" si="6"/>
        <v>PEDRO MASEGOSA ZAPATA</v>
      </c>
      <c r="I1213" s="149" t="s">
        <v>1066</v>
      </c>
      <c r="J1213" s="149" t="s">
        <v>462</v>
      </c>
      <c r="K1213" s="149" t="s">
        <v>2098</v>
      </c>
      <c r="L1213" s="168">
        <v>45560</v>
      </c>
      <c r="M1213" s="164"/>
      <c r="N1213" s="163">
        <v>2</v>
      </c>
      <c r="O1213" s="165" t="s">
        <v>466</v>
      </c>
      <c r="P1213" s="161">
        <v>3800</v>
      </c>
      <c r="Q1213" s="196">
        <v>45503</v>
      </c>
      <c r="R1213" s="153"/>
      <c r="S1213" s="153"/>
      <c r="T1213" s="153"/>
      <c r="U1213" s="153"/>
      <c r="V1213" s="153"/>
      <c r="W1213" s="153"/>
      <c r="X1213" s="153"/>
      <c r="Y1213" s="153"/>
      <c r="Z1213" s="153"/>
      <c r="AA1213" s="153"/>
    </row>
    <row r="1214" spans="1:27">
      <c r="A1214" s="154">
        <v>9</v>
      </c>
      <c r="B1214" s="155" t="s">
        <v>2023</v>
      </c>
      <c r="C1214" s="195">
        <v>45511</v>
      </c>
      <c r="D1214" s="155" t="s">
        <v>440</v>
      </c>
      <c r="E1214" s="149" t="s">
        <v>460</v>
      </c>
      <c r="F1214" s="149" t="s">
        <v>441</v>
      </c>
      <c r="G1214" s="149" t="s">
        <v>442</v>
      </c>
      <c r="H1214" s="149" t="str">
        <f t="shared" si="6"/>
        <v>ISABEL POLO TOMÁS</v>
      </c>
      <c r="I1214" s="149" t="s">
        <v>638</v>
      </c>
      <c r="J1214" s="149" t="s">
        <v>462</v>
      </c>
      <c r="K1214" s="149" t="s">
        <v>2099</v>
      </c>
      <c r="L1214" s="168">
        <v>45560</v>
      </c>
      <c r="M1214" s="164"/>
      <c r="N1214" s="163">
        <v>1</v>
      </c>
      <c r="O1214" s="165" t="s">
        <v>446</v>
      </c>
      <c r="P1214" s="161">
        <v>2226.44</v>
      </c>
      <c r="Q1214" s="196">
        <v>45511</v>
      </c>
      <c r="R1214" s="153"/>
      <c r="S1214" s="153"/>
      <c r="T1214" s="153"/>
      <c r="U1214" s="153"/>
      <c r="V1214" s="153"/>
      <c r="W1214" s="153"/>
      <c r="X1214" s="153"/>
      <c r="Y1214" s="153"/>
      <c r="Z1214" s="153"/>
      <c r="AA1214" s="153"/>
    </row>
    <row r="1215" spans="1:27">
      <c r="A1215" s="154">
        <v>9</v>
      </c>
      <c r="B1215" s="155" t="s">
        <v>2023</v>
      </c>
      <c r="C1215" s="195">
        <v>45530</v>
      </c>
      <c r="D1215" s="155" t="s">
        <v>440</v>
      </c>
      <c r="E1215" s="149" t="s">
        <v>546</v>
      </c>
      <c r="F1215" s="149" t="s">
        <v>441</v>
      </c>
      <c r="G1215" s="149" t="s">
        <v>442</v>
      </c>
      <c r="H1215" s="149" t="str">
        <f t="shared" si="6"/>
        <v>JAVIER GARCÍA GÓMEZ</v>
      </c>
      <c r="I1215" s="149" t="s">
        <v>946</v>
      </c>
      <c r="J1215" s="149" t="s">
        <v>548</v>
      </c>
      <c r="K1215" s="149" t="s">
        <v>2100</v>
      </c>
      <c r="L1215" s="168">
        <v>45560</v>
      </c>
      <c r="M1215" s="164"/>
      <c r="N1215" s="163">
        <v>2</v>
      </c>
      <c r="O1215" s="165" t="s">
        <v>466</v>
      </c>
      <c r="P1215" s="161">
        <v>4145.45</v>
      </c>
      <c r="Q1215" s="196">
        <v>45530</v>
      </c>
      <c r="R1215" s="153"/>
      <c r="S1215" s="153"/>
      <c r="T1215" s="153"/>
      <c r="U1215" s="153"/>
      <c r="V1215" s="153"/>
      <c r="W1215" s="153"/>
      <c r="X1215" s="153"/>
      <c r="Y1215" s="153"/>
      <c r="Z1215" s="153"/>
      <c r="AA1215" s="153"/>
    </row>
    <row r="1216" spans="1:27">
      <c r="A1216" s="154">
        <v>9</v>
      </c>
      <c r="B1216" s="155" t="s">
        <v>2023</v>
      </c>
      <c r="C1216" s="195">
        <v>45513</v>
      </c>
      <c r="D1216" s="155" t="s">
        <v>440</v>
      </c>
      <c r="E1216" s="149" t="s">
        <v>122</v>
      </c>
      <c r="F1216" s="149" t="s">
        <v>441</v>
      </c>
      <c r="G1216" s="149" t="s">
        <v>442</v>
      </c>
      <c r="H1216" s="149" t="str">
        <f t="shared" si="6"/>
        <v>CRISTINA VADUVA</v>
      </c>
      <c r="I1216" s="149" t="s">
        <v>499</v>
      </c>
      <c r="J1216" s="149" t="s">
        <v>444</v>
      </c>
      <c r="K1216" s="149" t="s">
        <v>2101</v>
      </c>
      <c r="L1216" s="168">
        <v>45560</v>
      </c>
      <c r="M1216" s="164"/>
      <c r="N1216" s="163">
        <v>1</v>
      </c>
      <c r="O1216" s="165" t="s">
        <v>446</v>
      </c>
      <c r="P1216" s="161">
        <v>2226.36</v>
      </c>
      <c r="Q1216" s="196">
        <v>45513</v>
      </c>
      <c r="R1216" s="153"/>
      <c r="S1216" s="153"/>
      <c r="T1216" s="153"/>
      <c r="U1216" s="153"/>
      <c r="V1216" s="153"/>
      <c r="W1216" s="153"/>
      <c r="X1216" s="153"/>
      <c r="Y1216" s="153"/>
      <c r="Z1216" s="153"/>
      <c r="AA1216" s="153"/>
    </row>
    <row r="1217" spans="1:27">
      <c r="A1217" s="154">
        <v>9</v>
      </c>
      <c r="B1217" s="155" t="s">
        <v>2023</v>
      </c>
      <c r="C1217" s="195">
        <v>45502</v>
      </c>
      <c r="D1217" s="155" t="s">
        <v>440</v>
      </c>
      <c r="E1217" s="149" t="s">
        <v>563</v>
      </c>
      <c r="F1217" s="153" t="s">
        <v>441</v>
      </c>
      <c r="G1217" s="149" t="s">
        <v>442</v>
      </c>
      <c r="H1217" s="149" t="str">
        <f t="shared" si="6"/>
        <v>ESTEBAN SCOLA PLIEGO</v>
      </c>
      <c r="I1217" s="149" t="s">
        <v>736</v>
      </c>
      <c r="J1217" s="153" t="s">
        <v>444</v>
      </c>
      <c r="K1217" s="149" t="s">
        <v>2102</v>
      </c>
      <c r="L1217" s="168">
        <v>45560</v>
      </c>
      <c r="M1217" s="164"/>
      <c r="N1217" s="163">
        <v>2</v>
      </c>
      <c r="O1217" s="165" t="s">
        <v>446</v>
      </c>
      <c r="P1217" s="161">
        <v>3710</v>
      </c>
      <c r="Q1217" s="196">
        <v>45502</v>
      </c>
      <c r="R1217" s="153"/>
      <c r="S1217" s="153"/>
      <c r="T1217" s="153"/>
      <c r="U1217" s="153"/>
      <c r="V1217" s="153"/>
      <c r="W1217" s="153"/>
      <c r="X1217" s="153"/>
      <c r="Y1217" s="153"/>
      <c r="Z1217" s="153"/>
      <c r="AA1217" s="153"/>
    </row>
    <row r="1218" spans="1:27">
      <c r="A1218" s="154">
        <v>9</v>
      </c>
      <c r="B1218" s="155" t="s">
        <v>2023</v>
      </c>
      <c r="C1218" s="195">
        <v>45456</v>
      </c>
      <c r="D1218" s="155" t="s">
        <v>440</v>
      </c>
      <c r="E1218" s="149" t="s">
        <v>475</v>
      </c>
      <c r="F1218" s="153" t="s">
        <v>441</v>
      </c>
      <c r="G1218" s="149" t="s">
        <v>442</v>
      </c>
      <c r="H1218" s="149" t="str">
        <f t="shared" si="6"/>
        <v>XENIA MOTA ROJAS</v>
      </c>
      <c r="I1218" s="149" t="s">
        <v>1077</v>
      </c>
      <c r="J1218" s="153" t="s">
        <v>473</v>
      </c>
      <c r="K1218" s="149" t="s">
        <v>2103</v>
      </c>
      <c r="L1218" s="168">
        <v>45560</v>
      </c>
      <c r="M1218" s="164"/>
      <c r="N1218" s="163">
        <v>1</v>
      </c>
      <c r="O1218" s="165" t="s">
        <v>446</v>
      </c>
      <c r="P1218" s="161">
        <v>1954.55</v>
      </c>
      <c r="Q1218" s="196">
        <v>45456</v>
      </c>
      <c r="R1218" s="153"/>
      <c r="S1218" s="153"/>
      <c r="T1218" s="153"/>
      <c r="U1218" s="153"/>
      <c r="V1218" s="153"/>
      <c r="W1218" s="153"/>
      <c r="X1218" s="153"/>
      <c r="Y1218" s="153"/>
      <c r="Z1218" s="153"/>
      <c r="AA1218" s="153"/>
    </row>
    <row r="1219" spans="1:27">
      <c r="A1219" s="154">
        <v>9</v>
      </c>
      <c r="B1219" s="155" t="s">
        <v>2023</v>
      </c>
      <c r="C1219" s="195">
        <v>45456</v>
      </c>
      <c r="D1219" s="155" t="s">
        <v>440</v>
      </c>
      <c r="E1219" s="149" t="s">
        <v>506</v>
      </c>
      <c r="F1219" s="153" t="s">
        <v>441</v>
      </c>
      <c r="G1219" s="149" t="s">
        <v>442</v>
      </c>
      <c r="H1219" s="149" t="str">
        <f t="shared" si="6"/>
        <v>MARTA CALVO PÉREZ</v>
      </c>
      <c r="I1219" s="149" t="s">
        <v>1764</v>
      </c>
      <c r="J1219" s="153" t="s">
        <v>473</v>
      </c>
      <c r="K1219" s="149" t="s">
        <v>2104</v>
      </c>
      <c r="L1219" s="168">
        <v>45560</v>
      </c>
      <c r="M1219" s="164"/>
      <c r="N1219" s="163">
        <v>2</v>
      </c>
      <c r="O1219" s="165" t="s">
        <v>446</v>
      </c>
      <c r="P1219" s="161">
        <v>3384.55</v>
      </c>
      <c r="Q1219" s="196">
        <v>45456</v>
      </c>
      <c r="R1219" s="153"/>
      <c r="S1219" s="153"/>
      <c r="T1219" s="153"/>
      <c r="U1219" s="153"/>
      <c r="V1219" s="153"/>
      <c r="W1219" s="153"/>
      <c r="X1219" s="153"/>
      <c r="Y1219" s="153"/>
      <c r="Z1219" s="153"/>
      <c r="AA1219" s="153"/>
    </row>
    <row r="1220" spans="1:27">
      <c r="A1220" s="154">
        <v>9</v>
      </c>
      <c r="B1220" s="155" t="s">
        <v>2023</v>
      </c>
      <c r="C1220" s="195">
        <v>45443</v>
      </c>
      <c r="D1220" s="155" t="s">
        <v>440</v>
      </c>
      <c r="E1220" s="149" t="s">
        <v>190</v>
      </c>
      <c r="F1220" s="153" t="s">
        <v>441</v>
      </c>
      <c r="G1220" s="149" t="s">
        <v>442</v>
      </c>
      <c r="H1220" s="149" t="str">
        <f t="shared" si="6"/>
        <v>DINIS ANTUNES SILVA</v>
      </c>
      <c r="I1220" s="149" t="s">
        <v>2105</v>
      </c>
      <c r="J1220" s="153" t="s">
        <v>462</v>
      </c>
      <c r="K1220" s="149" t="s">
        <v>2106</v>
      </c>
      <c r="L1220" s="168">
        <v>45560</v>
      </c>
      <c r="M1220" s="164"/>
      <c r="N1220" s="163">
        <v>2</v>
      </c>
      <c r="O1220" s="165" t="s">
        <v>449</v>
      </c>
      <c r="P1220" s="161">
        <v>2888.18</v>
      </c>
      <c r="Q1220" s="196">
        <v>45443</v>
      </c>
      <c r="R1220" s="153"/>
      <c r="S1220" s="153"/>
      <c r="T1220" s="153"/>
      <c r="U1220" s="153"/>
      <c r="V1220" s="153"/>
      <c r="W1220" s="153"/>
      <c r="X1220" s="153"/>
      <c r="Y1220" s="153"/>
      <c r="Z1220" s="153"/>
      <c r="AA1220" s="153"/>
    </row>
    <row r="1221" spans="1:27">
      <c r="A1221" s="154">
        <v>9</v>
      </c>
      <c r="B1221" s="155" t="s">
        <v>2023</v>
      </c>
      <c r="C1221" s="195">
        <v>45538</v>
      </c>
      <c r="D1221" s="155" t="s">
        <v>440</v>
      </c>
      <c r="E1221" s="149" t="s">
        <v>150</v>
      </c>
      <c r="F1221" s="153" t="s">
        <v>441</v>
      </c>
      <c r="G1221" s="149" t="s">
        <v>442</v>
      </c>
      <c r="H1221" s="149" t="str">
        <f t="shared" si="6"/>
        <v>ABEL GUZMÁN CALVETE</v>
      </c>
      <c r="I1221" s="149" t="s">
        <v>2107</v>
      </c>
      <c r="J1221" s="153" t="s">
        <v>636</v>
      </c>
      <c r="K1221" s="149" t="s">
        <v>2108</v>
      </c>
      <c r="L1221" s="168">
        <v>45560</v>
      </c>
      <c r="M1221" s="164"/>
      <c r="N1221" s="163">
        <v>1</v>
      </c>
      <c r="O1221" s="165" t="s">
        <v>1540</v>
      </c>
      <c r="P1221" s="161">
        <v>2272.73</v>
      </c>
      <c r="Q1221" s="196">
        <v>45538</v>
      </c>
      <c r="R1221" s="153"/>
      <c r="S1221" s="153"/>
      <c r="T1221" s="153"/>
      <c r="U1221" s="153"/>
      <c r="V1221" s="153"/>
      <c r="W1221" s="153"/>
      <c r="X1221" s="153"/>
      <c r="Y1221" s="153"/>
      <c r="Z1221" s="153"/>
      <c r="AA1221" s="153"/>
    </row>
    <row r="1222" spans="1:27">
      <c r="A1222" s="154">
        <v>9</v>
      </c>
      <c r="B1222" s="155" t="s">
        <v>2023</v>
      </c>
      <c r="C1222" s="195">
        <v>45544</v>
      </c>
      <c r="D1222" s="155" t="s">
        <v>440</v>
      </c>
      <c r="E1222" s="149" t="s">
        <v>109</v>
      </c>
      <c r="F1222" s="149" t="s">
        <v>441</v>
      </c>
      <c r="G1222" s="149" t="s">
        <v>442</v>
      </c>
      <c r="H1222" s="149" t="str">
        <f t="shared" si="6"/>
        <v>MARTA SANZ RODRÍGUEZ</v>
      </c>
      <c r="I1222" s="149" t="s">
        <v>2109</v>
      </c>
      <c r="J1222" s="149" t="s">
        <v>444</v>
      </c>
      <c r="K1222" s="149" t="s">
        <v>2110</v>
      </c>
      <c r="L1222" s="168">
        <v>45561</v>
      </c>
      <c r="M1222" s="164"/>
      <c r="N1222" s="163">
        <v>2</v>
      </c>
      <c r="O1222" s="165" t="s">
        <v>446</v>
      </c>
      <c r="P1222" s="161">
        <v>3710</v>
      </c>
      <c r="Q1222" s="196">
        <v>45544</v>
      </c>
      <c r="R1222" s="153"/>
      <c r="S1222" s="153"/>
      <c r="T1222" s="153"/>
      <c r="U1222" s="153"/>
      <c r="V1222" s="153"/>
      <c r="W1222" s="153"/>
      <c r="X1222" s="153"/>
      <c r="Y1222" s="153"/>
      <c r="Z1222" s="153"/>
      <c r="AA1222" s="153"/>
    </row>
    <row r="1223" spans="1:27">
      <c r="A1223" s="154">
        <v>9</v>
      </c>
      <c r="B1223" s="155" t="s">
        <v>2023</v>
      </c>
      <c r="C1223" s="195">
        <v>45539</v>
      </c>
      <c r="D1223" s="155" t="s">
        <v>440</v>
      </c>
      <c r="E1223" s="149" t="s">
        <v>122</v>
      </c>
      <c r="F1223" s="149" t="s">
        <v>441</v>
      </c>
      <c r="G1223" s="149" t="s">
        <v>442</v>
      </c>
      <c r="H1223" s="149" t="str">
        <f t="shared" si="6"/>
        <v>SERGIO Zaragoza GUIJO</v>
      </c>
      <c r="I1223" s="149" t="s">
        <v>906</v>
      </c>
      <c r="J1223" s="149" t="s">
        <v>444</v>
      </c>
      <c r="K1223" s="149" t="s">
        <v>2111</v>
      </c>
      <c r="L1223" s="168">
        <v>45561</v>
      </c>
      <c r="M1223" s="164"/>
      <c r="N1223" s="163">
        <v>1</v>
      </c>
      <c r="O1223" s="165" t="s">
        <v>1540</v>
      </c>
      <c r="P1223" s="161">
        <v>2400</v>
      </c>
      <c r="Q1223" s="196">
        <v>45539</v>
      </c>
      <c r="R1223" s="153"/>
      <c r="S1223" s="153"/>
      <c r="T1223" s="153"/>
      <c r="U1223" s="153"/>
      <c r="V1223" s="153"/>
      <c r="W1223" s="153"/>
      <c r="X1223" s="153"/>
      <c r="Y1223" s="153"/>
      <c r="Z1223" s="153"/>
      <c r="AA1223" s="153"/>
    </row>
    <row r="1224" spans="1:27">
      <c r="A1224" s="154">
        <v>9</v>
      </c>
      <c r="B1224" s="155" t="s">
        <v>2023</v>
      </c>
      <c r="C1224" s="195">
        <v>45537</v>
      </c>
      <c r="D1224" s="155" t="s">
        <v>440</v>
      </c>
      <c r="E1224" s="149" t="s">
        <v>315</v>
      </c>
      <c r="F1224" s="153" t="s">
        <v>441</v>
      </c>
      <c r="G1224" s="149" t="s">
        <v>442</v>
      </c>
      <c r="H1224" s="149" t="str">
        <f t="shared" si="6"/>
        <v>JOSÉ GUSTAVO BARROSO BRAOJOS</v>
      </c>
      <c r="I1224" s="149" t="s">
        <v>560</v>
      </c>
      <c r="J1224" s="153" t="s">
        <v>444</v>
      </c>
      <c r="K1224" s="149" t="s">
        <v>2112</v>
      </c>
      <c r="L1224" s="168">
        <v>45561</v>
      </c>
      <c r="M1224" s="164"/>
      <c r="N1224" s="163">
        <v>2</v>
      </c>
      <c r="O1224" s="165" t="s">
        <v>1540</v>
      </c>
      <c r="P1224" s="161">
        <v>4000</v>
      </c>
      <c r="Q1224" s="196">
        <v>45537</v>
      </c>
      <c r="R1224" s="153"/>
      <c r="S1224" s="153"/>
      <c r="T1224" s="153"/>
      <c r="U1224" s="153"/>
      <c r="V1224" s="153"/>
      <c r="W1224" s="153"/>
      <c r="X1224" s="153"/>
      <c r="Y1224" s="153"/>
      <c r="Z1224" s="153"/>
      <c r="AA1224" s="153"/>
    </row>
    <row r="1225" spans="1:27">
      <c r="A1225" s="154">
        <v>9</v>
      </c>
      <c r="B1225" s="155" t="s">
        <v>2023</v>
      </c>
      <c r="C1225" s="195">
        <v>45503</v>
      </c>
      <c r="D1225" s="155" t="s">
        <v>440</v>
      </c>
      <c r="E1225" s="149" t="s">
        <v>314</v>
      </c>
      <c r="F1225" s="153" t="s">
        <v>441</v>
      </c>
      <c r="G1225" s="149"/>
      <c r="H1225" s="149" t="str">
        <f t="shared" ref="H1225:H1387" si="7">TRIM(SUBSTITUTE(SUBSTITUTE(SUBSTITUTE(SUBSTITUTE(I1225,"DR. ",""),"DRA. ",""),"DR ",""),"DRA ",""))</f>
        <v>VÍCTOR JOSÉ GONZÁLEZ ARIAS</v>
      </c>
      <c r="I1225" s="149" t="s">
        <v>2013</v>
      </c>
      <c r="J1225" s="153" t="s">
        <v>444</v>
      </c>
      <c r="K1225" s="149" t="s">
        <v>2113</v>
      </c>
      <c r="L1225" s="168">
        <v>45561</v>
      </c>
      <c r="M1225" s="164"/>
      <c r="N1225" s="163">
        <v>1</v>
      </c>
      <c r="O1225" s="165" t="s">
        <v>449</v>
      </c>
      <c r="P1225" s="161">
        <v>1732.73</v>
      </c>
      <c r="Q1225" s="196">
        <v>45503</v>
      </c>
      <c r="R1225" s="153"/>
      <c r="S1225" s="153"/>
      <c r="T1225" s="153"/>
      <c r="U1225" s="153"/>
      <c r="V1225" s="153"/>
      <c r="W1225" s="153"/>
      <c r="X1225" s="153"/>
      <c r="Y1225" s="153"/>
      <c r="Z1225" s="153"/>
      <c r="AA1225" s="153"/>
    </row>
    <row r="1226" spans="1:27">
      <c r="A1226" s="154">
        <v>9</v>
      </c>
      <c r="B1226" s="155" t="s">
        <v>2023</v>
      </c>
      <c r="C1226" s="195">
        <v>45485</v>
      </c>
      <c r="D1226" s="155" t="s">
        <v>440</v>
      </c>
      <c r="E1226" s="149" t="s">
        <v>98</v>
      </c>
      <c r="F1226" s="153" t="s">
        <v>441</v>
      </c>
      <c r="G1226" s="149"/>
      <c r="H1226" s="149" t="str">
        <f t="shared" si="7"/>
        <v>JESÚS MIGUEL INIESTA TURPÍN</v>
      </c>
      <c r="I1226" s="149" t="s">
        <v>594</v>
      </c>
      <c r="J1226" s="153" t="s">
        <v>462</v>
      </c>
      <c r="K1226" s="149" t="s">
        <v>2114</v>
      </c>
      <c r="L1226" s="168">
        <v>45561</v>
      </c>
      <c r="M1226" s="164"/>
      <c r="N1226" s="163">
        <v>2</v>
      </c>
      <c r="O1226" s="165" t="s">
        <v>449</v>
      </c>
      <c r="P1226" s="161">
        <v>2888.18</v>
      </c>
      <c r="Q1226" s="196">
        <v>45485</v>
      </c>
      <c r="R1226" s="153"/>
      <c r="S1226" s="153"/>
      <c r="T1226" s="153"/>
      <c r="U1226" s="153"/>
      <c r="V1226" s="153"/>
      <c r="W1226" s="153"/>
      <c r="X1226" s="153"/>
      <c r="Y1226" s="153"/>
      <c r="Z1226" s="153"/>
      <c r="AA1226" s="153"/>
    </row>
    <row r="1227" spans="1:27">
      <c r="A1227" s="154">
        <v>9</v>
      </c>
      <c r="B1227" s="155" t="s">
        <v>2023</v>
      </c>
      <c r="C1227" s="195">
        <v>45540</v>
      </c>
      <c r="D1227" s="155" t="s">
        <v>440</v>
      </c>
      <c r="E1227" s="149" t="s">
        <v>190</v>
      </c>
      <c r="F1227" s="153" t="s">
        <v>441</v>
      </c>
      <c r="G1227" s="149" t="s">
        <v>442</v>
      </c>
      <c r="H1227" s="149" t="str">
        <f t="shared" si="7"/>
        <v>NATHALIE FAGES CÁRCELES</v>
      </c>
      <c r="I1227" s="149" t="s">
        <v>726</v>
      </c>
      <c r="J1227" s="153" t="s">
        <v>462</v>
      </c>
      <c r="K1227" s="149" t="s">
        <v>2115</v>
      </c>
      <c r="L1227" s="168">
        <v>45561</v>
      </c>
      <c r="M1227" s="164"/>
      <c r="N1227" s="163">
        <v>2</v>
      </c>
      <c r="O1227" s="165" t="s">
        <v>446</v>
      </c>
      <c r="P1227" s="161">
        <v>3785.45</v>
      </c>
      <c r="Q1227" s="196">
        <v>45540</v>
      </c>
      <c r="R1227" s="153"/>
      <c r="S1227" s="153"/>
      <c r="T1227" s="153"/>
      <c r="U1227" s="153"/>
      <c r="V1227" s="153"/>
      <c r="W1227" s="153"/>
      <c r="X1227" s="153"/>
      <c r="Y1227" s="153"/>
      <c r="Z1227" s="153"/>
      <c r="AA1227" s="153"/>
    </row>
    <row r="1228" spans="1:27">
      <c r="A1228" s="154">
        <v>9</v>
      </c>
      <c r="B1228" s="155" t="s">
        <v>2023</v>
      </c>
      <c r="C1228" s="195">
        <v>45544</v>
      </c>
      <c r="D1228" s="155" t="s">
        <v>440</v>
      </c>
      <c r="E1228" s="149" t="s">
        <v>239</v>
      </c>
      <c r="F1228" s="153" t="s">
        <v>441</v>
      </c>
      <c r="G1228" s="149" t="s">
        <v>2062</v>
      </c>
      <c r="H1228" s="149" t="str">
        <f t="shared" si="7"/>
        <v>DANIEL IVÁN MARTÍN JIMÉNEZ</v>
      </c>
      <c r="I1228" s="149" t="s">
        <v>2116</v>
      </c>
      <c r="J1228" s="153" t="s">
        <v>455</v>
      </c>
      <c r="K1228" s="149" t="s">
        <v>2117</v>
      </c>
      <c r="L1228" s="168">
        <v>45561</v>
      </c>
      <c r="M1228" s="164"/>
      <c r="N1228" s="163">
        <v>2</v>
      </c>
      <c r="O1228" s="165" t="s">
        <v>449</v>
      </c>
      <c r="P1228" s="161">
        <v>2743.77</v>
      </c>
      <c r="Q1228" s="196">
        <v>45544</v>
      </c>
      <c r="R1228" s="153"/>
      <c r="S1228" s="153"/>
      <c r="T1228" s="153"/>
      <c r="U1228" s="153"/>
      <c r="V1228" s="153"/>
      <c r="W1228" s="153"/>
      <c r="X1228" s="153"/>
      <c r="Y1228" s="153"/>
      <c r="Z1228" s="153"/>
      <c r="AA1228" s="153"/>
    </row>
    <row r="1229" spans="1:27">
      <c r="A1229" s="154">
        <v>9</v>
      </c>
      <c r="B1229" s="155" t="s">
        <v>2023</v>
      </c>
      <c r="C1229" s="195">
        <v>45482</v>
      </c>
      <c r="D1229" s="155" t="s">
        <v>440</v>
      </c>
      <c r="E1229" s="149" t="s">
        <v>485</v>
      </c>
      <c r="F1229" s="153" t="s">
        <v>441</v>
      </c>
      <c r="G1229" s="149" t="s">
        <v>442</v>
      </c>
      <c r="H1229" s="149" t="str">
        <f t="shared" si="7"/>
        <v>NO REUERDA ORL</v>
      </c>
      <c r="I1229" s="149" t="s">
        <v>469</v>
      </c>
      <c r="J1229" s="153" t="s">
        <v>473</v>
      </c>
      <c r="K1229" s="149" t="s">
        <v>2118</v>
      </c>
      <c r="L1229" s="168">
        <v>45561</v>
      </c>
      <c r="M1229" s="164"/>
      <c r="N1229" s="163">
        <v>2</v>
      </c>
      <c r="O1229" s="165" t="s">
        <v>466</v>
      </c>
      <c r="P1229" s="161">
        <v>3431.82</v>
      </c>
      <c r="Q1229" s="196">
        <v>45482</v>
      </c>
      <c r="R1229" s="153"/>
      <c r="S1229" s="153"/>
      <c r="T1229" s="153"/>
      <c r="U1229" s="153"/>
      <c r="V1229" s="153"/>
      <c r="W1229" s="153"/>
      <c r="X1229" s="153"/>
      <c r="Y1229" s="153"/>
      <c r="Z1229" s="153"/>
      <c r="AA1229" s="153"/>
    </row>
    <row r="1230" spans="1:27">
      <c r="A1230" s="154">
        <v>9</v>
      </c>
      <c r="B1230" s="155" t="s">
        <v>2023</v>
      </c>
      <c r="C1230" s="195">
        <v>45546</v>
      </c>
      <c r="D1230" s="155" t="s">
        <v>440</v>
      </c>
      <c r="E1230" s="149" t="s">
        <v>571</v>
      </c>
      <c r="F1230" s="153" t="s">
        <v>441</v>
      </c>
      <c r="G1230" s="149" t="s">
        <v>442</v>
      </c>
      <c r="H1230" s="149" t="str">
        <f t="shared" si="7"/>
        <v>PEDRO GIL PARAÍSO</v>
      </c>
      <c r="I1230" s="149" t="s">
        <v>2119</v>
      </c>
      <c r="J1230" s="153" t="s">
        <v>548</v>
      </c>
      <c r="K1230" s="149" t="s">
        <v>2120</v>
      </c>
      <c r="L1230" s="168">
        <v>45561</v>
      </c>
      <c r="M1230" s="164"/>
      <c r="N1230" s="163">
        <v>2</v>
      </c>
      <c r="O1230" s="165" t="s">
        <v>449</v>
      </c>
      <c r="P1230" s="161">
        <v>2743.64</v>
      </c>
      <c r="Q1230" s="196">
        <v>45546</v>
      </c>
      <c r="R1230" s="153"/>
      <c r="S1230" s="153"/>
      <c r="T1230" s="153"/>
      <c r="U1230" s="153"/>
      <c r="V1230" s="153"/>
      <c r="W1230" s="153"/>
      <c r="X1230" s="153"/>
      <c r="Y1230" s="153"/>
      <c r="Z1230" s="153"/>
      <c r="AA1230" s="153"/>
    </row>
    <row r="1231" spans="1:27">
      <c r="A1231" s="154">
        <v>9</v>
      </c>
      <c r="B1231" s="155" t="s">
        <v>2023</v>
      </c>
      <c r="C1231" s="195">
        <v>45495</v>
      </c>
      <c r="D1231" s="155" t="s">
        <v>440</v>
      </c>
      <c r="E1231" s="149" t="s">
        <v>109</v>
      </c>
      <c r="F1231" s="149" t="s">
        <v>441</v>
      </c>
      <c r="G1231" s="149" t="s">
        <v>442</v>
      </c>
      <c r="H1231" s="149" t="str">
        <f t="shared" si="7"/>
        <v>IRENE MÁRMOL SZMOBATHY</v>
      </c>
      <c r="I1231" s="149" t="s">
        <v>1610</v>
      </c>
      <c r="J1231" s="149" t="s">
        <v>444</v>
      </c>
      <c r="K1231" s="149" t="s">
        <v>2121</v>
      </c>
      <c r="L1231" s="168">
        <v>45562</v>
      </c>
      <c r="M1231" s="164"/>
      <c r="N1231" s="163">
        <v>2</v>
      </c>
      <c r="O1231" s="165" t="s">
        <v>449</v>
      </c>
      <c r="P1231" s="161">
        <v>2888.18</v>
      </c>
      <c r="Q1231" s="196">
        <v>45495</v>
      </c>
      <c r="R1231" s="153"/>
      <c r="S1231" s="153"/>
      <c r="T1231" s="153"/>
      <c r="U1231" s="153"/>
      <c r="V1231" s="153"/>
      <c r="W1231" s="153"/>
      <c r="X1231" s="153"/>
      <c r="Y1231" s="153"/>
      <c r="Z1231" s="153"/>
      <c r="AA1231" s="153"/>
    </row>
    <row r="1232" spans="1:27">
      <c r="A1232" s="154">
        <v>9</v>
      </c>
      <c r="B1232" s="155" t="s">
        <v>2023</v>
      </c>
      <c r="C1232" s="195">
        <v>45534</v>
      </c>
      <c r="D1232" s="155" t="s">
        <v>440</v>
      </c>
      <c r="E1232" s="149" t="s">
        <v>145</v>
      </c>
      <c r="F1232" s="149" t="s">
        <v>441</v>
      </c>
      <c r="G1232" s="149" t="s">
        <v>442</v>
      </c>
      <c r="H1232" s="149" t="str">
        <f t="shared" si="7"/>
        <v>JESUS-MARIA GRASA PÉREZ</v>
      </c>
      <c r="I1232" s="149" t="s">
        <v>591</v>
      </c>
      <c r="J1232" s="149" t="s">
        <v>532</v>
      </c>
      <c r="K1232" s="149" t="s">
        <v>2122</v>
      </c>
      <c r="L1232" s="168">
        <v>45562</v>
      </c>
      <c r="M1232" s="164"/>
      <c r="N1232" s="163">
        <v>1</v>
      </c>
      <c r="O1232" s="165" t="s">
        <v>449</v>
      </c>
      <c r="P1232" s="161">
        <v>1646.09</v>
      </c>
      <c r="Q1232" s="196">
        <v>45534</v>
      </c>
      <c r="R1232" s="153"/>
      <c r="S1232" s="153"/>
      <c r="T1232" s="153"/>
      <c r="U1232" s="153"/>
      <c r="V1232" s="153"/>
      <c r="W1232" s="153"/>
      <c r="X1232" s="153"/>
      <c r="Y1232" s="153"/>
      <c r="Z1232" s="153"/>
      <c r="AA1232" s="153"/>
    </row>
    <row r="1233" spans="1:27">
      <c r="A1233" s="154">
        <v>9</v>
      </c>
      <c r="B1233" s="155" t="s">
        <v>2023</v>
      </c>
      <c r="C1233" s="195">
        <v>45539</v>
      </c>
      <c r="D1233" s="155" t="s">
        <v>440</v>
      </c>
      <c r="E1233" s="149" t="s">
        <v>951</v>
      </c>
      <c r="F1233" s="153" t="s">
        <v>441</v>
      </c>
      <c r="G1233" s="149" t="s">
        <v>442</v>
      </c>
      <c r="H1233" s="149" t="str">
        <f t="shared" si="7"/>
        <v>GABRIEL MARTÍNEZ CAPOCCINI</v>
      </c>
      <c r="I1233" s="149" t="s">
        <v>1058</v>
      </c>
      <c r="J1233" s="153" t="s">
        <v>516</v>
      </c>
      <c r="K1233" s="149" t="s">
        <v>2123</v>
      </c>
      <c r="L1233" s="168">
        <v>45562</v>
      </c>
      <c r="M1233" s="164"/>
      <c r="N1233" s="163">
        <v>2</v>
      </c>
      <c r="O1233" s="165" t="s">
        <v>466</v>
      </c>
      <c r="P1233" s="161">
        <v>4000</v>
      </c>
      <c r="Q1233" s="196">
        <v>45539</v>
      </c>
      <c r="R1233" s="153"/>
      <c r="S1233" s="153"/>
      <c r="T1233" s="153"/>
      <c r="U1233" s="153"/>
      <c r="V1233" s="153"/>
      <c r="W1233" s="153"/>
      <c r="X1233" s="153"/>
      <c r="Y1233" s="153"/>
      <c r="Z1233" s="153"/>
      <c r="AA1233" s="153"/>
    </row>
    <row r="1234" spans="1:27">
      <c r="A1234" s="154">
        <v>9</v>
      </c>
      <c r="B1234" s="155" t="s">
        <v>2023</v>
      </c>
      <c r="C1234" s="195">
        <v>45531</v>
      </c>
      <c r="D1234" s="155" t="s">
        <v>440</v>
      </c>
      <c r="E1234" s="149" t="s">
        <v>92</v>
      </c>
      <c r="F1234" s="149" t="s">
        <v>441</v>
      </c>
      <c r="G1234" s="159" t="s">
        <v>442</v>
      </c>
      <c r="H1234" s="149" t="str">
        <f t="shared" si="7"/>
        <v>NO REUERDA ORL</v>
      </c>
      <c r="I1234" s="149" t="s">
        <v>469</v>
      </c>
      <c r="J1234" s="149" t="s">
        <v>462</v>
      </c>
      <c r="K1234" s="149" t="s">
        <v>2124</v>
      </c>
      <c r="L1234" s="168">
        <v>45565</v>
      </c>
      <c r="M1234" s="164"/>
      <c r="N1234" s="163">
        <v>2</v>
      </c>
      <c r="O1234" s="165" t="s">
        <v>466</v>
      </c>
      <c r="P1234" s="161">
        <v>4000</v>
      </c>
      <c r="Q1234" s="196">
        <v>45531</v>
      </c>
      <c r="R1234" s="153"/>
      <c r="S1234" s="153"/>
      <c r="T1234" s="153"/>
      <c r="U1234" s="153"/>
      <c r="V1234" s="153"/>
      <c r="W1234" s="153"/>
      <c r="X1234" s="153"/>
      <c r="Y1234" s="153"/>
      <c r="Z1234" s="153"/>
      <c r="AA1234" s="153"/>
    </row>
    <row r="1235" spans="1:27">
      <c r="A1235" s="154">
        <v>9</v>
      </c>
      <c r="B1235" s="155" t="s">
        <v>2023</v>
      </c>
      <c r="C1235" s="195">
        <v>45484</v>
      </c>
      <c r="D1235" s="155" t="s">
        <v>440</v>
      </c>
      <c r="E1235" s="149" t="s">
        <v>317</v>
      </c>
      <c r="F1235" s="149" t="s">
        <v>441</v>
      </c>
      <c r="G1235" s="153" t="s">
        <v>442</v>
      </c>
      <c r="H1235" s="149" t="str">
        <f t="shared" si="7"/>
        <v>FRANCISCO PASTOR BEVIÁ</v>
      </c>
      <c r="I1235" s="149" t="s">
        <v>464</v>
      </c>
      <c r="J1235" s="149" t="s">
        <v>462</v>
      </c>
      <c r="K1235" s="149" t="s">
        <v>2125</v>
      </c>
      <c r="L1235" s="168">
        <v>45565</v>
      </c>
      <c r="M1235" s="164"/>
      <c r="N1235" s="163">
        <v>2</v>
      </c>
      <c r="O1235" s="165" t="s">
        <v>449</v>
      </c>
      <c r="P1235" s="161">
        <v>3090.91</v>
      </c>
      <c r="Q1235" s="196">
        <v>45484</v>
      </c>
      <c r="R1235" s="153"/>
      <c r="S1235" s="153"/>
      <c r="T1235" s="153"/>
      <c r="U1235" s="153"/>
      <c r="V1235" s="153"/>
      <c r="W1235" s="153"/>
      <c r="X1235" s="153"/>
      <c r="Y1235" s="153"/>
      <c r="Z1235" s="153"/>
      <c r="AA1235" s="153"/>
    </row>
    <row r="1236" spans="1:27">
      <c r="A1236" s="154">
        <v>9</v>
      </c>
      <c r="B1236" s="155" t="s">
        <v>2023</v>
      </c>
      <c r="C1236" s="195">
        <v>45526</v>
      </c>
      <c r="D1236" s="155" t="s">
        <v>440</v>
      </c>
      <c r="E1236" s="149" t="s">
        <v>317</v>
      </c>
      <c r="F1236" s="149" t="s">
        <v>441</v>
      </c>
      <c r="G1236" s="149" t="s">
        <v>442</v>
      </c>
      <c r="H1236" s="149" t="str">
        <f t="shared" si="7"/>
        <v>MÓNICA RODRÍGUEZ</v>
      </c>
      <c r="I1236" s="149" t="s">
        <v>897</v>
      </c>
      <c r="J1236" s="149" t="s">
        <v>462</v>
      </c>
      <c r="K1236" s="149" t="s">
        <v>2126</v>
      </c>
      <c r="L1236" s="168">
        <v>45565</v>
      </c>
      <c r="M1236" s="164"/>
      <c r="N1236" s="163">
        <v>1</v>
      </c>
      <c r="O1236" s="165" t="s">
        <v>449</v>
      </c>
      <c r="P1236" s="161">
        <v>913.64</v>
      </c>
      <c r="Q1236" s="196">
        <v>45526</v>
      </c>
      <c r="R1236" s="153"/>
      <c r="S1236" s="153"/>
      <c r="T1236" s="153"/>
      <c r="U1236" s="153"/>
      <c r="V1236" s="153"/>
      <c r="W1236" s="153"/>
      <c r="X1236" s="153"/>
      <c r="Y1236" s="153"/>
      <c r="Z1236" s="153"/>
      <c r="AA1236" s="153"/>
    </row>
    <row r="1237" spans="1:27">
      <c r="A1237" s="154">
        <v>9</v>
      </c>
      <c r="B1237" s="155" t="s">
        <v>2023</v>
      </c>
      <c r="C1237" s="195">
        <v>45534</v>
      </c>
      <c r="D1237" s="155" t="s">
        <v>440</v>
      </c>
      <c r="E1237" s="149" t="s">
        <v>311</v>
      </c>
      <c r="F1237" s="149" t="s">
        <v>441</v>
      </c>
      <c r="G1237" s="149" t="s">
        <v>442</v>
      </c>
      <c r="H1237" s="149" t="str">
        <f t="shared" si="7"/>
        <v>ELISABETH AMARILLO ESPITIA</v>
      </c>
      <c r="I1237" s="149" t="s">
        <v>467</v>
      </c>
      <c r="J1237" s="149" t="s">
        <v>444</v>
      </c>
      <c r="K1237" s="149" t="s">
        <v>2127</v>
      </c>
      <c r="L1237" s="168">
        <v>45565</v>
      </c>
      <c r="M1237" s="164"/>
      <c r="N1237" s="163">
        <v>2</v>
      </c>
      <c r="O1237" s="165" t="s">
        <v>446</v>
      </c>
      <c r="P1237" s="161">
        <v>3454.55</v>
      </c>
      <c r="Q1237" s="196">
        <v>45534</v>
      </c>
      <c r="R1237" s="153"/>
      <c r="S1237" s="153"/>
      <c r="T1237" s="153"/>
      <c r="U1237" s="153"/>
      <c r="V1237" s="153"/>
      <c r="W1237" s="153"/>
      <c r="X1237" s="153"/>
      <c r="Y1237" s="153"/>
      <c r="Z1237" s="153"/>
      <c r="AA1237" s="153"/>
    </row>
    <row r="1238" spans="1:27">
      <c r="A1238" s="154">
        <v>9</v>
      </c>
      <c r="B1238" s="155" t="s">
        <v>2023</v>
      </c>
      <c r="C1238" s="195">
        <v>45510</v>
      </c>
      <c r="D1238" s="155" t="s">
        <v>440</v>
      </c>
      <c r="E1238" s="149" t="s">
        <v>311</v>
      </c>
      <c r="F1238" s="149" t="s">
        <v>441</v>
      </c>
      <c r="G1238" s="149" t="s">
        <v>442</v>
      </c>
      <c r="H1238" s="149" t="str">
        <f t="shared" si="7"/>
        <v>NURIA PÉREZ MARTÍN</v>
      </c>
      <c r="I1238" s="149" t="s">
        <v>1480</v>
      </c>
      <c r="J1238" s="149" t="s">
        <v>444</v>
      </c>
      <c r="K1238" s="149" t="s">
        <v>2128</v>
      </c>
      <c r="L1238" s="168">
        <v>45565</v>
      </c>
      <c r="M1238" s="164"/>
      <c r="N1238" s="163">
        <v>2</v>
      </c>
      <c r="O1238" s="165" t="s">
        <v>1540</v>
      </c>
      <c r="P1238" s="161">
        <v>3681.82</v>
      </c>
      <c r="Q1238" s="196">
        <v>45510</v>
      </c>
      <c r="R1238" s="153"/>
      <c r="S1238" s="153"/>
      <c r="T1238" s="153"/>
      <c r="U1238" s="153"/>
      <c r="V1238" s="153"/>
      <c r="W1238" s="153"/>
      <c r="X1238" s="153"/>
      <c r="Y1238" s="153"/>
      <c r="Z1238" s="153"/>
      <c r="AA1238" s="153"/>
    </row>
    <row r="1239" spans="1:27">
      <c r="A1239" s="154">
        <v>9</v>
      </c>
      <c r="B1239" s="155" t="s">
        <v>2023</v>
      </c>
      <c r="C1239" s="195">
        <v>45551</v>
      </c>
      <c r="D1239" s="155" t="s">
        <v>440</v>
      </c>
      <c r="E1239" s="149" t="s">
        <v>311</v>
      </c>
      <c r="F1239" s="149" t="s">
        <v>441</v>
      </c>
      <c r="G1239" s="149" t="s">
        <v>442</v>
      </c>
      <c r="H1239" s="149" t="str">
        <f t="shared" si="7"/>
        <v>PALOMA MARTÍN- ARAGÓN MARTIÍ</v>
      </c>
      <c r="I1239" s="149" t="s">
        <v>643</v>
      </c>
      <c r="J1239" s="149" t="s">
        <v>444</v>
      </c>
      <c r="K1239" s="149" t="s">
        <v>2129</v>
      </c>
      <c r="L1239" s="168">
        <v>45565</v>
      </c>
      <c r="M1239" s="164"/>
      <c r="N1239" s="163">
        <v>2</v>
      </c>
      <c r="O1239" s="165" t="s">
        <v>1540</v>
      </c>
      <c r="P1239" s="161">
        <v>4000</v>
      </c>
      <c r="Q1239" s="196">
        <v>45551</v>
      </c>
      <c r="R1239" s="153"/>
      <c r="S1239" s="153"/>
      <c r="T1239" s="153"/>
      <c r="U1239" s="153"/>
      <c r="V1239" s="153"/>
      <c r="W1239" s="153"/>
      <c r="X1239" s="153"/>
      <c r="Y1239" s="153"/>
      <c r="Z1239" s="153"/>
      <c r="AA1239" s="153"/>
    </row>
    <row r="1240" spans="1:27">
      <c r="A1240" s="154">
        <v>9</v>
      </c>
      <c r="B1240" s="155" t="s">
        <v>2023</v>
      </c>
      <c r="C1240" s="195">
        <v>45183</v>
      </c>
      <c r="D1240" s="155" t="s">
        <v>440</v>
      </c>
      <c r="E1240" s="149" t="s">
        <v>501</v>
      </c>
      <c r="F1240" s="153" t="s">
        <v>441</v>
      </c>
      <c r="G1240" s="149" t="s">
        <v>442</v>
      </c>
      <c r="H1240" s="149" t="str">
        <f t="shared" si="7"/>
        <v>FERNANDO SALAZAR BARCELONA</v>
      </c>
      <c r="I1240" s="149" t="s">
        <v>502</v>
      </c>
      <c r="J1240" s="153" t="s">
        <v>477</v>
      </c>
      <c r="K1240" s="149" t="s">
        <v>2130</v>
      </c>
      <c r="L1240" s="168">
        <v>45565</v>
      </c>
      <c r="M1240" s="164"/>
      <c r="N1240" s="163">
        <v>2</v>
      </c>
      <c r="O1240" s="165" t="s">
        <v>513</v>
      </c>
      <c r="P1240" s="161">
        <v>4090.91</v>
      </c>
      <c r="Q1240" s="196">
        <v>45183</v>
      </c>
      <c r="R1240" s="153"/>
      <c r="S1240" s="153"/>
      <c r="T1240" s="153"/>
      <c r="U1240" s="153"/>
      <c r="V1240" s="153"/>
      <c r="W1240" s="153"/>
      <c r="X1240" s="153"/>
      <c r="Y1240" s="153"/>
      <c r="Z1240" s="153"/>
      <c r="AA1240" s="153"/>
    </row>
    <row r="1241" spans="1:27">
      <c r="A1241" s="154">
        <v>9</v>
      </c>
      <c r="B1241" s="155" t="s">
        <v>2023</v>
      </c>
      <c r="C1241" s="195">
        <v>45433</v>
      </c>
      <c r="D1241" s="155" t="s">
        <v>440</v>
      </c>
      <c r="E1241" s="149" t="s">
        <v>271</v>
      </c>
      <c r="F1241" s="153" t="s">
        <v>441</v>
      </c>
      <c r="G1241" s="149" t="s">
        <v>442</v>
      </c>
      <c r="H1241" s="149" t="str">
        <f t="shared" si="7"/>
        <v>ANTONIO BUENO RÍOS</v>
      </c>
      <c r="I1241" s="149" t="s">
        <v>519</v>
      </c>
      <c r="J1241" s="153" t="s">
        <v>548</v>
      </c>
      <c r="K1241" s="149" t="s">
        <v>2131</v>
      </c>
      <c r="L1241" s="168">
        <v>45565</v>
      </c>
      <c r="M1241" s="164"/>
      <c r="N1241" s="163">
        <v>2</v>
      </c>
      <c r="O1241" s="165" t="s">
        <v>446</v>
      </c>
      <c r="P1241" s="161">
        <v>3710</v>
      </c>
      <c r="Q1241" s="196">
        <v>45433</v>
      </c>
      <c r="R1241" s="153"/>
      <c r="S1241" s="153"/>
      <c r="T1241" s="153"/>
      <c r="U1241" s="153"/>
      <c r="V1241" s="153"/>
      <c r="W1241" s="153"/>
      <c r="X1241" s="153"/>
      <c r="Y1241" s="153"/>
      <c r="Z1241" s="153"/>
      <c r="AA1241" s="153"/>
    </row>
    <row r="1242" spans="1:27">
      <c r="A1242" s="154">
        <v>9</v>
      </c>
      <c r="B1242" s="155" t="s">
        <v>2023</v>
      </c>
      <c r="C1242" s="195">
        <v>45467</v>
      </c>
      <c r="D1242" s="155" t="s">
        <v>440</v>
      </c>
      <c r="E1242" s="149" t="s">
        <v>158</v>
      </c>
      <c r="F1242" s="153" t="s">
        <v>441</v>
      </c>
      <c r="G1242" s="149" t="s">
        <v>441</v>
      </c>
      <c r="H1242" s="149" t="str">
        <f t="shared" si="7"/>
        <v>ANTONIO RODRÍGUEZ RIVERO</v>
      </c>
      <c r="I1242" s="149" t="s">
        <v>443</v>
      </c>
      <c r="J1242" s="153" t="s">
        <v>444</v>
      </c>
      <c r="K1242" s="149" t="s">
        <v>2132</v>
      </c>
      <c r="L1242" s="168">
        <v>45565</v>
      </c>
      <c r="M1242" s="164"/>
      <c r="N1242" s="163">
        <v>2</v>
      </c>
      <c r="O1242" s="165" t="s">
        <v>446</v>
      </c>
      <c r="P1242" s="161">
        <v>3524.5</v>
      </c>
      <c r="Q1242" s="196">
        <v>45467</v>
      </c>
      <c r="R1242" s="153"/>
      <c r="S1242" s="153"/>
      <c r="T1242" s="153"/>
      <c r="U1242" s="153"/>
      <c r="V1242" s="153"/>
      <c r="W1242" s="153"/>
      <c r="X1242" s="153"/>
      <c r="Y1242" s="153"/>
      <c r="Z1242" s="153"/>
      <c r="AA1242" s="153"/>
    </row>
    <row r="1243" spans="1:27">
      <c r="A1243" s="154">
        <v>9</v>
      </c>
      <c r="B1243" s="155" t="s">
        <v>2023</v>
      </c>
      <c r="C1243" s="195"/>
      <c r="D1243" s="155" t="s">
        <v>440</v>
      </c>
      <c r="E1243" s="149" t="s">
        <v>314</v>
      </c>
      <c r="F1243" s="153" t="s">
        <v>441</v>
      </c>
      <c r="G1243" s="149" t="s">
        <v>442</v>
      </c>
      <c r="H1243" s="149" t="str">
        <f t="shared" si="7"/>
        <v>NO REUERDA ORL</v>
      </c>
      <c r="I1243" s="149" t="s">
        <v>469</v>
      </c>
      <c r="J1243" s="153" t="s">
        <v>444</v>
      </c>
      <c r="K1243" s="149" t="s">
        <v>2133</v>
      </c>
      <c r="L1243" s="168">
        <v>45565</v>
      </c>
      <c r="M1243" s="164"/>
      <c r="N1243" s="163">
        <v>1</v>
      </c>
      <c r="O1243" s="165" t="s">
        <v>446</v>
      </c>
      <c r="P1243" s="161">
        <v>2226.36</v>
      </c>
      <c r="Q1243" s="196"/>
      <c r="R1243" s="153"/>
      <c r="S1243" s="153"/>
      <c r="T1243" s="153"/>
      <c r="U1243" s="153"/>
      <c r="V1243" s="153"/>
      <c r="W1243" s="153"/>
      <c r="X1243" s="153"/>
      <c r="Y1243" s="153"/>
      <c r="Z1243" s="153"/>
      <c r="AA1243" s="153"/>
    </row>
    <row r="1244" spans="1:27">
      <c r="A1244" s="154">
        <v>9</v>
      </c>
      <c r="B1244" s="155" t="s">
        <v>2023</v>
      </c>
      <c r="C1244" s="195">
        <v>45483</v>
      </c>
      <c r="D1244" s="155" t="s">
        <v>440</v>
      </c>
      <c r="E1244" s="149" t="s">
        <v>102</v>
      </c>
      <c r="F1244" s="153" t="s">
        <v>441</v>
      </c>
      <c r="G1244" s="149" t="s">
        <v>442</v>
      </c>
      <c r="H1244" s="149" t="str">
        <f t="shared" si="7"/>
        <v>JUAN JAVIER ÁLVAREZ LÓPEZ</v>
      </c>
      <c r="I1244" s="149" t="s">
        <v>664</v>
      </c>
      <c r="J1244" s="153" t="s">
        <v>462</v>
      </c>
      <c r="K1244" s="149" t="s">
        <v>2134</v>
      </c>
      <c r="L1244" s="168">
        <v>45565</v>
      </c>
      <c r="M1244" s="164"/>
      <c r="N1244" s="163">
        <v>2</v>
      </c>
      <c r="O1244" s="165" t="s">
        <v>1540</v>
      </c>
      <c r="P1244" s="161">
        <v>4000</v>
      </c>
      <c r="Q1244" s="196">
        <v>45483</v>
      </c>
      <c r="R1244" s="153"/>
      <c r="S1244" s="153"/>
      <c r="T1244" s="153"/>
      <c r="U1244" s="153"/>
      <c r="V1244" s="153"/>
      <c r="W1244" s="153"/>
      <c r="X1244" s="153"/>
      <c r="Y1244" s="153"/>
      <c r="Z1244" s="153"/>
      <c r="AA1244" s="153"/>
    </row>
    <row r="1245" spans="1:27">
      <c r="A1245" s="154">
        <v>9</v>
      </c>
      <c r="B1245" s="155" t="s">
        <v>2023</v>
      </c>
      <c r="C1245" s="195">
        <v>45497</v>
      </c>
      <c r="D1245" s="155" t="s">
        <v>440</v>
      </c>
      <c r="E1245" s="149" t="s">
        <v>471</v>
      </c>
      <c r="F1245" s="153" t="s">
        <v>441</v>
      </c>
      <c r="G1245" s="149" t="s">
        <v>442</v>
      </c>
      <c r="H1245" s="149" t="str">
        <f t="shared" si="7"/>
        <v>MANUEL ACUÑA GARCÍA</v>
      </c>
      <c r="I1245" s="149" t="s">
        <v>472</v>
      </c>
      <c r="J1245" s="153" t="s">
        <v>473</v>
      </c>
      <c r="K1245" s="149" t="s">
        <v>2135</v>
      </c>
      <c r="L1245" s="168">
        <v>45565</v>
      </c>
      <c r="M1245" s="164"/>
      <c r="N1245" s="163">
        <v>2</v>
      </c>
      <c r="O1245" s="165" t="s">
        <v>1540</v>
      </c>
      <c r="P1245" s="161">
        <v>4000</v>
      </c>
      <c r="Q1245" s="196">
        <v>45497</v>
      </c>
      <c r="R1245" s="153"/>
      <c r="S1245" s="153"/>
      <c r="T1245" s="153"/>
      <c r="U1245" s="153"/>
      <c r="V1245" s="153"/>
      <c r="W1245" s="153"/>
      <c r="X1245" s="153"/>
      <c r="Y1245" s="153"/>
      <c r="Z1245" s="153"/>
      <c r="AA1245" s="153"/>
    </row>
    <row r="1246" spans="1:27">
      <c r="A1246" s="154">
        <v>9</v>
      </c>
      <c r="B1246" s="155" t="s">
        <v>2023</v>
      </c>
      <c r="C1246" s="195">
        <v>45531</v>
      </c>
      <c r="D1246" s="155" t="s">
        <v>440</v>
      </c>
      <c r="E1246" s="149" t="s">
        <v>190</v>
      </c>
      <c r="F1246" s="153" t="s">
        <v>441</v>
      </c>
      <c r="G1246" s="149" t="s">
        <v>442</v>
      </c>
      <c r="H1246" s="149" t="str">
        <f t="shared" si="7"/>
        <v>Mª TERESA ALMELA ROJO</v>
      </c>
      <c r="I1246" s="149" t="s">
        <v>1137</v>
      </c>
      <c r="J1246" s="153" t="s">
        <v>462</v>
      </c>
      <c r="K1246" s="149" t="s">
        <v>2136</v>
      </c>
      <c r="L1246" s="168">
        <v>45565</v>
      </c>
      <c r="M1246" s="164"/>
      <c r="N1246" s="163">
        <v>2</v>
      </c>
      <c r="O1246" s="165" t="s">
        <v>449</v>
      </c>
      <c r="P1246" s="161">
        <v>2888.02</v>
      </c>
      <c r="Q1246" s="196">
        <v>45531</v>
      </c>
      <c r="R1246" s="153"/>
      <c r="S1246" s="153"/>
      <c r="T1246" s="153"/>
      <c r="U1246" s="153"/>
      <c r="V1246" s="153"/>
      <c r="W1246" s="153"/>
      <c r="X1246" s="153"/>
      <c r="Y1246" s="153"/>
      <c r="Z1246" s="153"/>
      <c r="AA1246" s="153"/>
    </row>
    <row r="1247" spans="1:27">
      <c r="A1247" s="154">
        <v>9</v>
      </c>
      <c r="B1247" s="155" t="s">
        <v>2023</v>
      </c>
      <c r="C1247" s="195">
        <v>45482</v>
      </c>
      <c r="D1247" s="166" t="s">
        <v>440</v>
      </c>
      <c r="E1247" s="149" t="s">
        <v>319</v>
      </c>
      <c r="F1247" s="153" t="s">
        <v>441</v>
      </c>
      <c r="G1247" s="149" t="s">
        <v>442</v>
      </c>
      <c r="H1247" s="149" t="str">
        <f t="shared" si="7"/>
        <v>NO REUERDA ORL</v>
      </c>
      <c r="I1247" s="149" t="s">
        <v>469</v>
      </c>
      <c r="J1247" s="153" t="s">
        <v>548</v>
      </c>
      <c r="K1247" s="149" t="s">
        <v>2137</v>
      </c>
      <c r="L1247" s="168">
        <v>45565</v>
      </c>
      <c r="M1247" s="164"/>
      <c r="N1247" s="163">
        <v>2</v>
      </c>
      <c r="O1247" s="165" t="s">
        <v>1540</v>
      </c>
      <c r="P1247" s="161">
        <v>4000</v>
      </c>
      <c r="Q1247" s="196">
        <v>45482</v>
      </c>
      <c r="R1247" s="153"/>
      <c r="S1247" s="153"/>
      <c r="T1247" s="153"/>
      <c r="U1247" s="153"/>
      <c r="V1247" s="153"/>
      <c r="W1247" s="153"/>
      <c r="X1247" s="153"/>
      <c r="Y1247" s="153"/>
      <c r="Z1247" s="153"/>
      <c r="AA1247" s="153"/>
    </row>
    <row r="1248" spans="1:27">
      <c r="A1248" s="154">
        <v>10</v>
      </c>
      <c r="B1248" s="155" t="s">
        <v>2138</v>
      </c>
      <c r="C1248" s="195">
        <v>45496</v>
      </c>
      <c r="D1248" s="155" t="s">
        <v>440</v>
      </c>
      <c r="E1248" s="149" t="s">
        <v>1044</v>
      </c>
      <c r="F1248" s="153" t="s">
        <v>441</v>
      </c>
      <c r="G1248" s="149" t="s">
        <v>442</v>
      </c>
      <c r="H1248" s="149" t="str">
        <f t="shared" si="7"/>
        <v>ISIDORO RUBIO CORREA</v>
      </c>
      <c r="I1248" s="149" t="s">
        <v>1783</v>
      </c>
      <c r="J1248" s="153" t="s">
        <v>455</v>
      </c>
      <c r="K1248" s="149" t="s">
        <v>2139</v>
      </c>
      <c r="L1248" s="168">
        <v>45566</v>
      </c>
      <c r="M1248" s="164"/>
      <c r="N1248" s="163">
        <v>2</v>
      </c>
      <c r="O1248" s="165" t="s">
        <v>446</v>
      </c>
      <c r="P1248" s="161">
        <v>3635.45</v>
      </c>
      <c r="Q1248" s="196">
        <v>45496</v>
      </c>
      <c r="R1248" s="153"/>
      <c r="S1248" s="153"/>
      <c r="T1248" s="153"/>
      <c r="U1248" s="153"/>
      <c r="V1248" s="153"/>
      <c r="W1248" s="153"/>
      <c r="X1248" s="153"/>
      <c r="Y1248" s="153"/>
      <c r="Z1248" s="153"/>
      <c r="AA1248" s="153"/>
    </row>
    <row r="1249" spans="1:27">
      <c r="A1249" s="207">
        <v>10</v>
      </c>
      <c r="B1249" s="208" t="s">
        <v>2138</v>
      </c>
      <c r="C1249" s="209">
        <v>45470</v>
      </c>
      <c r="D1249" s="210" t="s">
        <v>440</v>
      </c>
      <c r="E1249" s="153" t="s">
        <v>98</v>
      </c>
      <c r="F1249" s="153" t="s">
        <v>441</v>
      </c>
      <c r="G1249" s="153" t="s">
        <v>442</v>
      </c>
      <c r="H1249" s="149" t="str">
        <f t="shared" si="7"/>
        <v>MARÍA AGUSTINA SEVILLA GARCÍA</v>
      </c>
      <c r="I1249" s="153" t="s">
        <v>538</v>
      </c>
      <c r="J1249" s="153" t="s">
        <v>462</v>
      </c>
      <c r="K1249" s="153" t="s">
        <v>2140</v>
      </c>
      <c r="L1249" s="211">
        <v>45566</v>
      </c>
      <c r="M1249" s="164"/>
      <c r="N1249" s="212">
        <v>2</v>
      </c>
      <c r="O1249" s="213" t="s">
        <v>513</v>
      </c>
      <c r="P1249" s="214">
        <v>4860</v>
      </c>
      <c r="Q1249" s="215">
        <v>45470</v>
      </c>
      <c r="R1249" s="153"/>
      <c r="S1249" s="153"/>
      <c r="T1249" s="153"/>
      <c r="U1249" s="153"/>
      <c r="V1249" s="153"/>
      <c r="W1249" s="153"/>
      <c r="X1249" s="153"/>
      <c r="Y1249" s="153"/>
      <c r="Z1249" s="153"/>
      <c r="AA1249" s="153"/>
    </row>
    <row r="1250" spans="1:27">
      <c r="A1250" s="207">
        <v>10</v>
      </c>
      <c r="B1250" s="208" t="s">
        <v>2138</v>
      </c>
      <c r="C1250" s="209">
        <v>45537</v>
      </c>
      <c r="D1250" s="210" t="s">
        <v>440</v>
      </c>
      <c r="E1250" s="153" t="s">
        <v>501</v>
      </c>
      <c r="F1250" s="153" t="s">
        <v>441</v>
      </c>
      <c r="G1250" s="153" t="s">
        <v>442</v>
      </c>
      <c r="H1250" s="149" t="str">
        <f t="shared" si="7"/>
        <v>FERNANDO SALAZAR BARCELONA</v>
      </c>
      <c r="I1250" s="153" t="s">
        <v>502</v>
      </c>
      <c r="J1250" s="153" t="s">
        <v>548</v>
      </c>
      <c r="K1250" s="153" t="s">
        <v>2141</v>
      </c>
      <c r="L1250" s="211">
        <v>45567</v>
      </c>
      <c r="M1250" s="164"/>
      <c r="N1250" s="212">
        <v>2</v>
      </c>
      <c r="O1250" s="213" t="s">
        <v>446</v>
      </c>
      <c r="P1250" s="214">
        <v>3272.73</v>
      </c>
      <c r="Q1250" s="215">
        <v>45537</v>
      </c>
      <c r="R1250" s="153"/>
      <c r="S1250" s="153"/>
      <c r="T1250" s="153"/>
      <c r="U1250" s="153"/>
      <c r="V1250" s="153"/>
      <c r="W1250" s="153"/>
      <c r="X1250" s="153"/>
      <c r="Y1250" s="153"/>
      <c r="Z1250" s="153"/>
      <c r="AA1250" s="153"/>
    </row>
    <row r="1251" spans="1:27">
      <c r="A1251" s="207">
        <v>10</v>
      </c>
      <c r="B1251" s="208" t="s">
        <v>2138</v>
      </c>
      <c r="C1251" s="209">
        <v>45499</v>
      </c>
      <c r="D1251" s="210" t="s">
        <v>440</v>
      </c>
      <c r="E1251" s="153" t="s">
        <v>314</v>
      </c>
      <c r="F1251" s="153" t="s">
        <v>441</v>
      </c>
      <c r="G1251" s="153" t="s">
        <v>442</v>
      </c>
      <c r="H1251" s="149" t="str">
        <f t="shared" si="7"/>
        <v>NO REUERDA ORL</v>
      </c>
      <c r="I1251" s="149" t="s">
        <v>469</v>
      </c>
      <c r="J1251" s="153" t="s">
        <v>444</v>
      </c>
      <c r="K1251" s="153" t="s">
        <v>2142</v>
      </c>
      <c r="L1251" s="211">
        <v>45567</v>
      </c>
      <c r="M1251" s="164"/>
      <c r="N1251" s="212">
        <v>2</v>
      </c>
      <c r="O1251" s="213" t="s">
        <v>1540</v>
      </c>
      <c r="P1251" s="214">
        <v>3322.85</v>
      </c>
      <c r="Q1251" s="215">
        <v>45499</v>
      </c>
      <c r="R1251" s="153"/>
      <c r="S1251" s="153"/>
      <c r="T1251" s="153"/>
      <c r="U1251" s="153"/>
      <c r="V1251" s="153"/>
      <c r="W1251" s="153"/>
      <c r="X1251" s="153"/>
      <c r="Y1251" s="153"/>
      <c r="Z1251" s="153"/>
      <c r="AA1251" s="153"/>
    </row>
    <row r="1252" spans="1:27">
      <c r="A1252" s="207">
        <v>10</v>
      </c>
      <c r="B1252" s="208" t="s">
        <v>2138</v>
      </c>
      <c r="C1252" s="209">
        <v>45530</v>
      </c>
      <c r="D1252" s="210" t="s">
        <v>440</v>
      </c>
      <c r="E1252" s="153" t="s">
        <v>102</v>
      </c>
      <c r="F1252" s="153" t="s">
        <v>441</v>
      </c>
      <c r="G1252" s="153" t="s">
        <v>442</v>
      </c>
      <c r="H1252" s="149" t="str">
        <f t="shared" si="7"/>
        <v>NO REUERDA ORL</v>
      </c>
      <c r="I1252" s="149" t="s">
        <v>469</v>
      </c>
      <c r="J1252" s="153" t="s">
        <v>462</v>
      </c>
      <c r="K1252" s="153" t="s">
        <v>2143</v>
      </c>
      <c r="L1252" s="211">
        <v>45567</v>
      </c>
      <c r="M1252" s="164"/>
      <c r="N1252" s="212">
        <v>2</v>
      </c>
      <c r="O1252" s="213" t="s">
        <v>1540</v>
      </c>
      <c r="P1252" s="214">
        <v>4000</v>
      </c>
      <c r="Q1252" s="215">
        <v>45530</v>
      </c>
      <c r="R1252" s="153"/>
      <c r="S1252" s="153"/>
      <c r="T1252" s="153"/>
      <c r="U1252" s="153"/>
      <c r="V1252" s="153"/>
      <c r="W1252" s="153"/>
      <c r="X1252" s="153"/>
      <c r="Y1252" s="153"/>
      <c r="Z1252" s="153"/>
      <c r="AA1252" s="153"/>
    </row>
    <row r="1253" spans="1:27">
      <c r="A1253" s="207">
        <v>10</v>
      </c>
      <c r="B1253" s="208" t="s">
        <v>2138</v>
      </c>
      <c r="C1253" s="209">
        <v>45551</v>
      </c>
      <c r="D1253" s="210" t="s">
        <v>440</v>
      </c>
      <c r="E1253" s="153" t="s">
        <v>309</v>
      </c>
      <c r="F1253" s="153" t="s">
        <v>441</v>
      </c>
      <c r="G1253" s="153" t="s">
        <v>442</v>
      </c>
      <c r="H1253" s="149" t="str">
        <f t="shared" si="7"/>
        <v>CRISTINA POVEDANO FERNÁNDEZ</v>
      </c>
      <c r="I1253" s="153" t="s">
        <v>1807</v>
      </c>
      <c r="J1253" s="153" t="s">
        <v>444</v>
      </c>
      <c r="K1253" s="153" t="s">
        <v>2144</v>
      </c>
      <c r="L1253" s="211">
        <v>45568</v>
      </c>
      <c r="M1253" s="164"/>
      <c r="N1253" s="212">
        <v>2</v>
      </c>
      <c r="O1253" s="213" t="s">
        <v>449</v>
      </c>
      <c r="P1253" s="214">
        <v>2888.18</v>
      </c>
      <c r="Q1253" s="215">
        <v>45551</v>
      </c>
      <c r="R1253" s="153"/>
      <c r="S1253" s="153"/>
      <c r="T1253" s="153"/>
      <c r="U1253" s="153"/>
      <c r="V1253" s="153"/>
      <c r="W1253" s="153"/>
      <c r="X1253" s="153"/>
      <c r="Y1253" s="153"/>
      <c r="Z1253" s="153"/>
      <c r="AA1253" s="153"/>
    </row>
    <row r="1254" spans="1:27">
      <c r="A1254" s="207">
        <v>10</v>
      </c>
      <c r="B1254" s="208" t="s">
        <v>2138</v>
      </c>
      <c r="C1254" s="216">
        <v>45534</v>
      </c>
      <c r="D1254" s="210" t="s">
        <v>440</v>
      </c>
      <c r="E1254" s="153" t="s">
        <v>313</v>
      </c>
      <c r="F1254" s="153" t="s">
        <v>441</v>
      </c>
      <c r="G1254" s="153" t="s">
        <v>442</v>
      </c>
      <c r="H1254" s="149" t="str">
        <f t="shared" si="7"/>
        <v>LAURA YEGUAS RAMÍREZ</v>
      </c>
      <c r="I1254" s="153" t="s">
        <v>786</v>
      </c>
      <c r="J1254" s="153" t="s">
        <v>444</v>
      </c>
      <c r="K1254" s="153" t="s">
        <v>2145</v>
      </c>
      <c r="L1254" s="211">
        <v>45568</v>
      </c>
      <c r="M1254" s="164"/>
      <c r="N1254" s="212">
        <v>2</v>
      </c>
      <c r="O1254" s="213" t="s">
        <v>446</v>
      </c>
      <c r="P1254" s="214">
        <v>3710</v>
      </c>
      <c r="Q1254" s="196">
        <v>45534</v>
      </c>
      <c r="R1254" s="153"/>
      <c r="S1254" s="153"/>
      <c r="T1254" s="153"/>
      <c r="U1254" s="153"/>
      <c r="V1254" s="153"/>
      <c r="W1254" s="153"/>
      <c r="X1254" s="153"/>
      <c r="Y1254" s="153"/>
      <c r="Z1254" s="153"/>
      <c r="AA1254" s="153"/>
    </row>
    <row r="1255" spans="1:27">
      <c r="A1255" s="207">
        <v>10</v>
      </c>
      <c r="B1255" s="208" t="s">
        <v>2138</v>
      </c>
      <c r="C1255" s="209">
        <v>45482</v>
      </c>
      <c r="D1255" s="210" t="s">
        <v>440</v>
      </c>
      <c r="E1255" s="153" t="s">
        <v>98</v>
      </c>
      <c r="F1255" s="153" t="s">
        <v>441</v>
      </c>
      <c r="G1255" s="153" t="s">
        <v>442</v>
      </c>
      <c r="H1255" s="149" t="str">
        <f t="shared" si="7"/>
        <v>ARACELI GONZÁLEZ DELGADO</v>
      </c>
      <c r="I1255" s="153" t="s">
        <v>2146</v>
      </c>
      <c r="J1255" s="153" t="s">
        <v>462</v>
      </c>
      <c r="K1255" s="153" t="s">
        <v>2147</v>
      </c>
      <c r="L1255" s="211">
        <v>45568</v>
      </c>
      <c r="M1255" s="164"/>
      <c r="N1255" s="212">
        <v>2</v>
      </c>
      <c r="O1255" s="213" t="s">
        <v>449</v>
      </c>
      <c r="P1255" s="214">
        <v>2888.18</v>
      </c>
      <c r="Q1255" s="215">
        <v>45482</v>
      </c>
      <c r="R1255" s="153"/>
      <c r="S1255" s="153"/>
      <c r="T1255" s="153"/>
      <c r="U1255" s="153"/>
      <c r="V1255" s="153"/>
      <c r="W1255" s="153"/>
      <c r="X1255" s="153"/>
      <c r="Y1255" s="153"/>
      <c r="Z1255" s="153"/>
      <c r="AA1255" s="153"/>
    </row>
    <row r="1256" spans="1:27">
      <c r="A1256" s="207">
        <v>10</v>
      </c>
      <c r="B1256" s="208" t="s">
        <v>2138</v>
      </c>
      <c r="C1256" s="209">
        <v>45544</v>
      </c>
      <c r="D1256" s="210" t="s">
        <v>440</v>
      </c>
      <c r="E1256" s="153" t="s">
        <v>150</v>
      </c>
      <c r="F1256" s="153" t="s">
        <v>441</v>
      </c>
      <c r="G1256" s="153" t="s">
        <v>442</v>
      </c>
      <c r="H1256" s="149" t="str">
        <f t="shared" si="7"/>
        <v>MIRIAM NATSUKI</v>
      </c>
      <c r="I1256" s="153" t="s">
        <v>2148</v>
      </c>
      <c r="J1256" s="153" t="s">
        <v>636</v>
      </c>
      <c r="K1256" s="153" t="s">
        <v>2149</v>
      </c>
      <c r="L1256" s="211">
        <v>45568</v>
      </c>
      <c r="M1256" s="164"/>
      <c r="N1256" s="212">
        <v>2</v>
      </c>
      <c r="O1256" s="213" t="s">
        <v>446</v>
      </c>
      <c r="P1256" s="214">
        <v>3710</v>
      </c>
      <c r="Q1256" s="215">
        <v>45544</v>
      </c>
      <c r="R1256" s="153"/>
      <c r="S1256" s="153"/>
      <c r="T1256" s="153"/>
      <c r="U1256" s="153"/>
      <c r="V1256" s="153"/>
      <c r="W1256" s="153"/>
      <c r="X1256" s="153"/>
      <c r="Y1256" s="153"/>
      <c r="Z1256" s="153"/>
      <c r="AA1256" s="153"/>
    </row>
    <row r="1257" spans="1:27">
      <c r="A1257" s="154">
        <v>10</v>
      </c>
      <c r="B1257" s="155" t="s">
        <v>2138</v>
      </c>
      <c r="C1257" s="195">
        <v>45554</v>
      </c>
      <c r="D1257" s="155" t="s">
        <v>440</v>
      </c>
      <c r="E1257" s="149" t="s">
        <v>1461</v>
      </c>
      <c r="F1257" s="153" t="s">
        <v>441</v>
      </c>
      <c r="G1257" s="149" t="s">
        <v>442</v>
      </c>
      <c r="H1257" s="149" t="str">
        <f t="shared" si="7"/>
        <v>ANSELMO PADÍN SEARA</v>
      </c>
      <c r="I1257" s="149" t="s">
        <v>1322</v>
      </c>
      <c r="J1257" s="153" t="s">
        <v>516</v>
      </c>
      <c r="K1257" s="149" t="s">
        <v>2150</v>
      </c>
      <c r="L1257" s="168">
        <v>45569</v>
      </c>
      <c r="M1257" s="164"/>
      <c r="N1257" s="163">
        <v>1</v>
      </c>
      <c r="O1257" s="165" t="s">
        <v>446</v>
      </c>
      <c r="P1257" s="161">
        <v>563.64</v>
      </c>
      <c r="Q1257" s="196">
        <v>45554</v>
      </c>
      <c r="R1257" s="153"/>
      <c r="S1257" s="153"/>
      <c r="T1257" s="153"/>
      <c r="U1257" s="153"/>
      <c r="V1257" s="153"/>
      <c r="W1257" s="153"/>
      <c r="X1257" s="153"/>
      <c r="Y1257" s="153"/>
      <c r="Z1257" s="153"/>
      <c r="AA1257" s="153"/>
    </row>
    <row r="1258" spans="1:27">
      <c r="A1258" s="207">
        <v>10</v>
      </c>
      <c r="B1258" s="208" t="s">
        <v>2138</v>
      </c>
      <c r="C1258" s="209">
        <v>45468</v>
      </c>
      <c r="D1258" s="210" t="s">
        <v>440</v>
      </c>
      <c r="E1258" s="153" t="s">
        <v>271</v>
      </c>
      <c r="F1258" s="153" t="s">
        <v>441</v>
      </c>
      <c r="G1258" s="153" t="s">
        <v>442</v>
      </c>
      <c r="H1258" s="149" t="str">
        <f t="shared" si="7"/>
        <v>GUILLERMO SAN JUAN DE LA MORETA</v>
      </c>
      <c r="I1258" s="153" t="s">
        <v>826</v>
      </c>
      <c r="J1258" s="153" t="s">
        <v>444</v>
      </c>
      <c r="K1258" s="153" t="s">
        <v>2151</v>
      </c>
      <c r="L1258" s="211">
        <v>45569</v>
      </c>
      <c r="M1258" s="164"/>
      <c r="N1258" s="212">
        <v>2</v>
      </c>
      <c r="O1258" s="213" t="s">
        <v>513</v>
      </c>
      <c r="P1258" s="214">
        <v>4400</v>
      </c>
      <c r="Q1258" s="215">
        <v>45468</v>
      </c>
      <c r="R1258" s="153"/>
      <c r="S1258" s="153"/>
      <c r="T1258" s="153"/>
      <c r="U1258" s="153"/>
      <c r="V1258" s="153"/>
      <c r="W1258" s="153"/>
      <c r="X1258" s="153"/>
      <c r="Y1258" s="153"/>
      <c r="Z1258" s="153"/>
      <c r="AA1258" s="153"/>
    </row>
    <row r="1259" spans="1:27">
      <c r="A1259" s="207">
        <v>10</v>
      </c>
      <c r="B1259" s="208" t="s">
        <v>2138</v>
      </c>
      <c r="C1259" s="209">
        <v>45523</v>
      </c>
      <c r="D1259" s="210" t="s">
        <v>440</v>
      </c>
      <c r="E1259" s="153" t="s">
        <v>158</v>
      </c>
      <c r="F1259" s="153" t="s">
        <v>441</v>
      </c>
      <c r="G1259" s="153" t="s">
        <v>442</v>
      </c>
      <c r="H1259" s="149" t="str">
        <f t="shared" si="7"/>
        <v>JAVIER GARCÍA DOMÍNGUEZ</v>
      </c>
      <c r="I1259" s="153" t="s">
        <v>607</v>
      </c>
      <c r="J1259" s="153" t="s">
        <v>444</v>
      </c>
      <c r="K1259" s="153" t="s">
        <v>2152</v>
      </c>
      <c r="L1259" s="211">
        <v>45569</v>
      </c>
      <c r="M1259" s="164"/>
      <c r="N1259" s="212">
        <v>2</v>
      </c>
      <c r="O1259" s="213" t="s">
        <v>1540</v>
      </c>
      <c r="P1259" s="214">
        <v>4000</v>
      </c>
      <c r="Q1259" s="215">
        <v>45523</v>
      </c>
      <c r="R1259" s="153"/>
      <c r="S1259" s="153"/>
      <c r="T1259" s="153"/>
      <c r="U1259" s="153"/>
      <c r="V1259" s="153"/>
      <c r="W1259" s="153"/>
      <c r="X1259" s="153"/>
      <c r="Y1259" s="153"/>
      <c r="Z1259" s="153"/>
      <c r="AA1259" s="153"/>
    </row>
    <row r="1260" spans="1:27">
      <c r="A1260" s="207">
        <v>10</v>
      </c>
      <c r="B1260" s="208" t="s">
        <v>2138</v>
      </c>
      <c r="C1260" s="209">
        <v>45554</v>
      </c>
      <c r="D1260" s="210" t="s">
        <v>440</v>
      </c>
      <c r="E1260" s="153" t="s">
        <v>309</v>
      </c>
      <c r="F1260" s="153" t="s">
        <v>441</v>
      </c>
      <c r="G1260" s="153" t="s">
        <v>442</v>
      </c>
      <c r="H1260" s="149" t="str">
        <f t="shared" si="7"/>
        <v>JOSE JOAQUÍN GUTIÉRREZ BARQUÍN</v>
      </c>
      <c r="I1260" s="153" t="s">
        <v>716</v>
      </c>
      <c r="J1260" s="153" t="s">
        <v>444</v>
      </c>
      <c r="K1260" s="153" t="s">
        <v>2153</v>
      </c>
      <c r="L1260" s="211">
        <v>45569</v>
      </c>
      <c r="M1260" s="164"/>
      <c r="N1260" s="212">
        <v>1</v>
      </c>
      <c r="O1260" s="213" t="s">
        <v>518</v>
      </c>
      <c r="P1260" s="214">
        <v>381.82</v>
      </c>
      <c r="Q1260" s="215">
        <v>45554</v>
      </c>
      <c r="R1260" s="153"/>
      <c r="S1260" s="153"/>
      <c r="T1260" s="153"/>
      <c r="U1260" s="153"/>
      <c r="V1260" s="153"/>
      <c r="W1260" s="153"/>
      <c r="X1260" s="153"/>
      <c r="Y1260" s="153"/>
      <c r="Z1260" s="153"/>
      <c r="AA1260" s="153"/>
    </row>
    <row r="1261" spans="1:27">
      <c r="A1261" s="154">
        <v>10</v>
      </c>
      <c r="B1261" s="155" t="s">
        <v>2138</v>
      </c>
      <c r="C1261" s="195">
        <v>45540</v>
      </c>
      <c r="D1261" s="155" t="s">
        <v>440</v>
      </c>
      <c r="E1261" s="149" t="s">
        <v>145</v>
      </c>
      <c r="F1261" s="153" t="s">
        <v>441</v>
      </c>
      <c r="G1261" s="149" t="s">
        <v>442</v>
      </c>
      <c r="H1261" s="149" t="str">
        <f t="shared" si="7"/>
        <v>RODRIGUEZ</v>
      </c>
      <c r="I1261" s="149" t="s">
        <v>2154</v>
      </c>
      <c r="J1261" s="153" t="s">
        <v>532</v>
      </c>
      <c r="K1261" s="149" t="s">
        <v>2155</v>
      </c>
      <c r="L1261" s="168">
        <v>45572</v>
      </c>
      <c r="M1261" s="164"/>
      <c r="N1261" s="163">
        <v>2</v>
      </c>
      <c r="O1261" s="165" t="s">
        <v>446</v>
      </c>
      <c r="P1261" s="161">
        <v>3524.5</v>
      </c>
      <c r="Q1261" s="196">
        <v>45540</v>
      </c>
      <c r="R1261" s="153"/>
      <c r="S1261" s="153"/>
      <c r="T1261" s="153"/>
      <c r="U1261" s="153"/>
      <c r="V1261" s="153"/>
      <c r="W1261" s="153"/>
      <c r="X1261" s="153"/>
      <c r="Y1261" s="153"/>
      <c r="Z1261" s="153"/>
      <c r="AA1261" s="153"/>
    </row>
    <row r="1262" spans="1:27">
      <c r="A1262" s="207">
        <v>10</v>
      </c>
      <c r="B1262" s="208" t="s">
        <v>2138</v>
      </c>
      <c r="C1262" s="209">
        <v>45546</v>
      </c>
      <c r="D1262" s="210" t="s">
        <v>440</v>
      </c>
      <c r="E1262" s="153" t="s">
        <v>271</v>
      </c>
      <c r="F1262" s="153" t="s">
        <v>441</v>
      </c>
      <c r="G1262" s="153" t="s">
        <v>442</v>
      </c>
      <c r="H1262" s="149" t="str">
        <f t="shared" si="7"/>
        <v>NO REUERDA ORL</v>
      </c>
      <c r="I1262" s="149" t="s">
        <v>469</v>
      </c>
      <c r="J1262" s="153" t="s">
        <v>548</v>
      </c>
      <c r="K1262" s="153" t="s">
        <v>2156</v>
      </c>
      <c r="L1262" s="211">
        <v>45572</v>
      </c>
      <c r="M1262" s="164"/>
      <c r="N1262" s="212">
        <v>2</v>
      </c>
      <c r="O1262" s="213" t="s">
        <v>513</v>
      </c>
      <c r="P1262" s="214">
        <v>4400</v>
      </c>
      <c r="Q1262" s="215">
        <v>45546</v>
      </c>
      <c r="R1262" s="153"/>
      <c r="S1262" s="153"/>
      <c r="T1262" s="153"/>
      <c r="U1262" s="153"/>
      <c r="V1262" s="153"/>
      <c r="W1262" s="153"/>
      <c r="X1262" s="153"/>
      <c r="Y1262" s="153"/>
      <c r="Z1262" s="153"/>
      <c r="AA1262" s="153"/>
    </row>
    <row r="1263" spans="1:27">
      <c r="A1263" s="207">
        <v>10</v>
      </c>
      <c r="B1263" s="208" t="s">
        <v>2138</v>
      </c>
      <c r="C1263" s="209">
        <v>45545</v>
      </c>
      <c r="D1263" s="210" t="s">
        <v>440</v>
      </c>
      <c r="E1263" s="153" t="s">
        <v>313</v>
      </c>
      <c r="F1263" s="153" t="s">
        <v>441</v>
      </c>
      <c r="G1263" s="153" t="s">
        <v>442</v>
      </c>
      <c r="H1263" s="149" t="str">
        <f t="shared" si="7"/>
        <v>LORENA SANZ LÓPEZ</v>
      </c>
      <c r="I1263" s="153" t="s">
        <v>534</v>
      </c>
      <c r="J1263" s="153" t="s">
        <v>444</v>
      </c>
      <c r="K1263" s="153" t="s">
        <v>2157</v>
      </c>
      <c r="L1263" s="211">
        <v>45572</v>
      </c>
      <c r="M1263" s="164"/>
      <c r="N1263" s="212">
        <v>2</v>
      </c>
      <c r="O1263" s="213" t="s">
        <v>513</v>
      </c>
      <c r="P1263" s="214">
        <v>4090.91</v>
      </c>
      <c r="Q1263" s="215">
        <v>45545</v>
      </c>
      <c r="R1263" s="153"/>
      <c r="S1263" s="153"/>
      <c r="T1263" s="153"/>
      <c r="U1263" s="153"/>
      <c r="V1263" s="153"/>
      <c r="W1263" s="153"/>
      <c r="X1263" s="153"/>
      <c r="Y1263" s="153"/>
      <c r="Z1263" s="153"/>
      <c r="AA1263" s="153"/>
    </row>
    <row r="1264" spans="1:27">
      <c r="A1264" s="207">
        <v>10</v>
      </c>
      <c r="B1264" s="208" t="s">
        <v>2138</v>
      </c>
      <c r="C1264" s="209">
        <v>45545</v>
      </c>
      <c r="D1264" s="210" t="s">
        <v>440</v>
      </c>
      <c r="E1264" s="153" t="s">
        <v>98</v>
      </c>
      <c r="F1264" s="153" t="s">
        <v>441</v>
      </c>
      <c r="G1264" s="153" t="s">
        <v>442</v>
      </c>
      <c r="H1264" s="149" t="str">
        <f t="shared" si="7"/>
        <v>JUAN PABLO PELEGRÍN HERNÁNDEZ</v>
      </c>
      <c r="I1264" s="153" t="s">
        <v>630</v>
      </c>
      <c r="J1264" s="153" t="s">
        <v>462</v>
      </c>
      <c r="K1264" s="153" t="s">
        <v>2158</v>
      </c>
      <c r="L1264" s="211">
        <v>45572</v>
      </c>
      <c r="M1264" s="164"/>
      <c r="N1264" s="212">
        <v>2</v>
      </c>
      <c r="O1264" s="213" t="s">
        <v>1540</v>
      </c>
      <c r="P1264" s="214">
        <v>4000</v>
      </c>
      <c r="Q1264" s="215">
        <v>45545</v>
      </c>
      <c r="R1264" s="153"/>
      <c r="S1264" s="153"/>
      <c r="T1264" s="153"/>
      <c r="U1264" s="153"/>
      <c r="V1264" s="153"/>
      <c r="W1264" s="153"/>
      <c r="X1264" s="153"/>
      <c r="Y1264" s="153"/>
      <c r="Z1264" s="153"/>
      <c r="AA1264" s="153"/>
    </row>
    <row r="1265" spans="1:27">
      <c r="A1265" s="207">
        <v>10</v>
      </c>
      <c r="B1265" s="208" t="s">
        <v>2138</v>
      </c>
      <c r="C1265" s="209">
        <v>45512</v>
      </c>
      <c r="D1265" s="210" t="s">
        <v>440</v>
      </c>
      <c r="E1265" s="153" t="s">
        <v>98</v>
      </c>
      <c r="F1265" s="153" t="s">
        <v>450</v>
      </c>
      <c r="G1265" s="153" t="s">
        <v>451</v>
      </c>
      <c r="H1265" s="149" t="str">
        <f t="shared" si="7"/>
        <v>NURIA SALAS BARRIO</v>
      </c>
      <c r="I1265" s="153" t="s">
        <v>1019</v>
      </c>
      <c r="J1265" s="153" t="s">
        <v>462</v>
      </c>
      <c r="K1265" s="153" t="s">
        <v>2159</v>
      </c>
      <c r="L1265" s="211">
        <v>45572</v>
      </c>
      <c r="M1265" s="164"/>
      <c r="N1265" s="212">
        <v>2</v>
      </c>
      <c r="O1265" s="213" t="s">
        <v>1540</v>
      </c>
      <c r="P1265" s="214">
        <v>4000</v>
      </c>
      <c r="Q1265" s="215">
        <v>45512</v>
      </c>
      <c r="R1265" s="153"/>
      <c r="S1265" s="153"/>
      <c r="T1265" s="153"/>
      <c r="U1265" s="153"/>
      <c r="V1265" s="153"/>
      <c r="W1265" s="153"/>
      <c r="X1265" s="153"/>
      <c r="Y1265" s="153"/>
      <c r="Z1265" s="153"/>
      <c r="AA1265" s="153"/>
    </row>
    <row r="1266" spans="1:27">
      <c r="A1266" s="207">
        <v>10</v>
      </c>
      <c r="B1266" s="208" t="s">
        <v>2138</v>
      </c>
      <c r="C1266" s="209">
        <v>45317</v>
      </c>
      <c r="D1266" s="210" t="s">
        <v>440</v>
      </c>
      <c r="E1266" s="153" t="s">
        <v>102</v>
      </c>
      <c r="F1266" s="153" t="s">
        <v>441</v>
      </c>
      <c r="G1266" s="153" t="s">
        <v>442</v>
      </c>
      <c r="H1266" s="149" t="str">
        <f t="shared" si="7"/>
        <v>JUAN JAVIER ÁLVAREZ LÓPEZ</v>
      </c>
      <c r="I1266" s="153" t="s">
        <v>664</v>
      </c>
      <c r="J1266" s="153" t="s">
        <v>462</v>
      </c>
      <c r="K1266" s="153" t="s">
        <v>2160</v>
      </c>
      <c r="L1266" s="211">
        <v>45572</v>
      </c>
      <c r="M1266" s="164"/>
      <c r="N1266" s="212">
        <v>1</v>
      </c>
      <c r="O1266" s="213" t="s">
        <v>446</v>
      </c>
      <c r="P1266" s="214">
        <v>1968.18</v>
      </c>
      <c r="Q1266" s="215">
        <v>45317</v>
      </c>
      <c r="R1266" s="153"/>
      <c r="S1266" s="153"/>
      <c r="T1266" s="153"/>
      <c r="U1266" s="153"/>
      <c r="V1266" s="153"/>
      <c r="W1266" s="153"/>
      <c r="X1266" s="153"/>
      <c r="Y1266" s="153"/>
      <c r="Z1266" s="153"/>
      <c r="AA1266" s="153"/>
    </row>
    <row r="1267" spans="1:27">
      <c r="A1267" s="207">
        <v>10</v>
      </c>
      <c r="B1267" s="208" t="s">
        <v>2138</v>
      </c>
      <c r="C1267" s="209">
        <v>45504</v>
      </c>
      <c r="D1267" s="210" t="s">
        <v>440</v>
      </c>
      <c r="E1267" s="153" t="s">
        <v>213</v>
      </c>
      <c r="F1267" s="153" t="s">
        <v>441</v>
      </c>
      <c r="G1267" s="153" t="s">
        <v>442</v>
      </c>
      <c r="H1267" s="149" t="str">
        <f t="shared" si="7"/>
        <v>JOSÉ RAMIRO DE LEÓN LIMA</v>
      </c>
      <c r="I1267" s="153" t="s">
        <v>2161</v>
      </c>
      <c r="J1267" s="153" t="s">
        <v>636</v>
      </c>
      <c r="K1267" s="153" t="s">
        <v>2162</v>
      </c>
      <c r="L1267" s="211">
        <v>45572</v>
      </c>
      <c r="M1267" s="164"/>
      <c r="N1267" s="212">
        <v>2</v>
      </c>
      <c r="O1267" s="213" t="s">
        <v>1540</v>
      </c>
      <c r="P1267" s="214">
        <v>4000</v>
      </c>
      <c r="Q1267" s="215">
        <v>45504</v>
      </c>
      <c r="R1267" s="153"/>
      <c r="S1267" s="153"/>
      <c r="T1267" s="153"/>
      <c r="U1267" s="153"/>
      <c r="V1267" s="153"/>
      <c r="W1267" s="153"/>
      <c r="X1267" s="153"/>
      <c r="Y1267" s="153"/>
      <c r="Z1267" s="153"/>
      <c r="AA1267" s="153"/>
    </row>
    <row r="1268" spans="1:27">
      <c r="A1268" s="154">
        <v>10</v>
      </c>
      <c r="B1268" s="155" t="s">
        <v>2138</v>
      </c>
      <c r="C1268" s="195">
        <v>45545</v>
      </c>
      <c r="D1268" s="155" t="s">
        <v>440</v>
      </c>
      <c r="E1268" s="149" t="s">
        <v>460</v>
      </c>
      <c r="F1268" s="153" t="s">
        <v>441</v>
      </c>
      <c r="G1268" s="149" t="s">
        <v>442</v>
      </c>
      <c r="H1268" s="149" t="str">
        <f t="shared" si="7"/>
        <v>NO REUERDA ORL</v>
      </c>
      <c r="I1268" s="149" t="s">
        <v>469</v>
      </c>
      <c r="J1268" s="153" t="s">
        <v>462</v>
      </c>
      <c r="K1268" s="149" t="s">
        <v>2163</v>
      </c>
      <c r="L1268" s="168">
        <v>45573</v>
      </c>
      <c r="M1268" s="164"/>
      <c r="N1268" s="163">
        <v>2</v>
      </c>
      <c r="O1268" s="165" t="s">
        <v>466</v>
      </c>
      <c r="P1268" s="161">
        <v>3800</v>
      </c>
      <c r="Q1268" s="196">
        <v>45545</v>
      </c>
      <c r="R1268" s="153"/>
      <c r="S1268" s="153"/>
      <c r="T1268" s="153"/>
      <c r="U1268" s="153"/>
      <c r="V1268" s="153"/>
      <c r="W1268" s="153"/>
      <c r="X1268" s="153"/>
      <c r="Y1268" s="153"/>
      <c r="Z1268" s="153"/>
      <c r="AA1268" s="153"/>
    </row>
    <row r="1269" spans="1:27">
      <c r="A1269" s="154">
        <v>10</v>
      </c>
      <c r="B1269" s="155" t="s">
        <v>2138</v>
      </c>
      <c r="C1269" s="195">
        <v>45376</v>
      </c>
      <c r="D1269" s="155" t="s">
        <v>440</v>
      </c>
      <c r="E1269" s="149" t="s">
        <v>318</v>
      </c>
      <c r="F1269" s="153" t="s">
        <v>441</v>
      </c>
      <c r="G1269" s="149" t="s">
        <v>442</v>
      </c>
      <c r="H1269" s="149" t="str">
        <f t="shared" si="7"/>
        <v>JOAQUÍN PÉREZ RULL</v>
      </c>
      <c r="I1269" s="149" t="s">
        <v>1433</v>
      </c>
      <c r="J1269" s="153" t="s">
        <v>462</v>
      </c>
      <c r="K1269" s="149" t="s">
        <v>2164</v>
      </c>
      <c r="L1269" s="168">
        <v>45573</v>
      </c>
      <c r="M1269" s="164"/>
      <c r="N1269" s="163">
        <v>2</v>
      </c>
      <c r="O1269" s="165" t="s">
        <v>1540</v>
      </c>
      <c r="P1269" s="161">
        <v>4000</v>
      </c>
      <c r="Q1269" s="196">
        <v>45376</v>
      </c>
      <c r="R1269" s="153"/>
      <c r="S1269" s="153"/>
      <c r="T1269" s="153"/>
      <c r="U1269" s="153"/>
      <c r="V1269" s="153"/>
      <c r="W1269" s="153"/>
      <c r="X1269" s="153"/>
      <c r="Y1269" s="153"/>
      <c r="Z1269" s="153"/>
      <c r="AA1269" s="153"/>
    </row>
    <row r="1270" spans="1:27">
      <c r="A1270" s="154">
        <v>10</v>
      </c>
      <c r="B1270" s="155" t="s">
        <v>2138</v>
      </c>
      <c r="C1270" s="195">
        <v>45540</v>
      </c>
      <c r="D1270" s="155" t="s">
        <v>440</v>
      </c>
      <c r="E1270" s="149" t="s">
        <v>318</v>
      </c>
      <c r="F1270" s="153" t="s">
        <v>441</v>
      </c>
      <c r="G1270" s="149" t="s">
        <v>442</v>
      </c>
      <c r="H1270" s="149" t="str">
        <f t="shared" si="7"/>
        <v>JOSÉ LUIS BATLLES MEDINA</v>
      </c>
      <c r="I1270" s="149" t="s">
        <v>1881</v>
      </c>
      <c r="J1270" s="153" t="s">
        <v>462</v>
      </c>
      <c r="K1270" s="149" t="s">
        <v>2165</v>
      </c>
      <c r="L1270" s="168">
        <v>45573</v>
      </c>
      <c r="M1270" s="164"/>
      <c r="N1270" s="163">
        <v>2</v>
      </c>
      <c r="O1270" s="165" t="s">
        <v>446</v>
      </c>
      <c r="P1270" s="161">
        <v>3710</v>
      </c>
      <c r="Q1270" s="196">
        <v>45540</v>
      </c>
      <c r="R1270" s="153"/>
      <c r="S1270" s="153"/>
      <c r="T1270" s="153"/>
      <c r="U1270" s="153"/>
      <c r="V1270" s="153"/>
      <c r="W1270" s="153"/>
      <c r="X1270" s="153"/>
      <c r="Y1270" s="153"/>
      <c r="Z1270" s="153"/>
      <c r="AA1270" s="153"/>
    </row>
    <row r="1271" spans="1:27">
      <c r="A1271" s="154">
        <v>10</v>
      </c>
      <c r="B1271" s="155" t="s">
        <v>2138</v>
      </c>
      <c r="C1271" s="195">
        <v>45544</v>
      </c>
      <c r="D1271" s="155" t="s">
        <v>440</v>
      </c>
      <c r="E1271" s="149" t="s">
        <v>546</v>
      </c>
      <c r="F1271" s="153" t="s">
        <v>441</v>
      </c>
      <c r="G1271" s="149" t="s">
        <v>442</v>
      </c>
      <c r="H1271" s="149" t="str">
        <f t="shared" si="7"/>
        <v>ESTHER DE LA O CORROCHANO</v>
      </c>
      <c r="I1271" s="149" t="s">
        <v>2166</v>
      </c>
      <c r="J1271" s="153" t="s">
        <v>548</v>
      </c>
      <c r="K1271" s="149" t="s">
        <v>2167</v>
      </c>
      <c r="L1271" s="168">
        <v>45573</v>
      </c>
      <c r="M1271" s="164"/>
      <c r="N1271" s="163">
        <v>2</v>
      </c>
      <c r="O1271" s="165" t="s">
        <v>449</v>
      </c>
      <c r="P1271" s="161">
        <v>3185.45</v>
      </c>
      <c r="Q1271" s="196">
        <v>45544</v>
      </c>
      <c r="R1271" s="153"/>
      <c r="S1271" s="153"/>
      <c r="T1271" s="153"/>
      <c r="U1271" s="153"/>
      <c r="V1271" s="153"/>
      <c r="W1271" s="153"/>
      <c r="X1271" s="153"/>
      <c r="Y1271" s="153"/>
      <c r="Z1271" s="153"/>
      <c r="AA1271" s="153"/>
    </row>
    <row r="1272" spans="1:27">
      <c r="A1272" s="207">
        <v>10</v>
      </c>
      <c r="B1272" s="208" t="s">
        <v>2138</v>
      </c>
      <c r="C1272" s="209">
        <v>45545</v>
      </c>
      <c r="D1272" s="210" t="s">
        <v>440</v>
      </c>
      <c r="E1272" s="153" t="s">
        <v>563</v>
      </c>
      <c r="F1272" s="153" t="s">
        <v>441</v>
      </c>
      <c r="G1272" s="153" t="s">
        <v>442</v>
      </c>
      <c r="H1272" s="149" t="str">
        <f t="shared" si="7"/>
        <v>BEATRIZ SANTOS DUQUE</v>
      </c>
      <c r="I1272" s="153" t="s">
        <v>1844</v>
      </c>
      <c r="J1272" s="153" t="s">
        <v>444</v>
      </c>
      <c r="K1272" s="153" t="s">
        <v>2168</v>
      </c>
      <c r="L1272" s="211">
        <v>45573</v>
      </c>
      <c r="M1272" s="164"/>
      <c r="N1272" s="212">
        <v>1</v>
      </c>
      <c r="O1272" s="213" t="s">
        <v>446</v>
      </c>
      <c r="P1272" s="214">
        <v>2226.36</v>
      </c>
      <c r="Q1272" s="215">
        <v>45545</v>
      </c>
      <c r="R1272" s="153"/>
      <c r="S1272" s="153"/>
      <c r="T1272" s="153"/>
      <c r="U1272" s="153"/>
      <c r="V1272" s="153"/>
      <c r="W1272" s="153"/>
      <c r="X1272" s="153"/>
      <c r="Y1272" s="153"/>
      <c r="Z1272" s="153"/>
      <c r="AA1272" s="153"/>
    </row>
    <row r="1273" spans="1:27">
      <c r="A1273" s="207">
        <v>10</v>
      </c>
      <c r="B1273" s="208" t="s">
        <v>2138</v>
      </c>
      <c r="C1273" s="209">
        <v>45440</v>
      </c>
      <c r="D1273" s="210" t="s">
        <v>440</v>
      </c>
      <c r="E1273" s="153" t="s">
        <v>506</v>
      </c>
      <c r="F1273" s="153" t="s">
        <v>441</v>
      </c>
      <c r="G1273" s="153" t="s">
        <v>442</v>
      </c>
      <c r="H1273" s="149" t="str">
        <f t="shared" si="7"/>
        <v>MARÍA JESÚS CORNEJO DOMÍNGUEZ</v>
      </c>
      <c r="I1273" s="153" t="s">
        <v>507</v>
      </c>
      <c r="J1273" s="153" t="s">
        <v>473</v>
      </c>
      <c r="K1273" s="153" t="s">
        <v>2169</v>
      </c>
      <c r="L1273" s="211">
        <v>45573</v>
      </c>
      <c r="M1273" s="164"/>
      <c r="N1273" s="212">
        <v>2</v>
      </c>
      <c r="O1273" s="213" t="s">
        <v>446</v>
      </c>
      <c r="P1273" s="214">
        <v>3604.55</v>
      </c>
      <c r="Q1273" s="215">
        <v>45440</v>
      </c>
      <c r="R1273" s="153"/>
      <c r="S1273" s="153"/>
      <c r="T1273" s="153"/>
      <c r="U1273" s="153"/>
      <c r="V1273" s="153"/>
      <c r="W1273" s="153"/>
      <c r="X1273" s="153"/>
      <c r="Y1273" s="153"/>
      <c r="Z1273" s="153"/>
      <c r="AA1273" s="153"/>
    </row>
    <row r="1274" spans="1:27">
      <c r="A1274" s="154">
        <v>10</v>
      </c>
      <c r="B1274" s="155" t="s">
        <v>2138</v>
      </c>
      <c r="C1274" s="195">
        <v>45546</v>
      </c>
      <c r="D1274" s="155" t="s">
        <v>440</v>
      </c>
      <c r="E1274" s="149" t="s">
        <v>109</v>
      </c>
      <c r="F1274" s="153" t="s">
        <v>441</v>
      </c>
      <c r="G1274" s="149" t="s">
        <v>442</v>
      </c>
      <c r="H1274" s="149" t="str">
        <f t="shared" si="7"/>
        <v>MARÍA GARROTE GARROTE</v>
      </c>
      <c r="I1274" s="149" t="s">
        <v>447</v>
      </c>
      <c r="J1274" s="153" t="s">
        <v>444</v>
      </c>
      <c r="K1274" s="149" t="s">
        <v>2170</v>
      </c>
      <c r="L1274" s="168">
        <v>45574</v>
      </c>
      <c r="M1274" s="164"/>
      <c r="N1274" s="163">
        <v>2</v>
      </c>
      <c r="O1274" s="165" t="s">
        <v>1540</v>
      </c>
      <c r="P1274" s="161">
        <v>3690.91</v>
      </c>
      <c r="Q1274" s="196">
        <v>45546</v>
      </c>
      <c r="R1274" s="153"/>
      <c r="S1274" s="153"/>
      <c r="T1274" s="153"/>
      <c r="U1274" s="153"/>
      <c r="V1274" s="153"/>
      <c r="W1274" s="153"/>
      <c r="X1274" s="153"/>
      <c r="Y1274" s="153"/>
      <c r="Z1274" s="153"/>
      <c r="AA1274" s="153"/>
    </row>
    <row r="1275" spans="1:27">
      <c r="A1275" s="207">
        <v>10</v>
      </c>
      <c r="B1275" s="208" t="s">
        <v>2138</v>
      </c>
      <c r="C1275" s="209">
        <v>45551</v>
      </c>
      <c r="D1275" s="210" t="s">
        <v>440</v>
      </c>
      <c r="E1275" s="153" t="s">
        <v>501</v>
      </c>
      <c r="F1275" s="153" t="s">
        <v>441</v>
      </c>
      <c r="G1275" s="153" t="s">
        <v>442</v>
      </c>
      <c r="H1275" s="149" t="str">
        <f t="shared" si="7"/>
        <v>FERNANDO SALAZAR BARCELONA</v>
      </c>
      <c r="I1275" s="153" t="s">
        <v>502</v>
      </c>
      <c r="J1275" s="153" t="s">
        <v>548</v>
      </c>
      <c r="K1275" s="153" t="s">
        <v>2171</v>
      </c>
      <c r="L1275" s="211">
        <v>45574</v>
      </c>
      <c r="M1275" s="164"/>
      <c r="N1275" s="212">
        <v>2</v>
      </c>
      <c r="O1275" s="213" t="s">
        <v>446</v>
      </c>
      <c r="P1275" s="214">
        <v>3454.55</v>
      </c>
      <c r="Q1275" s="215">
        <v>45551</v>
      </c>
      <c r="R1275" s="153"/>
      <c r="S1275" s="153"/>
      <c r="T1275" s="153"/>
      <c r="U1275" s="153"/>
      <c r="V1275" s="153"/>
      <c r="W1275" s="153"/>
      <c r="X1275" s="153"/>
      <c r="Y1275" s="153"/>
      <c r="Z1275" s="153"/>
      <c r="AA1275" s="153"/>
    </row>
    <row r="1276" spans="1:27">
      <c r="A1276" s="207">
        <v>10</v>
      </c>
      <c r="B1276" s="208" t="s">
        <v>2138</v>
      </c>
      <c r="C1276" s="209">
        <v>45517</v>
      </c>
      <c r="D1276" s="210" t="s">
        <v>440</v>
      </c>
      <c r="E1276" s="153" t="s">
        <v>475</v>
      </c>
      <c r="F1276" s="153" t="s">
        <v>450</v>
      </c>
      <c r="G1276" s="153" t="s">
        <v>451</v>
      </c>
      <c r="H1276" s="149" t="str">
        <f t="shared" si="7"/>
        <v>JOSÉ MIGUEL TEJADA BAUTISTA</v>
      </c>
      <c r="I1276" s="153" t="s">
        <v>2172</v>
      </c>
      <c r="J1276" s="153" t="s">
        <v>473</v>
      </c>
      <c r="K1276" s="153" t="s">
        <v>2173</v>
      </c>
      <c r="L1276" s="211">
        <v>45574</v>
      </c>
      <c r="M1276" s="164"/>
      <c r="N1276" s="212">
        <v>1</v>
      </c>
      <c r="O1276" s="213" t="s">
        <v>446</v>
      </c>
      <c r="P1276" s="214">
        <v>1730.77</v>
      </c>
      <c r="Q1276" s="215">
        <v>45517</v>
      </c>
      <c r="R1276" s="153"/>
      <c r="S1276" s="153"/>
      <c r="T1276" s="153"/>
      <c r="U1276" s="153"/>
      <c r="V1276" s="153"/>
      <c r="W1276" s="153"/>
      <c r="X1276" s="153"/>
      <c r="Y1276" s="153"/>
      <c r="Z1276" s="153"/>
      <c r="AA1276" s="153"/>
    </row>
    <row r="1277" spans="1:27">
      <c r="A1277" s="207">
        <v>10</v>
      </c>
      <c r="B1277" s="208" t="s">
        <v>2138</v>
      </c>
      <c r="C1277" s="209">
        <v>45531</v>
      </c>
      <c r="D1277" s="210" t="s">
        <v>440</v>
      </c>
      <c r="E1277" s="153" t="s">
        <v>506</v>
      </c>
      <c r="F1277" s="153" t="s">
        <v>441</v>
      </c>
      <c r="G1277" s="153" t="s">
        <v>442</v>
      </c>
      <c r="H1277" s="149" t="str">
        <f t="shared" si="7"/>
        <v>LUIS MIGUEL RINCÓN ESTEBAN</v>
      </c>
      <c r="I1277" s="153" t="s">
        <v>1033</v>
      </c>
      <c r="J1277" s="153" t="s">
        <v>473</v>
      </c>
      <c r="K1277" s="153" t="s">
        <v>2174</v>
      </c>
      <c r="L1277" s="211">
        <v>45574</v>
      </c>
      <c r="M1277" s="164"/>
      <c r="N1277" s="212">
        <v>2</v>
      </c>
      <c r="O1277" s="213" t="s">
        <v>446</v>
      </c>
      <c r="P1277" s="214">
        <v>3604.55</v>
      </c>
      <c r="Q1277" s="215">
        <v>45531</v>
      </c>
      <c r="R1277" s="153"/>
      <c r="S1277" s="153"/>
      <c r="T1277" s="153"/>
      <c r="U1277" s="153"/>
      <c r="V1277" s="153"/>
      <c r="W1277" s="153"/>
      <c r="X1277" s="153"/>
      <c r="Y1277" s="153"/>
      <c r="Z1277" s="153"/>
      <c r="AA1277" s="153"/>
    </row>
    <row r="1278" spans="1:27">
      <c r="A1278" s="207">
        <v>10</v>
      </c>
      <c r="B1278" s="208" t="s">
        <v>2138</v>
      </c>
      <c r="C1278" s="209">
        <v>45545</v>
      </c>
      <c r="D1278" s="210" t="s">
        <v>440</v>
      </c>
      <c r="E1278" s="149" t="s">
        <v>115</v>
      </c>
      <c r="F1278" s="153" t="s">
        <v>441</v>
      </c>
      <c r="G1278" s="153" t="s">
        <v>442</v>
      </c>
      <c r="H1278" s="149" t="str">
        <f t="shared" si="7"/>
        <v>MARTA ALCARAZ FUENTES</v>
      </c>
      <c r="I1278" s="153" t="s">
        <v>1314</v>
      </c>
      <c r="J1278" s="153" t="s">
        <v>548</v>
      </c>
      <c r="K1278" s="153" t="s">
        <v>2175</v>
      </c>
      <c r="L1278" s="211">
        <v>45574</v>
      </c>
      <c r="M1278" s="164"/>
      <c r="N1278" s="212">
        <v>2</v>
      </c>
      <c r="O1278" s="213" t="s">
        <v>449</v>
      </c>
      <c r="P1278" s="214">
        <v>2888.18</v>
      </c>
      <c r="Q1278" s="215">
        <v>45545</v>
      </c>
      <c r="R1278" s="153"/>
      <c r="S1278" s="153"/>
      <c r="T1278" s="153"/>
      <c r="U1278" s="153"/>
      <c r="V1278" s="153"/>
      <c r="W1278" s="153"/>
      <c r="X1278" s="153"/>
      <c r="Y1278" s="153"/>
      <c r="Z1278" s="153"/>
      <c r="AA1278" s="153"/>
    </row>
    <row r="1279" spans="1:27">
      <c r="A1279" s="207">
        <v>10</v>
      </c>
      <c r="B1279" s="208" t="s">
        <v>2138</v>
      </c>
      <c r="C1279" s="209">
        <v>45530</v>
      </c>
      <c r="D1279" s="210" t="s">
        <v>440</v>
      </c>
      <c r="E1279" s="153" t="s">
        <v>485</v>
      </c>
      <c r="F1279" s="153" t="s">
        <v>441</v>
      </c>
      <c r="G1279" s="153" t="s">
        <v>442</v>
      </c>
      <c r="H1279" s="149" t="str">
        <f t="shared" si="7"/>
        <v>CARLOS MIGUEL SALVADOR MARTÍNEZ</v>
      </c>
      <c r="I1279" s="153" t="s">
        <v>633</v>
      </c>
      <c r="J1279" s="153" t="s">
        <v>473</v>
      </c>
      <c r="K1279" s="153" t="s">
        <v>2176</v>
      </c>
      <c r="L1279" s="211">
        <v>45574</v>
      </c>
      <c r="M1279" s="164"/>
      <c r="N1279" s="212">
        <v>1</v>
      </c>
      <c r="O1279" s="213" t="s">
        <v>446</v>
      </c>
      <c r="P1279" s="214">
        <v>1852.73</v>
      </c>
      <c r="Q1279" s="215">
        <v>45530</v>
      </c>
      <c r="R1279" s="153"/>
      <c r="S1279" s="153"/>
      <c r="T1279" s="153"/>
      <c r="U1279" s="153"/>
      <c r="V1279" s="153"/>
      <c r="W1279" s="153"/>
      <c r="X1279" s="153"/>
      <c r="Y1279" s="153"/>
      <c r="Z1279" s="153"/>
      <c r="AA1279" s="153"/>
    </row>
    <row r="1280" spans="1:27">
      <c r="A1280" s="154">
        <v>10</v>
      </c>
      <c r="B1280" s="155" t="s">
        <v>2138</v>
      </c>
      <c r="C1280" s="195">
        <v>45495</v>
      </c>
      <c r="D1280" s="155" t="s">
        <v>440</v>
      </c>
      <c r="E1280" s="149" t="s">
        <v>1044</v>
      </c>
      <c r="F1280" s="153" t="s">
        <v>441</v>
      </c>
      <c r="G1280" s="149" t="s">
        <v>442</v>
      </c>
      <c r="H1280" s="149" t="str">
        <f t="shared" si="7"/>
        <v>GONZALO RUIZ MORALES</v>
      </c>
      <c r="I1280" s="149" t="s">
        <v>2177</v>
      </c>
      <c r="J1280" s="153" t="s">
        <v>455</v>
      </c>
      <c r="K1280" s="149" t="s">
        <v>2178</v>
      </c>
      <c r="L1280" s="168">
        <v>45575</v>
      </c>
      <c r="M1280" s="164"/>
      <c r="N1280" s="163">
        <v>2</v>
      </c>
      <c r="O1280" s="165" t="s">
        <v>446</v>
      </c>
      <c r="P1280" s="161">
        <v>3635.45</v>
      </c>
      <c r="Q1280" s="196">
        <v>45495</v>
      </c>
      <c r="R1280" s="153"/>
      <c r="S1280" s="153"/>
      <c r="T1280" s="153"/>
      <c r="U1280" s="153"/>
      <c r="V1280" s="153"/>
      <c r="W1280" s="153"/>
      <c r="X1280" s="153"/>
      <c r="Y1280" s="153"/>
      <c r="Z1280" s="153"/>
      <c r="AA1280" s="153"/>
    </row>
    <row r="1281" spans="1:27">
      <c r="A1281" s="154">
        <v>10</v>
      </c>
      <c r="B1281" s="155" t="s">
        <v>2138</v>
      </c>
      <c r="C1281" s="195">
        <v>45545</v>
      </c>
      <c r="D1281" s="155" t="s">
        <v>440</v>
      </c>
      <c r="E1281" s="149" t="s">
        <v>546</v>
      </c>
      <c r="F1281" s="153" t="s">
        <v>441</v>
      </c>
      <c r="G1281" s="149" t="s">
        <v>442</v>
      </c>
      <c r="H1281" s="149" t="str">
        <f t="shared" si="7"/>
        <v>ANDRÉS PAULINO HERRERA</v>
      </c>
      <c r="I1281" s="149" t="s">
        <v>2179</v>
      </c>
      <c r="J1281" s="153" t="s">
        <v>548</v>
      </c>
      <c r="K1281" s="149" t="s">
        <v>2180</v>
      </c>
      <c r="L1281" s="168">
        <v>45575</v>
      </c>
      <c r="M1281" s="164"/>
      <c r="N1281" s="163">
        <v>2</v>
      </c>
      <c r="O1281" s="165" t="s">
        <v>466</v>
      </c>
      <c r="P1281" s="161">
        <v>4145.45</v>
      </c>
      <c r="Q1281" s="196">
        <v>45545</v>
      </c>
      <c r="R1281" s="153"/>
      <c r="S1281" s="153"/>
      <c r="T1281" s="153"/>
      <c r="U1281" s="153"/>
      <c r="V1281" s="153"/>
      <c r="W1281" s="153"/>
      <c r="X1281" s="153"/>
      <c r="Y1281" s="153"/>
      <c r="Z1281" s="153"/>
      <c r="AA1281" s="153"/>
    </row>
    <row r="1282" spans="1:27">
      <c r="A1282" s="207">
        <v>10</v>
      </c>
      <c r="B1282" s="208" t="s">
        <v>2138</v>
      </c>
      <c r="C1282" s="209">
        <v>45546</v>
      </c>
      <c r="D1282" s="210" t="s">
        <v>440</v>
      </c>
      <c r="E1282" s="153" t="s">
        <v>122</v>
      </c>
      <c r="F1282" s="153" t="s">
        <v>441</v>
      </c>
      <c r="G1282" s="153" t="s">
        <v>442</v>
      </c>
      <c r="H1282" s="149" t="str">
        <f t="shared" si="7"/>
        <v>VICENTE MARTÍNEZ SANTOS</v>
      </c>
      <c r="I1282" s="153" t="s">
        <v>558</v>
      </c>
      <c r="J1282" s="153" t="s">
        <v>444</v>
      </c>
      <c r="K1282" s="153" t="s">
        <v>2181</v>
      </c>
      <c r="L1282" s="211">
        <v>45575</v>
      </c>
      <c r="M1282" s="164"/>
      <c r="N1282" s="212">
        <v>2</v>
      </c>
      <c r="O1282" s="213" t="s">
        <v>446</v>
      </c>
      <c r="P1282" s="214">
        <v>3709.62</v>
      </c>
      <c r="Q1282" s="215">
        <v>45546</v>
      </c>
      <c r="R1282" s="153"/>
      <c r="S1282" s="153"/>
      <c r="T1282" s="153"/>
      <c r="U1282" s="153"/>
      <c r="V1282" s="153"/>
      <c r="W1282" s="153"/>
      <c r="X1282" s="153"/>
      <c r="Y1282" s="153"/>
      <c r="Z1282" s="153"/>
      <c r="AA1282" s="153"/>
    </row>
    <row r="1283" spans="1:27">
      <c r="A1283" s="207">
        <v>10</v>
      </c>
      <c r="B1283" s="208" t="s">
        <v>2138</v>
      </c>
      <c r="C1283" s="209">
        <v>45532</v>
      </c>
      <c r="D1283" s="210" t="s">
        <v>440</v>
      </c>
      <c r="E1283" s="153" t="s">
        <v>164</v>
      </c>
      <c r="F1283" s="153" t="s">
        <v>441</v>
      </c>
      <c r="G1283" s="153" t="s">
        <v>442</v>
      </c>
      <c r="H1283" s="149" t="str">
        <f t="shared" si="7"/>
        <v>Alejandro Harguindey Antoli-Candela</v>
      </c>
      <c r="I1283" s="153" t="s">
        <v>528</v>
      </c>
      <c r="J1283" s="153" t="s">
        <v>444</v>
      </c>
      <c r="K1283" s="153" t="s">
        <v>2182</v>
      </c>
      <c r="L1283" s="211">
        <v>45575</v>
      </c>
      <c r="M1283" s="164"/>
      <c r="N1283" s="212">
        <v>2</v>
      </c>
      <c r="O1283" s="213" t="s">
        <v>1540</v>
      </c>
      <c r="P1283" s="214">
        <v>4000</v>
      </c>
      <c r="Q1283" s="215">
        <v>45532</v>
      </c>
      <c r="R1283" s="153"/>
      <c r="S1283" s="153"/>
      <c r="T1283" s="153"/>
      <c r="U1283" s="153"/>
      <c r="V1283" s="153"/>
      <c r="W1283" s="153"/>
      <c r="X1283" s="153"/>
      <c r="Y1283" s="153"/>
      <c r="Z1283" s="153"/>
      <c r="AA1283" s="153"/>
    </row>
    <row r="1284" spans="1:27">
      <c r="A1284" s="207">
        <v>10</v>
      </c>
      <c r="B1284" s="208" t="s">
        <v>2138</v>
      </c>
      <c r="C1284" s="209">
        <v>45495</v>
      </c>
      <c r="D1284" s="210" t="s">
        <v>440</v>
      </c>
      <c r="E1284" s="153" t="s">
        <v>102</v>
      </c>
      <c r="F1284" s="153" t="s">
        <v>441</v>
      </c>
      <c r="G1284" s="153" t="s">
        <v>442</v>
      </c>
      <c r="H1284" s="149" t="str">
        <f t="shared" si="7"/>
        <v>JUAN JAVIER ÁLVAREZ LÓPEZ</v>
      </c>
      <c r="I1284" s="153" t="s">
        <v>664</v>
      </c>
      <c r="J1284" s="153" t="s">
        <v>462</v>
      </c>
      <c r="K1284" s="153" t="s">
        <v>2183</v>
      </c>
      <c r="L1284" s="211">
        <v>45575</v>
      </c>
      <c r="M1284" s="164"/>
      <c r="N1284" s="212">
        <v>2</v>
      </c>
      <c r="O1284" s="213" t="s">
        <v>1540</v>
      </c>
      <c r="P1284" s="214">
        <v>4000</v>
      </c>
      <c r="Q1284" s="215">
        <v>45495</v>
      </c>
      <c r="R1284" s="153"/>
      <c r="S1284" s="153"/>
      <c r="T1284" s="153"/>
      <c r="U1284" s="153"/>
      <c r="V1284" s="153"/>
      <c r="W1284" s="153"/>
      <c r="X1284" s="153"/>
      <c r="Y1284" s="153"/>
      <c r="Z1284" s="153"/>
      <c r="AA1284" s="153"/>
    </row>
    <row r="1285" spans="1:27">
      <c r="A1285" s="207">
        <v>10</v>
      </c>
      <c r="B1285" s="208" t="s">
        <v>2138</v>
      </c>
      <c r="C1285" s="209">
        <v>45485</v>
      </c>
      <c r="D1285" s="210" t="s">
        <v>440</v>
      </c>
      <c r="E1285" s="153" t="s">
        <v>506</v>
      </c>
      <c r="F1285" s="153" t="s">
        <v>441</v>
      </c>
      <c r="G1285" s="153" t="s">
        <v>442</v>
      </c>
      <c r="H1285" s="149" t="str">
        <f t="shared" si="7"/>
        <v>ÁNGEL MUÑOZ HERRERA</v>
      </c>
      <c r="I1285" s="153" t="s">
        <v>666</v>
      </c>
      <c r="J1285" s="153" t="s">
        <v>473</v>
      </c>
      <c r="K1285" s="153" t="s">
        <v>2184</v>
      </c>
      <c r="L1285" s="211">
        <v>45575</v>
      </c>
      <c r="M1285" s="164"/>
      <c r="N1285" s="212">
        <v>1</v>
      </c>
      <c r="O1285" s="213" t="s">
        <v>446</v>
      </c>
      <c r="P1285" s="214">
        <v>2162.73</v>
      </c>
      <c r="Q1285" s="215">
        <v>45485</v>
      </c>
      <c r="R1285" s="153"/>
      <c r="S1285" s="153"/>
      <c r="T1285" s="153"/>
      <c r="U1285" s="153"/>
      <c r="V1285" s="153"/>
      <c r="W1285" s="153"/>
      <c r="X1285" s="153"/>
      <c r="Y1285" s="153"/>
      <c r="Z1285" s="153"/>
      <c r="AA1285" s="153"/>
    </row>
    <row r="1286" spans="1:27">
      <c r="A1286" s="207">
        <v>10</v>
      </c>
      <c r="B1286" s="208" t="s">
        <v>2138</v>
      </c>
      <c r="C1286" s="209">
        <v>45545</v>
      </c>
      <c r="D1286" s="210" t="s">
        <v>440</v>
      </c>
      <c r="E1286" s="153" t="s">
        <v>312</v>
      </c>
      <c r="F1286" s="153" t="s">
        <v>450</v>
      </c>
      <c r="G1286" s="153" t="s">
        <v>451</v>
      </c>
      <c r="H1286" s="149" t="str">
        <f t="shared" si="7"/>
        <v>ELENA MOLINA FERNÁNDEZ</v>
      </c>
      <c r="I1286" s="153" t="s">
        <v>2185</v>
      </c>
      <c r="J1286" s="153" t="s">
        <v>455</v>
      </c>
      <c r="K1286" s="153" t="s">
        <v>2186</v>
      </c>
      <c r="L1286" s="211">
        <v>45575</v>
      </c>
      <c r="M1286" s="164"/>
      <c r="N1286" s="212">
        <v>2</v>
      </c>
      <c r="O1286" s="213" t="s">
        <v>466</v>
      </c>
      <c r="P1286" s="214">
        <v>4000</v>
      </c>
      <c r="Q1286" s="215">
        <v>45545</v>
      </c>
      <c r="R1286" s="153"/>
      <c r="S1286" s="153"/>
      <c r="T1286" s="153"/>
      <c r="U1286" s="153"/>
      <c r="V1286" s="153"/>
      <c r="W1286" s="153"/>
      <c r="X1286" s="153"/>
      <c r="Y1286" s="153"/>
      <c r="Z1286" s="153"/>
      <c r="AA1286" s="153"/>
    </row>
    <row r="1287" spans="1:27">
      <c r="A1287" s="154">
        <v>10</v>
      </c>
      <c r="B1287" s="155" t="s">
        <v>2138</v>
      </c>
      <c r="C1287" s="195">
        <v>45462</v>
      </c>
      <c r="D1287" s="155" t="s">
        <v>440</v>
      </c>
      <c r="E1287" s="149" t="s">
        <v>311</v>
      </c>
      <c r="F1287" s="153" t="s">
        <v>441</v>
      </c>
      <c r="G1287" s="149" t="s">
        <v>442</v>
      </c>
      <c r="H1287" s="149" t="str">
        <f t="shared" si="7"/>
        <v>MARÍA TERESA HERRERA MERA</v>
      </c>
      <c r="I1287" s="149" t="s">
        <v>564</v>
      </c>
      <c r="J1287" s="153" t="s">
        <v>444</v>
      </c>
      <c r="K1287" s="149" t="s">
        <v>2187</v>
      </c>
      <c r="L1287" s="168">
        <v>45576</v>
      </c>
      <c r="M1287" s="164"/>
      <c r="N1287" s="163">
        <v>2</v>
      </c>
      <c r="O1287" s="165" t="s">
        <v>446</v>
      </c>
      <c r="P1287" s="161">
        <v>2944.55</v>
      </c>
      <c r="Q1287" s="196">
        <v>45462</v>
      </c>
      <c r="R1287" s="153"/>
      <c r="S1287" s="153"/>
      <c r="T1287" s="153"/>
      <c r="U1287" s="153"/>
      <c r="V1287" s="153"/>
      <c r="W1287" s="153"/>
      <c r="X1287" s="153"/>
      <c r="Y1287" s="153"/>
      <c r="Z1287" s="153"/>
      <c r="AA1287" s="153"/>
    </row>
    <row r="1288" spans="1:27">
      <c r="A1288" s="154">
        <v>10</v>
      </c>
      <c r="B1288" s="155" t="s">
        <v>2138</v>
      </c>
      <c r="C1288" s="195">
        <v>45546</v>
      </c>
      <c r="D1288" s="155" t="s">
        <v>440</v>
      </c>
      <c r="E1288" s="149" t="s">
        <v>109</v>
      </c>
      <c r="F1288" s="153" t="s">
        <v>441</v>
      </c>
      <c r="G1288" s="149" t="s">
        <v>442</v>
      </c>
      <c r="H1288" s="149" t="str">
        <f t="shared" si="7"/>
        <v>MARÍA GARROTE GARROTE</v>
      </c>
      <c r="I1288" s="149" t="s">
        <v>447</v>
      </c>
      <c r="J1288" s="153" t="s">
        <v>444</v>
      </c>
      <c r="K1288" s="149" t="s">
        <v>2188</v>
      </c>
      <c r="L1288" s="168">
        <v>45576</v>
      </c>
      <c r="M1288" s="164"/>
      <c r="N1288" s="163">
        <v>1</v>
      </c>
      <c r="O1288" s="165" t="s">
        <v>1540</v>
      </c>
      <c r="P1288" s="161">
        <v>2345.4499999999998</v>
      </c>
      <c r="Q1288" s="196">
        <v>45546</v>
      </c>
      <c r="R1288" s="153"/>
      <c r="S1288" s="153"/>
      <c r="T1288" s="153"/>
      <c r="U1288" s="153"/>
      <c r="V1288" s="153"/>
      <c r="W1288" s="153"/>
      <c r="X1288" s="153"/>
      <c r="Y1288" s="153"/>
      <c r="Z1288" s="153"/>
      <c r="AA1288" s="153"/>
    </row>
    <row r="1289" spans="1:27">
      <c r="A1289" s="207">
        <v>10</v>
      </c>
      <c r="B1289" s="208" t="s">
        <v>2138</v>
      </c>
      <c r="C1289" s="209">
        <v>45530</v>
      </c>
      <c r="D1289" s="210" t="s">
        <v>440</v>
      </c>
      <c r="E1289" s="153" t="s">
        <v>671</v>
      </c>
      <c r="F1289" s="153" t="s">
        <v>441</v>
      </c>
      <c r="G1289" s="153" t="s">
        <v>442</v>
      </c>
      <c r="H1289" s="149" t="str">
        <f t="shared" si="7"/>
        <v>PEDRO JUIZ LÓPEZ</v>
      </c>
      <c r="I1289" s="153" t="s">
        <v>672</v>
      </c>
      <c r="J1289" s="153" t="s">
        <v>516</v>
      </c>
      <c r="K1289" s="153" t="s">
        <v>2189</v>
      </c>
      <c r="L1289" s="211">
        <v>45576</v>
      </c>
      <c r="M1289" s="164"/>
      <c r="N1289" s="212">
        <v>2</v>
      </c>
      <c r="O1289" s="213" t="s">
        <v>446</v>
      </c>
      <c r="P1289" s="214">
        <v>3909.09</v>
      </c>
      <c r="Q1289" s="215">
        <v>45530</v>
      </c>
      <c r="R1289" s="153"/>
      <c r="S1289" s="153"/>
      <c r="T1289" s="153"/>
      <c r="U1289" s="153"/>
      <c r="V1289" s="153"/>
      <c r="W1289" s="153"/>
      <c r="X1289" s="153"/>
      <c r="Y1289" s="153"/>
      <c r="Z1289" s="153"/>
      <c r="AA1289" s="153"/>
    </row>
    <row r="1290" spans="1:27">
      <c r="A1290" s="207">
        <v>10</v>
      </c>
      <c r="B1290" s="208" t="s">
        <v>2138</v>
      </c>
      <c r="C1290" s="209">
        <v>45551</v>
      </c>
      <c r="D1290" s="210" t="s">
        <v>440</v>
      </c>
      <c r="E1290" s="153" t="s">
        <v>309</v>
      </c>
      <c r="F1290" s="153" t="s">
        <v>441</v>
      </c>
      <c r="G1290" s="153" t="s">
        <v>442</v>
      </c>
      <c r="H1290" s="149" t="str">
        <f t="shared" si="7"/>
        <v>MARÍA SANTILLÁN SÁNCHEZ</v>
      </c>
      <c r="I1290" s="153" t="s">
        <v>493</v>
      </c>
      <c r="J1290" s="153" t="s">
        <v>444</v>
      </c>
      <c r="K1290" s="153" t="s">
        <v>2190</v>
      </c>
      <c r="L1290" s="211">
        <v>45576</v>
      </c>
      <c r="M1290" s="164"/>
      <c r="N1290" s="212">
        <v>2</v>
      </c>
      <c r="O1290" s="213" t="s">
        <v>1540</v>
      </c>
      <c r="P1290" s="214">
        <v>4000</v>
      </c>
      <c r="Q1290" s="215">
        <v>45551</v>
      </c>
      <c r="R1290" s="153"/>
      <c r="S1290" s="153"/>
      <c r="T1290" s="153"/>
      <c r="U1290" s="153"/>
      <c r="V1290" s="153"/>
      <c r="W1290" s="153"/>
      <c r="X1290" s="153"/>
      <c r="Y1290" s="153"/>
      <c r="Z1290" s="153"/>
      <c r="AA1290" s="153"/>
    </row>
    <row r="1291" spans="1:27">
      <c r="A1291" s="207">
        <v>10</v>
      </c>
      <c r="B1291" s="208" t="s">
        <v>2138</v>
      </c>
      <c r="C1291" s="209">
        <v>45524</v>
      </c>
      <c r="D1291" s="210" t="s">
        <v>440</v>
      </c>
      <c r="E1291" s="153" t="s">
        <v>475</v>
      </c>
      <c r="F1291" s="153" t="s">
        <v>441</v>
      </c>
      <c r="G1291" s="153" t="s">
        <v>442</v>
      </c>
      <c r="H1291" s="149" t="str">
        <f t="shared" si="7"/>
        <v>MÓNICA GRANDA ROSALES</v>
      </c>
      <c r="I1291" s="153" t="s">
        <v>476</v>
      </c>
      <c r="J1291" s="153" t="s">
        <v>473</v>
      </c>
      <c r="K1291" s="153" t="s">
        <v>2191</v>
      </c>
      <c r="L1291" s="211">
        <v>45576</v>
      </c>
      <c r="M1291" s="164"/>
      <c r="N1291" s="212">
        <v>2</v>
      </c>
      <c r="O1291" s="213" t="s">
        <v>466</v>
      </c>
      <c r="P1291" s="214">
        <v>4272.7299999999996</v>
      </c>
      <c r="Q1291" s="215">
        <v>45524</v>
      </c>
      <c r="R1291" s="153"/>
      <c r="S1291" s="153"/>
      <c r="T1291" s="153"/>
      <c r="U1291" s="153"/>
      <c r="V1291" s="153"/>
      <c r="W1291" s="153"/>
      <c r="X1291" s="153"/>
      <c r="Y1291" s="153"/>
      <c r="Z1291" s="153"/>
      <c r="AA1291" s="153"/>
    </row>
    <row r="1292" spans="1:27">
      <c r="A1292" s="207">
        <v>10</v>
      </c>
      <c r="B1292" s="208" t="s">
        <v>2138</v>
      </c>
      <c r="C1292" s="209">
        <v>45526</v>
      </c>
      <c r="D1292" s="210" t="s">
        <v>440</v>
      </c>
      <c r="E1292" s="153" t="s">
        <v>213</v>
      </c>
      <c r="F1292" s="153" t="s">
        <v>441</v>
      </c>
      <c r="G1292" s="153" t="s">
        <v>442</v>
      </c>
      <c r="H1292" s="149" t="str">
        <f t="shared" si="7"/>
        <v>Jean Franco Intraprendente Martini</v>
      </c>
      <c r="I1292" s="153" t="s">
        <v>2192</v>
      </c>
      <c r="J1292" s="153" t="s">
        <v>636</v>
      </c>
      <c r="K1292" s="153" t="s">
        <v>2193</v>
      </c>
      <c r="L1292" s="211">
        <v>45576</v>
      </c>
      <c r="M1292" s="164"/>
      <c r="N1292" s="212">
        <v>2</v>
      </c>
      <c r="O1292" s="213" t="s">
        <v>446</v>
      </c>
      <c r="P1292" s="214">
        <v>3524.5</v>
      </c>
      <c r="Q1292" s="215">
        <v>45526</v>
      </c>
      <c r="R1292" s="153"/>
      <c r="S1292" s="153"/>
      <c r="T1292" s="153"/>
      <c r="U1292" s="153"/>
      <c r="V1292" s="153"/>
      <c r="W1292" s="153"/>
      <c r="X1292" s="153"/>
      <c r="Y1292" s="153"/>
      <c r="Z1292" s="153"/>
      <c r="AA1292" s="153"/>
    </row>
    <row r="1293" spans="1:27">
      <c r="A1293" s="207">
        <v>10</v>
      </c>
      <c r="B1293" s="208" t="s">
        <v>2138</v>
      </c>
      <c r="C1293" s="209">
        <v>45547</v>
      </c>
      <c r="D1293" s="210" t="s">
        <v>440</v>
      </c>
      <c r="E1293" s="149" t="s">
        <v>571</v>
      </c>
      <c r="F1293" s="149" t="s">
        <v>441</v>
      </c>
      <c r="G1293" s="149" t="s">
        <v>442</v>
      </c>
      <c r="H1293" s="149" t="str">
        <f t="shared" si="7"/>
        <v>JOSÉ MANUEL GARCÍA SOLANS-ESTERAS</v>
      </c>
      <c r="I1293" s="149" t="s">
        <v>599</v>
      </c>
      <c r="J1293" s="149" t="s">
        <v>548</v>
      </c>
      <c r="K1293" s="149" t="s">
        <v>2194</v>
      </c>
      <c r="L1293" s="168">
        <v>45576</v>
      </c>
      <c r="M1293" s="164"/>
      <c r="N1293" s="163">
        <v>2</v>
      </c>
      <c r="O1293" s="165" t="s">
        <v>446</v>
      </c>
      <c r="P1293" s="161">
        <v>3424.55</v>
      </c>
      <c r="Q1293" s="168">
        <v>45547</v>
      </c>
      <c r="R1293" s="153"/>
      <c r="S1293" s="153"/>
      <c r="T1293" s="153"/>
      <c r="U1293" s="153"/>
      <c r="V1293" s="153"/>
      <c r="W1293" s="153"/>
      <c r="X1293" s="153"/>
      <c r="Y1293" s="153"/>
      <c r="Z1293" s="153"/>
      <c r="AA1293" s="153"/>
    </row>
    <row r="1294" spans="1:27">
      <c r="A1294" s="207">
        <v>10</v>
      </c>
      <c r="B1294" s="208" t="s">
        <v>2138</v>
      </c>
      <c r="C1294" s="209">
        <v>45551</v>
      </c>
      <c r="D1294" s="210" t="s">
        <v>440</v>
      </c>
      <c r="E1294" s="153" t="s">
        <v>158</v>
      </c>
      <c r="F1294" s="153" t="s">
        <v>441</v>
      </c>
      <c r="G1294" s="153" t="s">
        <v>442</v>
      </c>
      <c r="H1294" s="149" t="str">
        <f t="shared" si="7"/>
        <v>CARLOS BARAJAS DEL ROSAL</v>
      </c>
      <c r="I1294" s="153" t="s">
        <v>660</v>
      </c>
      <c r="J1294" s="153" t="s">
        <v>548</v>
      </c>
      <c r="K1294" s="153" t="s">
        <v>2195</v>
      </c>
      <c r="L1294" s="211">
        <v>45579</v>
      </c>
      <c r="M1294" s="164"/>
      <c r="N1294" s="212">
        <v>2</v>
      </c>
      <c r="O1294" s="213" t="s">
        <v>513</v>
      </c>
      <c r="P1294" s="214">
        <v>4400</v>
      </c>
      <c r="Q1294" s="215">
        <v>45551</v>
      </c>
      <c r="R1294" s="153"/>
      <c r="S1294" s="153"/>
      <c r="T1294" s="153"/>
      <c r="U1294" s="153"/>
      <c r="V1294" s="153"/>
      <c r="W1294" s="153"/>
      <c r="X1294" s="153"/>
      <c r="Y1294" s="153"/>
      <c r="Z1294" s="153"/>
      <c r="AA1294" s="153"/>
    </row>
    <row r="1295" spans="1:27">
      <c r="A1295" s="207">
        <v>10</v>
      </c>
      <c r="B1295" s="208" t="s">
        <v>2138</v>
      </c>
      <c r="C1295" s="209">
        <v>43425</v>
      </c>
      <c r="D1295" s="210" t="s">
        <v>440</v>
      </c>
      <c r="E1295" s="153" t="s">
        <v>164</v>
      </c>
      <c r="F1295" s="153" t="s">
        <v>441</v>
      </c>
      <c r="G1295" s="153" t="s">
        <v>442</v>
      </c>
      <c r="H1295" s="149" t="str">
        <f t="shared" si="7"/>
        <v>ENRIQUE MELCOM DIEZ</v>
      </c>
      <c r="I1295" s="153" t="s">
        <v>628</v>
      </c>
      <c r="J1295" s="153" t="s">
        <v>444</v>
      </c>
      <c r="K1295" s="153" t="s">
        <v>2196</v>
      </c>
      <c r="L1295" s="211">
        <v>45579</v>
      </c>
      <c r="M1295" s="164"/>
      <c r="N1295" s="212">
        <v>1</v>
      </c>
      <c r="O1295" s="213" t="s">
        <v>446</v>
      </c>
      <c r="P1295" s="214">
        <v>2226.36</v>
      </c>
      <c r="Q1295" s="215">
        <v>43425</v>
      </c>
      <c r="R1295" s="153"/>
      <c r="S1295" s="153"/>
      <c r="T1295" s="153"/>
      <c r="U1295" s="153"/>
      <c r="V1295" s="153"/>
      <c r="W1295" s="153"/>
      <c r="X1295" s="153"/>
      <c r="Y1295" s="153"/>
      <c r="Z1295" s="153"/>
      <c r="AA1295" s="153"/>
    </row>
    <row r="1296" spans="1:27">
      <c r="A1296" s="207">
        <v>10</v>
      </c>
      <c r="B1296" s="208" t="s">
        <v>2138</v>
      </c>
      <c r="C1296" s="209">
        <v>45485</v>
      </c>
      <c r="D1296" s="210" t="s">
        <v>440</v>
      </c>
      <c r="E1296" s="153" t="s">
        <v>164</v>
      </c>
      <c r="F1296" s="153" t="s">
        <v>441</v>
      </c>
      <c r="G1296" s="153" t="s">
        <v>442</v>
      </c>
      <c r="H1296" s="149" t="str">
        <f t="shared" si="7"/>
        <v>Alejandro Harguindey Antoli-Candela</v>
      </c>
      <c r="I1296" s="153" t="s">
        <v>528</v>
      </c>
      <c r="J1296" s="153" t="s">
        <v>444</v>
      </c>
      <c r="K1296" s="153" t="s">
        <v>2197</v>
      </c>
      <c r="L1296" s="211">
        <v>45579</v>
      </c>
      <c r="M1296" s="164"/>
      <c r="N1296" s="212">
        <v>2</v>
      </c>
      <c r="O1296" s="213" t="s">
        <v>1540</v>
      </c>
      <c r="P1296" s="214">
        <v>4136.3599999999997</v>
      </c>
      <c r="Q1296" s="215">
        <v>45485</v>
      </c>
      <c r="R1296" s="153"/>
      <c r="S1296" s="153"/>
      <c r="T1296" s="153"/>
      <c r="U1296" s="153"/>
      <c r="V1296" s="153"/>
      <c r="W1296" s="153"/>
      <c r="X1296" s="153"/>
      <c r="Y1296" s="153"/>
      <c r="Z1296" s="153"/>
      <c r="AA1296" s="153"/>
    </row>
    <row r="1297" spans="1:27">
      <c r="A1297" s="207">
        <v>10</v>
      </c>
      <c r="B1297" s="208" t="s">
        <v>2138</v>
      </c>
      <c r="C1297" s="209">
        <v>45548</v>
      </c>
      <c r="D1297" s="210" t="s">
        <v>440</v>
      </c>
      <c r="E1297" s="153" t="s">
        <v>102</v>
      </c>
      <c r="F1297" s="153" t="s">
        <v>441</v>
      </c>
      <c r="G1297" s="153" t="s">
        <v>442</v>
      </c>
      <c r="H1297" s="149" t="str">
        <f t="shared" si="7"/>
        <v>JUAN JAVIER ÁLVAREZ LÓPEZ</v>
      </c>
      <c r="I1297" s="153" t="s">
        <v>664</v>
      </c>
      <c r="J1297" s="153" t="s">
        <v>462</v>
      </c>
      <c r="K1297" s="153" t="s">
        <v>2198</v>
      </c>
      <c r="L1297" s="211">
        <v>45579</v>
      </c>
      <c r="M1297" s="164"/>
      <c r="N1297" s="212">
        <v>2</v>
      </c>
      <c r="O1297" s="213" t="s">
        <v>1540</v>
      </c>
      <c r="P1297" s="214">
        <v>4000</v>
      </c>
      <c r="Q1297" s="215">
        <v>45548</v>
      </c>
      <c r="R1297" s="153"/>
      <c r="S1297" s="153"/>
      <c r="T1297" s="153"/>
      <c r="U1297" s="153"/>
      <c r="V1297" s="153"/>
      <c r="W1297" s="153"/>
      <c r="X1297" s="153"/>
      <c r="Y1297" s="153"/>
      <c r="Z1297" s="153"/>
      <c r="AA1297" s="153"/>
    </row>
    <row r="1298" spans="1:27">
      <c r="A1298" s="207">
        <v>10</v>
      </c>
      <c r="B1298" s="208" t="s">
        <v>2138</v>
      </c>
      <c r="C1298" s="209">
        <v>45559</v>
      </c>
      <c r="D1298" s="210" t="s">
        <v>440</v>
      </c>
      <c r="E1298" s="153" t="s">
        <v>471</v>
      </c>
      <c r="F1298" s="153" t="s">
        <v>441</v>
      </c>
      <c r="G1298" s="153" t="s">
        <v>442</v>
      </c>
      <c r="H1298" s="149" t="str">
        <f t="shared" si="7"/>
        <v>MANUEL ACUÑA GARCÍA</v>
      </c>
      <c r="I1298" s="153" t="s">
        <v>472</v>
      </c>
      <c r="J1298" s="153" t="s">
        <v>473</v>
      </c>
      <c r="K1298" s="153" t="s">
        <v>2199</v>
      </c>
      <c r="L1298" s="211">
        <v>45579</v>
      </c>
      <c r="M1298" s="164"/>
      <c r="N1298" s="212">
        <v>1</v>
      </c>
      <c r="O1298" s="213" t="s">
        <v>446</v>
      </c>
      <c r="P1298" s="214">
        <v>2226.36</v>
      </c>
      <c r="Q1298" s="215">
        <v>45559</v>
      </c>
      <c r="R1298" s="153"/>
      <c r="S1298" s="153"/>
      <c r="T1298" s="153"/>
      <c r="U1298" s="153"/>
      <c r="V1298" s="153"/>
      <c r="W1298" s="153"/>
      <c r="X1298" s="153"/>
      <c r="Y1298" s="153"/>
      <c r="Z1298" s="153"/>
      <c r="AA1298" s="153"/>
    </row>
    <row r="1299" spans="1:27">
      <c r="A1299" s="207">
        <v>10</v>
      </c>
      <c r="B1299" s="208" t="s">
        <v>2138</v>
      </c>
      <c r="C1299" s="209">
        <v>45540</v>
      </c>
      <c r="D1299" s="210" t="s">
        <v>440</v>
      </c>
      <c r="E1299" s="153" t="s">
        <v>506</v>
      </c>
      <c r="F1299" s="153" t="s">
        <v>441</v>
      </c>
      <c r="G1299" s="153" t="s">
        <v>442</v>
      </c>
      <c r="H1299" s="149" t="str">
        <f t="shared" si="7"/>
        <v>SANTIAGO ESTÉVEZ ALONSO</v>
      </c>
      <c r="I1299" s="153" t="s">
        <v>2200</v>
      </c>
      <c r="J1299" s="153" t="s">
        <v>473</v>
      </c>
      <c r="K1299" s="153" t="s">
        <v>2201</v>
      </c>
      <c r="L1299" s="211">
        <v>45579</v>
      </c>
      <c r="M1299" s="164"/>
      <c r="N1299" s="212">
        <v>2</v>
      </c>
      <c r="O1299" s="213" t="s">
        <v>466</v>
      </c>
      <c r="P1299" s="214">
        <v>4081.82</v>
      </c>
      <c r="Q1299" s="215">
        <v>45540</v>
      </c>
      <c r="R1299" s="153"/>
      <c r="S1299" s="153"/>
      <c r="T1299" s="153"/>
      <c r="U1299" s="153"/>
      <c r="V1299" s="153"/>
      <c r="W1299" s="153"/>
      <c r="X1299" s="153"/>
      <c r="Y1299" s="153"/>
      <c r="Z1299" s="153"/>
      <c r="AA1299" s="153"/>
    </row>
    <row r="1300" spans="1:27">
      <c r="A1300" s="207">
        <v>10</v>
      </c>
      <c r="B1300" s="208" t="s">
        <v>2138</v>
      </c>
      <c r="C1300" s="209">
        <v>45555</v>
      </c>
      <c r="D1300" s="210" t="s">
        <v>440</v>
      </c>
      <c r="E1300" s="153" t="s">
        <v>239</v>
      </c>
      <c r="F1300" s="153" t="s">
        <v>441</v>
      </c>
      <c r="G1300" s="153" t="s">
        <v>442</v>
      </c>
      <c r="H1300" s="149" t="str">
        <f t="shared" si="7"/>
        <v>ENRIQUE GÓMEZ ALDAZ</v>
      </c>
      <c r="I1300" s="153" t="s">
        <v>1682</v>
      </c>
      <c r="J1300" s="153" t="s">
        <v>455</v>
      </c>
      <c r="K1300" s="153" t="s">
        <v>2202</v>
      </c>
      <c r="L1300" s="211">
        <v>45579</v>
      </c>
      <c r="M1300" s="164"/>
      <c r="N1300" s="212">
        <v>1</v>
      </c>
      <c r="O1300" s="213" t="s">
        <v>1540</v>
      </c>
      <c r="P1300" s="214">
        <v>2400</v>
      </c>
      <c r="Q1300" s="215">
        <v>45555</v>
      </c>
      <c r="R1300" s="153"/>
      <c r="S1300" s="153"/>
      <c r="T1300" s="153"/>
      <c r="U1300" s="153"/>
      <c r="V1300" s="153"/>
      <c r="W1300" s="153"/>
      <c r="X1300" s="153"/>
      <c r="Y1300" s="153"/>
      <c r="Z1300" s="153"/>
      <c r="AA1300" s="153"/>
    </row>
    <row r="1301" spans="1:27">
      <c r="A1301" s="207">
        <v>10</v>
      </c>
      <c r="B1301" s="208" t="s">
        <v>2138</v>
      </c>
      <c r="C1301" s="209">
        <v>45499</v>
      </c>
      <c r="D1301" s="210" t="s">
        <v>440</v>
      </c>
      <c r="E1301" s="153" t="s">
        <v>530</v>
      </c>
      <c r="F1301" s="153" t="s">
        <v>441</v>
      </c>
      <c r="G1301" s="153" t="s">
        <v>442</v>
      </c>
      <c r="H1301" s="149" t="str">
        <f t="shared" si="7"/>
        <v>PABLO VERGÉS FORT</v>
      </c>
      <c r="I1301" s="153" t="s">
        <v>2203</v>
      </c>
      <c r="J1301" s="153" t="s">
        <v>532</v>
      </c>
      <c r="K1301" s="153" t="s">
        <v>2204</v>
      </c>
      <c r="L1301" s="211">
        <v>45579</v>
      </c>
      <c r="M1301" s="164"/>
      <c r="N1301" s="212">
        <v>2</v>
      </c>
      <c r="O1301" s="213" t="s">
        <v>518</v>
      </c>
      <c r="P1301" s="214">
        <v>2627.27</v>
      </c>
      <c r="Q1301" s="215">
        <v>45499</v>
      </c>
      <c r="R1301" s="153"/>
      <c r="S1301" s="153"/>
      <c r="T1301" s="153"/>
      <c r="U1301" s="153"/>
      <c r="V1301" s="153"/>
      <c r="W1301" s="153"/>
      <c r="X1301" s="153"/>
      <c r="Y1301" s="153"/>
      <c r="Z1301" s="153"/>
      <c r="AA1301" s="153"/>
    </row>
    <row r="1302" spans="1:27">
      <c r="A1302" s="207">
        <v>10</v>
      </c>
      <c r="B1302" s="208" t="s">
        <v>2138</v>
      </c>
      <c r="C1302" s="209">
        <v>45547</v>
      </c>
      <c r="D1302" s="210" t="s">
        <v>440</v>
      </c>
      <c r="E1302" s="153" t="s">
        <v>150</v>
      </c>
      <c r="F1302" s="153" t="s">
        <v>441</v>
      </c>
      <c r="G1302" s="153" t="s">
        <v>442</v>
      </c>
      <c r="H1302" s="149" t="str">
        <f t="shared" si="7"/>
        <v>Mª SOLEDAD FRÍAS MOYA-ANGELER</v>
      </c>
      <c r="I1302" s="153" t="s">
        <v>2205</v>
      </c>
      <c r="J1302" s="153" t="s">
        <v>636</v>
      </c>
      <c r="K1302" s="153" t="s">
        <v>2206</v>
      </c>
      <c r="L1302" s="211">
        <v>45579</v>
      </c>
      <c r="M1302" s="164"/>
      <c r="N1302" s="212">
        <v>2</v>
      </c>
      <c r="O1302" s="213" t="s">
        <v>513</v>
      </c>
      <c r="P1302" s="214">
        <v>4400</v>
      </c>
      <c r="Q1302" s="215">
        <v>45547</v>
      </c>
      <c r="R1302" s="153"/>
      <c r="S1302" s="153"/>
      <c r="T1302" s="153"/>
      <c r="U1302" s="153"/>
      <c r="V1302" s="153"/>
      <c r="W1302" s="153"/>
      <c r="X1302" s="153"/>
      <c r="Y1302" s="153"/>
      <c r="Z1302" s="153"/>
      <c r="AA1302" s="153"/>
    </row>
    <row r="1303" spans="1:27">
      <c r="A1303" s="154">
        <v>10</v>
      </c>
      <c r="B1303" s="155" t="s">
        <v>2138</v>
      </c>
      <c r="C1303" s="195">
        <v>45350</v>
      </c>
      <c r="D1303" s="166" t="s">
        <v>440</v>
      </c>
      <c r="E1303" s="149" t="s">
        <v>92</v>
      </c>
      <c r="F1303" s="153" t="s">
        <v>441</v>
      </c>
      <c r="G1303" s="149" t="s">
        <v>442</v>
      </c>
      <c r="H1303" s="149" t="str">
        <f t="shared" si="7"/>
        <v>PEDRO SEGUÍ MOYA</v>
      </c>
      <c r="I1303" s="149" t="s">
        <v>779</v>
      </c>
      <c r="J1303" s="153" t="s">
        <v>462</v>
      </c>
      <c r="K1303" s="149" t="s">
        <v>2207</v>
      </c>
      <c r="L1303" s="168">
        <v>45580</v>
      </c>
      <c r="M1303" s="164"/>
      <c r="N1303" s="163">
        <v>1</v>
      </c>
      <c r="O1303" s="165" t="s">
        <v>466</v>
      </c>
      <c r="P1303" s="161">
        <v>2400</v>
      </c>
      <c r="Q1303" s="196">
        <v>45350</v>
      </c>
      <c r="R1303" s="153"/>
      <c r="S1303" s="153"/>
      <c r="T1303" s="153"/>
      <c r="U1303" s="153"/>
      <c r="V1303" s="153"/>
      <c r="W1303" s="153"/>
      <c r="X1303" s="153"/>
      <c r="Y1303" s="153"/>
      <c r="Z1303" s="153"/>
      <c r="AA1303" s="153"/>
    </row>
    <row r="1304" spans="1:27">
      <c r="A1304" s="154">
        <v>10</v>
      </c>
      <c r="B1304" s="155" t="s">
        <v>2138</v>
      </c>
      <c r="C1304" s="195">
        <v>45495</v>
      </c>
      <c r="D1304" s="155" t="s">
        <v>440</v>
      </c>
      <c r="E1304" s="149" t="s">
        <v>707</v>
      </c>
      <c r="F1304" s="153" t="s">
        <v>441</v>
      </c>
      <c r="G1304" s="149" t="s">
        <v>442</v>
      </c>
      <c r="H1304" s="149" t="str">
        <f t="shared" si="7"/>
        <v>RAFAEL MARTÍNEZ GARCERAN</v>
      </c>
      <c r="I1304" s="149" t="s">
        <v>708</v>
      </c>
      <c r="J1304" s="153" t="s">
        <v>462</v>
      </c>
      <c r="K1304" s="149" t="s">
        <v>2208</v>
      </c>
      <c r="L1304" s="168">
        <v>45580</v>
      </c>
      <c r="M1304" s="164"/>
      <c r="N1304" s="163">
        <v>2</v>
      </c>
      <c r="O1304" s="165" t="s">
        <v>466</v>
      </c>
      <c r="P1304" s="161">
        <v>3974.18</v>
      </c>
      <c r="Q1304" s="196">
        <v>45495</v>
      </c>
      <c r="R1304" s="153"/>
      <c r="S1304" s="153"/>
      <c r="T1304" s="153"/>
      <c r="U1304" s="153"/>
      <c r="V1304" s="153"/>
      <c r="W1304" s="153"/>
      <c r="X1304" s="153"/>
      <c r="Y1304" s="153"/>
      <c r="Z1304" s="153"/>
      <c r="AA1304" s="153"/>
    </row>
    <row r="1305" spans="1:27">
      <c r="A1305" s="154">
        <v>10</v>
      </c>
      <c r="B1305" s="155" t="s">
        <v>2138</v>
      </c>
      <c r="C1305" s="195">
        <v>45534</v>
      </c>
      <c r="D1305" s="155" t="s">
        <v>440</v>
      </c>
      <c r="E1305" s="149" t="s">
        <v>109</v>
      </c>
      <c r="F1305" s="153" t="s">
        <v>441</v>
      </c>
      <c r="G1305" s="149" t="s">
        <v>442</v>
      </c>
      <c r="H1305" s="149" t="str">
        <f t="shared" si="7"/>
        <v>JONATHAN ESTEBAN SÁNCHEZ</v>
      </c>
      <c r="I1305" s="149" t="s">
        <v>902</v>
      </c>
      <c r="J1305" s="153" t="s">
        <v>444</v>
      </c>
      <c r="K1305" s="149" t="s">
        <v>2209</v>
      </c>
      <c r="L1305" s="168">
        <v>45580</v>
      </c>
      <c r="M1305" s="164"/>
      <c r="N1305" s="163">
        <v>2</v>
      </c>
      <c r="O1305" s="165" t="s">
        <v>446</v>
      </c>
      <c r="P1305" s="161">
        <v>3710</v>
      </c>
      <c r="Q1305" s="196">
        <v>45534</v>
      </c>
      <c r="R1305" s="153"/>
      <c r="S1305" s="153"/>
      <c r="T1305" s="153"/>
      <c r="U1305" s="153"/>
      <c r="V1305" s="153"/>
      <c r="W1305" s="153"/>
      <c r="X1305" s="153"/>
      <c r="Y1305" s="153"/>
      <c r="Z1305" s="153"/>
      <c r="AA1305" s="153"/>
    </row>
    <row r="1306" spans="1:27">
      <c r="A1306" s="154">
        <v>10</v>
      </c>
      <c r="B1306" s="155" t="s">
        <v>2138</v>
      </c>
      <c r="C1306" s="195">
        <v>45511</v>
      </c>
      <c r="D1306" s="155" t="s">
        <v>440</v>
      </c>
      <c r="E1306" s="149" t="s">
        <v>122</v>
      </c>
      <c r="F1306" s="153" t="s">
        <v>441</v>
      </c>
      <c r="G1306" s="149" t="s">
        <v>442</v>
      </c>
      <c r="H1306" s="149" t="str">
        <f t="shared" si="7"/>
        <v>MAR LASSO DE LA VEGA ZAMORA</v>
      </c>
      <c r="I1306" s="149" t="s">
        <v>909</v>
      </c>
      <c r="J1306" s="153" t="s">
        <v>444</v>
      </c>
      <c r="K1306" s="149" t="s">
        <v>2210</v>
      </c>
      <c r="L1306" s="168">
        <v>45580</v>
      </c>
      <c r="M1306" s="164"/>
      <c r="N1306" s="163">
        <v>1</v>
      </c>
      <c r="O1306" s="165" t="s">
        <v>449</v>
      </c>
      <c r="P1306" s="161">
        <v>1646.36</v>
      </c>
      <c r="Q1306" s="196">
        <v>45511</v>
      </c>
      <c r="R1306" s="153"/>
      <c r="S1306" s="153"/>
      <c r="T1306" s="153"/>
      <c r="U1306" s="153"/>
      <c r="V1306" s="153"/>
      <c r="W1306" s="153"/>
      <c r="X1306" s="153"/>
      <c r="Y1306" s="153"/>
      <c r="Z1306" s="153"/>
      <c r="AA1306" s="153"/>
    </row>
    <row r="1307" spans="1:27">
      <c r="A1307" s="207">
        <v>10</v>
      </c>
      <c r="B1307" s="208" t="s">
        <v>2138</v>
      </c>
      <c r="C1307" s="209">
        <v>45544</v>
      </c>
      <c r="D1307" s="210" t="s">
        <v>440</v>
      </c>
      <c r="E1307" s="153" t="s">
        <v>563</v>
      </c>
      <c r="F1307" s="153" t="s">
        <v>441</v>
      </c>
      <c r="G1307" s="153" t="s">
        <v>442</v>
      </c>
      <c r="H1307" s="149" t="str">
        <f t="shared" si="7"/>
        <v>JOAQUÍN ALACIO CASERO</v>
      </c>
      <c r="I1307" s="153" t="s">
        <v>651</v>
      </c>
      <c r="J1307" s="153" t="s">
        <v>444</v>
      </c>
      <c r="K1307" s="153" t="s">
        <v>2211</v>
      </c>
      <c r="L1307" s="211">
        <v>45580</v>
      </c>
      <c r="M1307" s="164"/>
      <c r="N1307" s="212">
        <v>2</v>
      </c>
      <c r="O1307" s="213" t="s">
        <v>1540</v>
      </c>
      <c r="P1307" s="214">
        <v>3800</v>
      </c>
      <c r="Q1307" s="215">
        <v>45544</v>
      </c>
      <c r="R1307" s="153"/>
      <c r="S1307" s="153"/>
      <c r="T1307" s="153"/>
      <c r="U1307" s="153"/>
      <c r="V1307" s="153"/>
      <c r="W1307" s="153"/>
      <c r="X1307" s="153"/>
      <c r="Y1307" s="153"/>
      <c r="Z1307" s="153"/>
      <c r="AA1307" s="153"/>
    </row>
    <row r="1308" spans="1:27">
      <c r="A1308" s="207">
        <v>10</v>
      </c>
      <c r="B1308" s="208" t="s">
        <v>2138</v>
      </c>
      <c r="C1308" s="209">
        <v>45552</v>
      </c>
      <c r="D1308" s="210" t="s">
        <v>440</v>
      </c>
      <c r="E1308" s="153" t="s">
        <v>309</v>
      </c>
      <c r="F1308" s="153" t="s">
        <v>441</v>
      </c>
      <c r="G1308" s="153" t="s">
        <v>442</v>
      </c>
      <c r="H1308" s="149" t="str">
        <f t="shared" si="7"/>
        <v>Eviatar Friedlander</v>
      </c>
      <c r="I1308" s="153" t="s">
        <v>616</v>
      </c>
      <c r="J1308" s="153" t="s">
        <v>444</v>
      </c>
      <c r="K1308" s="153" t="s">
        <v>2212</v>
      </c>
      <c r="L1308" s="211">
        <v>45580</v>
      </c>
      <c r="M1308" s="164"/>
      <c r="N1308" s="212">
        <v>2</v>
      </c>
      <c r="O1308" s="213" t="s">
        <v>513</v>
      </c>
      <c r="P1308" s="214">
        <v>4400</v>
      </c>
      <c r="Q1308" s="215">
        <v>45552</v>
      </c>
      <c r="R1308" s="153"/>
      <c r="S1308" s="153"/>
      <c r="T1308" s="153"/>
      <c r="U1308" s="153"/>
      <c r="V1308" s="153"/>
      <c r="W1308" s="153"/>
      <c r="X1308" s="153"/>
      <c r="Y1308" s="153"/>
      <c r="Z1308" s="153"/>
      <c r="AA1308" s="153"/>
    </row>
    <row r="1309" spans="1:27">
      <c r="A1309" s="207">
        <v>10</v>
      </c>
      <c r="B1309" s="208" t="s">
        <v>2138</v>
      </c>
      <c r="C1309" s="209">
        <v>45376</v>
      </c>
      <c r="D1309" s="210" t="s">
        <v>440</v>
      </c>
      <c r="E1309" s="153" t="s">
        <v>129</v>
      </c>
      <c r="F1309" s="153" t="s">
        <v>441</v>
      </c>
      <c r="G1309" s="153" t="s">
        <v>442</v>
      </c>
      <c r="H1309" s="149" t="str">
        <f t="shared" si="7"/>
        <v>MARÍA REY MARCOS</v>
      </c>
      <c r="I1309" s="153" t="s">
        <v>678</v>
      </c>
      <c r="J1309" s="153" t="s">
        <v>516</v>
      </c>
      <c r="K1309" s="153" t="s">
        <v>2213</v>
      </c>
      <c r="L1309" s="211">
        <v>45580</v>
      </c>
      <c r="M1309" s="164"/>
      <c r="N1309" s="212">
        <v>2</v>
      </c>
      <c r="O1309" s="213" t="s">
        <v>446</v>
      </c>
      <c r="P1309" s="214">
        <v>3710.12</v>
      </c>
      <c r="Q1309" s="215">
        <v>45376</v>
      </c>
      <c r="R1309" s="153"/>
      <c r="S1309" s="153"/>
      <c r="T1309" s="153"/>
      <c r="U1309" s="153"/>
      <c r="V1309" s="153"/>
      <c r="W1309" s="153"/>
      <c r="X1309" s="153"/>
      <c r="Y1309" s="153"/>
      <c r="Z1309" s="153"/>
      <c r="AA1309" s="153"/>
    </row>
    <row r="1310" spans="1:27">
      <c r="A1310" s="207">
        <v>10</v>
      </c>
      <c r="B1310" s="208" t="s">
        <v>2138</v>
      </c>
      <c r="C1310" s="209">
        <v>45558</v>
      </c>
      <c r="D1310" s="210" t="s">
        <v>440</v>
      </c>
      <c r="E1310" s="153" t="s">
        <v>190</v>
      </c>
      <c r="F1310" s="153" t="s">
        <v>441</v>
      </c>
      <c r="G1310" s="153" t="s">
        <v>442</v>
      </c>
      <c r="H1310" s="149" t="str">
        <f t="shared" si="7"/>
        <v>ALBERTO RAPOSO JIMÉNEZ</v>
      </c>
      <c r="I1310" s="153" t="s">
        <v>1840</v>
      </c>
      <c r="J1310" s="153" t="s">
        <v>462</v>
      </c>
      <c r="K1310" s="153" t="s">
        <v>2214</v>
      </c>
      <c r="L1310" s="211">
        <v>45580</v>
      </c>
      <c r="M1310" s="164"/>
      <c r="N1310" s="212">
        <v>2</v>
      </c>
      <c r="O1310" s="213" t="s">
        <v>466</v>
      </c>
      <c r="P1310" s="214">
        <v>4000.19</v>
      </c>
      <c r="Q1310" s="215">
        <v>45558</v>
      </c>
      <c r="R1310" s="153"/>
      <c r="S1310" s="153"/>
      <c r="T1310" s="153"/>
      <c r="U1310" s="153"/>
      <c r="V1310" s="153"/>
      <c r="W1310" s="153"/>
      <c r="X1310" s="153"/>
      <c r="Y1310" s="153"/>
      <c r="Z1310" s="153"/>
      <c r="AA1310" s="153"/>
    </row>
    <row r="1311" spans="1:27">
      <c r="A1311" s="207">
        <v>10</v>
      </c>
      <c r="B1311" s="208" t="s">
        <v>2138</v>
      </c>
      <c r="C1311" s="209">
        <v>45539</v>
      </c>
      <c r="D1311" s="210" t="s">
        <v>440</v>
      </c>
      <c r="E1311" s="153" t="s">
        <v>312</v>
      </c>
      <c r="F1311" s="153" t="s">
        <v>441</v>
      </c>
      <c r="G1311" s="153" t="s">
        <v>442</v>
      </c>
      <c r="H1311" s="149" t="str">
        <f t="shared" si="7"/>
        <v>MARÍA JOSEFA HERVÁS NÚÑEZ</v>
      </c>
      <c r="I1311" s="153" t="s">
        <v>2004</v>
      </c>
      <c r="J1311" s="153" t="s">
        <v>455</v>
      </c>
      <c r="K1311" s="153" t="s">
        <v>2215</v>
      </c>
      <c r="L1311" s="211">
        <v>45580</v>
      </c>
      <c r="M1311" s="164"/>
      <c r="N1311" s="212">
        <v>2</v>
      </c>
      <c r="O1311" s="213" t="s">
        <v>466</v>
      </c>
      <c r="P1311" s="214">
        <v>3118.18</v>
      </c>
      <c r="Q1311" s="215">
        <v>45539</v>
      </c>
      <c r="R1311" s="153"/>
      <c r="S1311" s="153"/>
      <c r="T1311" s="153"/>
      <c r="U1311" s="153"/>
      <c r="V1311" s="153"/>
      <c r="W1311" s="153"/>
      <c r="X1311" s="153"/>
      <c r="Y1311" s="153"/>
      <c r="Z1311" s="153"/>
      <c r="AA1311" s="153"/>
    </row>
    <row r="1312" spans="1:27">
      <c r="A1312" s="154">
        <v>10</v>
      </c>
      <c r="B1312" s="155" t="s">
        <v>2138</v>
      </c>
      <c r="C1312" s="195">
        <v>45537</v>
      </c>
      <c r="D1312" s="155" t="s">
        <v>440</v>
      </c>
      <c r="E1312" s="149" t="s">
        <v>317</v>
      </c>
      <c r="F1312" s="153" t="s">
        <v>441</v>
      </c>
      <c r="G1312" s="149" t="s">
        <v>442</v>
      </c>
      <c r="H1312" s="149" t="str">
        <f t="shared" si="7"/>
        <v>FÉLIX RUÍZ DE LA CUESTA JUSTE</v>
      </c>
      <c r="I1312" s="149" t="s">
        <v>656</v>
      </c>
      <c r="J1312" s="153" t="s">
        <v>462</v>
      </c>
      <c r="K1312" s="149" t="s">
        <v>2216</v>
      </c>
      <c r="L1312" s="168">
        <v>45581</v>
      </c>
      <c r="M1312" s="164"/>
      <c r="N1312" s="163">
        <v>2</v>
      </c>
      <c r="O1312" s="165" t="s">
        <v>446</v>
      </c>
      <c r="P1312" s="161">
        <v>3710</v>
      </c>
      <c r="Q1312" s="196">
        <v>45537</v>
      </c>
      <c r="R1312" s="153"/>
      <c r="S1312" s="153"/>
      <c r="T1312" s="153"/>
      <c r="U1312" s="153"/>
      <c r="V1312" s="153"/>
      <c r="W1312" s="153"/>
      <c r="X1312" s="153"/>
      <c r="Y1312" s="153"/>
      <c r="Z1312" s="153"/>
      <c r="AA1312" s="153"/>
    </row>
    <row r="1313" spans="1:27">
      <c r="A1313" s="154">
        <v>10</v>
      </c>
      <c r="B1313" s="155" t="s">
        <v>2138</v>
      </c>
      <c r="C1313" s="195">
        <v>45499</v>
      </c>
      <c r="D1313" s="155" t="s">
        <v>440</v>
      </c>
      <c r="E1313" s="149" t="s">
        <v>109</v>
      </c>
      <c r="F1313" s="153" t="s">
        <v>441</v>
      </c>
      <c r="G1313" s="149" t="s">
        <v>442</v>
      </c>
      <c r="H1313" s="149" t="str">
        <f t="shared" si="7"/>
        <v>JAVIER GAVILANES PLASENCIA</v>
      </c>
      <c r="I1313" s="149" t="s">
        <v>1250</v>
      </c>
      <c r="J1313" s="153" t="s">
        <v>444</v>
      </c>
      <c r="K1313" s="149" t="s">
        <v>2217</v>
      </c>
      <c r="L1313" s="168">
        <v>45581</v>
      </c>
      <c r="M1313" s="164"/>
      <c r="N1313" s="163">
        <v>2</v>
      </c>
      <c r="O1313" s="165" t="s">
        <v>446</v>
      </c>
      <c r="P1313" s="161">
        <v>3524.5</v>
      </c>
      <c r="Q1313" s="196">
        <v>45499</v>
      </c>
      <c r="R1313" s="153"/>
      <c r="S1313" s="153"/>
      <c r="T1313" s="153"/>
      <c r="U1313" s="153"/>
      <c r="V1313" s="153"/>
      <c r="W1313" s="153"/>
      <c r="X1313" s="153"/>
      <c r="Y1313" s="153"/>
      <c r="Z1313" s="153"/>
      <c r="AA1313" s="153"/>
    </row>
    <row r="1314" spans="1:27">
      <c r="A1314" s="154">
        <v>10</v>
      </c>
      <c r="B1314" s="155" t="s">
        <v>2138</v>
      </c>
      <c r="C1314" s="195">
        <v>45562</v>
      </c>
      <c r="D1314" s="155" t="s">
        <v>440</v>
      </c>
      <c r="E1314" s="149" t="s">
        <v>514</v>
      </c>
      <c r="F1314" s="153" t="s">
        <v>441</v>
      </c>
      <c r="G1314" s="149" t="s">
        <v>442</v>
      </c>
      <c r="H1314" s="149" t="str">
        <f t="shared" si="7"/>
        <v>EDUARDO CABANAS RODRÍGUEZ</v>
      </c>
      <c r="I1314" s="149" t="s">
        <v>605</v>
      </c>
      <c r="J1314" s="153" t="s">
        <v>516</v>
      </c>
      <c r="K1314" s="149" t="s">
        <v>2218</v>
      </c>
      <c r="L1314" s="168">
        <v>45582</v>
      </c>
      <c r="M1314" s="164"/>
      <c r="N1314" s="163">
        <v>2</v>
      </c>
      <c r="O1314" s="165" t="s">
        <v>518</v>
      </c>
      <c r="P1314" s="161">
        <v>2627.27</v>
      </c>
      <c r="Q1314" s="196">
        <v>45562</v>
      </c>
      <c r="R1314" s="153"/>
      <c r="S1314" s="153"/>
      <c r="T1314" s="153"/>
      <c r="U1314" s="153"/>
      <c r="V1314" s="153"/>
      <c r="W1314" s="153"/>
      <c r="X1314" s="153"/>
      <c r="Y1314" s="153"/>
      <c r="Z1314" s="153"/>
      <c r="AA1314" s="153"/>
    </row>
    <row r="1315" spans="1:27">
      <c r="A1315" s="207">
        <v>10</v>
      </c>
      <c r="B1315" s="208" t="s">
        <v>2138</v>
      </c>
      <c r="C1315" s="209">
        <v>45560</v>
      </c>
      <c r="D1315" s="210" t="s">
        <v>440</v>
      </c>
      <c r="E1315" s="153" t="s">
        <v>122</v>
      </c>
      <c r="F1315" s="153" t="s">
        <v>441</v>
      </c>
      <c r="G1315" s="153" t="s">
        <v>442</v>
      </c>
      <c r="H1315" s="149" t="str">
        <f t="shared" si="7"/>
        <v>MAR LASSO DE LA VEGA ZAMORA</v>
      </c>
      <c r="I1315" s="153" t="s">
        <v>909</v>
      </c>
      <c r="J1315" s="153" t="s">
        <v>444</v>
      </c>
      <c r="K1315" s="153" t="s">
        <v>2219</v>
      </c>
      <c r="L1315" s="211">
        <v>45582</v>
      </c>
      <c r="M1315" s="164"/>
      <c r="N1315" s="212">
        <v>1</v>
      </c>
      <c r="O1315" s="213" t="s">
        <v>513</v>
      </c>
      <c r="P1315" s="214">
        <v>2640</v>
      </c>
      <c r="Q1315" s="215">
        <v>45560</v>
      </c>
      <c r="R1315" s="153"/>
      <c r="S1315" s="153"/>
      <c r="T1315" s="153"/>
      <c r="U1315" s="153"/>
      <c r="V1315" s="153"/>
      <c r="W1315" s="153"/>
      <c r="X1315" s="153"/>
      <c r="Y1315" s="153"/>
      <c r="Z1315" s="153"/>
      <c r="AA1315" s="153"/>
    </row>
    <row r="1316" spans="1:27">
      <c r="A1316" s="207">
        <v>10</v>
      </c>
      <c r="B1316" s="208" t="s">
        <v>2138</v>
      </c>
      <c r="C1316" s="209">
        <v>45538</v>
      </c>
      <c r="D1316" s="210" t="s">
        <v>440</v>
      </c>
      <c r="E1316" s="153" t="s">
        <v>158</v>
      </c>
      <c r="F1316" s="153" t="s">
        <v>441</v>
      </c>
      <c r="G1316" s="153" t="s">
        <v>442</v>
      </c>
      <c r="H1316" s="149" t="str">
        <f t="shared" si="7"/>
        <v>CARLOS BARAJAS DEL ROSAL</v>
      </c>
      <c r="I1316" s="153" t="s">
        <v>660</v>
      </c>
      <c r="J1316" s="153" t="s">
        <v>548</v>
      </c>
      <c r="K1316" s="153" t="s">
        <v>2220</v>
      </c>
      <c r="L1316" s="211">
        <v>45582</v>
      </c>
      <c r="M1316" s="164"/>
      <c r="N1316" s="212">
        <v>2</v>
      </c>
      <c r="O1316" s="213" t="s">
        <v>1540</v>
      </c>
      <c r="P1316" s="214">
        <v>3200</v>
      </c>
      <c r="Q1316" s="215">
        <v>45538</v>
      </c>
      <c r="R1316" s="153"/>
      <c r="S1316" s="153"/>
      <c r="T1316" s="153"/>
      <c r="U1316" s="153"/>
      <c r="V1316" s="153"/>
      <c r="W1316" s="153"/>
      <c r="X1316" s="153"/>
      <c r="Y1316" s="153"/>
      <c r="Z1316" s="153"/>
      <c r="AA1316" s="153"/>
    </row>
    <row r="1317" spans="1:27">
      <c r="A1317" s="207">
        <v>10</v>
      </c>
      <c r="B1317" s="208" t="s">
        <v>2138</v>
      </c>
      <c r="C1317" s="209">
        <v>45546</v>
      </c>
      <c r="D1317" s="210" t="s">
        <v>440</v>
      </c>
      <c r="E1317" s="153" t="s">
        <v>309</v>
      </c>
      <c r="F1317" s="153" t="s">
        <v>441</v>
      </c>
      <c r="G1317" s="153" t="s">
        <v>442</v>
      </c>
      <c r="H1317" s="149" t="str">
        <f t="shared" si="7"/>
        <v>ANTONIO RODRÍGUEZ RIVERO</v>
      </c>
      <c r="I1317" s="153" t="s">
        <v>443</v>
      </c>
      <c r="J1317" s="153" t="s">
        <v>444</v>
      </c>
      <c r="K1317" s="153" t="s">
        <v>2221</v>
      </c>
      <c r="L1317" s="211">
        <v>45582</v>
      </c>
      <c r="M1317" s="164"/>
      <c r="N1317" s="212">
        <v>2</v>
      </c>
      <c r="O1317" s="213" t="s">
        <v>1540</v>
      </c>
      <c r="P1317" s="214">
        <v>4000</v>
      </c>
      <c r="Q1317" s="215">
        <v>45546</v>
      </c>
      <c r="R1317" s="153"/>
      <c r="S1317" s="153"/>
      <c r="T1317" s="153"/>
      <c r="U1317" s="153"/>
      <c r="V1317" s="153"/>
      <c r="W1317" s="153"/>
      <c r="X1317" s="153"/>
      <c r="Y1317" s="153"/>
      <c r="Z1317" s="153"/>
      <c r="AA1317" s="153"/>
    </row>
    <row r="1318" spans="1:27">
      <c r="A1318" s="207">
        <v>10</v>
      </c>
      <c r="B1318" s="208" t="s">
        <v>2138</v>
      </c>
      <c r="C1318" s="209">
        <v>45558</v>
      </c>
      <c r="D1318" s="210" t="s">
        <v>440</v>
      </c>
      <c r="E1318" s="153" t="s">
        <v>129</v>
      </c>
      <c r="F1318" s="153" t="s">
        <v>441</v>
      </c>
      <c r="G1318" s="153" t="s">
        <v>442</v>
      </c>
      <c r="H1318" s="149" t="str">
        <f t="shared" si="7"/>
        <v>MARÍA REY MARCOS</v>
      </c>
      <c r="I1318" s="153" t="s">
        <v>678</v>
      </c>
      <c r="J1318" s="153" t="s">
        <v>516</v>
      </c>
      <c r="K1318" s="153" t="s">
        <v>2222</v>
      </c>
      <c r="L1318" s="211">
        <v>45582</v>
      </c>
      <c r="M1318" s="164"/>
      <c r="N1318" s="212">
        <v>1</v>
      </c>
      <c r="O1318" s="213" t="s">
        <v>449</v>
      </c>
      <c r="P1318" s="214">
        <v>1732.73</v>
      </c>
      <c r="Q1318" s="215">
        <v>45558</v>
      </c>
      <c r="R1318" s="153"/>
      <c r="S1318" s="153"/>
      <c r="T1318" s="153"/>
      <c r="U1318" s="153"/>
      <c r="V1318" s="153"/>
      <c r="W1318" s="153"/>
      <c r="X1318" s="153"/>
      <c r="Y1318" s="153"/>
      <c r="Z1318" s="153"/>
      <c r="AA1318" s="153"/>
    </row>
    <row r="1319" spans="1:27">
      <c r="A1319" s="207">
        <v>10</v>
      </c>
      <c r="B1319" s="208" t="s">
        <v>2138</v>
      </c>
      <c r="C1319" s="209">
        <v>45560</v>
      </c>
      <c r="D1319" s="210" t="s">
        <v>440</v>
      </c>
      <c r="E1319" s="153" t="s">
        <v>190</v>
      </c>
      <c r="F1319" s="153" t="s">
        <v>441</v>
      </c>
      <c r="G1319" s="153" t="s">
        <v>442</v>
      </c>
      <c r="H1319" s="149" t="str">
        <f t="shared" si="7"/>
        <v>DINIS ANTUNES SILVA</v>
      </c>
      <c r="I1319" s="153" t="s">
        <v>2105</v>
      </c>
      <c r="J1319" s="153" t="s">
        <v>462</v>
      </c>
      <c r="K1319" s="153" t="s">
        <v>2223</v>
      </c>
      <c r="L1319" s="211">
        <v>45582</v>
      </c>
      <c r="M1319" s="164"/>
      <c r="N1319" s="212">
        <v>2</v>
      </c>
      <c r="O1319" s="213" t="s">
        <v>513</v>
      </c>
      <c r="P1319" s="214">
        <v>4399.7700000000004</v>
      </c>
      <c r="Q1319" s="215">
        <v>45560</v>
      </c>
      <c r="R1319" s="153"/>
      <c r="S1319" s="153"/>
      <c r="T1319" s="153"/>
      <c r="U1319" s="153"/>
      <c r="V1319" s="153"/>
      <c r="W1319" s="153"/>
      <c r="X1319" s="153"/>
      <c r="Y1319" s="153"/>
      <c r="Z1319" s="153"/>
      <c r="AA1319" s="153"/>
    </row>
    <row r="1320" spans="1:27">
      <c r="A1320" s="207">
        <v>10</v>
      </c>
      <c r="B1320" s="208" t="s">
        <v>2138</v>
      </c>
      <c r="C1320" s="209">
        <v>45569</v>
      </c>
      <c r="D1320" s="210" t="s">
        <v>440</v>
      </c>
      <c r="E1320" s="149" t="s">
        <v>115</v>
      </c>
      <c r="F1320" s="153" t="s">
        <v>441</v>
      </c>
      <c r="G1320" s="153" t="s">
        <v>442</v>
      </c>
      <c r="H1320" s="149" t="str">
        <f t="shared" si="7"/>
        <v>GIANMARCO NARCISO MARTÍNEZ</v>
      </c>
      <c r="I1320" s="153" t="s">
        <v>2224</v>
      </c>
      <c r="J1320" s="153" t="s">
        <v>444</v>
      </c>
      <c r="K1320" s="153" t="s">
        <v>2225</v>
      </c>
      <c r="L1320" s="211">
        <v>45582</v>
      </c>
      <c r="M1320" s="164"/>
      <c r="N1320" s="212">
        <v>2</v>
      </c>
      <c r="O1320" s="213" t="s">
        <v>1540</v>
      </c>
      <c r="P1320" s="214">
        <v>3681.82</v>
      </c>
      <c r="Q1320" s="215">
        <v>45569</v>
      </c>
      <c r="R1320" s="153"/>
      <c r="S1320" s="153"/>
      <c r="T1320" s="153"/>
      <c r="U1320" s="153"/>
      <c r="V1320" s="153"/>
      <c r="W1320" s="153"/>
      <c r="X1320" s="153"/>
      <c r="Y1320" s="153"/>
      <c r="Z1320" s="153"/>
      <c r="AA1320" s="153"/>
    </row>
    <row r="1321" spans="1:27">
      <c r="A1321" s="207">
        <v>10</v>
      </c>
      <c r="B1321" s="208" t="s">
        <v>2138</v>
      </c>
      <c r="C1321" s="209">
        <v>45566</v>
      </c>
      <c r="D1321" s="210" t="s">
        <v>440</v>
      </c>
      <c r="E1321" s="153" t="s">
        <v>485</v>
      </c>
      <c r="F1321" s="153" t="s">
        <v>441</v>
      </c>
      <c r="G1321" s="153" t="s">
        <v>442</v>
      </c>
      <c r="H1321" s="149" t="str">
        <f t="shared" si="7"/>
        <v>CARLOS LÓPEZ AZANZA</v>
      </c>
      <c r="I1321" s="153" t="s">
        <v>867</v>
      </c>
      <c r="J1321" s="153" t="s">
        <v>473</v>
      </c>
      <c r="K1321" s="153" t="s">
        <v>2226</v>
      </c>
      <c r="L1321" s="211">
        <v>45582</v>
      </c>
      <c r="M1321" s="164"/>
      <c r="N1321" s="212">
        <v>2</v>
      </c>
      <c r="O1321" s="213" t="s">
        <v>446</v>
      </c>
      <c r="P1321" s="214">
        <v>3431.82</v>
      </c>
      <c r="Q1321" s="215">
        <v>45566</v>
      </c>
      <c r="R1321" s="153"/>
      <c r="S1321" s="153"/>
      <c r="T1321" s="153"/>
      <c r="U1321" s="153"/>
      <c r="V1321" s="153"/>
      <c r="W1321" s="153"/>
      <c r="X1321" s="153"/>
      <c r="Y1321" s="153"/>
      <c r="Z1321" s="153"/>
      <c r="AA1321" s="153"/>
    </row>
    <row r="1322" spans="1:27">
      <c r="A1322" s="154">
        <v>10</v>
      </c>
      <c r="B1322" s="155" t="s">
        <v>2138</v>
      </c>
      <c r="C1322" s="195">
        <v>45495</v>
      </c>
      <c r="D1322" s="155" t="s">
        <v>440</v>
      </c>
      <c r="E1322" s="149" t="s">
        <v>92</v>
      </c>
      <c r="F1322" s="153" t="s">
        <v>441</v>
      </c>
      <c r="G1322" s="149" t="s">
        <v>442</v>
      </c>
      <c r="H1322" s="149" t="str">
        <f t="shared" si="7"/>
        <v>PEDRO MASEGOSA ZAPATA</v>
      </c>
      <c r="I1322" s="149" t="s">
        <v>1066</v>
      </c>
      <c r="J1322" s="153" t="s">
        <v>462</v>
      </c>
      <c r="K1322" s="149" t="s">
        <v>2227</v>
      </c>
      <c r="L1322" s="168">
        <v>45583</v>
      </c>
      <c r="M1322" s="164"/>
      <c r="N1322" s="163">
        <v>2</v>
      </c>
      <c r="O1322" s="165" t="s">
        <v>446</v>
      </c>
      <c r="P1322" s="161">
        <v>3709.09</v>
      </c>
      <c r="Q1322" s="196">
        <v>45495</v>
      </c>
      <c r="R1322" s="153"/>
      <c r="S1322" s="153"/>
      <c r="T1322" s="153"/>
      <c r="U1322" s="153"/>
      <c r="V1322" s="153"/>
      <c r="W1322" s="153"/>
      <c r="X1322" s="153"/>
      <c r="Y1322" s="153"/>
      <c r="Z1322" s="153"/>
      <c r="AA1322" s="153"/>
    </row>
    <row r="1323" spans="1:27">
      <c r="A1323" s="154">
        <v>10</v>
      </c>
      <c r="B1323" s="155" t="s">
        <v>2138</v>
      </c>
      <c r="C1323" s="195">
        <v>45551</v>
      </c>
      <c r="D1323" s="155" t="s">
        <v>440</v>
      </c>
      <c r="E1323" s="149" t="s">
        <v>604</v>
      </c>
      <c r="F1323" s="153" t="s">
        <v>441</v>
      </c>
      <c r="G1323" s="149" t="s">
        <v>442</v>
      </c>
      <c r="H1323" s="149" t="str">
        <f t="shared" si="7"/>
        <v>CARLOS VIDAL REDONDO</v>
      </c>
      <c r="I1323" s="149" t="s">
        <v>554</v>
      </c>
      <c r="J1323" s="153" t="s">
        <v>516</v>
      </c>
      <c r="K1323" s="149" t="s">
        <v>2228</v>
      </c>
      <c r="L1323" s="168">
        <v>45583</v>
      </c>
      <c r="M1323" s="164"/>
      <c r="N1323" s="163">
        <v>1</v>
      </c>
      <c r="O1323" s="165" t="s">
        <v>518</v>
      </c>
      <c r="P1323" s="161">
        <v>890.91</v>
      </c>
      <c r="Q1323" s="196">
        <v>45551</v>
      </c>
      <c r="R1323" s="153"/>
      <c r="S1323" s="153"/>
      <c r="T1323" s="153"/>
      <c r="U1323" s="153"/>
      <c r="V1323" s="153"/>
      <c r="W1323" s="153"/>
      <c r="X1323" s="153"/>
      <c r="Y1323" s="153"/>
      <c r="Z1323" s="153"/>
      <c r="AA1323" s="153"/>
    </row>
    <row r="1324" spans="1:27">
      <c r="A1324" s="207">
        <v>10</v>
      </c>
      <c r="B1324" s="208" t="s">
        <v>2138</v>
      </c>
      <c r="C1324" s="209">
        <v>45552</v>
      </c>
      <c r="D1324" s="210" t="s">
        <v>440</v>
      </c>
      <c r="E1324" s="153" t="s">
        <v>506</v>
      </c>
      <c r="F1324" s="153" t="s">
        <v>441</v>
      </c>
      <c r="G1324" s="153" t="s">
        <v>442</v>
      </c>
      <c r="H1324" s="149" t="str">
        <f t="shared" si="7"/>
        <v>PEDRO BLANCO PÉREZ,</v>
      </c>
      <c r="I1324" s="153" t="s">
        <v>623</v>
      </c>
      <c r="J1324" s="153" t="s">
        <v>473</v>
      </c>
      <c r="K1324" s="153" t="s">
        <v>2229</v>
      </c>
      <c r="L1324" s="211">
        <v>45583</v>
      </c>
      <c r="M1324" s="164"/>
      <c r="N1324" s="212">
        <v>2</v>
      </c>
      <c r="O1324" s="213" t="s">
        <v>449</v>
      </c>
      <c r="P1324" s="214">
        <v>2780.91</v>
      </c>
      <c r="Q1324" s="215">
        <v>45552</v>
      </c>
      <c r="R1324" s="153"/>
      <c r="S1324" s="153"/>
      <c r="T1324" s="153"/>
      <c r="U1324" s="153"/>
      <c r="V1324" s="153"/>
      <c r="W1324" s="153"/>
      <c r="X1324" s="153"/>
      <c r="Y1324" s="153"/>
      <c r="Z1324" s="153"/>
      <c r="AA1324" s="153"/>
    </row>
    <row r="1325" spans="1:27">
      <c r="A1325" s="154">
        <v>10</v>
      </c>
      <c r="B1325" s="155" t="s">
        <v>2138</v>
      </c>
      <c r="C1325" s="195">
        <v>45547</v>
      </c>
      <c r="D1325" s="155" t="s">
        <v>440</v>
      </c>
      <c r="E1325" s="149" t="s">
        <v>317</v>
      </c>
      <c r="F1325" s="153" t="s">
        <v>450</v>
      </c>
      <c r="G1325" s="149" t="s">
        <v>451</v>
      </c>
      <c r="H1325" s="149" t="str">
        <f t="shared" si="7"/>
        <v>ISABEL MENACHES GUARDIOLA</v>
      </c>
      <c r="I1325" s="149" t="s">
        <v>1254</v>
      </c>
      <c r="J1325" s="153" t="s">
        <v>462</v>
      </c>
      <c r="K1325" s="149" t="s">
        <v>2230</v>
      </c>
      <c r="L1325" s="168">
        <v>45586</v>
      </c>
      <c r="M1325" s="164"/>
      <c r="N1325" s="163">
        <v>2</v>
      </c>
      <c r="O1325" s="165" t="s">
        <v>449</v>
      </c>
      <c r="P1325" s="161">
        <v>2886.36</v>
      </c>
      <c r="Q1325" s="196">
        <v>45547</v>
      </c>
      <c r="R1325" s="153"/>
      <c r="S1325" s="153"/>
      <c r="T1325" s="153"/>
      <c r="U1325" s="153"/>
      <c r="V1325" s="153"/>
      <c r="W1325" s="153"/>
      <c r="X1325" s="153"/>
      <c r="Y1325" s="153"/>
      <c r="Z1325" s="153"/>
      <c r="AA1325" s="153"/>
    </row>
    <row r="1326" spans="1:27">
      <c r="A1326" s="154">
        <v>10</v>
      </c>
      <c r="B1326" s="155" t="s">
        <v>2138</v>
      </c>
      <c r="C1326" s="195">
        <v>45551</v>
      </c>
      <c r="D1326" s="155" t="s">
        <v>440</v>
      </c>
      <c r="E1326" s="149" t="s">
        <v>311</v>
      </c>
      <c r="F1326" s="153" t="s">
        <v>441</v>
      </c>
      <c r="G1326" s="149" t="s">
        <v>442</v>
      </c>
      <c r="H1326" s="149" t="str">
        <f t="shared" si="7"/>
        <v>RAIMUNDO ANDRES NAVARRO MEDIANO</v>
      </c>
      <c r="I1326" s="149" t="s">
        <v>1126</v>
      </c>
      <c r="J1326" s="153" t="s">
        <v>444</v>
      </c>
      <c r="K1326" s="149" t="s">
        <v>2231</v>
      </c>
      <c r="L1326" s="168">
        <v>45586</v>
      </c>
      <c r="M1326" s="164"/>
      <c r="N1326" s="163">
        <v>2</v>
      </c>
      <c r="O1326" s="165" t="s">
        <v>1540</v>
      </c>
      <c r="P1326" s="161">
        <v>3909.09</v>
      </c>
      <c r="Q1326" s="196">
        <v>45551</v>
      </c>
      <c r="R1326" s="153"/>
      <c r="S1326" s="153"/>
      <c r="T1326" s="153"/>
      <c r="U1326" s="153"/>
      <c r="V1326" s="153"/>
      <c r="W1326" s="153"/>
      <c r="X1326" s="153"/>
      <c r="Y1326" s="153"/>
      <c r="Z1326" s="153"/>
      <c r="AA1326" s="153"/>
    </row>
    <row r="1327" spans="1:27">
      <c r="A1327" s="154">
        <v>10</v>
      </c>
      <c r="B1327" s="155" t="s">
        <v>2138</v>
      </c>
      <c r="C1327" s="195">
        <v>45561</v>
      </c>
      <c r="D1327" s="155" t="s">
        <v>440</v>
      </c>
      <c r="E1327" s="149" t="s">
        <v>109</v>
      </c>
      <c r="F1327" s="153" t="s">
        <v>441</v>
      </c>
      <c r="G1327" s="149" t="s">
        <v>442</v>
      </c>
      <c r="H1327" s="149" t="str">
        <f t="shared" si="7"/>
        <v>BEATRIZ SANTOS DUQUE</v>
      </c>
      <c r="I1327" s="149" t="s">
        <v>1844</v>
      </c>
      <c r="J1327" s="153" t="s">
        <v>444</v>
      </c>
      <c r="K1327" s="149" t="s">
        <v>2232</v>
      </c>
      <c r="L1327" s="168">
        <v>45586</v>
      </c>
      <c r="M1327" s="164"/>
      <c r="N1327" s="163">
        <v>1</v>
      </c>
      <c r="O1327" s="165" t="s">
        <v>446</v>
      </c>
      <c r="P1327" s="161">
        <v>2226.36</v>
      </c>
      <c r="Q1327" s="196">
        <v>45561</v>
      </c>
      <c r="R1327" s="153"/>
      <c r="S1327" s="153"/>
      <c r="T1327" s="153"/>
      <c r="U1327" s="153"/>
      <c r="V1327" s="153"/>
      <c r="W1327" s="153"/>
      <c r="X1327" s="153"/>
      <c r="Y1327" s="153"/>
      <c r="Z1327" s="153"/>
      <c r="AA1327" s="153"/>
    </row>
    <row r="1328" spans="1:27">
      <c r="A1328" s="154">
        <v>10</v>
      </c>
      <c r="B1328" s="155" t="s">
        <v>2138</v>
      </c>
      <c r="C1328" s="195">
        <v>45540</v>
      </c>
      <c r="D1328" s="155" t="s">
        <v>440</v>
      </c>
      <c r="E1328" s="149" t="s">
        <v>604</v>
      </c>
      <c r="F1328" s="153" t="s">
        <v>441</v>
      </c>
      <c r="G1328" s="149" t="s">
        <v>442</v>
      </c>
      <c r="H1328" s="149" t="str">
        <f t="shared" si="7"/>
        <v>CARLOS FRADE GONZÁLEZ</v>
      </c>
      <c r="I1328" s="149" t="s">
        <v>829</v>
      </c>
      <c r="J1328" s="153" t="s">
        <v>516</v>
      </c>
      <c r="K1328" s="149" t="s">
        <v>2233</v>
      </c>
      <c r="L1328" s="168">
        <v>45586</v>
      </c>
      <c r="M1328" s="164"/>
      <c r="N1328" s="163">
        <v>2</v>
      </c>
      <c r="O1328" s="165" t="s">
        <v>518</v>
      </c>
      <c r="P1328" s="161">
        <v>2772.73</v>
      </c>
      <c r="Q1328" s="196">
        <v>45540</v>
      </c>
      <c r="R1328" s="153"/>
      <c r="S1328" s="153"/>
      <c r="T1328" s="153"/>
      <c r="U1328" s="153"/>
      <c r="V1328" s="153"/>
      <c r="W1328" s="153"/>
      <c r="X1328" s="153"/>
      <c r="Y1328" s="153"/>
      <c r="Z1328" s="153"/>
      <c r="AA1328" s="153"/>
    </row>
    <row r="1329" spans="1:27">
      <c r="A1329" s="207">
        <v>10</v>
      </c>
      <c r="B1329" s="208" t="s">
        <v>2138</v>
      </c>
      <c r="C1329" s="209">
        <v>45545</v>
      </c>
      <c r="D1329" s="210" t="s">
        <v>440</v>
      </c>
      <c r="E1329" s="153" t="s">
        <v>98</v>
      </c>
      <c r="F1329" s="153" t="s">
        <v>441</v>
      </c>
      <c r="G1329" s="153" t="s">
        <v>442</v>
      </c>
      <c r="H1329" s="149" t="str">
        <f t="shared" si="7"/>
        <v>NURIA SALAS BARRIO</v>
      </c>
      <c r="I1329" s="153" t="s">
        <v>1019</v>
      </c>
      <c r="J1329" s="153" t="s">
        <v>462</v>
      </c>
      <c r="K1329" s="153" t="s">
        <v>2234</v>
      </c>
      <c r="L1329" s="211">
        <v>45586</v>
      </c>
      <c r="M1329" s="164"/>
      <c r="N1329" s="212">
        <v>2</v>
      </c>
      <c r="O1329" s="213" t="s">
        <v>446</v>
      </c>
      <c r="P1329" s="214">
        <v>3710</v>
      </c>
      <c r="Q1329" s="215">
        <v>45545</v>
      </c>
      <c r="R1329" s="153"/>
      <c r="S1329" s="153"/>
      <c r="T1329" s="153"/>
      <c r="U1329" s="153"/>
      <c r="V1329" s="153"/>
      <c r="W1329" s="153"/>
      <c r="X1329" s="153"/>
      <c r="Y1329" s="153"/>
      <c r="Z1329" s="153"/>
      <c r="AA1329" s="153"/>
    </row>
    <row r="1330" spans="1:27">
      <c r="A1330" s="207">
        <v>10</v>
      </c>
      <c r="B1330" s="208" t="s">
        <v>2138</v>
      </c>
      <c r="C1330" s="209">
        <v>45544</v>
      </c>
      <c r="D1330" s="210" t="s">
        <v>440</v>
      </c>
      <c r="E1330" s="153" t="s">
        <v>98</v>
      </c>
      <c r="F1330" s="153" t="s">
        <v>441</v>
      </c>
      <c r="G1330" s="153" t="s">
        <v>442</v>
      </c>
      <c r="H1330" s="149" t="str">
        <f t="shared" si="7"/>
        <v>JESÚS MIGUEL INIESTA TURPÍN</v>
      </c>
      <c r="I1330" s="153" t="s">
        <v>594</v>
      </c>
      <c r="J1330" s="153" t="s">
        <v>462</v>
      </c>
      <c r="K1330" s="153" t="s">
        <v>2235</v>
      </c>
      <c r="L1330" s="211">
        <v>45586</v>
      </c>
      <c r="M1330" s="164"/>
      <c r="N1330" s="212">
        <v>2</v>
      </c>
      <c r="O1330" s="213" t="s">
        <v>449</v>
      </c>
      <c r="P1330" s="214">
        <v>2888.18</v>
      </c>
      <c r="Q1330" s="215">
        <v>45544</v>
      </c>
      <c r="R1330" s="153"/>
      <c r="S1330" s="153"/>
      <c r="T1330" s="153"/>
      <c r="U1330" s="153"/>
      <c r="V1330" s="153"/>
      <c r="W1330" s="153"/>
      <c r="X1330" s="153"/>
      <c r="Y1330" s="153"/>
      <c r="Z1330" s="153"/>
      <c r="AA1330" s="153"/>
    </row>
    <row r="1331" spans="1:27">
      <c r="A1331" s="207">
        <v>10</v>
      </c>
      <c r="B1331" s="208" t="s">
        <v>2138</v>
      </c>
      <c r="C1331" s="209">
        <v>45548</v>
      </c>
      <c r="D1331" s="210" t="s">
        <v>440</v>
      </c>
      <c r="E1331" s="153" t="s">
        <v>102</v>
      </c>
      <c r="F1331" s="153" t="s">
        <v>441</v>
      </c>
      <c r="G1331" s="153" t="s">
        <v>442</v>
      </c>
      <c r="H1331" s="149" t="str">
        <f t="shared" si="7"/>
        <v>NO REUERDA ORL</v>
      </c>
      <c r="I1331" s="149" t="s">
        <v>469</v>
      </c>
      <c r="J1331" s="153" t="s">
        <v>462</v>
      </c>
      <c r="K1331" s="153" t="s">
        <v>2236</v>
      </c>
      <c r="L1331" s="211">
        <v>45586</v>
      </c>
      <c r="M1331" s="164"/>
      <c r="N1331" s="212">
        <v>2</v>
      </c>
      <c r="O1331" s="213" t="s">
        <v>1540</v>
      </c>
      <c r="P1331" s="214">
        <v>3118.18</v>
      </c>
      <c r="Q1331" s="215">
        <v>45548</v>
      </c>
      <c r="R1331" s="153"/>
      <c r="S1331" s="153"/>
      <c r="T1331" s="153"/>
      <c r="U1331" s="153"/>
      <c r="V1331" s="153"/>
      <c r="W1331" s="153"/>
      <c r="X1331" s="153"/>
      <c r="Y1331" s="153"/>
      <c r="Z1331" s="153"/>
      <c r="AA1331" s="153"/>
    </row>
    <row r="1332" spans="1:27">
      <c r="A1332" s="207">
        <v>10</v>
      </c>
      <c r="B1332" s="208" t="s">
        <v>2138</v>
      </c>
      <c r="C1332" s="209">
        <v>45572</v>
      </c>
      <c r="D1332" s="210" t="s">
        <v>440</v>
      </c>
      <c r="E1332" s="149" t="s">
        <v>115</v>
      </c>
      <c r="F1332" s="153" t="s">
        <v>441</v>
      </c>
      <c r="G1332" s="153" t="s">
        <v>442</v>
      </c>
      <c r="H1332" s="149" t="str">
        <f t="shared" si="7"/>
        <v>STEPHANY RODRÍGUEZ MATA</v>
      </c>
      <c r="I1332" s="153" t="s">
        <v>1062</v>
      </c>
      <c r="J1332" s="153" t="s">
        <v>444</v>
      </c>
      <c r="K1332" s="153" t="s">
        <v>2237</v>
      </c>
      <c r="L1332" s="211">
        <v>45586</v>
      </c>
      <c r="M1332" s="164"/>
      <c r="N1332" s="212">
        <v>1</v>
      </c>
      <c r="O1332" s="213" t="s">
        <v>1540</v>
      </c>
      <c r="P1332" s="214">
        <v>2400</v>
      </c>
      <c r="Q1332" s="215">
        <v>45572</v>
      </c>
      <c r="R1332" s="153"/>
      <c r="S1332" s="153"/>
      <c r="T1332" s="153"/>
      <c r="U1332" s="153"/>
      <c r="V1332" s="153"/>
      <c r="W1332" s="153"/>
      <c r="X1332" s="153"/>
      <c r="Y1332" s="153"/>
      <c r="Z1332" s="153"/>
      <c r="AA1332" s="153"/>
    </row>
    <row r="1333" spans="1:27">
      <c r="A1333" s="207">
        <v>10</v>
      </c>
      <c r="B1333" s="208" t="s">
        <v>2138</v>
      </c>
      <c r="C1333" s="209">
        <v>45526</v>
      </c>
      <c r="D1333" s="210" t="s">
        <v>440</v>
      </c>
      <c r="E1333" s="153" t="s">
        <v>525</v>
      </c>
      <c r="F1333" s="153" t="s">
        <v>441</v>
      </c>
      <c r="G1333" s="153" t="s">
        <v>442</v>
      </c>
      <c r="H1333" s="149" t="str">
        <f t="shared" si="7"/>
        <v>ADELA PÉREZ-CARO RÍOS</v>
      </c>
      <c r="I1333" s="153" t="s">
        <v>895</v>
      </c>
      <c r="J1333" s="153" t="s">
        <v>516</v>
      </c>
      <c r="K1333" s="153" t="s">
        <v>2238</v>
      </c>
      <c r="L1333" s="211">
        <v>45586</v>
      </c>
      <c r="M1333" s="164"/>
      <c r="N1333" s="212">
        <v>2</v>
      </c>
      <c r="O1333" s="213" t="s">
        <v>446</v>
      </c>
      <c r="P1333" s="214">
        <v>3545.45</v>
      </c>
      <c r="Q1333" s="215">
        <v>45526</v>
      </c>
      <c r="R1333" s="153"/>
      <c r="S1333" s="153"/>
      <c r="T1333" s="153"/>
      <c r="U1333" s="153"/>
      <c r="V1333" s="153"/>
      <c r="W1333" s="153"/>
      <c r="X1333" s="153"/>
      <c r="Y1333" s="153"/>
      <c r="Z1333" s="153"/>
      <c r="AA1333" s="153"/>
    </row>
    <row r="1334" spans="1:27">
      <c r="A1334" s="207">
        <v>10</v>
      </c>
      <c r="B1334" s="208" t="s">
        <v>2138</v>
      </c>
      <c r="C1334" s="209">
        <v>45565</v>
      </c>
      <c r="D1334" s="210" t="s">
        <v>440</v>
      </c>
      <c r="E1334" s="149" t="s">
        <v>525</v>
      </c>
      <c r="F1334" s="149" t="s">
        <v>441</v>
      </c>
      <c r="G1334" s="149" t="s">
        <v>442</v>
      </c>
      <c r="H1334" s="149" t="str">
        <f t="shared" si="7"/>
        <v>ADELA PÉREZ-CARO RÍOS</v>
      </c>
      <c r="I1334" s="153" t="s">
        <v>895</v>
      </c>
      <c r="J1334" s="149" t="s">
        <v>516</v>
      </c>
      <c r="K1334" s="149" t="s">
        <v>2239</v>
      </c>
      <c r="L1334" s="168">
        <v>45586</v>
      </c>
      <c r="M1334" s="164"/>
      <c r="N1334" s="163">
        <v>2</v>
      </c>
      <c r="O1334" s="165" t="s">
        <v>446</v>
      </c>
      <c r="P1334" s="161">
        <v>3454.55</v>
      </c>
      <c r="Q1334" s="168">
        <v>45565</v>
      </c>
      <c r="R1334" s="153"/>
      <c r="S1334" s="153"/>
      <c r="T1334" s="153"/>
      <c r="U1334" s="153"/>
      <c r="V1334" s="153"/>
      <c r="W1334" s="153"/>
      <c r="X1334" s="153"/>
      <c r="Y1334" s="153"/>
      <c r="Z1334" s="153"/>
      <c r="AA1334" s="153"/>
    </row>
    <row r="1335" spans="1:27">
      <c r="A1335" s="207">
        <v>10</v>
      </c>
      <c r="B1335" s="208" t="s">
        <v>2138</v>
      </c>
      <c r="C1335" s="209">
        <v>45548</v>
      </c>
      <c r="D1335" s="210" t="s">
        <v>440</v>
      </c>
      <c r="E1335" s="153" t="s">
        <v>158</v>
      </c>
      <c r="F1335" s="153" t="s">
        <v>441</v>
      </c>
      <c r="G1335" s="153" t="s">
        <v>442</v>
      </c>
      <c r="H1335" s="149" t="str">
        <f t="shared" si="7"/>
        <v>CARLOS BARAJAS DEL ROSAL</v>
      </c>
      <c r="I1335" s="153" t="s">
        <v>660</v>
      </c>
      <c r="J1335" s="153" t="s">
        <v>548</v>
      </c>
      <c r="K1335" s="153" t="s">
        <v>2240</v>
      </c>
      <c r="L1335" s="211">
        <v>45587</v>
      </c>
      <c r="M1335" s="164"/>
      <c r="N1335" s="212">
        <v>2</v>
      </c>
      <c r="O1335" s="213" t="s">
        <v>1540</v>
      </c>
      <c r="P1335" s="214">
        <v>4000</v>
      </c>
      <c r="Q1335" s="217">
        <v>45548</v>
      </c>
      <c r="R1335" s="153"/>
      <c r="S1335" s="153"/>
      <c r="T1335" s="153"/>
      <c r="U1335" s="153"/>
      <c r="V1335" s="153"/>
      <c r="W1335" s="153"/>
      <c r="X1335" s="153"/>
      <c r="Y1335" s="153"/>
      <c r="Z1335" s="153"/>
      <c r="AA1335" s="153"/>
    </row>
    <row r="1336" spans="1:27">
      <c r="A1336" s="207">
        <v>10</v>
      </c>
      <c r="B1336" s="208" t="s">
        <v>2138</v>
      </c>
      <c r="C1336" s="209">
        <v>45544</v>
      </c>
      <c r="D1336" s="210" t="s">
        <v>440</v>
      </c>
      <c r="E1336" s="153" t="s">
        <v>309</v>
      </c>
      <c r="F1336" s="153" t="s">
        <v>441</v>
      </c>
      <c r="G1336" s="153" t="s">
        <v>442</v>
      </c>
      <c r="H1336" s="149" t="str">
        <f t="shared" si="7"/>
        <v>JAIME MARTÍN CARRANZA</v>
      </c>
      <c r="I1336" s="153" t="s">
        <v>2068</v>
      </c>
      <c r="J1336" s="153" t="s">
        <v>444</v>
      </c>
      <c r="K1336" s="153" t="s">
        <v>2241</v>
      </c>
      <c r="L1336" s="211">
        <v>45587</v>
      </c>
      <c r="M1336" s="164"/>
      <c r="N1336" s="212">
        <v>2</v>
      </c>
      <c r="O1336" s="213" t="s">
        <v>446</v>
      </c>
      <c r="P1336" s="214">
        <v>3710</v>
      </c>
      <c r="Q1336" s="215">
        <v>45544</v>
      </c>
      <c r="R1336" s="153"/>
      <c r="S1336" s="153"/>
      <c r="T1336" s="153"/>
      <c r="U1336" s="153"/>
      <c r="V1336" s="153"/>
      <c r="W1336" s="153"/>
      <c r="X1336" s="153"/>
      <c r="Y1336" s="153"/>
      <c r="Z1336" s="153"/>
      <c r="AA1336" s="153"/>
    </row>
    <row r="1337" spans="1:27">
      <c r="A1337" s="207">
        <v>10</v>
      </c>
      <c r="B1337" s="208" t="s">
        <v>2138</v>
      </c>
      <c r="C1337" s="209">
        <v>45555</v>
      </c>
      <c r="D1337" s="210" t="s">
        <v>440</v>
      </c>
      <c r="E1337" s="153" t="s">
        <v>309</v>
      </c>
      <c r="F1337" s="153" t="s">
        <v>441</v>
      </c>
      <c r="G1337" s="153" t="s">
        <v>442</v>
      </c>
      <c r="H1337" s="149" t="str">
        <f t="shared" si="7"/>
        <v>MARÍA SANTILLÁN SÁNCHEZ</v>
      </c>
      <c r="I1337" s="153" t="s">
        <v>493</v>
      </c>
      <c r="J1337" s="153" t="s">
        <v>444</v>
      </c>
      <c r="K1337" s="153" t="s">
        <v>2242</v>
      </c>
      <c r="L1337" s="211">
        <v>45587</v>
      </c>
      <c r="M1337" s="164"/>
      <c r="N1337" s="212">
        <v>2</v>
      </c>
      <c r="O1337" s="213" t="s">
        <v>446</v>
      </c>
      <c r="P1337" s="214">
        <v>3846.36</v>
      </c>
      <c r="Q1337" s="215">
        <v>45555</v>
      </c>
      <c r="R1337" s="153"/>
      <c r="S1337" s="153"/>
      <c r="T1337" s="153"/>
      <c r="U1337" s="153"/>
      <c r="V1337" s="153"/>
      <c r="W1337" s="153"/>
      <c r="X1337" s="153"/>
      <c r="Y1337" s="153"/>
      <c r="Z1337" s="153"/>
      <c r="AA1337" s="153"/>
    </row>
    <row r="1338" spans="1:27">
      <c r="A1338" s="207">
        <v>10</v>
      </c>
      <c r="B1338" s="208" t="s">
        <v>2138</v>
      </c>
      <c r="C1338" s="216">
        <v>45083</v>
      </c>
      <c r="D1338" s="210" t="s">
        <v>440</v>
      </c>
      <c r="E1338" s="153" t="s">
        <v>309</v>
      </c>
      <c r="F1338" s="153" t="s">
        <v>441</v>
      </c>
      <c r="G1338" s="153" t="s">
        <v>442</v>
      </c>
      <c r="H1338" s="149" t="str">
        <f t="shared" si="7"/>
        <v>JOSE JOAQUÍN GUTIÉRREZ BARQUÍN</v>
      </c>
      <c r="I1338" s="153" t="s">
        <v>716</v>
      </c>
      <c r="J1338" s="153" t="s">
        <v>444</v>
      </c>
      <c r="K1338" s="153" t="s">
        <v>2243</v>
      </c>
      <c r="L1338" s="211">
        <v>45587</v>
      </c>
      <c r="M1338" s="164"/>
      <c r="N1338" s="212">
        <v>2</v>
      </c>
      <c r="O1338" s="213" t="s">
        <v>446</v>
      </c>
      <c r="P1338" s="214">
        <v>3604.55</v>
      </c>
      <c r="Q1338" s="196">
        <v>45083</v>
      </c>
      <c r="R1338" s="153"/>
      <c r="S1338" s="153"/>
      <c r="T1338" s="153"/>
      <c r="U1338" s="153"/>
      <c r="V1338" s="153"/>
      <c r="W1338" s="153"/>
      <c r="X1338" s="153"/>
      <c r="Y1338" s="153"/>
      <c r="Z1338" s="153"/>
      <c r="AA1338" s="153"/>
    </row>
    <row r="1339" spans="1:27">
      <c r="A1339" s="207">
        <v>10</v>
      </c>
      <c r="B1339" s="208" t="s">
        <v>2138</v>
      </c>
      <c r="C1339" s="209">
        <v>45523</v>
      </c>
      <c r="D1339" s="210" t="s">
        <v>440</v>
      </c>
      <c r="E1339" s="153" t="s">
        <v>164</v>
      </c>
      <c r="F1339" s="153" t="s">
        <v>441</v>
      </c>
      <c r="G1339" s="153" t="s">
        <v>442</v>
      </c>
      <c r="H1339" s="149" t="str">
        <f t="shared" si="7"/>
        <v>ÁLVARO CARRILLO SOTOS</v>
      </c>
      <c r="I1339" s="153" t="s">
        <v>2244</v>
      </c>
      <c r="J1339" s="153" t="s">
        <v>444</v>
      </c>
      <c r="K1339" s="153" t="s">
        <v>2245</v>
      </c>
      <c r="L1339" s="211">
        <v>45587</v>
      </c>
      <c r="M1339" s="164"/>
      <c r="N1339" s="212">
        <v>2</v>
      </c>
      <c r="O1339" s="213" t="s">
        <v>1540</v>
      </c>
      <c r="P1339" s="214">
        <v>3800</v>
      </c>
      <c r="Q1339" s="215">
        <v>45523</v>
      </c>
      <c r="R1339" s="153"/>
      <c r="S1339" s="153"/>
      <c r="T1339" s="153"/>
      <c r="U1339" s="153"/>
      <c r="V1339" s="153"/>
      <c r="W1339" s="153"/>
      <c r="X1339" s="153"/>
      <c r="Y1339" s="153"/>
      <c r="Z1339" s="153"/>
      <c r="AA1339" s="153"/>
    </row>
    <row r="1340" spans="1:27">
      <c r="A1340" s="207">
        <v>10</v>
      </c>
      <c r="B1340" s="208" t="s">
        <v>2138</v>
      </c>
      <c r="C1340" s="209">
        <v>45568</v>
      </c>
      <c r="D1340" s="210" t="s">
        <v>440</v>
      </c>
      <c r="E1340" s="153" t="s">
        <v>313</v>
      </c>
      <c r="F1340" s="153" t="s">
        <v>441</v>
      </c>
      <c r="G1340" s="153" t="s">
        <v>442</v>
      </c>
      <c r="H1340" s="149" t="str">
        <f t="shared" si="7"/>
        <v>JULIO LÓPEZ MOYA</v>
      </c>
      <c r="I1340" s="153" t="s">
        <v>504</v>
      </c>
      <c r="J1340" s="153" t="s">
        <v>444</v>
      </c>
      <c r="K1340" s="153" t="s">
        <v>2246</v>
      </c>
      <c r="L1340" s="211">
        <v>45587</v>
      </c>
      <c r="M1340" s="164"/>
      <c r="N1340" s="212">
        <v>2</v>
      </c>
      <c r="O1340" s="213" t="s">
        <v>1540</v>
      </c>
      <c r="P1340" s="214">
        <v>4000</v>
      </c>
      <c r="Q1340" s="215">
        <v>45568</v>
      </c>
      <c r="R1340" s="153"/>
      <c r="S1340" s="153"/>
      <c r="T1340" s="153"/>
      <c r="U1340" s="153"/>
      <c r="V1340" s="153"/>
      <c r="W1340" s="153"/>
      <c r="X1340" s="153"/>
      <c r="Y1340" s="153"/>
      <c r="Z1340" s="153"/>
      <c r="AA1340" s="153"/>
    </row>
    <row r="1341" spans="1:27">
      <c r="A1341" s="207">
        <v>10</v>
      </c>
      <c r="B1341" s="208" t="s">
        <v>2138</v>
      </c>
      <c r="C1341" s="209">
        <v>45553</v>
      </c>
      <c r="D1341" s="210" t="s">
        <v>440</v>
      </c>
      <c r="E1341" s="153" t="s">
        <v>129</v>
      </c>
      <c r="F1341" s="153" t="s">
        <v>441</v>
      </c>
      <c r="G1341" s="153" t="s">
        <v>442</v>
      </c>
      <c r="H1341" s="149" t="str">
        <f t="shared" si="7"/>
        <v>MARÍA REY MARCOS</v>
      </c>
      <c r="I1341" s="153" t="s">
        <v>678</v>
      </c>
      <c r="J1341" s="153" t="s">
        <v>516</v>
      </c>
      <c r="K1341" s="153" t="s">
        <v>2247</v>
      </c>
      <c r="L1341" s="211">
        <v>45587</v>
      </c>
      <c r="M1341" s="164"/>
      <c r="N1341" s="212">
        <v>2</v>
      </c>
      <c r="O1341" s="213" t="s">
        <v>466</v>
      </c>
      <c r="P1341" s="214">
        <v>4000</v>
      </c>
      <c r="Q1341" s="215">
        <v>45553</v>
      </c>
      <c r="R1341" s="153"/>
      <c r="S1341" s="153"/>
      <c r="T1341" s="153"/>
      <c r="U1341" s="153"/>
      <c r="V1341" s="153"/>
      <c r="W1341" s="153"/>
      <c r="X1341" s="153"/>
      <c r="Y1341" s="153"/>
      <c r="Z1341" s="153"/>
      <c r="AA1341" s="153"/>
    </row>
    <row r="1342" spans="1:27">
      <c r="A1342" s="207">
        <v>10</v>
      </c>
      <c r="B1342" s="208" t="s">
        <v>2138</v>
      </c>
      <c r="C1342" s="209">
        <v>45498</v>
      </c>
      <c r="D1342" s="210" t="s">
        <v>440</v>
      </c>
      <c r="E1342" s="153" t="s">
        <v>150</v>
      </c>
      <c r="F1342" s="153" t="s">
        <v>441</v>
      </c>
      <c r="G1342" s="153" t="s">
        <v>442</v>
      </c>
      <c r="H1342" s="149" t="str">
        <f t="shared" si="7"/>
        <v>CELIA LÓPEZ MOLLA</v>
      </c>
      <c r="I1342" s="153" t="s">
        <v>1726</v>
      </c>
      <c r="J1342" s="153" t="s">
        <v>636</v>
      </c>
      <c r="K1342" s="153" t="s">
        <v>2248</v>
      </c>
      <c r="L1342" s="211">
        <v>45587</v>
      </c>
      <c r="M1342" s="164"/>
      <c r="N1342" s="212">
        <v>2</v>
      </c>
      <c r="O1342" s="213" t="s">
        <v>1540</v>
      </c>
      <c r="P1342" s="214">
        <v>3800</v>
      </c>
      <c r="Q1342" s="215">
        <v>45498</v>
      </c>
      <c r="R1342" s="153"/>
      <c r="S1342" s="153"/>
      <c r="T1342" s="153"/>
      <c r="U1342" s="153"/>
      <c r="V1342" s="153"/>
      <c r="W1342" s="153"/>
      <c r="X1342" s="153"/>
      <c r="Y1342" s="153"/>
      <c r="Z1342" s="153"/>
      <c r="AA1342" s="153"/>
    </row>
    <row r="1343" spans="1:27">
      <c r="A1343" s="207">
        <v>10</v>
      </c>
      <c r="B1343" s="208" t="s">
        <v>2138</v>
      </c>
      <c r="C1343" s="209">
        <v>45554</v>
      </c>
      <c r="D1343" s="210" t="s">
        <v>440</v>
      </c>
      <c r="E1343" s="153" t="s">
        <v>150</v>
      </c>
      <c r="F1343" s="153" t="s">
        <v>441</v>
      </c>
      <c r="G1343" s="153" t="s">
        <v>442</v>
      </c>
      <c r="H1343" s="149" t="str">
        <f t="shared" si="7"/>
        <v>VANESA PÉREZ GUILLÉN</v>
      </c>
      <c r="I1343" s="153" t="s">
        <v>1849</v>
      </c>
      <c r="J1343" s="153" t="s">
        <v>636</v>
      </c>
      <c r="K1343" s="153" t="s">
        <v>2249</v>
      </c>
      <c r="L1343" s="211">
        <v>45587</v>
      </c>
      <c r="M1343" s="164"/>
      <c r="N1343" s="212">
        <v>2</v>
      </c>
      <c r="O1343" s="213" t="s">
        <v>1540</v>
      </c>
      <c r="P1343" s="214">
        <v>4000</v>
      </c>
      <c r="Q1343" s="215">
        <v>45554</v>
      </c>
      <c r="R1343" s="153"/>
      <c r="S1343" s="153"/>
      <c r="T1343" s="153"/>
      <c r="U1343" s="153"/>
      <c r="V1343" s="153"/>
      <c r="W1343" s="153"/>
      <c r="X1343" s="153"/>
      <c r="Y1343" s="153"/>
      <c r="Z1343" s="153"/>
      <c r="AA1343" s="153"/>
    </row>
    <row r="1344" spans="1:27">
      <c r="A1344" s="207">
        <v>10</v>
      </c>
      <c r="B1344" s="208" t="s">
        <v>2138</v>
      </c>
      <c r="C1344" s="209">
        <v>45565</v>
      </c>
      <c r="D1344" s="210" t="s">
        <v>440</v>
      </c>
      <c r="E1344" s="153" t="s">
        <v>150</v>
      </c>
      <c r="F1344" s="153" t="s">
        <v>441</v>
      </c>
      <c r="G1344" s="153" t="s">
        <v>442</v>
      </c>
      <c r="H1344" s="149" t="str">
        <f t="shared" si="7"/>
        <v>LUÍS MARTÍNEZ BERNABEU</v>
      </c>
      <c r="I1344" s="153" t="s">
        <v>483</v>
      </c>
      <c r="J1344" s="153" t="s">
        <v>636</v>
      </c>
      <c r="K1344" s="153" t="s">
        <v>2250</v>
      </c>
      <c r="L1344" s="211">
        <v>45587</v>
      </c>
      <c r="M1344" s="164"/>
      <c r="N1344" s="212">
        <v>2</v>
      </c>
      <c r="O1344" s="213" t="s">
        <v>446</v>
      </c>
      <c r="P1344" s="214">
        <v>3524.5</v>
      </c>
      <c r="Q1344" s="215">
        <v>45565</v>
      </c>
      <c r="R1344" s="153"/>
      <c r="S1344" s="153"/>
      <c r="T1344" s="153"/>
      <c r="U1344" s="153"/>
      <c r="V1344" s="153"/>
      <c r="W1344" s="153"/>
      <c r="X1344" s="153"/>
      <c r="Y1344" s="153"/>
      <c r="Z1344" s="153"/>
      <c r="AA1344" s="153"/>
    </row>
    <row r="1345" spans="1:27">
      <c r="A1345" s="154">
        <v>10</v>
      </c>
      <c r="B1345" s="155" t="s">
        <v>2138</v>
      </c>
      <c r="C1345" s="195">
        <v>45558</v>
      </c>
      <c r="D1345" s="155" t="s">
        <v>440</v>
      </c>
      <c r="E1345" s="149" t="s">
        <v>311</v>
      </c>
      <c r="F1345" s="153" t="s">
        <v>441</v>
      </c>
      <c r="G1345" s="149" t="s">
        <v>442</v>
      </c>
      <c r="H1345" s="149" t="str">
        <f t="shared" si="7"/>
        <v>ITHZEL MARIA VILLARREAL PATIÑO</v>
      </c>
      <c r="I1345" s="149" t="s">
        <v>491</v>
      </c>
      <c r="J1345" s="153" t="s">
        <v>444</v>
      </c>
      <c r="K1345" s="149" t="s">
        <v>2251</v>
      </c>
      <c r="L1345" s="168">
        <v>45588</v>
      </c>
      <c r="M1345" s="164"/>
      <c r="N1345" s="163">
        <v>2</v>
      </c>
      <c r="O1345" s="165" t="s">
        <v>1540</v>
      </c>
      <c r="P1345" s="161">
        <v>4000</v>
      </c>
      <c r="Q1345" s="196">
        <v>45558</v>
      </c>
      <c r="R1345" s="153"/>
      <c r="S1345" s="153"/>
      <c r="T1345" s="153"/>
      <c r="U1345" s="153"/>
      <c r="V1345" s="153"/>
      <c r="W1345" s="153"/>
      <c r="X1345" s="153"/>
      <c r="Y1345" s="153"/>
      <c r="Z1345" s="153"/>
      <c r="AA1345" s="153"/>
    </row>
    <row r="1346" spans="1:27">
      <c r="A1346" s="154">
        <v>10</v>
      </c>
      <c r="B1346" s="155" t="s">
        <v>2138</v>
      </c>
      <c r="C1346" s="195">
        <v>45540</v>
      </c>
      <c r="D1346" s="155" t="s">
        <v>440</v>
      </c>
      <c r="E1346" s="149" t="s">
        <v>1047</v>
      </c>
      <c r="F1346" s="153" t="s">
        <v>441</v>
      </c>
      <c r="G1346" s="149" t="s">
        <v>442</v>
      </c>
      <c r="H1346" s="149" t="str">
        <f t="shared" si="7"/>
        <v>JORDI LLUANSI PANELLA</v>
      </c>
      <c r="I1346" s="149" t="s">
        <v>1048</v>
      </c>
      <c r="J1346" s="153" t="s">
        <v>532</v>
      </c>
      <c r="K1346" s="149" t="s">
        <v>2252</v>
      </c>
      <c r="L1346" s="168">
        <v>45588</v>
      </c>
      <c r="M1346" s="164"/>
      <c r="N1346" s="163">
        <v>1</v>
      </c>
      <c r="O1346" s="165" t="s">
        <v>449</v>
      </c>
      <c r="P1346" s="161">
        <v>1550</v>
      </c>
      <c r="Q1346" s="196">
        <v>45540</v>
      </c>
      <c r="R1346" s="153"/>
      <c r="S1346" s="153"/>
      <c r="T1346" s="153"/>
      <c r="U1346" s="153"/>
      <c r="V1346" s="153"/>
      <c r="W1346" s="153"/>
      <c r="X1346" s="153"/>
      <c r="Y1346" s="153"/>
      <c r="Z1346" s="153"/>
      <c r="AA1346" s="153"/>
    </row>
    <row r="1347" spans="1:27">
      <c r="A1347" s="207">
        <v>10</v>
      </c>
      <c r="B1347" s="208" t="s">
        <v>2138</v>
      </c>
      <c r="C1347" s="209">
        <v>45576</v>
      </c>
      <c r="D1347" s="210" t="s">
        <v>440</v>
      </c>
      <c r="E1347" s="153" t="s">
        <v>856</v>
      </c>
      <c r="F1347" s="153" t="s">
        <v>441</v>
      </c>
      <c r="G1347" s="153" t="s">
        <v>442</v>
      </c>
      <c r="H1347" s="149" t="str">
        <f t="shared" si="7"/>
        <v>RAFAEL PÉREZ GONZÁLEZ</v>
      </c>
      <c r="I1347" s="153" t="s">
        <v>1413</v>
      </c>
      <c r="J1347" s="153" t="s">
        <v>473</v>
      </c>
      <c r="K1347" s="153" t="s">
        <v>2253</v>
      </c>
      <c r="L1347" s="211">
        <v>45588</v>
      </c>
      <c r="M1347" s="164"/>
      <c r="N1347" s="212">
        <v>2</v>
      </c>
      <c r="O1347" s="213" t="s">
        <v>513</v>
      </c>
      <c r="P1347" s="214">
        <v>5022.7299999999996</v>
      </c>
      <c r="Q1347" s="215">
        <v>45576</v>
      </c>
      <c r="R1347" s="153"/>
      <c r="S1347" s="153"/>
      <c r="T1347" s="153"/>
      <c r="U1347" s="153"/>
      <c r="V1347" s="153"/>
      <c r="W1347" s="153"/>
      <c r="X1347" s="153"/>
      <c r="Y1347" s="153"/>
      <c r="Z1347" s="153"/>
      <c r="AA1347" s="153"/>
    </row>
    <row r="1348" spans="1:27">
      <c r="A1348" s="154">
        <v>10</v>
      </c>
      <c r="B1348" s="155" t="s">
        <v>2138</v>
      </c>
      <c r="C1348" s="195">
        <v>45581</v>
      </c>
      <c r="D1348" s="155" t="s">
        <v>440</v>
      </c>
      <c r="E1348" s="149" t="s">
        <v>546</v>
      </c>
      <c r="F1348" s="153" t="s">
        <v>441</v>
      </c>
      <c r="G1348" s="149" t="s">
        <v>442</v>
      </c>
      <c r="H1348" s="149" t="str">
        <f t="shared" si="7"/>
        <v>RAED MAQUED EL MAQUED</v>
      </c>
      <c r="I1348" s="149" t="s">
        <v>547</v>
      </c>
      <c r="J1348" s="153" t="s">
        <v>548</v>
      </c>
      <c r="K1348" s="149" t="s">
        <v>2254</v>
      </c>
      <c r="L1348" s="168">
        <v>45589</v>
      </c>
      <c r="M1348" s="164"/>
      <c r="N1348" s="163">
        <v>2</v>
      </c>
      <c r="O1348" s="165" t="s">
        <v>466</v>
      </c>
      <c r="P1348" s="161">
        <v>4000</v>
      </c>
      <c r="Q1348" s="196">
        <v>45581</v>
      </c>
      <c r="R1348" s="153"/>
      <c r="S1348" s="153"/>
      <c r="T1348" s="153"/>
      <c r="U1348" s="153"/>
      <c r="V1348" s="153"/>
      <c r="W1348" s="153"/>
      <c r="X1348" s="153"/>
      <c r="Y1348" s="153"/>
      <c r="Z1348" s="153"/>
      <c r="AA1348" s="153"/>
    </row>
    <row r="1349" spans="1:27">
      <c r="A1349" s="154">
        <v>10</v>
      </c>
      <c r="B1349" s="155" t="s">
        <v>2138</v>
      </c>
      <c r="C1349" s="195">
        <v>45567</v>
      </c>
      <c r="D1349" s="155" t="s">
        <v>440</v>
      </c>
      <c r="E1349" s="149" t="s">
        <v>311</v>
      </c>
      <c r="F1349" s="153" t="s">
        <v>441</v>
      </c>
      <c r="G1349" s="149" t="s">
        <v>442</v>
      </c>
      <c r="H1349" s="149" t="str">
        <f t="shared" si="7"/>
        <v>MARÍA GABRIELA BOSCO MORALES</v>
      </c>
      <c r="I1349" s="149" t="s">
        <v>2255</v>
      </c>
      <c r="J1349" s="153" t="s">
        <v>444</v>
      </c>
      <c r="K1349" s="149" t="s">
        <v>2256</v>
      </c>
      <c r="L1349" s="168">
        <v>45589</v>
      </c>
      <c r="M1349" s="164"/>
      <c r="N1349" s="163">
        <v>2</v>
      </c>
      <c r="O1349" s="165" t="s">
        <v>446</v>
      </c>
      <c r="P1349" s="161">
        <v>3710</v>
      </c>
      <c r="Q1349" s="196">
        <v>45567</v>
      </c>
      <c r="R1349" s="153"/>
      <c r="S1349" s="153"/>
      <c r="T1349" s="153"/>
      <c r="U1349" s="153"/>
      <c r="V1349" s="153"/>
      <c r="W1349" s="153"/>
      <c r="X1349" s="153"/>
      <c r="Y1349" s="153"/>
      <c r="Z1349" s="153"/>
      <c r="AA1349" s="153"/>
    </row>
    <row r="1350" spans="1:27">
      <c r="A1350" s="154">
        <v>10</v>
      </c>
      <c r="B1350" s="155" t="s">
        <v>2138</v>
      </c>
      <c r="C1350" s="195">
        <v>45540</v>
      </c>
      <c r="D1350" s="155" t="s">
        <v>440</v>
      </c>
      <c r="E1350" s="149" t="s">
        <v>109</v>
      </c>
      <c r="F1350" s="153" t="s">
        <v>441</v>
      </c>
      <c r="G1350" s="149" t="s">
        <v>442</v>
      </c>
      <c r="H1350" s="149" t="str">
        <f t="shared" si="7"/>
        <v>ESTHER MONTIEL DIEZ</v>
      </c>
      <c r="I1350" s="149" t="s">
        <v>1108</v>
      </c>
      <c r="J1350" s="153" t="s">
        <v>444</v>
      </c>
      <c r="K1350" s="149" t="s">
        <v>2257</v>
      </c>
      <c r="L1350" s="168">
        <v>45589</v>
      </c>
      <c r="M1350" s="164"/>
      <c r="N1350" s="163">
        <v>2</v>
      </c>
      <c r="O1350" s="165" t="s">
        <v>1540</v>
      </c>
      <c r="P1350" s="161">
        <v>3800</v>
      </c>
      <c r="Q1350" s="196">
        <v>45540</v>
      </c>
      <c r="R1350" s="153"/>
      <c r="S1350" s="153"/>
      <c r="T1350" s="153"/>
      <c r="U1350" s="153"/>
      <c r="V1350" s="153"/>
      <c r="W1350" s="153"/>
      <c r="X1350" s="153"/>
      <c r="Y1350" s="153"/>
      <c r="Z1350" s="153"/>
      <c r="AA1350" s="153"/>
    </row>
    <row r="1351" spans="1:27">
      <c r="A1351" s="207">
        <v>10</v>
      </c>
      <c r="B1351" s="208" t="s">
        <v>2138</v>
      </c>
      <c r="C1351" s="209">
        <v>45525</v>
      </c>
      <c r="D1351" s="210" t="s">
        <v>440</v>
      </c>
      <c r="E1351" s="153" t="s">
        <v>501</v>
      </c>
      <c r="F1351" s="153" t="s">
        <v>441</v>
      </c>
      <c r="G1351" s="153" t="s">
        <v>442</v>
      </c>
      <c r="H1351" s="149" t="str">
        <f t="shared" si="7"/>
        <v>ESTRELLA GÓMEZ TOMÉ</v>
      </c>
      <c r="I1351" s="153" t="s">
        <v>1630</v>
      </c>
      <c r="J1351" s="153" t="s">
        <v>548</v>
      </c>
      <c r="K1351" s="153" t="s">
        <v>2258</v>
      </c>
      <c r="L1351" s="211">
        <v>45589</v>
      </c>
      <c r="M1351" s="164"/>
      <c r="N1351" s="212">
        <v>1</v>
      </c>
      <c r="O1351" s="213" t="s">
        <v>446</v>
      </c>
      <c r="P1351" s="214">
        <v>1818.18</v>
      </c>
      <c r="Q1351" s="215">
        <v>45525</v>
      </c>
      <c r="R1351" s="153"/>
      <c r="S1351" s="153"/>
      <c r="T1351" s="153"/>
      <c r="U1351" s="153"/>
      <c r="V1351" s="153"/>
      <c r="W1351" s="153"/>
      <c r="X1351" s="153"/>
      <c r="Y1351" s="153"/>
      <c r="Z1351" s="153"/>
      <c r="AA1351" s="153"/>
    </row>
    <row r="1352" spans="1:27">
      <c r="A1352" s="207">
        <v>10</v>
      </c>
      <c r="B1352" s="208" t="s">
        <v>2138</v>
      </c>
      <c r="C1352" s="216">
        <v>45566</v>
      </c>
      <c r="D1352" s="218" t="s">
        <v>440</v>
      </c>
      <c r="E1352" s="153" t="s">
        <v>501</v>
      </c>
      <c r="F1352" s="153" t="s">
        <v>441</v>
      </c>
      <c r="G1352" s="153" t="s">
        <v>442</v>
      </c>
      <c r="H1352" s="149" t="str">
        <f t="shared" si="7"/>
        <v>CRISTINA IBAÑEZ MUÑOZ</v>
      </c>
      <c r="I1352" s="153" t="s">
        <v>838</v>
      </c>
      <c r="J1352" s="153" t="s">
        <v>548</v>
      </c>
      <c r="K1352" s="153" t="s">
        <v>2259</v>
      </c>
      <c r="L1352" s="211">
        <v>45589</v>
      </c>
      <c r="M1352" s="164"/>
      <c r="N1352" s="212">
        <v>2</v>
      </c>
      <c r="O1352" s="213" t="s">
        <v>446</v>
      </c>
      <c r="P1352" s="214">
        <v>3454.55</v>
      </c>
      <c r="Q1352" s="196">
        <v>45566</v>
      </c>
      <c r="R1352" s="153"/>
      <c r="S1352" s="153"/>
      <c r="T1352" s="153"/>
      <c r="U1352" s="153"/>
      <c r="V1352" s="153"/>
      <c r="W1352" s="153"/>
      <c r="X1352" s="153"/>
      <c r="Y1352" s="153"/>
      <c r="Z1352" s="153"/>
      <c r="AA1352" s="153"/>
    </row>
    <row r="1353" spans="1:27">
      <c r="A1353" s="207">
        <v>10</v>
      </c>
      <c r="B1353" s="208" t="s">
        <v>2138</v>
      </c>
      <c r="C1353" s="209">
        <v>45531</v>
      </c>
      <c r="D1353" s="210" t="s">
        <v>440</v>
      </c>
      <c r="E1353" s="153" t="s">
        <v>313</v>
      </c>
      <c r="F1353" s="153" t="s">
        <v>441</v>
      </c>
      <c r="G1353" s="153" t="s">
        <v>442</v>
      </c>
      <c r="H1353" s="149" t="str">
        <f t="shared" si="7"/>
        <v>ESTEBAN SCOLA PLIEGO</v>
      </c>
      <c r="I1353" s="153" t="s">
        <v>736</v>
      </c>
      <c r="J1353" s="153" t="s">
        <v>444</v>
      </c>
      <c r="K1353" s="153" t="s">
        <v>2260</v>
      </c>
      <c r="L1353" s="211">
        <v>45589</v>
      </c>
      <c r="M1353" s="164"/>
      <c r="N1353" s="212">
        <v>2</v>
      </c>
      <c r="O1353" s="213" t="s">
        <v>1540</v>
      </c>
      <c r="P1353" s="214">
        <v>4000</v>
      </c>
      <c r="Q1353" s="215">
        <v>45531</v>
      </c>
      <c r="R1353" s="153"/>
      <c r="S1353" s="153"/>
      <c r="T1353" s="153"/>
      <c r="U1353" s="153"/>
      <c r="V1353" s="153"/>
      <c r="W1353" s="153"/>
      <c r="X1353" s="153"/>
      <c r="Y1353" s="153"/>
      <c r="Z1353" s="153"/>
      <c r="AA1353" s="153"/>
    </row>
    <row r="1354" spans="1:27">
      <c r="A1354" s="207">
        <v>10</v>
      </c>
      <c r="B1354" s="208" t="s">
        <v>2138</v>
      </c>
      <c r="C1354" s="209">
        <v>45512</v>
      </c>
      <c r="D1354" s="210" t="s">
        <v>440</v>
      </c>
      <c r="E1354" s="153" t="s">
        <v>98</v>
      </c>
      <c r="F1354" s="153" t="s">
        <v>441</v>
      </c>
      <c r="G1354" s="153" t="s">
        <v>442</v>
      </c>
      <c r="H1354" s="149" t="str">
        <f t="shared" si="7"/>
        <v>MARÍA AGUSTINA SEVILLA GARCÍA</v>
      </c>
      <c r="I1354" s="153" t="s">
        <v>538</v>
      </c>
      <c r="J1354" s="153" t="s">
        <v>462</v>
      </c>
      <c r="K1354" s="153" t="s">
        <v>2261</v>
      </c>
      <c r="L1354" s="211">
        <v>45589</v>
      </c>
      <c r="M1354" s="164"/>
      <c r="N1354" s="212">
        <v>2</v>
      </c>
      <c r="O1354" s="213" t="s">
        <v>449</v>
      </c>
      <c r="P1354" s="214">
        <v>1736.36</v>
      </c>
      <c r="Q1354" s="215">
        <v>45512</v>
      </c>
      <c r="R1354" s="153"/>
      <c r="S1354" s="153"/>
      <c r="T1354" s="153"/>
      <c r="U1354" s="153"/>
      <c r="V1354" s="153"/>
      <c r="W1354" s="153"/>
      <c r="X1354" s="153"/>
      <c r="Y1354" s="153"/>
      <c r="Z1354" s="153"/>
      <c r="AA1354" s="153"/>
    </row>
    <row r="1355" spans="1:27">
      <c r="A1355" s="207">
        <v>10</v>
      </c>
      <c r="B1355" s="208" t="s">
        <v>2138</v>
      </c>
      <c r="C1355" s="209">
        <v>45547</v>
      </c>
      <c r="D1355" s="210" t="s">
        <v>440</v>
      </c>
      <c r="E1355" s="153" t="s">
        <v>525</v>
      </c>
      <c r="F1355" s="153" t="s">
        <v>441</v>
      </c>
      <c r="G1355" s="153" t="s">
        <v>442</v>
      </c>
      <c r="H1355" s="149" t="str">
        <f t="shared" si="7"/>
        <v>MANUEL ESTEVEZ GARCÍA</v>
      </c>
      <c r="I1355" s="153" t="s">
        <v>1409</v>
      </c>
      <c r="J1355" s="153" t="s">
        <v>516</v>
      </c>
      <c r="K1355" s="153" t="s">
        <v>2262</v>
      </c>
      <c r="L1355" s="211">
        <v>45589</v>
      </c>
      <c r="M1355" s="164"/>
      <c r="N1355" s="212">
        <v>2</v>
      </c>
      <c r="O1355" s="213" t="s">
        <v>446</v>
      </c>
      <c r="P1355" s="214">
        <v>3454.55</v>
      </c>
      <c r="Q1355" s="215">
        <v>45547</v>
      </c>
      <c r="R1355" s="153"/>
      <c r="S1355" s="153"/>
      <c r="T1355" s="153"/>
      <c r="U1355" s="153"/>
      <c r="V1355" s="153"/>
      <c r="W1355" s="153"/>
      <c r="X1355" s="153"/>
      <c r="Y1355" s="153"/>
      <c r="Z1355" s="153"/>
      <c r="AA1355" s="153"/>
    </row>
    <row r="1356" spans="1:27">
      <c r="A1356" s="207">
        <v>10</v>
      </c>
      <c r="B1356" s="208" t="s">
        <v>2138</v>
      </c>
      <c r="C1356" s="209">
        <v>45565</v>
      </c>
      <c r="D1356" s="210" t="s">
        <v>440</v>
      </c>
      <c r="E1356" s="149" t="s">
        <v>525</v>
      </c>
      <c r="F1356" s="149" t="s">
        <v>441</v>
      </c>
      <c r="G1356" s="149" t="s">
        <v>442</v>
      </c>
      <c r="H1356" s="149" t="str">
        <f t="shared" si="7"/>
        <v>OLALLA CASTRO MACIA</v>
      </c>
      <c r="I1356" s="149" t="s">
        <v>2263</v>
      </c>
      <c r="J1356" s="149" t="s">
        <v>516</v>
      </c>
      <c r="K1356" s="149" t="s">
        <v>2264</v>
      </c>
      <c r="L1356" s="168">
        <v>45589</v>
      </c>
      <c r="M1356" s="164"/>
      <c r="N1356" s="163">
        <v>2</v>
      </c>
      <c r="O1356" s="165" t="s">
        <v>449</v>
      </c>
      <c r="P1356" s="161">
        <v>772.73</v>
      </c>
      <c r="Q1356" s="168">
        <v>45565</v>
      </c>
      <c r="R1356" s="153"/>
      <c r="S1356" s="153"/>
      <c r="T1356" s="153"/>
      <c r="U1356" s="153"/>
      <c r="V1356" s="153"/>
      <c r="W1356" s="153"/>
      <c r="X1356" s="153"/>
      <c r="Y1356" s="153"/>
      <c r="Z1356" s="153"/>
      <c r="AA1356" s="153"/>
    </row>
    <row r="1357" spans="1:27">
      <c r="A1357" s="154">
        <v>10</v>
      </c>
      <c r="B1357" s="155" t="s">
        <v>2138</v>
      </c>
      <c r="C1357" s="195">
        <v>45397</v>
      </c>
      <c r="D1357" s="155" t="s">
        <v>440</v>
      </c>
      <c r="E1357" s="149" t="s">
        <v>460</v>
      </c>
      <c r="F1357" s="153" t="s">
        <v>441</v>
      </c>
      <c r="G1357" s="149" t="s">
        <v>442</v>
      </c>
      <c r="H1357" s="149" t="str">
        <f t="shared" si="7"/>
        <v>ISABEL POLO TOMÁS</v>
      </c>
      <c r="I1357" s="149" t="s">
        <v>638</v>
      </c>
      <c r="J1357" s="153" t="s">
        <v>462</v>
      </c>
      <c r="K1357" s="149" t="s">
        <v>2265</v>
      </c>
      <c r="L1357" s="168">
        <v>45590</v>
      </c>
      <c r="M1357" s="164"/>
      <c r="N1357" s="163">
        <v>2</v>
      </c>
      <c r="O1357" s="165" t="s">
        <v>466</v>
      </c>
      <c r="P1357" s="161">
        <v>4000</v>
      </c>
      <c r="Q1357" s="196">
        <v>45397</v>
      </c>
      <c r="R1357" s="153"/>
      <c r="S1357" s="153"/>
      <c r="T1357" s="153"/>
      <c r="U1357" s="153"/>
      <c r="V1357" s="153"/>
      <c r="W1357" s="153"/>
      <c r="X1357" s="153"/>
      <c r="Y1357" s="153"/>
      <c r="Z1357" s="153"/>
      <c r="AA1357" s="153"/>
    </row>
    <row r="1358" spans="1:27">
      <c r="A1358" s="154">
        <v>10</v>
      </c>
      <c r="B1358" s="155" t="s">
        <v>2138</v>
      </c>
      <c r="C1358" s="195">
        <v>45562</v>
      </c>
      <c r="D1358" s="155" t="s">
        <v>440</v>
      </c>
      <c r="E1358" s="149" t="s">
        <v>310</v>
      </c>
      <c r="F1358" s="153" t="s">
        <v>441</v>
      </c>
      <c r="G1358" s="149" t="s">
        <v>442</v>
      </c>
      <c r="H1358" s="149" t="str">
        <f t="shared" si="7"/>
        <v>PABLO VERGÉS FORT</v>
      </c>
      <c r="I1358" s="149" t="s">
        <v>2203</v>
      </c>
      <c r="J1358" s="153" t="s">
        <v>532</v>
      </c>
      <c r="K1358" s="149" t="s">
        <v>2266</v>
      </c>
      <c r="L1358" s="168">
        <v>45590</v>
      </c>
      <c r="M1358" s="164"/>
      <c r="N1358" s="163">
        <v>2</v>
      </c>
      <c r="O1358" s="165" t="s">
        <v>446</v>
      </c>
      <c r="P1358" s="161">
        <v>3710</v>
      </c>
      <c r="Q1358" s="196">
        <v>45562</v>
      </c>
      <c r="R1358" s="153"/>
      <c r="S1358" s="153"/>
      <c r="T1358" s="153"/>
      <c r="U1358" s="153"/>
      <c r="V1358" s="153"/>
      <c r="W1358" s="153"/>
      <c r="X1358" s="153"/>
      <c r="Y1358" s="153"/>
      <c r="Z1358" s="153"/>
      <c r="AA1358" s="153"/>
    </row>
    <row r="1359" spans="1:27">
      <c r="A1359" s="154">
        <v>10</v>
      </c>
      <c r="B1359" s="155" t="s">
        <v>2138</v>
      </c>
      <c r="C1359" s="195">
        <v>45566</v>
      </c>
      <c r="D1359" s="155" t="s">
        <v>440</v>
      </c>
      <c r="E1359" s="149" t="s">
        <v>311</v>
      </c>
      <c r="F1359" s="153" t="s">
        <v>441</v>
      </c>
      <c r="G1359" s="149" t="s">
        <v>442</v>
      </c>
      <c r="H1359" s="149" t="str">
        <f t="shared" si="7"/>
        <v>GUILLERMO PLAZA MAYOR</v>
      </c>
      <c r="I1359" s="149" t="s">
        <v>2267</v>
      </c>
      <c r="J1359" s="153" t="s">
        <v>444</v>
      </c>
      <c r="K1359" s="149" t="s">
        <v>2268</v>
      </c>
      <c r="L1359" s="168">
        <v>45590</v>
      </c>
      <c r="M1359" s="164"/>
      <c r="N1359" s="163">
        <v>1</v>
      </c>
      <c r="O1359" s="165" t="s">
        <v>446</v>
      </c>
      <c r="P1359" s="161">
        <v>2226.36</v>
      </c>
      <c r="Q1359" s="196">
        <v>45566</v>
      </c>
      <c r="R1359" s="153"/>
      <c r="S1359" s="153"/>
      <c r="T1359" s="153"/>
      <c r="U1359" s="153"/>
      <c r="V1359" s="153"/>
      <c r="W1359" s="153"/>
      <c r="X1359" s="153"/>
      <c r="Y1359" s="153"/>
      <c r="Z1359" s="153"/>
      <c r="AA1359" s="153"/>
    </row>
    <row r="1360" spans="1:27">
      <c r="A1360" s="154">
        <v>10</v>
      </c>
      <c r="B1360" s="155" t="s">
        <v>2138</v>
      </c>
      <c r="C1360" s="195">
        <v>45569</v>
      </c>
      <c r="D1360" s="155" t="s">
        <v>440</v>
      </c>
      <c r="E1360" s="149" t="s">
        <v>311</v>
      </c>
      <c r="F1360" s="153" t="s">
        <v>441</v>
      </c>
      <c r="G1360" s="149" t="s">
        <v>442</v>
      </c>
      <c r="H1360" s="149" t="str">
        <f t="shared" si="7"/>
        <v>PALOMA MARTÍN- ARAGÓN MARTIÍ</v>
      </c>
      <c r="I1360" s="149" t="s">
        <v>643</v>
      </c>
      <c r="J1360" s="153" t="s">
        <v>444</v>
      </c>
      <c r="K1360" s="149" t="s">
        <v>2269</v>
      </c>
      <c r="L1360" s="168">
        <v>45590</v>
      </c>
      <c r="M1360" s="164"/>
      <c r="N1360" s="163">
        <v>2</v>
      </c>
      <c r="O1360" s="165" t="s">
        <v>1540</v>
      </c>
      <c r="P1360" s="161">
        <v>4000</v>
      </c>
      <c r="Q1360" s="196">
        <v>45569</v>
      </c>
      <c r="R1360" s="153"/>
      <c r="S1360" s="153"/>
      <c r="T1360" s="153"/>
      <c r="U1360" s="153"/>
      <c r="V1360" s="153"/>
      <c r="W1360" s="153"/>
      <c r="X1360" s="153"/>
      <c r="Y1360" s="153"/>
      <c r="Z1360" s="153"/>
      <c r="AA1360" s="153"/>
    </row>
    <row r="1361" spans="1:27">
      <c r="A1361" s="207">
        <v>10</v>
      </c>
      <c r="B1361" s="208" t="s">
        <v>2138</v>
      </c>
      <c r="C1361" s="209">
        <v>45559</v>
      </c>
      <c r="D1361" s="210" t="s">
        <v>440</v>
      </c>
      <c r="E1361" s="153" t="s">
        <v>309</v>
      </c>
      <c r="F1361" s="153" t="s">
        <v>441</v>
      </c>
      <c r="G1361" s="153" t="s">
        <v>442</v>
      </c>
      <c r="H1361" s="149" t="str">
        <f t="shared" si="7"/>
        <v>Eviatar Friedlander</v>
      </c>
      <c r="I1361" s="153" t="s">
        <v>616</v>
      </c>
      <c r="J1361" s="153" t="s">
        <v>444</v>
      </c>
      <c r="K1361" s="153" t="s">
        <v>2270</v>
      </c>
      <c r="L1361" s="211">
        <v>45590</v>
      </c>
      <c r="M1361" s="164"/>
      <c r="N1361" s="212">
        <v>2</v>
      </c>
      <c r="O1361" s="213" t="s">
        <v>1540</v>
      </c>
      <c r="P1361" s="214">
        <v>4136.3599999999997</v>
      </c>
      <c r="Q1361" s="215">
        <v>45559</v>
      </c>
      <c r="R1361" s="153"/>
      <c r="S1361" s="153"/>
      <c r="T1361" s="153"/>
      <c r="U1361" s="153"/>
      <c r="V1361" s="153"/>
      <c r="W1361" s="153"/>
      <c r="X1361" s="153"/>
      <c r="Y1361" s="153"/>
      <c r="Z1361" s="153"/>
      <c r="AA1361" s="153"/>
    </row>
    <row r="1362" spans="1:27">
      <c r="A1362" s="207">
        <v>10</v>
      </c>
      <c r="B1362" s="208" t="s">
        <v>2138</v>
      </c>
      <c r="C1362" s="209">
        <v>45554</v>
      </c>
      <c r="D1362" s="210" t="s">
        <v>440</v>
      </c>
      <c r="E1362" s="153" t="s">
        <v>164</v>
      </c>
      <c r="F1362" s="153" t="s">
        <v>441</v>
      </c>
      <c r="G1362" s="153" t="s">
        <v>442</v>
      </c>
      <c r="H1362" s="149" t="str">
        <f t="shared" si="7"/>
        <v>CRISTINA IBAÑEZ MUÑOZ</v>
      </c>
      <c r="I1362" s="153" t="s">
        <v>838</v>
      </c>
      <c r="J1362" s="153" t="s">
        <v>548</v>
      </c>
      <c r="K1362" s="153" t="s">
        <v>2271</v>
      </c>
      <c r="L1362" s="211">
        <v>45590</v>
      </c>
      <c r="M1362" s="164"/>
      <c r="N1362" s="212">
        <v>2</v>
      </c>
      <c r="O1362" s="213" t="s">
        <v>1540</v>
      </c>
      <c r="P1362" s="214">
        <v>4136.3599999999997</v>
      </c>
      <c r="Q1362" s="215">
        <v>45554</v>
      </c>
      <c r="R1362" s="153"/>
      <c r="S1362" s="153"/>
      <c r="T1362" s="153"/>
      <c r="U1362" s="153"/>
      <c r="V1362" s="153"/>
      <c r="W1362" s="153"/>
      <c r="X1362" s="153"/>
      <c r="Y1362" s="153"/>
      <c r="Z1362" s="153"/>
      <c r="AA1362" s="153"/>
    </row>
    <row r="1363" spans="1:27">
      <c r="A1363" s="207">
        <v>10</v>
      </c>
      <c r="B1363" s="208" t="s">
        <v>2138</v>
      </c>
      <c r="C1363" s="209">
        <v>45569</v>
      </c>
      <c r="D1363" s="210" t="s">
        <v>440</v>
      </c>
      <c r="E1363" s="153" t="s">
        <v>313</v>
      </c>
      <c r="F1363" s="153" t="s">
        <v>441</v>
      </c>
      <c r="G1363" s="153" t="s">
        <v>442</v>
      </c>
      <c r="H1363" s="149" t="str">
        <f t="shared" si="7"/>
        <v>ESTEBAN SCOLA PLIEGO</v>
      </c>
      <c r="I1363" s="153" t="s">
        <v>736</v>
      </c>
      <c r="J1363" s="153" t="s">
        <v>444</v>
      </c>
      <c r="K1363" s="153" t="s">
        <v>2272</v>
      </c>
      <c r="L1363" s="211">
        <v>45590</v>
      </c>
      <c r="M1363" s="164"/>
      <c r="N1363" s="212">
        <v>2</v>
      </c>
      <c r="O1363" s="213" t="s">
        <v>1540</v>
      </c>
      <c r="P1363" s="214">
        <v>3800</v>
      </c>
      <c r="Q1363" s="215">
        <v>45569</v>
      </c>
      <c r="R1363" s="153"/>
      <c r="S1363" s="153"/>
      <c r="T1363" s="153"/>
      <c r="U1363" s="153"/>
      <c r="V1363" s="153"/>
      <c r="W1363" s="153"/>
      <c r="X1363" s="153"/>
      <c r="Y1363" s="153"/>
      <c r="Z1363" s="153"/>
      <c r="AA1363" s="153"/>
    </row>
    <row r="1364" spans="1:27">
      <c r="A1364" s="207">
        <v>10</v>
      </c>
      <c r="B1364" s="208" t="s">
        <v>2138</v>
      </c>
      <c r="C1364" s="209">
        <v>45567</v>
      </c>
      <c r="D1364" s="210" t="s">
        <v>440</v>
      </c>
      <c r="E1364" s="153" t="s">
        <v>98</v>
      </c>
      <c r="F1364" s="153" t="s">
        <v>441</v>
      </c>
      <c r="G1364" s="153" t="s">
        <v>442</v>
      </c>
      <c r="H1364" s="149" t="str">
        <f t="shared" si="7"/>
        <v>MIGUEL LUCAS HERRERA</v>
      </c>
      <c r="I1364" s="153" t="s">
        <v>2273</v>
      </c>
      <c r="J1364" s="153" t="s">
        <v>462</v>
      </c>
      <c r="K1364" s="153" t="s">
        <v>2274</v>
      </c>
      <c r="L1364" s="211">
        <v>45590</v>
      </c>
      <c r="M1364" s="164"/>
      <c r="N1364" s="212">
        <v>1</v>
      </c>
      <c r="O1364" s="213" t="s">
        <v>1540</v>
      </c>
      <c r="P1364" s="214">
        <v>2280</v>
      </c>
      <c r="Q1364" s="215">
        <v>45567</v>
      </c>
      <c r="R1364" s="153"/>
      <c r="S1364" s="153"/>
      <c r="T1364" s="153"/>
      <c r="U1364" s="153"/>
      <c r="V1364" s="153"/>
      <c r="W1364" s="153"/>
      <c r="X1364" s="153"/>
      <c r="Y1364" s="153"/>
      <c r="Z1364" s="153"/>
      <c r="AA1364" s="153"/>
    </row>
    <row r="1365" spans="1:27">
      <c r="A1365" s="207">
        <v>10</v>
      </c>
      <c r="B1365" s="208" t="s">
        <v>2138</v>
      </c>
      <c r="C1365" s="209">
        <v>45558</v>
      </c>
      <c r="D1365" s="210" t="s">
        <v>440</v>
      </c>
      <c r="E1365" s="149" t="s">
        <v>115</v>
      </c>
      <c r="F1365" s="153" t="s">
        <v>441</v>
      </c>
      <c r="G1365" s="153" t="s">
        <v>442</v>
      </c>
      <c r="H1365" s="149" t="str">
        <f t="shared" si="7"/>
        <v>MARÍA GARROTE GARROTE</v>
      </c>
      <c r="I1365" s="153" t="s">
        <v>447</v>
      </c>
      <c r="J1365" s="153" t="s">
        <v>444</v>
      </c>
      <c r="K1365" s="153" t="s">
        <v>2275</v>
      </c>
      <c r="L1365" s="211">
        <v>45590</v>
      </c>
      <c r="M1365" s="164"/>
      <c r="N1365" s="212">
        <v>2</v>
      </c>
      <c r="O1365" s="213" t="s">
        <v>446</v>
      </c>
      <c r="P1365" s="214">
        <v>3710</v>
      </c>
      <c r="Q1365" s="217">
        <v>45558</v>
      </c>
      <c r="R1365" s="153"/>
      <c r="S1365" s="153"/>
      <c r="T1365" s="153"/>
      <c r="U1365" s="153"/>
      <c r="V1365" s="153"/>
      <c r="W1365" s="153"/>
      <c r="X1365" s="153"/>
      <c r="Y1365" s="153"/>
      <c r="Z1365" s="153"/>
      <c r="AA1365" s="153"/>
    </row>
    <row r="1366" spans="1:27">
      <c r="A1366" s="207">
        <v>10</v>
      </c>
      <c r="B1366" s="208" t="s">
        <v>2138</v>
      </c>
      <c r="C1366" s="209">
        <v>45573</v>
      </c>
      <c r="D1366" s="210" t="s">
        <v>440</v>
      </c>
      <c r="E1366" s="149" t="s">
        <v>115</v>
      </c>
      <c r="F1366" s="153" t="s">
        <v>441</v>
      </c>
      <c r="G1366" s="153" t="s">
        <v>442</v>
      </c>
      <c r="H1366" s="149" t="str">
        <f t="shared" si="7"/>
        <v>MARÍA GARROTE GARROTE</v>
      </c>
      <c r="I1366" s="153" t="s">
        <v>447</v>
      </c>
      <c r="J1366" s="153" t="s">
        <v>444</v>
      </c>
      <c r="K1366" s="153" t="s">
        <v>2276</v>
      </c>
      <c r="L1366" s="211">
        <v>45590</v>
      </c>
      <c r="M1366" s="164"/>
      <c r="N1366" s="212">
        <v>2</v>
      </c>
      <c r="O1366" s="213" t="s">
        <v>1540</v>
      </c>
      <c r="P1366" s="214">
        <v>3800</v>
      </c>
      <c r="Q1366" s="217">
        <v>45573</v>
      </c>
      <c r="R1366" s="153"/>
      <c r="S1366" s="153"/>
      <c r="T1366" s="153"/>
      <c r="U1366" s="153"/>
      <c r="V1366" s="153"/>
      <c r="W1366" s="153"/>
      <c r="X1366" s="153"/>
      <c r="Y1366" s="153"/>
      <c r="Z1366" s="153"/>
      <c r="AA1366" s="153"/>
    </row>
    <row r="1367" spans="1:27">
      <c r="A1367" s="154">
        <v>10</v>
      </c>
      <c r="B1367" s="155" t="s">
        <v>2138</v>
      </c>
      <c r="C1367" s="195">
        <v>45524</v>
      </c>
      <c r="D1367" s="155" t="s">
        <v>440</v>
      </c>
      <c r="E1367" s="149" t="s">
        <v>308</v>
      </c>
      <c r="F1367" s="153" t="s">
        <v>441</v>
      </c>
      <c r="G1367" s="149" t="s">
        <v>442</v>
      </c>
      <c r="H1367" s="149" t="str">
        <f t="shared" si="7"/>
        <v>PALOMA ÁLVAREZ HERNANDRZ</v>
      </c>
      <c r="I1367" s="149" t="s">
        <v>2277</v>
      </c>
      <c r="J1367" s="153" t="s">
        <v>548</v>
      </c>
      <c r="K1367" s="149" t="s">
        <v>2278</v>
      </c>
      <c r="L1367" s="168">
        <v>45593</v>
      </c>
      <c r="M1367" s="164"/>
      <c r="N1367" s="163">
        <v>2</v>
      </c>
      <c r="O1367" s="165" t="s">
        <v>513</v>
      </c>
      <c r="P1367" s="161">
        <v>4180</v>
      </c>
      <c r="Q1367" s="196">
        <v>45524</v>
      </c>
      <c r="R1367" s="153"/>
      <c r="S1367" s="153"/>
      <c r="T1367" s="153"/>
      <c r="U1367" s="153"/>
      <c r="V1367" s="153"/>
      <c r="W1367" s="153"/>
      <c r="X1367" s="153"/>
      <c r="Y1367" s="153"/>
      <c r="Z1367" s="153"/>
      <c r="AA1367" s="153"/>
    </row>
    <row r="1368" spans="1:27">
      <c r="A1368" s="154">
        <v>10</v>
      </c>
      <c r="B1368" s="155" t="s">
        <v>2138</v>
      </c>
      <c r="C1368" s="195">
        <v>45477</v>
      </c>
      <c r="D1368" s="155" t="s">
        <v>440</v>
      </c>
      <c r="E1368" s="149" t="s">
        <v>317</v>
      </c>
      <c r="F1368" s="153" t="s">
        <v>441</v>
      </c>
      <c r="G1368" s="149" t="s">
        <v>442</v>
      </c>
      <c r="H1368" s="149" t="str">
        <f t="shared" si="7"/>
        <v>MARIA ROSARIO FERRANDIZ GARCÍA</v>
      </c>
      <c r="I1368" s="149" t="s">
        <v>1100</v>
      </c>
      <c r="J1368" s="153" t="s">
        <v>462</v>
      </c>
      <c r="K1368" s="149" t="s">
        <v>2279</v>
      </c>
      <c r="L1368" s="168">
        <v>45593</v>
      </c>
      <c r="M1368" s="164"/>
      <c r="N1368" s="163">
        <v>2</v>
      </c>
      <c r="O1368" s="165" t="s">
        <v>449</v>
      </c>
      <c r="P1368" s="161">
        <v>2886.36</v>
      </c>
      <c r="Q1368" s="196">
        <v>45477</v>
      </c>
      <c r="R1368" s="153"/>
      <c r="S1368" s="153"/>
      <c r="T1368" s="153"/>
      <c r="U1368" s="153"/>
      <c r="V1368" s="153"/>
      <c r="W1368" s="153"/>
      <c r="X1368" s="153"/>
      <c r="Y1368" s="153"/>
      <c r="Z1368" s="153"/>
      <c r="AA1368" s="153"/>
    </row>
    <row r="1369" spans="1:27">
      <c r="A1369" s="207">
        <v>10</v>
      </c>
      <c r="B1369" s="208" t="s">
        <v>2138</v>
      </c>
      <c r="C1369" s="209">
        <v>45562</v>
      </c>
      <c r="D1369" s="210" t="s">
        <v>440</v>
      </c>
      <c r="E1369" s="153" t="s">
        <v>312</v>
      </c>
      <c r="F1369" s="153" t="s">
        <v>450</v>
      </c>
      <c r="G1369" s="153" t="s">
        <v>451</v>
      </c>
      <c r="H1369" s="149" t="str">
        <f t="shared" si="7"/>
        <v>CRISTINA ALONSO GONZÁLEZ</v>
      </c>
      <c r="I1369" s="153" t="s">
        <v>1668</v>
      </c>
      <c r="J1369" s="153" t="s">
        <v>455</v>
      </c>
      <c r="K1369" s="153" t="s">
        <v>2280</v>
      </c>
      <c r="L1369" s="211">
        <v>45593</v>
      </c>
      <c r="M1369" s="164"/>
      <c r="N1369" s="212">
        <v>1</v>
      </c>
      <c r="O1369" s="213" t="s">
        <v>466</v>
      </c>
      <c r="P1369" s="214">
        <v>2400</v>
      </c>
      <c r="Q1369" s="215">
        <v>45562</v>
      </c>
      <c r="R1369" s="153"/>
      <c r="S1369" s="153"/>
      <c r="T1369" s="153"/>
      <c r="U1369" s="153"/>
      <c r="V1369" s="153"/>
      <c r="W1369" s="153"/>
      <c r="X1369" s="153"/>
      <c r="Y1369" s="153"/>
      <c r="Z1369" s="153"/>
      <c r="AA1369" s="153"/>
    </row>
    <row r="1370" spans="1:27">
      <c r="A1370" s="207">
        <v>10</v>
      </c>
      <c r="B1370" s="208" t="s">
        <v>2138</v>
      </c>
      <c r="C1370" s="209">
        <v>45568</v>
      </c>
      <c r="D1370" s="210" t="s">
        <v>440</v>
      </c>
      <c r="E1370" s="153" t="s">
        <v>239</v>
      </c>
      <c r="F1370" s="153" t="s">
        <v>441</v>
      </c>
      <c r="G1370" s="153" t="s">
        <v>442</v>
      </c>
      <c r="H1370" s="149" t="str">
        <f t="shared" si="7"/>
        <v>FRANCISCO JAVIER AGUILAR VERA</v>
      </c>
      <c r="I1370" s="153" t="s">
        <v>2281</v>
      </c>
      <c r="J1370" s="153" t="s">
        <v>455</v>
      </c>
      <c r="K1370" s="153" t="s">
        <v>2282</v>
      </c>
      <c r="L1370" s="211">
        <v>45593</v>
      </c>
      <c r="M1370" s="164"/>
      <c r="N1370" s="212">
        <v>2</v>
      </c>
      <c r="O1370" s="213" t="s">
        <v>446</v>
      </c>
      <c r="P1370" s="214">
        <v>3710</v>
      </c>
      <c r="Q1370" s="215">
        <v>45568</v>
      </c>
      <c r="R1370" s="153"/>
      <c r="S1370" s="153"/>
      <c r="T1370" s="153"/>
      <c r="U1370" s="153"/>
      <c r="V1370" s="153"/>
      <c r="W1370" s="153"/>
      <c r="X1370" s="153"/>
      <c r="Y1370" s="153"/>
      <c r="Z1370" s="153"/>
      <c r="AA1370" s="153"/>
    </row>
    <row r="1371" spans="1:27">
      <c r="A1371" s="207">
        <v>10</v>
      </c>
      <c r="B1371" s="208" t="s">
        <v>2138</v>
      </c>
      <c r="C1371" s="209">
        <v>45574</v>
      </c>
      <c r="D1371" s="210" t="s">
        <v>440</v>
      </c>
      <c r="E1371" s="153" t="s">
        <v>201</v>
      </c>
      <c r="F1371" s="153" t="s">
        <v>441</v>
      </c>
      <c r="G1371" s="153" t="s">
        <v>442</v>
      </c>
      <c r="H1371" s="149" t="str">
        <f t="shared" si="7"/>
        <v>CARLOS FÉLIX ASENSIO NIETO</v>
      </c>
      <c r="I1371" s="153" t="s">
        <v>1097</v>
      </c>
      <c r="J1371" s="153" t="s">
        <v>548</v>
      </c>
      <c r="K1371" s="153" t="s">
        <v>2283</v>
      </c>
      <c r="L1371" s="211">
        <v>45593</v>
      </c>
      <c r="M1371" s="164"/>
      <c r="N1371" s="212">
        <v>1</v>
      </c>
      <c r="O1371" s="213" t="s">
        <v>449</v>
      </c>
      <c r="P1371" s="214">
        <v>1732.73</v>
      </c>
      <c r="Q1371" s="215">
        <v>45574</v>
      </c>
      <c r="R1371" s="153"/>
      <c r="S1371" s="153"/>
      <c r="T1371" s="153"/>
      <c r="U1371" s="153"/>
      <c r="V1371" s="153"/>
      <c r="W1371" s="153"/>
      <c r="X1371" s="153"/>
      <c r="Y1371" s="153"/>
      <c r="Z1371" s="153"/>
      <c r="AA1371" s="153"/>
    </row>
    <row r="1372" spans="1:27">
      <c r="A1372" s="207">
        <v>10</v>
      </c>
      <c r="B1372" s="208" t="s">
        <v>2138</v>
      </c>
      <c r="C1372" s="209">
        <v>45573</v>
      </c>
      <c r="D1372" s="210" t="s">
        <v>440</v>
      </c>
      <c r="E1372" s="149" t="s">
        <v>115</v>
      </c>
      <c r="F1372" s="153" t="s">
        <v>441</v>
      </c>
      <c r="G1372" s="153" t="s">
        <v>442</v>
      </c>
      <c r="H1372" s="149" t="str">
        <f t="shared" si="7"/>
        <v>MARÍA GARROTE GARROTE</v>
      </c>
      <c r="I1372" s="153" t="s">
        <v>447</v>
      </c>
      <c r="J1372" s="153" t="s">
        <v>444</v>
      </c>
      <c r="K1372" s="153" t="s">
        <v>2284</v>
      </c>
      <c r="L1372" s="211">
        <v>45593</v>
      </c>
      <c r="M1372" s="164"/>
      <c r="N1372" s="212">
        <v>2</v>
      </c>
      <c r="O1372" s="213" t="s">
        <v>446</v>
      </c>
      <c r="P1372" s="214">
        <v>3523.64</v>
      </c>
      <c r="Q1372" s="215">
        <v>45573</v>
      </c>
      <c r="R1372" s="153"/>
      <c r="S1372" s="153"/>
      <c r="T1372" s="153"/>
      <c r="U1372" s="153"/>
      <c r="V1372" s="153"/>
      <c r="W1372" s="153"/>
      <c r="X1372" s="153"/>
      <c r="Y1372" s="153"/>
      <c r="Z1372" s="153"/>
      <c r="AA1372" s="153"/>
    </row>
    <row r="1373" spans="1:27">
      <c r="A1373" s="207">
        <v>10</v>
      </c>
      <c r="B1373" s="208" t="s">
        <v>2138</v>
      </c>
      <c r="C1373" s="209">
        <v>45548</v>
      </c>
      <c r="D1373" s="210" t="s">
        <v>440</v>
      </c>
      <c r="E1373" s="149" t="s">
        <v>571</v>
      </c>
      <c r="F1373" s="149" t="s">
        <v>441</v>
      </c>
      <c r="G1373" s="149" t="s">
        <v>442</v>
      </c>
      <c r="H1373" s="149" t="str">
        <f t="shared" si="7"/>
        <v>JULIO KNASTER DEL OLMO</v>
      </c>
      <c r="I1373" s="149" t="s">
        <v>823</v>
      </c>
      <c r="J1373" s="149" t="s">
        <v>548</v>
      </c>
      <c r="K1373" s="149" t="s">
        <v>2285</v>
      </c>
      <c r="L1373" s="168">
        <v>45593</v>
      </c>
      <c r="M1373" s="164"/>
      <c r="N1373" s="163">
        <v>2</v>
      </c>
      <c r="O1373" s="165" t="s">
        <v>446</v>
      </c>
      <c r="P1373" s="161">
        <v>3424.55</v>
      </c>
      <c r="Q1373" s="168">
        <v>45548</v>
      </c>
      <c r="R1373" s="153"/>
      <c r="S1373" s="153"/>
      <c r="T1373" s="153"/>
      <c r="U1373" s="153"/>
      <c r="V1373" s="153"/>
      <c r="W1373" s="153"/>
      <c r="X1373" s="153"/>
      <c r="Y1373" s="153"/>
      <c r="Z1373" s="153"/>
      <c r="AA1373" s="153"/>
    </row>
    <row r="1374" spans="1:27">
      <c r="A1374" s="154">
        <v>10</v>
      </c>
      <c r="B1374" s="155" t="s">
        <v>2138</v>
      </c>
      <c r="C1374" s="195">
        <v>45538</v>
      </c>
      <c r="D1374" s="155" t="s">
        <v>440</v>
      </c>
      <c r="E1374" s="149" t="s">
        <v>138</v>
      </c>
      <c r="F1374" s="153" t="s">
        <v>441</v>
      </c>
      <c r="G1374" s="149" t="s">
        <v>442</v>
      </c>
      <c r="H1374" s="149" t="str">
        <f t="shared" si="7"/>
        <v>MIREIA GOLET FORS</v>
      </c>
      <c r="I1374" s="149" t="s">
        <v>2286</v>
      </c>
      <c r="J1374" s="153" t="s">
        <v>532</v>
      </c>
      <c r="K1374" s="149" t="s">
        <v>2287</v>
      </c>
      <c r="L1374" s="168">
        <v>45594</v>
      </c>
      <c r="M1374" s="164"/>
      <c r="N1374" s="163">
        <v>2</v>
      </c>
      <c r="O1374" s="165" t="s">
        <v>1540</v>
      </c>
      <c r="P1374" s="161">
        <v>4000</v>
      </c>
      <c r="Q1374" s="196">
        <v>45538</v>
      </c>
      <c r="R1374" s="153"/>
      <c r="S1374" s="153"/>
      <c r="T1374" s="153"/>
      <c r="U1374" s="153"/>
      <c r="V1374" s="153"/>
      <c r="W1374" s="153"/>
      <c r="X1374" s="153"/>
      <c r="Y1374" s="153"/>
      <c r="Z1374" s="153"/>
      <c r="AA1374" s="153"/>
    </row>
    <row r="1375" spans="1:27">
      <c r="A1375" s="154">
        <v>10</v>
      </c>
      <c r="B1375" s="155" t="s">
        <v>2138</v>
      </c>
      <c r="C1375" s="195">
        <v>45546</v>
      </c>
      <c r="D1375" s="155" t="s">
        <v>440</v>
      </c>
      <c r="E1375" s="149" t="s">
        <v>311</v>
      </c>
      <c r="F1375" s="153" t="s">
        <v>441</v>
      </c>
      <c r="G1375" s="149" t="s">
        <v>442</v>
      </c>
      <c r="H1375" s="149" t="str">
        <f t="shared" si="7"/>
        <v>MARÍA GABRIELA BOSCO MORALES</v>
      </c>
      <c r="I1375" s="149" t="s">
        <v>2255</v>
      </c>
      <c r="J1375" s="153" t="s">
        <v>444</v>
      </c>
      <c r="K1375" s="149" t="s">
        <v>2288</v>
      </c>
      <c r="L1375" s="168">
        <v>45594</v>
      </c>
      <c r="M1375" s="164"/>
      <c r="N1375" s="163">
        <v>2</v>
      </c>
      <c r="O1375" s="165" t="s">
        <v>446</v>
      </c>
      <c r="P1375" s="161">
        <v>3080</v>
      </c>
      <c r="Q1375" s="196">
        <v>45546</v>
      </c>
      <c r="R1375" s="153"/>
      <c r="S1375" s="153"/>
      <c r="T1375" s="153"/>
      <c r="U1375" s="153"/>
      <c r="V1375" s="153"/>
      <c r="W1375" s="153"/>
      <c r="X1375" s="153"/>
      <c r="Y1375" s="153"/>
      <c r="Z1375" s="153"/>
      <c r="AA1375" s="153"/>
    </row>
    <row r="1376" spans="1:27">
      <c r="A1376" s="154">
        <v>10</v>
      </c>
      <c r="B1376" s="155" t="s">
        <v>2138</v>
      </c>
      <c r="C1376" s="195">
        <v>45553</v>
      </c>
      <c r="D1376" s="155" t="s">
        <v>440</v>
      </c>
      <c r="E1376" s="149" t="s">
        <v>145</v>
      </c>
      <c r="F1376" s="153" t="s">
        <v>441</v>
      </c>
      <c r="G1376" s="149" t="s">
        <v>442</v>
      </c>
      <c r="H1376" s="149" t="str">
        <f t="shared" si="7"/>
        <v>MARTA SANDOVAL PUIG</v>
      </c>
      <c r="I1376" s="149" t="s">
        <v>781</v>
      </c>
      <c r="J1376" s="153" t="s">
        <v>532</v>
      </c>
      <c r="K1376" s="149" t="s">
        <v>2289</v>
      </c>
      <c r="L1376" s="168">
        <v>45594</v>
      </c>
      <c r="M1376" s="164"/>
      <c r="N1376" s="163">
        <v>2</v>
      </c>
      <c r="O1376" s="165" t="s">
        <v>1540</v>
      </c>
      <c r="P1376" s="161">
        <v>4000</v>
      </c>
      <c r="Q1376" s="196">
        <v>45553</v>
      </c>
      <c r="R1376" s="153"/>
      <c r="S1376" s="153"/>
      <c r="T1376" s="153"/>
      <c r="U1376" s="153"/>
      <c r="V1376" s="153"/>
      <c r="W1376" s="153"/>
      <c r="X1376" s="153"/>
      <c r="Y1376" s="153"/>
      <c r="Z1376" s="153"/>
      <c r="AA1376" s="153"/>
    </row>
    <row r="1377" spans="1:27">
      <c r="A1377" s="207">
        <v>10</v>
      </c>
      <c r="B1377" s="208" t="s">
        <v>2138</v>
      </c>
      <c r="C1377" s="209">
        <v>45574</v>
      </c>
      <c r="D1377" s="210" t="s">
        <v>440</v>
      </c>
      <c r="E1377" s="153" t="s">
        <v>158</v>
      </c>
      <c r="F1377" s="153" t="s">
        <v>450</v>
      </c>
      <c r="G1377" s="153" t="s">
        <v>451</v>
      </c>
      <c r="H1377" s="149" t="str">
        <f t="shared" si="7"/>
        <v>CARLOS BARAJAS DEL ROSAL</v>
      </c>
      <c r="I1377" s="153" t="s">
        <v>660</v>
      </c>
      <c r="J1377" s="153" t="s">
        <v>548</v>
      </c>
      <c r="K1377" s="153" t="s">
        <v>2290</v>
      </c>
      <c r="L1377" s="211">
        <v>45594</v>
      </c>
      <c r="M1377" s="164"/>
      <c r="N1377" s="212">
        <v>2</v>
      </c>
      <c r="O1377" s="213" t="s">
        <v>513</v>
      </c>
      <c r="P1377" s="214">
        <v>4536.3599999999997</v>
      </c>
      <c r="Q1377" s="215">
        <v>45574</v>
      </c>
      <c r="R1377" s="153"/>
      <c r="S1377" s="153"/>
      <c r="T1377" s="153"/>
      <c r="U1377" s="153"/>
      <c r="V1377" s="153"/>
      <c r="W1377" s="153"/>
      <c r="X1377" s="153"/>
      <c r="Y1377" s="153"/>
      <c r="Z1377" s="153"/>
      <c r="AA1377" s="153"/>
    </row>
    <row r="1378" spans="1:27">
      <c r="A1378" s="207">
        <v>10</v>
      </c>
      <c r="B1378" s="208" t="s">
        <v>2138</v>
      </c>
      <c r="C1378" s="209"/>
      <c r="D1378" s="210" t="s">
        <v>440</v>
      </c>
      <c r="E1378" s="153" t="s">
        <v>158</v>
      </c>
      <c r="F1378" s="153" t="s">
        <v>441</v>
      </c>
      <c r="G1378" s="153" t="s">
        <v>442</v>
      </c>
      <c r="H1378" s="149" t="str">
        <f t="shared" si="7"/>
        <v>CARLOS BARAJAS DEL ROSAL</v>
      </c>
      <c r="I1378" s="153" t="s">
        <v>660</v>
      </c>
      <c r="J1378" s="153" t="s">
        <v>548</v>
      </c>
      <c r="K1378" s="153" t="s">
        <v>2291</v>
      </c>
      <c r="L1378" s="211">
        <v>45594</v>
      </c>
      <c r="M1378" s="164"/>
      <c r="N1378" s="212">
        <v>1</v>
      </c>
      <c r="O1378" s="213" t="s">
        <v>1540</v>
      </c>
      <c r="P1378" s="214">
        <v>2150</v>
      </c>
      <c r="Q1378" s="215"/>
      <c r="R1378" s="153"/>
      <c r="S1378" s="153"/>
      <c r="T1378" s="153"/>
      <c r="U1378" s="153"/>
      <c r="V1378" s="153"/>
      <c r="W1378" s="153"/>
      <c r="X1378" s="153"/>
      <c r="Y1378" s="153"/>
      <c r="Z1378" s="153"/>
      <c r="AA1378" s="153"/>
    </row>
    <row r="1379" spans="1:27">
      <c r="A1379" s="207">
        <v>10</v>
      </c>
      <c r="B1379" s="208" t="s">
        <v>2138</v>
      </c>
      <c r="C1379" s="209">
        <v>45558</v>
      </c>
      <c r="D1379" s="210" t="s">
        <v>440</v>
      </c>
      <c r="E1379" s="153" t="s">
        <v>158</v>
      </c>
      <c r="F1379" s="153" t="s">
        <v>441</v>
      </c>
      <c r="G1379" s="153" t="s">
        <v>442</v>
      </c>
      <c r="H1379" s="149" t="str">
        <f t="shared" si="7"/>
        <v>JAVIER GARCÍA DOMÍNGUEZ</v>
      </c>
      <c r="I1379" s="153" t="s">
        <v>607</v>
      </c>
      <c r="J1379" s="153" t="s">
        <v>444</v>
      </c>
      <c r="K1379" s="153" t="s">
        <v>2292</v>
      </c>
      <c r="L1379" s="211">
        <v>45594</v>
      </c>
      <c r="M1379" s="164"/>
      <c r="N1379" s="212">
        <v>1</v>
      </c>
      <c r="O1379" s="213" t="s">
        <v>449</v>
      </c>
      <c r="P1379" s="214">
        <v>1550</v>
      </c>
      <c r="Q1379" s="215">
        <v>45558</v>
      </c>
      <c r="R1379" s="153"/>
      <c r="S1379" s="153"/>
      <c r="T1379" s="153"/>
      <c r="U1379" s="153"/>
      <c r="V1379" s="153"/>
      <c r="W1379" s="153"/>
      <c r="X1379" s="153"/>
      <c r="Y1379" s="153"/>
      <c r="Z1379" s="153"/>
      <c r="AA1379" s="153"/>
    </row>
    <row r="1380" spans="1:27">
      <c r="A1380" s="207">
        <v>10</v>
      </c>
      <c r="B1380" s="208" t="s">
        <v>2138</v>
      </c>
      <c r="C1380" s="209">
        <v>45554</v>
      </c>
      <c r="D1380" s="210" t="s">
        <v>440</v>
      </c>
      <c r="E1380" s="153" t="s">
        <v>158</v>
      </c>
      <c r="F1380" s="153" t="s">
        <v>441</v>
      </c>
      <c r="G1380" s="153" t="s">
        <v>442</v>
      </c>
      <c r="H1380" s="149" t="str">
        <f t="shared" si="7"/>
        <v>ANTONIO RODRÍGUEZ RIVERO</v>
      </c>
      <c r="I1380" s="153" t="s">
        <v>443</v>
      </c>
      <c r="J1380" s="153" t="s">
        <v>444</v>
      </c>
      <c r="K1380" s="153" t="s">
        <v>2293</v>
      </c>
      <c r="L1380" s="211">
        <v>45594</v>
      </c>
      <c r="M1380" s="164"/>
      <c r="N1380" s="212">
        <v>2</v>
      </c>
      <c r="O1380" s="213" t="s">
        <v>1540</v>
      </c>
      <c r="P1380" s="214">
        <v>3929.55</v>
      </c>
      <c r="Q1380" s="215">
        <v>45554</v>
      </c>
      <c r="R1380" s="153"/>
      <c r="S1380" s="153"/>
      <c r="T1380" s="153"/>
      <c r="U1380" s="153"/>
      <c r="V1380" s="153"/>
      <c r="W1380" s="153"/>
      <c r="X1380" s="153"/>
      <c r="Y1380" s="153"/>
      <c r="Z1380" s="153"/>
      <c r="AA1380" s="153"/>
    </row>
    <row r="1381" spans="1:27">
      <c r="A1381" s="207">
        <v>10</v>
      </c>
      <c r="B1381" s="208" t="s">
        <v>2138</v>
      </c>
      <c r="C1381" s="209">
        <v>45532</v>
      </c>
      <c r="D1381" s="210" t="s">
        <v>440</v>
      </c>
      <c r="E1381" s="153" t="s">
        <v>314</v>
      </c>
      <c r="F1381" s="153" t="s">
        <v>441</v>
      </c>
      <c r="G1381" s="153" t="s">
        <v>442</v>
      </c>
      <c r="H1381" s="149" t="str">
        <f t="shared" si="7"/>
        <v>LAURA DEL TORO GIL</v>
      </c>
      <c r="I1381" s="153" t="s">
        <v>1565</v>
      </c>
      <c r="J1381" s="153" t="s">
        <v>444</v>
      </c>
      <c r="K1381" s="153" t="s">
        <v>2294</v>
      </c>
      <c r="L1381" s="211">
        <v>45594</v>
      </c>
      <c r="M1381" s="164"/>
      <c r="N1381" s="212">
        <v>2</v>
      </c>
      <c r="O1381" s="213" t="s">
        <v>1540</v>
      </c>
      <c r="P1381" s="214">
        <v>4000</v>
      </c>
      <c r="Q1381" s="215">
        <v>45532</v>
      </c>
      <c r="R1381" s="153"/>
      <c r="S1381" s="153"/>
      <c r="T1381" s="153"/>
      <c r="U1381" s="153"/>
      <c r="V1381" s="153"/>
      <c r="W1381" s="153"/>
      <c r="X1381" s="153"/>
      <c r="Y1381" s="153"/>
      <c r="Z1381" s="153"/>
      <c r="AA1381" s="153"/>
    </row>
    <row r="1382" spans="1:27">
      <c r="A1382" s="207">
        <v>10</v>
      </c>
      <c r="B1382" s="208" t="s">
        <v>2138</v>
      </c>
      <c r="C1382" s="209">
        <v>45552</v>
      </c>
      <c r="D1382" s="218" t="s">
        <v>440</v>
      </c>
      <c r="E1382" s="153" t="s">
        <v>314</v>
      </c>
      <c r="F1382" s="153" t="s">
        <v>441</v>
      </c>
      <c r="G1382" s="153" t="s">
        <v>442</v>
      </c>
      <c r="H1382" s="149" t="str">
        <f t="shared" si="7"/>
        <v>VÍCTOR JOSÉ GONZÁLEZ ARIAS</v>
      </c>
      <c r="I1382" s="153" t="s">
        <v>2013</v>
      </c>
      <c r="J1382" s="153" t="s">
        <v>444</v>
      </c>
      <c r="K1382" s="153" t="s">
        <v>2295</v>
      </c>
      <c r="L1382" s="211">
        <v>45594</v>
      </c>
      <c r="M1382" s="164"/>
      <c r="N1382" s="212">
        <v>2</v>
      </c>
      <c r="O1382" s="213" t="s">
        <v>446</v>
      </c>
      <c r="P1382" s="214">
        <v>3524.5</v>
      </c>
      <c r="Q1382" s="215">
        <v>45552</v>
      </c>
      <c r="R1382" s="153"/>
      <c r="S1382" s="153"/>
      <c r="T1382" s="153"/>
      <c r="U1382" s="153"/>
      <c r="V1382" s="153"/>
      <c r="W1382" s="153"/>
      <c r="X1382" s="153"/>
      <c r="Y1382" s="153"/>
      <c r="Z1382" s="153"/>
      <c r="AA1382" s="153"/>
    </row>
    <row r="1383" spans="1:27">
      <c r="A1383" s="207">
        <v>10</v>
      </c>
      <c r="B1383" s="208" t="s">
        <v>2138</v>
      </c>
      <c r="C1383" s="209">
        <v>45573</v>
      </c>
      <c r="D1383" s="210" t="s">
        <v>440</v>
      </c>
      <c r="E1383" s="153" t="s">
        <v>98</v>
      </c>
      <c r="F1383" s="153" t="s">
        <v>441</v>
      </c>
      <c r="G1383" s="153" t="s">
        <v>442</v>
      </c>
      <c r="H1383" s="149" t="str">
        <f t="shared" si="7"/>
        <v>CRISTINA ESTHER TORREGROSA CARRASQUER</v>
      </c>
      <c r="I1383" s="153" t="s">
        <v>938</v>
      </c>
      <c r="J1383" s="153" t="s">
        <v>462</v>
      </c>
      <c r="K1383" s="153" t="s">
        <v>2296</v>
      </c>
      <c r="L1383" s="211">
        <v>45594</v>
      </c>
      <c r="M1383" s="164"/>
      <c r="N1383" s="212">
        <v>2</v>
      </c>
      <c r="O1383" s="213" t="s">
        <v>449</v>
      </c>
      <c r="P1383" s="214">
        <v>2888.18</v>
      </c>
      <c r="Q1383" s="215">
        <v>45573</v>
      </c>
      <c r="R1383" s="153"/>
      <c r="S1383" s="153"/>
      <c r="T1383" s="153"/>
      <c r="U1383" s="153"/>
      <c r="V1383" s="153"/>
      <c r="W1383" s="153"/>
      <c r="X1383" s="153"/>
      <c r="Y1383" s="153"/>
      <c r="Z1383" s="153"/>
      <c r="AA1383" s="153"/>
    </row>
    <row r="1384" spans="1:27">
      <c r="A1384" s="207">
        <v>10</v>
      </c>
      <c r="B1384" s="208" t="s">
        <v>2138</v>
      </c>
      <c r="C1384" s="209">
        <v>45558</v>
      </c>
      <c r="D1384" s="210" t="s">
        <v>440</v>
      </c>
      <c r="E1384" s="153" t="s">
        <v>98</v>
      </c>
      <c r="F1384" s="153" t="s">
        <v>441</v>
      </c>
      <c r="G1384" s="153" t="s">
        <v>442</v>
      </c>
      <c r="H1384" s="149" t="str">
        <f t="shared" si="7"/>
        <v>AIDA AVIÑOA ARIAS</v>
      </c>
      <c r="I1384" s="153" t="s">
        <v>1024</v>
      </c>
      <c r="J1384" s="153" t="s">
        <v>462</v>
      </c>
      <c r="K1384" s="153" t="s">
        <v>2297</v>
      </c>
      <c r="L1384" s="211">
        <v>45594</v>
      </c>
      <c r="M1384" s="164"/>
      <c r="N1384" s="212">
        <v>2</v>
      </c>
      <c r="O1384" s="213" t="s">
        <v>1540</v>
      </c>
      <c r="P1384" s="214">
        <v>4000</v>
      </c>
      <c r="Q1384" s="215">
        <v>45558</v>
      </c>
      <c r="R1384" s="153"/>
      <c r="S1384" s="153"/>
      <c r="T1384" s="153"/>
      <c r="U1384" s="153"/>
      <c r="V1384" s="153"/>
      <c r="W1384" s="153"/>
      <c r="X1384" s="153"/>
      <c r="Y1384" s="153"/>
      <c r="Z1384" s="153"/>
      <c r="AA1384" s="153"/>
    </row>
    <row r="1385" spans="1:27">
      <c r="A1385" s="207">
        <v>10</v>
      </c>
      <c r="B1385" s="208" t="s">
        <v>2138</v>
      </c>
      <c r="C1385" s="209">
        <v>45552</v>
      </c>
      <c r="D1385" s="210" t="s">
        <v>440</v>
      </c>
      <c r="E1385" s="153" t="s">
        <v>506</v>
      </c>
      <c r="F1385" s="153" t="s">
        <v>441</v>
      </c>
      <c r="G1385" s="153" t="s">
        <v>442</v>
      </c>
      <c r="H1385" s="149" t="str">
        <f t="shared" si="7"/>
        <v>ÁNGEL MUÑOZ HERRERA</v>
      </c>
      <c r="I1385" s="153" t="s">
        <v>666</v>
      </c>
      <c r="J1385" s="153" t="s">
        <v>473</v>
      </c>
      <c r="K1385" s="153" t="s">
        <v>2298</v>
      </c>
      <c r="L1385" s="211">
        <v>45594</v>
      </c>
      <c r="M1385" s="164"/>
      <c r="N1385" s="212">
        <v>2</v>
      </c>
      <c r="O1385" s="213" t="s">
        <v>446</v>
      </c>
      <c r="P1385" s="214">
        <v>3604.55</v>
      </c>
      <c r="Q1385" s="215">
        <v>45552</v>
      </c>
      <c r="R1385" s="153"/>
      <c r="S1385" s="153"/>
      <c r="T1385" s="153"/>
      <c r="U1385" s="153"/>
      <c r="V1385" s="153"/>
      <c r="W1385" s="153"/>
      <c r="X1385" s="153"/>
      <c r="Y1385" s="153"/>
      <c r="Z1385" s="153"/>
      <c r="AA1385" s="153"/>
    </row>
    <row r="1386" spans="1:27">
      <c r="A1386" s="207">
        <v>10</v>
      </c>
      <c r="B1386" s="208" t="s">
        <v>2138</v>
      </c>
      <c r="C1386" s="209">
        <v>45555</v>
      </c>
      <c r="D1386" s="210" t="s">
        <v>440</v>
      </c>
      <c r="E1386" s="153" t="s">
        <v>312</v>
      </c>
      <c r="F1386" s="153" t="s">
        <v>441</v>
      </c>
      <c r="G1386" s="153" t="s">
        <v>442</v>
      </c>
      <c r="H1386" s="149" t="str">
        <f t="shared" si="7"/>
        <v>FRANCISCO ROPERO ROMERO</v>
      </c>
      <c r="I1386" s="153" t="s">
        <v>1455</v>
      </c>
      <c r="J1386" s="153" t="s">
        <v>455</v>
      </c>
      <c r="K1386" s="153" t="s">
        <v>2299</v>
      </c>
      <c r="L1386" s="211">
        <v>45594</v>
      </c>
      <c r="M1386" s="164"/>
      <c r="N1386" s="212">
        <v>2</v>
      </c>
      <c r="O1386" s="213" t="s">
        <v>446</v>
      </c>
      <c r="P1386" s="214">
        <v>3710</v>
      </c>
      <c r="Q1386" s="215">
        <v>45555</v>
      </c>
      <c r="R1386" s="153"/>
      <c r="S1386" s="153"/>
      <c r="T1386" s="153"/>
      <c r="U1386" s="153"/>
      <c r="V1386" s="153"/>
      <c r="W1386" s="153"/>
      <c r="X1386" s="153"/>
      <c r="Y1386" s="153"/>
      <c r="Z1386" s="153"/>
      <c r="AA1386" s="153"/>
    </row>
    <row r="1387" spans="1:27">
      <c r="A1387" s="207">
        <v>10</v>
      </c>
      <c r="B1387" s="208" t="s">
        <v>2138</v>
      </c>
      <c r="C1387" s="209">
        <v>45581</v>
      </c>
      <c r="D1387" s="210" t="s">
        <v>440</v>
      </c>
      <c r="E1387" s="153" t="s">
        <v>201</v>
      </c>
      <c r="F1387" s="153" t="s">
        <v>441</v>
      </c>
      <c r="G1387" s="153" t="s">
        <v>442</v>
      </c>
      <c r="H1387" s="149" t="str">
        <f t="shared" si="7"/>
        <v>CARLOS FÉLIX ASENSIO NIETO</v>
      </c>
      <c r="I1387" s="153" t="s">
        <v>1097</v>
      </c>
      <c r="J1387" s="153" t="s">
        <v>548</v>
      </c>
      <c r="K1387" s="153" t="s">
        <v>2300</v>
      </c>
      <c r="L1387" s="211">
        <v>45594</v>
      </c>
      <c r="M1387" s="164"/>
      <c r="N1387" s="212">
        <v>1</v>
      </c>
      <c r="O1387" s="213" t="s">
        <v>1540</v>
      </c>
      <c r="P1387" s="214">
        <v>2400.0100000000002</v>
      </c>
      <c r="Q1387" s="215">
        <v>45581</v>
      </c>
      <c r="R1387" s="153"/>
      <c r="S1387" s="153"/>
      <c r="T1387" s="153"/>
      <c r="U1387" s="153"/>
      <c r="V1387" s="153"/>
      <c r="W1387" s="153"/>
      <c r="X1387" s="153"/>
      <c r="Y1387" s="153"/>
      <c r="Z1387" s="153"/>
      <c r="AA1387" s="153"/>
    </row>
    <row r="1388" spans="1:27">
      <c r="A1388" s="154">
        <v>10</v>
      </c>
      <c r="B1388" s="155" t="s">
        <v>2138</v>
      </c>
      <c r="C1388" s="195">
        <v>45566</v>
      </c>
      <c r="D1388" s="155" t="s">
        <v>440</v>
      </c>
      <c r="E1388" s="149" t="s">
        <v>92</v>
      </c>
      <c r="F1388" s="153" t="s">
        <v>441</v>
      </c>
      <c r="G1388" s="149" t="s">
        <v>442</v>
      </c>
      <c r="H1388" s="149" t="str">
        <f>IF(LEFT(I2,4)="DR. ",TRIM(MID(I1388,5,99)),
 IF(LEFT(I2,5)="DRA. ",TRIM(MID(I2,6,99)),
 IF(LEFT(I2,3)="DR ",TRIM(MID(I2,4,99)),
 IF(LEFT(I2,4)="DRA ",TRIM(MID(I2,5,99)),
 I2))))</f>
        <v>ALEJANDRA JARA MAQUILON</v>
      </c>
      <c r="I1388" s="149" t="s">
        <v>2301</v>
      </c>
      <c r="J1388" s="153" t="s">
        <v>462</v>
      </c>
      <c r="K1388" s="149" t="s">
        <v>2302</v>
      </c>
      <c r="L1388" s="168">
        <v>45595</v>
      </c>
      <c r="M1388" s="164"/>
      <c r="N1388" s="163">
        <v>2</v>
      </c>
      <c r="O1388" s="165" t="s">
        <v>446</v>
      </c>
      <c r="P1388" s="161">
        <v>3523.64</v>
      </c>
      <c r="Q1388" s="196">
        <v>45566</v>
      </c>
      <c r="R1388" s="153"/>
      <c r="S1388" s="153"/>
      <c r="T1388" s="153"/>
      <c r="U1388" s="153"/>
      <c r="V1388" s="153"/>
      <c r="W1388" s="153"/>
      <c r="X1388" s="153"/>
      <c r="Y1388" s="153"/>
      <c r="Z1388" s="153"/>
      <c r="AA1388" s="153"/>
    </row>
    <row r="1389" spans="1:27">
      <c r="A1389" s="154">
        <v>10</v>
      </c>
      <c r="B1389" s="155" t="s">
        <v>2138</v>
      </c>
      <c r="C1389" s="195"/>
      <c r="D1389" s="155" t="s">
        <v>440</v>
      </c>
      <c r="E1389" s="149" t="s">
        <v>317</v>
      </c>
      <c r="F1389" s="153" t="s">
        <v>441</v>
      </c>
      <c r="G1389" s="149" t="s">
        <v>442</v>
      </c>
      <c r="H1389" s="149" t="str">
        <f t="shared" ref="H1389:H1643" si="8">TRIM(SUBSTITUTE(SUBSTITUTE(SUBSTITUTE(SUBSTITUTE(I1389,"DR. ",""),"DRA. ",""),"DR ",""),"DRA ",""))</f>
        <v>FRANCISCO PASTOR BEVIÁ</v>
      </c>
      <c r="I1389" s="149" t="s">
        <v>464</v>
      </c>
      <c r="J1389" s="153" t="s">
        <v>462</v>
      </c>
      <c r="K1389" s="149" t="s">
        <v>2303</v>
      </c>
      <c r="L1389" s="168">
        <v>45595</v>
      </c>
      <c r="M1389" s="164"/>
      <c r="N1389" s="163">
        <v>2</v>
      </c>
      <c r="O1389" s="165" t="s">
        <v>1540</v>
      </c>
      <c r="P1389" s="161">
        <v>4009.09</v>
      </c>
      <c r="Q1389" s="196"/>
      <c r="R1389" s="153"/>
      <c r="S1389" s="153"/>
      <c r="T1389" s="153"/>
      <c r="U1389" s="153"/>
      <c r="V1389" s="153"/>
      <c r="W1389" s="153"/>
      <c r="X1389" s="153"/>
      <c r="Y1389" s="153"/>
      <c r="Z1389" s="153"/>
      <c r="AA1389" s="153"/>
    </row>
    <row r="1390" spans="1:27">
      <c r="A1390" s="154">
        <v>10</v>
      </c>
      <c r="B1390" s="155" t="s">
        <v>2138</v>
      </c>
      <c r="C1390" s="195">
        <v>45560</v>
      </c>
      <c r="D1390" s="155" t="s">
        <v>440</v>
      </c>
      <c r="E1390" s="149" t="s">
        <v>317</v>
      </c>
      <c r="F1390" s="153" t="s">
        <v>441</v>
      </c>
      <c r="G1390" s="149" t="s">
        <v>442</v>
      </c>
      <c r="H1390" s="149" t="str">
        <f t="shared" si="8"/>
        <v>Ana Gabriela Jover Espla</v>
      </c>
      <c r="I1390" s="149" t="s">
        <v>12</v>
      </c>
      <c r="J1390" s="153" t="s">
        <v>462</v>
      </c>
      <c r="K1390" s="149" t="s">
        <v>2304</v>
      </c>
      <c r="L1390" s="168">
        <v>45595</v>
      </c>
      <c r="M1390" s="164"/>
      <c r="N1390" s="163">
        <v>2</v>
      </c>
      <c r="O1390" s="165" t="s">
        <v>449</v>
      </c>
      <c r="P1390" s="161">
        <v>2888.18</v>
      </c>
      <c r="Q1390" s="196">
        <v>45560</v>
      </c>
      <c r="R1390" s="153"/>
      <c r="S1390" s="153"/>
      <c r="T1390" s="153"/>
      <c r="U1390" s="153"/>
      <c r="V1390" s="153"/>
      <c r="W1390" s="153"/>
      <c r="X1390" s="153"/>
      <c r="Y1390" s="153"/>
      <c r="Z1390" s="153"/>
      <c r="AA1390" s="153"/>
    </row>
    <row r="1391" spans="1:27">
      <c r="A1391" s="154">
        <v>10</v>
      </c>
      <c r="B1391" s="155" t="s">
        <v>2138</v>
      </c>
      <c r="C1391" s="195">
        <v>45496</v>
      </c>
      <c r="D1391" s="155" t="s">
        <v>440</v>
      </c>
      <c r="E1391" s="149" t="s">
        <v>546</v>
      </c>
      <c r="F1391" s="153" t="s">
        <v>441</v>
      </c>
      <c r="G1391" s="149" t="s">
        <v>442</v>
      </c>
      <c r="H1391" s="149" t="str">
        <f t="shared" si="8"/>
        <v>MANUEL CAÑETE DOMÍNGUEZ</v>
      </c>
      <c r="I1391" s="149" t="s">
        <v>1380</v>
      </c>
      <c r="J1391" s="153" t="s">
        <v>548</v>
      </c>
      <c r="K1391" s="149" t="s">
        <v>2305</v>
      </c>
      <c r="L1391" s="168">
        <v>45595</v>
      </c>
      <c r="M1391" s="164"/>
      <c r="N1391" s="163">
        <v>2</v>
      </c>
      <c r="O1391" s="165" t="s">
        <v>513</v>
      </c>
      <c r="P1391" s="161">
        <v>3454.55</v>
      </c>
      <c r="Q1391" s="196">
        <v>45496</v>
      </c>
      <c r="R1391" s="153"/>
      <c r="S1391" s="153"/>
      <c r="T1391" s="153"/>
      <c r="U1391" s="153"/>
      <c r="V1391" s="153"/>
      <c r="W1391" s="153"/>
      <c r="X1391" s="153"/>
      <c r="Y1391" s="153"/>
      <c r="Z1391" s="153"/>
      <c r="AA1391" s="153"/>
    </row>
    <row r="1392" spans="1:27">
      <c r="A1392" s="154">
        <v>10</v>
      </c>
      <c r="B1392" s="155" t="s">
        <v>2138</v>
      </c>
      <c r="C1392" s="195">
        <v>45474</v>
      </c>
      <c r="D1392" s="155" t="s">
        <v>440</v>
      </c>
      <c r="E1392" s="149" t="s">
        <v>311</v>
      </c>
      <c r="F1392" s="153" t="s">
        <v>441</v>
      </c>
      <c r="G1392" s="149" t="s">
        <v>442</v>
      </c>
      <c r="H1392" s="149" t="str">
        <f t="shared" si="8"/>
        <v>ITHZEL MARIA VILLARREAL PATIÑO</v>
      </c>
      <c r="I1392" s="149" t="s">
        <v>491</v>
      </c>
      <c r="J1392" s="153" t="s">
        <v>444</v>
      </c>
      <c r="K1392" s="149" t="s">
        <v>2306</v>
      </c>
      <c r="L1392" s="168">
        <v>45595</v>
      </c>
      <c r="M1392" s="164"/>
      <c r="N1392" s="163">
        <v>2</v>
      </c>
      <c r="O1392" s="165" t="s">
        <v>449</v>
      </c>
      <c r="P1392" s="161">
        <v>2888.18</v>
      </c>
      <c r="Q1392" s="196">
        <v>45474</v>
      </c>
      <c r="R1392" s="153"/>
      <c r="S1392" s="153"/>
      <c r="T1392" s="153"/>
      <c r="U1392" s="153"/>
      <c r="V1392" s="153"/>
      <c r="W1392" s="153"/>
      <c r="X1392" s="153"/>
      <c r="Y1392" s="153"/>
      <c r="Z1392" s="153"/>
      <c r="AA1392" s="153"/>
    </row>
    <row r="1393" spans="1:27">
      <c r="A1393" s="154">
        <v>10</v>
      </c>
      <c r="B1393" s="155" t="s">
        <v>2138</v>
      </c>
      <c r="C1393" s="195">
        <v>45575</v>
      </c>
      <c r="D1393" s="155" t="s">
        <v>440</v>
      </c>
      <c r="E1393" s="149" t="s">
        <v>109</v>
      </c>
      <c r="F1393" s="153" t="s">
        <v>441</v>
      </c>
      <c r="G1393" s="149" t="s">
        <v>442</v>
      </c>
      <c r="H1393" s="149" t="str">
        <f t="shared" si="8"/>
        <v>JONATHAN ESTEBAN SÁNCHEZ</v>
      </c>
      <c r="I1393" s="149" t="s">
        <v>902</v>
      </c>
      <c r="J1393" s="153" t="s">
        <v>444</v>
      </c>
      <c r="K1393" s="149" t="s">
        <v>2307</v>
      </c>
      <c r="L1393" s="168">
        <v>45595</v>
      </c>
      <c r="M1393" s="164"/>
      <c r="N1393" s="163">
        <v>2</v>
      </c>
      <c r="O1393" s="165" t="s">
        <v>446</v>
      </c>
      <c r="P1393" s="161">
        <v>3710</v>
      </c>
      <c r="Q1393" s="196">
        <v>45575</v>
      </c>
      <c r="R1393" s="153"/>
      <c r="S1393" s="153"/>
      <c r="T1393" s="153"/>
      <c r="U1393" s="153"/>
      <c r="V1393" s="153"/>
      <c r="W1393" s="153"/>
      <c r="X1393" s="153"/>
      <c r="Y1393" s="153"/>
      <c r="Z1393" s="153"/>
      <c r="AA1393" s="153"/>
    </row>
    <row r="1394" spans="1:27">
      <c r="A1394" s="207">
        <v>10</v>
      </c>
      <c r="B1394" s="208" t="s">
        <v>2138</v>
      </c>
      <c r="C1394" s="216">
        <v>45582</v>
      </c>
      <c r="D1394" s="210" t="s">
        <v>440</v>
      </c>
      <c r="E1394" s="153" t="s">
        <v>856</v>
      </c>
      <c r="F1394" s="153" t="s">
        <v>441</v>
      </c>
      <c r="G1394" s="153" t="s">
        <v>442</v>
      </c>
      <c r="H1394" s="149" t="str">
        <f t="shared" si="8"/>
        <v>RAFAEL PÉREZ GONZÁLEZ</v>
      </c>
      <c r="I1394" s="153" t="s">
        <v>1413</v>
      </c>
      <c r="J1394" s="153" t="s">
        <v>473</v>
      </c>
      <c r="K1394" s="153" t="s">
        <v>2308</v>
      </c>
      <c r="L1394" s="211">
        <v>45595</v>
      </c>
      <c r="M1394" s="164"/>
      <c r="N1394" s="212">
        <v>2</v>
      </c>
      <c r="O1394" s="213" t="s">
        <v>446</v>
      </c>
      <c r="P1394" s="214">
        <v>3982.73</v>
      </c>
      <c r="Q1394" s="196">
        <v>45582</v>
      </c>
      <c r="R1394" s="153"/>
      <c r="S1394" s="153"/>
      <c r="T1394" s="153"/>
      <c r="U1394" s="153"/>
      <c r="V1394" s="153"/>
      <c r="W1394" s="153"/>
      <c r="X1394" s="153"/>
      <c r="Y1394" s="153"/>
      <c r="Z1394" s="153"/>
      <c r="AA1394" s="153"/>
    </row>
    <row r="1395" spans="1:27">
      <c r="A1395" s="207">
        <v>10</v>
      </c>
      <c r="B1395" s="208" t="s">
        <v>2138</v>
      </c>
      <c r="C1395" s="209">
        <v>45540</v>
      </c>
      <c r="D1395" s="210" t="s">
        <v>440</v>
      </c>
      <c r="E1395" s="153" t="s">
        <v>271</v>
      </c>
      <c r="F1395" s="153" t="s">
        <v>441</v>
      </c>
      <c r="G1395" s="153" t="s">
        <v>442</v>
      </c>
      <c r="H1395" s="149" t="str">
        <f t="shared" si="8"/>
        <v>ANTONIO BUENO RÍOS</v>
      </c>
      <c r="I1395" s="153" t="s">
        <v>519</v>
      </c>
      <c r="J1395" s="153" t="s">
        <v>548</v>
      </c>
      <c r="K1395" s="153" t="s">
        <v>2309</v>
      </c>
      <c r="L1395" s="211">
        <v>45595</v>
      </c>
      <c r="M1395" s="164"/>
      <c r="N1395" s="212">
        <v>2</v>
      </c>
      <c r="O1395" s="213" t="s">
        <v>513</v>
      </c>
      <c r="P1395" s="214">
        <v>4400</v>
      </c>
      <c r="Q1395" s="215">
        <v>45540</v>
      </c>
      <c r="R1395" s="153"/>
      <c r="S1395" s="153"/>
      <c r="T1395" s="153"/>
      <c r="U1395" s="153"/>
      <c r="V1395" s="153"/>
      <c r="W1395" s="153"/>
      <c r="X1395" s="153"/>
      <c r="Y1395" s="153"/>
      <c r="Z1395" s="153"/>
      <c r="AA1395" s="153"/>
    </row>
    <row r="1396" spans="1:27">
      <c r="A1396" s="207">
        <v>10</v>
      </c>
      <c r="B1396" s="208" t="s">
        <v>2138</v>
      </c>
      <c r="C1396" s="209">
        <v>45567</v>
      </c>
      <c r="D1396" s="210" t="s">
        <v>440</v>
      </c>
      <c r="E1396" s="153" t="s">
        <v>158</v>
      </c>
      <c r="F1396" s="153" t="s">
        <v>441</v>
      </c>
      <c r="G1396" s="153" t="s">
        <v>442</v>
      </c>
      <c r="H1396" s="149" t="str">
        <f t="shared" si="8"/>
        <v>CARLOS BARAJAS DEL ROSAL</v>
      </c>
      <c r="I1396" s="153" t="s">
        <v>660</v>
      </c>
      <c r="J1396" s="153" t="s">
        <v>548</v>
      </c>
      <c r="K1396" s="153" t="s">
        <v>2310</v>
      </c>
      <c r="L1396" s="211">
        <v>45595</v>
      </c>
      <c r="M1396" s="164"/>
      <c r="N1396" s="212">
        <v>2</v>
      </c>
      <c r="O1396" s="213" t="s">
        <v>1540</v>
      </c>
      <c r="P1396" s="214">
        <v>4136.3599999999997</v>
      </c>
      <c r="Q1396" s="215">
        <v>45567</v>
      </c>
      <c r="R1396" s="153"/>
      <c r="S1396" s="153"/>
      <c r="T1396" s="153"/>
      <c r="U1396" s="153"/>
      <c r="V1396" s="153"/>
      <c r="W1396" s="153"/>
      <c r="X1396" s="153"/>
      <c r="Y1396" s="153"/>
      <c r="Z1396" s="153"/>
      <c r="AA1396" s="153"/>
    </row>
    <row r="1397" spans="1:27">
      <c r="A1397" s="207">
        <v>10</v>
      </c>
      <c r="B1397" s="208" t="s">
        <v>2138</v>
      </c>
      <c r="C1397" s="209">
        <v>45538</v>
      </c>
      <c r="D1397" s="210" t="s">
        <v>440</v>
      </c>
      <c r="E1397" s="153" t="s">
        <v>164</v>
      </c>
      <c r="F1397" s="153" t="s">
        <v>441</v>
      </c>
      <c r="G1397" s="153" t="s">
        <v>442</v>
      </c>
      <c r="H1397" s="149" t="str">
        <f t="shared" si="8"/>
        <v>Alejandro Harguindey Antoli-Candela</v>
      </c>
      <c r="I1397" s="153" t="s">
        <v>528</v>
      </c>
      <c r="J1397" s="153" t="s">
        <v>444</v>
      </c>
      <c r="K1397" s="153" t="s">
        <v>2311</v>
      </c>
      <c r="L1397" s="211">
        <v>45595</v>
      </c>
      <c r="M1397" s="164"/>
      <c r="N1397" s="212">
        <v>1</v>
      </c>
      <c r="O1397" s="213" t="s">
        <v>446</v>
      </c>
      <c r="P1397" s="214">
        <v>2226.36</v>
      </c>
      <c r="Q1397" s="215">
        <v>45538</v>
      </c>
      <c r="R1397" s="153"/>
      <c r="S1397" s="153"/>
      <c r="T1397" s="153"/>
      <c r="U1397" s="153"/>
      <c r="V1397" s="153"/>
      <c r="W1397" s="153"/>
      <c r="X1397" s="153"/>
      <c r="Y1397" s="153"/>
      <c r="Z1397" s="153"/>
      <c r="AA1397" s="153"/>
    </row>
    <row r="1398" spans="1:27">
      <c r="A1398" s="207">
        <v>10</v>
      </c>
      <c r="B1398" s="208" t="s">
        <v>2138</v>
      </c>
      <c r="C1398" s="209">
        <v>45555</v>
      </c>
      <c r="D1398" s="210" t="s">
        <v>440</v>
      </c>
      <c r="E1398" s="153" t="s">
        <v>98</v>
      </c>
      <c r="F1398" s="153" t="s">
        <v>441</v>
      </c>
      <c r="G1398" s="153" t="s">
        <v>442</v>
      </c>
      <c r="H1398" s="149" t="str">
        <f t="shared" si="8"/>
        <v>JESÚS MIGUEL INIESTA TURPÍN</v>
      </c>
      <c r="I1398" s="153" t="s">
        <v>594</v>
      </c>
      <c r="J1398" s="153" t="s">
        <v>462</v>
      </c>
      <c r="K1398" s="153" t="s">
        <v>2312</v>
      </c>
      <c r="L1398" s="211">
        <v>45595</v>
      </c>
      <c r="M1398" s="164"/>
      <c r="N1398" s="212">
        <v>1</v>
      </c>
      <c r="O1398" s="213" t="s">
        <v>446</v>
      </c>
      <c r="P1398" s="214">
        <v>2226.36</v>
      </c>
      <c r="Q1398" s="215">
        <v>45555</v>
      </c>
      <c r="R1398" s="153"/>
      <c r="S1398" s="153"/>
      <c r="T1398" s="153"/>
      <c r="U1398" s="153"/>
      <c r="V1398" s="153"/>
      <c r="W1398" s="153"/>
      <c r="X1398" s="153"/>
      <c r="Y1398" s="153"/>
      <c r="Z1398" s="153"/>
      <c r="AA1398" s="153"/>
    </row>
    <row r="1399" spans="1:27">
      <c r="A1399" s="207">
        <v>10</v>
      </c>
      <c r="B1399" s="208" t="s">
        <v>2138</v>
      </c>
      <c r="C1399" s="209">
        <v>45551</v>
      </c>
      <c r="D1399" s="210" t="s">
        <v>440</v>
      </c>
      <c r="E1399" s="153" t="s">
        <v>98</v>
      </c>
      <c r="F1399" s="153" t="s">
        <v>441</v>
      </c>
      <c r="G1399" s="153" t="s">
        <v>442</v>
      </c>
      <c r="H1399" s="149" t="str">
        <f t="shared" si="8"/>
        <v>MARÍA AGUSTINA SEVILLA GARCÍA</v>
      </c>
      <c r="I1399" s="153" t="s">
        <v>2313</v>
      </c>
      <c r="J1399" s="153" t="s">
        <v>462</v>
      </c>
      <c r="K1399" s="153" t="s">
        <v>2314</v>
      </c>
      <c r="L1399" s="211">
        <v>45595</v>
      </c>
      <c r="M1399" s="164"/>
      <c r="N1399" s="212">
        <v>2</v>
      </c>
      <c r="O1399" s="213" t="s">
        <v>513</v>
      </c>
      <c r="P1399" s="214">
        <v>4400</v>
      </c>
      <c r="Q1399" s="215">
        <v>45551</v>
      </c>
      <c r="R1399" s="153"/>
      <c r="S1399" s="153"/>
      <c r="T1399" s="153"/>
      <c r="U1399" s="153"/>
      <c r="V1399" s="153"/>
      <c r="W1399" s="153"/>
      <c r="X1399" s="153"/>
      <c r="Y1399" s="153"/>
      <c r="Z1399" s="153"/>
      <c r="AA1399" s="153"/>
    </row>
    <row r="1400" spans="1:27">
      <c r="A1400" s="207">
        <v>10</v>
      </c>
      <c r="B1400" s="208" t="s">
        <v>2138</v>
      </c>
      <c r="C1400" s="209">
        <v>45544</v>
      </c>
      <c r="D1400" s="210" t="s">
        <v>440</v>
      </c>
      <c r="E1400" s="153" t="s">
        <v>98</v>
      </c>
      <c r="F1400" s="153" t="s">
        <v>441</v>
      </c>
      <c r="G1400" s="153" t="s">
        <v>442</v>
      </c>
      <c r="H1400" s="149" t="str">
        <f t="shared" si="8"/>
        <v>MARÍA AGUSTINA SEVILLA GARCÍA</v>
      </c>
      <c r="I1400" s="153" t="s">
        <v>538</v>
      </c>
      <c r="J1400" s="153" t="s">
        <v>462</v>
      </c>
      <c r="K1400" s="153" t="s">
        <v>2315</v>
      </c>
      <c r="L1400" s="211">
        <v>45595</v>
      </c>
      <c r="M1400" s="164"/>
      <c r="N1400" s="212">
        <v>1</v>
      </c>
      <c r="O1400" s="213" t="s">
        <v>1540</v>
      </c>
      <c r="P1400" s="214">
        <v>2280</v>
      </c>
      <c r="Q1400" s="215">
        <v>45544</v>
      </c>
      <c r="R1400" s="153"/>
      <c r="S1400" s="153"/>
      <c r="T1400" s="153"/>
      <c r="U1400" s="153"/>
      <c r="V1400" s="153"/>
      <c r="W1400" s="153"/>
      <c r="X1400" s="153"/>
      <c r="Y1400" s="153"/>
      <c r="Z1400" s="153"/>
      <c r="AA1400" s="153"/>
    </row>
    <row r="1401" spans="1:27">
      <c r="A1401" s="207">
        <v>10</v>
      </c>
      <c r="B1401" s="208" t="s">
        <v>2138</v>
      </c>
      <c r="C1401" s="209">
        <v>45558</v>
      </c>
      <c r="D1401" s="210" t="s">
        <v>440</v>
      </c>
      <c r="E1401" s="153" t="s">
        <v>475</v>
      </c>
      <c r="F1401" s="153" t="s">
        <v>441</v>
      </c>
      <c r="G1401" s="153" t="s">
        <v>442</v>
      </c>
      <c r="H1401" s="149" t="str">
        <f t="shared" si="8"/>
        <v>XENIA MOTA ROJAS</v>
      </c>
      <c r="I1401" s="153" t="s">
        <v>1077</v>
      </c>
      <c r="J1401" s="153" t="s">
        <v>473</v>
      </c>
      <c r="K1401" s="153" t="s">
        <v>2316</v>
      </c>
      <c r="L1401" s="211">
        <v>45595</v>
      </c>
      <c r="M1401" s="164"/>
      <c r="N1401" s="212">
        <v>2</v>
      </c>
      <c r="O1401" s="213" t="s">
        <v>446</v>
      </c>
      <c r="P1401" s="214">
        <v>3909.09</v>
      </c>
      <c r="Q1401" s="215">
        <v>45558</v>
      </c>
      <c r="R1401" s="153"/>
      <c r="S1401" s="153"/>
      <c r="T1401" s="153"/>
      <c r="U1401" s="153"/>
      <c r="V1401" s="153"/>
      <c r="W1401" s="153"/>
      <c r="X1401" s="153"/>
      <c r="Y1401" s="153"/>
      <c r="Z1401" s="153"/>
      <c r="AA1401" s="153"/>
    </row>
    <row r="1402" spans="1:27">
      <c r="A1402" s="207">
        <v>10</v>
      </c>
      <c r="B1402" s="208" t="s">
        <v>2138</v>
      </c>
      <c r="C1402" s="209">
        <v>45566</v>
      </c>
      <c r="D1402" s="210" t="s">
        <v>440</v>
      </c>
      <c r="E1402" s="153" t="s">
        <v>239</v>
      </c>
      <c r="F1402" s="153" t="s">
        <v>441</v>
      </c>
      <c r="G1402" s="153" t="s">
        <v>442</v>
      </c>
      <c r="H1402" s="149" t="str">
        <f t="shared" si="8"/>
        <v>FRANCISCO JAVIER AGUILAR VERA</v>
      </c>
      <c r="I1402" s="153" t="s">
        <v>2281</v>
      </c>
      <c r="J1402" s="153" t="s">
        <v>455</v>
      </c>
      <c r="K1402" s="153" t="s">
        <v>2317</v>
      </c>
      <c r="L1402" s="211">
        <v>45595</v>
      </c>
      <c r="M1402" s="164"/>
      <c r="N1402" s="212">
        <v>2</v>
      </c>
      <c r="O1402" s="213" t="s">
        <v>1540</v>
      </c>
      <c r="P1402" s="214">
        <v>3800</v>
      </c>
      <c r="Q1402" s="215">
        <v>45566</v>
      </c>
      <c r="R1402" s="153"/>
      <c r="S1402" s="153"/>
      <c r="T1402" s="153"/>
      <c r="U1402" s="153"/>
      <c r="V1402" s="153"/>
      <c r="W1402" s="153"/>
      <c r="X1402" s="153"/>
      <c r="Y1402" s="153"/>
      <c r="Z1402" s="153"/>
      <c r="AA1402" s="153"/>
    </row>
    <row r="1403" spans="1:27">
      <c r="A1403" s="207">
        <v>10</v>
      </c>
      <c r="B1403" s="208" t="s">
        <v>2138</v>
      </c>
      <c r="C1403" s="209">
        <v>45579</v>
      </c>
      <c r="D1403" s="210" t="s">
        <v>440</v>
      </c>
      <c r="E1403" s="153" t="s">
        <v>201</v>
      </c>
      <c r="F1403" s="153" t="s">
        <v>441</v>
      </c>
      <c r="G1403" s="153" t="s">
        <v>442</v>
      </c>
      <c r="H1403" s="149" t="str">
        <f t="shared" si="8"/>
        <v>CARLOS FÉLIX ASENSIO NIETO</v>
      </c>
      <c r="I1403" s="153" t="s">
        <v>1097</v>
      </c>
      <c r="J1403" s="153" t="s">
        <v>548</v>
      </c>
      <c r="K1403" s="153" t="s">
        <v>2318</v>
      </c>
      <c r="L1403" s="211">
        <v>45595</v>
      </c>
      <c r="M1403" s="164"/>
      <c r="N1403" s="212">
        <v>2</v>
      </c>
      <c r="O1403" s="213" t="s">
        <v>446</v>
      </c>
      <c r="P1403" s="214">
        <v>3524.5</v>
      </c>
      <c r="Q1403" s="215">
        <v>45579</v>
      </c>
      <c r="R1403" s="153"/>
      <c r="S1403" s="153"/>
      <c r="T1403" s="153"/>
      <c r="U1403" s="153"/>
      <c r="V1403" s="153"/>
      <c r="W1403" s="153"/>
      <c r="X1403" s="153"/>
      <c r="Y1403" s="153"/>
      <c r="Z1403" s="153"/>
      <c r="AA1403" s="153"/>
    </row>
    <row r="1404" spans="1:27">
      <c r="A1404" s="207">
        <v>10</v>
      </c>
      <c r="B1404" s="208" t="s">
        <v>2138</v>
      </c>
      <c r="C1404" s="209">
        <v>45544</v>
      </c>
      <c r="D1404" s="210" t="s">
        <v>440</v>
      </c>
      <c r="E1404" s="153" t="s">
        <v>213</v>
      </c>
      <c r="F1404" s="153" t="s">
        <v>441</v>
      </c>
      <c r="G1404" s="153" t="s">
        <v>442</v>
      </c>
      <c r="H1404" s="149" t="str">
        <f t="shared" si="8"/>
        <v>CARLOS DE PAULA VERNETTA</v>
      </c>
      <c r="I1404" s="153" t="s">
        <v>1594</v>
      </c>
      <c r="J1404" s="153" t="s">
        <v>636</v>
      </c>
      <c r="K1404" s="153" t="s">
        <v>2319</v>
      </c>
      <c r="L1404" s="211">
        <v>45595</v>
      </c>
      <c r="M1404" s="164"/>
      <c r="N1404" s="212">
        <v>2</v>
      </c>
      <c r="O1404" s="213" t="s">
        <v>446</v>
      </c>
      <c r="P1404" s="214">
        <v>3524.49</v>
      </c>
      <c r="Q1404" s="215">
        <v>45544</v>
      </c>
      <c r="R1404" s="153"/>
      <c r="S1404" s="153"/>
      <c r="T1404" s="153"/>
      <c r="U1404" s="153"/>
      <c r="V1404" s="153"/>
      <c r="W1404" s="153"/>
      <c r="X1404" s="153"/>
      <c r="Y1404" s="153"/>
      <c r="Z1404" s="153"/>
      <c r="AA1404" s="153"/>
    </row>
    <row r="1405" spans="1:27">
      <c r="A1405" s="154">
        <v>10</v>
      </c>
      <c r="B1405" s="155" t="s">
        <v>2138</v>
      </c>
      <c r="C1405" s="195">
        <v>45554</v>
      </c>
      <c r="D1405" s="155" t="s">
        <v>440</v>
      </c>
      <c r="E1405" s="149" t="s">
        <v>308</v>
      </c>
      <c r="F1405" s="153" t="s">
        <v>441</v>
      </c>
      <c r="G1405" s="149" t="s">
        <v>442</v>
      </c>
      <c r="H1405" s="149" t="str">
        <f t="shared" si="8"/>
        <v>RAIMUNDO GÓMEZ-BLASI</v>
      </c>
      <c r="I1405" s="149" t="s">
        <v>1095</v>
      </c>
      <c r="J1405" s="153" t="s">
        <v>444</v>
      </c>
      <c r="K1405" s="149" t="s">
        <v>2320</v>
      </c>
      <c r="L1405" s="168">
        <v>45596</v>
      </c>
      <c r="M1405" s="164"/>
      <c r="N1405" s="163">
        <v>2</v>
      </c>
      <c r="O1405" s="165" t="s">
        <v>1540</v>
      </c>
      <c r="P1405" s="161">
        <v>4000</v>
      </c>
      <c r="Q1405" s="196">
        <v>45554</v>
      </c>
      <c r="R1405" s="153"/>
      <c r="S1405" s="153"/>
      <c r="T1405" s="153"/>
      <c r="U1405" s="153"/>
      <c r="V1405" s="153"/>
      <c r="W1405" s="153"/>
      <c r="X1405" s="153"/>
      <c r="Y1405" s="153"/>
      <c r="Z1405" s="153"/>
      <c r="AA1405" s="153"/>
    </row>
    <row r="1406" spans="1:27">
      <c r="A1406" s="207">
        <v>10</v>
      </c>
      <c r="B1406" s="208" t="s">
        <v>2138</v>
      </c>
      <c r="C1406" s="209">
        <v>45568</v>
      </c>
      <c r="D1406" s="210" t="s">
        <v>440</v>
      </c>
      <c r="E1406" s="153" t="s">
        <v>671</v>
      </c>
      <c r="F1406" s="153" t="s">
        <v>441</v>
      </c>
      <c r="G1406" s="153" t="s">
        <v>442</v>
      </c>
      <c r="H1406" s="149" t="str">
        <f t="shared" si="8"/>
        <v>PEDRO JUIZ LÓPEZ</v>
      </c>
      <c r="I1406" s="153" t="s">
        <v>672</v>
      </c>
      <c r="J1406" s="153" t="s">
        <v>516</v>
      </c>
      <c r="K1406" s="153" t="s">
        <v>2321</v>
      </c>
      <c r="L1406" s="211">
        <v>45596</v>
      </c>
      <c r="M1406" s="164"/>
      <c r="N1406" s="212">
        <v>2</v>
      </c>
      <c r="O1406" s="213" t="s">
        <v>446</v>
      </c>
      <c r="P1406" s="214">
        <v>3909.09</v>
      </c>
      <c r="Q1406" s="215">
        <v>45568</v>
      </c>
      <c r="R1406" s="153"/>
      <c r="S1406" s="153"/>
      <c r="T1406" s="153"/>
      <c r="U1406" s="153"/>
      <c r="V1406" s="153"/>
      <c r="W1406" s="153"/>
      <c r="X1406" s="153"/>
      <c r="Y1406" s="153"/>
      <c r="Z1406" s="153"/>
      <c r="AA1406" s="153"/>
    </row>
    <row r="1407" spans="1:27">
      <c r="A1407" s="207">
        <v>10</v>
      </c>
      <c r="B1407" s="208" t="s">
        <v>2138</v>
      </c>
      <c r="C1407" s="209">
        <v>45497</v>
      </c>
      <c r="D1407" s="210" t="s">
        <v>440</v>
      </c>
      <c r="E1407" s="153" t="s">
        <v>271</v>
      </c>
      <c r="F1407" s="153" t="s">
        <v>441</v>
      </c>
      <c r="G1407" s="153" t="s">
        <v>442</v>
      </c>
      <c r="H1407" s="149" t="str">
        <f t="shared" si="8"/>
        <v>MARÍA DEL MAR MEDINA GONZÁLEZ</v>
      </c>
      <c r="I1407" s="153" t="s">
        <v>1514</v>
      </c>
      <c r="J1407" s="153" t="s">
        <v>444</v>
      </c>
      <c r="K1407" s="153" t="s">
        <v>2322</v>
      </c>
      <c r="L1407" s="211">
        <v>45596</v>
      </c>
      <c r="M1407" s="164"/>
      <c r="N1407" s="212">
        <v>2</v>
      </c>
      <c r="O1407" s="213" t="s">
        <v>446</v>
      </c>
      <c r="P1407" s="214">
        <v>3422.58</v>
      </c>
      <c r="Q1407" s="215">
        <v>45497</v>
      </c>
      <c r="R1407" s="153"/>
      <c r="S1407" s="153"/>
      <c r="T1407" s="153"/>
      <c r="U1407" s="153"/>
      <c r="V1407" s="153"/>
      <c r="W1407" s="153"/>
      <c r="X1407" s="153"/>
      <c r="Y1407" s="153"/>
      <c r="Z1407" s="153"/>
      <c r="AA1407" s="153"/>
    </row>
    <row r="1408" spans="1:27">
      <c r="A1408" s="207">
        <v>10</v>
      </c>
      <c r="B1408" s="208" t="s">
        <v>2138</v>
      </c>
      <c r="C1408" s="209">
        <v>45572</v>
      </c>
      <c r="D1408" s="210" t="s">
        <v>440</v>
      </c>
      <c r="E1408" s="153" t="s">
        <v>309</v>
      </c>
      <c r="F1408" s="153" t="s">
        <v>441</v>
      </c>
      <c r="G1408" s="153" t="s">
        <v>442</v>
      </c>
      <c r="H1408" s="149" t="str">
        <f t="shared" si="8"/>
        <v>JOSE JOAQUÍN GUTIÉRREZ BARQUÍN</v>
      </c>
      <c r="I1408" s="153" t="s">
        <v>716</v>
      </c>
      <c r="J1408" s="153" t="s">
        <v>444</v>
      </c>
      <c r="K1408" s="153" t="s">
        <v>2323</v>
      </c>
      <c r="L1408" s="211">
        <v>45596</v>
      </c>
      <c r="M1408" s="164"/>
      <c r="N1408" s="212">
        <v>2</v>
      </c>
      <c r="O1408" s="213" t="s">
        <v>449</v>
      </c>
      <c r="P1408" s="214">
        <v>3024.55</v>
      </c>
      <c r="Q1408" s="215">
        <v>45572</v>
      </c>
      <c r="R1408" s="153"/>
      <c r="S1408" s="153"/>
      <c r="T1408" s="153"/>
      <c r="U1408" s="153"/>
      <c r="V1408" s="153"/>
      <c r="W1408" s="153"/>
      <c r="X1408" s="153"/>
      <c r="Y1408" s="153"/>
      <c r="Z1408" s="153"/>
      <c r="AA1408" s="153"/>
    </row>
    <row r="1409" spans="1:27">
      <c r="A1409" s="207">
        <v>10</v>
      </c>
      <c r="B1409" s="208" t="s">
        <v>2138</v>
      </c>
      <c r="C1409" s="209">
        <v>45568</v>
      </c>
      <c r="D1409" s="210" t="s">
        <v>440</v>
      </c>
      <c r="E1409" s="153" t="s">
        <v>313</v>
      </c>
      <c r="F1409" s="153" t="s">
        <v>441</v>
      </c>
      <c r="G1409" s="153" t="s">
        <v>442</v>
      </c>
      <c r="H1409" s="149" t="str">
        <f t="shared" si="8"/>
        <v>JULIO LÓPEZ MOYA</v>
      </c>
      <c r="I1409" s="153" t="s">
        <v>504</v>
      </c>
      <c r="J1409" s="153" t="s">
        <v>444</v>
      </c>
      <c r="K1409" s="153" t="s">
        <v>2324</v>
      </c>
      <c r="L1409" s="211">
        <v>45596</v>
      </c>
      <c r="M1409" s="164"/>
      <c r="N1409" s="212">
        <v>2</v>
      </c>
      <c r="O1409" s="213" t="s">
        <v>1540</v>
      </c>
      <c r="P1409" s="214">
        <v>4000</v>
      </c>
      <c r="Q1409" s="215">
        <v>45568</v>
      </c>
      <c r="R1409" s="153"/>
      <c r="S1409" s="153"/>
      <c r="T1409" s="153"/>
      <c r="U1409" s="153"/>
      <c r="V1409" s="153"/>
      <c r="W1409" s="153"/>
      <c r="X1409" s="153"/>
      <c r="Y1409" s="153"/>
      <c r="Z1409" s="153"/>
      <c r="AA1409" s="153"/>
    </row>
    <row r="1410" spans="1:27">
      <c r="A1410" s="207">
        <v>10</v>
      </c>
      <c r="B1410" s="208" t="s">
        <v>2138</v>
      </c>
      <c r="C1410" s="209">
        <v>45567</v>
      </c>
      <c r="D1410" s="210" t="s">
        <v>440</v>
      </c>
      <c r="E1410" s="153" t="s">
        <v>98</v>
      </c>
      <c r="F1410" s="153" t="s">
        <v>441</v>
      </c>
      <c r="G1410" s="153" t="s">
        <v>442</v>
      </c>
      <c r="H1410" s="149" t="str">
        <f t="shared" si="8"/>
        <v>NURIA SALAS BARRIO</v>
      </c>
      <c r="I1410" s="153" t="s">
        <v>1019</v>
      </c>
      <c r="J1410" s="153" t="s">
        <v>462</v>
      </c>
      <c r="K1410" s="153" t="s">
        <v>2325</v>
      </c>
      <c r="L1410" s="211">
        <v>45596</v>
      </c>
      <c r="M1410" s="164"/>
      <c r="N1410" s="212">
        <v>2</v>
      </c>
      <c r="O1410" s="213" t="s">
        <v>1540</v>
      </c>
      <c r="P1410" s="214">
        <v>4000</v>
      </c>
      <c r="Q1410" s="217">
        <v>45567</v>
      </c>
      <c r="R1410" s="153"/>
      <c r="S1410" s="153"/>
      <c r="T1410" s="153"/>
      <c r="U1410" s="153"/>
      <c r="V1410" s="153"/>
      <c r="W1410" s="153"/>
      <c r="X1410" s="153"/>
      <c r="Y1410" s="153"/>
      <c r="Z1410" s="153"/>
      <c r="AA1410" s="153"/>
    </row>
    <row r="1411" spans="1:27">
      <c r="A1411" s="207">
        <v>10</v>
      </c>
      <c r="B1411" s="208" t="s">
        <v>2138</v>
      </c>
      <c r="C1411" s="209">
        <v>45576</v>
      </c>
      <c r="D1411" s="210" t="s">
        <v>440</v>
      </c>
      <c r="E1411" s="153" t="s">
        <v>129</v>
      </c>
      <c r="F1411" s="153" t="s">
        <v>441</v>
      </c>
      <c r="G1411" s="153" t="s">
        <v>442</v>
      </c>
      <c r="H1411" s="149" t="str">
        <f t="shared" si="8"/>
        <v>ALEJANDRO DÍAZ UÑA</v>
      </c>
      <c r="I1411" s="153" t="s">
        <v>2078</v>
      </c>
      <c r="J1411" s="153" t="s">
        <v>516</v>
      </c>
      <c r="K1411" s="153" t="s">
        <v>2326</v>
      </c>
      <c r="L1411" s="211">
        <v>45596</v>
      </c>
      <c r="M1411" s="164"/>
      <c r="N1411" s="212">
        <v>2</v>
      </c>
      <c r="O1411" s="213" t="s">
        <v>466</v>
      </c>
      <c r="P1411" s="214">
        <v>3799.85</v>
      </c>
      <c r="Q1411" s="215">
        <v>45576</v>
      </c>
      <c r="R1411" s="153"/>
      <c r="S1411" s="153"/>
      <c r="T1411" s="153"/>
      <c r="U1411" s="153"/>
      <c r="V1411" s="153"/>
      <c r="W1411" s="153"/>
      <c r="X1411" s="153"/>
      <c r="Y1411" s="153"/>
      <c r="Z1411" s="153"/>
      <c r="AA1411" s="153"/>
    </row>
    <row r="1412" spans="1:27">
      <c r="A1412" s="207">
        <v>10</v>
      </c>
      <c r="B1412" s="208" t="s">
        <v>2138</v>
      </c>
      <c r="C1412" s="209">
        <v>45573</v>
      </c>
      <c r="D1412" s="210" t="s">
        <v>440</v>
      </c>
      <c r="E1412" s="153" t="s">
        <v>129</v>
      </c>
      <c r="F1412" s="153" t="s">
        <v>441</v>
      </c>
      <c r="G1412" s="153" t="s">
        <v>442</v>
      </c>
      <c r="H1412" s="149" t="str">
        <f t="shared" si="8"/>
        <v>MARÍA REY MARCOS</v>
      </c>
      <c r="I1412" s="153" t="s">
        <v>678</v>
      </c>
      <c r="J1412" s="153" t="s">
        <v>516</v>
      </c>
      <c r="K1412" s="153" t="s">
        <v>2327</v>
      </c>
      <c r="L1412" s="211">
        <v>45596</v>
      </c>
      <c r="M1412" s="164"/>
      <c r="N1412" s="212">
        <v>2</v>
      </c>
      <c r="O1412" s="213" t="s">
        <v>466</v>
      </c>
      <c r="P1412" s="214">
        <v>3999.85</v>
      </c>
      <c r="Q1412" s="215">
        <v>45573</v>
      </c>
      <c r="R1412" s="153"/>
      <c r="S1412" s="153"/>
      <c r="T1412" s="153"/>
      <c r="U1412" s="153"/>
      <c r="V1412" s="153"/>
      <c r="W1412" s="153"/>
      <c r="X1412" s="153"/>
      <c r="Y1412" s="153"/>
      <c r="Z1412" s="153"/>
      <c r="AA1412" s="153"/>
    </row>
    <row r="1413" spans="1:27">
      <c r="A1413" s="207">
        <v>10</v>
      </c>
      <c r="B1413" s="208" t="s">
        <v>2138</v>
      </c>
      <c r="C1413" s="209">
        <v>45548</v>
      </c>
      <c r="D1413" s="210" t="s">
        <v>440</v>
      </c>
      <c r="E1413" s="149" t="s">
        <v>115</v>
      </c>
      <c r="F1413" s="153" t="s">
        <v>441</v>
      </c>
      <c r="G1413" s="153" t="s">
        <v>442</v>
      </c>
      <c r="H1413" s="149" t="str">
        <f t="shared" si="8"/>
        <v>FERNANDO GARCÍA ALCÁNTARA</v>
      </c>
      <c r="I1413" s="153" t="s">
        <v>1140</v>
      </c>
      <c r="J1413" s="153" t="s">
        <v>444</v>
      </c>
      <c r="K1413" s="153" t="s">
        <v>2328</v>
      </c>
      <c r="L1413" s="211">
        <v>45596</v>
      </c>
      <c r="M1413" s="164"/>
      <c r="N1413" s="212">
        <v>2</v>
      </c>
      <c r="O1413" s="213" t="s">
        <v>513</v>
      </c>
      <c r="P1413" s="214">
        <v>4180</v>
      </c>
      <c r="Q1413" s="215">
        <v>45548</v>
      </c>
      <c r="R1413" s="153"/>
      <c r="S1413" s="153"/>
      <c r="T1413" s="153"/>
      <c r="U1413" s="153"/>
      <c r="V1413" s="153"/>
      <c r="W1413" s="153"/>
      <c r="X1413" s="153"/>
      <c r="Y1413" s="153"/>
      <c r="Z1413" s="153"/>
      <c r="AA1413" s="153"/>
    </row>
    <row r="1414" spans="1:27">
      <c r="A1414" s="219">
        <v>11</v>
      </c>
      <c r="B1414" s="220" t="s">
        <v>2329</v>
      </c>
      <c r="C1414" s="221">
        <v>45580</v>
      </c>
      <c r="D1414" s="220" t="s">
        <v>440</v>
      </c>
      <c r="E1414" s="149" t="s">
        <v>164</v>
      </c>
      <c r="F1414" s="149" t="s">
        <v>441</v>
      </c>
      <c r="G1414" s="149" t="s">
        <v>442</v>
      </c>
      <c r="H1414" s="149" t="str">
        <f t="shared" si="8"/>
        <v>JOAQUIN ALACIO CASERO</v>
      </c>
      <c r="I1414" s="149" t="s">
        <v>2330</v>
      </c>
      <c r="J1414" s="149" t="s">
        <v>444</v>
      </c>
      <c r="K1414" s="149" t="s">
        <v>2331</v>
      </c>
      <c r="L1414" s="168">
        <v>45600</v>
      </c>
      <c r="M1414" s="158"/>
      <c r="N1414" s="163">
        <v>2</v>
      </c>
      <c r="O1414" s="165" t="s">
        <v>1540</v>
      </c>
      <c r="P1414" s="161">
        <v>4136.3599999999997</v>
      </c>
      <c r="Q1414" s="168">
        <v>45580</v>
      </c>
      <c r="R1414" s="153"/>
      <c r="S1414" s="153"/>
      <c r="T1414" s="153"/>
      <c r="U1414" s="153"/>
      <c r="V1414" s="153"/>
      <c r="W1414" s="153"/>
      <c r="X1414" s="153"/>
      <c r="Y1414" s="153"/>
      <c r="Z1414" s="153"/>
      <c r="AA1414" s="153"/>
    </row>
    <row r="1415" spans="1:27">
      <c r="A1415" s="219">
        <v>11</v>
      </c>
      <c r="B1415" s="220" t="s">
        <v>2329</v>
      </c>
      <c r="C1415" s="221">
        <v>45275</v>
      </c>
      <c r="D1415" s="220" t="s">
        <v>440</v>
      </c>
      <c r="E1415" s="149" t="s">
        <v>475</v>
      </c>
      <c r="F1415" s="149" t="s">
        <v>441</v>
      </c>
      <c r="G1415" s="149" t="s">
        <v>442</v>
      </c>
      <c r="H1415" s="149" t="str">
        <f t="shared" si="8"/>
        <v>DIANA LISBETH</v>
      </c>
      <c r="I1415" s="149" t="s">
        <v>681</v>
      </c>
      <c r="J1415" s="149" t="s">
        <v>473</v>
      </c>
      <c r="K1415" s="149" t="s">
        <v>2332</v>
      </c>
      <c r="L1415" s="168">
        <v>45600</v>
      </c>
      <c r="M1415" s="158"/>
      <c r="N1415" s="163">
        <v>2</v>
      </c>
      <c r="O1415" s="165" t="s">
        <v>446</v>
      </c>
      <c r="P1415" s="161">
        <v>3545.45</v>
      </c>
      <c r="Q1415" s="168">
        <v>45275</v>
      </c>
      <c r="R1415" s="153"/>
      <c r="S1415" s="153"/>
      <c r="T1415" s="153"/>
      <c r="U1415" s="153"/>
      <c r="V1415" s="153"/>
      <c r="W1415" s="153"/>
      <c r="X1415" s="153"/>
      <c r="Y1415" s="153"/>
      <c r="Z1415" s="153"/>
      <c r="AA1415" s="153"/>
    </row>
    <row r="1416" spans="1:27">
      <c r="A1416" s="219">
        <v>11</v>
      </c>
      <c r="B1416" s="220" t="s">
        <v>2329</v>
      </c>
      <c r="C1416" s="221">
        <v>45400</v>
      </c>
      <c r="D1416" s="220" t="s">
        <v>440</v>
      </c>
      <c r="E1416" s="149" t="s">
        <v>485</v>
      </c>
      <c r="F1416" s="149" t="s">
        <v>441</v>
      </c>
      <c r="G1416" s="149" t="s">
        <v>442</v>
      </c>
      <c r="H1416" s="149" t="str">
        <f t="shared" si="8"/>
        <v>MANUEL ACUÑA GARCÍA</v>
      </c>
      <c r="I1416" s="149" t="s">
        <v>472</v>
      </c>
      <c r="J1416" s="149" t="s">
        <v>473</v>
      </c>
      <c r="K1416" s="149" t="s">
        <v>2333</v>
      </c>
      <c r="L1416" s="168">
        <v>45600</v>
      </c>
      <c r="M1416" s="158"/>
      <c r="N1416" s="163">
        <v>1</v>
      </c>
      <c r="O1416" s="165" t="s">
        <v>446</v>
      </c>
      <c r="P1416" s="161">
        <v>1761.36</v>
      </c>
      <c r="Q1416" s="168">
        <v>45400</v>
      </c>
      <c r="R1416" s="153"/>
      <c r="S1416" s="153"/>
      <c r="T1416" s="153"/>
      <c r="U1416" s="153"/>
      <c r="V1416" s="153"/>
      <c r="W1416" s="153"/>
      <c r="X1416" s="153"/>
      <c r="Y1416" s="153"/>
      <c r="Z1416" s="153"/>
      <c r="AA1416" s="153"/>
    </row>
    <row r="1417" spans="1:27">
      <c r="A1417" s="219">
        <v>11</v>
      </c>
      <c r="B1417" s="220" t="s">
        <v>2329</v>
      </c>
      <c r="C1417" s="221">
        <v>45523</v>
      </c>
      <c r="D1417" s="220" t="s">
        <v>440</v>
      </c>
      <c r="E1417" s="149" t="s">
        <v>475</v>
      </c>
      <c r="F1417" s="149" t="s">
        <v>441</v>
      </c>
      <c r="G1417" s="149" t="s">
        <v>442</v>
      </c>
      <c r="H1417" s="149" t="str">
        <f t="shared" si="8"/>
        <v>MÓNICA GRANDA ROSALES</v>
      </c>
      <c r="I1417" s="149" t="s">
        <v>476</v>
      </c>
      <c r="J1417" s="149" t="s">
        <v>473</v>
      </c>
      <c r="K1417" s="149" t="s">
        <v>2334</v>
      </c>
      <c r="L1417" s="168">
        <v>45600</v>
      </c>
      <c r="M1417" s="158"/>
      <c r="N1417" s="163">
        <v>2</v>
      </c>
      <c r="O1417" s="165" t="s">
        <v>449</v>
      </c>
      <c r="P1417" s="161">
        <v>3545.45</v>
      </c>
      <c r="Q1417" s="168">
        <v>45523</v>
      </c>
      <c r="R1417" s="153"/>
      <c r="S1417" s="153"/>
      <c r="T1417" s="153"/>
      <c r="U1417" s="153"/>
      <c r="V1417" s="153"/>
      <c r="W1417" s="153"/>
      <c r="X1417" s="153"/>
      <c r="Y1417" s="153"/>
      <c r="Z1417" s="153"/>
      <c r="AA1417" s="153"/>
    </row>
    <row r="1418" spans="1:27">
      <c r="A1418" s="219">
        <v>11</v>
      </c>
      <c r="B1418" s="220" t="s">
        <v>2329</v>
      </c>
      <c r="C1418" s="221">
        <v>45540</v>
      </c>
      <c r="D1418" s="220" t="s">
        <v>440</v>
      </c>
      <c r="E1418" s="149" t="s">
        <v>506</v>
      </c>
      <c r="F1418" s="149" t="s">
        <v>441</v>
      </c>
      <c r="G1418" s="149" t="s">
        <v>442</v>
      </c>
      <c r="H1418" s="149" t="str">
        <f t="shared" si="8"/>
        <v>LUIS MIGUEL RINCÓN ESTEBAN</v>
      </c>
      <c r="I1418" s="149" t="s">
        <v>1033</v>
      </c>
      <c r="J1418" s="149" t="s">
        <v>473</v>
      </c>
      <c r="K1418" s="149" t="s">
        <v>2335</v>
      </c>
      <c r="L1418" s="168">
        <v>45600</v>
      </c>
      <c r="M1418" s="158"/>
      <c r="N1418" s="163">
        <v>2</v>
      </c>
      <c r="O1418" s="165" t="s">
        <v>446</v>
      </c>
      <c r="P1418" s="161">
        <v>3604.55</v>
      </c>
      <c r="Q1418" s="168">
        <v>45540</v>
      </c>
      <c r="R1418" s="153"/>
      <c r="S1418" s="153"/>
      <c r="T1418" s="153"/>
      <c r="U1418" s="153"/>
      <c r="V1418" s="153"/>
      <c r="W1418" s="153"/>
      <c r="X1418" s="153"/>
      <c r="Y1418" s="153"/>
      <c r="Z1418" s="153"/>
      <c r="AA1418" s="153"/>
    </row>
    <row r="1419" spans="1:27">
      <c r="A1419" s="219">
        <v>11</v>
      </c>
      <c r="B1419" s="220" t="s">
        <v>2329</v>
      </c>
      <c r="C1419" s="221">
        <v>45566</v>
      </c>
      <c r="D1419" s="220" t="s">
        <v>440</v>
      </c>
      <c r="E1419" s="149" t="s">
        <v>312</v>
      </c>
      <c r="F1419" s="149" t="s">
        <v>441</v>
      </c>
      <c r="G1419" s="149" t="s">
        <v>442</v>
      </c>
      <c r="H1419" s="149" t="str">
        <f t="shared" si="8"/>
        <v>MIRIAM GONZÁLEZ GARCÍA</v>
      </c>
      <c r="I1419" s="149" t="s">
        <v>2336</v>
      </c>
      <c r="J1419" s="149" t="s">
        <v>455</v>
      </c>
      <c r="K1419" s="149" t="s">
        <v>2337</v>
      </c>
      <c r="L1419" s="168">
        <v>45600</v>
      </c>
      <c r="M1419" s="158"/>
      <c r="N1419" s="163">
        <v>1</v>
      </c>
      <c r="O1419" s="165" t="s">
        <v>466</v>
      </c>
      <c r="P1419" s="161">
        <v>2400</v>
      </c>
      <c r="Q1419" s="168">
        <v>45566</v>
      </c>
      <c r="R1419" s="153"/>
      <c r="S1419" s="153"/>
      <c r="T1419" s="153"/>
      <c r="U1419" s="153"/>
      <c r="V1419" s="153"/>
      <c r="W1419" s="153"/>
      <c r="X1419" s="153"/>
      <c r="Y1419" s="153"/>
      <c r="Z1419" s="153"/>
      <c r="AA1419" s="153"/>
    </row>
    <row r="1420" spans="1:27">
      <c r="A1420" s="219">
        <v>11</v>
      </c>
      <c r="B1420" s="220" t="s">
        <v>2329</v>
      </c>
      <c r="C1420" s="221">
        <v>45568</v>
      </c>
      <c r="D1420" s="220" t="s">
        <v>440</v>
      </c>
      <c r="E1420" s="149" t="s">
        <v>2338</v>
      </c>
      <c r="F1420" s="149" t="s">
        <v>441</v>
      </c>
      <c r="G1420" s="149" t="s">
        <v>442</v>
      </c>
      <c r="H1420" s="149" t="str">
        <f t="shared" si="8"/>
        <v>PEDRO FRANCISCO MARTÍNEZ GUISADO</v>
      </c>
      <c r="I1420" s="149" t="s">
        <v>2339</v>
      </c>
      <c r="J1420" s="149" t="s">
        <v>455</v>
      </c>
      <c r="K1420" s="149" t="s">
        <v>2340</v>
      </c>
      <c r="L1420" s="168">
        <v>45600</v>
      </c>
      <c r="M1420" s="158"/>
      <c r="N1420" s="163">
        <v>2</v>
      </c>
      <c r="O1420" s="165" t="s">
        <v>449</v>
      </c>
      <c r="P1420" s="161">
        <v>3045.45</v>
      </c>
      <c r="Q1420" s="168">
        <v>45568</v>
      </c>
      <c r="R1420" s="153"/>
      <c r="S1420" s="153"/>
      <c r="T1420" s="153"/>
      <c r="U1420" s="153"/>
      <c r="V1420" s="153"/>
      <c r="W1420" s="153"/>
      <c r="X1420" s="153"/>
      <c r="Y1420" s="153"/>
      <c r="Z1420" s="153"/>
      <c r="AA1420" s="153"/>
    </row>
    <row r="1421" spans="1:27">
      <c r="A1421" s="219">
        <v>11</v>
      </c>
      <c r="B1421" s="220" t="s">
        <v>2329</v>
      </c>
      <c r="C1421" s="221">
        <v>45320</v>
      </c>
      <c r="D1421" s="220" t="s">
        <v>440</v>
      </c>
      <c r="E1421" s="149" t="s">
        <v>164</v>
      </c>
      <c r="F1421" s="149" t="s">
        <v>441</v>
      </c>
      <c r="G1421" s="149" t="s">
        <v>442</v>
      </c>
      <c r="H1421" s="149" t="str">
        <f t="shared" si="8"/>
        <v>ÁLVARO SÁNCHEZ DE ARRIBA</v>
      </c>
      <c r="I1421" s="149" t="s">
        <v>2341</v>
      </c>
      <c r="J1421" s="149" t="s">
        <v>548</v>
      </c>
      <c r="K1421" s="149" t="s">
        <v>2342</v>
      </c>
      <c r="L1421" s="168">
        <v>45601</v>
      </c>
      <c r="M1421" s="158"/>
      <c r="N1421" s="163">
        <v>2</v>
      </c>
      <c r="O1421" s="165" t="s">
        <v>518</v>
      </c>
      <c r="P1421" s="161">
        <v>2090.91</v>
      </c>
      <c r="Q1421" s="168">
        <v>45320</v>
      </c>
      <c r="R1421" s="153"/>
      <c r="S1421" s="153"/>
      <c r="T1421" s="153"/>
      <c r="U1421" s="153"/>
      <c r="V1421" s="153"/>
      <c r="W1421" s="153"/>
      <c r="X1421" s="153"/>
      <c r="Y1421" s="153"/>
      <c r="Z1421" s="153"/>
      <c r="AA1421" s="153"/>
    </row>
    <row r="1422" spans="1:27">
      <c r="A1422" s="219">
        <v>11</v>
      </c>
      <c r="B1422" s="220" t="s">
        <v>2329</v>
      </c>
      <c r="C1422" s="221">
        <v>45574</v>
      </c>
      <c r="D1422" s="220" t="s">
        <v>440</v>
      </c>
      <c r="E1422" s="149" t="s">
        <v>98</v>
      </c>
      <c r="F1422" s="149" t="s">
        <v>441</v>
      </c>
      <c r="G1422" s="149" t="s">
        <v>442</v>
      </c>
      <c r="H1422" s="149" t="str">
        <f t="shared" si="8"/>
        <v>MARÍA AGUSTINA SEVILLA GARCÍA</v>
      </c>
      <c r="I1422" s="149" t="s">
        <v>538</v>
      </c>
      <c r="J1422" s="149" t="s">
        <v>462</v>
      </c>
      <c r="K1422" s="149" t="s">
        <v>2343</v>
      </c>
      <c r="L1422" s="168">
        <v>45601</v>
      </c>
      <c r="M1422" s="158"/>
      <c r="N1422" s="163">
        <v>2</v>
      </c>
      <c r="O1422" s="165" t="s">
        <v>1540</v>
      </c>
      <c r="P1422" s="161">
        <v>4000</v>
      </c>
      <c r="Q1422" s="168">
        <v>45574</v>
      </c>
      <c r="R1422" s="153"/>
      <c r="S1422" s="153"/>
      <c r="T1422" s="153"/>
      <c r="U1422" s="153"/>
      <c r="V1422" s="153"/>
      <c r="W1422" s="153"/>
      <c r="X1422" s="153"/>
      <c r="Y1422" s="153"/>
      <c r="Z1422" s="153"/>
      <c r="AA1422" s="153"/>
    </row>
    <row r="1423" spans="1:27">
      <c r="A1423" s="219">
        <v>11</v>
      </c>
      <c r="B1423" s="220" t="s">
        <v>2329</v>
      </c>
      <c r="C1423" s="221">
        <v>45546</v>
      </c>
      <c r="D1423" s="220" t="s">
        <v>440</v>
      </c>
      <c r="E1423" s="149" t="s">
        <v>129</v>
      </c>
      <c r="F1423" s="149" t="s">
        <v>441</v>
      </c>
      <c r="G1423" s="149" t="s">
        <v>442</v>
      </c>
      <c r="H1423" s="149" t="str">
        <f t="shared" si="8"/>
        <v>JOSE ANTONIO TORRE EIRIZ</v>
      </c>
      <c r="I1423" s="149" t="s">
        <v>1793</v>
      </c>
      <c r="J1423" s="149" t="s">
        <v>516</v>
      </c>
      <c r="K1423" s="149" t="s">
        <v>2344</v>
      </c>
      <c r="L1423" s="168">
        <v>45601</v>
      </c>
      <c r="M1423" s="158"/>
      <c r="N1423" s="163">
        <v>2</v>
      </c>
      <c r="O1423" s="165" t="s">
        <v>449</v>
      </c>
      <c r="P1423" s="161">
        <v>2888.18</v>
      </c>
      <c r="Q1423" s="168">
        <v>45546</v>
      </c>
      <c r="R1423" s="153"/>
      <c r="S1423" s="153"/>
      <c r="T1423" s="153"/>
      <c r="U1423" s="153"/>
      <c r="V1423" s="153"/>
      <c r="W1423" s="153"/>
      <c r="X1423" s="153"/>
      <c r="Y1423" s="153"/>
      <c r="Z1423" s="153"/>
      <c r="AA1423" s="153"/>
    </row>
    <row r="1424" spans="1:27">
      <c r="A1424" s="219">
        <v>11</v>
      </c>
      <c r="B1424" s="220" t="s">
        <v>2329</v>
      </c>
      <c r="C1424" s="221">
        <v>45553</v>
      </c>
      <c r="D1424" s="220" t="s">
        <v>440</v>
      </c>
      <c r="E1424" s="149" t="s">
        <v>506</v>
      </c>
      <c r="F1424" s="149" t="s">
        <v>441</v>
      </c>
      <c r="G1424" s="149" t="s">
        <v>442</v>
      </c>
      <c r="H1424" s="149" t="str">
        <f t="shared" si="8"/>
        <v>ÁNGEL MUÑOZ HERRERA</v>
      </c>
      <c r="I1424" s="149" t="s">
        <v>666</v>
      </c>
      <c r="J1424" s="149" t="s">
        <v>473</v>
      </c>
      <c r="K1424" s="149" t="s">
        <v>2345</v>
      </c>
      <c r="L1424" s="168">
        <v>45601</v>
      </c>
      <c r="M1424" s="158"/>
      <c r="N1424" s="163">
        <v>2</v>
      </c>
      <c r="O1424" s="165" t="s">
        <v>446</v>
      </c>
      <c r="P1424" s="161">
        <v>3604.55</v>
      </c>
      <c r="Q1424" s="168">
        <v>45553</v>
      </c>
      <c r="R1424" s="153"/>
      <c r="S1424" s="153"/>
      <c r="T1424" s="153"/>
      <c r="U1424" s="153"/>
      <c r="V1424" s="153"/>
      <c r="W1424" s="153"/>
      <c r="X1424" s="153"/>
      <c r="Y1424" s="153"/>
      <c r="Z1424" s="153"/>
      <c r="AA1424" s="153"/>
    </row>
    <row r="1425" spans="1:27">
      <c r="A1425" s="219">
        <v>11</v>
      </c>
      <c r="B1425" s="220" t="s">
        <v>2329</v>
      </c>
      <c r="C1425" s="221">
        <v>45566</v>
      </c>
      <c r="D1425" s="220" t="s">
        <v>440</v>
      </c>
      <c r="E1425" s="149" t="s">
        <v>951</v>
      </c>
      <c r="F1425" s="149" t="s">
        <v>441</v>
      </c>
      <c r="G1425" s="149" t="s">
        <v>442</v>
      </c>
      <c r="H1425" s="149" t="str">
        <f t="shared" si="8"/>
        <v>CARLOS VIDAL REDONDO</v>
      </c>
      <c r="I1425" s="149" t="s">
        <v>554</v>
      </c>
      <c r="J1425" s="149" t="s">
        <v>516</v>
      </c>
      <c r="K1425" s="149" t="s">
        <v>2346</v>
      </c>
      <c r="L1425" s="168">
        <v>45601</v>
      </c>
      <c r="M1425" s="158"/>
      <c r="N1425" s="163">
        <v>2</v>
      </c>
      <c r="O1425" s="165" t="s">
        <v>446</v>
      </c>
      <c r="P1425" s="161">
        <v>3524.5</v>
      </c>
      <c r="Q1425" s="168">
        <v>45566</v>
      </c>
      <c r="R1425" s="153"/>
      <c r="S1425" s="153"/>
      <c r="T1425" s="153"/>
      <c r="U1425" s="153"/>
      <c r="V1425" s="153"/>
      <c r="W1425" s="153"/>
      <c r="X1425" s="153"/>
      <c r="Y1425" s="153"/>
      <c r="Z1425" s="153"/>
      <c r="AA1425" s="153"/>
    </row>
    <row r="1426" spans="1:27">
      <c r="A1426" s="219">
        <v>11</v>
      </c>
      <c r="B1426" s="220" t="s">
        <v>2329</v>
      </c>
      <c r="C1426" s="221">
        <v>45561</v>
      </c>
      <c r="D1426" s="220" t="s">
        <v>440</v>
      </c>
      <c r="E1426" s="149" t="s">
        <v>318</v>
      </c>
      <c r="F1426" s="149" t="s">
        <v>441</v>
      </c>
      <c r="G1426" s="149" t="s">
        <v>442</v>
      </c>
      <c r="H1426" s="149" t="str">
        <f t="shared" si="8"/>
        <v>JAVIER PADILLA CABALLERO</v>
      </c>
      <c r="I1426" s="149" t="s">
        <v>2347</v>
      </c>
      <c r="J1426" s="149" t="s">
        <v>462</v>
      </c>
      <c r="K1426" s="149" t="s">
        <v>2348</v>
      </c>
      <c r="L1426" s="168">
        <v>45602</v>
      </c>
      <c r="M1426" s="158"/>
      <c r="N1426" s="163">
        <v>2</v>
      </c>
      <c r="O1426" s="165" t="s">
        <v>1540</v>
      </c>
      <c r="P1426" s="161">
        <v>4000</v>
      </c>
      <c r="Q1426" s="168">
        <v>45561</v>
      </c>
      <c r="R1426" s="153"/>
      <c r="S1426" s="153"/>
      <c r="T1426" s="153"/>
      <c r="U1426" s="153"/>
      <c r="V1426" s="153"/>
      <c r="W1426" s="153"/>
      <c r="X1426" s="153"/>
      <c r="Y1426" s="153"/>
      <c r="Z1426" s="153"/>
      <c r="AA1426" s="153"/>
    </row>
    <row r="1427" spans="1:27">
      <c r="A1427" s="219">
        <v>11</v>
      </c>
      <c r="B1427" s="220" t="s">
        <v>2329</v>
      </c>
      <c r="C1427" s="221">
        <v>45567</v>
      </c>
      <c r="D1427" s="220" t="s">
        <v>440</v>
      </c>
      <c r="E1427" s="149" t="s">
        <v>138</v>
      </c>
      <c r="F1427" s="149" t="s">
        <v>441</v>
      </c>
      <c r="G1427" s="149" t="s">
        <v>442</v>
      </c>
      <c r="H1427" s="149" t="str">
        <f t="shared" si="8"/>
        <v>MARTA SANDOVAL PUIG</v>
      </c>
      <c r="I1427" s="149" t="s">
        <v>781</v>
      </c>
      <c r="J1427" s="149" t="s">
        <v>532</v>
      </c>
      <c r="K1427" s="149" t="s">
        <v>2349</v>
      </c>
      <c r="L1427" s="168">
        <v>45602</v>
      </c>
      <c r="M1427" s="158"/>
      <c r="N1427" s="163">
        <v>2</v>
      </c>
      <c r="O1427" s="165" t="s">
        <v>449</v>
      </c>
      <c r="P1427" s="161">
        <v>2888.18</v>
      </c>
      <c r="Q1427" s="168">
        <v>45567</v>
      </c>
      <c r="R1427" s="153"/>
      <c r="S1427" s="153"/>
      <c r="T1427" s="153"/>
      <c r="U1427" s="153"/>
      <c r="V1427" s="153"/>
      <c r="W1427" s="153"/>
      <c r="X1427" s="153"/>
      <c r="Y1427" s="153"/>
      <c r="Z1427" s="153"/>
      <c r="AA1427" s="153"/>
    </row>
    <row r="1428" spans="1:27">
      <c r="A1428" s="219">
        <v>11</v>
      </c>
      <c r="B1428" s="220" t="s">
        <v>2329</v>
      </c>
      <c r="C1428" s="221">
        <v>45567</v>
      </c>
      <c r="D1428" s="220" t="s">
        <v>440</v>
      </c>
      <c r="E1428" s="149" t="s">
        <v>310</v>
      </c>
      <c r="F1428" s="149" t="s">
        <v>441</v>
      </c>
      <c r="G1428" s="149" t="s">
        <v>442</v>
      </c>
      <c r="H1428" s="149" t="str">
        <f t="shared" si="8"/>
        <v>MIREIA GOLET FORS</v>
      </c>
      <c r="I1428" s="149" t="s">
        <v>2286</v>
      </c>
      <c r="J1428" s="149" t="s">
        <v>532</v>
      </c>
      <c r="K1428" s="149" t="s">
        <v>2350</v>
      </c>
      <c r="L1428" s="168">
        <v>45602</v>
      </c>
      <c r="M1428" s="158"/>
      <c r="N1428" s="163">
        <v>2</v>
      </c>
      <c r="O1428" s="165" t="s">
        <v>449</v>
      </c>
      <c r="P1428" s="161">
        <v>2743.77</v>
      </c>
      <c r="Q1428" s="168">
        <v>45567</v>
      </c>
      <c r="R1428" s="153"/>
      <c r="S1428" s="153"/>
      <c r="T1428" s="153"/>
      <c r="U1428" s="153"/>
      <c r="V1428" s="153"/>
      <c r="W1428" s="153"/>
      <c r="X1428" s="153"/>
      <c r="Y1428" s="153"/>
      <c r="Z1428" s="153"/>
      <c r="AA1428" s="153"/>
    </row>
    <row r="1429" spans="1:27">
      <c r="A1429" s="219">
        <v>11</v>
      </c>
      <c r="B1429" s="220" t="s">
        <v>2329</v>
      </c>
      <c r="C1429" s="221">
        <v>45602</v>
      </c>
      <c r="D1429" s="220" t="s">
        <v>440</v>
      </c>
      <c r="E1429" s="149" t="s">
        <v>309</v>
      </c>
      <c r="F1429" s="149" t="s">
        <v>441</v>
      </c>
      <c r="G1429" s="149" t="s">
        <v>442</v>
      </c>
      <c r="H1429" s="149" t="str">
        <f t="shared" si="8"/>
        <v>JOSE JOAQUÍN GUTIÉRREZ BARQUÍN</v>
      </c>
      <c r="I1429" s="149" t="s">
        <v>716</v>
      </c>
      <c r="J1429" s="149" t="s">
        <v>444</v>
      </c>
      <c r="K1429" s="149" t="s">
        <v>2351</v>
      </c>
      <c r="L1429" s="168">
        <v>45602</v>
      </c>
      <c r="M1429" s="158"/>
      <c r="N1429" s="163">
        <v>2</v>
      </c>
      <c r="O1429" s="165" t="s">
        <v>446</v>
      </c>
      <c r="P1429" s="161">
        <v>3654.55</v>
      </c>
      <c r="Q1429" s="168">
        <v>45602</v>
      </c>
      <c r="R1429" s="153"/>
      <c r="S1429" s="153"/>
      <c r="T1429" s="153"/>
      <c r="U1429" s="153"/>
      <c r="V1429" s="153"/>
      <c r="W1429" s="153"/>
      <c r="X1429" s="153"/>
      <c r="Y1429" s="153"/>
      <c r="Z1429" s="153"/>
      <c r="AA1429" s="153"/>
    </row>
    <row r="1430" spans="1:27">
      <c r="A1430" s="219">
        <v>11</v>
      </c>
      <c r="B1430" s="220" t="s">
        <v>2329</v>
      </c>
      <c r="C1430" s="221">
        <v>45572</v>
      </c>
      <c r="D1430" s="220" t="s">
        <v>440</v>
      </c>
      <c r="E1430" s="149" t="s">
        <v>98</v>
      </c>
      <c r="F1430" s="149" t="s">
        <v>441</v>
      </c>
      <c r="G1430" s="149" t="s">
        <v>442</v>
      </c>
      <c r="H1430" s="149" t="str">
        <f t="shared" si="8"/>
        <v>MARÍA AGUSTINA SEVILLA GARCÍA</v>
      </c>
      <c r="I1430" s="149" t="s">
        <v>538</v>
      </c>
      <c r="J1430" s="149" t="s">
        <v>462</v>
      </c>
      <c r="K1430" s="149" t="s">
        <v>2352</v>
      </c>
      <c r="L1430" s="168">
        <v>45602</v>
      </c>
      <c r="M1430" s="158"/>
      <c r="N1430" s="163">
        <v>2</v>
      </c>
      <c r="O1430" s="165" t="s">
        <v>446</v>
      </c>
      <c r="P1430" s="161">
        <v>3524.04</v>
      </c>
      <c r="Q1430" s="168">
        <v>45572</v>
      </c>
      <c r="R1430" s="153"/>
      <c r="S1430" s="153"/>
      <c r="T1430" s="153"/>
      <c r="U1430" s="153"/>
      <c r="V1430" s="153"/>
      <c r="W1430" s="153"/>
      <c r="X1430" s="153"/>
      <c r="Y1430" s="153"/>
      <c r="Z1430" s="153"/>
      <c r="AA1430" s="153"/>
    </row>
    <row r="1431" spans="1:27">
      <c r="A1431" s="219">
        <v>11</v>
      </c>
      <c r="B1431" s="220" t="s">
        <v>2329</v>
      </c>
      <c r="C1431" s="221">
        <v>45558</v>
      </c>
      <c r="D1431" s="220" t="s">
        <v>440</v>
      </c>
      <c r="E1431" s="149" t="s">
        <v>485</v>
      </c>
      <c r="F1431" s="149" t="s">
        <v>441</v>
      </c>
      <c r="G1431" s="149" t="s">
        <v>442</v>
      </c>
      <c r="H1431" s="149" t="str">
        <f t="shared" si="8"/>
        <v>LILIANA FILIPA INVENCIO DA COSTA</v>
      </c>
      <c r="I1431" s="149" t="s">
        <v>2353</v>
      </c>
      <c r="J1431" s="149" t="s">
        <v>473</v>
      </c>
      <c r="K1431" s="149" t="s">
        <v>2354</v>
      </c>
      <c r="L1431" s="168">
        <v>45602</v>
      </c>
      <c r="M1431" s="158"/>
      <c r="N1431" s="163">
        <v>1</v>
      </c>
      <c r="O1431" s="165" t="s">
        <v>466</v>
      </c>
      <c r="P1431" s="161">
        <v>2080</v>
      </c>
      <c r="Q1431" s="168">
        <v>45558</v>
      </c>
      <c r="R1431" s="153"/>
      <c r="S1431" s="153"/>
      <c r="T1431" s="153"/>
      <c r="U1431" s="153"/>
      <c r="V1431" s="153"/>
      <c r="W1431" s="153"/>
      <c r="X1431" s="153"/>
      <c r="Y1431" s="153"/>
      <c r="Z1431" s="153"/>
      <c r="AA1431" s="153"/>
    </row>
    <row r="1432" spans="1:27">
      <c r="A1432" s="219">
        <v>11</v>
      </c>
      <c r="B1432" s="220" t="s">
        <v>2329</v>
      </c>
      <c r="C1432" s="221">
        <v>45569</v>
      </c>
      <c r="D1432" s="220" t="s">
        <v>440</v>
      </c>
      <c r="E1432" s="149" t="s">
        <v>506</v>
      </c>
      <c r="F1432" s="149" t="s">
        <v>441</v>
      </c>
      <c r="G1432" s="149" t="s">
        <v>442</v>
      </c>
      <c r="H1432" s="149" t="str">
        <f t="shared" si="8"/>
        <v>MARÍA JESÚS CORNEJO DOMÍNGUEZ</v>
      </c>
      <c r="I1432" s="149" t="s">
        <v>507</v>
      </c>
      <c r="J1432" s="149" t="s">
        <v>473</v>
      </c>
      <c r="K1432" s="149" t="s">
        <v>2355</v>
      </c>
      <c r="L1432" s="168">
        <v>45602</v>
      </c>
      <c r="M1432" s="158"/>
      <c r="N1432" s="163">
        <v>2</v>
      </c>
      <c r="O1432" s="165" t="s">
        <v>446</v>
      </c>
      <c r="P1432" s="161">
        <v>3604.55</v>
      </c>
      <c r="Q1432" s="168">
        <v>45569</v>
      </c>
      <c r="R1432" s="153"/>
      <c r="S1432" s="153"/>
      <c r="T1432" s="153"/>
      <c r="U1432" s="153"/>
      <c r="V1432" s="153"/>
      <c r="W1432" s="153"/>
      <c r="X1432" s="153"/>
      <c r="Y1432" s="153"/>
      <c r="Z1432" s="153"/>
      <c r="AA1432" s="153"/>
    </row>
    <row r="1433" spans="1:27">
      <c r="A1433" s="219">
        <v>11</v>
      </c>
      <c r="B1433" s="220" t="s">
        <v>2329</v>
      </c>
      <c r="C1433" s="221">
        <v>45488</v>
      </c>
      <c r="D1433" s="220" t="s">
        <v>440</v>
      </c>
      <c r="E1433" s="149" t="s">
        <v>856</v>
      </c>
      <c r="F1433" s="149" t="s">
        <v>450</v>
      </c>
      <c r="G1433" s="149" t="s">
        <v>2356</v>
      </c>
      <c r="H1433" s="149" t="str">
        <f t="shared" si="8"/>
        <v>LUIS JOSÉ DOMÍNGUEZ UGIDOS</v>
      </c>
      <c r="I1433" s="149" t="s">
        <v>1149</v>
      </c>
      <c r="J1433" s="149" t="s">
        <v>473</v>
      </c>
      <c r="K1433" s="149" t="s">
        <v>2357</v>
      </c>
      <c r="L1433" s="168">
        <v>45602</v>
      </c>
      <c r="M1433" s="158"/>
      <c r="N1433" s="163">
        <v>2</v>
      </c>
      <c r="O1433" s="165" t="s">
        <v>449</v>
      </c>
      <c r="P1433" s="161">
        <v>3181.82</v>
      </c>
      <c r="Q1433" s="168">
        <v>45488</v>
      </c>
      <c r="R1433" s="153"/>
      <c r="S1433" s="153"/>
      <c r="T1433" s="153"/>
      <c r="U1433" s="153"/>
      <c r="V1433" s="153"/>
      <c r="W1433" s="153"/>
      <c r="X1433" s="153"/>
      <c r="Y1433" s="153"/>
      <c r="Z1433" s="153"/>
      <c r="AA1433" s="153"/>
    </row>
    <row r="1434" spans="1:27">
      <c r="A1434" s="219">
        <v>11</v>
      </c>
      <c r="B1434" s="220" t="s">
        <v>2329</v>
      </c>
      <c r="C1434" s="221">
        <v>45569</v>
      </c>
      <c r="D1434" s="220" t="s">
        <v>440</v>
      </c>
      <c r="E1434" s="149" t="s">
        <v>311</v>
      </c>
      <c r="F1434" s="149" t="s">
        <v>441</v>
      </c>
      <c r="G1434" s="149" t="s">
        <v>442</v>
      </c>
      <c r="H1434" s="149" t="str">
        <f t="shared" si="8"/>
        <v>PALOMA MARTÍN- ARAGÓN MARTIÍ</v>
      </c>
      <c r="I1434" s="149" t="s">
        <v>643</v>
      </c>
      <c r="J1434" s="149" t="s">
        <v>444</v>
      </c>
      <c r="K1434" s="149" t="s">
        <v>2358</v>
      </c>
      <c r="L1434" s="168">
        <v>45603</v>
      </c>
      <c r="M1434" s="158"/>
      <c r="N1434" s="163">
        <v>1</v>
      </c>
      <c r="O1434" s="165" t="s">
        <v>1540</v>
      </c>
      <c r="P1434" s="161">
        <v>2400</v>
      </c>
      <c r="Q1434" s="168">
        <v>45569</v>
      </c>
      <c r="R1434" s="153"/>
      <c r="S1434" s="153"/>
      <c r="T1434" s="153"/>
      <c r="U1434" s="153"/>
      <c r="V1434" s="153"/>
      <c r="W1434" s="153"/>
      <c r="X1434" s="153"/>
      <c r="Y1434" s="153"/>
      <c r="Z1434" s="153"/>
      <c r="AA1434" s="153"/>
    </row>
    <row r="1435" spans="1:27">
      <c r="A1435" s="219">
        <v>11</v>
      </c>
      <c r="B1435" s="220" t="s">
        <v>2329</v>
      </c>
      <c r="C1435" s="221">
        <v>45562</v>
      </c>
      <c r="D1435" s="220" t="s">
        <v>440</v>
      </c>
      <c r="E1435" s="149" t="s">
        <v>314</v>
      </c>
      <c r="F1435" s="149" t="s">
        <v>441</v>
      </c>
      <c r="G1435" s="149" t="s">
        <v>442</v>
      </c>
      <c r="H1435" s="149" t="str">
        <f t="shared" si="8"/>
        <v>ESTHER MACON LIQUETE</v>
      </c>
      <c r="I1435" s="149" t="s">
        <v>2359</v>
      </c>
      <c r="J1435" s="149" t="s">
        <v>444</v>
      </c>
      <c r="K1435" s="149" t="s">
        <v>2360</v>
      </c>
      <c r="L1435" s="168">
        <v>45603</v>
      </c>
      <c r="M1435" s="158"/>
      <c r="N1435" s="163">
        <v>2</v>
      </c>
      <c r="O1435" s="165" t="s">
        <v>1540</v>
      </c>
      <c r="P1435" s="161">
        <v>3800</v>
      </c>
      <c r="Q1435" s="168">
        <v>45562</v>
      </c>
      <c r="R1435" s="153"/>
      <c r="S1435" s="153"/>
      <c r="T1435" s="153"/>
      <c r="U1435" s="153"/>
      <c r="V1435" s="153"/>
      <c r="W1435" s="153"/>
      <c r="X1435" s="153"/>
      <c r="Y1435" s="153"/>
      <c r="Z1435" s="153"/>
      <c r="AA1435" s="153"/>
    </row>
    <row r="1436" spans="1:27">
      <c r="A1436" s="219">
        <v>11</v>
      </c>
      <c r="B1436" s="220" t="s">
        <v>2329</v>
      </c>
      <c r="C1436" s="221">
        <v>45512</v>
      </c>
      <c r="D1436" s="220" t="s">
        <v>440</v>
      </c>
      <c r="E1436" s="149" t="s">
        <v>239</v>
      </c>
      <c r="F1436" s="149" t="s">
        <v>441</v>
      </c>
      <c r="G1436" s="149" t="s">
        <v>442</v>
      </c>
      <c r="H1436" s="149" t="str">
        <f t="shared" si="8"/>
        <v>MERCEDES CEBALLOS CAUTO</v>
      </c>
      <c r="I1436" s="149" t="s">
        <v>2361</v>
      </c>
      <c r="J1436" s="149" t="s">
        <v>455</v>
      </c>
      <c r="K1436" s="149" t="s">
        <v>2362</v>
      </c>
      <c r="L1436" s="168">
        <v>45603</v>
      </c>
      <c r="M1436" s="158"/>
      <c r="N1436" s="163">
        <v>2</v>
      </c>
      <c r="O1436" s="165" t="s">
        <v>1540</v>
      </c>
      <c r="P1436" s="161">
        <v>4000</v>
      </c>
      <c r="Q1436" s="168">
        <v>45512</v>
      </c>
      <c r="R1436" s="153"/>
      <c r="S1436" s="153"/>
      <c r="T1436" s="153"/>
      <c r="U1436" s="153"/>
      <c r="V1436" s="153"/>
      <c r="W1436" s="153"/>
      <c r="X1436" s="153"/>
      <c r="Y1436" s="153"/>
      <c r="Z1436" s="153"/>
      <c r="AA1436" s="153"/>
    </row>
    <row r="1437" spans="1:27">
      <c r="A1437" s="219">
        <v>11</v>
      </c>
      <c r="B1437" s="220" t="s">
        <v>2329</v>
      </c>
      <c r="C1437" s="221">
        <v>45530</v>
      </c>
      <c r="D1437" s="220" t="s">
        <v>440</v>
      </c>
      <c r="E1437" s="149" t="s">
        <v>475</v>
      </c>
      <c r="F1437" s="149" t="s">
        <v>441</v>
      </c>
      <c r="G1437" s="149" t="s">
        <v>442</v>
      </c>
      <c r="H1437" s="149" t="str">
        <f t="shared" si="8"/>
        <v>MÓNICA GRANDA ROSALES</v>
      </c>
      <c r="I1437" s="149" t="s">
        <v>476</v>
      </c>
      <c r="J1437" s="149" t="s">
        <v>473</v>
      </c>
      <c r="K1437" s="149" t="s">
        <v>2363</v>
      </c>
      <c r="L1437" s="168">
        <v>45603</v>
      </c>
      <c r="M1437" s="158"/>
      <c r="N1437" s="163">
        <v>1</v>
      </c>
      <c r="O1437" s="165" t="s">
        <v>446</v>
      </c>
      <c r="P1437" s="161">
        <v>1936.36</v>
      </c>
      <c r="Q1437" s="168">
        <v>45530</v>
      </c>
      <c r="R1437" s="153"/>
      <c r="S1437" s="153"/>
      <c r="T1437" s="153"/>
      <c r="U1437" s="153"/>
      <c r="V1437" s="153"/>
      <c r="W1437" s="153"/>
      <c r="X1437" s="153"/>
      <c r="Y1437" s="153"/>
      <c r="Z1437" s="153"/>
      <c r="AA1437" s="153"/>
    </row>
    <row r="1438" spans="1:27">
      <c r="A1438" s="219">
        <v>11</v>
      </c>
      <c r="B1438" s="220" t="s">
        <v>2329</v>
      </c>
      <c r="C1438" s="221">
        <v>45545</v>
      </c>
      <c r="D1438" s="220" t="s">
        <v>440</v>
      </c>
      <c r="E1438" s="149" t="s">
        <v>312</v>
      </c>
      <c r="F1438" s="149" t="s">
        <v>441</v>
      </c>
      <c r="G1438" s="149" t="s">
        <v>442</v>
      </c>
      <c r="H1438" s="149" t="str">
        <f t="shared" si="8"/>
        <v>ESTEFANÍA BERROCAL POSTIGO</v>
      </c>
      <c r="I1438" s="149" t="s">
        <v>927</v>
      </c>
      <c r="J1438" s="149" t="s">
        <v>455</v>
      </c>
      <c r="K1438" s="149" t="s">
        <v>2364</v>
      </c>
      <c r="L1438" s="168">
        <v>45603</v>
      </c>
      <c r="M1438" s="158"/>
      <c r="N1438" s="163">
        <v>2</v>
      </c>
      <c r="O1438" s="165" t="s">
        <v>446</v>
      </c>
      <c r="P1438" s="161">
        <v>3710</v>
      </c>
      <c r="Q1438" s="168">
        <v>45545</v>
      </c>
      <c r="R1438" s="153"/>
      <c r="S1438" s="153"/>
      <c r="T1438" s="153"/>
      <c r="U1438" s="153"/>
      <c r="V1438" s="153"/>
      <c r="W1438" s="153"/>
      <c r="X1438" s="153"/>
      <c r="Y1438" s="153"/>
      <c r="Z1438" s="153"/>
      <c r="AA1438" s="153"/>
    </row>
    <row r="1439" spans="1:27">
      <c r="A1439" s="219">
        <v>11</v>
      </c>
      <c r="B1439" s="220" t="s">
        <v>2329</v>
      </c>
      <c r="C1439" s="221">
        <v>45554</v>
      </c>
      <c r="D1439" s="220" t="s">
        <v>440</v>
      </c>
      <c r="E1439" s="149" t="s">
        <v>506</v>
      </c>
      <c r="F1439" s="149" t="s">
        <v>441</v>
      </c>
      <c r="G1439" s="149" t="s">
        <v>442</v>
      </c>
      <c r="H1439" s="149" t="str">
        <f t="shared" si="8"/>
        <v>NO REUERDA ORL</v>
      </c>
      <c r="I1439" s="149" t="s">
        <v>469</v>
      </c>
      <c r="J1439" s="149" t="s">
        <v>473</v>
      </c>
      <c r="K1439" s="149" t="s">
        <v>2365</v>
      </c>
      <c r="L1439" s="168">
        <v>45603</v>
      </c>
      <c r="M1439" s="158"/>
      <c r="N1439" s="163">
        <v>2</v>
      </c>
      <c r="O1439" s="165" t="s">
        <v>446</v>
      </c>
      <c r="P1439" s="161">
        <v>3604.55</v>
      </c>
      <c r="Q1439" s="168">
        <v>45554</v>
      </c>
      <c r="R1439" s="153"/>
      <c r="S1439" s="153"/>
      <c r="T1439" s="153"/>
      <c r="U1439" s="153"/>
      <c r="V1439" s="153"/>
      <c r="W1439" s="153"/>
      <c r="X1439" s="153"/>
      <c r="Y1439" s="153"/>
      <c r="Z1439" s="153"/>
      <c r="AA1439" s="153"/>
    </row>
    <row r="1440" spans="1:27">
      <c r="A1440" s="219">
        <v>11</v>
      </c>
      <c r="B1440" s="220" t="s">
        <v>2329</v>
      </c>
      <c r="C1440" s="221">
        <v>45567</v>
      </c>
      <c r="D1440" s="220" t="s">
        <v>440</v>
      </c>
      <c r="E1440" s="149" t="s">
        <v>312</v>
      </c>
      <c r="F1440" s="149" t="s">
        <v>441</v>
      </c>
      <c r="G1440" s="149" t="s">
        <v>442</v>
      </c>
      <c r="H1440" s="149" t="str">
        <f t="shared" si="8"/>
        <v>ESTEFANÍA BERROCAL POSTIGO</v>
      </c>
      <c r="I1440" s="149" t="s">
        <v>927</v>
      </c>
      <c r="J1440" s="149" t="s">
        <v>455</v>
      </c>
      <c r="K1440" s="149" t="s">
        <v>2366</v>
      </c>
      <c r="L1440" s="168">
        <v>45603</v>
      </c>
      <c r="M1440" s="158"/>
      <c r="N1440" s="163">
        <v>1</v>
      </c>
      <c r="O1440" s="165" t="s">
        <v>466</v>
      </c>
      <c r="P1440" s="161">
        <v>2400</v>
      </c>
      <c r="Q1440" s="168">
        <v>45567</v>
      </c>
      <c r="R1440" s="153"/>
      <c r="S1440" s="153"/>
      <c r="T1440" s="153"/>
      <c r="U1440" s="153"/>
      <c r="V1440" s="153"/>
      <c r="W1440" s="153"/>
      <c r="X1440" s="153"/>
      <c r="Y1440" s="153"/>
      <c r="Z1440" s="153"/>
      <c r="AA1440" s="153"/>
    </row>
    <row r="1441" spans="1:27">
      <c r="A1441" s="219">
        <v>11</v>
      </c>
      <c r="B1441" s="220" t="s">
        <v>2329</v>
      </c>
      <c r="C1441" s="221">
        <v>45579</v>
      </c>
      <c r="D1441" s="220" t="s">
        <v>440</v>
      </c>
      <c r="E1441" s="149" t="s">
        <v>190</v>
      </c>
      <c r="F1441" s="149" t="s">
        <v>441</v>
      </c>
      <c r="G1441" s="149" t="s">
        <v>442</v>
      </c>
      <c r="H1441" s="149" t="str">
        <f t="shared" si="8"/>
        <v>ANA GIRIBET FERNANDEZ-PACHECO</v>
      </c>
      <c r="I1441" s="149" t="s">
        <v>1876</v>
      </c>
      <c r="J1441" s="149" t="s">
        <v>462</v>
      </c>
      <c r="K1441" s="149" t="s">
        <v>2367</v>
      </c>
      <c r="L1441" s="168">
        <v>45603</v>
      </c>
      <c r="M1441" s="158"/>
      <c r="N1441" s="163">
        <v>2</v>
      </c>
      <c r="O1441" s="165" t="s">
        <v>446</v>
      </c>
      <c r="P1441" s="161">
        <v>3710</v>
      </c>
      <c r="Q1441" s="168">
        <v>45579</v>
      </c>
      <c r="R1441" s="153"/>
      <c r="S1441" s="153"/>
      <c r="T1441" s="153"/>
      <c r="U1441" s="153"/>
      <c r="V1441" s="153"/>
      <c r="W1441" s="153"/>
      <c r="X1441" s="153"/>
      <c r="Y1441" s="153"/>
      <c r="Z1441" s="153"/>
      <c r="AA1441" s="153"/>
    </row>
    <row r="1442" spans="1:27">
      <c r="A1442" s="219">
        <v>11</v>
      </c>
      <c r="B1442" s="220" t="s">
        <v>2329</v>
      </c>
      <c r="C1442" s="221">
        <v>45579</v>
      </c>
      <c r="D1442" s="220" t="s">
        <v>440</v>
      </c>
      <c r="E1442" s="149" t="s">
        <v>311</v>
      </c>
      <c r="F1442" s="149" t="s">
        <v>441</v>
      </c>
      <c r="G1442" s="149" t="s">
        <v>442</v>
      </c>
      <c r="H1442" s="149" t="str">
        <f t="shared" si="8"/>
        <v>RAIMUNDO ANDRES NAVARRO MEDIANO</v>
      </c>
      <c r="I1442" s="149" t="s">
        <v>1126</v>
      </c>
      <c r="J1442" s="149" t="s">
        <v>444</v>
      </c>
      <c r="K1442" s="149" t="s">
        <v>2368</v>
      </c>
      <c r="L1442" s="168">
        <v>45604</v>
      </c>
      <c r="M1442" s="158"/>
      <c r="N1442" s="163">
        <v>1</v>
      </c>
      <c r="O1442" s="165" t="s">
        <v>1540</v>
      </c>
      <c r="P1442" s="161">
        <v>2400</v>
      </c>
      <c r="Q1442" s="168">
        <v>45579</v>
      </c>
      <c r="R1442" s="153"/>
      <c r="S1442" s="153"/>
      <c r="T1442" s="153"/>
      <c r="U1442" s="153"/>
      <c r="V1442" s="153"/>
      <c r="W1442" s="153"/>
      <c r="X1442" s="153"/>
      <c r="Y1442" s="153"/>
      <c r="Z1442" s="153"/>
      <c r="AA1442" s="153"/>
    </row>
    <row r="1443" spans="1:27">
      <c r="A1443" s="219">
        <v>11</v>
      </c>
      <c r="B1443" s="220" t="s">
        <v>2329</v>
      </c>
      <c r="C1443" s="221">
        <v>45484</v>
      </c>
      <c r="D1443" s="220" t="s">
        <v>440</v>
      </c>
      <c r="E1443" s="149" t="s">
        <v>271</v>
      </c>
      <c r="F1443" s="149" t="s">
        <v>441</v>
      </c>
      <c r="G1443" s="149" t="s">
        <v>442</v>
      </c>
      <c r="H1443" s="149" t="str">
        <f t="shared" si="8"/>
        <v>NO REUERDA ORL</v>
      </c>
      <c r="I1443" s="149" t="s">
        <v>469</v>
      </c>
      <c r="J1443" s="149" t="s">
        <v>548</v>
      </c>
      <c r="K1443" s="149" t="s">
        <v>2369</v>
      </c>
      <c r="L1443" s="168">
        <v>45604</v>
      </c>
      <c r="M1443" s="158"/>
      <c r="N1443" s="163">
        <v>2</v>
      </c>
      <c r="O1443" s="165" t="s">
        <v>449</v>
      </c>
      <c r="P1443" s="161">
        <v>2743.78</v>
      </c>
      <c r="Q1443" s="168">
        <v>45484</v>
      </c>
      <c r="R1443" s="153"/>
      <c r="S1443" s="153"/>
      <c r="T1443" s="153"/>
      <c r="U1443" s="153"/>
      <c r="V1443" s="153"/>
      <c r="W1443" s="153"/>
      <c r="X1443" s="153"/>
      <c r="Y1443" s="153"/>
      <c r="Z1443" s="153"/>
      <c r="AA1443" s="153"/>
    </row>
    <row r="1444" spans="1:27">
      <c r="A1444" s="219">
        <v>11</v>
      </c>
      <c r="B1444" s="220" t="s">
        <v>2329</v>
      </c>
      <c r="C1444" s="221">
        <v>45327</v>
      </c>
      <c r="D1444" s="220" t="s">
        <v>440</v>
      </c>
      <c r="E1444" s="149" t="s">
        <v>856</v>
      </c>
      <c r="F1444" s="149" t="s">
        <v>441</v>
      </c>
      <c r="G1444" s="222" t="s">
        <v>2370</v>
      </c>
      <c r="H1444" s="149" t="str">
        <f t="shared" si="8"/>
        <v>CARLOS DURÁN DÍEZ</v>
      </c>
      <c r="I1444" s="149" t="s">
        <v>1535</v>
      </c>
      <c r="J1444" s="149" t="s">
        <v>473</v>
      </c>
      <c r="K1444" s="149" t="s">
        <v>2371</v>
      </c>
      <c r="L1444" s="168">
        <v>45604</v>
      </c>
      <c r="M1444" s="158"/>
      <c r="N1444" s="163">
        <v>1</v>
      </c>
      <c r="O1444" s="165" t="s">
        <v>466</v>
      </c>
      <c r="P1444" s="161">
        <v>1727.27</v>
      </c>
      <c r="Q1444" s="168">
        <v>45327</v>
      </c>
      <c r="R1444" s="153"/>
      <c r="S1444" s="153"/>
      <c r="T1444" s="153"/>
      <c r="U1444" s="153"/>
      <c r="V1444" s="153"/>
      <c r="W1444" s="153"/>
      <c r="X1444" s="153"/>
      <c r="Y1444" s="153"/>
      <c r="Z1444" s="153"/>
      <c r="AA1444" s="153"/>
    </row>
    <row r="1445" spans="1:27">
      <c r="A1445" s="219">
        <v>11</v>
      </c>
      <c r="B1445" s="220" t="s">
        <v>2329</v>
      </c>
      <c r="C1445" s="221">
        <v>45464</v>
      </c>
      <c r="D1445" s="220" t="s">
        <v>440</v>
      </c>
      <c r="E1445" s="149" t="s">
        <v>312</v>
      </c>
      <c r="F1445" s="149" t="s">
        <v>441</v>
      </c>
      <c r="G1445" s="149" t="s">
        <v>442</v>
      </c>
      <c r="H1445" s="149" t="str">
        <f t="shared" si="8"/>
        <v>FRANCISCO JOSÉ ESTRADA MOLINA</v>
      </c>
      <c r="I1445" s="149" t="s">
        <v>1177</v>
      </c>
      <c r="J1445" s="149" t="s">
        <v>455</v>
      </c>
      <c r="K1445" s="149" t="s">
        <v>2372</v>
      </c>
      <c r="L1445" s="168">
        <v>45604</v>
      </c>
      <c r="M1445" s="158"/>
      <c r="N1445" s="163">
        <v>2</v>
      </c>
      <c r="O1445" s="165" t="s">
        <v>513</v>
      </c>
      <c r="P1445" s="161">
        <v>4000</v>
      </c>
      <c r="Q1445" s="168">
        <v>45464</v>
      </c>
      <c r="R1445" s="153"/>
      <c r="S1445" s="153"/>
      <c r="T1445" s="153"/>
      <c r="U1445" s="153"/>
      <c r="V1445" s="153"/>
      <c r="W1445" s="153"/>
      <c r="X1445" s="153"/>
      <c r="Y1445" s="153"/>
      <c r="Z1445" s="153"/>
      <c r="AA1445" s="153"/>
    </row>
    <row r="1446" spans="1:27">
      <c r="A1446" s="219">
        <v>11</v>
      </c>
      <c r="B1446" s="220" t="s">
        <v>2329</v>
      </c>
      <c r="C1446" s="221">
        <v>45568</v>
      </c>
      <c r="D1446" s="220" t="s">
        <v>440</v>
      </c>
      <c r="E1446" s="149" t="s">
        <v>475</v>
      </c>
      <c r="F1446" s="149" t="s">
        <v>441</v>
      </c>
      <c r="G1446" s="149" t="s">
        <v>442</v>
      </c>
      <c r="H1446" s="149" t="str">
        <f t="shared" si="8"/>
        <v>NO REUERDA ORL</v>
      </c>
      <c r="I1446" s="149" t="s">
        <v>469</v>
      </c>
      <c r="J1446" s="149" t="s">
        <v>473</v>
      </c>
      <c r="K1446" s="149" t="s">
        <v>2373</v>
      </c>
      <c r="L1446" s="168">
        <v>45604</v>
      </c>
      <c r="M1446" s="158"/>
      <c r="N1446" s="163">
        <v>2</v>
      </c>
      <c r="O1446" s="165" t="s">
        <v>446</v>
      </c>
      <c r="P1446" s="161">
        <v>3909.09</v>
      </c>
      <c r="Q1446" s="168">
        <v>45568</v>
      </c>
      <c r="R1446" s="153"/>
      <c r="S1446" s="153"/>
      <c r="T1446" s="153"/>
      <c r="U1446" s="153"/>
      <c r="V1446" s="153"/>
      <c r="W1446" s="153"/>
      <c r="X1446" s="153"/>
      <c r="Y1446" s="153"/>
      <c r="Z1446" s="153"/>
      <c r="AA1446" s="153"/>
    </row>
    <row r="1447" spans="1:27">
      <c r="A1447" s="219">
        <v>11</v>
      </c>
      <c r="B1447" s="220" t="s">
        <v>2329</v>
      </c>
      <c r="C1447" s="221">
        <v>45095</v>
      </c>
      <c r="D1447" s="220" t="s">
        <v>440</v>
      </c>
      <c r="E1447" s="149" t="s">
        <v>310</v>
      </c>
      <c r="F1447" s="149" t="s">
        <v>441</v>
      </c>
      <c r="G1447" s="149" t="s">
        <v>442</v>
      </c>
      <c r="H1447" s="149" t="str">
        <f t="shared" si="8"/>
        <v>MARTA SANDOVAL PUIG</v>
      </c>
      <c r="I1447" s="149" t="s">
        <v>781</v>
      </c>
      <c r="J1447" s="149" t="s">
        <v>532</v>
      </c>
      <c r="K1447" s="149" t="s">
        <v>2374</v>
      </c>
      <c r="L1447" s="168">
        <v>45607</v>
      </c>
      <c r="M1447" s="158"/>
      <c r="N1447" s="163">
        <v>2</v>
      </c>
      <c r="O1447" s="165" t="s">
        <v>1540</v>
      </c>
      <c r="P1447" s="161">
        <v>3800</v>
      </c>
      <c r="Q1447" s="168">
        <v>45095</v>
      </c>
      <c r="R1447" s="153"/>
      <c r="S1447" s="153"/>
      <c r="T1447" s="153"/>
      <c r="U1447" s="153"/>
      <c r="V1447" s="153"/>
      <c r="W1447" s="153"/>
      <c r="X1447" s="153"/>
      <c r="Y1447" s="153"/>
      <c r="Z1447" s="153"/>
      <c r="AA1447" s="153"/>
    </row>
    <row r="1448" spans="1:27">
      <c r="A1448" s="219">
        <v>11</v>
      </c>
      <c r="B1448" s="220" t="s">
        <v>2329</v>
      </c>
      <c r="C1448" s="221">
        <v>45574</v>
      </c>
      <c r="D1448" s="220" t="s">
        <v>440</v>
      </c>
      <c r="E1448" s="149" t="s">
        <v>122</v>
      </c>
      <c r="F1448" s="149" t="s">
        <v>441</v>
      </c>
      <c r="G1448" s="149" t="s">
        <v>442</v>
      </c>
      <c r="H1448" s="149" t="str">
        <f t="shared" si="8"/>
        <v>JULIO LÓPEZ MOYA</v>
      </c>
      <c r="I1448" s="149" t="s">
        <v>504</v>
      </c>
      <c r="J1448" s="149" t="s">
        <v>444</v>
      </c>
      <c r="K1448" s="149" t="s">
        <v>2375</v>
      </c>
      <c r="L1448" s="168">
        <v>45607</v>
      </c>
      <c r="M1448" s="158"/>
      <c r="N1448" s="163">
        <v>1</v>
      </c>
      <c r="O1448" s="165" t="s">
        <v>446</v>
      </c>
      <c r="P1448" s="161">
        <v>2226.36</v>
      </c>
      <c r="Q1448" s="168">
        <v>45574</v>
      </c>
      <c r="R1448" s="153"/>
      <c r="S1448" s="153"/>
      <c r="T1448" s="153"/>
      <c r="U1448" s="153"/>
      <c r="V1448" s="153"/>
      <c r="W1448" s="153"/>
      <c r="X1448" s="153"/>
      <c r="Y1448" s="153"/>
      <c r="Z1448" s="153"/>
      <c r="AA1448" s="153"/>
    </row>
    <row r="1449" spans="1:27">
      <c r="A1449" s="219">
        <v>11</v>
      </c>
      <c r="B1449" s="220" t="s">
        <v>2329</v>
      </c>
      <c r="C1449" s="221">
        <v>45539</v>
      </c>
      <c r="D1449" s="220" t="s">
        <v>440</v>
      </c>
      <c r="E1449" s="149" t="s">
        <v>2338</v>
      </c>
      <c r="F1449" s="149" t="s">
        <v>441</v>
      </c>
      <c r="G1449" s="149" t="s">
        <v>442</v>
      </c>
      <c r="H1449" s="149" t="str">
        <f t="shared" si="8"/>
        <v>ISIDORO RUBIO CORREA</v>
      </c>
      <c r="I1449" s="149" t="s">
        <v>1783</v>
      </c>
      <c r="J1449" s="149" t="s">
        <v>455</v>
      </c>
      <c r="K1449" s="149" t="s">
        <v>2376</v>
      </c>
      <c r="L1449" s="168">
        <v>45607</v>
      </c>
      <c r="M1449" s="158"/>
      <c r="N1449" s="163">
        <v>1</v>
      </c>
      <c r="O1449" s="165" t="s">
        <v>446</v>
      </c>
      <c r="P1449" s="161">
        <v>1850</v>
      </c>
      <c r="Q1449" s="168">
        <v>45539</v>
      </c>
      <c r="R1449" s="153"/>
      <c r="S1449" s="153"/>
      <c r="T1449" s="153"/>
      <c r="U1449" s="153"/>
      <c r="V1449" s="153"/>
      <c r="W1449" s="153"/>
      <c r="X1449" s="153"/>
      <c r="Y1449" s="153"/>
      <c r="Z1449" s="153"/>
      <c r="AA1449" s="153"/>
    </row>
    <row r="1450" spans="1:27">
      <c r="A1450" s="219">
        <v>11</v>
      </c>
      <c r="B1450" s="220" t="s">
        <v>2329</v>
      </c>
      <c r="C1450" s="221">
        <v>45546</v>
      </c>
      <c r="D1450" s="220" t="s">
        <v>440</v>
      </c>
      <c r="E1450" s="149" t="s">
        <v>317</v>
      </c>
      <c r="F1450" s="149" t="s">
        <v>441</v>
      </c>
      <c r="G1450" s="149" t="s">
        <v>442</v>
      </c>
      <c r="H1450" s="149" t="str">
        <f t="shared" si="8"/>
        <v>ISABEL MENACHES GUARDIOLA</v>
      </c>
      <c r="I1450" s="149" t="s">
        <v>1254</v>
      </c>
      <c r="J1450" s="149" t="s">
        <v>462</v>
      </c>
      <c r="K1450" s="149" t="s">
        <v>2377</v>
      </c>
      <c r="L1450" s="168">
        <v>45608</v>
      </c>
      <c r="M1450" s="158"/>
      <c r="N1450" s="163">
        <v>1</v>
      </c>
      <c r="O1450" s="165" t="s">
        <v>513</v>
      </c>
      <c r="P1450" s="161">
        <v>2640</v>
      </c>
      <c r="Q1450" s="168">
        <v>45546</v>
      </c>
      <c r="R1450" s="153"/>
      <c r="S1450" s="153"/>
      <c r="T1450" s="153"/>
      <c r="U1450" s="153"/>
      <c r="V1450" s="153"/>
      <c r="W1450" s="153"/>
      <c r="X1450" s="153"/>
      <c r="Y1450" s="153"/>
      <c r="Z1450" s="153"/>
      <c r="AA1450" s="153"/>
    </row>
    <row r="1451" spans="1:27">
      <c r="A1451" s="219">
        <v>11</v>
      </c>
      <c r="B1451" s="220" t="s">
        <v>2329</v>
      </c>
      <c r="C1451" s="221">
        <v>45574</v>
      </c>
      <c r="D1451" s="220" t="s">
        <v>440</v>
      </c>
      <c r="E1451" s="149" t="s">
        <v>122</v>
      </c>
      <c r="F1451" s="149" t="s">
        <v>441</v>
      </c>
      <c r="G1451" s="149" t="s">
        <v>442</v>
      </c>
      <c r="H1451" s="149" t="str">
        <f t="shared" si="8"/>
        <v>DESIREÉ MÉNDEZ BRENDERBACHE</v>
      </c>
      <c r="I1451" s="149" t="s">
        <v>2378</v>
      </c>
      <c r="J1451" s="149" t="s">
        <v>444</v>
      </c>
      <c r="K1451" s="149" t="s">
        <v>2379</v>
      </c>
      <c r="L1451" s="168">
        <v>45608</v>
      </c>
      <c r="M1451" s="158"/>
      <c r="N1451" s="163">
        <v>1</v>
      </c>
      <c r="O1451" s="165" t="s">
        <v>513</v>
      </c>
      <c r="P1451" s="161">
        <v>2640</v>
      </c>
      <c r="Q1451" s="168">
        <v>45574</v>
      </c>
      <c r="R1451" s="153"/>
      <c r="S1451" s="153"/>
      <c r="T1451" s="153"/>
      <c r="U1451" s="153"/>
      <c r="V1451" s="153"/>
      <c r="W1451" s="153"/>
      <c r="X1451" s="153"/>
      <c r="Y1451" s="153"/>
      <c r="Z1451" s="153"/>
      <c r="AA1451" s="153"/>
    </row>
    <row r="1452" spans="1:27">
      <c r="A1452" s="219">
        <v>11</v>
      </c>
      <c r="B1452" s="220" t="s">
        <v>2329</v>
      </c>
      <c r="C1452" s="221">
        <v>45588</v>
      </c>
      <c r="D1452" s="220" t="s">
        <v>440</v>
      </c>
      <c r="E1452" s="149" t="s">
        <v>271</v>
      </c>
      <c r="F1452" s="149" t="s">
        <v>441</v>
      </c>
      <c r="G1452" s="149" t="s">
        <v>442</v>
      </c>
      <c r="H1452" s="149" t="str">
        <f t="shared" si="8"/>
        <v>ADOLFO CARLOS HINOJAR GUTIERREZ</v>
      </c>
      <c r="I1452" s="149" t="s">
        <v>749</v>
      </c>
      <c r="J1452" s="149" t="s">
        <v>548</v>
      </c>
      <c r="K1452" s="149" t="s">
        <v>2380</v>
      </c>
      <c r="L1452" s="168">
        <v>45608</v>
      </c>
      <c r="M1452" s="158"/>
      <c r="N1452" s="163">
        <v>2</v>
      </c>
      <c r="O1452" s="165" t="s">
        <v>513</v>
      </c>
      <c r="P1452" s="161">
        <v>4400</v>
      </c>
      <c r="Q1452" s="168">
        <v>45588</v>
      </c>
      <c r="R1452" s="153"/>
      <c r="S1452" s="153"/>
      <c r="T1452" s="153"/>
      <c r="U1452" s="153"/>
      <c r="V1452" s="153"/>
      <c r="W1452" s="153"/>
      <c r="X1452" s="153"/>
      <c r="Y1452" s="153"/>
      <c r="Z1452" s="153"/>
      <c r="AA1452" s="153"/>
    </row>
    <row r="1453" spans="1:27">
      <c r="A1453" s="219">
        <v>11</v>
      </c>
      <c r="B1453" s="220" t="s">
        <v>2329</v>
      </c>
      <c r="C1453" s="221">
        <v>45568</v>
      </c>
      <c r="D1453" s="220" t="s">
        <v>440</v>
      </c>
      <c r="E1453" s="149" t="s">
        <v>102</v>
      </c>
      <c r="F1453" s="149" t="s">
        <v>441</v>
      </c>
      <c r="G1453" s="149" t="s">
        <v>442</v>
      </c>
      <c r="H1453" s="149" t="str">
        <f t="shared" si="8"/>
        <v>JUAN JAVIER ÁLVAREZ LÓPEZ</v>
      </c>
      <c r="I1453" s="149" t="s">
        <v>664</v>
      </c>
      <c r="J1453" s="149" t="s">
        <v>462</v>
      </c>
      <c r="K1453" s="149" t="s">
        <v>2381</v>
      </c>
      <c r="L1453" s="168">
        <v>45608</v>
      </c>
      <c r="M1453" s="158"/>
      <c r="N1453" s="163">
        <v>2</v>
      </c>
      <c r="O1453" s="165" t="s">
        <v>1540</v>
      </c>
      <c r="P1453" s="161">
        <v>4000</v>
      </c>
      <c r="Q1453" s="168">
        <v>45568</v>
      </c>
      <c r="R1453" s="153"/>
      <c r="S1453" s="153"/>
      <c r="T1453" s="153"/>
      <c r="U1453" s="153"/>
      <c r="V1453" s="153"/>
      <c r="W1453" s="153"/>
      <c r="X1453" s="153"/>
      <c r="Y1453" s="153"/>
      <c r="Z1453" s="153"/>
      <c r="AA1453" s="153"/>
    </row>
    <row r="1454" spans="1:27">
      <c r="A1454" s="219">
        <v>11</v>
      </c>
      <c r="B1454" s="220" t="s">
        <v>2329</v>
      </c>
      <c r="C1454" s="221">
        <v>45573</v>
      </c>
      <c r="D1454" s="220" t="s">
        <v>440</v>
      </c>
      <c r="E1454" s="149" t="s">
        <v>129</v>
      </c>
      <c r="F1454" s="149" t="s">
        <v>441</v>
      </c>
      <c r="G1454" s="149" t="s">
        <v>442</v>
      </c>
      <c r="H1454" s="149" t="str">
        <f t="shared" si="8"/>
        <v>ALEJANDRO DÍAZ UÑA</v>
      </c>
      <c r="I1454" s="149" t="s">
        <v>2078</v>
      </c>
      <c r="J1454" s="149" t="s">
        <v>516</v>
      </c>
      <c r="K1454" s="149" t="s">
        <v>2382</v>
      </c>
      <c r="L1454" s="168">
        <v>45608</v>
      </c>
      <c r="M1454" s="158"/>
      <c r="N1454" s="163">
        <v>2</v>
      </c>
      <c r="O1454" s="165" t="s">
        <v>466</v>
      </c>
      <c r="P1454" s="161">
        <v>3999.85</v>
      </c>
      <c r="Q1454" s="168">
        <v>45573</v>
      </c>
      <c r="R1454" s="153"/>
      <c r="S1454" s="153"/>
      <c r="T1454" s="153"/>
      <c r="U1454" s="153"/>
      <c r="V1454" s="153"/>
      <c r="W1454" s="153"/>
      <c r="X1454" s="153"/>
      <c r="Y1454" s="153"/>
      <c r="Z1454" s="153"/>
      <c r="AA1454" s="153"/>
    </row>
    <row r="1455" spans="1:27">
      <c r="A1455" s="219">
        <v>11</v>
      </c>
      <c r="B1455" s="220" t="s">
        <v>2329</v>
      </c>
      <c r="C1455" s="221">
        <v>45588</v>
      </c>
      <c r="D1455" s="220" t="s">
        <v>440</v>
      </c>
      <c r="E1455" s="149" t="s">
        <v>1599</v>
      </c>
      <c r="F1455" s="149" t="s">
        <v>441</v>
      </c>
      <c r="G1455" s="149" t="s">
        <v>442</v>
      </c>
      <c r="H1455" s="149" t="str">
        <f t="shared" si="8"/>
        <v>JOAQUÍN PÉREZ VILLAR</v>
      </c>
      <c r="I1455" s="149" t="s">
        <v>1728</v>
      </c>
      <c r="J1455" s="149" t="s">
        <v>516</v>
      </c>
      <c r="K1455" s="149" t="s">
        <v>2383</v>
      </c>
      <c r="L1455" s="168">
        <v>45608</v>
      </c>
      <c r="M1455" s="158"/>
      <c r="N1455" s="163">
        <v>2</v>
      </c>
      <c r="O1455" s="165" t="s">
        <v>518</v>
      </c>
      <c r="P1455" s="161">
        <v>2627.25</v>
      </c>
      <c r="Q1455" s="168">
        <v>45588</v>
      </c>
      <c r="R1455" s="153"/>
      <c r="S1455" s="153"/>
      <c r="T1455" s="153"/>
      <c r="U1455" s="153"/>
      <c r="V1455" s="153"/>
      <c r="W1455" s="153"/>
      <c r="X1455" s="153"/>
      <c r="Y1455" s="153"/>
      <c r="Z1455" s="153"/>
      <c r="AA1455" s="153"/>
    </row>
    <row r="1456" spans="1:27">
      <c r="A1456" s="219">
        <v>11</v>
      </c>
      <c r="B1456" s="220" t="s">
        <v>2329</v>
      </c>
      <c r="C1456" s="221">
        <v>45566</v>
      </c>
      <c r="D1456" s="220" t="s">
        <v>440</v>
      </c>
      <c r="E1456" s="149" t="s">
        <v>145</v>
      </c>
      <c r="F1456" s="149" t="s">
        <v>441</v>
      </c>
      <c r="G1456" s="149" t="s">
        <v>442</v>
      </c>
      <c r="H1456" s="149" t="str">
        <f t="shared" si="8"/>
        <v>VICTORIA RIVERO DE JESÚS</v>
      </c>
      <c r="I1456" s="149" t="s">
        <v>1470</v>
      </c>
      <c r="J1456" s="149" t="s">
        <v>532</v>
      </c>
      <c r="K1456" s="149" t="s">
        <v>2384</v>
      </c>
      <c r="L1456" s="168">
        <v>45609</v>
      </c>
      <c r="M1456" s="158"/>
      <c r="N1456" s="163">
        <v>2</v>
      </c>
      <c r="O1456" s="165" t="s">
        <v>446</v>
      </c>
      <c r="P1456" s="161">
        <v>3710</v>
      </c>
      <c r="Q1456" s="168">
        <v>45566</v>
      </c>
      <c r="R1456" s="153"/>
      <c r="S1456" s="153"/>
      <c r="T1456" s="153"/>
      <c r="U1456" s="153"/>
      <c r="V1456" s="153"/>
      <c r="W1456" s="153"/>
      <c r="X1456" s="153"/>
      <c r="Y1456" s="153"/>
      <c r="Z1456" s="153"/>
      <c r="AA1456" s="153"/>
    </row>
    <row r="1457" spans="1:27">
      <c r="A1457" s="219">
        <v>11</v>
      </c>
      <c r="B1457" s="220" t="s">
        <v>2329</v>
      </c>
      <c r="C1457" s="221">
        <v>45551</v>
      </c>
      <c r="D1457" s="220" t="s">
        <v>440</v>
      </c>
      <c r="E1457" s="149" t="s">
        <v>158</v>
      </c>
      <c r="F1457" s="149" t="s">
        <v>441</v>
      </c>
      <c r="G1457" s="149" t="s">
        <v>442</v>
      </c>
      <c r="H1457" s="149" t="str">
        <f t="shared" si="8"/>
        <v>ANTONIO RODRÍGUEZ RIVERO</v>
      </c>
      <c r="I1457" s="149" t="s">
        <v>443</v>
      </c>
      <c r="J1457" s="149" t="s">
        <v>444</v>
      </c>
      <c r="K1457" s="149" t="s">
        <v>2385</v>
      </c>
      <c r="L1457" s="168">
        <v>45609</v>
      </c>
      <c r="M1457" s="158"/>
      <c r="N1457" s="163">
        <v>2</v>
      </c>
      <c r="O1457" s="165" t="s">
        <v>1540</v>
      </c>
      <c r="P1457" s="161">
        <v>4000</v>
      </c>
      <c r="Q1457" s="168">
        <v>45551</v>
      </c>
      <c r="R1457" s="153"/>
      <c r="S1457" s="153"/>
      <c r="T1457" s="153"/>
      <c r="U1457" s="153"/>
      <c r="V1457" s="153"/>
      <c r="W1457" s="153"/>
      <c r="X1457" s="153"/>
      <c r="Y1457" s="153"/>
      <c r="Z1457" s="153"/>
      <c r="AA1457" s="153"/>
    </row>
    <row r="1458" spans="1:27">
      <c r="A1458" s="219">
        <v>11</v>
      </c>
      <c r="B1458" s="220" t="s">
        <v>2329</v>
      </c>
      <c r="C1458" s="221">
        <v>45572</v>
      </c>
      <c r="D1458" s="220" t="s">
        <v>440</v>
      </c>
      <c r="E1458" s="149" t="s">
        <v>158</v>
      </c>
      <c r="F1458" s="149" t="s">
        <v>441</v>
      </c>
      <c r="G1458" s="149" t="s">
        <v>442</v>
      </c>
      <c r="H1458" s="149" t="str">
        <f t="shared" si="8"/>
        <v>JAVIER GARCÍA DOMÍNGUEZ</v>
      </c>
      <c r="I1458" s="149" t="s">
        <v>607</v>
      </c>
      <c r="J1458" s="149" t="s">
        <v>444</v>
      </c>
      <c r="K1458" s="149" t="s">
        <v>2386</v>
      </c>
      <c r="L1458" s="168">
        <v>45609</v>
      </c>
      <c r="M1458" s="158"/>
      <c r="N1458" s="163">
        <v>2</v>
      </c>
      <c r="O1458" s="165" t="s">
        <v>1540</v>
      </c>
      <c r="P1458" s="161">
        <v>4136.3599999999997</v>
      </c>
      <c r="Q1458" s="168">
        <v>45572</v>
      </c>
      <c r="R1458" s="153"/>
      <c r="S1458" s="153"/>
      <c r="T1458" s="153"/>
      <c r="U1458" s="153"/>
      <c r="V1458" s="153"/>
      <c r="W1458" s="153"/>
      <c r="X1458" s="153"/>
      <c r="Y1458" s="153"/>
      <c r="Z1458" s="153"/>
      <c r="AA1458" s="153"/>
    </row>
    <row r="1459" spans="1:27">
      <c r="A1459" s="219">
        <v>11</v>
      </c>
      <c r="B1459" s="220" t="s">
        <v>2329</v>
      </c>
      <c r="C1459" s="221">
        <v>45580</v>
      </c>
      <c r="D1459" s="220" t="s">
        <v>440</v>
      </c>
      <c r="E1459" s="149" t="s">
        <v>239</v>
      </c>
      <c r="F1459" s="149" t="s">
        <v>441</v>
      </c>
      <c r="G1459" s="149" t="s">
        <v>442</v>
      </c>
      <c r="H1459" s="149" t="str">
        <f t="shared" si="8"/>
        <v>MIGUEL ALBERTO RODRÍGUEZ PÉREZ</v>
      </c>
      <c r="I1459" s="149" t="s">
        <v>509</v>
      </c>
      <c r="J1459" s="149" t="s">
        <v>455</v>
      </c>
      <c r="K1459" s="149" t="s">
        <v>2387</v>
      </c>
      <c r="L1459" s="168">
        <v>45609</v>
      </c>
      <c r="M1459" s="158"/>
      <c r="N1459" s="163">
        <v>2</v>
      </c>
      <c r="O1459" s="165" t="s">
        <v>1540</v>
      </c>
      <c r="P1459" s="161">
        <v>3800</v>
      </c>
      <c r="Q1459" s="168">
        <v>45580</v>
      </c>
      <c r="R1459" s="153"/>
      <c r="S1459" s="153"/>
      <c r="T1459" s="153"/>
      <c r="U1459" s="153"/>
      <c r="V1459" s="153"/>
      <c r="W1459" s="153"/>
      <c r="X1459" s="153"/>
      <c r="Y1459" s="153"/>
      <c r="Z1459" s="153"/>
      <c r="AA1459" s="153"/>
    </row>
    <row r="1460" spans="1:27">
      <c r="A1460" s="219">
        <v>11</v>
      </c>
      <c r="B1460" s="220" t="s">
        <v>2329</v>
      </c>
      <c r="C1460" s="221">
        <v>45575</v>
      </c>
      <c r="D1460" s="220" t="s">
        <v>440</v>
      </c>
      <c r="E1460" s="149" t="s">
        <v>115</v>
      </c>
      <c r="F1460" s="149" t="s">
        <v>441</v>
      </c>
      <c r="G1460" s="149"/>
      <c r="H1460" s="149" t="str">
        <f t="shared" si="8"/>
        <v>JUAN DE DIOS DE LA CALZADA</v>
      </c>
      <c r="I1460" s="149" t="s">
        <v>2388</v>
      </c>
      <c r="J1460" s="149" t="s">
        <v>444</v>
      </c>
      <c r="K1460" s="149" t="s">
        <v>2389</v>
      </c>
      <c r="L1460" s="168">
        <v>45609</v>
      </c>
      <c r="M1460" s="158"/>
      <c r="N1460" s="163">
        <v>2</v>
      </c>
      <c r="O1460" s="165" t="s">
        <v>1540</v>
      </c>
      <c r="P1460" s="161">
        <v>4000</v>
      </c>
      <c r="Q1460" s="168">
        <v>45575</v>
      </c>
      <c r="R1460" s="153"/>
      <c r="S1460" s="153"/>
      <c r="T1460" s="153"/>
      <c r="U1460" s="153"/>
      <c r="V1460" s="153"/>
      <c r="W1460" s="153"/>
      <c r="X1460" s="153"/>
      <c r="Y1460" s="153"/>
      <c r="Z1460" s="153"/>
      <c r="AA1460" s="153"/>
    </row>
    <row r="1461" spans="1:27">
      <c r="A1461" s="219">
        <v>11</v>
      </c>
      <c r="B1461" s="220" t="s">
        <v>2329</v>
      </c>
      <c r="C1461" s="221">
        <v>45586</v>
      </c>
      <c r="D1461" s="220" t="s">
        <v>440</v>
      </c>
      <c r="E1461" s="149" t="s">
        <v>546</v>
      </c>
      <c r="F1461" s="149" t="s">
        <v>441</v>
      </c>
      <c r="G1461" s="149" t="s">
        <v>442</v>
      </c>
      <c r="H1461" s="149" t="str">
        <f t="shared" si="8"/>
        <v>RAED MAQUED EL MAQUED</v>
      </c>
      <c r="I1461" s="149" t="s">
        <v>547</v>
      </c>
      <c r="J1461" s="149" t="s">
        <v>548</v>
      </c>
      <c r="K1461" s="149" t="s">
        <v>2390</v>
      </c>
      <c r="L1461" s="168">
        <v>45609</v>
      </c>
      <c r="M1461" s="158"/>
      <c r="N1461" s="163">
        <v>2</v>
      </c>
      <c r="O1461" s="165" t="s">
        <v>466</v>
      </c>
      <c r="P1461" s="161">
        <v>3714.55</v>
      </c>
      <c r="Q1461" s="168">
        <v>45586</v>
      </c>
      <c r="R1461" s="153"/>
      <c r="S1461" s="153"/>
      <c r="T1461" s="153"/>
      <c r="U1461" s="153"/>
      <c r="V1461" s="153"/>
      <c r="W1461" s="153"/>
      <c r="X1461" s="153"/>
      <c r="Y1461" s="153"/>
      <c r="Z1461" s="153"/>
      <c r="AA1461" s="153"/>
    </row>
    <row r="1462" spans="1:27">
      <c r="A1462" s="219">
        <v>11</v>
      </c>
      <c r="B1462" s="220" t="s">
        <v>2329</v>
      </c>
      <c r="C1462" s="221">
        <v>45572</v>
      </c>
      <c r="D1462" s="220" t="s">
        <v>440</v>
      </c>
      <c r="E1462" s="149" t="s">
        <v>315</v>
      </c>
      <c r="F1462" s="149" t="s">
        <v>441</v>
      </c>
      <c r="G1462" s="149" t="s">
        <v>442</v>
      </c>
      <c r="H1462" s="149" t="str">
        <f t="shared" si="8"/>
        <v>CECILIA PÉREZ MARTÍNEZ</v>
      </c>
      <c r="I1462" s="149" t="s">
        <v>2391</v>
      </c>
      <c r="J1462" s="149" t="s">
        <v>444</v>
      </c>
      <c r="K1462" s="149" t="s">
        <v>2392</v>
      </c>
      <c r="L1462" s="168">
        <v>45610</v>
      </c>
      <c r="M1462" s="158"/>
      <c r="N1462" s="163">
        <v>2</v>
      </c>
      <c r="O1462" s="165" t="s">
        <v>1540</v>
      </c>
      <c r="P1462" s="161">
        <v>4000</v>
      </c>
      <c r="Q1462" s="168">
        <v>45572</v>
      </c>
      <c r="R1462" s="153"/>
      <c r="S1462" s="153"/>
      <c r="T1462" s="153"/>
      <c r="U1462" s="153"/>
      <c r="V1462" s="153"/>
      <c r="W1462" s="153"/>
      <c r="X1462" s="153"/>
      <c r="Y1462" s="153"/>
      <c r="Z1462" s="153"/>
      <c r="AA1462" s="153"/>
    </row>
    <row r="1463" spans="1:27">
      <c r="A1463" s="219">
        <v>11</v>
      </c>
      <c r="B1463" s="220" t="s">
        <v>2329</v>
      </c>
      <c r="C1463" s="221">
        <v>45583</v>
      </c>
      <c r="D1463" s="220" t="s">
        <v>440</v>
      </c>
      <c r="E1463" s="149" t="s">
        <v>271</v>
      </c>
      <c r="F1463" s="149" t="s">
        <v>441</v>
      </c>
      <c r="G1463" s="149" t="s">
        <v>442</v>
      </c>
      <c r="H1463" s="149" t="str">
        <f t="shared" si="8"/>
        <v>NO REUERDA ORL</v>
      </c>
      <c r="I1463" s="149" t="s">
        <v>469</v>
      </c>
      <c r="J1463" s="149" t="s">
        <v>444</v>
      </c>
      <c r="K1463" s="149" t="s">
        <v>2393</v>
      </c>
      <c r="L1463" s="168">
        <v>45610</v>
      </c>
      <c r="M1463" s="158"/>
      <c r="N1463" s="163">
        <v>2</v>
      </c>
      <c r="O1463" s="165" t="s">
        <v>449</v>
      </c>
      <c r="P1463" s="161">
        <v>2888.18</v>
      </c>
      <c r="Q1463" s="168">
        <v>45583</v>
      </c>
      <c r="R1463" s="153"/>
      <c r="S1463" s="153"/>
      <c r="T1463" s="153"/>
      <c r="U1463" s="153"/>
      <c r="V1463" s="153"/>
      <c r="W1463" s="153"/>
      <c r="X1463" s="153"/>
      <c r="Y1463" s="153"/>
      <c r="Z1463" s="153"/>
      <c r="AA1463" s="153"/>
    </row>
    <row r="1464" spans="1:27">
      <c r="A1464" s="219">
        <v>11</v>
      </c>
      <c r="B1464" s="220" t="s">
        <v>2329</v>
      </c>
      <c r="C1464" s="221">
        <v>45579</v>
      </c>
      <c r="D1464" s="220" t="s">
        <v>440</v>
      </c>
      <c r="E1464" s="149" t="s">
        <v>98</v>
      </c>
      <c r="F1464" s="149" t="s">
        <v>441</v>
      </c>
      <c r="G1464" s="149" t="s">
        <v>442</v>
      </c>
      <c r="H1464" s="149" t="str">
        <f t="shared" si="8"/>
        <v>JESÚS MIGUEL INIESTA TURPÍN</v>
      </c>
      <c r="I1464" s="149" t="s">
        <v>594</v>
      </c>
      <c r="J1464" s="149" t="s">
        <v>462</v>
      </c>
      <c r="K1464" s="149" t="s">
        <v>2394</v>
      </c>
      <c r="L1464" s="168">
        <v>45610</v>
      </c>
      <c r="M1464" s="158"/>
      <c r="N1464" s="163">
        <v>2</v>
      </c>
      <c r="O1464" s="165" t="s">
        <v>449</v>
      </c>
      <c r="P1464" s="161">
        <v>2888.18</v>
      </c>
      <c r="Q1464" s="168">
        <v>45579</v>
      </c>
      <c r="R1464" s="153"/>
      <c r="S1464" s="153"/>
      <c r="T1464" s="153"/>
      <c r="U1464" s="153"/>
      <c r="V1464" s="153"/>
      <c r="W1464" s="153"/>
      <c r="X1464" s="153"/>
      <c r="Y1464" s="153"/>
      <c r="Z1464" s="153"/>
      <c r="AA1464" s="153"/>
    </row>
    <row r="1465" spans="1:27">
      <c r="A1465" s="219">
        <v>11</v>
      </c>
      <c r="B1465" s="220" t="s">
        <v>2329</v>
      </c>
      <c r="C1465" s="221">
        <v>45600</v>
      </c>
      <c r="D1465" s="220" t="s">
        <v>440</v>
      </c>
      <c r="E1465" s="149" t="s">
        <v>115</v>
      </c>
      <c r="F1465" s="149" t="s">
        <v>441</v>
      </c>
      <c r="G1465" s="149" t="s">
        <v>442</v>
      </c>
      <c r="H1465" s="149" t="str">
        <f t="shared" si="8"/>
        <v>PABLO GARCÍA GONZÁLEZ</v>
      </c>
      <c r="I1465" s="149" t="s">
        <v>2395</v>
      </c>
      <c r="J1465" s="149" t="s">
        <v>444</v>
      </c>
      <c r="K1465" s="149" t="s">
        <v>2396</v>
      </c>
      <c r="L1465" s="168">
        <v>45610</v>
      </c>
      <c r="M1465" s="158"/>
      <c r="N1465" s="163">
        <v>2</v>
      </c>
      <c r="O1465" s="165" t="s">
        <v>446</v>
      </c>
      <c r="P1465" s="161">
        <v>3523.64</v>
      </c>
      <c r="Q1465" s="168">
        <v>45600</v>
      </c>
      <c r="R1465" s="153"/>
      <c r="S1465" s="153"/>
      <c r="T1465" s="153"/>
      <c r="U1465" s="153"/>
      <c r="V1465" s="153"/>
      <c r="W1465" s="153"/>
      <c r="X1465" s="153"/>
      <c r="Y1465" s="153"/>
      <c r="Z1465" s="153"/>
      <c r="AA1465" s="153"/>
    </row>
    <row r="1466" spans="1:27">
      <c r="A1466" s="219">
        <v>11</v>
      </c>
      <c r="B1466" s="220" t="s">
        <v>2329</v>
      </c>
      <c r="C1466" s="221">
        <v>45573</v>
      </c>
      <c r="D1466" s="220" t="s">
        <v>440</v>
      </c>
      <c r="E1466" s="149" t="s">
        <v>213</v>
      </c>
      <c r="F1466" s="149" t="s">
        <v>441</v>
      </c>
      <c r="G1466" s="149" t="s">
        <v>442</v>
      </c>
      <c r="H1466" s="149" t="str">
        <f t="shared" si="8"/>
        <v>VANESA PÉREZ GUILLÉN</v>
      </c>
      <c r="I1466" s="149" t="s">
        <v>1849</v>
      </c>
      <c r="J1466" s="149" t="s">
        <v>636</v>
      </c>
      <c r="K1466" s="149" t="s">
        <v>2397</v>
      </c>
      <c r="L1466" s="168">
        <v>45610</v>
      </c>
      <c r="M1466" s="158"/>
      <c r="N1466" s="163">
        <v>2</v>
      </c>
      <c r="O1466" s="165" t="s">
        <v>449</v>
      </c>
      <c r="P1466" s="161">
        <v>2888.18</v>
      </c>
      <c r="Q1466" s="168">
        <v>45573</v>
      </c>
      <c r="R1466" s="153"/>
      <c r="S1466" s="153"/>
      <c r="T1466" s="153"/>
      <c r="U1466" s="153"/>
      <c r="V1466" s="153"/>
      <c r="W1466" s="153"/>
      <c r="X1466" s="153"/>
      <c r="Y1466" s="153"/>
      <c r="Z1466" s="153"/>
      <c r="AA1466" s="153"/>
    </row>
    <row r="1467" spans="1:27">
      <c r="A1467" s="219">
        <v>11</v>
      </c>
      <c r="B1467" s="220" t="s">
        <v>2329</v>
      </c>
      <c r="C1467" s="221">
        <v>45303</v>
      </c>
      <c r="D1467" s="220" t="s">
        <v>440</v>
      </c>
      <c r="E1467" s="149" t="s">
        <v>485</v>
      </c>
      <c r="F1467" s="149" t="s">
        <v>441</v>
      </c>
      <c r="G1467" s="149" t="s">
        <v>442</v>
      </c>
      <c r="H1467" s="149" t="str">
        <f t="shared" si="8"/>
        <v>CARLOS LÓPEZ AZANZA</v>
      </c>
      <c r="I1467" s="149" t="s">
        <v>867</v>
      </c>
      <c r="J1467" s="149" t="s">
        <v>473</v>
      </c>
      <c r="K1467" s="149" t="s">
        <v>868</v>
      </c>
      <c r="L1467" s="168">
        <v>45610</v>
      </c>
      <c r="M1467" s="158"/>
      <c r="N1467" s="163">
        <v>1</v>
      </c>
      <c r="O1467" s="165" t="s">
        <v>466</v>
      </c>
      <c r="P1467" s="161">
        <v>1670</v>
      </c>
      <c r="Q1467" s="168">
        <v>45303</v>
      </c>
      <c r="R1467" s="153"/>
      <c r="S1467" s="153"/>
      <c r="T1467" s="153"/>
      <c r="U1467" s="153"/>
      <c r="V1467" s="153"/>
      <c r="W1467" s="153"/>
      <c r="X1467" s="153"/>
      <c r="Y1467" s="153"/>
      <c r="Z1467" s="153"/>
      <c r="AA1467" s="153"/>
    </row>
    <row r="1468" spans="1:27">
      <c r="A1468" s="219">
        <v>11</v>
      </c>
      <c r="B1468" s="220" t="s">
        <v>2329</v>
      </c>
      <c r="C1468" s="221">
        <v>45537</v>
      </c>
      <c r="D1468" s="220" t="s">
        <v>440</v>
      </c>
      <c r="E1468" s="149" t="s">
        <v>506</v>
      </c>
      <c r="F1468" s="149" t="s">
        <v>441</v>
      </c>
      <c r="G1468" s="149" t="s">
        <v>442</v>
      </c>
      <c r="H1468" s="149" t="str">
        <f t="shared" si="8"/>
        <v>LUIS MIGUEL RINCÓN ESTEBAN</v>
      </c>
      <c r="I1468" s="149" t="s">
        <v>1033</v>
      </c>
      <c r="J1468" s="149" t="s">
        <v>473</v>
      </c>
      <c r="K1468" s="149" t="s">
        <v>2398</v>
      </c>
      <c r="L1468" s="168">
        <v>45610</v>
      </c>
      <c r="M1468" s="158"/>
      <c r="N1468" s="163">
        <v>2</v>
      </c>
      <c r="O1468" s="165" t="s">
        <v>446</v>
      </c>
      <c r="P1468" s="161">
        <v>3604.55</v>
      </c>
      <c r="Q1468" s="168">
        <v>45537</v>
      </c>
      <c r="R1468" s="153"/>
      <c r="S1468" s="153"/>
      <c r="T1468" s="153"/>
      <c r="U1468" s="153"/>
      <c r="V1468" s="153"/>
      <c r="W1468" s="153"/>
      <c r="X1468" s="153"/>
      <c r="Y1468" s="153"/>
      <c r="Z1468" s="153"/>
      <c r="AA1468" s="153"/>
    </row>
    <row r="1469" spans="1:27">
      <c r="A1469" s="219">
        <v>11</v>
      </c>
      <c r="B1469" s="220" t="s">
        <v>2329</v>
      </c>
      <c r="C1469" s="221">
        <v>45547</v>
      </c>
      <c r="D1469" s="220" t="s">
        <v>440</v>
      </c>
      <c r="E1469" s="149" t="s">
        <v>530</v>
      </c>
      <c r="F1469" s="149" t="s">
        <v>441</v>
      </c>
      <c r="G1469" s="149" t="s">
        <v>442</v>
      </c>
      <c r="H1469" s="149" t="str">
        <f t="shared" si="8"/>
        <v>JOAQUIM BROTO SUMALLA</v>
      </c>
      <c r="I1469" s="149" t="s">
        <v>531</v>
      </c>
      <c r="J1469" s="149" t="s">
        <v>473</v>
      </c>
      <c r="K1469" s="149" t="s">
        <v>2399</v>
      </c>
      <c r="L1469" s="168">
        <v>45610</v>
      </c>
      <c r="M1469" s="158"/>
      <c r="N1469" s="163">
        <v>2</v>
      </c>
      <c r="O1469" s="165" t="s">
        <v>449</v>
      </c>
      <c r="P1469" s="161">
        <v>2909.09</v>
      </c>
      <c r="Q1469" s="168">
        <v>45547</v>
      </c>
      <c r="R1469" s="153"/>
      <c r="S1469" s="153"/>
      <c r="T1469" s="153"/>
      <c r="U1469" s="153"/>
      <c r="V1469" s="153"/>
      <c r="W1469" s="153"/>
      <c r="X1469" s="153"/>
      <c r="Y1469" s="153"/>
      <c r="Z1469" s="153"/>
      <c r="AA1469" s="153"/>
    </row>
    <row r="1470" spans="1:27">
      <c r="A1470" s="219">
        <v>11</v>
      </c>
      <c r="B1470" s="220" t="s">
        <v>2329</v>
      </c>
      <c r="C1470" s="221">
        <v>45558</v>
      </c>
      <c r="D1470" s="220" t="s">
        <v>440</v>
      </c>
      <c r="E1470" s="149" t="s">
        <v>2338</v>
      </c>
      <c r="F1470" s="149" t="s">
        <v>441</v>
      </c>
      <c r="G1470" s="149" t="s">
        <v>442</v>
      </c>
      <c r="H1470" s="149" t="str">
        <f t="shared" si="8"/>
        <v>PABLO TORRICO ROMÁN</v>
      </c>
      <c r="I1470" s="149" t="s">
        <v>2400</v>
      </c>
      <c r="J1470" s="149" t="s">
        <v>455</v>
      </c>
      <c r="K1470" s="149" t="s">
        <v>2401</v>
      </c>
      <c r="L1470" s="168">
        <v>45610</v>
      </c>
      <c r="M1470" s="158"/>
      <c r="N1470" s="163">
        <v>2</v>
      </c>
      <c r="O1470" s="165" t="s">
        <v>513</v>
      </c>
      <c r="P1470" s="161">
        <v>4400</v>
      </c>
      <c r="Q1470" s="168">
        <v>45558</v>
      </c>
      <c r="R1470" s="153"/>
      <c r="S1470" s="153"/>
      <c r="T1470" s="153"/>
      <c r="U1470" s="153"/>
      <c r="V1470" s="153"/>
      <c r="W1470" s="153"/>
      <c r="X1470" s="153"/>
      <c r="Y1470" s="153"/>
      <c r="Z1470" s="153"/>
      <c r="AA1470" s="153"/>
    </row>
    <row r="1471" spans="1:27">
      <c r="A1471" s="219">
        <v>11</v>
      </c>
      <c r="B1471" s="220" t="s">
        <v>2329</v>
      </c>
      <c r="C1471" s="221">
        <v>45575</v>
      </c>
      <c r="D1471" s="220" t="s">
        <v>440</v>
      </c>
      <c r="E1471" s="149" t="s">
        <v>190</v>
      </c>
      <c r="F1471" s="149" t="s">
        <v>441</v>
      </c>
      <c r="G1471" s="149" t="s">
        <v>442</v>
      </c>
      <c r="H1471" s="149" t="str">
        <f t="shared" si="8"/>
        <v>ANDRÉS BARRIOS RECIO</v>
      </c>
      <c r="I1471" s="149" t="s">
        <v>807</v>
      </c>
      <c r="J1471" s="149" t="s">
        <v>462</v>
      </c>
      <c r="K1471" s="149" t="s">
        <v>2402</v>
      </c>
      <c r="L1471" s="168">
        <v>45610</v>
      </c>
      <c r="M1471" s="158"/>
      <c r="N1471" s="163">
        <v>2</v>
      </c>
      <c r="O1471" s="165" t="s">
        <v>449</v>
      </c>
      <c r="P1471" s="161">
        <v>2579.09</v>
      </c>
      <c r="Q1471" s="168">
        <v>45575</v>
      </c>
      <c r="R1471" s="153"/>
      <c r="S1471" s="153"/>
      <c r="T1471" s="153"/>
      <c r="U1471" s="153"/>
      <c r="V1471" s="153"/>
      <c r="W1471" s="153"/>
      <c r="X1471" s="153"/>
      <c r="Y1471" s="153"/>
      <c r="Z1471" s="153"/>
      <c r="AA1471" s="153"/>
    </row>
    <row r="1472" spans="1:27">
      <c r="A1472" s="219">
        <v>11</v>
      </c>
      <c r="B1472" s="220" t="s">
        <v>2329</v>
      </c>
      <c r="C1472" s="221">
        <v>45579</v>
      </c>
      <c r="D1472" s="220" t="s">
        <v>440</v>
      </c>
      <c r="E1472" s="149" t="s">
        <v>311</v>
      </c>
      <c r="F1472" s="149" t="s">
        <v>441</v>
      </c>
      <c r="G1472" s="149" t="s">
        <v>442</v>
      </c>
      <c r="H1472" s="149" t="str">
        <f t="shared" si="8"/>
        <v>ESTEFANIA MIRANDA SÁNCHEZ</v>
      </c>
      <c r="I1472" s="149" t="s">
        <v>2403</v>
      </c>
      <c r="J1472" s="149" t="s">
        <v>444</v>
      </c>
      <c r="K1472" s="149" t="s">
        <v>2404</v>
      </c>
      <c r="L1472" s="168">
        <v>45611</v>
      </c>
      <c r="M1472" s="158"/>
      <c r="N1472" s="163">
        <v>2</v>
      </c>
      <c r="O1472" s="165" t="s">
        <v>446</v>
      </c>
      <c r="P1472" s="161">
        <v>3524.5</v>
      </c>
      <c r="Q1472" s="168">
        <v>45579</v>
      </c>
      <c r="R1472" s="153"/>
      <c r="S1472" s="153"/>
      <c r="T1472" s="153"/>
      <c r="U1472" s="153"/>
      <c r="V1472" s="153"/>
      <c r="W1472" s="153"/>
      <c r="X1472" s="153"/>
      <c r="Y1472" s="153"/>
      <c r="Z1472" s="153"/>
      <c r="AA1472" s="153"/>
    </row>
    <row r="1473" spans="1:27">
      <c r="A1473" s="219">
        <v>11</v>
      </c>
      <c r="B1473" s="220" t="s">
        <v>2329</v>
      </c>
      <c r="C1473" s="221">
        <v>45582</v>
      </c>
      <c r="D1473" s="220" t="s">
        <v>440</v>
      </c>
      <c r="E1473" s="149" t="s">
        <v>158</v>
      </c>
      <c r="F1473" s="149" t="s">
        <v>441</v>
      </c>
      <c r="G1473" s="149" t="s">
        <v>442</v>
      </c>
      <c r="H1473" s="149" t="str">
        <f t="shared" si="8"/>
        <v>JAVIER GARCÍA DOMÍNGUEZ</v>
      </c>
      <c r="I1473" s="149" t="s">
        <v>607</v>
      </c>
      <c r="J1473" s="149" t="s">
        <v>444</v>
      </c>
      <c r="K1473" s="149" t="s">
        <v>2405</v>
      </c>
      <c r="L1473" s="168">
        <v>45611</v>
      </c>
      <c r="M1473" s="158"/>
      <c r="N1473" s="163">
        <v>2</v>
      </c>
      <c r="O1473" s="165" t="s">
        <v>513</v>
      </c>
      <c r="P1473" s="161">
        <v>4536.3599999999997</v>
      </c>
      <c r="Q1473" s="168">
        <v>45582</v>
      </c>
      <c r="R1473" s="153"/>
      <c r="S1473" s="153"/>
      <c r="T1473" s="153"/>
      <c r="U1473" s="153"/>
      <c r="V1473" s="153"/>
      <c r="W1473" s="153"/>
      <c r="X1473" s="153"/>
      <c r="Y1473" s="153"/>
      <c r="Z1473" s="153"/>
      <c r="AA1473" s="153"/>
    </row>
    <row r="1474" spans="1:27">
      <c r="A1474" s="219">
        <v>11</v>
      </c>
      <c r="B1474" s="220" t="s">
        <v>2329</v>
      </c>
      <c r="C1474" s="221">
        <v>45604</v>
      </c>
      <c r="D1474" s="220" t="s">
        <v>440</v>
      </c>
      <c r="E1474" s="149" t="s">
        <v>309</v>
      </c>
      <c r="F1474" s="149" t="s">
        <v>441</v>
      </c>
      <c r="G1474" s="149" t="s">
        <v>442</v>
      </c>
      <c r="H1474" s="149" t="str">
        <f t="shared" si="8"/>
        <v>JOSE JOAQUÍN GUTIÉRREZ BARQUÍN</v>
      </c>
      <c r="I1474" s="149" t="s">
        <v>716</v>
      </c>
      <c r="J1474" s="149" t="s">
        <v>444</v>
      </c>
      <c r="K1474" s="149" t="s">
        <v>2406</v>
      </c>
      <c r="L1474" s="168">
        <v>45611</v>
      </c>
      <c r="M1474" s="158"/>
      <c r="N1474" s="163">
        <v>2</v>
      </c>
      <c r="O1474" s="165" t="s">
        <v>446</v>
      </c>
      <c r="P1474" s="161">
        <v>3654</v>
      </c>
      <c r="Q1474" s="168">
        <v>45604</v>
      </c>
      <c r="R1474" s="153"/>
      <c r="S1474" s="153"/>
      <c r="T1474" s="153"/>
      <c r="U1474" s="153"/>
      <c r="V1474" s="153"/>
      <c r="W1474" s="153"/>
      <c r="X1474" s="153"/>
      <c r="Y1474" s="153"/>
      <c r="Z1474" s="153"/>
      <c r="AA1474" s="153"/>
    </row>
    <row r="1475" spans="1:27">
      <c r="A1475" s="219">
        <v>11</v>
      </c>
      <c r="B1475" s="220" t="s">
        <v>2329</v>
      </c>
      <c r="C1475" s="221">
        <v>45568</v>
      </c>
      <c r="D1475" s="220" t="s">
        <v>440</v>
      </c>
      <c r="E1475" s="149" t="s">
        <v>164</v>
      </c>
      <c r="F1475" s="149" t="s">
        <v>441</v>
      </c>
      <c r="G1475" s="149" t="s">
        <v>442</v>
      </c>
      <c r="H1475" s="149" t="str">
        <f t="shared" si="8"/>
        <v>Mª FERNANDA ESCALA PEDREROS</v>
      </c>
      <c r="I1475" s="149" t="s">
        <v>804</v>
      </c>
      <c r="J1475" s="149" t="s">
        <v>548</v>
      </c>
      <c r="K1475" s="149" t="s">
        <v>2407</v>
      </c>
      <c r="L1475" s="168">
        <v>45611</v>
      </c>
      <c r="M1475" s="158"/>
      <c r="N1475" s="163">
        <v>2</v>
      </c>
      <c r="O1475" s="165" t="s">
        <v>446</v>
      </c>
      <c r="P1475" s="161">
        <v>3846.36</v>
      </c>
      <c r="Q1475" s="168">
        <v>45568</v>
      </c>
      <c r="R1475" s="153"/>
      <c r="S1475" s="153"/>
      <c r="T1475" s="153"/>
      <c r="U1475" s="153"/>
      <c r="V1475" s="153"/>
      <c r="W1475" s="153"/>
      <c r="X1475" s="153"/>
      <c r="Y1475" s="153"/>
      <c r="Z1475" s="153"/>
      <c r="AA1475" s="153"/>
    </row>
    <row r="1476" spans="1:27">
      <c r="A1476" s="219">
        <v>11</v>
      </c>
      <c r="B1476" s="220" t="s">
        <v>2329</v>
      </c>
      <c r="C1476" s="221">
        <v>45580</v>
      </c>
      <c r="D1476" s="220" t="s">
        <v>440</v>
      </c>
      <c r="E1476" s="149" t="s">
        <v>98</v>
      </c>
      <c r="F1476" s="149" t="s">
        <v>441</v>
      </c>
      <c r="G1476" s="149" t="s">
        <v>442</v>
      </c>
      <c r="H1476" s="149" t="str">
        <f t="shared" si="8"/>
        <v>NO REUERDA ORL</v>
      </c>
      <c r="I1476" s="149" t="s">
        <v>469</v>
      </c>
      <c r="J1476" s="149" t="s">
        <v>462</v>
      </c>
      <c r="K1476" s="149" t="s">
        <v>2408</v>
      </c>
      <c r="L1476" s="168">
        <v>45611</v>
      </c>
      <c r="M1476" s="158"/>
      <c r="N1476" s="163">
        <v>2</v>
      </c>
      <c r="O1476" s="165" t="s">
        <v>446</v>
      </c>
      <c r="P1476" s="161">
        <v>3710</v>
      </c>
      <c r="Q1476" s="168">
        <v>45580</v>
      </c>
      <c r="R1476" s="153"/>
      <c r="S1476" s="153"/>
      <c r="T1476" s="153"/>
      <c r="U1476" s="153"/>
      <c r="V1476" s="153"/>
      <c r="W1476" s="153"/>
      <c r="X1476" s="153"/>
      <c r="Y1476" s="153"/>
      <c r="Z1476" s="153"/>
      <c r="AA1476" s="153"/>
    </row>
    <row r="1477" spans="1:27">
      <c r="A1477" s="219">
        <v>11</v>
      </c>
      <c r="B1477" s="220" t="s">
        <v>2329</v>
      </c>
      <c r="C1477" s="221">
        <v>45566</v>
      </c>
      <c r="D1477" s="220" t="s">
        <v>440</v>
      </c>
      <c r="E1477" s="149" t="s">
        <v>460</v>
      </c>
      <c r="F1477" s="149" t="s">
        <v>441</v>
      </c>
      <c r="G1477" s="149" t="s">
        <v>442</v>
      </c>
      <c r="H1477" s="149" t="str">
        <f t="shared" si="8"/>
        <v>ISABEL POLO TOMÁS</v>
      </c>
      <c r="I1477" s="149" t="s">
        <v>638</v>
      </c>
      <c r="J1477" s="149" t="s">
        <v>462</v>
      </c>
      <c r="K1477" s="149" t="s">
        <v>2409</v>
      </c>
      <c r="L1477" s="168">
        <v>45611</v>
      </c>
      <c r="M1477" s="158"/>
      <c r="N1477" s="163">
        <v>2</v>
      </c>
      <c r="O1477" s="165" t="s">
        <v>466</v>
      </c>
      <c r="P1477" s="161">
        <v>3800</v>
      </c>
      <c r="Q1477" s="168">
        <v>45566</v>
      </c>
      <c r="R1477" s="153"/>
      <c r="S1477" s="153"/>
      <c r="T1477" s="153"/>
      <c r="U1477" s="153"/>
      <c r="V1477" s="153"/>
      <c r="W1477" s="153"/>
      <c r="X1477" s="153"/>
      <c r="Y1477" s="153"/>
      <c r="Z1477" s="153"/>
      <c r="AA1477" s="153"/>
    </row>
    <row r="1478" spans="1:27">
      <c r="A1478" s="219">
        <v>11</v>
      </c>
      <c r="B1478" s="220" t="s">
        <v>2329</v>
      </c>
      <c r="C1478" s="221">
        <v>45568</v>
      </c>
      <c r="D1478" s="220" t="s">
        <v>440</v>
      </c>
      <c r="E1478" s="149" t="s">
        <v>312</v>
      </c>
      <c r="F1478" s="149" t="s">
        <v>441</v>
      </c>
      <c r="G1478" s="149" t="s">
        <v>442</v>
      </c>
      <c r="H1478" s="149" t="str">
        <f t="shared" si="8"/>
        <v>ROCÍO CORRALES MILLÁN</v>
      </c>
      <c r="I1478" s="149" t="s">
        <v>1406</v>
      </c>
      <c r="J1478" s="149" t="s">
        <v>455</v>
      </c>
      <c r="K1478" s="149" t="s">
        <v>2410</v>
      </c>
      <c r="L1478" s="168">
        <v>45611</v>
      </c>
      <c r="M1478" s="158"/>
      <c r="N1478" s="163">
        <v>2</v>
      </c>
      <c r="O1478" s="165" t="s">
        <v>446</v>
      </c>
      <c r="P1478" s="161">
        <v>2944.55</v>
      </c>
      <c r="Q1478" s="168">
        <v>45568</v>
      </c>
      <c r="R1478" s="153"/>
      <c r="S1478" s="153"/>
      <c r="T1478" s="153"/>
      <c r="U1478" s="153"/>
      <c r="V1478" s="153"/>
      <c r="W1478" s="153"/>
      <c r="X1478" s="153"/>
      <c r="Y1478" s="153"/>
      <c r="Z1478" s="153"/>
      <c r="AA1478" s="153"/>
    </row>
    <row r="1479" spans="1:27">
      <c r="A1479" s="219">
        <v>11</v>
      </c>
      <c r="B1479" s="220" t="s">
        <v>2329</v>
      </c>
      <c r="C1479" s="221">
        <v>45580</v>
      </c>
      <c r="D1479" s="220" t="s">
        <v>440</v>
      </c>
      <c r="E1479" s="149" t="s">
        <v>571</v>
      </c>
      <c r="F1479" s="149" t="s">
        <v>441</v>
      </c>
      <c r="G1479" s="149" t="s">
        <v>442</v>
      </c>
      <c r="H1479" s="149" t="str">
        <f t="shared" si="8"/>
        <v>JOSÉ MANUEL GARCÍA SOLANS-ESTERAS</v>
      </c>
      <c r="I1479" s="149" t="s">
        <v>599</v>
      </c>
      <c r="J1479" s="159" t="s">
        <v>548</v>
      </c>
      <c r="K1479" s="149" t="s">
        <v>2411</v>
      </c>
      <c r="L1479" s="168">
        <v>45611</v>
      </c>
      <c r="M1479" s="158"/>
      <c r="N1479" s="163">
        <v>2</v>
      </c>
      <c r="O1479" s="165" t="s">
        <v>446</v>
      </c>
      <c r="P1479" s="161">
        <v>3424.55</v>
      </c>
      <c r="Q1479" s="168">
        <v>45580</v>
      </c>
      <c r="R1479" s="153"/>
      <c r="S1479" s="153"/>
      <c r="T1479" s="153"/>
      <c r="U1479" s="153"/>
      <c r="V1479" s="153"/>
      <c r="W1479" s="153"/>
      <c r="X1479" s="153"/>
      <c r="Y1479" s="153"/>
      <c r="Z1479" s="153"/>
      <c r="AA1479" s="153"/>
    </row>
    <row r="1480" spans="1:27">
      <c r="A1480" s="219">
        <v>11</v>
      </c>
      <c r="B1480" s="220" t="s">
        <v>2329</v>
      </c>
      <c r="C1480" s="221">
        <v>45558</v>
      </c>
      <c r="D1480" s="220" t="s">
        <v>440</v>
      </c>
      <c r="E1480" s="149" t="s">
        <v>317</v>
      </c>
      <c r="F1480" s="149" t="s">
        <v>441</v>
      </c>
      <c r="G1480" s="149" t="s">
        <v>442</v>
      </c>
      <c r="H1480" s="149" t="str">
        <f t="shared" si="8"/>
        <v>FÉLIX RUÍZ DE LA CUESTA JUSTE</v>
      </c>
      <c r="I1480" s="149" t="s">
        <v>656</v>
      </c>
      <c r="J1480" s="149" t="s">
        <v>462</v>
      </c>
      <c r="K1480" s="149" t="s">
        <v>2412</v>
      </c>
      <c r="L1480" s="168">
        <v>45614</v>
      </c>
      <c r="M1480" s="158"/>
      <c r="N1480" s="163">
        <v>1</v>
      </c>
      <c r="O1480" s="165" t="s">
        <v>449</v>
      </c>
      <c r="P1480" s="161">
        <v>1732.73</v>
      </c>
      <c r="Q1480" s="168">
        <v>45558</v>
      </c>
      <c r="R1480" s="153"/>
      <c r="S1480" s="153"/>
      <c r="T1480" s="153"/>
      <c r="U1480" s="153"/>
      <c r="V1480" s="153"/>
      <c r="W1480" s="153"/>
      <c r="X1480" s="153"/>
      <c r="Y1480" s="153"/>
      <c r="Z1480" s="153"/>
      <c r="AA1480" s="153"/>
    </row>
    <row r="1481" spans="1:27">
      <c r="A1481" s="219">
        <v>11</v>
      </c>
      <c r="B1481" s="220" t="s">
        <v>2329</v>
      </c>
      <c r="C1481" s="221">
        <v>45561</v>
      </c>
      <c r="D1481" s="220" t="s">
        <v>440</v>
      </c>
      <c r="E1481" s="149" t="s">
        <v>109</v>
      </c>
      <c r="F1481" s="149" t="s">
        <v>441</v>
      </c>
      <c r="G1481" s="149" t="s">
        <v>442</v>
      </c>
      <c r="H1481" s="149" t="str">
        <f t="shared" si="8"/>
        <v>MARTA COLMENERO RUIZ</v>
      </c>
      <c r="I1481" s="149" t="s">
        <v>2413</v>
      </c>
      <c r="J1481" s="149" t="s">
        <v>444</v>
      </c>
      <c r="K1481" s="149" t="s">
        <v>2414</v>
      </c>
      <c r="L1481" s="168">
        <v>45614</v>
      </c>
      <c r="M1481" s="158"/>
      <c r="N1481" s="163">
        <v>1</v>
      </c>
      <c r="O1481" s="165" t="s">
        <v>1540</v>
      </c>
      <c r="P1481" s="161">
        <v>2280</v>
      </c>
      <c r="Q1481" s="168">
        <v>45561</v>
      </c>
      <c r="R1481" s="153"/>
      <c r="S1481" s="153"/>
      <c r="T1481" s="153"/>
      <c r="U1481" s="153"/>
      <c r="V1481" s="153"/>
      <c r="W1481" s="153"/>
      <c r="X1481" s="153"/>
      <c r="Y1481" s="153"/>
      <c r="Z1481" s="153"/>
      <c r="AA1481" s="153"/>
    </row>
    <row r="1482" spans="1:27">
      <c r="A1482" s="219">
        <v>11</v>
      </c>
      <c r="B1482" s="220" t="s">
        <v>2329</v>
      </c>
      <c r="C1482" s="221">
        <v>45582</v>
      </c>
      <c r="D1482" s="220" t="s">
        <v>440</v>
      </c>
      <c r="E1482" s="149" t="s">
        <v>109</v>
      </c>
      <c r="F1482" s="149" t="s">
        <v>441</v>
      </c>
      <c r="G1482" s="149" t="s">
        <v>442</v>
      </c>
      <c r="H1482" s="149" t="str">
        <f t="shared" si="8"/>
        <v>BEATRIZ SANTOS DUQUE</v>
      </c>
      <c r="I1482" s="149" t="s">
        <v>1844</v>
      </c>
      <c r="J1482" s="149" t="s">
        <v>444</v>
      </c>
      <c r="K1482" s="149" t="s">
        <v>2415</v>
      </c>
      <c r="L1482" s="168">
        <v>45614</v>
      </c>
      <c r="M1482" s="158"/>
      <c r="N1482" s="163">
        <v>2</v>
      </c>
      <c r="O1482" s="165" t="s">
        <v>1540</v>
      </c>
      <c r="P1482" s="161">
        <v>4000</v>
      </c>
      <c r="Q1482" s="168">
        <v>45582</v>
      </c>
      <c r="R1482" s="153"/>
      <c r="S1482" s="153"/>
      <c r="T1482" s="153"/>
      <c r="U1482" s="153"/>
      <c r="V1482" s="153"/>
      <c r="W1482" s="153"/>
      <c r="X1482" s="153"/>
      <c r="Y1482" s="153"/>
      <c r="Z1482" s="153"/>
      <c r="AA1482" s="153"/>
    </row>
    <row r="1483" spans="1:27">
      <c r="A1483" s="219">
        <v>11</v>
      </c>
      <c r="B1483" s="220" t="s">
        <v>2329</v>
      </c>
      <c r="C1483" s="221">
        <v>45583</v>
      </c>
      <c r="D1483" s="220" t="s">
        <v>440</v>
      </c>
      <c r="E1483" s="149" t="s">
        <v>98</v>
      </c>
      <c r="F1483" s="149" t="s">
        <v>441</v>
      </c>
      <c r="G1483" s="149" t="s">
        <v>442</v>
      </c>
      <c r="H1483" s="149" t="str">
        <f t="shared" si="8"/>
        <v>VANIA NOVOA JUIZ</v>
      </c>
      <c r="I1483" s="149" t="s">
        <v>567</v>
      </c>
      <c r="J1483" s="149" t="s">
        <v>462</v>
      </c>
      <c r="K1483" s="149" t="s">
        <v>2416</v>
      </c>
      <c r="L1483" s="168">
        <v>45614</v>
      </c>
      <c r="M1483" s="158"/>
      <c r="N1483" s="163">
        <v>2</v>
      </c>
      <c r="O1483" s="165" t="s">
        <v>449</v>
      </c>
      <c r="P1483" s="161">
        <v>2888.18</v>
      </c>
      <c r="Q1483" s="168">
        <v>45583</v>
      </c>
      <c r="R1483" s="153"/>
      <c r="S1483" s="153"/>
      <c r="T1483" s="153"/>
      <c r="U1483" s="153"/>
      <c r="V1483" s="153"/>
      <c r="W1483" s="153"/>
      <c r="X1483" s="153"/>
      <c r="Y1483" s="153"/>
      <c r="Z1483" s="153"/>
      <c r="AA1483" s="153"/>
    </row>
    <row r="1484" spans="1:27">
      <c r="A1484" s="219">
        <v>11</v>
      </c>
      <c r="B1484" s="220" t="s">
        <v>2329</v>
      </c>
      <c r="C1484" s="221">
        <v>45588</v>
      </c>
      <c r="D1484" s="220" t="s">
        <v>440</v>
      </c>
      <c r="E1484" s="149" t="s">
        <v>92</v>
      </c>
      <c r="F1484" s="149" t="s">
        <v>441</v>
      </c>
      <c r="G1484" s="149" t="s">
        <v>442</v>
      </c>
      <c r="H1484" s="149" t="str">
        <f t="shared" si="8"/>
        <v>JAVIER GARCÍA-DUEÑAS GONZÁLEZ</v>
      </c>
      <c r="I1484" s="149" t="s">
        <v>1122</v>
      </c>
      <c r="J1484" s="149" t="s">
        <v>462</v>
      </c>
      <c r="K1484" s="149" t="s">
        <v>2417</v>
      </c>
      <c r="L1484" s="168">
        <v>45614</v>
      </c>
      <c r="M1484" s="158"/>
      <c r="N1484" s="163">
        <v>2</v>
      </c>
      <c r="O1484" s="165" t="s">
        <v>449</v>
      </c>
      <c r="P1484" s="161">
        <v>2743.64</v>
      </c>
      <c r="Q1484" s="168">
        <v>45588</v>
      </c>
      <c r="R1484" s="153"/>
      <c r="S1484" s="153"/>
      <c r="T1484" s="153"/>
      <c r="U1484" s="153"/>
      <c r="V1484" s="153"/>
      <c r="W1484" s="153"/>
      <c r="X1484" s="153"/>
      <c r="Y1484" s="153"/>
      <c r="Z1484" s="153"/>
      <c r="AA1484" s="153"/>
    </row>
    <row r="1485" spans="1:27">
      <c r="A1485" s="219">
        <v>11</v>
      </c>
      <c r="B1485" s="220" t="s">
        <v>2329</v>
      </c>
      <c r="C1485" s="221">
        <v>45533</v>
      </c>
      <c r="D1485" s="220" t="s">
        <v>440</v>
      </c>
      <c r="E1485" s="149" t="s">
        <v>317</v>
      </c>
      <c r="F1485" s="149" t="s">
        <v>441</v>
      </c>
      <c r="G1485" s="149" t="s">
        <v>442</v>
      </c>
      <c r="H1485" s="149" t="str">
        <f t="shared" si="8"/>
        <v>LUÍS MARTÍNEZ BERNABEU</v>
      </c>
      <c r="I1485" s="149" t="s">
        <v>483</v>
      </c>
      <c r="J1485" s="149" t="s">
        <v>636</v>
      </c>
      <c r="K1485" s="149" t="s">
        <v>2418</v>
      </c>
      <c r="L1485" s="168">
        <v>45615</v>
      </c>
      <c r="M1485" s="158"/>
      <c r="N1485" s="163">
        <v>1</v>
      </c>
      <c r="O1485" s="165" t="s">
        <v>446</v>
      </c>
      <c r="P1485" s="161">
        <v>1918.18</v>
      </c>
      <c r="Q1485" s="168">
        <v>45533</v>
      </c>
      <c r="R1485" s="153"/>
      <c r="S1485" s="153"/>
      <c r="T1485" s="153"/>
      <c r="U1485" s="153"/>
      <c r="V1485" s="153"/>
      <c r="W1485" s="153"/>
      <c r="X1485" s="153"/>
      <c r="Y1485" s="153"/>
      <c r="Z1485" s="153"/>
      <c r="AA1485" s="153"/>
    </row>
    <row r="1486" spans="1:27">
      <c r="A1486" s="219">
        <v>11</v>
      </c>
      <c r="B1486" s="220" t="s">
        <v>2329</v>
      </c>
      <c r="C1486" s="221">
        <v>45562</v>
      </c>
      <c r="D1486" s="220" t="s">
        <v>440</v>
      </c>
      <c r="E1486" s="149" t="s">
        <v>317</v>
      </c>
      <c r="F1486" s="149" t="s">
        <v>441</v>
      </c>
      <c r="G1486" s="149" t="s">
        <v>442</v>
      </c>
      <c r="H1486" s="149" t="str">
        <f t="shared" si="8"/>
        <v>GUILLERMO SEVERÁ FERRANDIZ</v>
      </c>
      <c r="I1486" s="149" t="s">
        <v>916</v>
      </c>
      <c r="J1486" s="149" t="s">
        <v>462</v>
      </c>
      <c r="K1486" s="149" t="s">
        <v>2419</v>
      </c>
      <c r="L1486" s="168">
        <v>45615</v>
      </c>
      <c r="M1486" s="158"/>
      <c r="N1486" s="163">
        <v>2</v>
      </c>
      <c r="O1486" s="165" t="s">
        <v>449</v>
      </c>
      <c r="P1486" s="161">
        <v>2890.91</v>
      </c>
      <c r="Q1486" s="168">
        <v>45562</v>
      </c>
      <c r="R1486" s="153"/>
      <c r="S1486" s="153"/>
      <c r="T1486" s="153"/>
      <c r="U1486" s="153"/>
      <c r="V1486" s="153"/>
      <c r="W1486" s="153"/>
      <c r="X1486" s="153"/>
      <c r="Y1486" s="153"/>
      <c r="Z1486" s="153"/>
      <c r="AA1486" s="153"/>
    </row>
    <row r="1487" spans="1:27">
      <c r="A1487" s="219">
        <v>11</v>
      </c>
      <c r="B1487" s="220" t="s">
        <v>2329</v>
      </c>
      <c r="C1487" s="221">
        <v>45586</v>
      </c>
      <c r="D1487" s="220" t="s">
        <v>440</v>
      </c>
      <c r="E1487" s="149" t="s">
        <v>109</v>
      </c>
      <c r="F1487" s="149" t="s">
        <v>441</v>
      </c>
      <c r="G1487" s="149" t="s">
        <v>442</v>
      </c>
      <c r="H1487" s="149" t="str">
        <f t="shared" si="8"/>
        <v>MARÍA GARROTE GARROTE</v>
      </c>
      <c r="I1487" s="149" t="s">
        <v>447</v>
      </c>
      <c r="J1487" s="149" t="s">
        <v>444</v>
      </c>
      <c r="K1487" s="149" t="s">
        <v>2420</v>
      </c>
      <c r="L1487" s="168">
        <v>45615</v>
      </c>
      <c r="M1487" s="158"/>
      <c r="N1487" s="163">
        <v>2</v>
      </c>
      <c r="O1487" s="165" t="s">
        <v>1540</v>
      </c>
      <c r="P1487" s="161">
        <v>4000</v>
      </c>
      <c r="Q1487" s="168">
        <v>45586</v>
      </c>
      <c r="R1487" s="153"/>
      <c r="S1487" s="153"/>
      <c r="T1487" s="153"/>
      <c r="U1487" s="153"/>
      <c r="V1487" s="153"/>
      <c r="W1487" s="153"/>
      <c r="X1487" s="153"/>
      <c r="Y1487" s="153"/>
      <c r="Z1487" s="153"/>
      <c r="AA1487" s="153"/>
    </row>
    <row r="1488" spans="1:27">
      <c r="A1488" s="219">
        <v>11</v>
      </c>
      <c r="B1488" s="220" t="s">
        <v>2329</v>
      </c>
      <c r="C1488" s="221">
        <v>45601</v>
      </c>
      <c r="D1488" s="220" t="s">
        <v>440</v>
      </c>
      <c r="E1488" s="149" t="s">
        <v>315</v>
      </c>
      <c r="F1488" s="149" t="s">
        <v>441</v>
      </c>
      <c r="G1488" s="149" t="s">
        <v>442</v>
      </c>
      <c r="H1488" s="149" t="str">
        <f t="shared" si="8"/>
        <v>JOSÉ GUSTAVO BARROSO BRAOJOS</v>
      </c>
      <c r="I1488" s="149" t="s">
        <v>560</v>
      </c>
      <c r="J1488" s="149" t="s">
        <v>444</v>
      </c>
      <c r="K1488" s="149" t="s">
        <v>2421</v>
      </c>
      <c r="L1488" s="168">
        <v>45615</v>
      </c>
      <c r="M1488" s="158"/>
      <c r="N1488" s="163">
        <v>2</v>
      </c>
      <c r="O1488" s="165" t="s">
        <v>449</v>
      </c>
      <c r="P1488" s="161">
        <v>2743.64</v>
      </c>
      <c r="Q1488" s="168">
        <v>45601</v>
      </c>
      <c r="R1488" s="153"/>
      <c r="S1488" s="153"/>
      <c r="T1488" s="153"/>
      <c r="U1488" s="153"/>
      <c r="V1488" s="153"/>
      <c r="W1488" s="153"/>
      <c r="X1488" s="153"/>
      <c r="Y1488" s="153"/>
      <c r="Z1488" s="153"/>
      <c r="AA1488" s="153"/>
    </row>
    <row r="1489" spans="1:27">
      <c r="A1489" s="219">
        <v>11</v>
      </c>
      <c r="B1489" s="220" t="s">
        <v>2329</v>
      </c>
      <c r="C1489" s="221">
        <v>45027</v>
      </c>
      <c r="D1489" s="220" t="s">
        <v>440</v>
      </c>
      <c r="E1489" s="149" t="s">
        <v>271</v>
      </c>
      <c r="F1489" s="149" t="s">
        <v>441</v>
      </c>
      <c r="G1489" s="149" t="s">
        <v>442</v>
      </c>
      <c r="H1489" s="149" t="str">
        <f t="shared" si="8"/>
        <v>ANTONIO BUENO RÍOS</v>
      </c>
      <c r="I1489" s="149" t="s">
        <v>519</v>
      </c>
      <c r="J1489" s="149" t="s">
        <v>548</v>
      </c>
      <c r="K1489" s="149" t="s">
        <v>2422</v>
      </c>
      <c r="L1489" s="168">
        <v>45615</v>
      </c>
      <c r="M1489" s="158"/>
      <c r="N1489" s="163">
        <v>2</v>
      </c>
      <c r="O1489" s="165" t="s">
        <v>446</v>
      </c>
      <c r="P1489" s="161">
        <v>3710</v>
      </c>
      <c r="Q1489" s="168">
        <v>45027</v>
      </c>
      <c r="R1489" s="153"/>
      <c r="S1489" s="153"/>
      <c r="T1489" s="153"/>
      <c r="U1489" s="153"/>
      <c r="V1489" s="153"/>
      <c r="W1489" s="153"/>
      <c r="X1489" s="153"/>
      <c r="Y1489" s="153"/>
      <c r="Z1489" s="153"/>
      <c r="AA1489" s="153"/>
    </row>
    <row r="1490" spans="1:27">
      <c r="A1490" s="219">
        <v>11</v>
      </c>
      <c r="B1490" s="220" t="s">
        <v>2329</v>
      </c>
      <c r="C1490" s="221">
        <v>45593</v>
      </c>
      <c r="D1490" s="220" t="s">
        <v>440</v>
      </c>
      <c r="E1490" s="149" t="s">
        <v>563</v>
      </c>
      <c r="F1490" s="149" t="s">
        <v>441</v>
      </c>
      <c r="G1490" s="149" t="s">
        <v>442</v>
      </c>
      <c r="H1490" s="149" t="str">
        <f t="shared" si="8"/>
        <v>JOSÉ MARÍA RELANZÓN LÓPEZ</v>
      </c>
      <c r="I1490" s="149" t="s">
        <v>2423</v>
      </c>
      <c r="J1490" s="149" t="s">
        <v>444</v>
      </c>
      <c r="K1490" s="149" t="s">
        <v>2424</v>
      </c>
      <c r="L1490" s="168">
        <v>45615</v>
      </c>
      <c r="M1490" s="158"/>
      <c r="N1490" s="163">
        <v>2</v>
      </c>
      <c r="O1490" s="165" t="s">
        <v>513</v>
      </c>
      <c r="P1490" s="161">
        <v>3854.55</v>
      </c>
      <c r="Q1490" s="168">
        <v>45593</v>
      </c>
      <c r="R1490" s="153"/>
      <c r="S1490" s="153"/>
      <c r="T1490" s="153"/>
      <c r="U1490" s="153"/>
      <c r="V1490" s="153"/>
      <c r="W1490" s="153"/>
      <c r="X1490" s="153"/>
      <c r="Y1490" s="153"/>
      <c r="Z1490" s="153"/>
      <c r="AA1490" s="153"/>
    </row>
    <row r="1491" spans="1:27">
      <c r="A1491" s="219">
        <v>11</v>
      </c>
      <c r="B1491" s="220" t="s">
        <v>2329</v>
      </c>
      <c r="C1491" s="221">
        <v>45568</v>
      </c>
      <c r="D1491" s="220" t="s">
        <v>440</v>
      </c>
      <c r="E1491" s="149" t="s">
        <v>158</v>
      </c>
      <c r="F1491" s="149" t="s">
        <v>441</v>
      </c>
      <c r="G1491" s="149" t="s">
        <v>442</v>
      </c>
      <c r="H1491" s="149" t="str">
        <f t="shared" si="8"/>
        <v>GUILLERMO SAN JUAN DE LA MORETA</v>
      </c>
      <c r="I1491" s="149" t="s">
        <v>826</v>
      </c>
      <c r="J1491" s="149" t="s">
        <v>444</v>
      </c>
      <c r="K1491" s="149" t="s">
        <v>2425</v>
      </c>
      <c r="L1491" s="168">
        <v>45615</v>
      </c>
      <c r="M1491" s="158"/>
      <c r="N1491" s="163">
        <v>2</v>
      </c>
      <c r="O1491" s="165" t="s">
        <v>449</v>
      </c>
      <c r="P1491" s="161">
        <v>2888.18</v>
      </c>
      <c r="Q1491" s="168">
        <v>45568</v>
      </c>
      <c r="R1491" s="153"/>
      <c r="S1491" s="153"/>
      <c r="T1491" s="153"/>
      <c r="U1491" s="153"/>
      <c r="V1491" s="153"/>
      <c r="W1491" s="153"/>
      <c r="X1491" s="153"/>
      <c r="Y1491" s="153"/>
      <c r="Z1491" s="153"/>
      <c r="AA1491" s="153"/>
    </row>
    <row r="1492" spans="1:27">
      <c r="A1492" s="219">
        <v>11</v>
      </c>
      <c r="B1492" s="220" t="s">
        <v>2329</v>
      </c>
      <c r="C1492" s="221">
        <v>45579</v>
      </c>
      <c r="D1492" s="220" t="s">
        <v>440</v>
      </c>
      <c r="E1492" s="149" t="s">
        <v>313</v>
      </c>
      <c r="F1492" s="149" t="s">
        <v>441</v>
      </c>
      <c r="G1492" s="149" t="s">
        <v>442</v>
      </c>
      <c r="H1492" s="149" t="str">
        <f t="shared" si="8"/>
        <v>LUIS JIMÉNEZ FERRERES</v>
      </c>
      <c r="I1492" s="149" t="s">
        <v>1693</v>
      </c>
      <c r="J1492" s="149" t="s">
        <v>548</v>
      </c>
      <c r="K1492" s="149" t="s">
        <v>2426</v>
      </c>
      <c r="L1492" s="168">
        <v>45615</v>
      </c>
      <c r="M1492" s="158"/>
      <c r="N1492" s="163">
        <v>1</v>
      </c>
      <c r="O1492" s="165" t="s">
        <v>1540</v>
      </c>
      <c r="P1492" s="161">
        <v>2400.0100000000002</v>
      </c>
      <c r="Q1492" s="168">
        <v>45579</v>
      </c>
      <c r="R1492" s="153"/>
      <c r="S1492" s="153"/>
      <c r="T1492" s="153"/>
      <c r="U1492" s="153"/>
      <c r="V1492" s="153"/>
      <c r="W1492" s="153"/>
      <c r="X1492" s="153"/>
      <c r="Y1492" s="153"/>
      <c r="Z1492" s="153"/>
      <c r="AA1492" s="153"/>
    </row>
    <row r="1493" spans="1:27">
      <c r="A1493" s="219">
        <v>11</v>
      </c>
      <c r="B1493" s="220" t="s">
        <v>2329</v>
      </c>
      <c r="C1493" s="221">
        <v>45580</v>
      </c>
      <c r="D1493" s="220" t="s">
        <v>440</v>
      </c>
      <c r="E1493" s="149" t="s">
        <v>213</v>
      </c>
      <c r="F1493" s="149" t="s">
        <v>441</v>
      </c>
      <c r="G1493" s="149" t="s">
        <v>442</v>
      </c>
      <c r="H1493" s="149" t="str">
        <f t="shared" si="8"/>
        <v>JOSÉ MONTALT MARCO</v>
      </c>
      <c r="I1493" s="149" t="s">
        <v>1858</v>
      </c>
      <c r="J1493" s="149" t="s">
        <v>636</v>
      </c>
      <c r="K1493" s="149" t="s">
        <v>2427</v>
      </c>
      <c r="L1493" s="168">
        <v>45615</v>
      </c>
      <c r="M1493" s="158"/>
      <c r="N1493" s="163">
        <v>2</v>
      </c>
      <c r="O1493" s="165" t="s">
        <v>513</v>
      </c>
      <c r="P1493" s="161">
        <v>4374.62</v>
      </c>
      <c r="Q1493" s="168">
        <v>45580</v>
      </c>
      <c r="R1493" s="153"/>
      <c r="S1493" s="153"/>
      <c r="T1493" s="153"/>
      <c r="U1493" s="153"/>
      <c r="V1493" s="153"/>
      <c r="W1493" s="153"/>
      <c r="X1493" s="153"/>
      <c r="Y1493" s="153"/>
      <c r="Z1493" s="153"/>
      <c r="AA1493" s="153"/>
    </row>
    <row r="1494" spans="1:27">
      <c r="A1494" s="219">
        <v>11</v>
      </c>
      <c r="B1494" s="220" t="s">
        <v>2329</v>
      </c>
      <c r="C1494" s="221">
        <v>45567</v>
      </c>
      <c r="D1494" s="220" t="s">
        <v>440</v>
      </c>
      <c r="E1494" s="149" t="s">
        <v>501</v>
      </c>
      <c r="F1494" s="149" t="s">
        <v>441</v>
      </c>
      <c r="G1494" s="149" t="s">
        <v>442</v>
      </c>
      <c r="H1494" s="149" t="str">
        <f t="shared" si="8"/>
        <v>GARIKOITZ CALZADA URIONDO</v>
      </c>
      <c r="I1494" s="149" t="s">
        <v>1246</v>
      </c>
      <c r="J1494" s="149" t="s">
        <v>548</v>
      </c>
      <c r="K1494" s="149" t="s">
        <v>2428</v>
      </c>
      <c r="L1494" s="168">
        <v>45615</v>
      </c>
      <c r="M1494" s="158"/>
      <c r="N1494" s="163">
        <v>2</v>
      </c>
      <c r="O1494" s="165" t="s">
        <v>513</v>
      </c>
      <c r="P1494" s="161">
        <v>4090.91</v>
      </c>
      <c r="Q1494" s="168">
        <v>45567</v>
      </c>
      <c r="R1494" s="153"/>
      <c r="S1494" s="153"/>
      <c r="T1494" s="153"/>
      <c r="U1494" s="153"/>
      <c r="V1494" s="153"/>
      <c r="W1494" s="153"/>
      <c r="X1494" s="153"/>
      <c r="Y1494" s="153"/>
      <c r="Z1494" s="153"/>
      <c r="AA1494" s="153"/>
    </row>
    <row r="1495" spans="1:27">
      <c r="A1495" s="219">
        <v>11</v>
      </c>
      <c r="B1495" s="220" t="s">
        <v>2329</v>
      </c>
      <c r="C1495" s="221">
        <v>45580</v>
      </c>
      <c r="D1495" s="220" t="s">
        <v>440</v>
      </c>
      <c r="E1495" s="149" t="s">
        <v>129</v>
      </c>
      <c r="F1495" s="149" t="s">
        <v>441</v>
      </c>
      <c r="G1495" s="149" t="s">
        <v>442</v>
      </c>
      <c r="H1495" s="149" t="str">
        <f t="shared" si="8"/>
        <v>MOHAMED AL RIFAL AL MASTI</v>
      </c>
      <c r="I1495" s="149" t="s">
        <v>995</v>
      </c>
      <c r="J1495" s="149" t="s">
        <v>516</v>
      </c>
      <c r="K1495" s="149" t="s">
        <v>2429</v>
      </c>
      <c r="L1495" s="168">
        <v>45615</v>
      </c>
      <c r="M1495" s="158"/>
      <c r="N1495" s="163">
        <v>2</v>
      </c>
      <c r="O1495" s="165" t="s">
        <v>513</v>
      </c>
      <c r="P1495" s="161">
        <v>4400</v>
      </c>
      <c r="Q1495" s="168">
        <v>45580</v>
      </c>
      <c r="R1495" s="153"/>
      <c r="S1495" s="153"/>
      <c r="T1495" s="153"/>
      <c r="U1495" s="153"/>
      <c r="V1495" s="153"/>
      <c r="W1495" s="153"/>
      <c r="X1495" s="153"/>
      <c r="Y1495" s="153"/>
      <c r="Z1495" s="153"/>
      <c r="AA1495" s="153"/>
    </row>
    <row r="1496" spans="1:27">
      <c r="A1496" s="219">
        <v>11</v>
      </c>
      <c r="B1496" s="220" t="s">
        <v>2329</v>
      </c>
      <c r="C1496" s="221">
        <v>45581</v>
      </c>
      <c r="D1496" s="220" t="s">
        <v>440</v>
      </c>
      <c r="E1496" s="149" t="s">
        <v>317</v>
      </c>
      <c r="F1496" s="149" t="s">
        <v>441</v>
      </c>
      <c r="G1496" s="149" t="s">
        <v>442</v>
      </c>
      <c r="H1496" s="149" t="str">
        <f t="shared" si="8"/>
        <v>CRISTINA MUÑOZ PINTO</v>
      </c>
      <c r="I1496" s="149" t="s">
        <v>899</v>
      </c>
      <c r="J1496" s="149" t="s">
        <v>462</v>
      </c>
      <c r="K1496" s="149" t="s">
        <v>2430</v>
      </c>
      <c r="L1496" s="168">
        <v>45616</v>
      </c>
      <c r="M1496" s="158"/>
      <c r="N1496" s="163">
        <v>2</v>
      </c>
      <c r="O1496" s="165" t="s">
        <v>449</v>
      </c>
      <c r="P1496" s="161">
        <v>2600</v>
      </c>
      <c r="Q1496" s="168">
        <v>45581</v>
      </c>
      <c r="R1496" s="153"/>
      <c r="S1496" s="153"/>
      <c r="T1496" s="153"/>
      <c r="U1496" s="153"/>
      <c r="V1496" s="153"/>
      <c r="W1496" s="153"/>
      <c r="X1496" s="153"/>
      <c r="Y1496" s="153"/>
      <c r="Z1496" s="153"/>
      <c r="AA1496" s="153"/>
    </row>
    <row r="1497" spans="1:27">
      <c r="A1497" s="219">
        <v>11</v>
      </c>
      <c r="B1497" s="220" t="s">
        <v>2329</v>
      </c>
      <c r="C1497" s="221">
        <v>45581</v>
      </c>
      <c r="D1497" s="220" t="s">
        <v>440</v>
      </c>
      <c r="E1497" s="149" t="s">
        <v>317</v>
      </c>
      <c r="F1497" s="149" t="s">
        <v>441</v>
      </c>
      <c r="G1497" s="149" t="s">
        <v>442</v>
      </c>
      <c r="H1497" s="149" t="str">
        <f t="shared" si="8"/>
        <v>JAVIER LAFARGA VÁZQUEZ</v>
      </c>
      <c r="I1497" s="149" t="s">
        <v>721</v>
      </c>
      <c r="J1497" s="149" t="s">
        <v>462</v>
      </c>
      <c r="K1497" s="149" t="s">
        <v>2431</v>
      </c>
      <c r="L1497" s="168">
        <v>45616</v>
      </c>
      <c r="M1497" s="158"/>
      <c r="N1497" s="163">
        <v>2</v>
      </c>
      <c r="O1497" s="165" t="s">
        <v>449</v>
      </c>
      <c r="P1497" s="161">
        <v>2600</v>
      </c>
      <c r="Q1497" s="168">
        <v>45581</v>
      </c>
      <c r="R1497" s="153"/>
      <c r="S1497" s="153"/>
      <c r="T1497" s="153"/>
      <c r="U1497" s="153"/>
      <c r="V1497" s="153"/>
      <c r="W1497" s="153"/>
      <c r="X1497" s="153"/>
      <c r="Y1497" s="153"/>
      <c r="Z1497" s="153"/>
      <c r="AA1497" s="153"/>
    </row>
    <row r="1498" spans="1:27">
      <c r="A1498" s="219">
        <v>11</v>
      </c>
      <c r="B1498" s="220" t="s">
        <v>2329</v>
      </c>
      <c r="C1498" s="221">
        <v>45533</v>
      </c>
      <c r="D1498" s="220" t="s">
        <v>440</v>
      </c>
      <c r="E1498" s="149" t="s">
        <v>109</v>
      </c>
      <c r="F1498" s="149" t="s">
        <v>441</v>
      </c>
      <c r="G1498" s="149" t="s">
        <v>442</v>
      </c>
      <c r="H1498" s="149" t="str">
        <f t="shared" si="8"/>
        <v>JUAN RIESTRA AYORA</v>
      </c>
      <c r="I1498" s="149" t="s">
        <v>1159</v>
      </c>
      <c r="J1498" s="149" t="s">
        <v>444</v>
      </c>
      <c r="K1498" s="149" t="s">
        <v>2432</v>
      </c>
      <c r="L1498" s="168">
        <v>45616</v>
      </c>
      <c r="M1498" s="158"/>
      <c r="N1498" s="163">
        <v>1</v>
      </c>
      <c r="O1498" s="165" t="s">
        <v>449</v>
      </c>
      <c r="P1498" s="161">
        <v>1472.5</v>
      </c>
      <c r="Q1498" s="168">
        <v>45533</v>
      </c>
      <c r="R1498" s="153"/>
      <c r="S1498" s="153"/>
      <c r="T1498" s="153"/>
      <c r="U1498" s="153"/>
      <c r="V1498" s="153"/>
      <c r="W1498" s="153"/>
      <c r="X1498" s="153"/>
      <c r="Y1498" s="153"/>
      <c r="Z1498" s="153"/>
      <c r="AA1498" s="153"/>
    </row>
    <row r="1499" spans="1:27">
      <c r="A1499" s="219">
        <v>11</v>
      </c>
      <c r="B1499" s="220" t="s">
        <v>2329</v>
      </c>
      <c r="C1499" s="221">
        <v>45581</v>
      </c>
      <c r="D1499" s="220" t="s">
        <v>440</v>
      </c>
      <c r="E1499" s="149" t="s">
        <v>271</v>
      </c>
      <c r="F1499" s="149" t="s">
        <v>441</v>
      </c>
      <c r="G1499" s="149" t="s">
        <v>442</v>
      </c>
      <c r="H1499" s="149" t="str">
        <f t="shared" si="8"/>
        <v>ANTONIO BUENO RÍOS</v>
      </c>
      <c r="I1499" s="149" t="s">
        <v>519</v>
      </c>
      <c r="J1499" s="149" t="s">
        <v>548</v>
      </c>
      <c r="K1499" s="149" t="s">
        <v>2433</v>
      </c>
      <c r="L1499" s="168">
        <v>45616</v>
      </c>
      <c r="M1499" s="158"/>
      <c r="N1499" s="163">
        <v>2</v>
      </c>
      <c r="O1499" s="165" t="s">
        <v>1540</v>
      </c>
      <c r="P1499" s="161">
        <v>4000</v>
      </c>
      <c r="Q1499" s="168">
        <v>45581</v>
      </c>
      <c r="R1499" s="153"/>
      <c r="S1499" s="153"/>
      <c r="T1499" s="153"/>
      <c r="U1499" s="153"/>
      <c r="V1499" s="153"/>
      <c r="W1499" s="153"/>
      <c r="X1499" s="153"/>
      <c r="Y1499" s="153"/>
      <c r="Z1499" s="153"/>
      <c r="AA1499" s="153"/>
    </row>
    <row r="1500" spans="1:27">
      <c r="A1500" s="219">
        <v>11</v>
      </c>
      <c r="B1500" s="220" t="s">
        <v>2329</v>
      </c>
      <c r="C1500" s="221">
        <v>45551</v>
      </c>
      <c r="D1500" s="220" t="s">
        <v>440</v>
      </c>
      <c r="E1500" s="149" t="s">
        <v>158</v>
      </c>
      <c r="F1500" s="149" t="s">
        <v>441</v>
      </c>
      <c r="G1500" s="149" t="s">
        <v>442</v>
      </c>
      <c r="H1500" s="149" t="str">
        <f t="shared" si="8"/>
        <v>CARLOS BARAJAS DEL ROSAL</v>
      </c>
      <c r="I1500" s="149" t="s">
        <v>660</v>
      </c>
      <c r="J1500" s="149" t="s">
        <v>548</v>
      </c>
      <c r="K1500" s="149" t="s">
        <v>2434</v>
      </c>
      <c r="L1500" s="168">
        <v>45616</v>
      </c>
      <c r="M1500" s="158"/>
      <c r="N1500" s="163">
        <v>2</v>
      </c>
      <c r="O1500" s="165" t="s">
        <v>513</v>
      </c>
      <c r="P1500" s="161">
        <v>4400</v>
      </c>
      <c r="Q1500" s="168">
        <v>45551</v>
      </c>
      <c r="R1500" s="153"/>
      <c r="S1500" s="153"/>
      <c r="T1500" s="153"/>
      <c r="U1500" s="153"/>
      <c r="V1500" s="153"/>
      <c r="W1500" s="153"/>
      <c r="X1500" s="153"/>
      <c r="Y1500" s="153"/>
      <c r="Z1500" s="153"/>
      <c r="AA1500" s="153"/>
    </row>
    <row r="1501" spans="1:27">
      <c r="A1501" s="219">
        <v>11</v>
      </c>
      <c r="B1501" s="220" t="s">
        <v>2329</v>
      </c>
      <c r="C1501" s="221">
        <v>45566</v>
      </c>
      <c r="D1501" s="220" t="s">
        <v>440</v>
      </c>
      <c r="E1501" s="149" t="s">
        <v>309</v>
      </c>
      <c r="F1501" s="149" t="s">
        <v>441</v>
      </c>
      <c r="G1501" s="149" t="s">
        <v>442</v>
      </c>
      <c r="H1501" s="149" t="str">
        <f t="shared" si="8"/>
        <v>MARÍA SANTILLÁN SÁNCHEZ</v>
      </c>
      <c r="I1501" s="149" t="s">
        <v>493</v>
      </c>
      <c r="J1501" s="149" t="s">
        <v>444</v>
      </c>
      <c r="K1501" s="149" t="s">
        <v>2435</v>
      </c>
      <c r="L1501" s="168">
        <v>45616</v>
      </c>
      <c r="M1501" s="158"/>
      <c r="N1501" s="163">
        <v>2</v>
      </c>
      <c r="O1501" s="165" t="s">
        <v>446</v>
      </c>
      <c r="P1501" s="161">
        <v>3846.36</v>
      </c>
      <c r="Q1501" s="168">
        <v>45566</v>
      </c>
      <c r="R1501" s="153"/>
      <c r="S1501" s="153"/>
      <c r="T1501" s="153"/>
      <c r="U1501" s="153"/>
      <c r="V1501" s="153"/>
      <c r="W1501" s="153"/>
      <c r="X1501" s="153"/>
      <c r="Y1501" s="153"/>
      <c r="Z1501" s="153"/>
      <c r="AA1501" s="153"/>
    </row>
    <row r="1502" spans="1:27">
      <c r="A1502" s="219">
        <v>11</v>
      </c>
      <c r="B1502" s="220" t="s">
        <v>2329</v>
      </c>
      <c r="C1502" s="221">
        <v>45575</v>
      </c>
      <c r="D1502" s="220" t="s">
        <v>440</v>
      </c>
      <c r="E1502" s="149" t="s">
        <v>98</v>
      </c>
      <c r="F1502" s="149" t="s">
        <v>441</v>
      </c>
      <c r="G1502" s="149" t="s">
        <v>442</v>
      </c>
      <c r="H1502" s="149" t="str">
        <f t="shared" si="8"/>
        <v>MARÍA AGUSTINA SEVILLA GARCÍA</v>
      </c>
      <c r="I1502" s="149" t="s">
        <v>538</v>
      </c>
      <c r="J1502" s="149" t="s">
        <v>462</v>
      </c>
      <c r="K1502" s="149" t="s">
        <v>2436</v>
      </c>
      <c r="L1502" s="168">
        <v>45616</v>
      </c>
      <c r="M1502" s="158"/>
      <c r="N1502" s="163">
        <v>2</v>
      </c>
      <c r="O1502" s="165" t="s">
        <v>1540</v>
      </c>
      <c r="P1502" s="161">
        <v>4000</v>
      </c>
      <c r="Q1502" s="168">
        <v>45575</v>
      </c>
      <c r="R1502" s="153"/>
      <c r="S1502" s="153"/>
      <c r="T1502" s="153"/>
      <c r="U1502" s="153"/>
      <c r="V1502" s="153"/>
      <c r="W1502" s="153"/>
      <c r="X1502" s="153"/>
      <c r="Y1502" s="153"/>
      <c r="Z1502" s="153"/>
      <c r="AA1502" s="153"/>
    </row>
    <row r="1503" spans="1:27">
      <c r="A1503" s="219">
        <v>11</v>
      </c>
      <c r="B1503" s="220" t="s">
        <v>2329</v>
      </c>
      <c r="C1503" s="221">
        <v>45579</v>
      </c>
      <c r="D1503" s="220" t="s">
        <v>440</v>
      </c>
      <c r="E1503" s="149" t="s">
        <v>506</v>
      </c>
      <c r="F1503" s="149" t="s">
        <v>441</v>
      </c>
      <c r="G1503" s="149" t="s">
        <v>442</v>
      </c>
      <c r="H1503" s="149" t="str">
        <f t="shared" si="8"/>
        <v>LUIS MIGUEL RINCÓN ESTEBAN</v>
      </c>
      <c r="I1503" s="149" t="s">
        <v>1033</v>
      </c>
      <c r="J1503" s="149" t="s">
        <v>473</v>
      </c>
      <c r="K1503" s="149" t="s">
        <v>2437</v>
      </c>
      <c r="L1503" s="168">
        <v>45616</v>
      </c>
      <c r="M1503" s="158"/>
      <c r="N1503" s="163">
        <v>2</v>
      </c>
      <c r="O1503" s="165" t="s">
        <v>446</v>
      </c>
      <c r="P1503" s="161">
        <v>3604.55</v>
      </c>
      <c r="Q1503" s="168">
        <v>45579</v>
      </c>
      <c r="R1503" s="153"/>
      <c r="S1503" s="153"/>
      <c r="T1503" s="153"/>
      <c r="U1503" s="153"/>
      <c r="V1503" s="153"/>
      <c r="W1503" s="153"/>
      <c r="X1503" s="153"/>
      <c r="Y1503" s="153"/>
      <c r="Z1503" s="153"/>
      <c r="AA1503" s="153"/>
    </row>
    <row r="1504" spans="1:27">
      <c r="A1504" s="219">
        <v>11</v>
      </c>
      <c r="B1504" s="220" t="s">
        <v>2329</v>
      </c>
      <c r="C1504" s="221">
        <v>45579</v>
      </c>
      <c r="D1504" s="220" t="s">
        <v>440</v>
      </c>
      <c r="E1504" s="149" t="s">
        <v>312</v>
      </c>
      <c r="F1504" s="149" t="s">
        <v>441</v>
      </c>
      <c r="G1504" s="149" t="s">
        <v>442</v>
      </c>
      <c r="H1504" s="149" t="str">
        <f t="shared" si="8"/>
        <v>ESTEFANÍA BERROCAL POSTIGO</v>
      </c>
      <c r="I1504" s="149" t="s">
        <v>927</v>
      </c>
      <c r="J1504" s="149" t="s">
        <v>455</v>
      </c>
      <c r="K1504" s="149" t="s">
        <v>2438</v>
      </c>
      <c r="L1504" s="168">
        <v>45616</v>
      </c>
      <c r="M1504" s="158"/>
      <c r="N1504" s="163">
        <v>2</v>
      </c>
      <c r="O1504" s="165" t="s">
        <v>446</v>
      </c>
      <c r="P1504" s="161">
        <v>3710</v>
      </c>
      <c r="Q1504" s="168">
        <v>45579</v>
      </c>
      <c r="R1504" s="153"/>
      <c r="S1504" s="153"/>
      <c r="T1504" s="153"/>
      <c r="U1504" s="153"/>
      <c r="V1504" s="153"/>
      <c r="W1504" s="153"/>
      <c r="X1504" s="153"/>
      <c r="Y1504" s="153"/>
      <c r="Z1504" s="153"/>
      <c r="AA1504" s="153"/>
    </row>
    <row r="1505" spans="1:27">
      <c r="A1505" s="219">
        <v>11</v>
      </c>
      <c r="B1505" s="220" t="s">
        <v>2329</v>
      </c>
      <c r="C1505" s="221">
        <v>45588</v>
      </c>
      <c r="D1505" s="220" t="s">
        <v>440</v>
      </c>
      <c r="E1505" s="149" t="s">
        <v>129</v>
      </c>
      <c r="F1505" s="149" t="s">
        <v>441</v>
      </c>
      <c r="G1505" s="149" t="s">
        <v>442</v>
      </c>
      <c r="H1505" s="149" t="str">
        <f t="shared" si="8"/>
        <v>MARÍA REY MARCOS</v>
      </c>
      <c r="I1505" s="149" t="s">
        <v>678</v>
      </c>
      <c r="J1505" s="149" t="s">
        <v>516</v>
      </c>
      <c r="K1505" s="149" t="s">
        <v>2439</v>
      </c>
      <c r="L1505" s="168">
        <v>45616</v>
      </c>
      <c r="M1505" s="158"/>
      <c r="N1505" s="163">
        <v>2</v>
      </c>
      <c r="O1505" s="165" t="s">
        <v>446</v>
      </c>
      <c r="P1505" s="161">
        <v>3710</v>
      </c>
      <c r="Q1505" s="168">
        <v>45588</v>
      </c>
      <c r="R1505" s="153"/>
      <c r="S1505" s="153"/>
      <c r="T1505" s="153"/>
      <c r="U1505" s="153"/>
      <c r="V1505" s="153"/>
      <c r="W1505" s="153"/>
      <c r="X1505" s="153"/>
      <c r="Y1505" s="153"/>
      <c r="Z1505" s="153"/>
      <c r="AA1505" s="153"/>
    </row>
    <row r="1506" spans="1:27">
      <c r="A1506" s="219">
        <v>11</v>
      </c>
      <c r="B1506" s="220" t="s">
        <v>2329</v>
      </c>
      <c r="C1506" s="221">
        <v>45589</v>
      </c>
      <c r="D1506" s="220" t="s">
        <v>440</v>
      </c>
      <c r="E1506" s="149" t="s">
        <v>514</v>
      </c>
      <c r="F1506" s="149" t="s">
        <v>441</v>
      </c>
      <c r="G1506" s="149" t="s">
        <v>442</v>
      </c>
      <c r="H1506" s="149" t="str">
        <f t="shared" si="8"/>
        <v>CARLOS VIDAL REDONDO</v>
      </c>
      <c r="I1506" s="149" t="s">
        <v>554</v>
      </c>
      <c r="J1506" s="149" t="s">
        <v>516</v>
      </c>
      <c r="K1506" s="149" t="s">
        <v>2440</v>
      </c>
      <c r="L1506" s="168">
        <v>45616</v>
      </c>
      <c r="M1506" s="158"/>
      <c r="N1506" s="163">
        <v>1</v>
      </c>
      <c r="O1506" s="165" t="s">
        <v>518</v>
      </c>
      <c r="P1506" s="161">
        <v>1627.27</v>
      </c>
      <c r="Q1506" s="168">
        <v>45589</v>
      </c>
      <c r="R1506" s="153"/>
      <c r="S1506" s="153"/>
      <c r="T1506" s="153"/>
      <c r="U1506" s="153"/>
      <c r="V1506" s="153"/>
      <c r="W1506" s="153"/>
      <c r="X1506" s="153"/>
      <c r="Y1506" s="153"/>
      <c r="Z1506" s="153"/>
      <c r="AA1506" s="153"/>
    </row>
    <row r="1507" spans="1:27">
      <c r="A1507" s="219">
        <v>11</v>
      </c>
      <c r="B1507" s="220" t="s">
        <v>2329</v>
      </c>
      <c r="C1507" s="221">
        <v>45572</v>
      </c>
      <c r="D1507" s="220" t="s">
        <v>440</v>
      </c>
      <c r="E1507" s="149" t="s">
        <v>460</v>
      </c>
      <c r="F1507" s="149" t="s">
        <v>450</v>
      </c>
      <c r="G1507" s="149" t="s">
        <v>2356</v>
      </c>
      <c r="H1507" s="149" t="str">
        <f t="shared" si="8"/>
        <v>MARÍA EMILIA GARCÍA RUÍZ</v>
      </c>
      <c r="I1507" s="149" t="s">
        <v>1037</v>
      </c>
      <c r="J1507" s="149" t="s">
        <v>2441</v>
      </c>
      <c r="K1507" s="149" t="s">
        <v>2442</v>
      </c>
      <c r="L1507" s="168">
        <v>45616</v>
      </c>
      <c r="M1507" s="158"/>
      <c r="N1507" s="163">
        <v>2</v>
      </c>
      <c r="O1507" s="165" t="s">
        <v>446</v>
      </c>
      <c r="P1507" s="161">
        <v>3710</v>
      </c>
      <c r="Q1507" s="168">
        <v>45572</v>
      </c>
      <c r="R1507" s="153"/>
      <c r="S1507" s="153"/>
      <c r="T1507" s="153"/>
      <c r="U1507" s="153"/>
      <c r="V1507" s="153"/>
      <c r="W1507" s="153"/>
      <c r="X1507" s="153"/>
      <c r="Y1507" s="153"/>
      <c r="Z1507" s="153"/>
      <c r="AA1507" s="153"/>
    </row>
    <row r="1508" spans="1:27">
      <c r="A1508" s="219">
        <v>11</v>
      </c>
      <c r="B1508" s="220" t="s">
        <v>2329</v>
      </c>
      <c r="C1508" s="221">
        <v>45600</v>
      </c>
      <c r="D1508" s="220" t="s">
        <v>440</v>
      </c>
      <c r="E1508" s="149" t="s">
        <v>318</v>
      </c>
      <c r="F1508" s="149" t="s">
        <v>441</v>
      </c>
      <c r="G1508" s="149" t="s">
        <v>442</v>
      </c>
      <c r="H1508" s="149" t="str">
        <f t="shared" si="8"/>
        <v>MANUEL GÓMEZ FIÑANA</v>
      </c>
      <c r="I1508" s="149" t="s">
        <v>1625</v>
      </c>
      <c r="J1508" s="149" t="s">
        <v>462</v>
      </c>
      <c r="K1508" s="149" t="s">
        <v>2443</v>
      </c>
      <c r="L1508" s="168">
        <v>45617</v>
      </c>
      <c r="M1508" s="158"/>
      <c r="N1508" s="163">
        <v>2</v>
      </c>
      <c r="O1508" s="165" t="s">
        <v>1540</v>
      </c>
      <c r="P1508" s="161">
        <v>4000</v>
      </c>
      <c r="Q1508" s="168">
        <v>45600</v>
      </c>
      <c r="R1508" s="153"/>
      <c r="S1508" s="153"/>
      <c r="T1508" s="153"/>
      <c r="U1508" s="153"/>
      <c r="V1508" s="153"/>
      <c r="W1508" s="153"/>
      <c r="X1508" s="153"/>
      <c r="Y1508" s="153"/>
      <c r="Z1508" s="153"/>
      <c r="AA1508" s="153"/>
    </row>
    <row r="1509" spans="1:27">
      <c r="A1509" s="219">
        <v>11</v>
      </c>
      <c r="B1509" s="220" t="s">
        <v>2329</v>
      </c>
      <c r="C1509" s="221">
        <v>45596</v>
      </c>
      <c r="D1509" s="220" t="s">
        <v>440</v>
      </c>
      <c r="E1509" s="149" t="s">
        <v>311</v>
      </c>
      <c r="F1509" s="149" t="s">
        <v>441</v>
      </c>
      <c r="G1509" s="149" t="s">
        <v>442</v>
      </c>
      <c r="H1509" s="149" t="str">
        <f t="shared" si="8"/>
        <v>VICTORIA GARCÍA PECES</v>
      </c>
      <c r="I1509" s="149" t="s">
        <v>488</v>
      </c>
      <c r="J1509" s="149" t="s">
        <v>444</v>
      </c>
      <c r="K1509" s="149" t="s">
        <v>2444</v>
      </c>
      <c r="L1509" s="168">
        <v>45617</v>
      </c>
      <c r="M1509" s="158"/>
      <c r="N1509" s="163">
        <v>2</v>
      </c>
      <c r="O1509" s="165" t="s">
        <v>446</v>
      </c>
      <c r="P1509" s="161">
        <v>3710</v>
      </c>
      <c r="Q1509" s="168">
        <v>45596</v>
      </c>
      <c r="R1509" s="153"/>
      <c r="S1509" s="153"/>
      <c r="T1509" s="153"/>
      <c r="U1509" s="153"/>
      <c r="V1509" s="153"/>
      <c r="W1509" s="153"/>
      <c r="X1509" s="153"/>
      <c r="Y1509" s="153"/>
      <c r="Z1509" s="153"/>
      <c r="AA1509" s="153"/>
    </row>
    <row r="1510" spans="1:27">
      <c r="A1510" s="219">
        <v>11</v>
      </c>
      <c r="B1510" s="220" t="s">
        <v>2329</v>
      </c>
      <c r="C1510" s="221">
        <v>45588</v>
      </c>
      <c r="D1510" s="220" t="s">
        <v>440</v>
      </c>
      <c r="E1510" s="149" t="s">
        <v>563</v>
      </c>
      <c r="F1510" s="149" t="s">
        <v>441</v>
      </c>
      <c r="G1510" s="149" t="s">
        <v>442</v>
      </c>
      <c r="H1510" s="149" t="str">
        <f t="shared" si="8"/>
        <v>ALEJANDRO HARGUINDEY ANTOLI-CANDELA</v>
      </c>
      <c r="I1510" s="149" t="s">
        <v>2445</v>
      </c>
      <c r="J1510" s="149" t="s">
        <v>444</v>
      </c>
      <c r="K1510" s="149" t="s">
        <v>2446</v>
      </c>
      <c r="L1510" s="168">
        <v>45617</v>
      </c>
      <c r="M1510" s="158"/>
      <c r="N1510" s="163">
        <v>2</v>
      </c>
      <c r="O1510" s="165" t="s">
        <v>446</v>
      </c>
      <c r="P1510" s="161">
        <v>3710</v>
      </c>
      <c r="Q1510" s="168">
        <v>45588</v>
      </c>
      <c r="R1510" s="153"/>
      <c r="S1510" s="153"/>
      <c r="T1510" s="153"/>
      <c r="U1510" s="153"/>
      <c r="V1510" s="153"/>
      <c r="W1510" s="153"/>
      <c r="X1510" s="153"/>
      <c r="Y1510" s="153"/>
      <c r="Z1510" s="153"/>
      <c r="AA1510" s="153"/>
    </row>
    <row r="1511" spans="1:27">
      <c r="A1511" s="219">
        <v>11</v>
      </c>
      <c r="B1511" s="220" t="s">
        <v>2329</v>
      </c>
      <c r="C1511" s="221">
        <v>45593</v>
      </c>
      <c r="D1511" s="220" t="s">
        <v>440</v>
      </c>
      <c r="E1511" s="149" t="s">
        <v>98</v>
      </c>
      <c r="F1511" s="149" t="s">
        <v>441</v>
      </c>
      <c r="G1511" s="149" t="s">
        <v>442</v>
      </c>
      <c r="H1511" s="149" t="str">
        <f t="shared" si="8"/>
        <v>ANTONIO GALINDO FERNÁNDEZ</v>
      </c>
      <c r="I1511" s="149" t="s">
        <v>892</v>
      </c>
      <c r="J1511" s="149" t="s">
        <v>462</v>
      </c>
      <c r="K1511" s="149" t="s">
        <v>2447</v>
      </c>
      <c r="L1511" s="168">
        <v>45617</v>
      </c>
      <c r="M1511" s="158"/>
      <c r="N1511" s="163">
        <v>2</v>
      </c>
      <c r="O1511" s="165" t="s">
        <v>446</v>
      </c>
      <c r="P1511" s="161">
        <v>3524.04</v>
      </c>
      <c r="Q1511" s="168">
        <v>45593</v>
      </c>
      <c r="R1511" s="153"/>
      <c r="S1511" s="153"/>
      <c r="T1511" s="153"/>
      <c r="U1511" s="153"/>
      <c r="V1511" s="153"/>
      <c r="W1511" s="153"/>
      <c r="X1511" s="153"/>
      <c r="Y1511" s="153"/>
      <c r="Z1511" s="153"/>
      <c r="AA1511" s="153"/>
    </row>
    <row r="1512" spans="1:27">
      <c r="A1512" s="219">
        <v>11</v>
      </c>
      <c r="B1512" s="220" t="s">
        <v>2329</v>
      </c>
      <c r="C1512" s="221">
        <v>45517</v>
      </c>
      <c r="D1512" s="220" t="s">
        <v>440</v>
      </c>
      <c r="E1512" s="149" t="s">
        <v>475</v>
      </c>
      <c r="F1512" s="149" t="s">
        <v>441</v>
      </c>
      <c r="G1512" s="149" t="s">
        <v>442</v>
      </c>
      <c r="H1512" s="149" t="str">
        <f t="shared" si="8"/>
        <v>XENIA MOTA ROJAS</v>
      </c>
      <c r="I1512" s="149" t="s">
        <v>1077</v>
      </c>
      <c r="J1512" s="149" t="s">
        <v>473</v>
      </c>
      <c r="K1512" s="149" t="s">
        <v>2448</v>
      </c>
      <c r="L1512" s="168">
        <v>45617</v>
      </c>
      <c r="M1512" s="158"/>
      <c r="N1512" s="163">
        <v>2</v>
      </c>
      <c r="O1512" s="165" t="s">
        <v>446</v>
      </c>
      <c r="P1512" s="161">
        <v>3909.09</v>
      </c>
      <c r="Q1512" s="168">
        <v>45517</v>
      </c>
      <c r="R1512" s="153"/>
      <c r="S1512" s="153"/>
      <c r="T1512" s="153"/>
      <c r="U1512" s="153"/>
      <c r="V1512" s="153"/>
      <c r="W1512" s="153"/>
      <c r="X1512" s="153"/>
      <c r="Y1512" s="153"/>
      <c r="Z1512" s="153"/>
      <c r="AA1512" s="153"/>
    </row>
    <row r="1513" spans="1:27">
      <c r="A1513" s="219">
        <v>11</v>
      </c>
      <c r="B1513" s="220" t="s">
        <v>2329</v>
      </c>
      <c r="C1513" s="221">
        <v>45545</v>
      </c>
      <c r="D1513" s="220" t="s">
        <v>440</v>
      </c>
      <c r="E1513" s="149" t="s">
        <v>475</v>
      </c>
      <c r="F1513" s="149" t="s">
        <v>441</v>
      </c>
      <c r="G1513" s="149" t="s">
        <v>442</v>
      </c>
      <c r="H1513" s="149" t="str">
        <f t="shared" si="8"/>
        <v>DIANA LISBETH</v>
      </c>
      <c r="I1513" s="149" t="s">
        <v>681</v>
      </c>
      <c r="J1513" s="149" t="s">
        <v>473</v>
      </c>
      <c r="K1513" s="149" t="s">
        <v>2449</v>
      </c>
      <c r="L1513" s="168">
        <v>45617</v>
      </c>
      <c r="M1513" s="158"/>
      <c r="N1513" s="163">
        <v>2</v>
      </c>
      <c r="O1513" s="165" t="s">
        <v>446</v>
      </c>
      <c r="P1513" s="161">
        <v>3909.09</v>
      </c>
      <c r="Q1513" s="168">
        <v>45545</v>
      </c>
      <c r="R1513" s="153"/>
      <c r="S1513" s="153"/>
      <c r="T1513" s="153"/>
      <c r="U1513" s="153"/>
      <c r="V1513" s="153"/>
      <c r="W1513" s="153"/>
      <c r="X1513" s="153"/>
      <c r="Y1513" s="153"/>
      <c r="Z1513" s="153"/>
      <c r="AA1513" s="153"/>
    </row>
    <row r="1514" spans="1:27">
      <c r="A1514" s="219">
        <v>11</v>
      </c>
      <c r="B1514" s="220" t="s">
        <v>2329</v>
      </c>
      <c r="C1514" s="221">
        <v>45586</v>
      </c>
      <c r="D1514" s="220" t="s">
        <v>440</v>
      </c>
      <c r="E1514" s="149" t="s">
        <v>312</v>
      </c>
      <c r="F1514" s="149" t="s">
        <v>441</v>
      </c>
      <c r="G1514" s="149" t="s">
        <v>442</v>
      </c>
      <c r="H1514" s="149" t="str">
        <f t="shared" si="8"/>
        <v>ESTEFANÍA BERROCAL POSTIGO</v>
      </c>
      <c r="I1514" s="149" t="s">
        <v>927</v>
      </c>
      <c r="J1514" s="149" t="s">
        <v>455</v>
      </c>
      <c r="K1514" s="149" t="s">
        <v>2450</v>
      </c>
      <c r="L1514" s="168">
        <v>45617</v>
      </c>
      <c r="M1514" s="158"/>
      <c r="N1514" s="163">
        <v>1</v>
      </c>
      <c r="O1514" s="165" t="s">
        <v>449</v>
      </c>
      <c r="P1514" s="161">
        <v>1575.45</v>
      </c>
      <c r="Q1514" s="168">
        <v>45586</v>
      </c>
      <c r="R1514" s="153"/>
      <c r="S1514" s="153"/>
      <c r="T1514" s="153"/>
      <c r="U1514" s="153"/>
      <c r="V1514" s="153"/>
      <c r="W1514" s="153"/>
      <c r="X1514" s="153"/>
      <c r="Y1514" s="153"/>
      <c r="Z1514" s="153"/>
      <c r="AA1514" s="153"/>
    </row>
    <row r="1515" spans="1:27">
      <c r="A1515" s="219">
        <v>11</v>
      </c>
      <c r="B1515" s="220" t="s">
        <v>2329</v>
      </c>
      <c r="C1515" s="221">
        <v>45601</v>
      </c>
      <c r="D1515" s="220" t="s">
        <v>440</v>
      </c>
      <c r="E1515" s="149" t="s">
        <v>308</v>
      </c>
      <c r="F1515" s="149" t="s">
        <v>441</v>
      </c>
      <c r="G1515" s="149" t="s">
        <v>442</v>
      </c>
      <c r="H1515" s="149" t="str">
        <f t="shared" si="8"/>
        <v>OLGA ALDECOA JIMÉNEZ</v>
      </c>
      <c r="I1515" s="149" t="s">
        <v>2451</v>
      </c>
      <c r="J1515" s="149" t="s">
        <v>548</v>
      </c>
      <c r="K1515" s="149" t="s">
        <v>2452</v>
      </c>
      <c r="L1515" s="168">
        <v>45618</v>
      </c>
      <c r="M1515" s="158"/>
      <c r="N1515" s="163">
        <v>2</v>
      </c>
      <c r="O1515" s="165" t="s">
        <v>1540</v>
      </c>
      <c r="P1515" s="161">
        <v>4000</v>
      </c>
      <c r="Q1515" s="168">
        <v>45601</v>
      </c>
      <c r="R1515" s="153"/>
      <c r="S1515" s="153"/>
      <c r="T1515" s="153"/>
      <c r="U1515" s="153"/>
      <c r="V1515" s="153"/>
      <c r="W1515" s="153"/>
      <c r="X1515" s="153"/>
      <c r="Y1515" s="153"/>
      <c r="Z1515" s="153"/>
      <c r="AA1515" s="153"/>
    </row>
    <row r="1516" spans="1:27">
      <c r="A1516" s="219">
        <v>11</v>
      </c>
      <c r="B1516" s="220" t="s">
        <v>2329</v>
      </c>
      <c r="C1516" s="221">
        <v>45596</v>
      </c>
      <c r="D1516" s="220" t="s">
        <v>440</v>
      </c>
      <c r="E1516" s="149" t="s">
        <v>138</v>
      </c>
      <c r="F1516" s="149" t="s">
        <v>441</v>
      </c>
      <c r="G1516" s="149" t="s">
        <v>442</v>
      </c>
      <c r="H1516" s="149" t="str">
        <f t="shared" si="8"/>
        <v>JESUS-MARIA GRASA PÉREZ</v>
      </c>
      <c r="I1516" s="149" t="s">
        <v>591</v>
      </c>
      <c r="J1516" s="149" t="s">
        <v>532</v>
      </c>
      <c r="K1516" s="149" t="s">
        <v>2453</v>
      </c>
      <c r="L1516" s="168">
        <v>45618</v>
      </c>
      <c r="M1516" s="158"/>
      <c r="N1516" s="163">
        <v>1</v>
      </c>
      <c r="O1516" s="165" t="s">
        <v>446</v>
      </c>
      <c r="P1516" s="161">
        <v>2226.36</v>
      </c>
      <c r="Q1516" s="168">
        <v>45596</v>
      </c>
      <c r="R1516" s="153"/>
      <c r="S1516" s="153"/>
      <c r="T1516" s="153"/>
      <c r="U1516" s="153"/>
      <c r="V1516" s="153"/>
      <c r="W1516" s="153"/>
      <c r="X1516" s="153"/>
      <c r="Y1516" s="153"/>
      <c r="Z1516" s="153"/>
      <c r="AA1516" s="153"/>
    </row>
    <row r="1517" spans="1:27">
      <c r="A1517" s="219">
        <v>11</v>
      </c>
      <c r="B1517" s="220" t="s">
        <v>2329</v>
      </c>
      <c r="C1517" s="221">
        <v>45602</v>
      </c>
      <c r="D1517" s="220" t="s">
        <v>440</v>
      </c>
      <c r="E1517" s="149" t="s">
        <v>309</v>
      </c>
      <c r="F1517" s="149" t="s">
        <v>441</v>
      </c>
      <c r="G1517" s="149" t="s">
        <v>442</v>
      </c>
      <c r="H1517" s="149" t="str">
        <f t="shared" si="8"/>
        <v>JOSE JOAQUÍN GUTIÉRREZ BARQUÍN</v>
      </c>
      <c r="I1517" s="149" t="s">
        <v>716</v>
      </c>
      <c r="J1517" s="149" t="s">
        <v>444</v>
      </c>
      <c r="K1517" s="149" t="s">
        <v>2454</v>
      </c>
      <c r="L1517" s="168">
        <v>45618</v>
      </c>
      <c r="M1517" s="158"/>
      <c r="N1517" s="163">
        <v>2</v>
      </c>
      <c r="O1517" s="165" t="s">
        <v>449</v>
      </c>
      <c r="P1517" s="161">
        <v>3024.55</v>
      </c>
      <c r="Q1517" s="168">
        <v>45602</v>
      </c>
      <c r="R1517" s="153"/>
      <c r="S1517" s="153"/>
      <c r="T1517" s="153"/>
      <c r="U1517" s="153"/>
      <c r="V1517" s="153"/>
      <c r="W1517" s="153"/>
      <c r="X1517" s="153"/>
      <c r="Y1517" s="153"/>
      <c r="Z1517" s="153"/>
      <c r="AA1517" s="153"/>
    </row>
    <row r="1518" spans="1:27">
      <c r="A1518" s="219">
        <v>11</v>
      </c>
      <c r="B1518" s="220" t="s">
        <v>2329</v>
      </c>
      <c r="C1518" s="221">
        <v>45572</v>
      </c>
      <c r="D1518" s="220" t="s">
        <v>440</v>
      </c>
      <c r="E1518" s="149" t="s">
        <v>98</v>
      </c>
      <c r="F1518" s="149" t="s">
        <v>441</v>
      </c>
      <c r="G1518" s="149" t="s">
        <v>442</v>
      </c>
      <c r="H1518" s="149" t="str">
        <f t="shared" si="8"/>
        <v>MARÍA AGUSTINA SEVILLA GARCÍA</v>
      </c>
      <c r="I1518" s="149" t="s">
        <v>538</v>
      </c>
      <c r="J1518" s="149" t="s">
        <v>462</v>
      </c>
      <c r="K1518" s="149" t="s">
        <v>2455</v>
      </c>
      <c r="L1518" s="168">
        <v>45618</v>
      </c>
      <c r="M1518" s="158"/>
      <c r="N1518" s="163">
        <v>1</v>
      </c>
      <c r="O1518" s="165" t="s">
        <v>449</v>
      </c>
      <c r="P1518" s="161">
        <v>1733.08</v>
      </c>
      <c r="Q1518" s="168">
        <v>45572</v>
      </c>
      <c r="R1518" s="153"/>
      <c r="S1518" s="153"/>
      <c r="T1518" s="153"/>
      <c r="U1518" s="153"/>
      <c r="V1518" s="153"/>
      <c r="W1518" s="153"/>
      <c r="X1518" s="153"/>
      <c r="Y1518" s="153"/>
      <c r="Z1518" s="153"/>
      <c r="AA1518" s="153"/>
    </row>
    <row r="1519" spans="1:27">
      <c r="A1519" s="219">
        <v>11</v>
      </c>
      <c r="B1519" s="220" t="s">
        <v>2329</v>
      </c>
      <c r="C1519" s="221">
        <v>45581</v>
      </c>
      <c r="D1519" s="220" t="s">
        <v>440</v>
      </c>
      <c r="E1519" s="149" t="s">
        <v>213</v>
      </c>
      <c r="F1519" s="149" t="s">
        <v>441</v>
      </c>
      <c r="G1519" s="149" t="s">
        <v>442</v>
      </c>
      <c r="H1519" s="149" t="str">
        <f t="shared" si="8"/>
        <v>ESTHER SEBASTIÁN GIL</v>
      </c>
      <c r="I1519" s="149" t="s">
        <v>2456</v>
      </c>
      <c r="J1519" s="149" t="s">
        <v>636</v>
      </c>
      <c r="K1519" s="149" t="s">
        <v>2457</v>
      </c>
      <c r="L1519" s="168">
        <v>45618</v>
      </c>
      <c r="M1519" s="158"/>
      <c r="N1519" s="163">
        <v>1</v>
      </c>
      <c r="O1519" s="165" t="s">
        <v>1540</v>
      </c>
      <c r="P1519" s="161">
        <v>2280</v>
      </c>
      <c r="Q1519" s="168">
        <v>45581</v>
      </c>
      <c r="R1519" s="153"/>
      <c r="S1519" s="153"/>
      <c r="T1519" s="153"/>
      <c r="U1519" s="153"/>
      <c r="V1519" s="153"/>
      <c r="W1519" s="153"/>
      <c r="X1519" s="153"/>
      <c r="Y1519" s="153"/>
      <c r="Z1519" s="153"/>
      <c r="AA1519" s="153"/>
    </row>
    <row r="1520" spans="1:27">
      <c r="A1520" s="219">
        <v>11</v>
      </c>
      <c r="B1520" s="220" t="s">
        <v>2329</v>
      </c>
      <c r="C1520" s="221">
        <v>45463</v>
      </c>
      <c r="D1520" s="220" t="s">
        <v>440</v>
      </c>
      <c r="E1520" s="149" t="s">
        <v>190</v>
      </c>
      <c r="F1520" s="149" t="s">
        <v>441</v>
      </c>
      <c r="G1520" s="149" t="s">
        <v>442</v>
      </c>
      <c r="H1520" s="149" t="str">
        <f t="shared" si="8"/>
        <v>NATHALIE FAGES CÁRCELES</v>
      </c>
      <c r="I1520" s="149" t="s">
        <v>726</v>
      </c>
      <c r="J1520" s="149" t="s">
        <v>462</v>
      </c>
      <c r="K1520" s="149" t="s">
        <v>1741</v>
      </c>
      <c r="L1520" s="168">
        <v>45618</v>
      </c>
      <c r="M1520" s="158"/>
      <c r="N1520" s="163">
        <v>1</v>
      </c>
      <c r="O1520" s="165" t="s">
        <v>449</v>
      </c>
      <c r="P1520" s="161">
        <v>1376.36</v>
      </c>
      <c r="Q1520" s="168">
        <v>45463</v>
      </c>
      <c r="R1520" s="153"/>
      <c r="S1520" s="153"/>
      <c r="T1520" s="153"/>
      <c r="U1520" s="153"/>
      <c r="V1520" s="153"/>
      <c r="W1520" s="153"/>
      <c r="X1520" s="153"/>
      <c r="Y1520" s="153"/>
      <c r="Z1520" s="153"/>
      <c r="AA1520" s="153"/>
    </row>
    <row r="1521" spans="1:27">
      <c r="A1521" s="219">
        <v>11</v>
      </c>
      <c r="B1521" s="220" t="s">
        <v>2329</v>
      </c>
      <c r="C1521" s="221">
        <v>45558</v>
      </c>
      <c r="D1521" s="220" t="s">
        <v>440</v>
      </c>
      <c r="E1521" s="149" t="s">
        <v>1461</v>
      </c>
      <c r="F1521" s="149" t="s">
        <v>441</v>
      </c>
      <c r="G1521" s="149" t="s">
        <v>442</v>
      </c>
      <c r="H1521" s="149" t="str">
        <f t="shared" si="8"/>
        <v>MERCEDES ÁLVAREZ-BUYLLA BLANCO</v>
      </c>
      <c r="I1521" s="149" t="s">
        <v>584</v>
      </c>
      <c r="J1521" s="149" t="s">
        <v>516</v>
      </c>
      <c r="K1521" s="149" t="s">
        <v>2458</v>
      </c>
      <c r="L1521" s="168">
        <v>45618</v>
      </c>
      <c r="M1521" s="158"/>
      <c r="N1521" s="163">
        <v>2</v>
      </c>
      <c r="O1521" s="165" t="s">
        <v>446</v>
      </c>
      <c r="P1521" s="161">
        <v>3162.73</v>
      </c>
      <c r="Q1521" s="168">
        <v>45558</v>
      </c>
      <c r="R1521" s="153"/>
      <c r="S1521" s="153"/>
      <c r="T1521" s="153"/>
      <c r="U1521" s="153"/>
      <c r="V1521" s="153"/>
      <c r="W1521" s="153"/>
      <c r="X1521" s="153"/>
      <c r="Y1521" s="153"/>
      <c r="Z1521" s="153"/>
      <c r="AA1521" s="153"/>
    </row>
    <row r="1522" spans="1:27">
      <c r="A1522" s="219">
        <v>11</v>
      </c>
      <c r="B1522" s="220" t="s">
        <v>2329</v>
      </c>
      <c r="C1522" s="221">
        <v>45581</v>
      </c>
      <c r="D1522" s="220" t="s">
        <v>440</v>
      </c>
      <c r="E1522" s="149" t="s">
        <v>129</v>
      </c>
      <c r="F1522" s="149" t="s">
        <v>441</v>
      </c>
      <c r="G1522" s="149" t="s">
        <v>442</v>
      </c>
      <c r="H1522" s="149" t="str">
        <f t="shared" si="8"/>
        <v>MARÍA REY MARCOS</v>
      </c>
      <c r="I1522" s="149" t="s">
        <v>678</v>
      </c>
      <c r="J1522" s="149" t="s">
        <v>516</v>
      </c>
      <c r="K1522" s="149" t="s">
        <v>2459</v>
      </c>
      <c r="L1522" s="168">
        <v>45618</v>
      </c>
      <c r="M1522" s="158"/>
      <c r="N1522" s="163">
        <v>1</v>
      </c>
      <c r="O1522" s="165" t="s">
        <v>513</v>
      </c>
      <c r="P1522" s="161">
        <v>2640</v>
      </c>
      <c r="Q1522" s="168">
        <v>45581</v>
      </c>
      <c r="R1522" s="153"/>
      <c r="S1522" s="153"/>
      <c r="T1522" s="153"/>
      <c r="U1522" s="153"/>
      <c r="V1522" s="153"/>
      <c r="W1522" s="153"/>
      <c r="X1522" s="153"/>
      <c r="Y1522" s="153"/>
      <c r="Z1522" s="153"/>
      <c r="AA1522" s="153"/>
    </row>
    <row r="1523" spans="1:27">
      <c r="A1523" s="219">
        <v>11</v>
      </c>
      <c r="B1523" s="220" t="s">
        <v>2329</v>
      </c>
      <c r="C1523" s="221">
        <v>45566</v>
      </c>
      <c r="D1523" s="220" t="s">
        <v>440</v>
      </c>
      <c r="E1523" s="149" t="s">
        <v>315</v>
      </c>
      <c r="F1523" s="149" t="s">
        <v>441</v>
      </c>
      <c r="G1523" s="149" t="s">
        <v>442</v>
      </c>
      <c r="H1523" s="149" t="str">
        <f t="shared" si="8"/>
        <v>LAURA YEGUAS RAMÍREZ</v>
      </c>
      <c r="I1523" s="149" t="s">
        <v>786</v>
      </c>
      <c r="J1523" s="149" t="s">
        <v>444</v>
      </c>
      <c r="K1523" s="149" t="s">
        <v>2460</v>
      </c>
      <c r="L1523" s="168">
        <v>45621</v>
      </c>
      <c r="M1523" s="158"/>
      <c r="N1523" s="163">
        <v>2</v>
      </c>
      <c r="O1523" s="165" t="s">
        <v>1540</v>
      </c>
      <c r="P1523" s="161">
        <v>4000</v>
      </c>
      <c r="Q1523" s="168">
        <v>45566</v>
      </c>
      <c r="R1523" s="153"/>
      <c r="S1523" s="153"/>
      <c r="T1523" s="153"/>
      <c r="U1523" s="153"/>
      <c r="V1523" s="153"/>
      <c r="W1523" s="153"/>
      <c r="X1523" s="153"/>
      <c r="Y1523" s="153"/>
      <c r="Z1523" s="153"/>
      <c r="AA1523" s="153"/>
    </row>
    <row r="1524" spans="1:27">
      <c r="A1524" s="219">
        <v>11</v>
      </c>
      <c r="B1524" s="220" t="s">
        <v>2329</v>
      </c>
      <c r="C1524" s="221">
        <v>45552</v>
      </c>
      <c r="D1524" s="220" t="s">
        <v>440</v>
      </c>
      <c r="E1524" s="149" t="s">
        <v>309</v>
      </c>
      <c r="F1524" s="149" t="s">
        <v>441</v>
      </c>
      <c r="G1524" s="149" t="s">
        <v>442</v>
      </c>
      <c r="H1524" s="149" t="str">
        <f t="shared" si="8"/>
        <v>JOSE JOAQUÍN GUTIÉRREZ BARQUÍN</v>
      </c>
      <c r="I1524" s="149" t="s">
        <v>716</v>
      </c>
      <c r="J1524" s="149" t="s">
        <v>444</v>
      </c>
      <c r="K1524" s="149" t="s">
        <v>2461</v>
      </c>
      <c r="L1524" s="168">
        <v>45621</v>
      </c>
      <c r="M1524" s="158"/>
      <c r="N1524" s="163">
        <v>2</v>
      </c>
      <c r="O1524" s="165" t="s">
        <v>446</v>
      </c>
      <c r="P1524" s="161">
        <v>3846.36</v>
      </c>
      <c r="Q1524" s="168">
        <v>45552</v>
      </c>
      <c r="R1524" s="153"/>
      <c r="S1524" s="153"/>
      <c r="T1524" s="153"/>
      <c r="U1524" s="153"/>
      <c r="V1524" s="153"/>
      <c r="W1524" s="153"/>
      <c r="X1524" s="153"/>
      <c r="Y1524" s="153"/>
      <c r="Z1524" s="153"/>
      <c r="AA1524" s="153"/>
    </row>
    <row r="1525" spans="1:27">
      <c r="A1525" s="219">
        <v>11</v>
      </c>
      <c r="B1525" s="220" t="s">
        <v>2329</v>
      </c>
      <c r="C1525" s="221">
        <v>45552</v>
      </c>
      <c r="D1525" s="220" t="s">
        <v>440</v>
      </c>
      <c r="E1525" s="149" t="s">
        <v>164</v>
      </c>
      <c r="F1525" s="149" t="s">
        <v>441</v>
      </c>
      <c r="G1525" s="149" t="s">
        <v>442</v>
      </c>
      <c r="H1525" s="149" t="str">
        <f t="shared" si="8"/>
        <v>JULIO LÓPEZ MOYA</v>
      </c>
      <c r="I1525" s="149" t="s">
        <v>504</v>
      </c>
      <c r="J1525" s="149" t="s">
        <v>444</v>
      </c>
      <c r="K1525" s="149" t="s">
        <v>2462</v>
      </c>
      <c r="L1525" s="168">
        <v>45621</v>
      </c>
      <c r="M1525" s="158"/>
      <c r="N1525" s="163">
        <v>2</v>
      </c>
      <c r="O1525" s="165" t="s">
        <v>446</v>
      </c>
      <c r="P1525" s="161">
        <v>3846.36</v>
      </c>
      <c r="Q1525" s="168">
        <v>45552</v>
      </c>
      <c r="R1525" s="153"/>
      <c r="S1525" s="153"/>
      <c r="T1525" s="153"/>
      <c r="U1525" s="153"/>
      <c r="V1525" s="153"/>
      <c r="W1525" s="153"/>
      <c r="X1525" s="153"/>
      <c r="Y1525" s="153"/>
      <c r="Z1525" s="153"/>
      <c r="AA1525" s="153"/>
    </row>
    <row r="1526" spans="1:27">
      <c r="A1526" s="219">
        <v>11</v>
      </c>
      <c r="B1526" s="220" t="s">
        <v>2329</v>
      </c>
      <c r="C1526" s="221">
        <v>45588</v>
      </c>
      <c r="D1526" s="220" t="s">
        <v>440</v>
      </c>
      <c r="E1526" s="149" t="s">
        <v>239</v>
      </c>
      <c r="F1526" s="149" t="s">
        <v>441</v>
      </c>
      <c r="G1526" s="149" t="s">
        <v>442</v>
      </c>
      <c r="H1526" s="149" t="str">
        <f t="shared" si="8"/>
        <v>JOSE MARIA HERNANDEZ HERNANDEZ</v>
      </c>
      <c r="I1526" s="149" t="s">
        <v>2463</v>
      </c>
      <c r="J1526" s="149" t="s">
        <v>455</v>
      </c>
      <c r="K1526" s="149" t="s">
        <v>2464</v>
      </c>
      <c r="L1526" s="168">
        <v>45621</v>
      </c>
      <c r="M1526" s="158"/>
      <c r="N1526" s="163">
        <v>2</v>
      </c>
      <c r="O1526" s="165" t="s">
        <v>1540</v>
      </c>
      <c r="P1526" s="161">
        <v>4000</v>
      </c>
      <c r="Q1526" s="168">
        <v>45588</v>
      </c>
      <c r="R1526" s="153"/>
      <c r="S1526" s="153"/>
      <c r="T1526" s="153"/>
      <c r="U1526" s="153"/>
      <c r="V1526" s="153"/>
      <c r="W1526" s="153"/>
      <c r="X1526" s="153"/>
      <c r="Y1526" s="153"/>
      <c r="Z1526" s="153"/>
      <c r="AA1526" s="153"/>
    </row>
    <row r="1527" spans="1:27">
      <c r="A1527" s="219">
        <v>11</v>
      </c>
      <c r="B1527" s="220" t="s">
        <v>2329</v>
      </c>
      <c r="C1527" s="221">
        <v>45576</v>
      </c>
      <c r="D1527" s="220" t="s">
        <v>440</v>
      </c>
      <c r="E1527" s="149" t="s">
        <v>239</v>
      </c>
      <c r="F1527" s="149" t="s">
        <v>441</v>
      </c>
      <c r="G1527" s="149" t="s">
        <v>442</v>
      </c>
      <c r="H1527" s="149" t="str">
        <f t="shared" si="8"/>
        <v>JOSE MARIA HERNANDEZ HERNANDEZ</v>
      </c>
      <c r="I1527" s="149" t="s">
        <v>2463</v>
      </c>
      <c r="J1527" s="149" t="s">
        <v>455</v>
      </c>
      <c r="K1527" s="149" t="s">
        <v>2465</v>
      </c>
      <c r="L1527" s="168">
        <v>45621</v>
      </c>
      <c r="M1527" s="158"/>
      <c r="N1527" s="163">
        <v>2</v>
      </c>
      <c r="O1527" s="165" t="s">
        <v>1540</v>
      </c>
      <c r="P1527" s="161">
        <v>4000</v>
      </c>
      <c r="Q1527" s="168">
        <v>45576</v>
      </c>
      <c r="R1527" s="153"/>
      <c r="S1527" s="153"/>
      <c r="T1527" s="153"/>
      <c r="U1527" s="153"/>
      <c r="V1527" s="153"/>
      <c r="W1527" s="153"/>
      <c r="X1527" s="153"/>
      <c r="Y1527" s="153"/>
      <c r="Z1527" s="153"/>
      <c r="AA1527" s="153"/>
    </row>
    <row r="1528" spans="1:27">
      <c r="A1528" s="219">
        <v>11</v>
      </c>
      <c r="B1528" s="220" t="s">
        <v>2329</v>
      </c>
      <c r="C1528" s="221">
        <v>45600</v>
      </c>
      <c r="D1528" s="220" t="s">
        <v>440</v>
      </c>
      <c r="E1528" s="149" t="s">
        <v>201</v>
      </c>
      <c r="F1528" s="149" t="s">
        <v>441</v>
      </c>
      <c r="G1528" s="149" t="s">
        <v>442</v>
      </c>
      <c r="H1528" s="149" t="str">
        <f t="shared" si="8"/>
        <v>CARLOS FELIX ASENSIO NIETO</v>
      </c>
      <c r="I1528" s="149" t="s">
        <v>2466</v>
      </c>
      <c r="J1528" s="149" t="s">
        <v>548</v>
      </c>
      <c r="K1528" s="149" t="s">
        <v>2467</v>
      </c>
      <c r="L1528" s="168">
        <v>45621</v>
      </c>
      <c r="M1528" s="158"/>
      <c r="N1528" s="163">
        <v>2</v>
      </c>
      <c r="O1528" s="165" t="s">
        <v>1540</v>
      </c>
      <c r="P1528" s="161">
        <v>4000</v>
      </c>
      <c r="Q1528" s="168">
        <v>45600</v>
      </c>
      <c r="R1528" s="153"/>
      <c r="S1528" s="153"/>
      <c r="T1528" s="153"/>
      <c r="U1528" s="153"/>
      <c r="V1528" s="153"/>
      <c r="W1528" s="153"/>
      <c r="X1528" s="153"/>
      <c r="Y1528" s="153"/>
      <c r="Z1528" s="153"/>
      <c r="AA1528" s="153"/>
    </row>
    <row r="1529" spans="1:27">
      <c r="A1529" s="219">
        <v>11</v>
      </c>
      <c r="B1529" s="220" t="s">
        <v>2329</v>
      </c>
      <c r="C1529" s="221">
        <v>45588</v>
      </c>
      <c r="D1529" s="220" t="s">
        <v>440</v>
      </c>
      <c r="E1529" s="149" t="s">
        <v>115</v>
      </c>
      <c r="F1529" s="149" t="s">
        <v>441</v>
      </c>
      <c r="G1529" s="149" t="s">
        <v>442</v>
      </c>
      <c r="H1529" s="149" t="str">
        <f t="shared" si="8"/>
        <v>MARÍA GARROTE GARROTE</v>
      </c>
      <c r="I1529" s="149" t="s">
        <v>447</v>
      </c>
      <c r="J1529" s="149" t="s">
        <v>444</v>
      </c>
      <c r="K1529" s="149" t="s">
        <v>2468</v>
      </c>
      <c r="L1529" s="168">
        <v>45621</v>
      </c>
      <c r="M1529" s="158"/>
      <c r="N1529" s="163">
        <v>2</v>
      </c>
      <c r="O1529" s="165" t="s">
        <v>446</v>
      </c>
      <c r="P1529" s="161">
        <v>3523.64</v>
      </c>
      <c r="Q1529" s="168">
        <v>45588</v>
      </c>
      <c r="R1529" s="153"/>
      <c r="S1529" s="153"/>
      <c r="T1529" s="153"/>
      <c r="U1529" s="153"/>
      <c r="V1529" s="153"/>
      <c r="W1529" s="153"/>
      <c r="X1529" s="153"/>
      <c r="Y1529" s="153"/>
      <c r="Z1529" s="153"/>
      <c r="AA1529" s="153"/>
    </row>
    <row r="1530" spans="1:27">
      <c r="A1530" s="219">
        <v>11</v>
      </c>
      <c r="B1530" s="220" t="s">
        <v>2329</v>
      </c>
      <c r="C1530" s="221">
        <v>45568</v>
      </c>
      <c r="D1530" s="220" t="s">
        <v>440</v>
      </c>
      <c r="E1530" s="149" t="s">
        <v>514</v>
      </c>
      <c r="F1530" s="149" t="s">
        <v>441</v>
      </c>
      <c r="G1530" s="149" t="s">
        <v>442</v>
      </c>
      <c r="H1530" s="149" t="str">
        <f t="shared" si="8"/>
        <v>ISABEL VAAMONDE SANCHEZ ANDRADE</v>
      </c>
      <c r="I1530" s="149" t="s">
        <v>814</v>
      </c>
      <c r="J1530" s="149" t="s">
        <v>516</v>
      </c>
      <c r="K1530" s="149" t="s">
        <v>2469</v>
      </c>
      <c r="L1530" s="168">
        <v>45621</v>
      </c>
      <c r="M1530" s="158"/>
      <c r="N1530" s="163">
        <v>2</v>
      </c>
      <c r="O1530" s="165" t="s">
        <v>518</v>
      </c>
      <c r="P1530" s="161">
        <v>2654.55</v>
      </c>
      <c r="Q1530" s="168">
        <v>45568</v>
      </c>
      <c r="R1530" s="153"/>
      <c r="S1530" s="153"/>
      <c r="T1530" s="153"/>
      <c r="U1530" s="153"/>
      <c r="V1530" s="153"/>
      <c r="W1530" s="153"/>
      <c r="X1530" s="153"/>
      <c r="Y1530" s="153"/>
      <c r="Z1530" s="153"/>
      <c r="AA1530" s="153"/>
    </row>
    <row r="1531" spans="1:27">
      <c r="A1531" s="219">
        <v>11</v>
      </c>
      <c r="B1531" s="220" t="s">
        <v>2329</v>
      </c>
      <c r="C1531" s="221">
        <v>45582</v>
      </c>
      <c r="D1531" s="220" t="s">
        <v>440</v>
      </c>
      <c r="E1531" s="149" t="s">
        <v>109</v>
      </c>
      <c r="F1531" s="149" t="s">
        <v>441</v>
      </c>
      <c r="G1531" s="149" t="s">
        <v>442</v>
      </c>
      <c r="H1531" s="149" t="str">
        <f t="shared" si="8"/>
        <v>ANTONIO RODRÍGUEZ RIVERO</v>
      </c>
      <c r="I1531" s="149" t="s">
        <v>443</v>
      </c>
      <c r="J1531" s="149" t="s">
        <v>444</v>
      </c>
      <c r="K1531" s="149" t="s">
        <v>2470</v>
      </c>
      <c r="L1531" s="168">
        <v>45622</v>
      </c>
      <c r="M1531" s="158"/>
      <c r="N1531" s="163">
        <v>2</v>
      </c>
      <c r="O1531" s="165" t="s">
        <v>1540</v>
      </c>
      <c r="P1531" s="161">
        <v>3800</v>
      </c>
      <c r="Q1531" s="168">
        <v>45582</v>
      </c>
      <c r="R1531" s="153"/>
      <c r="S1531" s="153"/>
      <c r="T1531" s="153"/>
      <c r="U1531" s="153"/>
      <c r="V1531" s="153"/>
      <c r="W1531" s="153"/>
      <c r="X1531" s="153"/>
      <c r="Y1531" s="153"/>
      <c r="Z1531" s="153"/>
      <c r="AA1531" s="153"/>
    </row>
    <row r="1532" spans="1:27">
      <c r="A1532" s="219">
        <v>11</v>
      </c>
      <c r="B1532" s="220" t="s">
        <v>2329</v>
      </c>
      <c r="C1532" s="221">
        <v>45594</v>
      </c>
      <c r="D1532" s="220" t="s">
        <v>440</v>
      </c>
      <c r="E1532" s="149" t="s">
        <v>309</v>
      </c>
      <c r="F1532" s="149" t="s">
        <v>441</v>
      </c>
      <c r="G1532" s="149" t="s">
        <v>442</v>
      </c>
      <c r="H1532" s="149" t="str">
        <f t="shared" si="8"/>
        <v>FÉLIX RODRÍGUEZ PAZ</v>
      </c>
      <c r="I1532" s="149" t="s">
        <v>818</v>
      </c>
      <c r="J1532" s="149" t="s">
        <v>444</v>
      </c>
      <c r="K1532" s="149" t="s">
        <v>2471</v>
      </c>
      <c r="L1532" s="168">
        <v>45622</v>
      </c>
      <c r="M1532" s="158"/>
      <c r="N1532" s="163">
        <v>2</v>
      </c>
      <c r="O1532" s="165" t="s">
        <v>446</v>
      </c>
      <c r="P1532" s="161">
        <v>3654.55</v>
      </c>
      <c r="Q1532" s="168">
        <v>45594</v>
      </c>
      <c r="R1532" s="153"/>
      <c r="S1532" s="153"/>
      <c r="T1532" s="153"/>
      <c r="U1532" s="153"/>
      <c r="V1532" s="153"/>
      <c r="W1532" s="153"/>
      <c r="X1532" s="153"/>
      <c r="Y1532" s="153"/>
      <c r="Z1532" s="153"/>
      <c r="AA1532" s="153"/>
    </row>
    <row r="1533" spans="1:27">
      <c r="A1533" s="219">
        <v>11</v>
      </c>
      <c r="B1533" s="220" t="s">
        <v>2329</v>
      </c>
      <c r="C1533" s="221">
        <v>45582</v>
      </c>
      <c r="D1533" s="220" t="s">
        <v>440</v>
      </c>
      <c r="E1533" s="149" t="s">
        <v>102</v>
      </c>
      <c r="F1533" s="149" t="s">
        <v>441</v>
      </c>
      <c r="G1533" s="149" t="s">
        <v>442</v>
      </c>
      <c r="H1533" s="149" t="str">
        <f t="shared" si="8"/>
        <v>JUAN JAVIER ÁLVAREZ LÓPEZ</v>
      </c>
      <c r="I1533" s="149" t="s">
        <v>664</v>
      </c>
      <c r="J1533" s="149" t="s">
        <v>462</v>
      </c>
      <c r="K1533" s="149" t="s">
        <v>2472</v>
      </c>
      <c r="L1533" s="168">
        <v>45622</v>
      </c>
      <c r="M1533" s="158"/>
      <c r="N1533" s="163">
        <v>2</v>
      </c>
      <c r="O1533" s="165" t="s">
        <v>1540</v>
      </c>
      <c r="P1533" s="161">
        <v>4000</v>
      </c>
      <c r="Q1533" s="168">
        <v>45582</v>
      </c>
      <c r="R1533" s="153"/>
      <c r="S1533" s="153"/>
      <c r="T1533" s="153"/>
      <c r="U1533" s="153"/>
      <c r="V1533" s="153"/>
      <c r="W1533" s="153"/>
      <c r="X1533" s="153"/>
      <c r="Y1533" s="153"/>
      <c r="Z1533" s="153"/>
      <c r="AA1533" s="153"/>
    </row>
    <row r="1534" spans="1:27">
      <c r="A1534" s="219">
        <v>11</v>
      </c>
      <c r="B1534" s="220" t="s">
        <v>2329</v>
      </c>
      <c r="C1534" s="221">
        <v>45433</v>
      </c>
      <c r="D1534" s="220" t="s">
        <v>440</v>
      </c>
      <c r="E1534" s="149" t="s">
        <v>115</v>
      </c>
      <c r="F1534" s="149" t="s">
        <v>441</v>
      </c>
      <c r="G1534" s="149" t="s">
        <v>442</v>
      </c>
      <c r="H1534" s="149" t="str">
        <f t="shared" si="8"/>
        <v>GUSTAVO CÓRDOVA RAMOS</v>
      </c>
      <c r="I1534" s="149" t="s">
        <v>1054</v>
      </c>
      <c r="J1534" s="149" t="s">
        <v>444</v>
      </c>
      <c r="K1534" s="149" t="s">
        <v>2473</v>
      </c>
      <c r="L1534" s="168">
        <v>45622</v>
      </c>
      <c r="M1534" s="158"/>
      <c r="N1534" s="163">
        <v>2</v>
      </c>
      <c r="O1534" s="165" t="s">
        <v>446</v>
      </c>
      <c r="P1534" s="161">
        <v>3710</v>
      </c>
      <c r="Q1534" s="168">
        <v>45433</v>
      </c>
      <c r="R1534" s="153"/>
      <c r="S1534" s="153"/>
      <c r="T1534" s="153"/>
      <c r="U1534" s="153"/>
      <c r="V1534" s="153"/>
      <c r="W1534" s="153"/>
      <c r="X1534" s="153"/>
      <c r="Y1534" s="153"/>
      <c r="Z1534" s="153"/>
      <c r="AA1534" s="153"/>
    </row>
    <row r="1535" spans="1:27">
      <c r="A1535" s="219">
        <v>11</v>
      </c>
      <c r="B1535" s="220" t="s">
        <v>2329</v>
      </c>
      <c r="C1535" s="221">
        <v>45552</v>
      </c>
      <c r="D1535" s="220" t="s">
        <v>440</v>
      </c>
      <c r="E1535" s="149" t="s">
        <v>213</v>
      </c>
      <c r="F1535" s="149" t="s">
        <v>441</v>
      </c>
      <c r="G1535" s="149" t="s">
        <v>442</v>
      </c>
      <c r="H1535" s="149" t="str">
        <f t="shared" si="8"/>
        <v>MANUEL MATEOS FERNÁNDEZ</v>
      </c>
      <c r="I1535" s="149" t="s">
        <v>1608</v>
      </c>
      <c r="J1535" s="149" t="s">
        <v>636</v>
      </c>
      <c r="K1535" s="149" t="s">
        <v>2474</v>
      </c>
      <c r="L1535" s="168">
        <v>45622</v>
      </c>
      <c r="M1535" s="158"/>
      <c r="N1535" s="163">
        <v>1</v>
      </c>
      <c r="O1535" s="165" t="s">
        <v>446</v>
      </c>
      <c r="P1535" s="161">
        <v>1976.36</v>
      </c>
      <c r="Q1535" s="168">
        <v>45552</v>
      </c>
      <c r="R1535" s="153"/>
      <c r="S1535" s="153"/>
      <c r="T1535" s="153"/>
      <c r="U1535" s="153"/>
      <c r="V1535" s="153"/>
      <c r="W1535" s="153"/>
      <c r="X1535" s="153"/>
      <c r="Y1535" s="153"/>
      <c r="Z1535" s="153"/>
      <c r="AA1535" s="153"/>
    </row>
    <row r="1536" spans="1:27">
      <c r="A1536" s="219">
        <v>11</v>
      </c>
      <c r="B1536" s="220" t="s">
        <v>2329</v>
      </c>
      <c r="C1536" s="221">
        <v>45506</v>
      </c>
      <c r="D1536" s="220" t="s">
        <v>440</v>
      </c>
      <c r="E1536" s="149" t="s">
        <v>506</v>
      </c>
      <c r="F1536" s="149" t="s">
        <v>441</v>
      </c>
      <c r="G1536" s="149" t="s">
        <v>442</v>
      </c>
      <c r="H1536" s="149" t="str">
        <f t="shared" si="8"/>
        <v>MARÍA JESÚS CORNEJO DOMÍNGUEZ</v>
      </c>
      <c r="I1536" s="149" t="s">
        <v>507</v>
      </c>
      <c r="J1536" s="149" t="s">
        <v>473</v>
      </c>
      <c r="K1536" s="149" t="s">
        <v>2475</v>
      </c>
      <c r="L1536" s="168">
        <v>45622</v>
      </c>
      <c r="M1536" s="158"/>
      <c r="N1536" s="163">
        <v>2</v>
      </c>
      <c r="O1536" s="165" t="s">
        <v>446</v>
      </c>
      <c r="P1536" s="161">
        <v>3604.55</v>
      </c>
      <c r="Q1536" s="168">
        <v>45506</v>
      </c>
      <c r="R1536" s="153"/>
      <c r="S1536" s="153"/>
      <c r="T1536" s="153"/>
      <c r="U1536" s="153"/>
      <c r="V1536" s="153"/>
      <c r="W1536" s="153"/>
      <c r="X1536" s="153"/>
      <c r="Y1536" s="153"/>
      <c r="Z1536" s="153"/>
      <c r="AA1536" s="153"/>
    </row>
    <row r="1537" spans="1:27">
      <c r="A1537" s="219">
        <v>11</v>
      </c>
      <c r="B1537" s="220" t="s">
        <v>2329</v>
      </c>
      <c r="C1537" s="221">
        <v>45532</v>
      </c>
      <c r="D1537" s="220" t="s">
        <v>440</v>
      </c>
      <c r="E1537" s="149" t="s">
        <v>129</v>
      </c>
      <c r="F1537" s="149" t="s">
        <v>441</v>
      </c>
      <c r="G1537" s="149" t="s">
        <v>442</v>
      </c>
      <c r="H1537" s="149" t="str">
        <f t="shared" si="8"/>
        <v>ANA QUINTANA SANJUAN</v>
      </c>
      <c r="I1537" s="149" t="s">
        <v>925</v>
      </c>
      <c r="J1537" s="149" t="s">
        <v>516</v>
      </c>
      <c r="K1537" s="149" t="s">
        <v>2476</v>
      </c>
      <c r="L1537" s="168">
        <v>45622</v>
      </c>
      <c r="M1537" s="158"/>
      <c r="N1537" s="163">
        <v>2</v>
      </c>
      <c r="O1537" s="165" t="s">
        <v>466</v>
      </c>
      <c r="P1537" s="161">
        <v>3999.85</v>
      </c>
      <c r="Q1537" s="168">
        <v>45532</v>
      </c>
      <c r="R1537" s="153"/>
      <c r="S1537" s="153"/>
      <c r="T1537" s="153"/>
      <c r="U1537" s="153"/>
      <c r="V1537" s="153"/>
      <c r="W1537" s="153"/>
      <c r="X1537" s="153"/>
      <c r="Y1537" s="153"/>
      <c r="Z1537" s="153"/>
      <c r="AA1537" s="153"/>
    </row>
    <row r="1538" spans="1:27">
      <c r="A1538" s="219">
        <v>11</v>
      </c>
      <c r="B1538" s="220" t="s">
        <v>2329</v>
      </c>
      <c r="C1538" s="221">
        <v>45572</v>
      </c>
      <c r="D1538" s="220" t="s">
        <v>440</v>
      </c>
      <c r="E1538" s="149" t="s">
        <v>501</v>
      </c>
      <c r="F1538" s="149" t="s">
        <v>441</v>
      </c>
      <c r="G1538" s="149" t="s">
        <v>442</v>
      </c>
      <c r="H1538" s="149" t="str">
        <f t="shared" si="8"/>
        <v>ANTONIO SÁNCHEZ DEL HOYO</v>
      </c>
      <c r="I1538" s="149" t="s">
        <v>2477</v>
      </c>
      <c r="J1538" s="149" t="s">
        <v>548</v>
      </c>
      <c r="K1538" s="149" t="s">
        <v>2478</v>
      </c>
      <c r="L1538" s="168">
        <v>45622</v>
      </c>
      <c r="M1538" s="158"/>
      <c r="N1538" s="163">
        <v>2</v>
      </c>
      <c r="O1538" s="165" t="s">
        <v>446</v>
      </c>
      <c r="P1538" s="161">
        <v>3454.55</v>
      </c>
      <c r="Q1538" s="168">
        <v>45572</v>
      </c>
      <c r="R1538" s="153"/>
      <c r="S1538" s="153"/>
      <c r="T1538" s="153"/>
      <c r="U1538" s="153"/>
      <c r="V1538" s="153"/>
      <c r="W1538" s="153"/>
      <c r="X1538" s="153"/>
      <c r="Y1538" s="153"/>
      <c r="Z1538" s="153"/>
      <c r="AA1538" s="153"/>
    </row>
    <row r="1539" spans="1:27">
      <c r="A1539" s="219">
        <v>11</v>
      </c>
      <c r="B1539" s="220" t="s">
        <v>2329</v>
      </c>
      <c r="C1539" s="221">
        <v>45580</v>
      </c>
      <c r="D1539" s="220" t="s">
        <v>440</v>
      </c>
      <c r="E1539" s="149" t="s">
        <v>525</v>
      </c>
      <c r="F1539" s="149" t="s">
        <v>441</v>
      </c>
      <c r="G1539" s="149" t="s">
        <v>442</v>
      </c>
      <c r="H1539" s="149" t="str">
        <f t="shared" si="8"/>
        <v>PILAR CASTRO RUIZ</v>
      </c>
      <c r="I1539" s="149" t="s">
        <v>526</v>
      </c>
      <c r="J1539" s="149" t="s">
        <v>516</v>
      </c>
      <c r="K1539" s="149" t="s">
        <v>2479</v>
      </c>
      <c r="L1539" s="168">
        <v>45622</v>
      </c>
      <c r="M1539" s="158"/>
      <c r="N1539" s="163">
        <v>2</v>
      </c>
      <c r="O1539" s="165" t="s">
        <v>446</v>
      </c>
      <c r="P1539" s="161">
        <v>3454.55</v>
      </c>
      <c r="Q1539" s="168">
        <v>45580</v>
      </c>
      <c r="R1539" s="153"/>
      <c r="S1539" s="153"/>
      <c r="T1539" s="153"/>
      <c r="U1539" s="153"/>
      <c r="V1539" s="153"/>
      <c r="W1539" s="153"/>
      <c r="X1539" s="153"/>
      <c r="Y1539" s="153"/>
      <c r="Z1539" s="153"/>
      <c r="AA1539" s="153"/>
    </row>
    <row r="1540" spans="1:27">
      <c r="A1540" s="219">
        <v>11</v>
      </c>
      <c r="B1540" s="220" t="s">
        <v>2329</v>
      </c>
      <c r="C1540" s="221">
        <v>45587</v>
      </c>
      <c r="D1540" s="220" t="s">
        <v>440</v>
      </c>
      <c r="E1540" s="149" t="s">
        <v>501</v>
      </c>
      <c r="F1540" s="149" t="s">
        <v>441</v>
      </c>
      <c r="G1540" s="149" t="s">
        <v>442</v>
      </c>
      <c r="H1540" s="149" t="str">
        <f t="shared" si="8"/>
        <v>GARIKOITZ CALZADA URIONDO</v>
      </c>
      <c r="I1540" s="149" t="s">
        <v>1246</v>
      </c>
      <c r="J1540" s="149" t="s">
        <v>548</v>
      </c>
      <c r="K1540" s="149" t="s">
        <v>2480</v>
      </c>
      <c r="L1540" s="168">
        <v>45622</v>
      </c>
      <c r="M1540" s="158"/>
      <c r="N1540" s="163">
        <v>2</v>
      </c>
      <c r="O1540" s="165" t="s">
        <v>446</v>
      </c>
      <c r="P1540" s="161">
        <v>3454.55</v>
      </c>
      <c r="Q1540" s="168">
        <v>45587</v>
      </c>
      <c r="R1540" s="153"/>
      <c r="S1540" s="153"/>
      <c r="T1540" s="153"/>
      <c r="U1540" s="153"/>
      <c r="V1540" s="153"/>
      <c r="W1540" s="153"/>
      <c r="X1540" s="153"/>
      <c r="Y1540" s="153"/>
      <c r="Z1540" s="153"/>
      <c r="AA1540" s="153"/>
    </row>
    <row r="1541" spans="1:27">
      <c r="A1541" s="219">
        <v>11</v>
      </c>
      <c r="B1541" s="220" t="s">
        <v>2329</v>
      </c>
      <c r="C1541" s="221">
        <v>45594</v>
      </c>
      <c r="D1541" s="220" t="s">
        <v>440</v>
      </c>
      <c r="E1541" s="149" t="s">
        <v>318</v>
      </c>
      <c r="F1541" s="149" t="s">
        <v>441</v>
      </c>
      <c r="G1541" s="149" t="s">
        <v>442</v>
      </c>
      <c r="H1541" s="149" t="str">
        <f t="shared" si="8"/>
        <v>LUIS MEGÍAS GÁMIZ</v>
      </c>
      <c r="I1541" s="149" t="s">
        <v>745</v>
      </c>
      <c r="J1541" s="149" t="s">
        <v>462</v>
      </c>
      <c r="K1541" s="149" t="s">
        <v>2481</v>
      </c>
      <c r="L1541" s="168">
        <v>45623</v>
      </c>
      <c r="M1541" s="158"/>
      <c r="N1541" s="163">
        <v>2</v>
      </c>
      <c r="O1541" s="165" t="s">
        <v>446</v>
      </c>
      <c r="P1541" s="161">
        <v>3710</v>
      </c>
      <c r="Q1541" s="168">
        <v>45594</v>
      </c>
      <c r="R1541" s="153"/>
      <c r="S1541" s="153"/>
      <c r="T1541" s="153"/>
      <c r="U1541" s="153"/>
      <c r="V1541" s="153"/>
      <c r="W1541" s="153"/>
      <c r="X1541" s="153"/>
      <c r="Y1541" s="153"/>
      <c r="Z1541" s="153"/>
      <c r="AA1541" s="153"/>
    </row>
    <row r="1542" spans="1:27">
      <c r="A1542" s="219">
        <v>11</v>
      </c>
      <c r="B1542" s="220" t="s">
        <v>2329</v>
      </c>
      <c r="C1542" s="221">
        <v>45558</v>
      </c>
      <c r="D1542" s="220" t="s">
        <v>440</v>
      </c>
      <c r="E1542" s="149" t="s">
        <v>109</v>
      </c>
      <c r="F1542" s="149" t="s">
        <v>441</v>
      </c>
      <c r="G1542" s="149" t="s">
        <v>442</v>
      </c>
      <c r="H1542" s="149" t="str">
        <f t="shared" si="8"/>
        <v>ANTONIO RODRÍGUEZ RIVERO</v>
      </c>
      <c r="I1542" s="149" t="s">
        <v>443</v>
      </c>
      <c r="J1542" s="149" t="s">
        <v>444</v>
      </c>
      <c r="K1542" s="149" t="s">
        <v>2482</v>
      </c>
      <c r="L1542" s="168">
        <v>45623</v>
      </c>
      <c r="M1542" s="158"/>
      <c r="N1542" s="163">
        <v>2</v>
      </c>
      <c r="O1542" s="165" t="s">
        <v>1540</v>
      </c>
      <c r="P1542" s="161">
        <v>4000</v>
      </c>
      <c r="Q1542" s="168">
        <v>45558</v>
      </c>
      <c r="R1542" s="153"/>
      <c r="S1542" s="153"/>
      <c r="T1542" s="153"/>
      <c r="U1542" s="153"/>
      <c r="V1542" s="153"/>
      <c r="W1542" s="153"/>
      <c r="X1542" s="153"/>
      <c r="Y1542" s="153"/>
      <c r="Z1542" s="153"/>
      <c r="AA1542" s="153"/>
    </row>
    <row r="1543" spans="1:27">
      <c r="A1543" s="219">
        <v>11</v>
      </c>
      <c r="B1543" s="220" t="s">
        <v>2329</v>
      </c>
      <c r="C1543" s="221">
        <v>45607</v>
      </c>
      <c r="D1543" s="220" t="s">
        <v>440</v>
      </c>
      <c r="E1543" s="149" t="s">
        <v>158</v>
      </c>
      <c r="F1543" s="149" t="s">
        <v>441</v>
      </c>
      <c r="G1543" s="149" t="s">
        <v>442</v>
      </c>
      <c r="H1543" s="149" t="str">
        <f t="shared" si="8"/>
        <v>CARLOS BARAJAS DEL ROSAL</v>
      </c>
      <c r="I1543" s="149" t="s">
        <v>660</v>
      </c>
      <c r="J1543" s="149" t="s">
        <v>548</v>
      </c>
      <c r="K1543" s="149" t="s">
        <v>2483</v>
      </c>
      <c r="L1543" s="168">
        <v>45623</v>
      </c>
      <c r="M1543" s="158"/>
      <c r="N1543" s="163">
        <v>2</v>
      </c>
      <c r="O1543" s="165" t="s">
        <v>1540</v>
      </c>
      <c r="P1543" s="161">
        <v>4136.3599999999997</v>
      </c>
      <c r="Q1543" s="168">
        <v>45607</v>
      </c>
      <c r="R1543" s="153"/>
      <c r="S1543" s="153"/>
      <c r="T1543" s="153"/>
      <c r="U1543" s="153"/>
      <c r="V1543" s="153"/>
      <c r="W1543" s="153"/>
      <c r="X1543" s="153"/>
      <c r="Y1543" s="153"/>
      <c r="Z1543" s="153"/>
      <c r="AA1543" s="153"/>
    </row>
    <row r="1544" spans="1:27">
      <c r="A1544" s="219">
        <v>11</v>
      </c>
      <c r="B1544" s="220" t="s">
        <v>2329</v>
      </c>
      <c r="C1544" s="221">
        <v>45595</v>
      </c>
      <c r="D1544" s="220" t="s">
        <v>440</v>
      </c>
      <c r="E1544" s="149" t="s">
        <v>158</v>
      </c>
      <c r="F1544" s="149" t="s">
        <v>441</v>
      </c>
      <c r="G1544" s="149" t="s">
        <v>442</v>
      </c>
      <c r="H1544" s="149" t="str">
        <f t="shared" si="8"/>
        <v>CARLOS BARAJAS DEL ROSAL</v>
      </c>
      <c r="I1544" s="149" t="s">
        <v>660</v>
      </c>
      <c r="J1544" s="149" t="s">
        <v>548</v>
      </c>
      <c r="K1544" s="149" t="s">
        <v>2484</v>
      </c>
      <c r="L1544" s="168">
        <v>45623</v>
      </c>
      <c r="M1544" s="158"/>
      <c r="N1544" s="163">
        <v>2</v>
      </c>
      <c r="O1544" s="165" t="s">
        <v>446</v>
      </c>
      <c r="P1544" s="161">
        <v>3846.36</v>
      </c>
      <c r="Q1544" s="168">
        <v>45595</v>
      </c>
      <c r="R1544" s="153"/>
      <c r="S1544" s="153"/>
      <c r="T1544" s="153"/>
      <c r="U1544" s="153"/>
      <c r="V1544" s="153"/>
      <c r="W1544" s="153"/>
      <c r="X1544" s="153"/>
      <c r="Y1544" s="153"/>
      <c r="Z1544" s="153"/>
      <c r="AA1544" s="153"/>
    </row>
    <row r="1545" spans="1:27">
      <c r="A1545" s="219">
        <v>11</v>
      </c>
      <c r="B1545" s="220" t="s">
        <v>2329</v>
      </c>
      <c r="C1545" s="221">
        <v>45538</v>
      </c>
      <c r="D1545" s="220" t="s">
        <v>440</v>
      </c>
      <c r="E1545" s="149" t="s">
        <v>158</v>
      </c>
      <c r="F1545" s="149" t="s">
        <v>441</v>
      </c>
      <c r="G1545" s="149" t="s">
        <v>442</v>
      </c>
      <c r="H1545" s="149" t="str">
        <f t="shared" si="8"/>
        <v>GUILLERMO SAN JUAN DE LA MORETA</v>
      </c>
      <c r="I1545" s="149" t="s">
        <v>826</v>
      </c>
      <c r="J1545" s="149" t="s">
        <v>444</v>
      </c>
      <c r="K1545" s="149" t="s">
        <v>2485</v>
      </c>
      <c r="L1545" s="168">
        <v>45623</v>
      </c>
      <c r="M1545" s="158"/>
      <c r="N1545" s="163">
        <v>2</v>
      </c>
      <c r="O1545" s="165" t="s">
        <v>1540</v>
      </c>
      <c r="P1545" s="161">
        <v>4000</v>
      </c>
      <c r="Q1545" s="168">
        <v>45538</v>
      </c>
      <c r="R1545" s="153"/>
      <c r="S1545" s="153"/>
      <c r="T1545" s="153"/>
      <c r="U1545" s="153"/>
      <c r="V1545" s="153"/>
      <c r="W1545" s="153"/>
      <c r="X1545" s="153"/>
      <c r="Y1545" s="153"/>
      <c r="Z1545" s="153"/>
      <c r="AA1545" s="153"/>
    </row>
    <row r="1546" spans="1:27">
      <c r="A1546" s="219">
        <v>11</v>
      </c>
      <c r="B1546" s="220" t="s">
        <v>2329</v>
      </c>
      <c r="C1546" s="221">
        <v>45621</v>
      </c>
      <c r="D1546" s="220" t="s">
        <v>440</v>
      </c>
      <c r="E1546" s="149" t="s">
        <v>158</v>
      </c>
      <c r="F1546" s="149" t="s">
        <v>441</v>
      </c>
      <c r="G1546" s="149" t="s">
        <v>442</v>
      </c>
      <c r="H1546" s="149" t="str">
        <f t="shared" si="8"/>
        <v>CARLOS BARAJAS DEL ROSAL</v>
      </c>
      <c r="I1546" s="149" t="s">
        <v>660</v>
      </c>
      <c r="J1546" s="149" t="s">
        <v>548</v>
      </c>
      <c r="K1546" s="149" t="s">
        <v>2486</v>
      </c>
      <c r="L1546" s="168">
        <v>45623</v>
      </c>
      <c r="M1546" s="158"/>
      <c r="N1546" s="163">
        <v>2</v>
      </c>
      <c r="O1546" s="165" t="s">
        <v>446</v>
      </c>
      <c r="P1546" s="161">
        <v>3055.55</v>
      </c>
      <c r="Q1546" s="168">
        <v>45621</v>
      </c>
      <c r="R1546" s="153"/>
      <c r="S1546" s="153"/>
      <c r="T1546" s="153"/>
      <c r="U1546" s="153"/>
      <c r="V1546" s="153"/>
      <c r="W1546" s="153"/>
      <c r="X1546" s="153"/>
      <c r="Y1546" s="153"/>
      <c r="Z1546" s="153"/>
      <c r="AA1546" s="153"/>
    </row>
    <row r="1547" spans="1:27">
      <c r="A1547" s="219">
        <v>11</v>
      </c>
      <c r="B1547" s="220" t="s">
        <v>2329</v>
      </c>
      <c r="C1547" s="221">
        <v>45558</v>
      </c>
      <c r="D1547" s="220" t="s">
        <v>440</v>
      </c>
      <c r="E1547" s="149" t="s">
        <v>164</v>
      </c>
      <c r="F1547" s="149" t="s">
        <v>441</v>
      </c>
      <c r="G1547" s="149" t="s">
        <v>442</v>
      </c>
      <c r="H1547" s="149" t="str">
        <f t="shared" si="8"/>
        <v>ALEJANDRO HARGUINDEY ANTOLI-CANDELA</v>
      </c>
      <c r="I1547" s="149" t="s">
        <v>2445</v>
      </c>
      <c r="J1547" s="149" t="s">
        <v>444</v>
      </c>
      <c r="K1547" s="149" t="s">
        <v>2487</v>
      </c>
      <c r="L1547" s="168">
        <v>45623</v>
      </c>
      <c r="M1547" s="158"/>
      <c r="N1547" s="163">
        <v>2</v>
      </c>
      <c r="O1547" s="165" t="s">
        <v>1540</v>
      </c>
      <c r="P1547" s="161">
        <v>3027.27</v>
      </c>
      <c r="Q1547" s="168">
        <v>45558</v>
      </c>
      <c r="R1547" s="153"/>
      <c r="S1547" s="153"/>
      <c r="T1547" s="153"/>
      <c r="U1547" s="153"/>
      <c r="V1547" s="153"/>
      <c r="W1547" s="153"/>
      <c r="X1547" s="153"/>
      <c r="Y1547" s="153"/>
      <c r="Z1547" s="153"/>
      <c r="AA1547" s="153"/>
    </row>
    <row r="1548" spans="1:27">
      <c r="A1548" s="219">
        <v>11</v>
      </c>
      <c r="B1548" s="220" t="s">
        <v>2329</v>
      </c>
      <c r="C1548" s="221">
        <v>45601</v>
      </c>
      <c r="D1548" s="220" t="s">
        <v>440</v>
      </c>
      <c r="E1548" s="149" t="s">
        <v>313</v>
      </c>
      <c r="F1548" s="149" t="s">
        <v>441</v>
      </c>
      <c r="G1548" s="149" t="s">
        <v>442</v>
      </c>
      <c r="H1548" s="149" t="str">
        <f t="shared" si="8"/>
        <v>ALEJANDRO HARGUINDEY ANTOLI-CANDELA</v>
      </c>
      <c r="I1548" s="149" t="s">
        <v>2445</v>
      </c>
      <c r="J1548" s="149" t="s">
        <v>444</v>
      </c>
      <c r="K1548" s="149" t="s">
        <v>2488</v>
      </c>
      <c r="L1548" s="168">
        <v>45623</v>
      </c>
      <c r="M1548" s="158"/>
      <c r="N1548" s="163">
        <v>2</v>
      </c>
      <c r="O1548" s="165" t="s">
        <v>1540</v>
      </c>
      <c r="P1548" s="161">
        <v>4000</v>
      </c>
      <c r="Q1548" s="168">
        <v>45601</v>
      </c>
      <c r="R1548" s="153"/>
      <c r="S1548" s="153"/>
      <c r="T1548" s="153"/>
      <c r="U1548" s="153"/>
      <c r="V1548" s="153"/>
      <c r="W1548" s="153"/>
      <c r="X1548" s="153"/>
      <c r="Y1548" s="153"/>
      <c r="Z1548" s="153"/>
      <c r="AA1548" s="153"/>
    </row>
    <row r="1549" spans="1:27">
      <c r="A1549" s="219">
        <v>11</v>
      </c>
      <c r="B1549" s="220" t="s">
        <v>2329</v>
      </c>
      <c r="C1549" s="221">
        <v>45586</v>
      </c>
      <c r="D1549" s="220" t="s">
        <v>440</v>
      </c>
      <c r="E1549" s="149" t="s">
        <v>314</v>
      </c>
      <c r="F1549" s="149" t="s">
        <v>441</v>
      </c>
      <c r="G1549" s="149" t="s">
        <v>442</v>
      </c>
      <c r="H1549" s="149" t="str">
        <f t="shared" si="8"/>
        <v>NO REUERDA ORL</v>
      </c>
      <c r="I1549" s="149" t="s">
        <v>469</v>
      </c>
      <c r="J1549" s="149" t="s">
        <v>444</v>
      </c>
      <c r="K1549" s="149" t="s">
        <v>2489</v>
      </c>
      <c r="L1549" s="168">
        <v>45623</v>
      </c>
      <c r="M1549" s="158"/>
      <c r="N1549" s="163">
        <v>1</v>
      </c>
      <c r="O1549" s="165" t="s">
        <v>446</v>
      </c>
      <c r="P1549" s="161">
        <v>2226.36</v>
      </c>
      <c r="Q1549" s="168">
        <v>45586</v>
      </c>
      <c r="R1549" s="153"/>
      <c r="S1549" s="153"/>
      <c r="T1549" s="153"/>
      <c r="U1549" s="153"/>
      <c r="V1549" s="153"/>
      <c r="W1549" s="153"/>
      <c r="X1549" s="153"/>
      <c r="Y1549" s="153"/>
      <c r="Z1549" s="153"/>
      <c r="AA1549" s="153"/>
    </row>
    <row r="1550" spans="1:27">
      <c r="A1550" s="219">
        <v>11</v>
      </c>
      <c r="B1550" s="220" t="s">
        <v>2329</v>
      </c>
      <c r="C1550" s="221">
        <v>45601</v>
      </c>
      <c r="D1550" s="220" t="s">
        <v>440</v>
      </c>
      <c r="E1550" s="149" t="s">
        <v>239</v>
      </c>
      <c r="F1550" s="149" t="s">
        <v>441</v>
      </c>
      <c r="G1550" s="149" t="s">
        <v>442</v>
      </c>
      <c r="H1550" s="149" t="str">
        <f t="shared" si="8"/>
        <v>RAFAEL RUIZ FITO</v>
      </c>
      <c r="I1550" s="149" t="s">
        <v>2490</v>
      </c>
      <c r="J1550" s="149" t="s">
        <v>455</v>
      </c>
      <c r="K1550" s="149" t="s">
        <v>2491</v>
      </c>
      <c r="L1550" s="168">
        <v>45623</v>
      </c>
      <c r="M1550" s="158"/>
      <c r="N1550" s="163">
        <v>2</v>
      </c>
      <c r="O1550" s="165" t="s">
        <v>449</v>
      </c>
      <c r="P1550" s="161">
        <v>2888.18</v>
      </c>
      <c r="Q1550" s="168">
        <v>45601</v>
      </c>
      <c r="R1550" s="153"/>
      <c r="S1550" s="153"/>
      <c r="T1550" s="153"/>
      <c r="U1550" s="153"/>
      <c r="V1550" s="153"/>
      <c r="W1550" s="153"/>
      <c r="X1550" s="153"/>
      <c r="Y1550" s="153"/>
      <c r="Z1550" s="153"/>
      <c r="AA1550" s="153"/>
    </row>
    <row r="1551" spans="1:27">
      <c r="A1551" s="219">
        <v>11</v>
      </c>
      <c r="B1551" s="220" t="s">
        <v>2329</v>
      </c>
      <c r="C1551" s="221">
        <v>45587</v>
      </c>
      <c r="D1551" s="220" t="s">
        <v>440</v>
      </c>
      <c r="E1551" s="149" t="s">
        <v>239</v>
      </c>
      <c r="F1551" s="149" t="s">
        <v>441</v>
      </c>
      <c r="G1551" s="149" t="s">
        <v>442</v>
      </c>
      <c r="H1551" s="149" t="str">
        <f t="shared" si="8"/>
        <v>LUIS FIDEL NIETO</v>
      </c>
      <c r="I1551" s="149" t="s">
        <v>2492</v>
      </c>
      <c r="J1551" s="149" t="s">
        <v>455</v>
      </c>
      <c r="K1551" s="149" t="s">
        <v>2493</v>
      </c>
      <c r="L1551" s="168">
        <v>45623</v>
      </c>
      <c r="M1551" s="158"/>
      <c r="N1551" s="163">
        <v>2</v>
      </c>
      <c r="O1551" s="165" t="s">
        <v>1540</v>
      </c>
      <c r="P1551" s="161">
        <v>3800</v>
      </c>
      <c r="Q1551" s="168">
        <v>45587</v>
      </c>
      <c r="R1551" s="153"/>
      <c r="S1551" s="153"/>
      <c r="T1551" s="153"/>
      <c r="U1551" s="153"/>
      <c r="V1551" s="153"/>
      <c r="W1551" s="153"/>
      <c r="X1551" s="153"/>
      <c r="Y1551" s="153"/>
      <c r="Z1551" s="153"/>
      <c r="AA1551" s="153"/>
    </row>
    <row r="1552" spans="1:27">
      <c r="A1552" s="219">
        <v>11</v>
      </c>
      <c r="B1552" s="220" t="s">
        <v>2329</v>
      </c>
      <c r="C1552" s="221">
        <v>45559</v>
      </c>
      <c r="D1552" s="220" t="s">
        <v>440</v>
      </c>
      <c r="E1552" s="149" t="s">
        <v>150</v>
      </c>
      <c r="F1552" s="149" t="s">
        <v>441</v>
      </c>
      <c r="G1552" s="149" t="s">
        <v>442</v>
      </c>
      <c r="H1552" s="149" t="str">
        <f t="shared" si="8"/>
        <v>Mª TERESA CUESTA GONZÁLEZ</v>
      </c>
      <c r="I1552" s="149" t="s">
        <v>2494</v>
      </c>
      <c r="J1552" s="149" t="s">
        <v>636</v>
      </c>
      <c r="K1552" s="149" t="s">
        <v>2495</v>
      </c>
      <c r="L1552" s="168">
        <v>45623</v>
      </c>
      <c r="M1552" s="158"/>
      <c r="N1552" s="163">
        <v>2</v>
      </c>
      <c r="O1552" s="165" t="s">
        <v>446</v>
      </c>
      <c r="P1552" s="161">
        <v>3524.18</v>
      </c>
      <c r="Q1552" s="168">
        <v>45559</v>
      </c>
      <c r="R1552" s="153"/>
      <c r="S1552" s="153"/>
      <c r="T1552" s="153"/>
      <c r="U1552" s="153"/>
      <c r="V1552" s="153"/>
      <c r="W1552" s="153"/>
      <c r="X1552" s="153"/>
      <c r="Y1552" s="153"/>
      <c r="Z1552" s="153"/>
      <c r="AA1552" s="153"/>
    </row>
    <row r="1553" spans="1:27">
      <c r="A1553" s="219">
        <v>11</v>
      </c>
      <c r="B1553" s="220" t="s">
        <v>2329</v>
      </c>
      <c r="C1553" s="221">
        <v>45573</v>
      </c>
      <c r="D1553" s="220" t="s">
        <v>440</v>
      </c>
      <c r="E1553" s="149" t="s">
        <v>190</v>
      </c>
      <c r="F1553" s="149" t="s">
        <v>441</v>
      </c>
      <c r="G1553" s="149" t="s">
        <v>442</v>
      </c>
      <c r="H1553" s="149" t="str">
        <f t="shared" si="8"/>
        <v>NATHALIE FAGES CÁRCELES</v>
      </c>
      <c r="I1553" s="149" t="s">
        <v>726</v>
      </c>
      <c r="J1553" s="149" t="s">
        <v>462</v>
      </c>
      <c r="K1553" s="149" t="s">
        <v>2496</v>
      </c>
      <c r="L1553" s="168">
        <v>45623</v>
      </c>
      <c r="M1553" s="158"/>
      <c r="N1553" s="163">
        <v>2</v>
      </c>
      <c r="O1553" s="165" t="s">
        <v>446</v>
      </c>
      <c r="P1553" s="161">
        <v>3710</v>
      </c>
      <c r="Q1553" s="168">
        <v>45573</v>
      </c>
      <c r="R1553" s="153"/>
      <c r="S1553" s="153"/>
      <c r="T1553" s="153"/>
      <c r="U1553" s="153"/>
      <c r="V1553" s="153"/>
      <c r="W1553" s="153"/>
      <c r="X1553" s="153"/>
      <c r="Y1553" s="153"/>
      <c r="Z1553" s="153"/>
      <c r="AA1553" s="153"/>
    </row>
    <row r="1554" spans="1:27">
      <c r="A1554" s="219">
        <v>11</v>
      </c>
      <c r="B1554" s="220" t="s">
        <v>2329</v>
      </c>
      <c r="C1554" s="221">
        <v>45581</v>
      </c>
      <c r="D1554" s="220" t="s">
        <v>440</v>
      </c>
      <c r="E1554" s="149" t="s">
        <v>571</v>
      </c>
      <c r="F1554" s="149" t="s">
        <v>441</v>
      </c>
      <c r="G1554" s="149" t="s">
        <v>442</v>
      </c>
      <c r="H1554" s="149" t="str">
        <f t="shared" si="8"/>
        <v>JAIME LEACHE PUEYO</v>
      </c>
      <c r="I1554" s="149" t="s">
        <v>1832</v>
      </c>
      <c r="J1554" s="149" t="s">
        <v>548</v>
      </c>
      <c r="K1554" s="149" t="s">
        <v>2497</v>
      </c>
      <c r="L1554" s="168">
        <v>45623</v>
      </c>
      <c r="M1554" s="158"/>
      <c r="N1554" s="163">
        <v>2</v>
      </c>
      <c r="O1554" s="165" t="s">
        <v>446</v>
      </c>
      <c r="P1554" s="161">
        <v>3424.55</v>
      </c>
      <c r="Q1554" s="168">
        <v>45581</v>
      </c>
      <c r="R1554" s="153"/>
      <c r="S1554" s="153"/>
      <c r="T1554" s="153"/>
      <c r="U1554" s="153"/>
      <c r="V1554" s="153"/>
      <c r="W1554" s="153"/>
      <c r="X1554" s="153"/>
      <c r="Y1554" s="153"/>
      <c r="Z1554" s="153"/>
      <c r="AA1554" s="153"/>
    </row>
    <row r="1555" spans="1:27">
      <c r="A1555" s="219">
        <v>11</v>
      </c>
      <c r="B1555" s="220" t="s">
        <v>2329</v>
      </c>
      <c r="C1555" s="221">
        <v>45593</v>
      </c>
      <c r="D1555" s="220" t="s">
        <v>440</v>
      </c>
      <c r="E1555" s="149" t="s">
        <v>951</v>
      </c>
      <c r="F1555" s="149" t="s">
        <v>441</v>
      </c>
      <c r="G1555" s="149" t="s">
        <v>442</v>
      </c>
      <c r="H1555" s="149" t="str">
        <f t="shared" si="8"/>
        <v>ISABEL VAAMONDE SANCHEZ ANDRADE</v>
      </c>
      <c r="I1555" s="149" t="s">
        <v>814</v>
      </c>
      <c r="J1555" s="149" t="s">
        <v>516</v>
      </c>
      <c r="K1555" s="149" t="s">
        <v>2498</v>
      </c>
      <c r="L1555" s="168">
        <v>45623</v>
      </c>
      <c r="M1555" s="158"/>
      <c r="N1555" s="163">
        <v>2</v>
      </c>
      <c r="O1555" s="165" t="s">
        <v>449</v>
      </c>
      <c r="P1555" s="161">
        <v>2888.18</v>
      </c>
      <c r="Q1555" s="168">
        <v>45593</v>
      </c>
      <c r="R1555" s="153"/>
      <c r="S1555" s="153"/>
      <c r="T1555" s="153"/>
      <c r="U1555" s="153"/>
      <c r="V1555" s="153"/>
      <c r="W1555" s="153"/>
      <c r="X1555" s="153"/>
      <c r="Y1555" s="153"/>
      <c r="Z1555" s="153"/>
      <c r="AA1555" s="153"/>
    </row>
    <row r="1556" spans="1:27">
      <c r="A1556" s="219">
        <v>11</v>
      </c>
      <c r="B1556" s="220" t="s">
        <v>2329</v>
      </c>
      <c r="C1556" s="221">
        <v>45594</v>
      </c>
      <c r="D1556" s="220" t="s">
        <v>440</v>
      </c>
      <c r="E1556" s="149" t="s">
        <v>129</v>
      </c>
      <c r="F1556" s="149" t="s">
        <v>441</v>
      </c>
      <c r="G1556" s="149" t="s">
        <v>442</v>
      </c>
      <c r="H1556" s="149" t="str">
        <f t="shared" si="8"/>
        <v>CARMEN MIRANDA JORGE</v>
      </c>
      <c r="I1556" s="149" t="s">
        <v>2499</v>
      </c>
      <c r="J1556" s="149" t="s">
        <v>516</v>
      </c>
      <c r="K1556" s="149" t="s">
        <v>2500</v>
      </c>
      <c r="L1556" s="168">
        <v>45623</v>
      </c>
      <c r="M1556" s="158"/>
      <c r="N1556" s="163">
        <v>2</v>
      </c>
      <c r="O1556" s="165" t="s">
        <v>446</v>
      </c>
      <c r="P1556" s="161">
        <v>3524.5</v>
      </c>
      <c r="Q1556" s="168">
        <v>45594</v>
      </c>
      <c r="R1556" s="153"/>
      <c r="S1556" s="153"/>
      <c r="T1556" s="153"/>
      <c r="U1556" s="153"/>
      <c r="V1556" s="153"/>
      <c r="W1556" s="153"/>
      <c r="X1556" s="153"/>
      <c r="Y1556" s="153"/>
      <c r="Z1556" s="153"/>
      <c r="AA1556" s="153"/>
    </row>
    <row r="1557" spans="1:27">
      <c r="A1557" s="219">
        <v>11</v>
      </c>
      <c r="B1557" s="220" t="s">
        <v>2329</v>
      </c>
      <c r="C1557" s="221">
        <v>45587</v>
      </c>
      <c r="D1557" s="220" t="s">
        <v>440</v>
      </c>
      <c r="E1557" s="149" t="s">
        <v>138</v>
      </c>
      <c r="F1557" s="149" t="s">
        <v>441</v>
      </c>
      <c r="G1557" s="149" t="s">
        <v>442</v>
      </c>
      <c r="H1557" s="149" t="str">
        <f t="shared" si="8"/>
        <v>JESUS-MARIA GRASA PÉREZ</v>
      </c>
      <c r="I1557" s="149" t="s">
        <v>591</v>
      </c>
      <c r="J1557" s="149" t="s">
        <v>532</v>
      </c>
      <c r="K1557" s="149" t="s">
        <v>2501</v>
      </c>
      <c r="L1557" s="168">
        <v>45624</v>
      </c>
      <c r="M1557" s="158"/>
      <c r="N1557" s="163">
        <v>2</v>
      </c>
      <c r="O1557" s="165" t="s">
        <v>446</v>
      </c>
      <c r="P1557" s="161">
        <v>3524.5</v>
      </c>
      <c r="Q1557" s="168">
        <v>45587</v>
      </c>
      <c r="R1557" s="153"/>
      <c r="S1557" s="153"/>
      <c r="T1557" s="153"/>
      <c r="U1557" s="153"/>
      <c r="V1557" s="153"/>
      <c r="W1557" s="153"/>
      <c r="X1557" s="153"/>
      <c r="Y1557" s="153"/>
      <c r="Z1557" s="153"/>
      <c r="AA1557" s="153"/>
    </row>
    <row r="1558" spans="1:27">
      <c r="A1558" s="219">
        <v>11</v>
      </c>
      <c r="B1558" s="220" t="s">
        <v>2329</v>
      </c>
      <c r="C1558" s="221">
        <v>45601</v>
      </c>
      <c r="D1558" s="220" t="s">
        <v>440</v>
      </c>
      <c r="E1558" s="149" t="s">
        <v>311</v>
      </c>
      <c r="F1558" s="149" t="s">
        <v>441</v>
      </c>
      <c r="G1558" s="149" t="s">
        <v>442</v>
      </c>
      <c r="H1558" s="149" t="str">
        <f t="shared" si="8"/>
        <v>PALOMA MARTÍN- ARAGÓN MARTIÍ</v>
      </c>
      <c r="I1558" s="149" t="s">
        <v>643</v>
      </c>
      <c r="J1558" s="149" t="s">
        <v>444</v>
      </c>
      <c r="K1558" s="149" t="s">
        <v>2502</v>
      </c>
      <c r="L1558" s="168">
        <v>45624</v>
      </c>
      <c r="M1558" s="158"/>
      <c r="N1558" s="163">
        <v>2</v>
      </c>
      <c r="O1558" s="165" t="s">
        <v>446</v>
      </c>
      <c r="P1558" s="161">
        <v>3710</v>
      </c>
      <c r="Q1558" s="168">
        <v>45601</v>
      </c>
      <c r="R1558" s="153"/>
      <c r="S1558" s="153"/>
      <c r="T1558" s="153"/>
      <c r="U1558" s="153"/>
      <c r="V1558" s="153"/>
      <c r="W1558" s="153"/>
      <c r="X1558" s="153"/>
      <c r="Y1558" s="153"/>
      <c r="Z1558" s="153"/>
      <c r="AA1558" s="153"/>
    </row>
    <row r="1559" spans="1:27">
      <c r="A1559" s="219">
        <v>11</v>
      </c>
      <c r="B1559" s="220" t="s">
        <v>2329</v>
      </c>
      <c r="C1559" s="221">
        <v>45441</v>
      </c>
      <c r="D1559" s="220" t="s">
        <v>440</v>
      </c>
      <c r="E1559" s="149" t="s">
        <v>122</v>
      </c>
      <c r="F1559" s="149" t="s">
        <v>441</v>
      </c>
      <c r="G1559" s="149" t="s">
        <v>442</v>
      </c>
      <c r="H1559" s="149" t="str">
        <f t="shared" si="8"/>
        <v>MAR LASSO</v>
      </c>
      <c r="I1559" s="149" t="s">
        <v>2503</v>
      </c>
      <c r="J1559" s="149" t="s">
        <v>444</v>
      </c>
      <c r="K1559" s="149" t="s">
        <v>2504</v>
      </c>
      <c r="L1559" s="168">
        <v>45624</v>
      </c>
      <c r="M1559" s="158"/>
      <c r="N1559" s="163">
        <v>2</v>
      </c>
      <c r="O1559" s="165" t="s">
        <v>1540</v>
      </c>
      <c r="P1559" s="161">
        <v>4136.3599999999997</v>
      </c>
      <c r="Q1559" s="168">
        <v>45441</v>
      </c>
      <c r="R1559" s="153"/>
      <c r="S1559" s="153"/>
      <c r="T1559" s="153"/>
      <c r="U1559" s="153"/>
      <c r="V1559" s="153"/>
      <c r="W1559" s="153"/>
      <c r="X1559" s="153"/>
      <c r="Y1559" s="153"/>
      <c r="Z1559" s="153"/>
      <c r="AA1559" s="153"/>
    </row>
    <row r="1560" spans="1:27">
      <c r="A1560" s="219">
        <v>11</v>
      </c>
      <c r="B1560" s="220" t="s">
        <v>2329</v>
      </c>
      <c r="C1560" s="221">
        <v>45611</v>
      </c>
      <c r="D1560" s="220" t="s">
        <v>440</v>
      </c>
      <c r="E1560" s="149" t="s">
        <v>314</v>
      </c>
      <c r="F1560" s="149" t="s">
        <v>441</v>
      </c>
      <c r="G1560" s="149" t="s">
        <v>442</v>
      </c>
      <c r="H1560" s="149" t="str">
        <f t="shared" si="8"/>
        <v>MARÍA GABRIELA BOSCO MORALES</v>
      </c>
      <c r="I1560" s="149" t="s">
        <v>2255</v>
      </c>
      <c r="J1560" s="149" t="s">
        <v>444</v>
      </c>
      <c r="K1560" s="149" t="s">
        <v>2505</v>
      </c>
      <c r="L1560" s="168">
        <v>45624</v>
      </c>
      <c r="M1560" s="158"/>
      <c r="N1560" s="163">
        <v>2</v>
      </c>
      <c r="O1560" s="165" t="s">
        <v>449</v>
      </c>
      <c r="P1560" s="161">
        <v>2888.18</v>
      </c>
      <c r="Q1560" s="168">
        <v>45611</v>
      </c>
      <c r="R1560" s="153"/>
      <c r="S1560" s="153"/>
      <c r="T1560" s="153"/>
      <c r="U1560" s="153"/>
      <c r="V1560" s="153"/>
      <c r="W1560" s="153"/>
      <c r="X1560" s="153"/>
      <c r="Y1560" s="153"/>
      <c r="Z1560" s="153"/>
      <c r="AA1560" s="153"/>
    </row>
    <row r="1561" spans="1:27">
      <c r="A1561" s="219">
        <v>11</v>
      </c>
      <c r="B1561" s="220" t="s">
        <v>2329</v>
      </c>
      <c r="C1561" s="221">
        <v>45616</v>
      </c>
      <c r="D1561" s="220" t="s">
        <v>440</v>
      </c>
      <c r="E1561" s="149" t="s">
        <v>201</v>
      </c>
      <c r="F1561" s="149" t="s">
        <v>441</v>
      </c>
      <c r="G1561" s="149" t="s">
        <v>442</v>
      </c>
      <c r="H1561" s="149" t="str">
        <f t="shared" si="8"/>
        <v>CARLOS FELIX ASENSIO NIETO</v>
      </c>
      <c r="I1561" s="149" t="s">
        <v>2466</v>
      </c>
      <c r="J1561" s="149" t="s">
        <v>548</v>
      </c>
      <c r="K1561" s="149" t="s">
        <v>2506</v>
      </c>
      <c r="L1561" s="168">
        <v>45624</v>
      </c>
      <c r="M1561" s="158"/>
      <c r="N1561" s="163">
        <v>1</v>
      </c>
      <c r="O1561" s="165" t="s">
        <v>446</v>
      </c>
      <c r="P1561" s="161">
        <v>2115.0500000000002</v>
      </c>
      <c r="Q1561" s="168">
        <v>45616</v>
      </c>
      <c r="R1561" s="153"/>
      <c r="S1561" s="153"/>
      <c r="T1561" s="153"/>
      <c r="U1561" s="153"/>
      <c r="V1561" s="153"/>
      <c r="W1561" s="153"/>
      <c r="X1561" s="153"/>
      <c r="Y1561" s="153"/>
      <c r="Z1561" s="153"/>
      <c r="AA1561" s="153"/>
    </row>
    <row r="1562" spans="1:27">
      <c r="A1562" s="219">
        <v>11</v>
      </c>
      <c r="B1562" s="220" t="s">
        <v>2329</v>
      </c>
      <c r="C1562" s="221">
        <v>45565</v>
      </c>
      <c r="D1562" s="220" t="s">
        <v>440</v>
      </c>
      <c r="E1562" s="149" t="s">
        <v>213</v>
      </c>
      <c r="F1562" s="149" t="s">
        <v>441</v>
      </c>
      <c r="G1562" s="149" t="s">
        <v>442</v>
      </c>
      <c r="H1562" s="149" t="str">
        <f t="shared" si="8"/>
        <v>JOSÉ RAMIRO DE LEÓN LIMA</v>
      </c>
      <c r="I1562" s="149" t="s">
        <v>2161</v>
      </c>
      <c r="J1562" s="149" t="s">
        <v>636</v>
      </c>
      <c r="K1562" s="149" t="s">
        <v>2507</v>
      </c>
      <c r="L1562" s="168">
        <v>45624</v>
      </c>
      <c r="M1562" s="158"/>
      <c r="N1562" s="163">
        <v>1</v>
      </c>
      <c r="O1562" s="165" t="s">
        <v>446</v>
      </c>
      <c r="P1562" s="161">
        <v>2115.0500000000002</v>
      </c>
      <c r="Q1562" s="168">
        <v>45565</v>
      </c>
      <c r="R1562" s="153"/>
      <c r="S1562" s="153"/>
      <c r="T1562" s="153"/>
      <c r="U1562" s="153"/>
      <c r="V1562" s="153"/>
      <c r="W1562" s="153"/>
      <c r="X1562" s="153"/>
      <c r="Y1562" s="153"/>
      <c r="Z1562" s="153"/>
      <c r="AA1562" s="153"/>
    </row>
    <row r="1563" spans="1:27">
      <c r="A1563" s="219">
        <v>11</v>
      </c>
      <c r="B1563" s="220" t="s">
        <v>2329</v>
      </c>
      <c r="C1563" s="221">
        <v>45457</v>
      </c>
      <c r="D1563" s="220" t="s">
        <v>440</v>
      </c>
      <c r="E1563" s="149" t="s">
        <v>525</v>
      </c>
      <c r="F1563" s="149" t="s">
        <v>441</v>
      </c>
      <c r="G1563" s="149" t="s">
        <v>442</v>
      </c>
      <c r="H1563" s="149" t="str">
        <f t="shared" si="8"/>
        <v>PILAR CASTRO RUIZ</v>
      </c>
      <c r="I1563" s="149" t="s">
        <v>526</v>
      </c>
      <c r="J1563" s="149" t="s">
        <v>516</v>
      </c>
      <c r="K1563" s="149" t="s">
        <v>2508</v>
      </c>
      <c r="L1563" s="168">
        <v>45624</v>
      </c>
      <c r="M1563" s="158"/>
      <c r="N1563" s="163">
        <v>1</v>
      </c>
      <c r="O1563" s="165" t="s">
        <v>446</v>
      </c>
      <c r="P1563" s="161">
        <v>1818.18</v>
      </c>
      <c r="Q1563" s="168">
        <v>45457</v>
      </c>
      <c r="R1563" s="153"/>
      <c r="S1563" s="153"/>
      <c r="T1563" s="153"/>
      <c r="U1563" s="153"/>
      <c r="V1563" s="153"/>
      <c r="W1563" s="153"/>
      <c r="X1563" s="153"/>
      <c r="Y1563" s="153"/>
      <c r="Z1563" s="153"/>
      <c r="AA1563" s="153"/>
    </row>
    <row r="1564" spans="1:27">
      <c r="A1564" s="219">
        <v>11</v>
      </c>
      <c r="B1564" s="220" t="s">
        <v>2329</v>
      </c>
      <c r="C1564" s="221">
        <v>45513</v>
      </c>
      <c r="D1564" s="220" t="s">
        <v>440</v>
      </c>
      <c r="E1564" s="149" t="s">
        <v>530</v>
      </c>
      <c r="F1564" s="149" t="s">
        <v>441</v>
      </c>
      <c r="G1564" s="149" t="s">
        <v>442</v>
      </c>
      <c r="H1564" s="149" t="str">
        <f t="shared" si="8"/>
        <v>JUAN JOSÉ SANZ GONZÁLEZ</v>
      </c>
      <c r="I1564" s="149" t="s">
        <v>2509</v>
      </c>
      <c r="J1564" s="149" t="s">
        <v>532</v>
      </c>
      <c r="K1564" s="149" t="s">
        <v>2510</v>
      </c>
      <c r="L1564" s="168">
        <v>45624</v>
      </c>
      <c r="M1564" s="158"/>
      <c r="N1564" s="163">
        <v>2</v>
      </c>
      <c r="O1564" s="165" t="s">
        <v>446</v>
      </c>
      <c r="P1564" s="161">
        <v>3515.45</v>
      </c>
      <c r="Q1564" s="168">
        <v>45513</v>
      </c>
      <c r="R1564" s="153"/>
      <c r="S1564" s="153"/>
      <c r="T1564" s="153"/>
      <c r="U1564" s="153"/>
      <c r="V1564" s="153"/>
      <c r="W1564" s="153"/>
      <c r="X1564" s="153"/>
      <c r="Y1564" s="153"/>
      <c r="Z1564" s="153"/>
      <c r="AA1564" s="153"/>
    </row>
    <row r="1565" spans="1:27">
      <c r="A1565" s="219">
        <v>11</v>
      </c>
      <c r="B1565" s="220" t="s">
        <v>2329</v>
      </c>
      <c r="C1565" s="221">
        <v>45539</v>
      </c>
      <c r="D1565" s="220" t="s">
        <v>440</v>
      </c>
      <c r="E1565" s="149" t="s">
        <v>525</v>
      </c>
      <c r="F1565" s="149" t="s">
        <v>441</v>
      </c>
      <c r="G1565" s="149" t="s">
        <v>442</v>
      </c>
      <c r="H1565" s="149" t="str">
        <f t="shared" si="8"/>
        <v>ADELA PÉREZ-CARO RÍOS</v>
      </c>
      <c r="I1565" s="149" t="s">
        <v>895</v>
      </c>
      <c r="J1565" s="149" t="s">
        <v>516</v>
      </c>
      <c r="K1565" s="149" t="s">
        <v>2511</v>
      </c>
      <c r="L1565" s="168">
        <v>45624</v>
      </c>
      <c r="M1565" s="158"/>
      <c r="N1565" s="163">
        <v>2</v>
      </c>
      <c r="O1565" s="165" t="s">
        <v>446</v>
      </c>
      <c r="P1565" s="161">
        <v>1363.64</v>
      </c>
      <c r="Q1565" s="168">
        <v>45539</v>
      </c>
      <c r="R1565" s="153"/>
      <c r="S1565" s="153"/>
      <c r="T1565" s="153"/>
      <c r="U1565" s="153"/>
      <c r="V1565" s="153"/>
      <c r="W1565" s="153"/>
      <c r="X1565" s="153"/>
      <c r="Y1565" s="153"/>
      <c r="Z1565" s="153"/>
      <c r="AA1565" s="153"/>
    </row>
    <row r="1566" spans="1:27">
      <c r="A1566" s="219">
        <v>11</v>
      </c>
      <c r="B1566" s="220" t="s">
        <v>2329</v>
      </c>
      <c r="C1566" s="221">
        <v>45548</v>
      </c>
      <c r="D1566" s="220" t="s">
        <v>440</v>
      </c>
      <c r="E1566" s="149" t="s">
        <v>475</v>
      </c>
      <c r="F1566" s="149" t="s">
        <v>441</v>
      </c>
      <c r="G1566" s="149" t="s">
        <v>442</v>
      </c>
      <c r="H1566" s="149" t="str">
        <f t="shared" si="8"/>
        <v>DIANA LISBETH</v>
      </c>
      <c r="I1566" s="149" t="s">
        <v>681</v>
      </c>
      <c r="J1566" s="149" t="s">
        <v>473</v>
      </c>
      <c r="K1566" s="149" t="s">
        <v>2512</v>
      </c>
      <c r="L1566" s="168">
        <v>45624</v>
      </c>
      <c r="M1566" s="158"/>
      <c r="N1566" s="163">
        <v>2</v>
      </c>
      <c r="O1566" s="165" t="s">
        <v>446</v>
      </c>
      <c r="P1566" s="161">
        <v>3909.09</v>
      </c>
      <c r="Q1566" s="168">
        <v>45548</v>
      </c>
      <c r="R1566" s="153"/>
      <c r="S1566" s="153"/>
      <c r="T1566" s="153"/>
      <c r="U1566" s="153"/>
      <c r="V1566" s="153"/>
      <c r="W1566" s="153"/>
      <c r="X1566" s="153"/>
      <c r="Y1566" s="153"/>
      <c r="Z1566" s="153"/>
      <c r="AA1566" s="153"/>
    </row>
    <row r="1567" spans="1:27">
      <c r="A1567" s="219">
        <v>11</v>
      </c>
      <c r="B1567" s="220" t="s">
        <v>2329</v>
      </c>
      <c r="C1567" s="221">
        <v>45573</v>
      </c>
      <c r="D1567" s="220" t="s">
        <v>440</v>
      </c>
      <c r="E1567" s="149" t="s">
        <v>501</v>
      </c>
      <c r="F1567" s="149" t="s">
        <v>441</v>
      </c>
      <c r="G1567" s="149" t="s">
        <v>442</v>
      </c>
      <c r="H1567" s="149" t="str">
        <f t="shared" si="8"/>
        <v>CRISTINA IBAÑEZ MUÑOZ</v>
      </c>
      <c r="I1567" s="149" t="s">
        <v>838</v>
      </c>
      <c r="J1567" s="149" t="s">
        <v>548</v>
      </c>
      <c r="K1567" s="149" t="s">
        <v>2513</v>
      </c>
      <c r="L1567" s="168">
        <v>45624</v>
      </c>
      <c r="M1567" s="158"/>
      <c r="N1567" s="163">
        <v>1</v>
      </c>
      <c r="O1567" s="165" t="s">
        <v>513</v>
      </c>
      <c r="P1567" s="161">
        <v>2090.91</v>
      </c>
      <c r="Q1567" s="168">
        <v>45573</v>
      </c>
      <c r="R1567" s="153"/>
      <c r="S1567" s="153"/>
      <c r="T1567" s="153"/>
      <c r="U1567" s="153"/>
      <c r="V1567" s="153"/>
      <c r="W1567" s="153"/>
      <c r="X1567" s="153"/>
      <c r="Y1567" s="153"/>
      <c r="Z1567" s="153"/>
      <c r="AA1567" s="153"/>
    </row>
    <row r="1568" spans="1:27">
      <c r="A1568" s="219">
        <v>11</v>
      </c>
      <c r="B1568" s="220" t="s">
        <v>2329</v>
      </c>
      <c r="C1568" s="221">
        <v>45587</v>
      </c>
      <c r="D1568" s="220" t="s">
        <v>440</v>
      </c>
      <c r="E1568" s="149" t="s">
        <v>525</v>
      </c>
      <c r="F1568" s="149" t="s">
        <v>441</v>
      </c>
      <c r="G1568" s="149" t="s">
        <v>442</v>
      </c>
      <c r="H1568" s="149" t="str">
        <f t="shared" si="8"/>
        <v>ADELA PÉREZ-CARO RÍOS</v>
      </c>
      <c r="I1568" s="149" t="s">
        <v>895</v>
      </c>
      <c r="J1568" s="149" t="s">
        <v>516</v>
      </c>
      <c r="K1568" s="149" t="s">
        <v>2514</v>
      </c>
      <c r="L1568" s="168">
        <v>45624</v>
      </c>
      <c r="M1568" s="158"/>
      <c r="N1568" s="163">
        <v>2</v>
      </c>
      <c r="O1568" s="165" t="s">
        <v>446</v>
      </c>
      <c r="P1568" s="161">
        <v>3454.55</v>
      </c>
      <c r="Q1568" s="168">
        <v>45587</v>
      </c>
      <c r="R1568" s="153"/>
      <c r="S1568" s="153"/>
      <c r="T1568" s="153"/>
      <c r="U1568" s="153"/>
      <c r="V1568" s="153"/>
      <c r="W1568" s="153"/>
      <c r="X1568" s="153"/>
      <c r="Y1568" s="153"/>
      <c r="Z1568" s="153"/>
      <c r="AA1568" s="153"/>
    </row>
    <row r="1569" spans="1:27">
      <c r="A1569" s="219">
        <v>11</v>
      </c>
      <c r="B1569" s="220" t="s">
        <v>2329</v>
      </c>
      <c r="C1569" s="221">
        <v>45587</v>
      </c>
      <c r="D1569" s="220" t="s">
        <v>440</v>
      </c>
      <c r="E1569" s="149" t="s">
        <v>129</v>
      </c>
      <c r="F1569" s="149" t="s">
        <v>441</v>
      </c>
      <c r="G1569" s="149" t="s">
        <v>442</v>
      </c>
      <c r="H1569" s="149" t="str">
        <f t="shared" si="8"/>
        <v>MARÍA REY MARCOS</v>
      </c>
      <c r="I1569" s="149" t="s">
        <v>678</v>
      </c>
      <c r="J1569" s="149" t="s">
        <v>516</v>
      </c>
      <c r="K1569" s="149" t="s">
        <v>2515</v>
      </c>
      <c r="L1569" s="168">
        <v>45624</v>
      </c>
      <c r="M1569" s="158"/>
      <c r="N1569" s="163">
        <v>2</v>
      </c>
      <c r="O1569" s="165" t="s">
        <v>466</v>
      </c>
      <c r="P1569" s="161">
        <v>3800</v>
      </c>
      <c r="Q1569" s="168">
        <v>45587</v>
      </c>
      <c r="R1569" s="153"/>
      <c r="S1569" s="153"/>
      <c r="T1569" s="153"/>
      <c r="U1569" s="153"/>
      <c r="V1569" s="153"/>
      <c r="W1569" s="153"/>
      <c r="X1569" s="153"/>
      <c r="Y1569" s="153"/>
      <c r="Z1569" s="153"/>
      <c r="AA1569" s="153"/>
    </row>
    <row r="1570" spans="1:27">
      <c r="A1570" s="219">
        <v>11</v>
      </c>
      <c r="B1570" s="220" t="s">
        <v>2329</v>
      </c>
      <c r="C1570" s="221">
        <v>45593</v>
      </c>
      <c r="D1570" s="220" t="s">
        <v>440</v>
      </c>
      <c r="E1570" s="149" t="s">
        <v>129</v>
      </c>
      <c r="F1570" s="149" t="s">
        <v>441</v>
      </c>
      <c r="G1570" s="149" t="s">
        <v>442</v>
      </c>
      <c r="H1570" s="149" t="str">
        <f t="shared" si="8"/>
        <v>Rafael Alfonso Hurtado Ruzza</v>
      </c>
      <c r="I1570" s="149" t="s">
        <v>768</v>
      </c>
      <c r="J1570" s="149" t="s">
        <v>516</v>
      </c>
      <c r="K1570" s="149" t="s">
        <v>2516</v>
      </c>
      <c r="L1570" s="168">
        <v>45624</v>
      </c>
      <c r="M1570" s="158"/>
      <c r="N1570" s="163">
        <v>1</v>
      </c>
      <c r="O1570" s="165" t="s">
        <v>446</v>
      </c>
      <c r="P1570" s="161">
        <v>2226.36</v>
      </c>
      <c r="Q1570" s="168">
        <v>45593</v>
      </c>
      <c r="R1570" s="153"/>
      <c r="S1570" s="153"/>
      <c r="T1570" s="153"/>
      <c r="U1570" s="153"/>
      <c r="V1570" s="153"/>
      <c r="W1570" s="153"/>
      <c r="X1570" s="153"/>
      <c r="Y1570" s="153"/>
      <c r="Z1570" s="153"/>
      <c r="AA1570" s="153"/>
    </row>
    <row r="1571" spans="1:27">
      <c r="A1571" s="219">
        <v>11</v>
      </c>
      <c r="B1571" s="220" t="s">
        <v>2329</v>
      </c>
      <c r="C1571" s="221">
        <v>45583</v>
      </c>
      <c r="D1571" s="220" t="s">
        <v>440</v>
      </c>
      <c r="E1571" s="149" t="s">
        <v>317</v>
      </c>
      <c r="F1571" s="149" t="s">
        <v>441</v>
      </c>
      <c r="G1571" s="149" t="s">
        <v>442</v>
      </c>
      <c r="H1571" s="149" t="str">
        <f t="shared" si="8"/>
        <v>KAREN ROJAS CRESPO</v>
      </c>
      <c r="I1571" s="149" t="s">
        <v>986</v>
      </c>
      <c r="J1571" s="149" t="s">
        <v>462</v>
      </c>
      <c r="K1571" s="149" t="s">
        <v>2517</v>
      </c>
      <c r="L1571" s="168">
        <v>45625</v>
      </c>
      <c r="M1571" s="158"/>
      <c r="N1571" s="163">
        <v>1</v>
      </c>
      <c r="O1571" s="165" t="s">
        <v>446</v>
      </c>
      <c r="P1571" s="161">
        <v>2163.64</v>
      </c>
      <c r="Q1571" s="168">
        <v>45583</v>
      </c>
      <c r="R1571" s="153"/>
      <c r="S1571" s="153"/>
      <c r="T1571" s="153"/>
      <c r="U1571" s="153"/>
      <c r="V1571" s="153"/>
      <c r="W1571" s="153"/>
      <c r="X1571" s="153"/>
      <c r="Y1571" s="153"/>
      <c r="Z1571" s="153"/>
      <c r="AA1571" s="153"/>
    </row>
    <row r="1572" spans="1:27">
      <c r="A1572" s="219">
        <v>11</v>
      </c>
      <c r="B1572" s="220" t="s">
        <v>2329</v>
      </c>
      <c r="C1572" s="221">
        <v>45604</v>
      </c>
      <c r="D1572" s="220" t="s">
        <v>440</v>
      </c>
      <c r="E1572" s="149" t="s">
        <v>311</v>
      </c>
      <c r="F1572" s="149" t="s">
        <v>441</v>
      </c>
      <c r="G1572" s="149" t="s">
        <v>442</v>
      </c>
      <c r="H1572" s="149" t="str">
        <f t="shared" si="8"/>
        <v>CRISTINA GARCÍA GARCÍA</v>
      </c>
      <c r="I1572" s="149" t="s">
        <v>2518</v>
      </c>
      <c r="J1572" s="149" t="s">
        <v>444</v>
      </c>
      <c r="K1572" s="149" t="s">
        <v>2519</v>
      </c>
      <c r="L1572" s="168">
        <v>45625</v>
      </c>
      <c r="M1572" s="158"/>
      <c r="N1572" s="163">
        <v>2</v>
      </c>
      <c r="O1572" s="165" t="s">
        <v>446</v>
      </c>
      <c r="P1572" s="161">
        <v>3710</v>
      </c>
      <c r="Q1572" s="168">
        <v>45604</v>
      </c>
      <c r="R1572" s="153"/>
      <c r="S1572" s="153"/>
      <c r="T1572" s="153"/>
      <c r="U1572" s="153"/>
      <c r="V1572" s="153"/>
      <c r="W1572" s="153"/>
      <c r="X1572" s="153"/>
      <c r="Y1572" s="153"/>
      <c r="Z1572" s="153"/>
      <c r="AA1572" s="153"/>
    </row>
    <row r="1573" spans="1:27">
      <c r="A1573" s="219">
        <v>11</v>
      </c>
      <c r="B1573" s="220" t="s">
        <v>2329</v>
      </c>
      <c r="C1573" s="221">
        <v>45565</v>
      </c>
      <c r="D1573" s="220" t="s">
        <v>440</v>
      </c>
      <c r="E1573" s="149" t="s">
        <v>122</v>
      </c>
      <c r="F1573" s="149" t="s">
        <v>441</v>
      </c>
      <c r="G1573" s="149" t="s">
        <v>442</v>
      </c>
      <c r="H1573" s="149" t="str">
        <f t="shared" si="8"/>
        <v>MAR LASSO DE LA VEGA ZAMORA</v>
      </c>
      <c r="I1573" s="149" t="s">
        <v>909</v>
      </c>
      <c r="J1573" s="149" t="s">
        <v>444</v>
      </c>
      <c r="K1573" s="149" t="s">
        <v>2520</v>
      </c>
      <c r="L1573" s="168">
        <v>45625</v>
      </c>
      <c r="M1573" s="158"/>
      <c r="N1573" s="163">
        <v>2</v>
      </c>
      <c r="O1573" s="165" t="s">
        <v>1540</v>
      </c>
      <c r="P1573" s="161">
        <v>4136.54</v>
      </c>
      <c r="Q1573" s="168">
        <v>45565</v>
      </c>
      <c r="R1573" s="153"/>
      <c r="S1573" s="153"/>
      <c r="T1573" s="153"/>
      <c r="U1573" s="153"/>
      <c r="V1573" s="153"/>
      <c r="W1573" s="153"/>
      <c r="X1573" s="153"/>
      <c r="Y1573" s="153"/>
      <c r="Z1573" s="153"/>
      <c r="AA1573" s="153"/>
    </row>
    <row r="1574" spans="1:27">
      <c r="A1574" s="219">
        <v>11</v>
      </c>
      <c r="B1574" s="220" t="s">
        <v>2329</v>
      </c>
      <c r="C1574" s="221">
        <v>45596</v>
      </c>
      <c r="D1574" s="220" t="s">
        <v>440</v>
      </c>
      <c r="E1574" s="149" t="s">
        <v>158</v>
      </c>
      <c r="F1574" s="149" t="s">
        <v>441</v>
      </c>
      <c r="G1574" s="149" t="s">
        <v>442</v>
      </c>
      <c r="H1574" s="149" t="str">
        <f t="shared" si="8"/>
        <v>GUILLERMO SAN JUAN DE LA MORETA</v>
      </c>
      <c r="I1574" s="149" t="s">
        <v>826</v>
      </c>
      <c r="J1574" s="149" t="s">
        <v>444</v>
      </c>
      <c r="K1574" s="149" t="s">
        <v>2521</v>
      </c>
      <c r="L1574" s="168">
        <v>45625</v>
      </c>
      <c r="M1574" s="158"/>
      <c r="N1574" s="163">
        <v>2</v>
      </c>
      <c r="O1574" s="165" t="s">
        <v>1540</v>
      </c>
      <c r="P1574" s="161">
        <v>4136.3599999999997</v>
      </c>
      <c r="Q1574" s="168">
        <v>45596</v>
      </c>
      <c r="R1574" s="153"/>
      <c r="S1574" s="153"/>
      <c r="T1574" s="153"/>
      <c r="U1574" s="153"/>
      <c r="V1574" s="153"/>
      <c r="W1574" s="153"/>
      <c r="X1574" s="153"/>
      <c r="Y1574" s="153"/>
      <c r="Z1574" s="153"/>
      <c r="AA1574" s="153"/>
    </row>
    <row r="1575" spans="1:27">
      <c r="A1575" s="219">
        <v>11</v>
      </c>
      <c r="B1575" s="220" t="s">
        <v>2329</v>
      </c>
      <c r="C1575" s="221">
        <v>45554</v>
      </c>
      <c r="D1575" s="220" t="s">
        <v>440</v>
      </c>
      <c r="E1575" s="149" t="s">
        <v>309</v>
      </c>
      <c r="F1575" s="149" t="s">
        <v>441</v>
      </c>
      <c r="G1575" s="149" t="s">
        <v>442</v>
      </c>
      <c r="H1575" s="149" t="str">
        <f t="shared" si="8"/>
        <v>NO REUERDA ORL</v>
      </c>
      <c r="I1575" s="149" t="s">
        <v>469</v>
      </c>
      <c r="J1575" s="149" t="s">
        <v>444</v>
      </c>
      <c r="K1575" s="149" t="s">
        <v>2522</v>
      </c>
      <c r="L1575" s="168">
        <v>45625</v>
      </c>
      <c r="M1575" s="158"/>
      <c r="N1575" s="163">
        <v>2</v>
      </c>
      <c r="O1575" s="165" t="s">
        <v>446</v>
      </c>
      <c r="P1575" s="161">
        <v>3846.36</v>
      </c>
      <c r="Q1575" s="168">
        <v>45554</v>
      </c>
      <c r="R1575" s="153"/>
      <c r="S1575" s="153"/>
      <c r="T1575" s="153"/>
      <c r="U1575" s="153"/>
      <c r="V1575" s="153"/>
      <c r="W1575" s="153"/>
      <c r="X1575" s="153"/>
      <c r="Y1575" s="153"/>
      <c r="Z1575" s="153"/>
      <c r="AA1575" s="153"/>
    </row>
    <row r="1576" spans="1:27">
      <c r="A1576" s="219">
        <v>11</v>
      </c>
      <c r="B1576" s="220" t="s">
        <v>2329</v>
      </c>
      <c r="C1576" s="221">
        <v>45589</v>
      </c>
      <c r="D1576" s="220" t="s">
        <v>440</v>
      </c>
      <c r="E1576" s="149" t="s">
        <v>98</v>
      </c>
      <c r="F1576" s="149" t="s">
        <v>441</v>
      </c>
      <c r="G1576" s="149" t="s">
        <v>442</v>
      </c>
      <c r="H1576" s="149" t="str">
        <f t="shared" si="8"/>
        <v>LAURA GAÑÁN ALBUISECH</v>
      </c>
      <c r="I1576" s="149" t="s">
        <v>1772</v>
      </c>
      <c r="J1576" s="149" t="s">
        <v>462</v>
      </c>
      <c r="K1576" s="149" t="s">
        <v>2523</v>
      </c>
      <c r="L1576" s="168">
        <v>45625</v>
      </c>
      <c r="M1576" s="158"/>
      <c r="N1576" s="163">
        <v>2</v>
      </c>
      <c r="O1576" s="165" t="s">
        <v>1540</v>
      </c>
      <c r="P1576" s="161">
        <v>3800</v>
      </c>
      <c r="Q1576" s="168">
        <v>45589</v>
      </c>
      <c r="R1576" s="153"/>
      <c r="S1576" s="153"/>
      <c r="T1576" s="153"/>
      <c r="U1576" s="153"/>
      <c r="V1576" s="153"/>
      <c r="W1576" s="153"/>
      <c r="X1576" s="153"/>
      <c r="Y1576" s="153"/>
      <c r="Z1576" s="153"/>
      <c r="AA1576" s="153"/>
    </row>
    <row r="1577" spans="1:27">
      <c r="A1577" s="219">
        <v>11</v>
      </c>
      <c r="B1577" s="220" t="s">
        <v>2329</v>
      </c>
      <c r="C1577" s="221">
        <v>45567</v>
      </c>
      <c r="D1577" s="220" t="s">
        <v>440</v>
      </c>
      <c r="E1577" s="149" t="s">
        <v>102</v>
      </c>
      <c r="F1577" s="149" t="s">
        <v>441</v>
      </c>
      <c r="G1577" s="149" t="s">
        <v>442</v>
      </c>
      <c r="H1577" s="149" t="str">
        <f t="shared" si="8"/>
        <v>OREANA CAROLINA CAMACARO GONZÁLEZ</v>
      </c>
      <c r="I1577" s="149" t="s">
        <v>2524</v>
      </c>
      <c r="J1577" s="149" t="s">
        <v>462</v>
      </c>
      <c r="K1577" s="149" t="s">
        <v>2525</v>
      </c>
      <c r="L1577" s="168">
        <v>45625</v>
      </c>
      <c r="M1577" s="158"/>
      <c r="N1577" s="163">
        <v>2</v>
      </c>
      <c r="O1577" s="165" t="s">
        <v>1540</v>
      </c>
      <c r="P1577" s="161">
        <v>4000</v>
      </c>
      <c r="Q1577" s="168">
        <v>45567</v>
      </c>
      <c r="R1577" s="153"/>
      <c r="S1577" s="153"/>
      <c r="T1577" s="153"/>
      <c r="U1577" s="153"/>
      <c r="V1577" s="153"/>
      <c r="W1577" s="153"/>
      <c r="X1577" s="153"/>
      <c r="Y1577" s="153"/>
      <c r="Z1577" s="153"/>
      <c r="AA1577" s="153"/>
    </row>
    <row r="1578" spans="1:27">
      <c r="A1578" s="219">
        <v>11</v>
      </c>
      <c r="B1578" s="220" t="s">
        <v>2329</v>
      </c>
      <c r="C1578" s="221">
        <v>45609</v>
      </c>
      <c r="D1578" s="220" t="s">
        <v>440</v>
      </c>
      <c r="E1578" s="149" t="s">
        <v>102</v>
      </c>
      <c r="F1578" s="149" t="s">
        <v>441</v>
      </c>
      <c r="G1578" s="149" t="s">
        <v>442</v>
      </c>
      <c r="H1578" s="149" t="str">
        <f t="shared" si="8"/>
        <v>SANTIAGO MORENO PAREDES</v>
      </c>
      <c r="I1578" s="149" t="s">
        <v>968</v>
      </c>
      <c r="J1578" s="149" t="s">
        <v>462</v>
      </c>
      <c r="K1578" s="149" t="s">
        <v>2526</v>
      </c>
      <c r="L1578" s="168">
        <v>45625</v>
      </c>
      <c r="M1578" s="158"/>
      <c r="N1578" s="163">
        <v>2</v>
      </c>
      <c r="O1578" s="165" t="s">
        <v>1540</v>
      </c>
      <c r="P1578" s="161">
        <v>4000</v>
      </c>
      <c r="Q1578" s="168">
        <v>45609</v>
      </c>
      <c r="R1578" s="153"/>
      <c r="S1578" s="153"/>
      <c r="T1578" s="153"/>
      <c r="U1578" s="153"/>
      <c r="V1578" s="153"/>
      <c r="W1578" s="153"/>
      <c r="X1578" s="153"/>
      <c r="Y1578" s="153"/>
      <c r="Z1578" s="153"/>
      <c r="AA1578" s="153"/>
    </row>
    <row r="1579" spans="1:27">
      <c r="A1579" s="219">
        <v>11</v>
      </c>
      <c r="B1579" s="220" t="s">
        <v>2329</v>
      </c>
      <c r="C1579" s="221">
        <v>45576</v>
      </c>
      <c r="D1579" s="220" t="s">
        <v>440</v>
      </c>
      <c r="E1579" s="149" t="s">
        <v>239</v>
      </c>
      <c r="F1579" s="149" t="s">
        <v>441</v>
      </c>
      <c r="G1579" s="149" t="s">
        <v>442</v>
      </c>
      <c r="H1579" s="149" t="str">
        <f t="shared" si="8"/>
        <v>MIGUEL ALBERTO RODRÍGUEZ PÉREZ</v>
      </c>
      <c r="I1579" s="149" t="s">
        <v>509</v>
      </c>
      <c r="J1579" s="149" t="s">
        <v>455</v>
      </c>
      <c r="K1579" s="149" t="s">
        <v>2527</v>
      </c>
      <c r="L1579" s="168">
        <v>45625</v>
      </c>
      <c r="M1579" s="158"/>
      <c r="N1579" s="163">
        <v>2</v>
      </c>
      <c r="O1579" s="165" t="s">
        <v>1540</v>
      </c>
      <c r="P1579" s="161">
        <v>3800</v>
      </c>
      <c r="Q1579" s="168">
        <v>45576</v>
      </c>
      <c r="R1579" s="153"/>
      <c r="S1579" s="153"/>
      <c r="T1579" s="153"/>
      <c r="U1579" s="153"/>
      <c r="V1579" s="153"/>
      <c r="W1579" s="153"/>
      <c r="X1579" s="153"/>
      <c r="Y1579" s="153"/>
      <c r="Z1579" s="153"/>
      <c r="AA1579" s="153"/>
    </row>
    <row r="1580" spans="1:27">
      <c r="A1580" s="219">
        <v>11</v>
      </c>
      <c r="B1580" s="220" t="s">
        <v>2329</v>
      </c>
      <c r="C1580" s="221">
        <v>45593</v>
      </c>
      <c r="D1580" s="220" t="s">
        <v>440</v>
      </c>
      <c r="E1580" s="149" t="s">
        <v>319</v>
      </c>
      <c r="F1580" s="149" t="s">
        <v>441</v>
      </c>
      <c r="G1580" s="149" t="s">
        <v>442</v>
      </c>
      <c r="H1580" s="149" t="str">
        <f t="shared" si="8"/>
        <v>MARÍA GARROTE GARROTE</v>
      </c>
      <c r="I1580" s="149" t="s">
        <v>447</v>
      </c>
      <c r="J1580" s="149" t="s">
        <v>444</v>
      </c>
      <c r="K1580" s="149" t="s">
        <v>2528</v>
      </c>
      <c r="L1580" s="168">
        <v>45625</v>
      </c>
      <c r="M1580" s="158"/>
      <c r="N1580" s="163">
        <v>1</v>
      </c>
      <c r="O1580" s="165" t="s">
        <v>449</v>
      </c>
      <c r="P1580" s="161">
        <v>1629.09</v>
      </c>
      <c r="Q1580" s="168">
        <v>45593</v>
      </c>
      <c r="R1580" s="153"/>
      <c r="S1580" s="153"/>
      <c r="T1580" s="153"/>
      <c r="U1580" s="153"/>
      <c r="V1580" s="153"/>
      <c r="W1580" s="153"/>
      <c r="X1580" s="153"/>
      <c r="Y1580" s="153"/>
      <c r="Z1580" s="153"/>
      <c r="AA1580" s="153"/>
    </row>
    <row r="1581" spans="1:27">
      <c r="A1581" s="219">
        <v>11</v>
      </c>
      <c r="B1581" s="220" t="s">
        <v>2329</v>
      </c>
      <c r="C1581" s="221">
        <v>45601</v>
      </c>
      <c r="D1581" s="220" t="s">
        <v>440</v>
      </c>
      <c r="E1581" s="149" t="s">
        <v>150</v>
      </c>
      <c r="F1581" s="149" t="s">
        <v>441</v>
      </c>
      <c r="G1581" s="149" t="s">
        <v>442</v>
      </c>
      <c r="H1581" s="149" t="str">
        <f t="shared" si="8"/>
        <v>ÁLVARO PÉREZ LLINARES</v>
      </c>
      <c r="I1581" s="149" t="s">
        <v>1214</v>
      </c>
      <c r="J1581" s="149" t="s">
        <v>636</v>
      </c>
      <c r="K1581" s="149" t="s">
        <v>2529</v>
      </c>
      <c r="L1581" s="168">
        <v>45625</v>
      </c>
      <c r="M1581" s="158"/>
      <c r="N1581" s="163">
        <v>2</v>
      </c>
      <c r="O1581" s="165" t="s">
        <v>449</v>
      </c>
      <c r="P1581" s="161">
        <v>2743.77</v>
      </c>
      <c r="Q1581" s="168">
        <v>45601</v>
      </c>
      <c r="R1581" s="153"/>
      <c r="S1581" s="153"/>
      <c r="T1581" s="153"/>
      <c r="U1581" s="153"/>
      <c r="V1581" s="153"/>
      <c r="W1581" s="153"/>
      <c r="X1581" s="153"/>
      <c r="Y1581" s="153"/>
      <c r="Z1581" s="153"/>
      <c r="AA1581" s="153"/>
    </row>
    <row r="1582" spans="1:27">
      <c r="A1582" s="219">
        <v>11</v>
      </c>
      <c r="B1582" s="220" t="s">
        <v>2329</v>
      </c>
      <c r="C1582" s="221">
        <v>45523</v>
      </c>
      <c r="D1582" s="220" t="s">
        <v>440</v>
      </c>
      <c r="E1582" s="149" t="s">
        <v>475</v>
      </c>
      <c r="F1582" s="149" t="s">
        <v>441</v>
      </c>
      <c r="G1582" s="149" t="s">
        <v>442</v>
      </c>
      <c r="H1582" s="149" t="str">
        <f t="shared" si="8"/>
        <v>XENIA MOTA ROJAS</v>
      </c>
      <c r="I1582" s="149" t="s">
        <v>1077</v>
      </c>
      <c r="J1582" s="149" t="s">
        <v>473</v>
      </c>
      <c r="K1582" s="149" t="s">
        <v>2530</v>
      </c>
      <c r="L1582" s="168">
        <v>45625</v>
      </c>
      <c r="M1582" s="158"/>
      <c r="N1582" s="163">
        <v>2</v>
      </c>
      <c r="O1582" s="165" t="s">
        <v>449</v>
      </c>
      <c r="P1582" s="161">
        <v>3181.82</v>
      </c>
      <c r="Q1582" s="168">
        <v>45523</v>
      </c>
      <c r="R1582" s="153"/>
      <c r="S1582" s="153"/>
      <c r="T1582" s="153"/>
      <c r="U1582" s="153"/>
      <c r="V1582" s="153"/>
      <c r="W1582" s="153"/>
      <c r="X1582" s="153"/>
      <c r="Y1582" s="153"/>
      <c r="Z1582" s="153"/>
      <c r="AA1582" s="153"/>
    </row>
    <row r="1583" spans="1:27">
      <c r="A1583" s="219">
        <v>11</v>
      </c>
      <c r="B1583" s="220" t="s">
        <v>2329</v>
      </c>
      <c r="C1583" s="221">
        <v>45532</v>
      </c>
      <c r="D1583" s="220" t="s">
        <v>440</v>
      </c>
      <c r="E1583" s="149" t="s">
        <v>92</v>
      </c>
      <c r="F1583" s="149" t="s">
        <v>441</v>
      </c>
      <c r="G1583" s="149" t="s">
        <v>442</v>
      </c>
      <c r="H1583" s="149" t="str">
        <f t="shared" si="8"/>
        <v>MÁXIMO RAFAEL GARCÍA RODRÍGUEZ</v>
      </c>
      <c r="I1583" s="149" t="s">
        <v>2531</v>
      </c>
      <c r="J1583" s="149" t="s">
        <v>462</v>
      </c>
      <c r="K1583" s="149" t="s">
        <v>2532</v>
      </c>
      <c r="L1583" s="168">
        <v>45625</v>
      </c>
      <c r="M1583" s="158"/>
      <c r="N1583" s="163">
        <v>2</v>
      </c>
      <c r="O1583" s="165" t="s">
        <v>449</v>
      </c>
      <c r="P1583" s="161">
        <v>2888.18</v>
      </c>
      <c r="Q1583" s="168">
        <v>45532</v>
      </c>
      <c r="R1583" s="153"/>
      <c r="S1583" s="153"/>
      <c r="T1583" s="153"/>
      <c r="U1583" s="153"/>
      <c r="V1583" s="153"/>
      <c r="W1583" s="153"/>
      <c r="X1583" s="153"/>
      <c r="Y1583" s="153"/>
      <c r="Z1583" s="153"/>
      <c r="AA1583" s="153"/>
    </row>
    <row r="1584" spans="1:27">
      <c r="A1584" s="219">
        <v>11</v>
      </c>
      <c r="B1584" s="220" t="s">
        <v>2329</v>
      </c>
      <c r="C1584" s="221">
        <v>45555</v>
      </c>
      <c r="D1584" s="220" t="s">
        <v>440</v>
      </c>
      <c r="E1584" s="149" t="s">
        <v>312</v>
      </c>
      <c r="F1584" s="149" t="s">
        <v>441</v>
      </c>
      <c r="G1584" s="149" t="s">
        <v>442</v>
      </c>
      <c r="H1584" s="149" t="str">
        <f t="shared" si="8"/>
        <v>JESÚS CROVATO ROJAS</v>
      </c>
      <c r="I1584" s="149" t="s">
        <v>977</v>
      </c>
      <c r="J1584" s="149" t="s">
        <v>455</v>
      </c>
      <c r="K1584" s="149" t="s">
        <v>2533</v>
      </c>
      <c r="L1584" s="168">
        <v>45625</v>
      </c>
      <c r="M1584" s="158"/>
      <c r="N1584" s="163">
        <v>2</v>
      </c>
      <c r="O1584" s="165" t="s">
        <v>449</v>
      </c>
      <c r="P1584" s="161">
        <v>2625.45</v>
      </c>
      <c r="Q1584" s="168">
        <v>45555</v>
      </c>
      <c r="R1584" s="153"/>
      <c r="S1584" s="153"/>
      <c r="T1584" s="153"/>
      <c r="U1584" s="153"/>
      <c r="V1584" s="153"/>
      <c r="W1584" s="153"/>
      <c r="X1584" s="153"/>
      <c r="Y1584" s="153"/>
      <c r="Z1584" s="153"/>
      <c r="AA1584" s="153"/>
    </row>
    <row r="1585" spans="1:27">
      <c r="A1585" s="219">
        <v>11</v>
      </c>
      <c r="B1585" s="220" t="s">
        <v>2329</v>
      </c>
      <c r="C1585" s="221">
        <v>45581</v>
      </c>
      <c r="D1585" s="220" t="s">
        <v>440</v>
      </c>
      <c r="E1585" s="149" t="s">
        <v>92</v>
      </c>
      <c r="F1585" s="149" t="s">
        <v>441</v>
      </c>
      <c r="G1585" s="149" t="s">
        <v>442</v>
      </c>
      <c r="H1585" s="149" t="str">
        <f t="shared" si="8"/>
        <v>ALEJANDRO HARGUINDEY ANTOLI-CANDELA</v>
      </c>
      <c r="I1585" s="149" t="s">
        <v>2445</v>
      </c>
      <c r="J1585" s="149" t="s">
        <v>462</v>
      </c>
      <c r="K1585" s="149" t="s">
        <v>2534</v>
      </c>
      <c r="L1585" s="168">
        <v>45625</v>
      </c>
      <c r="M1585" s="158"/>
      <c r="N1585" s="163">
        <v>2</v>
      </c>
      <c r="O1585" s="165" t="s">
        <v>466</v>
      </c>
      <c r="P1585" s="161">
        <v>4000</v>
      </c>
      <c r="Q1585" s="168">
        <v>45581</v>
      </c>
      <c r="R1585" s="153"/>
      <c r="S1585" s="153"/>
      <c r="T1585" s="153"/>
      <c r="U1585" s="153"/>
      <c r="V1585" s="153"/>
      <c r="W1585" s="153"/>
      <c r="X1585" s="153"/>
      <c r="Y1585" s="153"/>
      <c r="Z1585" s="153"/>
      <c r="AA1585" s="153"/>
    </row>
    <row r="1586" spans="1:27">
      <c r="A1586" s="219">
        <v>11</v>
      </c>
      <c r="B1586" s="220" t="s">
        <v>2329</v>
      </c>
      <c r="C1586" s="221">
        <v>45609</v>
      </c>
      <c r="D1586" s="220" t="s">
        <v>440</v>
      </c>
      <c r="E1586" s="149" t="s">
        <v>514</v>
      </c>
      <c r="F1586" s="149" t="s">
        <v>441</v>
      </c>
      <c r="G1586" s="149" t="s">
        <v>442</v>
      </c>
      <c r="H1586" s="149" t="str">
        <f t="shared" si="8"/>
        <v>ISABEL VAAMONDE SANCHEZ ANDRADE</v>
      </c>
      <c r="I1586" s="149" t="s">
        <v>814</v>
      </c>
      <c r="J1586" s="149" t="s">
        <v>516</v>
      </c>
      <c r="K1586" s="149" t="s">
        <v>2535</v>
      </c>
      <c r="L1586" s="168">
        <v>45625</v>
      </c>
      <c r="M1586" s="158"/>
      <c r="N1586" s="163">
        <v>2</v>
      </c>
      <c r="O1586" s="165" t="s">
        <v>518</v>
      </c>
      <c r="P1586" s="161">
        <v>2545.4499999999998</v>
      </c>
      <c r="Q1586" s="168">
        <v>45609</v>
      </c>
      <c r="R1586" s="153"/>
      <c r="S1586" s="153"/>
      <c r="T1586" s="153"/>
      <c r="U1586" s="153"/>
      <c r="V1586" s="153"/>
      <c r="W1586" s="153"/>
      <c r="X1586" s="153"/>
      <c r="Y1586" s="153"/>
      <c r="Z1586" s="153"/>
      <c r="AA1586" s="153"/>
    </row>
    <row r="1587" spans="1:27">
      <c r="A1587" s="219">
        <v>11</v>
      </c>
      <c r="B1587" s="220" t="s">
        <v>2329</v>
      </c>
      <c r="C1587" s="221">
        <v>45611</v>
      </c>
      <c r="D1587" s="220" t="s">
        <v>440</v>
      </c>
      <c r="E1587" s="149" t="s">
        <v>2338</v>
      </c>
      <c r="F1587" s="149" t="s">
        <v>441</v>
      </c>
      <c r="G1587" s="149" t="s">
        <v>442</v>
      </c>
      <c r="H1587" s="149" t="str">
        <f t="shared" si="8"/>
        <v>RAQUEL SOLIS VAZQUEZ</v>
      </c>
      <c r="I1587" s="149" t="s">
        <v>1576</v>
      </c>
      <c r="J1587" s="149" t="s">
        <v>455</v>
      </c>
      <c r="K1587" s="149" t="s">
        <v>2536</v>
      </c>
      <c r="L1587" s="168">
        <v>45625</v>
      </c>
      <c r="M1587" s="158"/>
      <c r="N1587" s="163">
        <v>2</v>
      </c>
      <c r="O1587" s="165" t="s">
        <v>449</v>
      </c>
      <c r="P1587" s="161">
        <v>3045.45</v>
      </c>
      <c r="Q1587" s="168">
        <v>45611</v>
      </c>
      <c r="R1587" s="153"/>
      <c r="S1587" s="153"/>
      <c r="T1587" s="153"/>
      <c r="U1587" s="153"/>
      <c r="V1587" s="153"/>
      <c r="W1587" s="153"/>
      <c r="X1587" s="153"/>
      <c r="Y1587" s="153"/>
      <c r="Z1587" s="153"/>
      <c r="AA1587" s="153"/>
    </row>
    <row r="1588" spans="1:27">
      <c r="A1588" s="219">
        <v>11</v>
      </c>
      <c r="B1588" s="220" t="s">
        <v>2329</v>
      </c>
      <c r="C1588" s="223"/>
      <c r="D1588" s="220" t="s">
        <v>440</v>
      </c>
      <c r="E1588" s="149" t="s">
        <v>317</v>
      </c>
      <c r="F1588" s="149" t="s">
        <v>450</v>
      </c>
      <c r="G1588" s="149" t="s">
        <v>451</v>
      </c>
      <c r="H1588" s="149" t="str">
        <f t="shared" si="8"/>
        <v>FRANCISCO PASTOR BEVIÁ</v>
      </c>
      <c r="I1588" s="149" t="s">
        <v>464</v>
      </c>
      <c r="J1588" s="149" t="s">
        <v>462</v>
      </c>
      <c r="K1588" s="149" t="s">
        <v>2537</v>
      </c>
      <c r="L1588" s="168">
        <v>45625</v>
      </c>
      <c r="M1588" s="158"/>
      <c r="N1588" s="163">
        <v>2</v>
      </c>
      <c r="O1588" s="165" t="s">
        <v>513</v>
      </c>
      <c r="P1588" s="161">
        <v>4400</v>
      </c>
      <c r="Q1588" s="224"/>
      <c r="R1588" s="153"/>
      <c r="S1588" s="153"/>
      <c r="T1588" s="153"/>
      <c r="U1588" s="153"/>
      <c r="V1588" s="153"/>
      <c r="W1588" s="153"/>
      <c r="X1588" s="153"/>
      <c r="Y1588" s="153"/>
      <c r="Z1588" s="153"/>
      <c r="AA1588" s="153"/>
    </row>
    <row r="1589" spans="1:27">
      <c r="A1589" s="163">
        <v>12</v>
      </c>
      <c r="B1589" s="160" t="s">
        <v>2538</v>
      </c>
      <c r="C1589" s="168">
        <v>45629</v>
      </c>
      <c r="D1589" s="160" t="s">
        <v>440</v>
      </c>
      <c r="E1589" s="149" t="s">
        <v>92</v>
      </c>
      <c r="F1589" s="165" t="s">
        <v>441</v>
      </c>
      <c r="G1589" s="165" t="s">
        <v>442</v>
      </c>
      <c r="H1589" s="149" t="str">
        <f t="shared" si="8"/>
        <v>JAVIER GARCÍA-DUEÑAS GONZÁLEZ</v>
      </c>
      <c r="I1589" s="149" t="s">
        <v>1122</v>
      </c>
      <c r="J1589" s="149" t="s">
        <v>462</v>
      </c>
      <c r="K1589" s="149" t="s">
        <v>2539</v>
      </c>
      <c r="L1589" s="168">
        <v>45649</v>
      </c>
      <c r="M1589" s="164"/>
      <c r="N1589" s="163">
        <v>2</v>
      </c>
      <c r="O1589" s="165" t="s">
        <v>446</v>
      </c>
      <c r="P1589" s="161">
        <v>3524.55</v>
      </c>
      <c r="Q1589" s="168">
        <v>45649</v>
      </c>
      <c r="R1589" s="153"/>
      <c r="S1589" s="153"/>
      <c r="T1589" s="153"/>
      <c r="U1589" s="153"/>
      <c r="V1589" s="153"/>
      <c r="W1589" s="153"/>
      <c r="X1589" s="153"/>
      <c r="Y1589" s="153"/>
      <c r="Z1589" s="153"/>
      <c r="AA1589" s="153"/>
    </row>
    <row r="1590" spans="1:27">
      <c r="A1590" s="163">
        <v>12</v>
      </c>
      <c r="B1590" s="160" t="s">
        <v>2538</v>
      </c>
      <c r="C1590" s="168">
        <v>45616</v>
      </c>
      <c r="D1590" s="160" t="s">
        <v>440</v>
      </c>
      <c r="E1590" s="149" t="s">
        <v>92</v>
      </c>
      <c r="F1590" s="165" t="s">
        <v>441</v>
      </c>
      <c r="G1590" s="165" t="s">
        <v>442</v>
      </c>
      <c r="H1590" s="149" t="str">
        <f t="shared" si="8"/>
        <v>MARIO HIGUERA RAPA</v>
      </c>
      <c r="I1590" s="149" t="s">
        <v>913</v>
      </c>
      <c r="J1590" s="149" t="s">
        <v>462</v>
      </c>
      <c r="K1590" s="149" t="s">
        <v>2540</v>
      </c>
      <c r="L1590" s="168">
        <v>45649</v>
      </c>
      <c r="M1590" s="164"/>
      <c r="N1590" s="163">
        <v>2</v>
      </c>
      <c r="O1590" s="165" t="s">
        <v>1540</v>
      </c>
      <c r="P1590" s="161">
        <v>4000</v>
      </c>
      <c r="Q1590" s="168">
        <v>45649</v>
      </c>
      <c r="R1590" s="153"/>
      <c r="S1590" s="153"/>
      <c r="T1590" s="153"/>
      <c r="U1590" s="153"/>
      <c r="V1590" s="153"/>
      <c r="W1590" s="153"/>
      <c r="X1590" s="153"/>
      <c r="Y1590" s="153"/>
      <c r="Z1590" s="153"/>
      <c r="AA1590" s="153"/>
    </row>
    <row r="1591" spans="1:27">
      <c r="A1591" s="163">
        <v>12</v>
      </c>
      <c r="B1591" s="160" t="s">
        <v>2538</v>
      </c>
      <c r="C1591" s="168">
        <v>45603</v>
      </c>
      <c r="D1591" s="160" t="s">
        <v>440</v>
      </c>
      <c r="E1591" s="149" t="s">
        <v>92</v>
      </c>
      <c r="F1591" s="165" t="s">
        <v>441</v>
      </c>
      <c r="G1591" s="165" t="s">
        <v>442</v>
      </c>
      <c r="H1591" s="149" t="str">
        <f t="shared" si="8"/>
        <v>PEDRO SEGUÍ MOYA</v>
      </c>
      <c r="I1591" s="149" t="s">
        <v>779</v>
      </c>
      <c r="J1591" s="149" t="s">
        <v>462</v>
      </c>
      <c r="K1591" s="149" t="s">
        <v>2541</v>
      </c>
      <c r="L1591" s="168">
        <v>45639</v>
      </c>
      <c r="M1591" s="164"/>
      <c r="N1591" s="163">
        <v>2</v>
      </c>
      <c r="O1591" s="165" t="s">
        <v>1540</v>
      </c>
      <c r="P1591" s="161">
        <v>4000</v>
      </c>
      <c r="Q1591" s="168">
        <v>45639</v>
      </c>
      <c r="R1591" s="153"/>
      <c r="S1591" s="153"/>
      <c r="T1591" s="153"/>
      <c r="U1591" s="153"/>
      <c r="V1591" s="153"/>
      <c r="W1591" s="153"/>
      <c r="X1591" s="153"/>
      <c r="Y1591" s="153"/>
      <c r="Z1591" s="153"/>
      <c r="AA1591" s="153"/>
    </row>
    <row r="1592" spans="1:27">
      <c r="A1592" s="163">
        <v>12</v>
      </c>
      <c r="B1592" s="160" t="s">
        <v>2538</v>
      </c>
      <c r="C1592" s="168">
        <v>45636</v>
      </c>
      <c r="D1592" s="160" t="s">
        <v>440</v>
      </c>
      <c r="E1592" s="149" t="s">
        <v>308</v>
      </c>
      <c r="F1592" s="165" t="s">
        <v>441</v>
      </c>
      <c r="G1592" s="165" t="s">
        <v>442</v>
      </c>
      <c r="H1592" s="149" t="str">
        <f t="shared" si="8"/>
        <v>JORGE PRADA PENDOLERO</v>
      </c>
      <c r="I1592" s="149" t="s">
        <v>701</v>
      </c>
      <c r="J1592" s="149" t="s">
        <v>444</v>
      </c>
      <c r="K1592" s="149" t="s">
        <v>2542</v>
      </c>
      <c r="L1592" s="168">
        <v>45657</v>
      </c>
      <c r="M1592" s="164"/>
      <c r="N1592" s="163">
        <v>2</v>
      </c>
      <c r="O1592" s="165" t="s">
        <v>446</v>
      </c>
      <c r="P1592" s="161">
        <v>3710</v>
      </c>
      <c r="Q1592" s="168">
        <v>45657</v>
      </c>
      <c r="R1592" s="153"/>
      <c r="S1592" s="153"/>
      <c r="T1592" s="153"/>
      <c r="U1592" s="153"/>
      <c r="V1592" s="153"/>
      <c r="W1592" s="153"/>
      <c r="X1592" s="153"/>
      <c r="Y1592" s="153"/>
      <c r="Z1592" s="153"/>
      <c r="AA1592" s="153"/>
    </row>
    <row r="1593" spans="1:27">
      <c r="A1593" s="163">
        <v>12</v>
      </c>
      <c r="B1593" s="160" t="s">
        <v>2538</v>
      </c>
      <c r="C1593" s="168">
        <v>45629</v>
      </c>
      <c r="D1593" s="160" t="s">
        <v>440</v>
      </c>
      <c r="E1593" s="149" t="s">
        <v>308</v>
      </c>
      <c r="F1593" s="165" t="s">
        <v>441</v>
      </c>
      <c r="G1593" s="165" t="s">
        <v>442</v>
      </c>
      <c r="H1593" s="149" t="str">
        <f t="shared" si="8"/>
        <v>OLGA ALDECOA JIMÉNEZ</v>
      </c>
      <c r="I1593" s="149" t="s">
        <v>2451</v>
      </c>
      <c r="J1593" s="149" t="s">
        <v>548</v>
      </c>
      <c r="K1593" s="149" t="s">
        <v>2543</v>
      </c>
      <c r="L1593" s="168">
        <v>45653</v>
      </c>
      <c r="M1593" s="164"/>
      <c r="N1593" s="163">
        <v>2</v>
      </c>
      <c r="O1593" s="165" t="s">
        <v>1540</v>
      </c>
      <c r="P1593" s="161">
        <v>4000</v>
      </c>
      <c r="Q1593" s="168">
        <v>45653</v>
      </c>
      <c r="R1593" s="153"/>
      <c r="S1593" s="153"/>
      <c r="T1593" s="153"/>
      <c r="U1593" s="153"/>
      <c r="V1593" s="153"/>
      <c r="W1593" s="153"/>
      <c r="X1593" s="153"/>
      <c r="Y1593" s="153"/>
      <c r="Z1593" s="153"/>
      <c r="AA1593" s="153"/>
    </row>
    <row r="1594" spans="1:27">
      <c r="A1594" s="163">
        <v>12</v>
      </c>
      <c r="B1594" s="160" t="s">
        <v>2538</v>
      </c>
      <c r="C1594" s="168">
        <v>45608</v>
      </c>
      <c r="D1594" s="160" t="s">
        <v>440</v>
      </c>
      <c r="E1594" s="149" t="s">
        <v>308</v>
      </c>
      <c r="F1594" s="165" t="s">
        <v>441</v>
      </c>
      <c r="G1594" s="165" t="s">
        <v>442</v>
      </c>
      <c r="H1594" s="149" t="str">
        <f t="shared" si="8"/>
        <v>MARIA ÁNGELES MATE BAYON</v>
      </c>
      <c r="I1594" s="149" t="s">
        <v>2544</v>
      </c>
      <c r="J1594" s="149" t="s">
        <v>548</v>
      </c>
      <c r="K1594" s="149" t="s">
        <v>2545</v>
      </c>
      <c r="L1594" s="168">
        <v>45653</v>
      </c>
      <c r="M1594" s="164"/>
      <c r="N1594" s="163">
        <v>1</v>
      </c>
      <c r="O1594" s="165" t="s">
        <v>446</v>
      </c>
      <c r="P1594" s="161">
        <v>2226.36</v>
      </c>
      <c r="Q1594" s="168">
        <v>45653</v>
      </c>
      <c r="R1594" s="153"/>
      <c r="S1594" s="153"/>
      <c r="T1594" s="153"/>
      <c r="U1594" s="153"/>
      <c r="V1594" s="153"/>
      <c r="W1594" s="153"/>
      <c r="X1594" s="153"/>
      <c r="Y1594" s="153"/>
      <c r="Z1594" s="153"/>
      <c r="AA1594" s="153"/>
    </row>
    <row r="1595" spans="1:27">
      <c r="A1595" s="163">
        <v>12</v>
      </c>
      <c r="B1595" s="160" t="s">
        <v>2538</v>
      </c>
      <c r="C1595" s="168">
        <v>45622</v>
      </c>
      <c r="D1595" s="160" t="s">
        <v>440</v>
      </c>
      <c r="E1595" s="149" t="s">
        <v>460</v>
      </c>
      <c r="F1595" s="165" t="s">
        <v>441</v>
      </c>
      <c r="G1595" s="165" t="s">
        <v>442</v>
      </c>
      <c r="H1595" s="149" t="str">
        <f t="shared" si="8"/>
        <v>JOSÉ MARÍA LABORDA MARGOLLES</v>
      </c>
      <c r="I1595" s="149" t="s">
        <v>1298</v>
      </c>
      <c r="J1595" s="153" t="s">
        <v>462</v>
      </c>
      <c r="K1595" s="149" t="s">
        <v>2546</v>
      </c>
      <c r="L1595" s="168">
        <v>45652</v>
      </c>
      <c r="M1595" s="164"/>
      <c r="N1595" s="163">
        <v>2</v>
      </c>
      <c r="O1595" s="165" t="s">
        <v>513</v>
      </c>
      <c r="P1595" s="161">
        <v>4400</v>
      </c>
      <c r="Q1595" s="168">
        <v>45652</v>
      </c>
      <c r="R1595" s="153"/>
      <c r="S1595" s="153"/>
      <c r="T1595" s="153"/>
      <c r="U1595" s="153"/>
      <c r="V1595" s="153"/>
      <c r="W1595" s="153"/>
      <c r="X1595" s="153"/>
      <c r="Y1595" s="153"/>
      <c r="Z1595" s="153"/>
      <c r="AA1595" s="153"/>
    </row>
    <row r="1596" spans="1:27">
      <c r="A1596" s="163">
        <v>12</v>
      </c>
      <c r="B1596" s="160" t="s">
        <v>2538</v>
      </c>
      <c r="C1596" s="168">
        <v>45527</v>
      </c>
      <c r="D1596" s="160" t="s">
        <v>440</v>
      </c>
      <c r="E1596" s="149" t="s">
        <v>460</v>
      </c>
      <c r="F1596" s="165" t="s">
        <v>441</v>
      </c>
      <c r="G1596" s="165" t="s">
        <v>442</v>
      </c>
      <c r="H1596" s="149" t="str">
        <f t="shared" si="8"/>
        <v>LINO ENGUIDANOS HERNANDORENA</v>
      </c>
      <c r="I1596" s="149" t="s">
        <v>461</v>
      </c>
      <c r="J1596" s="149" t="s">
        <v>462</v>
      </c>
      <c r="K1596" s="149" t="s">
        <v>2547</v>
      </c>
      <c r="L1596" s="168">
        <v>45638</v>
      </c>
      <c r="M1596" s="164"/>
      <c r="N1596" s="163">
        <v>2</v>
      </c>
      <c r="O1596" s="165" t="s">
        <v>449</v>
      </c>
      <c r="P1596" s="161">
        <v>2888.18</v>
      </c>
      <c r="Q1596" s="168">
        <v>45638</v>
      </c>
      <c r="R1596" s="153"/>
      <c r="S1596" s="153"/>
      <c r="T1596" s="153"/>
      <c r="U1596" s="153"/>
      <c r="V1596" s="153"/>
      <c r="W1596" s="153"/>
      <c r="X1596" s="153"/>
      <c r="Y1596" s="153"/>
      <c r="Z1596" s="153"/>
      <c r="AA1596" s="153"/>
    </row>
    <row r="1597" spans="1:27">
      <c r="A1597" s="163">
        <v>12</v>
      </c>
      <c r="B1597" s="160" t="s">
        <v>2538</v>
      </c>
      <c r="C1597" s="168">
        <v>45621</v>
      </c>
      <c r="D1597" s="160" t="s">
        <v>440</v>
      </c>
      <c r="E1597" s="149" t="s">
        <v>317</v>
      </c>
      <c r="F1597" s="165" t="s">
        <v>441</v>
      </c>
      <c r="G1597" s="165" t="s">
        <v>442</v>
      </c>
      <c r="H1597" s="149" t="str">
        <f t="shared" si="8"/>
        <v>LUISA PAYÁ PÉREZ</v>
      </c>
      <c r="I1597" s="149" t="s">
        <v>2548</v>
      </c>
      <c r="J1597" s="149" t="s">
        <v>462</v>
      </c>
      <c r="K1597" s="149" t="s">
        <v>2549</v>
      </c>
      <c r="L1597" s="168">
        <v>45656</v>
      </c>
      <c r="M1597" s="164"/>
      <c r="N1597" s="163">
        <v>2</v>
      </c>
      <c r="O1597" s="165" t="s">
        <v>449</v>
      </c>
      <c r="P1597" s="161">
        <v>2890.91</v>
      </c>
      <c r="Q1597" s="168">
        <v>45656</v>
      </c>
      <c r="R1597" s="153"/>
      <c r="S1597" s="153"/>
      <c r="T1597" s="153"/>
      <c r="U1597" s="153"/>
      <c r="V1597" s="153"/>
      <c r="W1597" s="153"/>
      <c r="X1597" s="153"/>
      <c r="Y1597" s="153"/>
      <c r="Z1597" s="153"/>
      <c r="AA1597" s="153"/>
    </row>
    <row r="1598" spans="1:27">
      <c r="A1598" s="163">
        <v>12</v>
      </c>
      <c r="B1598" s="160" t="s">
        <v>2538</v>
      </c>
      <c r="C1598" s="168">
        <v>45622</v>
      </c>
      <c r="D1598" s="160" t="s">
        <v>440</v>
      </c>
      <c r="E1598" s="149" t="s">
        <v>317</v>
      </c>
      <c r="F1598" s="165" t="s">
        <v>441</v>
      </c>
      <c r="G1598" s="165" t="s">
        <v>2062</v>
      </c>
      <c r="H1598" s="149" t="str">
        <f t="shared" si="8"/>
        <v>FRANCISCO PASTOR BEVIÁ</v>
      </c>
      <c r="I1598" s="149" t="s">
        <v>464</v>
      </c>
      <c r="J1598" s="149" t="s">
        <v>462</v>
      </c>
      <c r="K1598" s="149" t="s">
        <v>2550</v>
      </c>
      <c r="L1598" s="168">
        <v>45650</v>
      </c>
      <c r="M1598" s="164"/>
      <c r="N1598" s="163">
        <v>2</v>
      </c>
      <c r="O1598" s="165" t="s">
        <v>513</v>
      </c>
      <c r="P1598" s="161">
        <v>4400</v>
      </c>
      <c r="Q1598" s="168">
        <v>45650</v>
      </c>
      <c r="R1598" s="153"/>
      <c r="S1598" s="153"/>
      <c r="T1598" s="153"/>
      <c r="U1598" s="153"/>
      <c r="V1598" s="153"/>
      <c r="W1598" s="153"/>
      <c r="X1598" s="153"/>
      <c r="Y1598" s="153"/>
      <c r="Z1598" s="153"/>
      <c r="AA1598" s="153"/>
    </row>
    <row r="1599" spans="1:27">
      <c r="A1599" s="163">
        <v>12</v>
      </c>
      <c r="B1599" s="160" t="s">
        <v>2538</v>
      </c>
      <c r="C1599" s="168">
        <v>45608</v>
      </c>
      <c r="D1599" s="160" t="s">
        <v>440</v>
      </c>
      <c r="E1599" s="149" t="s">
        <v>317</v>
      </c>
      <c r="F1599" s="165" t="s">
        <v>441</v>
      </c>
      <c r="G1599" s="165" t="s">
        <v>442</v>
      </c>
      <c r="H1599" s="149" t="str">
        <f t="shared" si="8"/>
        <v>FÉLIX RUÍZ DE LA CUESTA JUSTE</v>
      </c>
      <c r="I1599" s="149" t="s">
        <v>656</v>
      </c>
      <c r="J1599" s="149" t="s">
        <v>462</v>
      </c>
      <c r="K1599" s="149" t="s">
        <v>2551</v>
      </c>
      <c r="L1599" s="168">
        <v>45649</v>
      </c>
      <c r="M1599" s="164"/>
      <c r="N1599" s="163">
        <v>1</v>
      </c>
      <c r="O1599" s="165" t="s">
        <v>513</v>
      </c>
      <c r="P1599" s="161">
        <v>2613.64</v>
      </c>
      <c r="Q1599" s="168">
        <v>45649</v>
      </c>
      <c r="R1599" s="153"/>
      <c r="S1599" s="153"/>
      <c r="T1599" s="153"/>
      <c r="U1599" s="153"/>
      <c r="V1599" s="153"/>
      <c r="W1599" s="153"/>
      <c r="X1599" s="153"/>
      <c r="Y1599" s="153"/>
      <c r="Z1599" s="153"/>
      <c r="AA1599" s="153"/>
    </row>
    <row r="1600" spans="1:27">
      <c r="A1600" s="163">
        <v>12</v>
      </c>
      <c r="B1600" s="160" t="s">
        <v>2538</v>
      </c>
      <c r="C1600" s="168">
        <v>45621</v>
      </c>
      <c r="D1600" s="160" t="s">
        <v>440</v>
      </c>
      <c r="E1600" s="149" t="s">
        <v>317</v>
      </c>
      <c r="F1600" s="165" t="s">
        <v>441</v>
      </c>
      <c r="G1600" s="165" t="s">
        <v>442</v>
      </c>
      <c r="H1600" s="149" t="str">
        <f t="shared" si="8"/>
        <v>NO REUERDA ORL</v>
      </c>
      <c r="I1600" s="149" t="s">
        <v>469</v>
      </c>
      <c r="J1600" s="149" t="s">
        <v>462</v>
      </c>
      <c r="K1600" s="149" t="s">
        <v>2552</v>
      </c>
      <c r="L1600" s="168">
        <v>45649</v>
      </c>
      <c r="M1600" s="164"/>
      <c r="N1600" s="163">
        <v>2</v>
      </c>
      <c r="O1600" s="165" t="s">
        <v>446</v>
      </c>
      <c r="P1600" s="161">
        <v>3710</v>
      </c>
      <c r="Q1600" s="168">
        <v>45649</v>
      </c>
      <c r="R1600" s="153"/>
      <c r="S1600" s="153"/>
      <c r="T1600" s="153"/>
      <c r="U1600" s="153"/>
      <c r="V1600" s="153"/>
      <c r="W1600" s="153"/>
      <c r="X1600" s="153"/>
      <c r="Y1600" s="153"/>
      <c r="Z1600" s="153"/>
      <c r="AA1600" s="153"/>
    </row>
    <row r="1601" spans="1:27">
      <c r="A1601" s="163">
        <v>12</v>
      </c>
      <c r="B1601" s="160" t="s">
        <v>2538</v>
      </c>
      <c r="C1601" s="168">
        <v>45609</v>
      </c>
      <c r="D1601" s="160" t="s">
        <v>440</v>
      </c>
      <c r="E1601" s="149" t="s">
        <v>317</v>
      </c>
      <c r="F1601" s="165" t="s">
        <v>441</v>
      </c>
      <c r="G1601" s="165" t="s">
        <v>442</v>
      </c>
      <c r="H1601" s="149" t="str">
        <f t="shared" si="8"/>
        <v>GUILLERMO SEVERA FERRANDIZ</v>
      </c>
      <c r="I1601" s="149" t="s">
        <v>2553</v>
      </c>
      <c r="J1601" s="149" t="s">
        <v>462</v>
      </c>
      <c r="K1601" s="149" t="s">
        <v>2554</v>
      </c>
      <c r="L1601" s="168">
        <v>45649</v>
      </c>
      <c r="M1601" s="164"/>
      <c r="N1601" s="163">
        <v>2</v>
      </c>
      <c r="O1601" s="165" t="s">
        <v>513</v>
      </c>
      <c r="P1601" s="161">
        <v>4180</v>
      </c>
      <c r="Q1601" s="168">
        <v>45649</v>
      </c>
      <c r="R1601" s="153"/>
      <c r="S1601" s="153"/>
      <c r="T1601" s="153"/>
      <c r="U1601" s="153"/>
      <c r="V1601" s="153"/>
      <c r="W1601" s="153"/>
      <c r="X1601" s="153"/>
      <c r="Y1601" s="153"/>
      <c r="Z1601" s="153"/>
      <c r="AA1601" s="153"/>
    </row>
    <row r="1602" spans="1:27">
      <c r="A1602" s="163">
        <v>12</v>
      </c>
      <c r="B1602" s="160" t="s">
        <v>2538</v>
      </c>
      <c r="C1602" s="168">
        <v>45608</v>
      </c>
      <c r="D1602" s="160" t="s">
        <v>440</v>
      </c>
      <c r="E1602" s="149" t="s">
        <v>317</v>
      </c>
      <c r="F1602" s="165" t="s">
        <v>441</v>
      </c>
      <c r="G1602" s="165" t="s">
        <v>442</v>
      </c>
      <c r="H1602" s="149" t="str">
        <f t="shared" si="8"/>
        <v>FRANCISCO PASTOR BEVIÁ</v>
      </c>
      <c r="I1602" s="149" t="s">
        <v>464</v>
      </c>
      <c r="J1602" s="149" t="s">
        <v>462</v>
      </c>
      <c r="K1602" s="149" t="s">
        <v>2555</v>
      </c>
      <c r="L1602" s="168">
        <v>45643</v>
      </c>
      <c r="M1602" s="164"/>
      <c r="N1602" s="163">
        <v>2</v>
      </c>
      <c r="O1602" s="165" t="s">
        <v>1540</v>
      </c>
      <c r="P1602" s="161">
        <v>4000</v>
      </c>
      <c r="Q1602" s="168">
        <v>45643</v>
      </c>
      <c r="R1602" s="153"/>
      <c r="S1602" s="153"/>
      <c r="T1602" s="153"/>
      <c r="U1602" s="153"/>
      <c r="V1602" s="153"/>
      <c r="W1602" s="153"/>
      <c r="X1602" s="153"/>
      <c r="Y1602" s="153"/>
      <c r="Z1602" s="153"/>
      <c r="AA1602" s="153"/>
    </row>
    <row r="1603" spans="1:27">
      <c r="A1603" s="163">
        <v>12</v>
      </c>
      <c r="B1603" s="160" t="s">
        <v>2538</v>
      </c>
      <c r="C1603" s="168">
        <v>45601</v>
      </c>
      <c r="D1603" s="160" t="s">
        <v>440</v>
      </c>
      <c r="E1603" s="149" t="s">
        <v>317</v>
      </c>
      <c r="F1603" s="165" t="s">
        <v>441</v>
      </c>
      <c r="G1603" s="165" t="s">
        <v>442</v>
      </c>
      <c r="H1603" s="149" t="str">
        <f t="shared" si="8"/>
        <v>OSCAR ALEMÁN LÓPEZ</v>
      </c>
      <c r="I1603" s="149" t="s">
        <v>497</v>
      </c>
      <c r="J1603" s="149" t="s">
        <v>462</v>
      </c>
      <c r="K1603" s="149" t="s">
        <v>2556</v>
      </c>
      <c r="L1603" s="168">
        <v>45639</v>
      </c>
      <c r="M1603" s="164"/>
      <c r="N1603" s="163">
        <v>2</v>
      </c>
      <c r="O1603" s="165" t="s">
        <v>449</v>
      </c>
      <c r="P1603" s="161">
        <v>2890.91</v>
      </c>
      <c r="Q1603" s="168">
        <v>45639</v>
      </c>
      <c r="R1603" s="153"/>
      <c r="S1603" s="153"/>
      <c r="T1603" s="153"/>
      <c r="U1603" s="153"/>
      <c r="V1603" s="153"/>
      <c r="W1603" s="153"/>
      <c r="X1603" s="153"/>
      <c r="Y1603" s="153"/>
      <c r="Z1603" s="153"/>
      <c r="AA1603" s="153"/>
    </row>
    <row r="1604" spans="1:27">
      <c r="A1604" s="163">
        <v>12</v>
      </c>
      <c r="B1604" s="160" t="s">
        <v>2538</v>
      </c>
      <c r="C1604" s="168">
        <v>45596</v>
      </c>
      <c r="D1604" s="160" t="s">
        <v>440</v>
      </c>
      <c r="E1604" s="149" t="s">
        <v>317</v>
      </c>
      <c r="F1604" s="165" t="s">
        <v>441</v>
      </c>
      <c r="G1604" s="165" t="s">
        <v>442</v>
      </c>
      <c r="H1604" s="149" t="str">
        <f t="shared" si="8"/>
        <v>ISABEL MENACHES GUARDIOLA</v>
      </c>
      <c r="I1604" s="149" t="s">
        <v>1254</v>
      </c>
      <c r="J1604" s="149" t="s">
        <v>462</v>
      </c>
      <c r="K1604" s="149" t="s">
        <v>2557</v>
      </c>
      <c r="L1604" s="168">
        <v>45637</v>
      </c>
      <c r="M1604" s="164"/>
      <c r="N1604" s="163">
        <v>1</v>
      </c>
      <c r="O1604" s="165" t="s">
        <v>513</v>
      </c>
      <c r="P1604" s="161">
        <v>2300</v>
      </c>
      <c r="Q1604" s="168">
        <v>45637</v>
      </c>
      <c r="R1604" s="153"/>
      <c r="S1604" s="153"/>
      <c r="T1604" s="153"/>
      <c r="U1604" s="153"/>
      <c r="V1604" s="153"/>
      <c r="W1604" s="153"/>
      <c r="X1604" s="153"/>
      <c r="Y1604" s="153"/>
      <c r="Z1604" s="153"/>
      <c r="AA1604" s="153"/>
    </row>
    <row r="1605" spans="1:27">
      <c r="A1605" s="163">
        <v>12</v>
      </c>
      <c r="B1605" s="160" t="s">
        <v>2538</v>
      </c>
      <c r="C1605" s="168">
        <v>45568</v>
      </c>
      <c r="D1605" s="160" t="s">
        <v>440</v>
      </c>
      <c r="E1605" s="149" t="s">
        <v>138</v>
      </c>
      <c r="F1605" s="165" t="s">
        <v>441</v>
      </c>
      <c r="G1605" s="165" t="s">
        <v>442</v>
      </c>
      <c r="H1605" s="149" t="str">
        <f t="shared" si="8"/>
        <v>JESUS-MARIA GRASA PÉREZ</v>
      </c>
      <c r="I1605" s="149" t="s">
        <v>591</v>
      </c>
      <c r="J1605" s="149" t="s">
        <v>532</v>
      </c>
      <c r="K1605" s="149" t="s">
        <v>2558</v>
      </c>
      <c r="L1605" s="168">
        <v>45639</v>
      </c>
      <c r="M1605" s="164"/>
      <c r="N1605" s="163">
        <v>2</v>
      </c>
      <c r="O1605" s="165" t="s">
        <v>1540</v>
      </c>
      <c r="P1605" s="161">
        <v>4000</v>
      </c>
      <c r="Q1605" s="168">
        <v>45639</v>
      </c>
      <c r="R1605" s="153"/>
      <c r="S1605" s="153"/>
      <c r="T1605" s="153"/>
      <c r="U1605" s="153"/>
      <c r="V1605" s="153"/>
      <c r="W1605" s="153"/>
      <c r="X1605" s="153"/>
      <c r="Y1605" s="153"/>
      <c r="Z1605" s="153"/>
      <c r="AA1605" s="153"/>
    </row>
    <row r="1606" spans="1:27">
      <c r="A1606" s="163">
        <v>12</v>
      </c>
      <c r="B1606" s="160" t="s">
        <v>2538</v>
      </c>
      <c r="C1606" s="168">
        <v>45635</v>
      </c>
      <c r="D1606" s="160" t="s">
        <v>440</v>
      </c>
      <c r="E1606" s="149" t="s">
        <v>311</v>
      </c>
      <c r="F1606" s="165" t="s">
        <v>441</v>
      </c>
      <c r="G1606" s="165" t="s">
        <v>442</v>
      </c>
      <c r="H1606" s="149" t="str">
        <f t="shared" si="8"/>
        <v>LAURA DEL TORO GIL</v>
      </c>
      <c r="I1606" s="149" t="s">
        <v>1565</v>
      </c>
      <c r="J1606" s="149" t="s">
        <v>444</v>
      </c>
      <c r="K1606" s="149" t="s">
        <v>2559</v>
      </c>
      <c r="L1606" s="168">
        <v>45653</v>
      </c>
      <c r="M1606" s="164"/>
      <c r="N1606" s="163">
        <v>2</v>
      </c>
      <c r="O1606" s="165" t="s">
        <v>1540</v>
      </c>
      <c r="P1606" s="161">
        <v>4000</v>
      </c>
      <c r="Q1606" s="168">
        <v>45653</v>
      </c>
      <c r="R1606" s="153"/>
      <c r="S1606" s="153"/>
      <c r="T1606" s="153"/>
      <c r="U1606" s="153"/>
      <c r="V1606" s="153"/>
      <c r="W1606" s="153"/>
      <c r="X1606" s="153"/>
      <c r="Y1606" s="153"/>
      <c r="Z1606" s="153"/>
      <c r="AA1606" s="153"/>
    </row>
    <row r="1607" spans="1:27">
      <c r="A1607" s="163">
        <v>12</v>
      </c>
      <c r="B1607" s="160" t="s">
        <v>2538</v>
      </c>
      <c r="C1607" s="168">
        <v>45600</v>
      </c>
      <c r="D1607" s="160" t="s">
        <v>440</v>
      </c>
      <c r="E1607" s="149" t="s">
        <v>311</v>
      </c>
      <c r="F1607" s="165" t="s">
        <v>441</v>
      </c>
      <c r="G1607" s="165" t="s">
        <v>442</v>
      </c>
      <c r="H1607" s="149" t="str">
        <f t="shared" si="8"/>
        <v>ESTEFANIA MIRANDA SÁNCHEZ</v>
      </c>
      <c r="I1607" s="149" t="s">
        <v>2403</v>
      </c>
      <c r="J1607" s="149" t="s">
        <v>444</v>
      </c>
      <c r="K1607" s="149" t="s">
        <v>2560</v>
      </c>
      <c r="L1607" s="168">
        <v>45653</v>
      </c>
      <c r="M1607" s="164"/>
      <c r="N1607" s="163">
        <v>2</v>
      </c>
      <c r="O1607" s="165" t="s">
        <v>1540</v>
      </c>
      <c r="P1607" s="161">
        <v>4000</v>
      </c>
      <c r="Q1607" s="168">
        <v>45653</v>
      </c>
      <c r="R1607" s="153"/>
      <c r="S1607" s="153"/>
      <c r="T1607" s="153"/>
      <c r="U1607" s="153"/>
      <c r="V1607" s="153"/>
      <c r="W1607" s="153"/>
      <c r="X1607" s="153"/>
      <c r="Y1607" s="153"/>
      <c r="Z1607" s="153"/>
      <c r="AA1607" s="153"/>
    </row>
    <row r="1608" spans="1:27">
      <c r="A1608" s="163">
        <v>12</v>
      </c>
      <c r="B1608" s="160" t="s">
        <v>2538</v>
      </c>
      <c r="C1608" s="168">
        <v>45637</v>
      </c>
      <c r="D1608" s="160" t="s">
        <v>440</v>
      </c>
      <c r="E1608" s="149" t="s">
        <v>311</v>
      </c>
      <c r="F1608" s="165" t="s">
        <v>441</v>
      </c>
      <c r="G1608" s="165" t="s">
        <v>442</v>
      </c>
      <c r="H1608" s="149" t="str">
        <f t="shared" si="8"/>
        <v>PATRICIA GARCÍA VICENTE</v>
      </c>
      <c r="I1608" s="149" t="s">
        <v>2561</v>
      </c>
      <c r="J1608" s="149" t="s">
        <v>444</v>
      </c>
      <c r="K1608" s="149" t="s">
        <v>2562</v>
      </c>
      <c r="L1608" s="168">
        <v>45653</v>
      </c>
      <c r="M1608" s="164"/>
      <c r="N1608" s="163">
        <v>2</v>
      </c>
      <c r="O1608" s="165" t="s">
        <v>446</v>
      </c>
      <c r="P1608" s="161">
        <v>3391.82</v>
      </c>
      <c r="Q1608" s="168">
        <v>45653</v>
      </c>
      <c r="R1608" s="153"/>
      <c r="S1608" s="153"/>
      <c r="T1608" s="153"/>
      <c r="U1608" s="153"/>
      <c r="V1608" s="153"/>
      <c r="W1608" s="153"/>
      <c r="X1608" s="153"/>
      <c r="Y1608" s="153"/>
      <c r="Z1608" s="153"/>
      <c r="AA1608" s="153"/>
    </row>
    <row r="1609" spans="1:27">
      <c r="A1609" s="163">
        <v>12</v>
      </c>
      <c r="B1609" s="160" t="s">
        <v>2538</v>
      </c>
      <c r="C1609" s="168">
        <v>45618</v>
      </c>
      <c r="D1609" s="160" t="s">
        <v>440</v>
      </c>
      <c r="E1609" s="149" t="s">
        <v>311</v>
      </c>
      <c r="F1609" s="165" t="s">
        <v>441</v>
      </c>
      <c r="G1609" s="165" t="s">
        <v>442</v>
      </c>
      <c r="H1609" s="149" t="str">
        <f t="shared" si="8"/>
        <v>ESTEFANIA MIRANDA SÁNCHEZ</v>
      </c>
      <c r="I1609" s="149" t="s">
        <v>2403</v>
      </c>
      <c r="J1609" s="153" t="s">
        <v>444</v>
      </c>
      <c r="K1609" s="149" t="s">
        <v>2563</v>
      </c>
      <c r="L1609" s="168">
        <v>45650</v>
      </c>
      <c r="M1609" s="164"/>
      <c r="N1609" s="163">
        <v>2</v>
      </c>
      <c r="O1609" s="165" t="s">
        <v>446</v>
      </c>
      <c r="P1609" s="161">
        <v>3710</v>
      </c>
      <c r="Q1609" s="168">
        <v>45650</v>
      </c>
      <c r="R1609" s="153"/>
      <c r="S1609" s="153"/>
      <c r="T1609" s="153"/>
      <c r="U1609" s="153"/>
      <c r="V1609" s="153"/>
      <c r="W1609" s="153"/>
      <c r="X1609" s="153"/>
      <c r="Y1609" s="153"/>
      <c r="Z1609" s="153"/>
      <c r="AA1609" s="153"/>
    </row>
    <row r="1610" spans="1:27">
      <c r="A1610" s="163">
        <v>12</v>
      </c>
      <c r="B1610" s="160" t="s">
        <v>2538</v>
      </c>
      <c r="C1610" s="168">
        <v>45629</v>
      </c>
      <c r="D1610" s="160" t="s">
        <v>440</v>
      </c>
      <c r="E1610" s="149" t="s">
        <v>311</v>
      </c>
      <c r="F1610" s="165" t="s">
        <v>441</v>
      </c>
      <c r="G1610" s="165" t="s">
        <v>442</v>
      </c>
      <c r="H1610" s="149" t="str">
        <f t="shared" si="8"/>
        <v>MARÍA TERESA HERRERA MERA</v>
      </c>
      <c r="I1610" s="149" t="s">
        <v>564</v>
      </c>
      <c r="J1610" s="149" t="s">
        <v>444</v>
      </c>
      <c r="K1610" s="149" t="s">
        <v>2564</v>
      </c>
      <c r="L1610" s="168">
        <v>45650</v>
      </c>
      <c r="M1610" s="164"/>
      <c r="N1610" s="163">
        <v>2</v>
      </c>
      <c r="O1610" s="165" t="s">
        <v>1540</v>
      </c>
      <c r="P1610" s="161">
        <v>4000</v>
      </c>
      <c r="Q1610" s="168">
        <v>45650</v>
      </c>
      <c r="R1610" s="153"/>
      <c r="S1610" s="153"/>
      <c r="T1610" s="153"/>
      <c r="U1610" s="153"/>
      <c r="V1610" s="153"/>
      <c r="W1610" s="153"/>
      <c r="X1610" s="153"/>
      <c r="Y1610" s="153"/>
      <c r="Z1610" s="153"/>
      <c r="AA1610" s="153"/>
    </row>
    <row r="1611" spans="1:27">
      <c r="A1611" s="163">
        <v>12</v>
      </c>
      <c r="B1611" s="160" t="s">
        <v>2538</v>
      </c>
      <c r="C1611" s="168">
        <v>45621</v>
      </c>
      <c r="D1611" s="160" t="s">
        <v>440</v>
      </c>
      <c r="E1611" s="149" t="s">
        <v>311</v>
      </c>
      <c r="F1611" s="165" t="s">
        <v>441</v>
      </c>
      <c r="G1611" s="165" t="s">
        <v>442</v>
      </c>
      <c r="H1611" s="149" t="str">
        <f t="shared" si="8"/>
        <v>VICTORIA GARCÍA PECES</v>
      </c>
      <c r="I1611" s="149" t="s">
        <v>488</v>
      </c>
      <c r="J1611" s="149" t="s">
        <v>444</v>
      </c>
      <c r="K1611" s="149" t="s">
        <v>2565</v>
      </c>
      <c r="L1611" s="168">
        <v>45649</v>
      </c>
      <c r="M1611" s="164"/>
      <c r="N1611" s="163">
        <v>1</v>
      </c>
      <c r="O1611" s="165" t="s">
        <v>1540</v>
      </c>
      <c r="P1611" s="161">
        <v>2400</v>
      </c>
      <c r="Q1611" s="168">
        <v>45649</v>
      </c>
      <c r="R1611" s="153"/>
      <c r="S1611" s="153"/>
      <c r="T1611" s="153"/>
      <c r="U1611" s="153"/>
      <c r="V1611" s="153"/>
      <c r="W1611" s="153"/>
      <c r="X1611" s="153"/>
      <c r="Y1611" s="153"/>
      <c r="Z1611" s="153"/>
      <c r="AA1611" s="153"/>
    </row>
    <row r="1612" spans="1:27">
      <c r="A1612" s="163">
        <v>12</v>
      </c>
      <c r="B1612" s="160" t="s">
        <v>2538</v>
      </c>
      <c r="C1612" s="168">
        <v>45354</v>
      </c>
      <c r="D1612" s="160" t="s">
        <v>2566</v>
      </c>
      <c r="E1612" s="149" t="s">
        <v>311</v>
      </c>
      <c r="F1612" s="165" t="s">
        <v>441</v>
      </c>
      <c r="G1612" s="165" t="s">
        <v>442</v>
      </c>
      <c r="H1612" s="149" t="str">
        <f t="shared" si="8"/>
        <v>MARÍA TERESA HERRERA MERA</v>
      </c>
      <c r="I1612" s="149" t="s">
        <v>564</v>
      </c>
      <c r="J1612" s="153" t="s">
        <v>444</v>
      </c>
      <c r="K1612" s="149" t="s">
        <v>1107</v>
      </c>
      <c r="L1612" s="168">
        <v>45645</v>
      </c>
      <c r="M1612" s="164"/>
      <c r="N1612" s="163">
        <v>1</v>
      </c>
      <c r="O1612" s="165" t="s">
        <v>1540</v>
      </c>
      <c r="P1612" s="161">
        <v>1545.45</v>
      </c>
      <c r="Q1612" s="168">
        <v>45645</v>
      </c>
      <c r="R1612" s="153"/>
      <c r="S1612" s="153"/>
      <c r="T1612" s="153"/>
      <c r="U1612" s="153"/>
      <c r="V1612" s="153"/>
      <c r="W1612" s="153"/>
      <c r="X1612" s="153"/>
      <c r="Y1612" s="153"/>
      <c r="Z1612" s="153"/>
      <c r="AA1612" s="153"/>
    </row>
    <row r="1613" spans="1:27">
      <c r="A1613" s="163">
        <v>12</v>
      </c>
      <c r="B1613" s="160" t="s">
        <v>2538</v>
      </c>
      <c r="C1613" s="168">
        <v>45623</v>
      </c>
      <c r="D1613" s="160" t="s">
        <v>440</v>
      </c>
      <c r="E1613" s="149" t="s">
        <v>109</v>
      </c>
      <c r="F1613" s="165" t="s">
        <v>441</v>
      </c>
      <c r="G1613" s="165" t="s">
        <v>442</v>
      </c>
      <c r="H1613" s="149" t="str">
        <f t="shared" si="8"/>
        <v>MARÍA GARROTE GARROTE</v>
      </c>
      <c r="I1613" s="149" t="s">
        <v>447</v>
      </c>
      <c r="J1613" s="149" t="s">
        <v>444</v>
      </c>
      <c r="K1613" s="149" t="s">
        <v>2567</v>
      </c>
      <c r="L1613" s="168">
        <v>45657</v>
      </c>
      <c r="M1613" s="164"/>
      <c r="N1613" s="163">
        <v>2</v>
      </c>
      <c r="O1613" s="165" t="s">
        <v>1540</v>
      </c>
      <c r="P1613" s="161">
        <v>4000</v>
      </c>
      <c r="Q1613" s="168">
        <v>45657</v>
      </c>
      <c r="R1613" s="153"/>
      <c r="S1613" s="153"/>
      <c r="T1613" s="153"/>
      <c r="U1613" s="153"/>
      <c r="V1613" s="153"/>
      <c r="W1613" s="153"/>
      <c r="X1613" s="153"/>
      <c r="Y1613" s="153"/>
      <c r="Z1613" s="153"/>
      <c r="AA1613" s="153"/>
    </row>
    <row r="1614" spans="1:27">
      <c r="A1614" s="163">
        <v>12</v>
      </c>
      <c r="B1614" s="160" t="s">
        <v>2538</v>
      </c>
      <c r="C1614" s="168">
        <v>45622</v>
      </c>
      <c r="D1614" s="160" t="s">
        <v>440</v>
      </c>
      <c r="E1614" s="149" t="s">
        <v>109</v>
      </c>
      <c r="F1614" s="165" t="s">
        <v>441</v>
      </c>
      <c r="G1614" s="165" t="s">
        <v>442</v>
      </c>
      <c r="H1614" s="149" t="str">
        <f t="shared" si="8"/>
        <v>JUAN RIESTRA AYORA</v>
      </c>
      <c r="I1614" s="149" t="s">
        <v>1159</v>
      </c>
      <c r="J1614" s="149" t="s">
        <v>444</v>
      </c>
      <c r="K1614" s="149" t="s">
        <v>2568</v>
      </c>
      <c r="L1614" s="168">
        <v>45656</v>
      </c>
      <c r="M1614" s="164"/>
      <c r="N1614" s="163">
        <v>2</v>
      </c>
      <c r="O1614" s="165" t="s">
        <v>1540</v>
      </c>
      <c r="P1614" s="161">
        <v>4000</v>
      </c>
      <c r="Q1614" s="168">
        <v>45656</v>
      </c>
      <c r="R1614" s="153"/>
      <c r="S1614" s="153"/>
      <c r="T1614" s="153"/>
      <c r="U1614" s="153"/>
      <c r="V1614" s="153"/>
      <c r="W1614" s="153"/>
      <c r="X1614" s="153"/>
      <c r="Y1614" s="153"/>
      <c r="Z1614" s="153"/>
      <c r="AA1614" s="153"/>
    </row>
    <row r="1615" spans="1:27">
      <c r="A1615" s="163">
        <v>12</v>
      </c>
      <c r="B1615" s="160" t="s">
        <v>2538</v>
      </c>
      <c r="C1615" s="168">
        <v>45615</v>
      </c>
      <c r="D1615" s="160" t="s">
        <v>440</v>
      </c>
      <c r="E1615" s="149" t="s">
        <v>109</v>
      </c>
      <c r="F1615" s="165" t="s">
        <v>441</v>
      </c>
      <c r="G1615" s="165" t="s">
        <v>442</v>
      </c>
      <c r="H1615" s="149" t="str">
        <f t="shared" si="8"/>
        <v>NO REUERDA ORL</v>
      </c>
      <c r="I1615" s="149" t="s">
        <v>469</v>
      </c>
      <c r="J1615" s="149" t="s">
        <v>444</v>
      </c>
      <c r="K1615" s="149" t="s">
        <v>2569</v>
      </c>
      <c r="L1615" s="168">
        <v>45652</v>
      </c>
      <c r="M1615" s="164"/>
      <c r="N1615" s="163">
        <v>2</v>
      </c>
      <c r="O1615" s="165" t="s">
        <v>1540</v>
      </c>
      <c r="P1615" s="161">
        <v>4000</v>
      </c>
      <c r="Q1615" s="168">
        <v>45652</v>
      </c>
      <c r="R1615" s="153"/>
      <c r="S1615" s="153"/>
      <c r="T1615" s="153"/>
      <c r="U1615" s="153"/>
      <c r="V1615" s="153"/>
      <c r="W1615" s="153"/>
      <c r="X1615" s="153"/>
      <c r="Y1615" s="153"/>
      <c r="Z1615" s="153"/>
      <c r="AA1615" s="153"/>
    </row>
    <row r="1616" spans="1:27">
      <c r="A1616" s="163">
        <v>12</v>
      </c>
      <c r="B1616" s="160" t="s">
        <v>2538</v>
      </c>
      <c r="C1616" s="168">
        <v>45602</v>
      </c>
      <c r="D1616" s="160" t="s">
        <v>440</v>
      </c>
      <c r="E1616" s="149" t="s">
        <v>109</v>
      </c>
      <c r="F1616" s="165" t="s">
        <v>441</v>
      </c>
      <c r="G1616" s="165" t="s">
        <v>442</v>
      </c>
      <c r="H1616" s="149" t="str">
        <f t="shared" si="8"/>
        <v>PAULA MORALES CHACCHI</v>
      </c>
      <c r="I1616" s="149" t="s">
        <v>2570</v>
      </c>
      <c r="J1616" s="149" t="s">
        <v>444</v>
      </c>
      <c r="K1616" s="149" t="s">
        <v>2571</v>
      </c>
      <c r="L1616" s="168">
        <v>45642</v>
      </c>
      <c r="M1616" s="164"/>
      <c r="N1616" s="163">
        <v>2</v>
      </c>
      <c r="O1616" s="165" t="s">
        <v>446</v>
      </c>
      <c r="P1616" s="161">
        <v>3710</v>
      </c>
      <c r="Q1616" s="168">
        <v>45642</v>
      </c>
      <c r="R1616" s="153"/>
      <c r="S1616" s="153"/>
      <c r="T1616" s="153"/>
      <c r="U1616" s="153"/>
      <c r="V1616" s="153"/>
      <c r="W1616" s="153"/>
      <c r="X1616" s="153"/>
      <c r="Y1616" s="153"/>
      <c r="Z1616" s="153"/>
      <c r="AA1616" s="153"/>
    </row>
    <row r="1617" spans="1:27">
      <c r="A1617" s="163">
        <v>12</v>
      </c>
      <c r="B1617" s="160" t="s">
        <v>2538</v>
      </c>
      <c r="C1617" s="168">
        <v>45623</v>
      </c>
      <c r="D1617" s="160" t="s">
        <v>440</v>
      </c>
      <c r="E1617" s="149" t="s">
        <v>122</v>
      </c>
      <c r="F1617" s="165" t="s">
        <v>441</v>
      </c>
      <c r="G1617" s="165" t="s">
        <v>442</v>
      </c>
      <c r="H1617" s="149" t="str">
        <f t="shared" si="8"/>
        <v>JULIO LÓPEZ MOYA</v>
      </c>
      <c r="I1617" s="149" t="s">
        <v>504</v>
      </c>
      <c r="J1617" s="149" t="s">
        <v>444</v>
      </c>
      <c r="K1617" s="149" t="s">
        <v>2572</v>
      </c>
      <c r="L1617" s="168">
        <v>45657</v>
      </c>
      <c r="M1617" s="164"/>
      <c r="N1617" s="163">
        <v>2</v>
      </c>
      <c r="O1617" s="165" t="s">
        <v>1540</v>
      </c>
      <c r="P1617" s="161">
        <v>4000</v>
      </c>
      <c r="Q1617" s="168">
        <v>45657</v>
      </c>
      <c r="R1617" s="153"/>
      <c r="S1617" s="153"/>
      <c r="T1617" s="153"/>
      <c r="U1617" s="153"/>
      <c r="V1617" s="153"/>
      <c r="W1617" s="153"/>
      <c r="X1617" s="153"/>
      <c r="Y1617" s="153"/>
      <c r="Z1617" s="153"/>
      <c r="AA1617" s="153"/>
    </row>
    <row r="1618" spans="1:27">
      <c r="A1618" s="163">
        <v>12</v>
      </c>
      <c r="B1618" s="160" t="s">
        <v>2538</v>
      </c>
      <c r="C1618" s="168">
        <v>45628</v>
      </c>
      <c r="D1618" s="160" t="s">
        <v>440</v>
      </c>
      <c r="E1618" s="149" t="s">
        <v>122</v>
      </c>
      <c r="F1618" s="165" t="s">
        <v>441</v>
      </c>
      <c r="G1618" s="165" t="s">
        <v>442</v>
      </c>
      <c r="H1618" s="149" t="str">
        <f t="shared" si="8"/>
        <v>MAR LASSO DE LA VEGA ZAMORA</v>
      </c>
      <c r="I1618" s="149" t="s">
        <v>909</v>
      </c>
      <c r="J1618" s="149" t="s">
        <v>444</v>
      </c>
      <c r="K1618" s="149" t="s">
        <v>2573</v>
      </c>
      <c r="L1618" s="168">
        <v>45649</v>
      </c>
      <c r="M1618" s="164"/>
      <c r="N1618" s="163">
        <v>2</v>
      </c>
      <c r="O1618" s="165" t="s">
        <v>1540</v>
      </c>
      <c r="P1618" s="161">
        <v>3800</v>
      </c>
      <c r="Q1618" s="168">
        <v>45649</v>
      </c>
      <c r="R1618" s="153"/>
      <c r="S1618" s="153"/>
      <c r="T1618" s="153"/>
      <c r="U1618" s="153"/>
      <c r="V1618" s="153"/>
      <c r="W1618" s="153"/>
      <c r="X1618" s="153"/>
      <c r="Y1618" s="153"/>
      <c r="Z1618" s="153"/>
      <c r="AA1618" s="153"/>
    </row>
    <row r="1619" spans="1:27">
      <c r="A1619" s="163">
        <v>12</v>
      </c>
      <c r="B1619" s="160" t="s">
        <v>2538</v>
      </c>
      <c r="C1619" s="168">
        <v>45617</v>
      </c>
      <c r="D1619" s="160" t="s">
        <v>440</v>
      </c>
      <c r="E1619" s="149" t="s">
        <v>122</v>
      </c>
      <c r="F1619" s="165" t="s">
        <v>441</v>
      </c>
      <c r="G1619" s="165" t="s">
        <v>442</v>
      </c>
      <c r="H1619" s="149" t="str">
        <f t="shared" si="8"/>
        <v>ANA RUIZ FORNELLS NOREÑA</v>
      </c>
      <c r="I1619" s="149" t="s">
        <v>836</v>
      </c>
      <c r="J1619" s="149" t="s">
        <v>444</v>
      </c>
      <c r="K1619" s="149" t="s">
        <v>2574</v>
      </c>
      <c r="L1619" s="168">
        <v>45645</v>
      </c>
      <c r="M1619" s="164"/>
      <c r="N1619" s="163">
        <v>2</v>
      </c>
      <c r="O1619" s="165" t="s">
        <v>449</v>
      </c>
      <c r="P1619" s="161">
        <v>2872.73</v>
      </c>
      <c r="Q1619" s="168">
        <v>45645</v>
      </c>
      <c r="R1619" s="153"/>
      <c r="S1619" s="153"/>
      <c r="T1619" s="153"/>
      <c r="U1619" s="153"/>
      <c r="V1619" s="153"/>
      <c r="W1619" s="153"/>
      <c r="X1619" s="153"/>
      <c r="Y1619" s="153"/>
      <c r="Z1619" s="153"/>
      <c r="AA1619" s="153"/>
    </row>
    <row r="1620" spans="1:27">
      <c r="A1620" s="163">
        <v>12</v>
      </c>
      <c r="B1620" s="160" t="s">
        <v>2538</v>
      </c>
      <c r="C1620" s="168">
        <v>45589</v>
      </c>
      <c r="D1620" s="160" t="s">
        <v>440</v>
      </c>
      <c r="E1620" s="149" t="s">
        <v>122</v>
      </c>
      <c r="F1620" s="165" t="s">
        <v>441</v>
      </c>
      <c r="G1620" s="165" t="s">
        <v>442</v>
      </c>
      <c r="H1620" s="149" t="str">
        <f t="shared" si="8"/>
        <v>JULIO LÓPEZ MOYA</v>
      </c>
      <c r="I1620" s="149" t="s">
        <v>504</v>
      </c>
      <c r="J1620" s="149" t="s">
        <v>444</v>
      </c>
      <c r="K1620" s="149" t="s">
        <v>2575</v>
      </c>
      <c r="L1620" s="168">
        <v>45643</v>
      </c>
      <c r="M1620" s="164"/>
      <c r="N1620" s="163">
        <v>2</v>
      </c>
      <c r="O1620" s="165" t="s">
        <v>1540</v>
      </c>
      <c r="P1620" s="161">
        <v>3929.09</v>
      </c>
      <c r="Q1620" s="168">
        <v>45643</v>
      </c>
      <c r="R1620" s="153"/>
      <c r="S1620" s="153"/>
      <c r="T1620" s="153"/>
      <c r="U1620" s="153"/>
      <c r="V1620" s="153"/>
      <c r="W1620" s="153"/>
      <c r="X1620" s="153"/>
      <c r="Y1620" s="153"/>
      <c r="Z1620" s="153"/>
      <c r="AA1620" s="153"/>
    </row>
    <row r="1621" spans="1:27">
      <c r="A1621" s="163">
        <v>12</v>
      </c>
      <c r="B1621" s="160" t="s">
        <v>2538</v>
      </c>
      <c r="C1621" s="168">
        <v>45588</v>
      </c>
      <c r="D1621" s="160" t="s">
        <v>440</v>
      </c>
      <c r="E1621" s="149" t="s">
        <v>122</v>
      </c>
      <c r="F1621" s="165" t="s">
        <v>441</v>
      </c>
      <c r="G1621" s="165" t="s">
        <v>442</v>
      </c>
      <c r="H1621" s="149" t="str">
        <f t="shared" si="8"/>
        <v>DESIREÉ MÉNDEZ BRENDERBACHE</v>
      </c>
      <c r="I1621" s="149" t="s">
        <v>2378</v>
      </c>
      <c r="J1621" s="149" t="s">
        <v>444</v>
      </c>
      <c r="K1621" s="149" t="s">
        <v>2576</v>
      </c>
      <c r="L1621" s="168">
        <v>45638</v>
      </c>
      <c r="M1621" s="164"/>
      <c r="N1621" s="163">
        <v>1</v>
      </c>
      <c r="O1621" s="165" t="s">
        <v>449</v>
      </c>
      <c r="P1621" s="161">
        <v>1732.73</v>
      </c>
      <c r="Q1621" s="168">
        <v>45638</v>
      </c>
      <c r="R1621" s="153"/>
      <c r="S1621" s="153"/>
      <c r="T1621" s="153"/>
      <c r="U1621" s="153"/>
      <c r="V1621" s="153"/>
      <c r="W1621" s="153"/>
      <c r="X1621" s="153"/>
      <c r="Y1621" s="153"/>
      <c r="Z1621" s="153"/>
      <c r="AA1621" s="153"/>
    </row>
    <row r="1622" spans="1:27">
      <c r="A1622" s="163">
        <v>12</v>
      </c>
      <c r="B1622" s="160" t="s">
        <v>2538</v>
      </c>
      <c r="C1622" s="168">
        <v>45610</v>
      </c>
      <c r="D1622" s="160" t="s">
        <v>440</v>
      </c>
      <c r="E1622" s="149" t="s">
        <v>501</v>
      </c>
      <c r="F1622" s="165" t="s">
        <v>441</v>
      </c>
      <c r="G1622" s="165" t="s">
        <v>442</v>
      </c>
      <c r="H1622" s="149" t="str">
        <f t="shared" si="8"/>
        <v>FERNANDO SALAZAR BARCELONA</v>
      </c>
      <c r="I1622" s="149" t="s">
        <v>502</v>
      </c>
      <c r="J1622" s="149" t="s">
        <v>548</v>
      </c>
      <c r="K1622" s="149" t="s">
        <v>2577</v>
      </c>
      <c r="L1622" s="168">
        <v>45653</v>
      </c>
      <c r="M1622" s="164"/>
      <c r="N1622" s="163">
        <v>1</v>
      </c>
      <c r="O1622" s="165" t="s">
        <v>513</v>
      </c>
      <c r="P1622" s="161">
        <v>2272.73</v>
      </c>
      <c r="Q1622" s="168">
        <v>45653</v>
      </c>
      <c r="R1622" s="153"/>
      <c r="S1622" s="153"/>
      <c r="T1622" s="153"/>
      <c r="U1622" s="153"/>
      <c r="V1622" s="153"/>
      <c r="W1622" s="153"/>
      <c r="X1622" s="153"/>
      <c r="Y1622" s="153"/>
      <c r="Z1622" s="153"/>
      <c r="AA1622" s="153"/>
    </row>
    <row r="1623" spans="1:27">
      <c r="A1623" s="163">
        <v>12</v>
      </c>
      <c r="B1623" s="160" t="s">
        <v>2538</v>
      </c>
      <c r="C1623" s="168">
        <v>45628</v>
      </c>
      <c r="D1623" s="160" t="s">
        <v>440</v>
      </c>
      <c r="E1623" s="149" t="s">
        <v>501</v>
      </c>
      <c r="F1623" s="165" t="s">
        <v>441</v>
      </c>
      <c r="G1623" s="165" t="s">
        <v>442</v>
      </c>
      <c r="H1623" s="149" t="str">
        <f t="shared" si="8"/>
        <v>REBECA BARRIOS GONZALO</v>
      </c>
      <c r="I1623" s="149" t="s">
        <v>1392</v>
      </c>
      <c r="J1623" s="149" t="s">
        <v>548</v>
      </c>
      <c r="K1623" s="149" t="s">
        <v>2578</v>
      </c>
      <c r="L1623" s="168">
        <v>45653</v>
      </c>
      <c r="M1623" s="164"/>
      <c r="N1623" s="163">
        <v>2</v>
      </c>
      <c r="O1623" s="165" t="s">
        <v>446</v>
      </c>
      <c r="P1623" s="161">
        <v>3454.55</v>
      </c>
      <c r="Q1623" s="168">
        <v>45653</v>
      </c>
      <c r="R1623" s="153"/>
      <c r="S1623" s="153"/>
      <c r="T1623" s="153"/>
      <c r="U1623" s="153"/>
      <c r="V1623" s="153"/>
      <c r="W1623" s="153"/>
      <c r="X1623" s="153"/>
      <c r="Y1623" s="153"/>
      <c r="Z1623" s="153"/>
      <c r="AA1623" s="153"/>
    </row>
    <row r="1624" spans="1:27">
      <c r="A1624" s="163">
        <v>12</v>
      </c>
      <c r="B1624" s="160" t="s">
        <v>2538</v>
      </c>
      <c r="C1624" s="168">
        <v>45553</v>
      </c>
      <c r="D1624" s="160" t="s">
        <v>440</v>
      </c>
      <c r="E1624" s="149" t="s">
        <v>501</v>
      </c>
      <c r="F1624" s="165" t="s">
        <v>441</v>
      </c>
      <c r="G1624" s="165" t="s">
        <v>442</v>
      </c>
      <c r="H1624" s="149" t="str">
        <f t="shared" si="8"/>
        <v>FERNANDO SALAZAR BARCELONA</v>
      </c>
      <c r="I1624" s="149" t="s">
        <v>502</v>
      </c>
      <c r="J1624" s="149" t="s">
        <v>548</v>
      </c>
      <c r="K1624" s="149" t="s">
        <v>2579</v>
      </c>
      <c r="L1624" s="168">
        <v>45652</v>
      </c>
      <c r="M1624" s="164"/>
      <c r="N1624" s="163">
        <v>2</v>
      </c>
      <c r="O1624" s="165" t="s">
        <v>446</v>
      </c>
      <c r="P1624" s="161">
        <v>3272.73</v>
      </c>
      <c r="Q1624" s="168">
        <v>45652</v>
      </c>
      <c r="R1624" s="153"/>
      <c r="S1624" s="153"/>
      <c r="T1624" s="153"/>
      <c r="U1624" s="153"/>
      <c r="V1624" s="153"/>
      <c r="W1624" s="153"/>
      <c r="X1624" s="153"/>
      <c r="Y1624" s="153"/>
      <c r="Z1624" s="153"/>
      <c r="AA1624" s="153"/>
    </row>
    <row r="1625" spans="1:27">
      <c r="A1625" s="163">
        <v>12</v>
      </c>
      <c r="B1625" s="160" t="s">
        <v>2538</v>
      </c>
      <c r="C1625" s="168">
        <v>45606</v>
      </c>
      <c r="D1625" s="160" t="s">
        <v>440</v>
      </c>
      <c r="E1625" s="149" t="s">
        <v>501</v>
      </c>
      <c r="F1625" s="165" t="s">
        <v>441</v>
      </c>
      <c r="G1625" s="165" t="s">
        <v>442</v>
      </c>
      <c r="H1625" s="149" t="str">
        <f t="shared" si="8"/>
        <v>ANTONIO SÁNCHEZ DEL HOYO</v>
      </c>
      <c r="I1625" s="149" t="s">
        <v>2477</v>
      </c>
      <c r="J1625" s="149" t="s">
        <v>548</v>
      </c>
      <c r="K1625" s="149" t="s">
        <v>2580</v>
      </c>
      <c r="L1625" s="168">
        <v>45649</v>
      </c>
      <c r="M1625" s="164"/>
      <c r="N1625" s="163">
        <v>2</v>
      </c>
      <c r="O1625" s="165" t="s">
        <v>446</v>
      </c>
      <c r="P1625" s="161">
        <v>3272.73</v>
      </c>
      <c r="Q1625" s="168">
        <v>45649</v>
      </c>
      <c r="R1625" s="153"/>
      <c r="S1625" s="153"/>
      <c r="T1625" s="153"/>
      <c r="U1625" s="153"/>
      <c r="V1625" s="153"/>
      <c r="W1625" s="153"/>
      <c r="X1625" s="153"/>
      <c r="Y1625" s="153"/>
      <c r="Z1625" s="153"/>
      <c r="AA1625" s="153"/>
    </row>
    <row r="1626" spans="1:27">
      <c r="A1626" s="163">
        <v>12</v>
      </c>
      <c r="B1626" s="160" t="s">
        <v>2538</v>
      </c>
      <c r="C1626" s="168">
        <v>45453</v>
      </c>
      <c r="D1626" s="160" t="s">
        <v>440</v>
      </c>
      <c r="E1626" s="149" t="s">
        <v>315</v>
      </c>
      <c r="F1626" s="165" t="s">
        <v>441</v>
      </c>
      <c r="G1626" s="165" t="s">
        <v>442</v>
      </c>
      <c r="H1626" s="149" t="str">
        <f t="shared" si="8"/>
        <v>FRANCISCO J. REDONDO DEL BARCO</v>
      </c>
      <c r="I1626" s="149" t="s">
        <v>2581</v>
      </c>
      <c r="J1626" s="149" t="s">
        <v>548</v>
      </c>
      <c r="K1626" s="149" t="s">
        <v>2582</v>
      </c>
      <c r="L1626" s="168">
        <v>45656</v>
      </c>
      <c r="M1626" s="164"/>
      <c r="N1626" s="163">
        <v>2</v>
      </c>
      <c r="O1626" s="165" t="s">
        <v>1540</v>
      </c>
      <c r="P1626" s="161">
        <v>3683.64</v>
      </c>
      <c r="Q1626" s="168">
        <v>45656</v>
      </c>
      <c r="R1626" s="153"/>
      <c r="S1626" s="153"/>
      <c r="T1626" s="153"/>
      <c r="U1626" s="153"/>
      <c r="V1626" s="153"/>
      <c r="W1626" s="153"/>
      <c r="X1626" s="153"/>
      <c r="Y1626" s="153"/>
      <c r="Z1626" s="153"/>
      <c r="AA1626" s="153"/>
    </row>
    <row r="1627" spans="1:27">
      <c r="A1627" s="163">
        <v>12</v>
      </c>
      <c r="B1627" s="160" t="s">
        <v>2538</v>
      </c>
      <c r="C1627" s="168">
        <v>45623</v>
      </c>
      <c r="D1627" s="160" t="s">
        <v>440</v>
      </c>
      <c r="E1627" s="149" t="s">
        <v>315</v>
      </c>
      <c r="F1627" s="165" t="s">
        <v>441</v>
      </c>
      <c r="G1627" s="165" t="s">
        <v>442</v>
      </c>
      <c r="H1627" s="149" t="str">
        <f t="shared" si="8"/>
        <v>JOSÉ GUSTAVO BARROSO BRAOJOS</v>
      </c>
      <c r="I1627" s="149" t="s">
        <v>560</v>
      </c>
      <c r="J1627" s="149" t="s">
        <v>444</v>
      </c>
      <c r="K1627" s="149" t="s">
        <v>2583</v>
      </c>
      <c r="L1627" s="168">
        <v>45650</v>
      </c>
      <c r="M1627" s="164"/>
      <c r="N1627" s="163">
        <v>2</v>
      </c>
      <c r="O1627" s="165" t="s">
        <v>1540</v>
      </c>
      <c r="P1627" s="161">
        <v>4000</v>
      </c>
      <c r="Q1627" s="168">
        <v>45650</v>
      </c>
      <c r="R1627" s="153"/>
      <c r="S1627" s="153"/>
      <c r="T1627" s="153"/>
      <c r="U1627" s="153"/>
      <c r="V1627" s="153"/>
      <c r="W1627" s="153"/>
      <c r="X1627" s="153"/>
      <c r="Y1627" s="153"/>
      <c r="Z1627" s="153"/>
      <c r="AA1627" s="153"/>
    </row>
    <row r="1628" spans="1:27">
      <c r="A1628" s="163">
        <v>12</v>
      </c>
      <c r="B1628" s="160" t="s">
        <v>2538</v>
      </c>
      <c r="C1628" s="168">
        <v>45621</v>
      </c>
      <c r="D1628" s="160" t="s">
        <v>440</v>
      </c>
      <c r="E1628" s="149" t="s">
        <v>315</v>
      </c>
      <c r="F1628" s="165" t="s">
        <v>441</v>
      </c>
      <c r="G1628" s="165" t="s">
        <v>442</v>
      </c>
      <c r="H1628" s="149" t="str">
        <f t="shared" si="8"/>
        <v>JOSÉ GUSTAVO BARROSO BRAOJOS</v>
      </c>
      <c r="I1628" s="149" t="s">
        <v>560</v>
      </c>
      <c r="J1628" s="149" t="s">
        <v>444</v>
      </c>
      <c r="K1628" s="149" t="s">
        <v>2584</v>
      </c>
      <c r="L1628" s="168">
        <v>45650</v>
      </c>
      <c r="M1628" s="164"/>
      <c r="N1628" s="163">
        <v>2</v>
      </c>
      <c r="O1628" s="165" t="s">
        <v>1540</v>
      </c>
      <c r="P1628" s="161">
        <v>4000</v>
      </c>
      <c r="Q1628" s="168">
        <v>45650</v>
      </c>
      <c r="R1628" s="153"/>
      <c r="S1628" s="153"/>
      <c r="T1628" s="153"/>
      <c r="U1628" s="153"/>
      <c r="V1628" s="153"/>
      <c r="W1628" s="153"/>
      <c r="X1628" s="153"/>
      <c r="Y1628" s="153"/>
      <c r="Z1628" s="153"/>
      <c r="AA1628" s="153"/>
    </row>
    <row r="1629" spans="1:27">
      <c r="A1629" s="163">
        <v>12</v>
      </c>
      <c r="B1629" s="160" t="s">
        <v>2538</v>
      </c>
      <c r="C1629" s="168">
        <v>45540</v>
      </c>
      <c r="D1629" s="160" t="s">
        <v>440</v>
      </c>
      <c r="E1629" s="149" t="s">
        <v>315</v>
      </c>
      <c r="F1629" s="165" t="s">
        <v>441</v>
      </c>
      <c r="G1629" s="165" t="s">
        <v>442</v>
      </c>
      <c r="H1629" s="149" t="str">
        <f t="shared" si="8"/>
        <v>NO REUERDA ORL</v>
      </c>
      <c r="I1629" s="149" t="s">
        <v>469</v>
      </c>
      <c r="J1629" s="149" t="s">
        <v>444</v>
      </c>
      <c r="K1629" s="149" t="s">
        <v>2585</v>
      </c>
      <c r="L1629" s="168">
        <v>45650</v>
      </c>
      <c r="M1629" s="164"/>
      <c r="N1629" s="163">
        <v>2</v>
      </c>
      <c r="O1629" s="165" t="s">
        <v>1540</v>
      </c>
      <c r="P1629" s="161">
        <v>3800</v>
      </c>
      <c r="Q1629" s="168">
        <v>45650</v>
      </c>
      <c r="R1629" s="153"/>
      <c r="S1629" s="153"/>
      <c r="T1629" s="153"/>
      <c r="U1629" s="153"/>
      <c r="V1629" s="153"/>
      <c r="W1629" s="153"/>
      <c r="X1629" s="153"/>
      <c r="Y1629" s="153"/>
      <c r="Z1629" s="153"/>
      <c r="AA1629" s="153"/>
    </row>
    <row r="1630" spans="1:27">
      <c r="A1630" s="163">
        <v>12</v>
      </c>
      <c r="B1630" s="160" t="s">
        <v>2538</v>
      </c>
      <c r="C1630" s="168">
        <v>45609</v>
      </c>
      <c r="D1630" s="160" t="s">
        <v>440</v>
      </c>
      <c r="E1630" s="149" t="s">
        <v>315</v>
      </c>
      <c r="F1630" s="165" t="s">
        <v>441</v>
      </c>
      <c r="G1630" s="165" t="s">
        <v>442</v>
      </c>
      <c r="H1630" s="149" t="str">
        <f t="shared" si="8"/>
        <v>IVAN MENDEZ- BENEGASSI SILVA</v>
      </c>
      <c r="I1630" s="149" t="s">
        <v>2586</v>
      </c>
      <c r="J1630" s="149" t="s">
        <v>444</v>
      </c>
      <c r="K1630" s="149" t="s">
        <v>2587</v>
      </c>
      <c r="L1630" s="168">
        <v>45636</v>
      </c>
      <c r="M1630" s="164"/>
      <c r="N1630" s="163">
        <v>1</v>
      </c>
      <c r="O1630" s="165" t="s">
        <v>1540</v>
      </c>
      <c r="P1630" s="161">
        <v>2400</v>
      </c>
      <c r="Q1630" s="168">
        <v>45636</v>
      </c>
      <c r="R1630" s="153"/>
      <c r="S1630" s="153"/>
      <c r="T1630" s="153"/>
      <c r="U1630" s="153"/>
      <c r="V1630" s="153"/>
      <c r="W1630" s="153"/>
      <c r="X1630" s="153"/>
      <c r="Y1630" s="153"/>
      <c r="Z1630" s="153"/>
      <c r="AA1630" s="153"/>
    </row>
    <row r="1631" spans="1:27">
      <c r="A1631" s="163">
        <v>12</v>
      </c>
      <c r="B1631" s="160" t="s">
        <v>2538</v>
      </c>
      <c r="C1631" s="168">
        <v>42690</v>
      </c>
      <c r="D1631" s="160" t="s">
        <v>2566</v>
      </c>
      <c r="E1631" s="149" t="s">
        <v>271</v>
      </c>
      <c r="F1631" s="165" t="s">
        <v>441</v>
      </c>
      <c r="G1631" s="165" t="s">
        <v>442</v>
      </c>
      <c r="H1631" s="149" t="str">
        <f t="shared" si="8"/>
        <v>FRANCISCO J. REDONDO DEL BARCO</v>
      </c>
      <c r="I1631" s="149" t="s">
        <v>2581</v>
      </c>
      <c r="J1631" s="149" t="s">
        <v>548</v>
      </c>
      <c r="K1631" s="149" t="s">
        <v>2588</v>
      </c>
      <c r="L1631" s="168">
        <v>45656</v>
      </c>
      <c r="M1631" s="164"/>
      <c r="N1631" s="163">
        <v>2</v>
      </c>
      <c r="O1631" s="165" t="s">
        <v>446</v>
      </c>
      <c r="P1631" s="161">
        <v>2968</v>
      </c>
      <c r="Q1631" s="168">
        <v>45656</v>
      </c>
      <c r="R1631" s="153"/>
      <c r="S1631" s="153"/>
      <c r="T1631" s="153"/>
      <c r="U1631" s="153"/>
      <c r="V1631" s="153"/>
      <c r="W1631" s="153"/>
      <c r="X1631" s="153"/>
      <c r="Y1631" s="153"/>
      <c r="Z1631" s="153"/>
      <c r="AA1631" s="153"/>
    </row>
    <row r="1632" spans="1:27">
      <c r="A1632" s="163">
        <v>12</v>
      </c>
      <c r="B1632" s="160" t="s">
        <v>2538</v>
      </c>
      <c r="C1632" s="168">
        <v>45625</v>
      </c>
      <c r="D1632" s="160" t="s">
        <v>440</v>
      </c>
      <c r="E1632" s="149" t="s">
        <v>271</v>
      </c>
      <c r="F1632" s="165" t="s">
        <v>441</v>
      </c>
      <c r="G1632" s="165" t="s">
        <v>442</v>
      </c>
      <c r="H1632" s="149" t="str">
        <f t="shared" si="8"/>
        <v>ANTONIO BUENO RÍOS</v>
      </c>
      <c r="I1632" s="149" t="s">
        <v>519</v>
      </c>
      <c r="J1632" s="149" t="s">
        <v>548</v>
      </c>
      <c r="K1632" s="149" t="s">
        <v>2589</v>
      </c>
      <c r="L1632" s="168">
        <v>45653</v>
      </c>
      <c r="M1632" s="164"/>
      <c r="N1632" s="163">
        <v>2</v>
      </c>
      <c r="O1632" s="165" t="s">
        <v>513</v>
      </c>
      <c r="P1632" s="161">
        <v>4180</v>
      </c>
      <c r="Q1632" s="168">
        <v>45653</v>
      </c>
      <c r="R1632" s="153"/>
      <c r="S1632" s="153"/>
      <c r="T1632" s="153"/>
      <c r="U1632" s="153"/>
      <c r="V1632" s="153"/>
      <c r="W1632" s="153"/>
      <c r="X1632" s="153"/>
      <c r="Y1632" s="153"/>
      <c r="Z1632" s="153"/>
      <c r="AA1632" s="153"/>
    </row>
    <row r="1633" spans="1:27">
      <c r="A1633" s="163">
        <v>12</v>
      </c>
      <c r="B1633" s="160" t="s">
        <v>2538</v>
      </c>
      <c r="C1633" s="168">
        <v>45618</v>
      </c>
      <c r="D1633" s="160" t="s">
        <v>440</v>
      </c>
      <c r="E1633" s="149" t="s">
        <v>271</v>
      </c>
      <c r="F1633" s="165" t="s">
        <v>441</v>
      </c>
      <c r="G1633" s="165" t="s">
        <v>442</v>
      </c>
      <c r="H1633" s="149" t="str">
        <f t="shared" si="8"/>
        <v>PALOMA PINACHO MARTÍNEZ</v>
      </c>
      <c r="I1633" s="149" t="s">
        <v>579</v>
      </c>
      <c r="J1633" s="149" t="s">
        <v>444</v>
      </c>
      <c r="K1633" s="149" t="s">
        <v>2590</v>
      </c>
      <c r="L1633" s="168">
        <v>45649</v>
      </c>
      <c r="M1633" s="164"/>
      <c r="N1633" s="163">
        <v>2</v>
      </c>
      <c r="O1633" s="165" t="s">
        <v>446</v>
      </c>
      <c r="P1633" s="161">
        <v>3710</v>
      </c>
      <c r="Q1633" s="168">
        <v>45649</v>
      </c>
      <c r="R1633" s="153"/>
      <c r="S1633" s="153"/>
      <c r="T1633" s="153"/>
      <c r="U1633" s="153"/>
      <c r="V1633" s="153"/>
      <c r="W1633" s="153"/>
      <c r="X1633" s="153"/>
      <c r="Y1633" s="153"/>
      <c r="Z1633" s="153"/>
      <c r="AA1633" s="153"/>
    </row>
    <row r="1634" spans="1:27">
      <c r="A1634" s="163">
        <v>12</v>
      </c>
      <c r="B1634" s="160" t="s">
        <v>2538</v>
      </c>
      <c r="C1634" s="168">
        <v>45587</v>
      </c>
      <c r="D1634" s="160" t="s">
        <v>440</v>
      </c>
      <c r="E1634" s="149" t="s">
        <v>271</v>
      </c>
      <c r="F1634" s="165" t="s">
        <v>441</v>
      </c>
      <c r="G1634" s="165" t="s">
        <v>442</v>
      </c>
      <c r="H1634" s="149" t="str">
        <f t="shared" si="8"/>
        <v>ESTEBAN SCOLA PLIEGO</v>
      </c>
      <c r="I1634" s="149" t="s">
        <v>736</v>
      </c>
      <c r="J1634" s="149" t="s">
        <v>444</v>
      </c>
      <c r="K1634" s="149" t="s">
        <v>2591</v>
      </c>
      <c r="L1634" s="168">
        <v>45643</v>
      </c>
      <c r="M1634" s="164"/>
      <c r="N1634" s="163">
        <v>2</v>
      </c>
      <c r="O1634" s="165" t="s">
        <v>1540</v>
      </c>
      <c r="P1634" s="161">
        <v>4000</v>
      </c>
      <c r="Q1634" s="168">
        <v>45643</v>
      </c>
      <c r="R1634" s="153"/>
      <c r="S1634" s="153"/>
      <c r="T1634" s="153"/>
      <c r="U1634" s="153"/>
      <c r="V1634" s="153"/>
      <c r="W1634" s="153"/>
      <c r="X1634" s="153"/>
      <c r="Y1634" s="153"/>
      <c r="Z1634" s="153"/>
      <c r="AA1634" s="153"/>
    </row>
    <row r="1635" spans="1:27">
      <c r="A1635" s="163">
        <v>12</v>
      </c>
      <c r="B1635" s="160" t="s">
        <v>2538</v>
      </c>
      <c r="C1635" s="168">
        <v>45609</v>
      </c>
      <c r="D1635" s="160" t="s">
        <v>440</v>
      </c>
      <c r="E1635" s="149" t="s">
        <v>563</v>
      </c>
      <c r="F1635" s="165" t="s">
        <v>441</v>
      </c>
      <c r="G1635" s="165" t="s">
        <v>442</v>
      </c>
      <c r="H1635" s="149" t="str">
        <f t="shared" si="8"/>
        <v>MARÍA DEL MAR MARTÍNEZ RUIZ-COELLO</v>
      </c>
      <c r="I1635" s="149" t="s">
        <v>1538</v>
      </c>
      <c r="J1635" s="149" t="s">
        <v>444</v>
      </c>
      <c r="K1635" s="149" t="s">
        <v>2592</v>
      </c>
      <c r="L1635" s="168">
        <v>45657</v>
      </c>
      <c r="M1635" s="164"/>
      <c r="N1635" s="163">
        <v>2</v>
      </c>
      <c r="O1635" s="165" t="s">
        <v>1540</v>
      </c>
      <c r="P1635" s="161">
        <v>4000</v>
      </c>
      <c r="Q1635" s="168">
        <v>45657</v>
      </c>
      <c r="R1635" s="153"/>
      <c r="S1635" s="153"/>
      <c r="T1635" s="153"/>
      <c r="U1635" s="153"/>
      <c r="V1635" s="153"/>
      <c r="W1635" s="153"/>
      <c r="X1635" s="153"/>
      <c r="Y1635" s="153"/>
      <c r="Z1635" s="153"/>
      <c r="AA1635" s="153"/>
    </row>
    <row r="1636" spans="1:27">
      <c r="A1636" s="163">
        <v>12</v>
      </c>
      <c r="B1636" s="160" t="s">
        <v>2538</v>
      </c>
      <c r="C1636" s="168">
        <v>45603</v>
      </c>
      <c r="D1636" s="160" t="s">
        <v>440</v>
      </c>
      <c r="E1636" s="149" t="s">
        <v>563</v>
      </c>
      <c r="F1636" s="165" t="s">
        <v>441</v>
      </c>
      <c r="G1636" s="165" t="s">
        <v>442</v>
      </c>
      <c r="H1636" s="149" t="str">
        <f t="shared" si="8"/>
        <v>IGNACIO SIERRA ARBIDE</v>
      </c>
      <c r="I1636" s="149" t="s">
        <v>888</v>
      </c>
      <c r="J1636" s="149" t="s">
        <v>548</v>
      </c>
      <c r="K1636" s="149" t="s">
        <v>2593</v>
      </c>
      <c r="L1636" s="168">
        <v>45646</v>
      </c>
      <c r="M1636" s="164"/>
      <c r="N1636" s="163">
        <v>1</v>
      </c>
      <c r="O1636" s="165" t="s">
        <v>513</v>
      </c>
      <c r="P1636" s="161">
        <v>2640</v>
      </c>
      <c r="Q1636" s="168">
        <v>45646</v>
      </c>
      <c r="R1636" s="153"/>
      <c r="S1636" s="153"/>
      <c r="T1636" s="153"/>
      <c r="U1636" s="153"/>
      <c r="V1636" s="153"/>
      <c r="W1636" s="153"/>
      <c r="X1636" s="153"/>
      <c r="Y1636" s="153"/>
      <c r="Z1636" s="153"/>
      <c r="AA1636" s="153"/>
    </row>
    <row r="1637" spans="1:27">
      <c r="A1637" s="163">
        <v>12</v>
      </c>
      <c r="B1637" s="160" t="s">
        <v>2538</v>
      </c>
      <c r="C1637" s="168">
        <v>45608</v>
      </c>
      <c r="D1637" s="160" t="s">
        <v>440</v>
      </c>
      <c r="E1637" s="149" t="s">
        <v>158</v>
      </c>
      <c r="F1637" s="165" t="s">
        <v>441</v>
      </c>
      <c r="G1637" s="165" t="s">
        <v>442</v>
      </c>
      <c r="H1637" s="149" t="str">
        <f t="shared" si="8"/>
        <v>CARLOS BARAJAS DEL ROSAL</v>
      </c>
      <c r="I1637" s="149" t="s">
        <v>660</v>
      </c>
      <c r="J1637" s="149" t="s">
        <v>548</v>
      </c>
      <c r="K1637" s="149" t="s">
        <v>2594</v>
      </c>
      <c r="L1637" s="168">
        <v>45656</v>
      </c>
      <c r="M1637" s="164"/>
      <c r="N1637" s="163">
        <v>1</v>
      </c>
      <c r="O1637" s="165" t="s">
        <v>1540</v>
      </c>
      <c r="P1637" s="161">
        <v>2400</v>
      </c>
      <c r="Q1637" s="168">
        <v>45656</v>
      </c>
      <c r="R1637" s="153"/>
      <c r="S1637" s="153"/>
      <c r="T1637" s="153"/>
      <c r="U1637" s="153"/>
      <c r="V1637" s="153"/>
      <c r="W1637" s="153"/>
      <c r="X1637" s="153"/>
      <c r="Y1637" s="153"/>
      <c r="Z1637" s="153"/>
      <c r="AA1637" s="153"/>
    </row>
    <row r="1638" spans="1:27">
      <c r="A1638" s="163">
        <v>12</v>
      </c>
      <c r="B1638" s="160" t="s">
        <v>2538</v>
      </c>
      <c r="C1638" s="168">
        <v>45630</v>
      </c>
      <c r="D1638" s="160" t="s">
        <v>440</v>
      </c>
      <c r="E1638" s="149" t="s">
        <v>158</v>
      </c>
      <c r="F1638" s="165" t="s">
        <v>441</v>
      </c>
      <c r="G1638" s="165" t="s">
        <v>442</v>
      </c>
      <c r="H1638" s="149" t="str">
        <f t="shared" si="8"/>
        <v>CARLOS BARAJAS DEL ROSAL</v>
      </c>
      <c r="I1638" s="149" t="s">
        <v>660</v>
      </c>
      <c r="J1638" s="149" t="s">
        <v>548</v>
      </c>
      <c r="K1638" s="149" t="s">
        <v>2595</v>
      </c>
      <c r="L1638" s="168">
        <v>45653</v>
      </c>
      <c r="M1638" s="164"/>
      <c r="N1638" s="163">
        <v>2</v>
      </c>
      <c r="O1638" s="165" t="s">
        <v>513</v>
      </c>
      <c r="P1638" s="161">
        <v>4400</v>
      </c>
      <c r="Q1638" s="168">
        <v>45653</v>
      </c>
      <c r="R1638" s="153"/>
      <c r="S1638" s="153"/>
      <c r="T1638" s="153"/>
      <c r="U1638" s="153"/>
      <c r="V1638" s="153"/>
      <c r="W1638" s="153"/>
      <c r="X1638" s="153"/>
      <c r="Y1638" s="153"/>
      <c r="Z1638" s="153"/>
      <c r="AA1638" s="153"/>
    </row>
    <row r="1639" spans="1:27">
      <c r="A1639" s="163">
        <v>12</v>
      </c>
      <c r="B1639" s="160" t="s">
        <v>2538</v>
      </c>
      <c r="C1639" s="168">
        <v>45616</v>
      </c>
      <c r="D1639" s="160" t="s">
        <v>440</v>
      </c>
      <c r="E1639" s="149" t="s">
        <v>158</v>
      </c>
      <c r="F1639" s="165" t="s">
        <v>441</v>
      </c>
      <c r="G1639" s="165" t="s">
        <v>442</v>
      </c>
      <c r="H1639" s="149" t="str">
        <f t="shared" si="8"/>
        <v>FRANCISCO J. REDONDO DEL BARCO</v>
      </c>
      <c r="I1639" s="149" t="s">
        <v>2581</v>
      </c>
      <c r="J1639" s="149" t="s">
        <v>548</v>
      </c>
      <c r="K1639" s="149" t="s">
        <v>2596</v>
      </c>
      <c r="L1639" s="168">
        <v>45653</v>
      </c>
      <c r="M1639" s="164"/>
      <c r="N1639" s="163">
        <v>2</v>
      </c>
      <c r="O1639" s="165" t="s">
        <v>1540</v>
      </c>
      <c r="P1639" s="161">
        <v>3929.55</v>
      </c>
      <c r="Q1639" s="168">
        <v>45653</v>
      </c>
      <c r="R1639" s="153"/>
      <c r="S1639" s="153"/>
      <c r="T1639" s="153"/>
      <c r="U1639" s="153"/>
      <c r="V1639" s="153"/>
      <c r="W1639" s="153"/>
      <c r="X1639" s="153"/>
      <c r="Y1639" s="153"/>
      <c r="Z1639" s="153"/>
      <c r="AA1639" s="153"/>
    </row>
    <row r="1640" spans="1:27">
      <c r="A1640" s="163">
        <v>12</v>
      </c>
      <c r="B1640" s="160" t="s">
        <v>2538</v>
      </c>
      <c r="C1640" s="168">
        <v>45653</v>
      </c>
      <c r="D1640" s="160" t="s">
        <v>440</v>
      </c>
      <c r="E1640" s="149" t="s">
        <v>158</v>
      </c>
      <c r="F1640" s="165" t="s">
        <v>441</v>
      </c>
      <c r="G1640" s="165" t="s">
        <v>442</v>
      </c>
      <c r="H1640" s="149" t="str">
        <f t="shared" si="8"/>
        <v>CARLOS BARAJAS DEL ROSAL</v>
      </c>
      <c r="I1640" s="149" t="s">
        <v>660</v>
      </c>
      <c r="J1640" s="149" t="s">
        <v>548</v>
      </c>
      <c r="K1640" s="149" t="s">
        <v>2597</v>
      </c>
      <c r="L1640" s="168">
        <v>45653</v>
      </c>
      <c r="M1640" s="164"/>
      <c r="N1640" s="163">
        <v>2</v>
      </c>
      <c r="O1640" s="165" t="s">
        <v>513</v>
      </c>
      <c r="P1640" s="161">
        <v>4309.55</v>
      </c>
      <c r="Q1640" s="168">
        <v>45653</v>
      </c>
      <c r="R1640" s="153"/>
      <c r="S1640" s="153"/>
      <c r="T1640" s="153"/>
      <c r="U1640" s="153"/>
      <c r="V1640" s="153"/>
      <c r="W1640" s="153"/>
      <c r="X1640" s="153"/>
      <c r="Y1640" s="153"/>
      <c r="Z1640" s="153"/>
      <c r="AA1640" s="153"/>
    </row>
    <row r="1641" spans="1:27">
      <c r="A1641" s="163">
        <v>12</v>
      </c>
      <c r="B1641" s="160" t="s">
        <v>2538</v>
      </c>
      <c r="C1641" s="168">
        <v>45624</v>
      </c>
      <c r="D1641" s="160" t="s">
        <v>440</v>
      </c>
      <c r="E1641" s="149" t="s">
        <v>158</v>
      </c>
      <c r="F1641" s="165" t="s">
        <v>441</v>
      </c>
      <c r="G1641" s="165" t="s">
        <v>442</v>
      </c>
      <c r="H1641" s="149" t="str">
        <f t="shared" si="8"/>
        <v>JAVIER GARCÍA DOMINGUEZ</v>
      </c>
      <c r="I1641" s="149" t="s">
        <v>2598</v>
      </c>
      <c r="J1641" s="149" t="s">
        <v>444</v>
      </c>
      <c r="K1641" s="149" t="s">
        <v>2599</v>
      </c>
      <c r="L1641" s="168">
        <v>45649</v>
      </c>
      <c r="M1641" s="164"/>
      <c r="N1641" s="163">
        <v>2</v>
      </c>
      <c r="O1641" s="165" t="s">
        <v>449</v>
      </c>
      <c r="P1641" s="161">
        <v>3024.55</v>
      </c>
      <c r="Q1641" s="168">
        <v>45649</v>
      </c>
      <c r="R1641" s="153"/>
      <c r="S1641" s="153"/>
      <c r="T1641" s="153"/>
      <c r="U1641" s="153"/>
      <c r="V1641" s="153"/>
      <c r="W1641" s="153"/>
      <c r="X1641" s="153"/>
      <c r="Y1641" s="153"/>
      <c r="Z1641" s="153"/>
      <c r="AA1641" s="153"/>
    </row>
    <row r="1642" spans="1:27">
      <c r="A1642" s="163">
        <v>12</v>
      </c>
      <c r="B1642" s="160" t="s">
        <v>2538</v>
      </c>
      <c r="C1642" s="168">
        <v>45628</v>
      </c>
      <c r="D1642" s="160" t="s">
        <v>440</v>
      </c>
      <c r="E1642" s="149" t="s">
        <v>158</v>
      </c>
      <c r="F1642" s="165" t="s">
        <v>441</v>
      </c>
      <c r="G1642" s="165" t="s">
        <v>442</v>
      </c>
      <c r="H1642" s="149" t="str">
        <f t="shared" si="8"/>
        <v>GUILLERMO SAN JUAN DE LA MORETA</v>
      </c>
      <c r="I1642" s="149" t="s">
        <v>826</v>
      </c>
      <c r="J1642" s="149" t="s">
        <v>444</v>
      </c>
      <c r="K1642" s="149" t="s">
        <v>2600</v>
      </c>
      <c r="L1642" s="168">
        <v>45646</v>
      </c>
      <c r="M1642" s="164"/>
      <c r="N1642" s="163">
        <v>2</v>
      </c>
      <c r="O1642" s="165" t="s">
        <v>449</v>
      </c>
      <c r="P1642" s="161">
        <v>3024.55</v>
      </c>
      <c r="Q1642" s="168">
        <v>45646</v>
      </c>
      <c r="R1642" s="153"/>
      <c r="S1642" s="153"/>
      <c r="T1642" s="153"/>
      <c r="U1642" s="153"/>
      <c r="V1642" s="153"/>
      <c r="W1642" s="153"/>
      <c r="X1642" s="153"/>
      <c r="Y1642" s="153"/>
      <c r="Z1642" s="153"/>
      <c r="AA1642" s="153"/>
    </row>
    <row r="1643" spans="1:27">
      <c r="A1643" s="163">
        <v>12</v>
      </c>
      <c r="B1643" s="160" t="s">
        <v>2538</v>
      </c>
      <c r="C1643" s="168">
        <v>45504</v>
      </c>
      <c r="D1643" s="160" t="s">
        <v>440</v>
      </c>
      <c r="E1643" s="149" t="s">
        <v>158</v>
      </c>
      <c r="F1643" s="165" t="s">
        <v>441</v>
      </c>
      <c r="G1643" s="165" t="s">
        <v>441</v>
      </c>
      <c r="H1643" s="149" t="str">
        <f t="shared" si="8"/>
        <v>CARLOS BARAJAS DEL ROSAL</v>
      </c>
      <c r="I1643" s="149" t="s">
        <v>660</v>
      </c>
      <c r="J1643" s="153" t="s">
        <v>548</v>
      </c>
      <c r="K1643" s="149" t="s">
        <v>2601</v>
      </c>
      <c r="L1643" s="168">
        <v>45644</v>
      </c>
      <c r="M1643" s="164"/>
      <c r="N1643" s="163">
        <v>2</v>
      </c>
      <c r="O1643" s="165" t="s">
        <v>1540</v>
      </c>
      <c r="P1643" s="161">
        <v>3270.59</v>
      </c>
      <c r="Q1643" s="168">
        <v>45644</v>
      </c>
      <c r="R1643" s="153"/>
      <c r="S1643" s="153"/>
      <c r="T1643" s="153"/>
      <c r="U1643" s="153"/>
      <c r="V1643" s="153"/>
      <c r="W1643" s="153"/>
      <c r="X1643" s="153"/>
      <c r="Y1643" s="153"/>
      <c r="Z1643" s="153"/>
      <c r="AA1643" s="153"/>
    </row>
    <row r="1644" spans="1:27">
      <c r="A1644" s="163">
        <v>12</v>
      </c>
      <c r="B1644" s="160" t="s">
        <v>2538</v>
      </c>
      <c r="C1644" s="168">
        <v>45611</v>
      </c>
      <c r="D1644" s="160" t="s">
        <v>440</v>
      </c>
      <c r="E1644" s="149" t="s">
        <v>158</v>
      </c>
      <c r="F1644" s="165" t="s">
        <v>441</v>
      </c>
      <c r="G1644" s="165" t="s">
        <v>442</v>
      </c>
      <c r="H1644" s="149" t="str">
        <f t="shared" ref="H1644:H1758" si="9">TRIM(SUBSTITUTE(SUBSTITUTE(SUBSTITUTE(SUBSTITUTE(I1644,"DR. ",""),"DRA. ",""),"DR ",""),"DRA ",""))</f>
        <v>JAVIER GARCÍA DOMÍNGUEZ</v>
      </c>
      <c r="I1644" s="149" t="s">
        <v>607</v>
      </c>
      <c r="J1644" s="149" t="s">
        <v>444</v>
      </c>
      <c r="K1644" s="149" t="s">
        <v>2602</v>
      </c>
      <c r="L1644" s="168">
        <v>45644</v>
      </c>
      <c r="M1644" s="164"/>
      <c r="N1644" s="163">
        <v>1</v>
      </c>
      <c r="O1644" s="165" t="s">
        <v>1540</v>
      </c>
      <c r="P1644" s="161">
        <v>2400</v>
      </c>
      <c r="Q1644" s="168">
        <v>45644</v>
      </c>
      <c r="R1644" s="153"/>
      <c r="S1644" s="153"/>
      <c r="T1644" s="153"/>
      <c r="U1644" s="153"/>
      <c r="V1644" s="153"/>
      <c r="W1644" s="153"/>
      <c r="X1644" s="153"/>
      <c r="Y1644" s="153"/>
      <c r="Z1644" s="153"/>
      <c r="AA1644" s="153"/>
    </row>
    <row r="1645" spans="1:27">
      <c r="A1645" s="163">
        <v>12</v>
      </c>
      <c r="B1645" s="160" t="s">
        <v>2538</v>
      </c>
      <c r="C1645" s="168">
        <v>45600</v>
      </c>
      <c r="D1645" s="160" t="s">
        <v>440</v>
      </c>
      <c r="E1645" s="149" t="s">
        <v>158</v>
      </c>
      <c r="F1645" s="165" t="s">
        <v>441</v>
      </c>
      <c r="G1645" s="165" t="s">
        <v>442</v>
      </c>
      <c r="H1645" s="149" t="str">
        <f t="shared" si="9"/>
        <v>CARLOS BARAJAS DEL ROSAL</v>
      </c>
      <c r="I1645" s="149" t="s">
        <v>660</v>
      </c>
      <c r="J1645" s="149" t="s">
        <v>548</v>
      </c>
      <c r="K1645" s="149" t="s">
        <v>2603</v>
      </c>
      <c r="L1645" s="168">
        <v>45643</v>
      </c>
      <c r="M1645" s="164"/>
      <c r="N1645" s="163">
        <v>2</v>
      </c>
      <c r="O1645" s="165" t="s">
        <v>446</v>
      </c>
      <c r="P1645" s="161">
        <v>3710</v>
      </c>
      <c r="Q1645" s="168">
        <v>45643</v>
      </c>
      <c r="R1645" s="153"/>
      <c r="S1645" s="153"/>
      <c r="T1645" s="153"/>
      <c r="U1645" s="153"/>
      <c r="V1645" s="153"/>
      <c r="W1645" s="153"/>
      <c r="X1645" s="153"/>
      <c r="Y1645" s="153"/>
      <c r="Z1645" s="153"/>
      <c r="AA1645" s="153"/>
    </row>
    <row r="1646" spans="1:27">
      <c r="A1646" s="163">
        <v>12</v>
      </c>
      <c r="B1646" s="160" t="s">
        <v>2538</v>
      </c>
      <c r="C1646" s="168">
        <v>45614</v>
      </c>
      <c r="D1646" s="160" t="s">
        <v>440</v>
      </c>
      <c r="E1646" s="149" t="s">
        <v>158</v>
      </c>
      <c r="F1646" s="165" t="s">
        <v>441</v>
      </c>
      <c r="G1646" s="165" t="s">
        <v>442</v>
      </c>
      <c r="H1646" s="149" t="str">
        <f t="shared" si="9"/>
        <v>JOAQUIN ALACIO CASERO</v>
      </c>
      <c r="I1646" s="149" t="s">
        <v>2330</v>
      </c>
      <c r="J1646" s="149" t="s">
        <v>444</v>
      </c>
      <c r="K1646" s="149" t="s">
        <v>2604</v>
      </c>
      <c r="L1646" s="168">
        <v>45637</v>
      </c>
      <c r="M1646" s="164"/>
      <c r="N1646" s="163">
        <v>2</v>
      </c>
      <c r="O1646" s="165" t="s">
        <v>513</v>
      </c>
      <c r="P1646" s="161">
        <v>4536.3599999999997</v>
      </c>
      <c r="Q1646" s="168">
        <v>45637</v>
      </c>
      <c r="R1646" s="153"/>
      <c r="S1646" s="153"/>
      <c r="T1646" s="153"/>
      <c r="U1646" s="153"/>
      <c r="V1646" s="153"/>
      <c r="W1646" s="153"/>
      <c r="X1646" s="153"/>
      <c r="Y1646" s="153"/>
      <c r="Z1646" s="153"/>
      <c r="AA1646" s="153"/>
    </row>
    <row r="1647" spans="1:27">
      <c r="A1647" s="163">
        <v>12</v>
      </c>
      <c r="B1647" s="160" t="s">
        <v>2538</v>
      </c>
      <c r="C1647" s="168">
        <v>45589</v>
      </c>
      <c r="D1647" s="160" t="s">
        <v>440</v>
      </c>
      <c r="E1647" s="149" t="s">
        <v>158</v>
      </c>
      <c r="F1647" s="165" t="s">
        <v>441</v>
      </c>
      <c r="G1647" s="165" t="s">
        <v>441</v>
      </c>
      <c r="H1647" s="149" t="str">
        <f t="shared" si="9"/>
        <v>JULIO LÓPEZ MOYA</v>
      </c>
      <c r="I1647" s="149" t="s">
        <v>504</v>
      </c>
      <c r="J1647" s="149" t="s">
        <v>444</v>
      </c>
      <c r="K1647" s="149" t="s">
        <v>2605</v>
      </c>
      <c r="L1647" s="168">
        <v>45628</v>
      </c>
      <c r="M1647" s="164"/>
      <c r="N1647" s="163">
        <v>2</v>
      </c>
      <c r="O1647" s="165" t="s">
        <v>1540</v>
      </c>
      <c r="P1647" s="161">
        <v>4136.3599999999997</v>
      </c>
      <c r="Q1647" s="168">
        <v>45628</v>
      </c>
      <c r="R1647" s="153"/>
      <c r="S1647" s="153"/>
      <c r="T1647" s="153"/>
      <c r="U1647" s="153"/>
      <c r="V1647" s="153"/>
      <c r="W1647" s="153"/>
      <c r="X1647" s="153"/>
      <c r="Y1647" s="153"/>
      <c r="Z1647" s="153"/>
      <c r="AA1647" s="153"/>
    </row>
    <row r="1648" spans="1:27">
      <c r="A1648" s="163">
        <v>12</v>
      </c>
      <c r="B1648" s="160" t="s">
        <v>2538</v>
      </c>
      <c r="C1648" s="168">
        <v>45608</v>
      </c>
      <c r="D1648" s="160" t="s">
        <v>440</v>
      </c>
      <c r="E1648" s="149" t="s">
        <v>309</v>
      </c>
      <c r="F1648" s="165" t="s">
        <v>441</v>
      </c>
      <c r="G1648" s="165" t="s">
        <v>442</v>
      </c>
      <c r="H1648" s="149" t="str">
        <f t="shared" si="9"/>
        <v>ESTEBAN SCOLA PLIEGO</v>
      </c>
      <c r="I1648" s="149" t="s">
        <v>736</v>
      </c>
      <c r="J1648" s="149" t="s">
        <v>444</v>
      </c>
      <c r="K1648" s="149" t="s">
        <v>2606</v>
      </c>
      <c r="L1648" s="168">
        <v>45653</v>
      </c>
      <c r="M1648" s="164"/>
      <c r="N1648" s="163">
        <v>2</v>
      </c>
      <c r="O1648" s="165" t="s">
        <v>446</v>
      </c>
      <c r="P1648" s="161">
        <v>3846.36</v>
      </c>
      <c r="Q1648" s="168">
        <v>45653</v>
      </c>
      <c r="R1648" s="153"/>
      <c r="S1648" s="153"/>
      <c r="T1648" s="153"/>
      <c r="U1648" s="153"/>
      <c r="V1648" s="153"/>
      <c r="W1648" s="153"/>
      <c r="X1648" s="153"/>
      <c r="Y1648" s="153"/>
      <c r="Z1648" s="153"/>
      <c r="AA1648" s="153"/>
    </row>
    <row r="1649" spans="1:27">
      <c r="A1649" s="163">
        <v>12</v>
      </c>
      <c r="B1649" s="160" t="s">
        <v>2538</v>
      </c>
      <c r="C1649" s="168">
        <v>45610</v>
      </c>
      <c r="D1649" s="160" t="s">
        <v>440</v>
      </c>
      <c r="E1649" s="149" t="s">
        <v>309</v>
      </c>
      <c r="F1649" s="165" t="s">
        <v>441</v>
      </c>
      <c r="G1649" s="165" t="s">
        <v>442</v>
      </c>
      <c r="H1649" s="149" t="str">
        <f t="shared" si="9"/>
        <v>GUSTAVO CÓRDOVA RAMOS</v>
      </c>
      <c r="I1649" s="149" t="s">
        <v>1054</v>
      </c>
      <c r="J1649" s="149" t="s">
        <v>444</v>
      </c>
      <c r="K1649" s="149" t="s">
        <v>2607</v>
      </c>
      <c r="L1649" s="168">
        <v>45652</v>
      </c>
      <c r="M1649" s="164"/>
      <c r="N1649" s="163">
        <v>2</v>
      </c>
      <c r="O1649" s="165" t="s">
        <v>446</v>
      </c>
      <c r="P1649" s="161">
        <v>3846.36</v>
      </c>
      <c r="Q1649" s="168">
        <v>45652</v>
      </c>
      <c r="R1649" s="153"/>
      <c r="S1649" s="153"/>
      <c r="T1649" s="153"/>
      <c r="U1649" s="153"/>
      <c r="V1649" s="153"/>
      <c r="W1649" s="153"/>
      <c r="X1649" s="153"/>
      <c r="Y1649" s="153"/>
      <c r="Z1649" s="153"/>
      <c r="AA1649" s="153"/>
    </row>
    <row r="1650" spans="1:27">
      <c r="A1650" s="163">
        <v>12</v>
      </c>
      <c r="B1650" s="160" t="s">
        <v>2538</v>
      </c>
      <c r="C1650" s="168">
        <v>45603</v>
      </c>
      <c r="D1650" s="160" t="s">
        <v>440</v>
      </c>
      <c r="E1650" s="149" t="s">
        <v>309</v>
      </c>
      <c r="F1650" s="165" t="s">
        <v>441</v>
      </c>
      <c r="G1650" s="165" t="s">
        <v>442</v>
      </c>
      <c r="H1650" s="149" t="str">
        <f t="shared" si="9"/>
        <v>JOSE JOAQUÍN GUTIÉRREZ BARQUÍN</v>
      </c>
      <c r="I1650" s="149" t="s">
        <v>716</v>
      </c>
      <c r="J1650" s="149" t="s">
        <v>444</v>
      </c>
      <c r="K1650" s="149" t="s">
        <v>2608</v>
      </c>
      <c r="L1650" s="168">
        <v>45649</v>
      </c>
      <c r="M1650" s="164"/>
      <c r="N1650" s="163">
        <v>2</v>
      </c>
      <c r="O1650" s="165" t="s">
        <v>446</v>
      </c>
      <c r="P1650" s="161">
        <v>3653.64</v>
      </c>
      <c r="Q1650" s="168">
        <v>45649</v>
      </c>
      <c r="R1650" s="153"/>
      <c r="S1650" s="153"/>
      <c r="T1650" s="153"/>
      <c r="U1650" s="153"/>
      <c r="V1650" s="153"/>
      <c r="W1650" s="153"/>
      <c r="X1650" s="153"/>
      <c r="Y1650" s="153"/>
      <c r="Z1650" s="153"/>
      <c r="AA1650" s="153"/>
    </row>
    <row r="1651" spans="1:27">
      <c r="A1651" s="163">
        <v>12</v>
      </c>
      <c r="B1651" s="160" t="s">
        <v>2538</v>
      </c>
      <c r="C1651" s="168">
        <v>45600</v>
      </c>
      <c r="D1651" s="160" t="s">
        <v>440</v>
      </c>
      <c r="E1651" s="149" t="s">
        <v>309</v>
      </c>
      <c r="F1651" s="165" t="s">
        <v>441</v>
      </c>
      <c r="G1651" s="165" t="s">
        <v>442</v>
      </c>
      <c r="H1651" s="149" t="str">
        <f t="shared" si="9"/>
        <v>JOSE JOAQUÍN GUTIÉRREZ BARQUÍN</v>
      </c>
      <c r="I1651" s="149" t="s">
        <v>716</v>
      </c>
      <c r="J1651" s="149" t="s">
        <v>444</v>
      </c>
      <c r="K1651" s="149" t="s">
        <v>2609</v>
      </c>
      <c r="L1651" s="168">
        <v>45636</v>
      </c>
      <c r="M1651" s="164"/>
      <c r="N1651" s="163">
        <v>2</v>
      </c>
      <c r="O1651" s="165" t="s">
        <v>449</v>
      </c>
      <c r="P1651" s="161">
        <v>2872.73</v>
      </c>
      <c r="Q1651" s="168">
        <v>45636</v>
      </c>
      <c r="R1651" s="153"/>
      <c r="S1651" s="153"/>
      <c r="T1651" s="153"/>
      <c r="U1651" s="153"/>
      <c r="V1651" s="153"/>
      <c r="W1651" s="153"/>
      <c r="X1651" s="153"/>
      <c r="Y1651" s="153"/>
      <c r="Z1651" s="153"/>
      <c r="AA1651" s="153"/>
    </row>
    <row r="1652" spans="1:27">
      <c r="A1652" s="163">
        <v>12</v>
      </c>
      <c r="B1652" s="160" t="s">
        <v>2538</v>
      </c>
      <c r="C1652" s="168">
        <v>45624</v>
      </c>
      <c r="D1652" s="160" t="s">
        <v>440</v>
      </c>
      <c r="E1652" s="149" t="s">
        <v>309</v>
      </c>
      <c r="F1652" s="165" t="s">
        <v>441</v>
      </c>
      <c r="G1652" s="165" t="s">
        <v>442</v>
      </c>
      <c r="H1652" s="149" t="str">
        <f t="shared" si="9"/>
        <v>JOSE JOAQUÍN GUTIÉRREZ BARQUÍN</v>
      </c>
      <c r="I1652" s="149" t="s">
        <v>716</v>
      </c>
      <c r="J1652" s="149" t="s">
        <v>444</v>
      </c>
      <c r="K1652" s="149" t="s">
        <v>2610</v>
      </c>
      <c r="L1652" s="168">
        <v>45635</v>
      </c>
      <c r="M1652" s="164"/>
      <c r="N1652" s="163">
        <v>2</v>
      </c>
      <c r="O1652" s="165" t="s">
        <v>446</v>
      </c>
      <c r="P1652" s="161">
        <v>3636.36</v>
      </c>
      <c r="Q1652" s="168">
        <v>45635</v>
      </c>
      <c r="R1652" s="153"/>
      <c r="S1652" s="153"/>
      <c r="T1652" s="153"/>
      <c r="U1652" s="153"/>
      <c r="V1652" s="153"/>
      <c r="W1652" s="153"/>
      <c r="X1652" s="153"/>
      <c r="Y1652" s="153"/>
      <c r="Z1652" s="153"/>
      <c r="AA1652" s="153"/>
    </row>
    <row r="1653" spans="1:27">
      <c r="A1653" s="163">
        <v>12</v>
      </c>
      <c r="B1653" s="160" t="s">
        <v>2538</v>
      </c>
      <c r="C1653" s="168">
        <v>45603</v>
      </c>
      <c r="D1653" s="160" t="s">
        <v>440</v>
      </c>
      <c r="E1653" s="149" t="s">
        <v>309</v>
      </c>
      <c r="F1653" s="165" t="s">
        <v>441</v>
      </c>
      <c r="G1653" s="165" t="s">
        <v>442</v>
      </c>
      <c r="H1653" s="149" t="str">
        <f t="shared" si="9"/>
        <v>IVÁN MUERTE MORENO</v>
      </c>
      <c r="I1653" s="149" t="s">
        <v>2611</v>
      </c>
      <c r="J1653" s="149" t="s">
        <v>548</v>
      </c>
      <c r="K1653" s="149" t="s">
        <v>2612</v>
      </c>
      <c r="L1653" s="168">
        <v>45628</v>
      </c>
      <c r="M1653" s="164"/>
      <c r="N1653" s="163">
        <v>2</v>
      </c>
      <c r="O1653" s="165" t="s">
        <v>446</v>
      </c>
      <c r="P1653" s="161">
        <v>3654.55</v>
      </c>
      <c r="Q1653" s="168">
        <v>45628</v>
      </c>
      <c r="R1653" s="153"/>
      <c r="S1653" s="153"/>
      <c r="T1653" s="153"/>
      <c r="U1653" s="153"/>
      <c r="V1653" s="153"/>
      <c r="W1653" s="153"/>
      <c r="X1653" s="153"/>
      <c r="Y1653" s="153"/>
      <c r="Z1653" s="153"/>
      <c r="AA1653" s="153"/>
    </row>
    <row r="1654" spans="1:27">
      <c r="A1654" s="163">
        <v>12</v>
      </c>
      <c r="B1654" s="160" t="s">
        <v>2538</v>
      </c>
      <c r="C1654" s="168">
        <v>45575</v>
      </c>
      <c r="D1654" s="160" t="s">
        <v>440</v>
      </c>
      <c r="E1654" s="149" t="s">
        <v>164</v>
      </c>
      <c r="F1654" s="165" t="s">
        <v>441</v>
      </c>
      <c r="G1654" s="165" t="s">
        <v>442</v>
      </c>
      <c r="H1654" s="149" t="str">
        <f t="shared" si="9"/>
        <v>ALEJANDRO HARGUINDEY ANTOLI-CANDELA</v>
      </c>
      <c r="I1654" s="149" t="s">
        <v>2445</v>
      </c>
      <c r="J1654" s="149" t="s">
        <v>444</v>
      </c>
      <c r="K1654" s="149" t="s">
        <v>2613</v>
      </c>
      <c r="L1654" s="168">
        <v>45652</v>
      </c>
      <c r="M1654" s="164"/>
      <c r="N1654" s="163">
        <v>2</v>
      </c>
      <c r="O1654" s="165" t="s">
        <v>1540</v>
      </c>
      <c r="P1654" s="161">
        <v>4136.3599999999997</v>
      </c>
      <c r="Q1654" s="168">
        <v>45652</v>
      </c>
      <c r="R1654" s="153"/>
      <c r="S1654" s="153"/>
      <c r="T1654" s="153"/>
      <c r="U1654" s="153"/>
      <c r="V1654" s="153"/>
      <c r="W1654" s="153"/>
      <c r="X1654" s="153"/>
      <c r="Y1654" s="153"/>
      <c r="Z1654" s="153"/>
      <c r="AA1654" s="153"/>
    </row>
    <row r="1655" spans="1:27">
      <c r="A1655" s="163">
        <v>12</v>
      </c>
      <c r="B1655" s="160" t="s">
        <v>2538</v>
      </c>
      <c r="C1655" s="168">
        <v>45593</v>
      </c>
      <c r="D1655" s="160" t="s">
        <v>440</v>
      </c>
      <c r="E1655" s="149" t="s">
        <v>164</v>
      </c>
      <c r="F1655" s="165" t="s">
        <v>441</v>
      </c>
      <c r="G1655" s="165" t="s">
        <v>442</v>
      </c>
      <c r="H1655" s="149" t="str">
        <f t="shared" si="9"/>
        <v>COLOMA GRAU VAN LAAK</v>
      </c>
      <c r="I1655" s="149" t="s">
        <v>2614</v>
      </c>
      <c r="J1655" s="149" t="s">
        <v>548</v>
      </c>
      <c r="K1655" s="149" t="s">
        <v>2615</v>
      </c>
      <c r="L1655" s="168">
        <v>45645</v>
      </c>
      <c r="M1655" s="164"/>
      <c r="N1655" s="163">
        <v>2</v>
      </c>
      <c r="O1655" s="165" t="s">
        <v>446</v>
      </c>
      <c r="P1655" s="161">
        <v>3846.36</v>
      </c>
      <c r="Q1655" s="168">
        <v>45645</v>
      </c>
      <c r="R1655" s="153"/>
      <c r="S1655" s="153"/>
      <c r="T1655" s="153"/>
      <c r="U1655" s="153"/>
      <c r="V1655" s="153"/>
      <c r="W1655" s="153"/>
      <c r="X1655" s="153"/>
      <c r="Y1655" s="153"/>
      <c r="Z1655" s="153"/>
      <c r="AA1655" s="153"/>
    </row>
    <row r="1656" spans="1:27">
      <c r="A1656" s="163">
        <v>12</v>
      </c>
      <c r="B1656" s="160" t="s">
        <v>2538</v>
      </c>
      <c r="C1656" s="168">
        <v>45595</v>
      </c>
      <c r="D1656" s="160" t="s">
        <v>440</v>
      </c>
      <c r="E1656" s="149" t="s">
        <v>164</v>
      </c>
      <c r="F1656" s="165" t="s">
        <v>441</v>
      </c>
      <c r="G1656" s="165" t="s">
        <v>442</v>
      </c>
      <c r="H1656" s="149" t="str">
        <f t="shared" si="9"/>
        <v>Mª FERNANDA ESCALA PEDREROS</v>
      </c>
      <c r="I1656" s="149" t="s">
        <v>804</v>
      </c>
      <c r="J1656" s="149" t="s">
        <v>548</v>
      </c>
      <c r="K1656" s="149" t="s">
        <v>2616</v>
      </c>
      <c r="L1656" s="168">
        <v>45644</v>
      </c>
      <c r="M1656" s="164"/>
      <c r="N1656" s="163">
        <v>2</v>
      </c>
      <c r="O1656" s="165" t="s">
        <v>446</v>
      </c>
      <c r="P1656" s="161">
        <v>3846.36</v>
      </c>
      <c r="Q1656" s="168">
        <v>45644</v>
      </c>
      <c r="R1656" s="153"/>
      <c r="S1656" s="153"/>
      <c r="T1656" s="153"/>
      <c r="U1656" s="153"/>
      <c r="V1656" s="153"/>
      <c r="W1656" s="153"/>
      <c r="X1656" s="153"/>
      <c r="Y1656" s="153"/>
      <c r="Z1656" s="153"/>
      <c r="AA1656" s="153"/>
    </row>
    <row r="1657" spans="1:27">
      <c r="A1657" s="163">
        <v>12</v>
      </c>
      <c r="B1657" s="160" t="s">
        <v>2538</v>
      </c>
      <c r="C1657" s="168">
        <v>45566</v>
      </c>
      <c r="D1657" s="160" t="s">
        <v>440</v>
      </c>
      <c r="E1657" s="149" t="s">
        <v>164</v>
      </c>
      <c r="F1657" s="165" t="s">
        <v>441</v>
      </c>
      <c r="G1657" s="165" t="s">
        <v>442</v>
      </c>
      <c r="H1657" s="149" t="str">
        <f t="shared" si="9"/>
        <v>ALEJANDRO HARGUINDEY ANTOLI-CANDELA</v>
      </c>
      <c r="I1657" s="149" t="s">
        <v>2445</v>
      </c>
      <c r="J1657" s="149" t="s">
        <v>444</v>
      </c>
      <c r="K1657" s="149" t="s">
        <v>2617</v>
      </c>
      <c r="L1657" s="168">
        <v>45643</v>
      </c>
      <c r="M1657" s="164"/>
      <c r="N1657" s="163">
        <v>2</v>
      </c>
      <c r="O1657" s="165" t="s">
        <v>446</v>
      </c>
      <c r="P1657" s="161">
        <v>3846.36</v>
      </c>
      <c r="Q1657" s="168">
        <v>45643</v>
      </c>
      <c r="R1657" s="153"/>
      <c r="S1657" s="153"/>
      <c r="T1657" s="153"/>
      <c r="U1657" s="153"/>
      <c r="V1657" s="153"/>
      <c r="W1657" s="153"/>
      <c r="X1657" s="153"/>
      <c r="Y1657" s="153"/>
      <c r="Z1657" s="153"/>
      <c r="AA1657" s="153"/>
    </row>
    <row r="1658" spans="1:27">
      <c r="A1658" s="163">
        <v>12</v>
      </c>
      <c r="B1658" s="160" t="s">
        <v>2538</v>
      </c>
      <c r="C1658" s="168">
        <v>45565</v>
      </c>
      <c r="D1658" s="160" t="s">
        <v>440</v>
      </c>
      <c r="E1658" s="149" t="s">
        <v>164</v>
      </c>
      <c r="F1658" s="165" t="s">
        <v>441</v>
      </c>
      <c r="G1658" s="165" t="s">
        <v>442</v>
      </c>
      <c r="H1658" s="149" t="str">
        <f t="shared" si="9"/>
        <v>OSCAR A. SÁNCHEZ VALENZUELA</v>
      </c>
      <c r="I1658" s="149" t="s">
        <v>2618</v>
      </c>
      <c r="J1658" s="149" t="s">
        <v>444</v>
      </c>
      <c r="K1658" s="149" t="s">
        <v>2619</v>
      </c>
      <c r="L1658" s="168">
        <v>45643</v>
      </c>
      <c r="M1658" s="164"/>
      <c r="N1658" s="163">
        <v>2</v>
      </c>
      <c r="O1658" s="165" t="s">
        <v>446</v>
      </c>
      <c r="P1658" s="161">
        <v>3846.36</v>
      </c>
      <c r="Q1658" s="168">
        <v>45643</v>
      </c>
      <c r="R1658" s="153"/>
      <c r="S1658" s="153"/>
      <c r="T1658" s="153"/>
      <c r="U1658" s="153"/>
      <c r="V1658" s="153"/>
      <c r="W1658" s="153"/>
      <c r="X1658" s="153"/>
      <c r="Y1658" s="153"/>
      <c r="Z1658" s="153"/>
      <c r="AA1658" s="153"/>
    </row>
    <row r="1659" spans="1:27">
      <c r="A1659" s="163">
        <v>12</v>
      </c>
      <c r="B1659" s="160" t="s">
        <v>2538</v>
      </c>
      <c r="C1659" s="168">
        <v>45593</v>
      </c>
      <c r="D1659" s="160" t="s">
        <v>440</v>
      </c>
      <c r="E1659" s="149" t="s">
        <v>164</v>
      </c>
      <c r="F1659" s="165" t="s">
        <v>441</v>
      </c>
      <c r="G1659" s="165" t="s">
        <v>442</v>
      </c>
      <c r="H1659" s="149" t="str">
        <f t="shared" si="9"/>
        <v>ALFONSO SANTAMARÍA GADEA</v>
      </c>
      <c r="I1659" s="149" t="s">
        <v>2620</v>
      </c>
      <c r="J1659" s="149" t="s">
        <v>444</v>
      </c>
      <c r="K1659" s="149" t="s">
        <v>2621</v>
      </c>
      <c r="L1659" s="168">
        <v>45637</v>
      </c>
      <c r="M1659" s="164"/>
      <c r="N1659" s="163">
        <v>2</v>
      </c>
      <c r="O1659" s="165" t="s">
        <v>1540</v>
      </c>
      <c r="P1659" s="161">
        <v>4136.3599999999997</v>
      </c>
      <c r="Q1659" s="168">
        <v>45637</v>
      </c>
      <c r="R1659" s="153"/>
      <c r="S1659" s="153"/>
      <c r="T1659" s="153"/>
      <c r="U1659" s="153"/>
      <c r="V1659" s="153"/>
      <c r="W1659" s="153"/>
      <c r="X1659" s="153"/>
      <c r="Y1659" s="153"/>
      <c r="Z1659" s="153"/>
      <c r="AA1659" s="153"/>
    </row>
    <row r="1660" spans="1:27">
      <c r="A1660" s="163">
        <v>12</v>
      </c>
      <c r="B1660" s="160" t="s">
        <v>2538</v>
      </c>
      <c r="C1660" s="168">
        <v>45596</v>
      </c>
      <c r="D1660" s="160" t="s">
        <v>440</v>
      </c>
      <c r="E1660" s="149" t="s">
        <v>164</v>
      </c>
      <c r="F1660" s="165" t="s">
        <v>441</v>
      </c>
      <c r="G1660" s="165" t="s">
        <v>442</v>
      </c>
      <c r="H1660" s="149" t="str">
        <f t="shared" si="9"/>
        <v>ALEJANDRO HARGUINDEY ANTOLI-CANDELA</v>
      </c>
      <c r="I1660" s="149" t="s">
        <v>2445</v>
      </c>
      <c r="J1660" s="149" t="s">
        <v>444</v>
      </c>
      <c r="K1660" s="149" t="s">
        <v>2622</v>
      </c>
      <c r="L1660" s="168">
        <v>45637</v>
      </c>
      <c r="M1660" s="164"/>
      <c r="N1660" s="163">
        <v>2</v>
      </c>
      <c r="O1660" s="165" t="s">
        <v>1540</v>
      </c>
      <c r="P1660" s="161">
        <v>4136.3599999999997</v>
      </c>
      <c r="Q1660" s="168">
        <v>45637</v>
      </c>
      <c r="R1660" s="153"/>
      <c r="S1660" s="153"/>
      <c r="T1660" s="153"/>
      <c r="U1660" s="153"/>
      <c r="V1660" s="153"/>
      <c r="W1660" s="153"/>
      <c r="X1660" s="153"/>
      <c r="Y1660" s="153"/>
      <c r="Z1660" s="153"/>
      <c r="AA1660" s="153"/>
    </row>
    <row r="1661" spans="1:27">
      <c r="A1661" s="163">
        <v>12</v>
      </c>
      <c r="B1661" s="160" t="s">
        <v>2538</v>
      </c>
      <c r="C1661" s="168">
        <v>45611</v>
      </c>
      <c r="D1661" s="160" t="s">
        <v>440</v>
      </c>
      <c r="E1661" s="149" t="s">
        <v>313</v>
      </c>
      <c r="F1661" s="165" t="s">
        <v>441</v>
      </c>
      <c r="G1661" s="165" t="s">
        <v>2062</v>
      </c>
      <c r="H1661" s="149" t="str">
        <f t="shared" si="9"/>
        <v>ANTONIO RODRÍGUEZ RIVERO</v>
      </c>
      <c r="I1661" s="149" t="s">
        <v>443</v>
      </c>
      <c r="J1661" s="149" t="s">
        <v>444</v>
      </c>
      <c r="K1661" s="149" t="s">
        <v>2623</v>
      </c>
      <c r="L1661" s="168">
        <v>45657</v>
      </c>
      <c r="M1661" s="164"/>
      <c r="N1661" s="163">
        <v>1</v>
      </c>
      <c r="O1661" s="165" t="s">
        <v>1540</v>
      </c>
      <c r="P1661" s="161">
        <v>1983.64</v>
      </c>
      <c r="Q1661" s="168">
        <v>45657</v>
      </c>
      <c r="R1661" s="153"/>
      <c r="S1661" s="153"/>
      <c r="T1661" s="153"/>
      <c r="U1661" s="153"/>
      <c r="V1661" s="153"/>
      <c r="W1661" s="153"/>
      <c r="X1661" s="153"/>
      <c r="Y1661" s="153"/>
      <c r="Z1661" s="153"/>
      <c r="AA1661" s="153"/>
    </row>
    <row r="1662" spans="1:27">
      <c r="A1662" s="163">
        <v>12</v>
      </c>
      <c r="B1662" s="160" t="s">
        <v>2538</v>
      </c>
      <c r="C1662" s="168">
        <v>45609</v>
      </c>
      <c r="D1662" s="160" t="s">
        <v>440</v>
      </c>
      <c r="E1662" s="149" t="s">
        <v>313</v>
      </c>
      <c r="F1662" s="165" t="s">
        <v>441</v>
      </c>
      <c r="G1662" s="165" t="s">
        <v>442</v>
      </c>
      <c r="H1662" s="149" t="str">
        <f t="shared" si="9"/>
        <v>LAURA YEGUAS RAMÍREZ</v>
      </c>
      <c r="I1662" s="149" t="s">
        <v>786</v>
      </c>
      <c r="J1662" s="149" t="s">
        <v>444</v>
      </c>
      <c r="K1662" s="149" t="s">
        <v>2624</v>
      </c>
      <c r="L1662" s="168">
        <v>45649</v>
      </c>
      <c r="M1662" s="164"/>
      <c r="N1662" s="163">
        <v>1</v>
      </c>
      <c r="O1662" s="165" t="s">
        <v>1540</v>
      </c>
      <c r="P1662" s="161">
        <v>2400</v>
      </c>
      <c r="Q1662" s="168">
        <v>45649</v>
      </c>
      <c r="R1662" s="153"/>
      <c r="S1662" s="153"/>
      <c r="T1662" s="153"/>
      <c r="U1662" s="153"/>
      <c r="V1662" s="153"/>
      <c r="W1662" s="153"/>
      <c r="X1662" s="153"/>
      <c r="Y1662" s="153"/>
      <c r="Z1662" s="153"/>
      <c r="AA1662" s="153"/>
    </row>
    <row r="1663" spans="1:27">
      <c r="A1663" s="163">
        <v>12</v>
      </c>
      <c r="B1663" s="160" t="s">
        <v>2538</v>
      </c>
      <c r="C1663" s="168">
        <v>45580</v>
      </c>
      <c r="D1663" s="160" t="s">
        <v>440</v>
      </c>
      <c r="E1663" s="149" t="s">
        <v>313</v>
      </c>
      <c r="F1663" s="165" t="s">
        <v>441</v>
      </c>
      <c r="G1663" s="165" t="s">
        <v>442</v>
      </c>
      <c r="H1663" s="149" t="str">
        <f t="shared" si="9"/>
        <v>GUILLERMO SAN JUAN DE LA MORETA</v>
      </c>
      <c r="I1663" s="149" t="s">
        <v>826</v>
      </c>
      <c r="J1663" s="149" t="s">
        <v>444</v>
      </c>
      <c r="K1663" s="149" t="s">
        <v>2625</v>
      </c>
      <c r="L1663" s="168">
        <v>45642</v>
      </c>
      <c r="M1663" s="164"/>
      <c r="N1663" s="163">
        <v>2</v>
      </c>
      <c r="O1663" s="165" t="s">
        <v>446</v>
      </c>
      <c r="P1663" s="161">
        <v>3164.55</v>
      </c>
      <c r="Q1663" s="168">
        <v>45642</v>
      </c>
      <c r="R1663" s="153"/>
      <c r="S1663" s="153"/>
      <c r="T1663" s="153"/>
      <c r="U1663" s="153"/>
      <c r="V1663" s="153"/>
      <c r="W1663" s="153"/>
      <c r="X1663" s="153"/>
      <c r="Y1663" s="153"/>
      <c r="Z1663" s="153"/>
      <c r="AA1663" s="153"/>
    </row>
    <row r="1664" spans="1:27">
      <c r="A1664" s="163">
        <v>12</v>
      </c>
      <c r="B1664" s="160" t="s">
        <v>2538</v>
      </c>
      <c r="C1664" s="168">
        <v>45611</v>
      </c>
      <c r="D1664" s="160" t="s">
        <v>440</v>
      </c>
      <c r="E1664" s="149" t="s">
        <v>313</v>
      </c>
      <c r="F1664" s="165" t="s">
        <v>441</v>
      </c>
      <c r="G1664" s="165" t="s">
        <v>442</v>
      </c>
      <c r="H1664" s="149" t="str">
        <f t="shared" si="9"/>
        <v>CARLOS BARAJAS DEL ROSAL</v>
      </c>
      <c r="I1664" s="149" t="s">
        <v>660</v>
      </c>
      <c r="J1664" s="149" t="s">
        <v>548</v>
      </c>
      <c r="K1664" s="149" t="s">
        <v>2626</v>
      </c>
      <c r="L1664" s="168">
        <v>45637</v>
      </c>
      <c r="M1664" s="164"/>
      <c r="N1664" s="163">
        <v>2</v>
      </c>
      <c r="O1664" s="165" t="s">
        <v>449</v>
      </c>
      <c r="P1664" s="161">
        <v>2579.09</v>
      </c>
      <c r="Q1664" s="168">
        <v>45637</v>
      </c>
      <c r="R1664" s="153"/>
      <c r="S1664" s="153"/>
      <c r="T1664" s="153"/>
      <c r="U1664" s="153"/>
      <c r="V1664" s="153"/>
      <c r="W1664" s="153"/>
      <c r="X1664" s="153"/>
      <c r="Y1664" s="153"/>
      <c r="Z1664" s="153"/>
      <c r="AA1664" s="153"/>
    </row>
    <row r="1665" spans="1:27">
      <c r="A1665" s="163">
        <v>12</v>
      </c>
      <c r="B1665" s="160" t="s">
        <v>2538</v>
      </c>
      <c r="C1665" s="168">
        <v>45607</v>
      </c>
      <c r="D1665" s="160" t="s">
        <v>440</v>
      </c>
      <c r="E1665" s="149" t="s">
        <v>313</v>
      </c>
      <c r="F1665" s="165" t="s">
        <v>441</v>
      </c>
      <c r="G1665" s="165" t="s">
        <v>442</v>
      </c>
      <c r="H1665" s="149" t="str">
        <f t="shared" si="9"/>
        <v>JULIO LÓPEZ MOYA</v>
      </c>
      <c r="I1665" s="149" t="s">
        <v>504</v>
      </c>
      <c r="J1665" s="149" t="s">
        <v>444</v>
      </c>
      <c r="K1665" s="149" t="s">
        <v>2627</v>
      </c>
      <c r="L1665" s="168">
        <v>45630</v>
      </c>
      <c r="M1665" s="164"/>
      <c r="N1665" s="163">
        <v>2</v>
      </c>
      <c r="O1665" s="165" t="s">
        <v>513</v>
      </c>
      <c r="P1665" s="161">
        <v>4400</v>
      </c>
      <c r="Q1665" s="168">
        <v>45630</v>
      </c>
      <c r="R1665" s="153"/>
      <c r="S1665" s="153"/>
      <c r="T1665" s="153"/>
      <c r="U1665" s="153"/>
      <c r="V1665" s="153"/>
      <c r="W1665" s="153"/>
      <c r="X1665" s="153"/>
      <c r="Y1665" s="153"/>
      <c r="Z1665" s="153"/>
      <c r="AA1665" s="153"/>
    </row>
    <row r="1666" spans="1:27">
      <c r="A1666" s="163">
        <v>12</v>
      </c>
      <c r="B1666" s="160" t="s">
        <v>2538</v>
      </c>
      <c r="C1666" s="168">
        <v>45604</v>
      </c>
      <c r="D1666" s="160" t="s">
        <v>440</v>
      </c>
      <c r="E1666" s="149" t="s">
        <v>313</v>
      </c>
      <c r="F1666" s="165" t="s">
        <v>441</v>
      </c>
      <c r="G1666" s="165" t="s">
        <v>442</v>
      </c>
      <c r="H1666" s="149" t="str">
        <f t="shared" si="9"/>
        <v>LAURA YEGUAS RAMÍREZ</v>
      </c>
      <c r="I1666" s="149" t="s">
        <v>786</v>
      </c>
      <c r="J1666" s="149" t="s">
        <v>444</v>
      </c>
      <c r="K1666" s="149" t="s">
        <v>2628</v>
      </c>
      <c r="L1666" s="168">
        <v>45630</v>
      </c>
      <c r="M1666" s="164"/>
      <c r="N1666" s="163">
        <v>2</v>
      </c>
      <c r="O1666" s="165" t="s">
        <v>1540</v>
      </c>
      <c r="P1666" s="161">
        <v>4000</v>
      </c>
      <c r="Q1666" s="168">
        <v>45630</v>
      </c>
      <c r="R1666" s="153"/>
      <c r="S1666" s="153"/>
      <c r="T1666" s="153"/>
      <c r="U1666" s="153"/>
      <c r="V1666" s="153"/>
      <c r="W1666" s="153"/>
      <c r="X1666" s="153"/>
      <c r="Y1666" s="153"/>
      <c r="Z1666" s="153"/>
      <c r="AA1666" s="153"/>
    </row>
    <row r="1667" spans="1:27">
      <c r="A1667" s="163">
        <v>12</v>
      </c>
      <c r="B1667" s="160" t="s">
        <v>2538</v>
      </c>
      <c r="C1667" s="168">
        <v>45443</v>
      </c>
      <c r="D1667" s="160" t="s">
        <v>440</v>
      </c>
      <c r="E1667" s="149" t="s">
        <v>309</v>
      </c>
      <c r="F1667" s="165" t="s">
        <v>441</v>
      </c>
      <c r="G1667" s="165" t="s">
        <v>442</v>
      </c>
      <c r="H1667" s="149" t="str">
        <f t="shared" si="9"/>
        <v>JAIME SANABRIA BRASSART</v>
      </c>
      <c r="I1667" s="149" t="s">
        <v>479</v>
      </c>
      <c r="J1667" s="149" t="s">
        <v>548</v>
      </c>
      <c r="K1667" s="149" t="s">
        <v>1838</v>
      </c>
      <c r="L1667" s="168">
        <v>45646</v>
      </c>
      <c r="M1667" s="164"/>
      <c r="N1667" s="163">
        <v>1</v>
      </c>
      <c r="O1667" s="165" t="s">
        <v>1540</v>
      </c>
      <c r="P1667" s="161">
        <v>1796.15</v>
      </c>
      <c r="Q1667" s="168">
        <v>45646</v>
      </c>
      <c r="R1667" s="153"/>
      <c r="S1667" s="153"/>
      <c r="T1667" s="153"/>
      <c r="U1667" s="153"/>
      <c r="V1667" s="153"/>
      <c r="W1667" s="153"/>
      <c r="X1667" s="153"/>
      <c r="Y1667" s="153"/>
      <c r="Z1667" s="153"/>
      <c r="AA1667" s="153"/>
    </row>
    <row r="1668" spans="1:27">
      <c r="A1668" s="163">
        <v>12</v>
      </c>
      <c r="B1668" s="160" t="s">
        <v>2538</v>
      </c>
      <c r="C1668" s="168">
        <v>45608</v>
      </c>
      <c r="D1668" s="160" t="s">
        <v>440</v>
      </c>
      <c r="E1668" s="149" t="s">
        <v>314</v>
      </c>
      <c r="F1668" s="165" t="s">
        <v>441</v>
      </c>
      <c r="G1668" s="165" t="s">
        <v>442</v>
      </c>
      <c r="H1668" s="149" t="str">
        <f t="shared" si="9"/>
        <v>CRISTINA VADUVA</v>
      </c>
      <c r="I1668" s="149" t="s">
        <v>499</v>
      </c>
      <c r="J1668" s="149" t="s">
        <v>444</v>
      </c>
      <c r="K1668" s="149" t="s">
        <v>2629</v>
      </c>
      <c r="L1668" s="168">
        <v>45644</v>
      </c>
      <c r="M1668" s="164"/>
      <c r="N1668" s="163">
        <v>2</v>
      </c>
      <c r="O1668" s="165" t="s">
        <v>1540</v>
      </c>
      <c r="P1668" s="161">
        <v>4000</v>
      </c>
      <c r="Q1668" s="168">
        <v>45644</v>
      </c>
      <c r="R1668" s="153"/>
      <c r="S1668" s="153"/>
      <c r="T1668" s="153"/>
      <c r="U1668" s="153"/>
      <c r="V1668" s="153"/>
      <c r="W1668" s="153"/>
      <c r="X1668" s="153"/>
      <c r="Y1668" s="153"/>
      <c r="Z1668" s="153"/>
      <c r="AA1668" s="153"/>
    </row>
    <row r="1669" spans="1:27">
      <c r="A1669" s="163">
        <v>12</v>
      </c>
      <c r="B1669" s="160" t="s">
        <v>2538</v>
      </c>
      <c r="C1669" s="168">
        <v>45475</v>
      </c>
      <c r="D1669" s="160" t="s">
        <v>2566</v>
      </c>
      <c r="E1669" s="149" t="s">
        <v>314</v>
      </c>
      <c r="F1669" s="165" t="s">
        <v>441</v>
      </c>
      <c r="G1669" s="165" t="s">
        <v>442</v>
      </c>
      <c r="H1669" s="149" t="str">
        <f t="shared" si="9"/>
        <v>ALEJANDRO HARGUINDEY ANTOLI-CANDELA</v>
      </c>
      <c r="I1669" s="149" t="s">
        <v>2445</v>
      </c>
      <c r="J1669" s="149" t="s">
        <v>444</v>
      </c>
      <c r="K1669" s="149" t="s">
        <v>1871</v>
      </c>
      <c r="L1669" s="168">
        <v>45630</v>
      </c>
      <c r="M1669" s="164"/>
      <c r="N1669" s="163">
        <v>1</v>
      </c>
      <c r="O1669" s="165" t="s">
        <v>513</v>
      </c>
      <c r="P1669" s="161">
        <v>2112</v>
      </c>
      <c r="Q1669" s="168">
        <v>45630</v>
      </c>
      <c r="R1669" s="153"/>
      <c r="S1669" s="153"/>
      <c r="T1669" s="153"/>
      <c r="U1669" s="153"/>
      <c r="V1669" s="153"/>
      <c r="W1669" s="153"/>
      <c r="X1669" s="153"/>
      <c r="Y1669" s="153"/>
      <c r="Z1669" s="153"/>
      <c r="AA1669" s="153"/>
    </row>
    <row r="1670" spans="1:27">
      <c r="A1670" s="163">
        <v>12</v>
      </c>
      <c r="B1670" s="160" t="s">
        <v>2538</v>
      </c>
      <c r="C1670" s="168">
        <v>45398</v>
      </c>
      <c r="D1670" s="160" t="s">
        <v>440</v>
      </c>
      <c r="E1670" s="149" t="s">
        <v>98</v>
      </c>
      <c r="F1670" s="165" t="s">
        <v>441</v>
      </c>
      <c r="G1670" s="165" t="s">
        <v>442</v>
      </c>
      <c r="H1670" s="149" t="str">
        <f t="shared" si="9"/>
        <v>Mª AGUSTINA SEVILLA GARCÍA</v>
      </c>
      <c r="I1670" s="149" t="s">
        <v>2630</v>
      </c>
      <c r="J1670" s="153" t="s">
        <v>462</v>
      </c>
      <c r="K1670" s="149" t="s">
        <v>2631</v>
      </c>
      <c r="L1670" s="168">
        <v>45657</v>
      </c>
      <c r="M1670" s="164"/>
      <c r="N1670" s="163">
        <v>2</v>
      </c>
      <c r="O1670" s="165" t="s">
        <v>1540</v>
      </c>
      <c r="P1670" s="161">
        <v>4000</v>
      </c>
      <c r="Q1670" s="168">
        <v>45657</v>
      </c>
      <c r="R1670" s="153"/>
      <c r="S1670" s="153"/>
      <c r="T1670" s="153"/>
      <c r="U1670" s="153"/>
      <c r="V1670" s="153"/>
      <c r="W1670" s="153"/>
      <c r="X1670" s="153"/>
      <c r="Y1670" s="153"/>
      <c r="Z1670" s="153"/>
      <c r="AA1670" s="153"/>
    </row>
    <row r="1671" spans="1:27">
      <c r="A1671" s="163">
        <v>12</v>
      </c>
      <c r="B1671" s="160" t="s">
        <v>2538</v>
      </c>
      <c r="C1671" s="168">
        <v>45621</v>
      </c>
      <c r="D1671" s="160" t="s">
        <v>440</v>
      </c>
      <c r="E1671" s="149" t="s">
        <v>98</v>
      </c>
      <c r="F1671" s="165" t="s">
        <v>441</v>
      </c>
      <c r="G1671" s="165" t="s">
        <v>442</v>
      </c>
      <c r="H1671" s="149" t="str">
        <f t="shared" si="9"/>
        <v>BEATRIZ RODRÍGUEZ GONZÁLEZ HERRERO</v>
      </c>
      <c r="I1671" s="149" t="s">
        <v>1398</v>
      </c>
      <c r="J1671" s="149" t="s">
        <v>462</v>
      </c>
      <c r="K1671" s="149" t="s">
        <v>2632</v>
      </c>
      <c r="L1671" s="168">
        <v>45653</v>
      </c>
      <c r="M1671" s="164"/>
      <c r="N1671" s="163">
        <v>2</v>
      </c>
      <c r="O1671" s="165" t="s">
        <v>449</v>
      </c>
      <c r="P1671" s="161">
        <v>2888.18</v>
      </c>
      <c r="Q1671" s="168">
        <v>45653</v>
      </c>
      <c r="R1671" s="153"/>
      <c r="S1671" s="153"/>
      <c r="T1671" s="153"/>
      <c r="U1671" s="153"/>
      <c r="V1671" s="153"/>
      <c r="W1671" s="153"/>
      <c r="X1671" s="153"/>
      <c r="Y1671" s="153"/>
      <c r="Z1671" s="153"/>
      <c r="AA1671" s="153"/>
    </row>
    <row r="1672" spans="1:27">
      <c r="A1672" s="163">
        <v>12</v>
      </c>
      <c r="B1672" s="160" t="s">
        <v>2538</v>
      </c>
      <c r="C1672" s="168">
        <v>45617</v>
      </c>
      <c r="D1672" s="160" t="s">
        <v>440</v>
      </c>
      <c r="E1672" s="149" t="s">
        <v>98</v>
      </c>
      <c r="F1672" s="165" t="s">
        <v>441</v>
      </c>
      <c r="G1672" s="165" t="s">
        <v>442</v>
      </c>
      <c r="H1672" s="149" t="str">
        <f t="shared" si="9"/>
        <v>MARÍA AGUSTINA SEVILLA GARCÍA</v>
      </c>
      <c r="I1672" s="149" t="s">
        <v>538</v>
      </c>
      <c r="J1672" s="149" t="s">
        <v>462</v>
      </c>
      <c r="K1672" s="149" t="s">
        <v>2633</v>
      </c>
      <c r="L1672" s="168">
        <v>45652</v>
      </c>
      <c r="M1672" s="164"/>
      <c r="N1672" s="163">
        <v>2</v>
      </c>
      <c r="O1672" s="165" t="s">
        <v>1540</v>
      </c>
      <c r="P1672" s="161">
        <v>4000</v>
      </c>
      <c r="Q1672" s="168">
        <v>45652</v>
      </c>
      <c r="R1672" s="153"/>
      <c r="S1672" s="153"/>
      <c r="T1672" s="153"/>
      <c r="U1672" s="153"/>
      <c r="V1672" s="153"/>
      <c r="W1672" s="153"/>
      <c r="X1672" s="153"/>
      <c r="Y1672" s="153"/>
      <c r="Z1672" s="153"/>
      <c r="AA1672" s="153"/>
    </row>
    <row r="1673" spans="1:27">
      <c r="A1673" s="163">
        <v>12</v>
      </c>
      <c r="B1673" s="160" t="s">
        <v>2538</v>
      </c>
      <c r="C1673" s="168">
        <v>45576</v>
      </c>
      <c r="D1673" s="160" t="s">
        <v>440</v>
      </c>
      <c r="E1673" s="149" t="s">
        <v>98</v>
      </c>
      <c r="F1673" s="165" t="s">
        <v>441</v>
      </c>
      <c r="G1673" s="165" t="s">
        <v>442</v>
      </c>
      <c r="H1673" s="149" t="str">
        <f t="shared" si="9"/>
        <v>MARÍA AGUSTINA SEVILLA GARCÍA</v>
      </c>
      <c r="I1673" s="149" t="s">
        <v>538</v>
      </c>
      <c r="J1673" s="149" t="s">
        <v>462</v>
      </c>
      <c r="K1673" s="149" t="s">
        <v>2634</v>
      </c>
      <c r="L1673" s="168">
        <v>45649</v>
      </c>
      <c r="M1673" s="164"/>
      <c r="N1673" s="163">
        <v>2</v>
      </c>
      <c r="O1673" s="165" t="s">
        <v>446</v>
      </c>
      <c r="P1673" s="161">
        <v>3710</v>
      </c>
      <c r="Q1673" s="168">
        <v>45649</v>
      </c>
      <c r="R1673" s="153"/>
      <c r="S1673" s="153"/>
      <c r="T1673" s="153"/>
      <c r="U1673" s="153"/>
      <c r="V1673" s="153"/>
      <c r="W1673" s="153"/>
      <c r="X1673" s="153"/>
      <c r="Y1673" s="153"/>
      <c r="Z1673" s="153"/>
      <c r="AA1673" s="153"/>
    </row>
    <row r="1674" spans="1:27">
      <c r="A1674" s="163">
        <v>12</v>
      </c>
      <c r="B1674" s="160" t="s">
        <v>2538</v>
      </c>
      <c r="C1674" s="168">
        <v>43778</v>
      </c>
      <c r="D1674" s="160" t="s">
        <v>440</v>
      </c>
      <c r="E1674" s="149" t="s">
        <v>98</v>
      </c>
      <c r="F1674" s="165" t="s">
        <v>441</v>
      </c>
      <c r="G1674" s="165" t="s">
        <v>442</v>
      </c>
      <c r="H1674" s="149" t="str">
        <f t="shared" si="9"/>
        <v>IGNACIO ALBALADEJO DEVIS</v>
      </c>
      <c r="I1674" s="149" t="s">
        <v>481</v>
      </c>
      <c r="J1674" s="153" t="s">
        <v>462</v>
      </c>
      <c r="K1674" s="149" t="s">
        <v>2635</v>
      </c>
      <c r="L1674" s="168">
        <v>45646</v>
      </c>
      <c r="M1674" s="164"/>
      <c r="N1674" s="163">
        <v>1</v>
      </c>
      <c r="O1674" s="165" t="s">
        <v>1540</v>
      </c>
      <c r="P1674" s="161">
        <v>2400</v>
      </c>
      <c r="Q1674" s="168">
        <v>45646</v>
      </c>
      <c r="R1674" s="153"/>
      <c r="S1674" s="153"/>
      <c r="T1674" s="153"/>
      <c r="U1674" s="153"/>
      <c r="V1674" s="153"/>
      <c r="W1674" s="153"/>
      <c r="X1674" s="153"/>
      <c r="Y1674" s="153"/>
      <c r="Z1674" s="153"/>
      <c r="AA1674" s="153"/>
    </row>
    <row r="1675" spans="1:27">
      <c r="A1675" s="163">
        <v>12</v>
      </c>
      <c r="B1675" s="160" t="s">
        <v>2538</v>
      </c>
      <c r="C1675" s="168">
        <v>45608</v>
      </c>
      <c r="D1675" s="160" t="s">
        <v>440</v>
      </c>
      <c r="E1675" s="149" t="s">
        <v>98</v>
      </c>
      <c r="F1675" s="165" t="s">
        <v>441</v>
      </c>
      <c r="G1675" s="165" t="s">
        <v>442</v>
      </c>
      <c r="H1675" s="149" t="str">
        <f t="shared" si="9"/>
        <v>AIDA AVIÑOA ARIAS</v>
      </c>
      <c r="I1675" s="149" t="s">
        <v>1024</v>
      </c>
      <c r="J1675" s="149" t="s">
        <v>462</v>
      </c>
      <c r="K1675" s="149" t="s">
        <v>2636</v>
      </c>
      <c r="L1675" s="168">
        <v>45643</v>
      </c>
      <c r="M1675" s="164"/>
      <c r="N1675" s="163">
        <v>1</v>
      </c>
      <c r="O1675" s="165" t="s">
        <v>1540</v>
      </c>
      <c r="P1675" s="161">
        <v>2400</v>
      </c>
      <c r="Q1675" s="168">
        <v>45643</v>
      </c>
      <c r="R1675" s="153"/>
      <c r="S1675" s="153"/>
      <c r="T1675" s="153"/>
      <c r="U1675" s="153"/>
      <c r="V1675" s="153"/>
      <c r="W1675" s="153"/>
      <c r="X1675" s="153"/>
      <c r="Y1675" s="153"/>
      <c r="Z1675" s="153"/>
      <c r="AA1675" s="153"/>
    </row>
    <row r="1676" spans="1:27">
      <c r="A1676" s="163">
        <v>12</v>
      </c>
      <c r="B1676" s="160" t="s">
        <v>2538</v>
      </c>
      <c r="C1676" s="168">
        <v>45611</v>
      </c>
      <c r="D1676" s="160" t="s">
        <v>440</v>
      </c>
      <c r="E1676" s="149" t="s">
        <v>98</v>
      </c>
      <c r="F1676" s="165" t="s">
        <v>441</v>
      </c>
      <c r="G1676" s="165" t="s">
        <v>442</v>
      </c>
      <c r="H1676" s="149" t="str">
        <f t="shared" si="9"/>
        <v>JESÚS MIGUEL INIESTA TURPÍN</v>
      </c>
      <c r="I1676" s="149" t="s">
        <v>594</v>
      </c>
      <c r="J1676" s="149" t="s">
        <v>462</v>
      </c>
      <c r="K1676" s="149" t="s">
        <v>2637</v>
      </c>
      <c r="L1676" s="168">
        <v>45639</v>
      </c>
      <c r="M1676" s="164"/>
      <c r="N1676" s="163">
        <v>2</v>
      </c>
      <c r="O1676" s="165" t="s">
        <v>449</v>
      </c>
      <c r="P1676" s="161">
        <v>2888.19</v>
      </c>
      <c r="Q1676" s="168">
        <v>45639</v>
      </c>
      <c r="R1676" s="153"/>
      <c r="S1676" s="153"/>
      <c r="T1676" s="153"/>
      <c r="U1676" s="153"/>
      <c r="V1676" s="153"/>
      <c r="W1676" s="153"/>
      <c r="X1676" s="153"/>
      <c r="Y1676" s="153"/>
      <c r="Z1676" s="153"/>
      <c r="AA1676" s="153"/>
    </row>
    <row r="1677" spans="1:27">
      <c r="A1677" s="163">
        <v>12</v>
      </c>
      <c r="B1677" s="160" t="s">
        <v>2538</v>
      </c>
      <c r="C1677" s="168">
        <v>45601</v>
      </c>
      <c r="D1677" s="160" t="s">
        <v>440</v>
      </c>
      <c r="E1677" s="149" t="s">
        <v>98</v>
      </c>
      <c r="F1677" s="165" t="s">
        <v>441</v>
      </c>
      <c r="G1677" s="165" t="s">
        <v>442</v>
      </c>
      <c r="H1677" s="149" t="str">
        <f t="shared" si="9"/>
        <v>AIDA AVIÑOA ARIAS</v>
      </c>
      <c r="I1677" s="149" t="s">
        <v>1024</v>
      </c>
      <c r="J1677" s="149" t="s">
        <v>462</v>
      </c>
      <c r="K1677" s="149" t="s">
        <v>2638</v>
      </c>
      <c r="L1677" s="168">
        <v>45628</v>
      </c>
      <c r="M1677" s="164"/>
      <c r="N1677" s="163">
        <v>1</v>
      </c>
      <c r="O1677" s="165" t="s">
        <v>1540</v>
      </c>
      <c r="P1677" s="161">
        <v>2400</v>
      </c>
      <c r="Q1677" s="168">
        <v>45628</v>
      </c>
      <c r="R1677" s="153"/>
      <c r="S1677" s="153"/>
      <c r="T1677" s="153"/>
      <c r="U1677" s="153"/>
      <c r="V1677" s="153"/>
      <c r="W1677" s="153"/>
      <c r="X1677" s="153"/>
      <c r="Y1677" s="153"/>
      <c r="Z1677" s="153"/>
      <c r="AA1677" s="153"/>
    </row>
    <row r="1678" spans="1:27">
      <c r="A1678" s="163">
        <v>12</v>
      </c>
      <c r="B1678" s="160" t="s">
        <v>2538</v>
      </c>
      <c r="C1678" s="168">
        <v>45604</v>
      </c>
      <c r="D1678" s="160" t="s">
        <v>440</v>
      </c>
      <c r="E1678" s="149" t="s">
        <v>102</v>
      </c>
      <c r="F1678" s="165" t="s">
        <v>441</v>
      </c>
      <c r="G1678" s="165" t="s">
        <v>442</v>
      </c>
      <c r="H1678" s="149" t="str">
        <f t="shared" si="9"/>
        <v>NO REUERDA ORL</v>
      </c>
      <c r="I1678" s="149" t="s">
        <v>469</v>
      </c>
      <c r="J1678" s="153" t="s">
        <v>462</v>
      </c>
      <c r="K1678" s="149" t="s">
        <v>2639</v>
      </c>
      <c r="L1678" s="168">
        <v>45646</v>
      </c>
      <c r="M1678" s="164"/>
      <c r="N1678" s="163">
        <v>2</v>
      </c>
      <c r="O1678" s="165" t="s">
        <v>1540</v>
      </c>
      <c r="P1678" s="161">
        <v>4000</v>
      </c>
      <c r="Q1678" s="168">
        <v>45646</v>
      </c>
      <c r="R1678" s="153"/>
      <c r="S1678" s="153"/>
      <c r="T1678" s="153"/>
      <c r="U1678" s="153"/>
      <c r="V1678" s="153"/>
      <c r="W1678" s="153"/>
      <c r="X1678" s="153"/>
      <c r="Y1678" s="153"/>
      <c r="Z1678" s="153"/>
      <c r="AA1678" s="153"/>
    </row>
    <row r="1679" spans="1:27">
      <c r="A1679" s="163">
        <v>12</v>
      </c>
      <c r="B1679" s="160" t="s">
        <v>2538</v>
      </c>
      <c r="C1679" s="168">
        <v>45614</v>
      </c>
      <c r="D1679" s="160" t="s">
        <v>440</v>
      </c>
      <c r="E1679" s="149" t="s">
        <v>102</v>
      </c>
      <c r="F1679" s="165" t="s">
        <v>441</v>
      </c>
      <c r="G1679" s="165" t="s">
        <v>442</v>
      </c>
      <c r="H1679" s="149" t="str">
        <f t="shared" si="9"/>
        <v>JUAN JAVIER ÁLVAREZ LÓPEZ</v>
      </c>
      <c r="I1679" s="149" t="s">
        <v>664</v>
      </c>
      <c r="J1679" s="149" t="s">
        <v>462</v>
      </c>
      <c r="K1679" s="149" t="s">
        <v>2640</v>
      </c>
      <c r="L1679" s="168">
        <v>45638</v>
      </c>
      <c r="M1679" s="164"/>
      <c r="N1679" s="163">
        <v>2</v>
      </c>
      <c r="O1679" s="165" t="s">
        <v>1540</v>
      </c>
      <c r="P1679" s="161">
        <v>4000</v>
      </c>
      <c r="Q1679" s="168">
        <v>45638</v>
      </c>
      <c r="R1679" s="153"/>
      <c r="S1679" s="153"/>
      <c r="T1679" s="153"/>
      <c r="U1679" s="153"/>
      <c r="V1679" s="153"/>
      <c r="W1679" s="153"/>
      <c r="X1679" s="153"/>
      <c r="Y1679" s="153"/>
      <c r="Z1679" s="153"/>
      <c r="AA1679" s="153"/>
    </row>
    <row r="1680" spans="1:27">
      <c r="A1680" s="163">
        <v>12</v>
      </c>
      <c r="B1680" s="160" t="s">
        <v>2538</v>
      </c>
      <c r="C1680" s="168">
        <v>45637</v>
      </c>
      <c r="D1680" s="160" t="s">
        <v>440</v>
      </c>
      <c r="E1680" s="149" t="s">
        <v>129</v>
      </c>
      <c r="F1680" s="165" t="s">
        <v>441</v>
      </c>
      <c r="G1680" s="165" t="s">
        <v>442</v>
      </c>
      <c r="H1680" s="149" t="str">
        <f t="shared" si="9"/>
        <v>JOSE ANTONIO TORRE EIRIZ</v>
      </c>
      <c r="I1680" s="149" t="s">
        <v>1793</v>
      </c>
      <c r="J1680" s="149" t="s">
        <v>516</v>
      </c>
      <c r="K1680" s="149" t="s">
        <v>2641</v>
      </c>
      <c r="L1680" s="168">
        <v>45649</v>
      </c>
      <c r="M1680" s="164"/>
      <c r="N1680" s="163">
        <v>1</v>
      </c>
      <c r="O1680" s="165" t="s">
        <v>449</v>
      </c>
      <c r="P1680" s="161">
        <v>1645.45</v>
      </c>
      <c r="Q1680" s="168">
        <v>45649</v>
      </c>
      <c r="R1680" s="153"/>
      <c r="S1680" s="153"/>
      <c r="T1680" s="153"/>
      <c r="U1680" s="153"/>
      <c r="V1680" s="153"/>
      <c r="W1680" s="153"/>
      <c r="X1680" s="153"/>
      <c r="Y1680" s="153"/>
      <c r="Z1680" s="153"/>
      <c r="AA1680" s="153"/>
    </row>
    <row r="1681" spans="1:27">
      <c r="A1681" s="163">
        <v>12</v>
      </c>
      <c r="B1681" s="160" t="s">
        <v>2538</v>
      </c>
      <c r="C1681" s="168">
        <v>45621</v>
      </c>
      <c r="D1681" s="160" t="s">
        <v>440</v>
      </c>
      <c r="E1681" s="149" t="s">
        <v>129</v>
      </c>
      <c r="F1681" s="165" t="s">
        <v>441</v>
      </c>
      <c r="G1681" s="165" t="s">
        <v>442</v>
      </c>
      <c r="H1681" s="149" t="str">
        <f t="shared" si="9"/>
        <v>GONZALO DORADO GUTIÉRREZ</v>
      </c>
      <c r="I1681" s="149" t="s">
        <v>2642</v>
      </c>
      <c r="J1681" s="149" t="s">
        <v>516</v>
      </c>
      <c r="K1681" s="149" t="s">
        <v>2643</v>
      </c>
      <c r="L1681" s="168">
        <v>45646</v>
      </c>
      <c r="M1681" s="164"/>
      <c r="N1681" s="163">
        <v>2</v>
      </c>
      <c r="O1681" s="165" t="s">
        <v>449</v>
      </c>
      <c r="P1681" s="161">
        <v>2743.77</v>
      </c>
      <c r="Q1681" s="168">
        <v>45646</v>
      </c>
      <c r="R1681" s="153"/>
      <c r="S1681" s="153"/>
      <c r="T1681" s="153"/>
      <c r="U1681" s="153"/>
      <c r="V1681" s="153"/>
      <c r="W1681" s="153"/>
      <c r="X1681" s="153"/>
      <c r="Y1681" s="153"/>
      <c r="Z1681" s="153"/>
      <c r="AA1681" s="153"/>
    </row>
    <row r="1682" spans="1:27">
      <c r="A1682" s="163">
        <v>12</v>
      </c>
      <c r="B1682" s="160" t="s">
        <v>2538</v>
      </c>
      <c r="C1682" s="168">
        <v>45608</v>
      </c>
      <c r="D1682" s="160" t="s">
        <v>440</v>
      </c>
      <c r="E1682" s="149" t="s">
        <v>129</v>
      </c>
      <c r="F1682" s="165" t="s">
        <v>441</v>
      </c>
      <c r="G1682" s="165" t="s">
        <v>442</v>
      </c>
      <c r="H1682" s="149" t="str">
        <f t="shared" si="9"/>
        <v>JOSE ANTONIO TORRE EIRIZ</v>
      </c>
      <c r="I1682" s="149" t="s">
        <v>1793</v>
      </c>
      <c r="J1682" s="149" t="s">
        <v>516</v>
      </c>
      <c r="K1682" s="149" t="s">
        <v>2644</v>
      </c>
      <c r="L1682" s="168">
        <v>45646</v>
      </c>
      <c r="M1682" s="164"/>
      <c r="N1682" s="163">
        <v>1</v>
      </c>
      <c r="O1682" s="165" t="s">
        <v>1540</v>
      </c>
      <c r="P1682" s="161">
        <v>2400</v>
      </c>
      <c r="Q1682" s="168">
        <v>45646</v>
      </c>
      <c r="R1682" s="153"/>
      <c r="S1682" s="153"/>
      <c r="T1682" s="153"/>
      <c r="U1682" s="153"/>
      <c r="V1682" s="153"/>
      <c r="W1682" s="153"/>
      <c r="X1682" s="153"/>
      <c r="Y1682" s="153"/>
      <c r="Z1682" s="153"/>
      <c r="AA1682" s="153"/>
    </row>
    <row r="1683" spans="1:27">
      <c r="A1683" s="163">
        <v>12</v>
      </c>
      <c r="B1683" s="160" t="s">
        <v>2538</v>
      </c>
      <c r="C1683" s="168">
        <v>45607</v>
      </c>
      <c r="D1683" s="160" t="s">
        <v>440</v>
      </c>
      <c r="E1683" s="149" t="s">
        <v>471</v>
      </c>
      <c r="F1683" s="165" t="s">
        <v>441</v>
      </c>
      <c r="G1683" s="165" t="s">
        <v>442</v>
      </c>
      <c r="H1683" s="149" t="str">
        <f t="shared" si="9"/>
        <v>CANDELAS ÁLVAREZ NUÑO</v>
      </c>
      <c r="I1683" s="149" t="s">
        <v>2645</v>
      </c>
      <c r="J1683" s="153" t="s">
        <v>473</v>
      </c>
      <c r="K1683" s="149" t="s">
        <v>2646</v>
      </c>
      <c r="L1683" s="168">
        <v>45628</v>
      </c>
      <c r="M1683" s="164"/>
      <c r="N1683" s="163">
        <v>1</v>
      </c>
      <c r="O1683" s="165" t="s">
        <v>1540</v>
      </c>
      <c r="P1683" s="161">
        <v>2400</v>
      </c>
      <c r="Q1683" s="168">
        <v>45628</v>
      </c>
      <c r="R1683" s="153"/>
      <c r="S1683" s="153"/>
      <c r="T1683" s="153"/>
      <c r="U1683" s="153"/>
      <c r="V1683" s="153"/>
      <c r="W1683" s="153"/>
      <c r="X1683" s="153"/>
      <c r="Y1683" s="153"/>
      <c r="Z1683" s="153"/>
      <c r="AA1683" s="153"/>
    </row>
    <row r="1684" spans="1:27">
      <c r="A1684" s="163">
        <v>12</v>
      </c>
      <c r="B1684" s="160" t="s">
        <v>2538</v>
      </c>
      <c r="C1684" s="168">
        <v>45603</v>
      </c>
      <c r="D1684" s="160" t="s">
        <v>440</v>
      </c>
      <c r="E1684" s="149" t="s">
        <v>190</v>
      </c>
      <c r="F1684" s="165" t="s">
        <v>441</v>
      </c>
      <c r="G1684" s="165" t="s">
        <v>442</v>
      </c>
      <c r="H1684" s="149" t="str">
        <f t="shared" si="9"/>
        <v>ANDRÉS BARRIOS RECIO</v>
      </c>
      <c r="I1684" s="149" t="s">
        <v>807</v>
      </c>
      <c r="J1684" s="149" t="s">
        <v>462</v>
      </c>
      <c r="K1684" s="149" t="s">
        <v>2647</v>
      </c>
      <c r="L1684" s="168">
        <v>45657</v>
      </c>
      <c r="M1684" s="164"/>
      <c r="N1684" s="163">
        <v>1</v>
      </c>
      <c r="O1684" s="165" t="s">
        <v>513</v>
      </c>
      <c r="P1684" s="161">
        <v>2640</v>
      </c>
      <c r="Q1684" s="168">
        <v>45657</v>
      </c>
      <c r="R1684" s="153"/>
      <c r="S1684" s="153"/>
      <c r="T1684" s="153"/>
      <c r="U1684" s="153"/>
      <c r="V1684" s="153"/>
      <c r="W1684" s="153"/>
      <c r="X1684" s="153"/>
      <c r="Y1684" s="153"/>
      <c r="Z1684" s="153"/>
      <c r="AA1684" s="153"/>
    </row>
    <row r="1685" spans="1:27">
      <c r="A1685" s="163">
        <v>12</v>
      </c>
      <c r="B1685" s="160" t="s">
        <v>2538</v>
      </c>
      <c r="C1685" s="168">
        <v>45603</v>
      </c>
      <c r="D1685" s="160" t="s">
        <v>440</v>
      </c>
      <c r="E1685" s="149" t="s">
        <v>190</v>
      </c>
      <c r="F1685" s="165" t="s">
        <v>441</v>
      </c>
      <c r="G1685" s="165" t="s">
        <v>442</v>
      </c>
      <c r="H1685" s="149" t="str">
        <f t="shared" si="9"/>
        <v>FRANCISCO GARCÍA PURRIÑOS</v>
      </c>
      <c r="I1685" s="149" t="s">
        <v>610</v>
      </c>
      <c r="J1685" s="149" t="s">
        <v>462</v>
      </c>
      <c r="K1685" s="149" t="s">
        <v>2648</v>
      </c>
      <c r="L1685" s="168">
        <v>45645</v>
      </c>
      <c r="M1685" s="164"/>
      <c r="N1685" s="163">
        <v>2</v>
      </c>
      <c r="O1685" s="165" t="s">
        <v>446</v>
      </c>
      <c r="P1685" s="161">
        <v>3710</v>
      </c>
      <c r="Q1685" s="168">
        <v>45645</v>
      </c>
      <c r="R1685" s="153"/>
      <c r="S1685" s="153"/>
      <c r="T1685" s="153"/>
      <c r="U1685" s="153"/>
      <c r="V1685" s="153"/>
      <c r="W1685" s="153"/>
      <c r="X1685" s="153"/>
      <c r="Y1685" s="153"/>
      <c r="Z1685" s="153"/>
      <c r="AA1685" s="153"/>
    </row>
    <row r="1686" spans="1:27">
      <c r="A1686" s="163">
        <v>12</v>
      </c>
      <c r="B1686" s="160" t="s">
        <v>2538</v>
      </c>
      <c r="C1686" s="168">
        <v>45600</v>
      </c>
      <c r="D1686" s="160" t="s">
        <v>440</v>
      </c>
      <c r="E1686" s="149" t="s">
        <v>951</v>
      </c>
      <c r="F1686" s="165" t="s">
        <v>441</v>
      </c>
      <c r="G1686" s="165" t="s">
        <v>442</v>
      </c>
      <c r="H1686" s="149" t="str">
        <f t="shared" si="9"/>
        <v>FRANCISCO JAVIER LAGE FERNÁNDEZ</v>
      </c>
      <c r="I1686" s="149" t="s">
        <v>2649</v>
      </c>
      <c r="J1686" s="153" t="s">
        <v>516</v>
      </c>
      <c r="K1686" s="149" t="s">
        <v>2650</v>
      </c>
      <c r="L1686" s="168">
        <v>45643</v>
      </c>
      <c r="M1686" s="164"/>
      <c r="N1686" s="163">
        <v>2</v>
      </c>
      <c r="O1686" s="165" t="s">
        <v>449</v>
      </c>
      <c r="P1686" s="161">
        <v>2888.18</v>
      </c>
      <c r="Q1686" s="168">
        <v>45643</v>
      </c>
      <c r="R1686" s="153"/>
      <c r="S1686" s="153"/>
      <c r="T1686" s="153"/>
      <c r="U1686" s="153"/>
      <c r="V1686" s="153"/>
      <c r="W1686" s="153"/>
      <c r="X1686" s="153"/>
      <c r="Y1686" s="153"/>
      <c r="Z1686" s="153"/>
      <c r="AA1686" s="153"/>
    </row>
    <row r="1687" spans="1:27">
      <c r="A1687" s="163">
        <v>12</v>
      </c>
      <c r="B1687" s="160" t="s">
        <v>2538</v>
      </c>
      <c r="C1687" s="168">
        <v>45630</v>
      </c>
      <c r="D1687" s="160" t="s">
        <v>440</v>
      </c>
      <c r="E1687" s="149" t="s">
        <v>239</v>
      </c>
      <c r="F1687" s="165" t="s">
        <v>441</v>
      </c>
      <c r="G1687" s="165" t="s">
        <v>442</v>
      </c>
      <c r="H1687" s="149" t="str">
        <f t="shared" si="9"/>
        <v>ULISES BIDÓN GÓMEZ</v>
      </c>
      <c r="I1687" s="149" t="s">
        <v>2651</v>
      </c>
      <c r="J1687" s="149" t="s">
        <v>455</v>
      </c>
      <c r="K1687" s="149" t="s">
        <v>2652</v>
      </c>
      <c r="L1687" s="168">
        <v>45656</v>
      </c>
      <c r="M1687" s="164"/>
      <c r="N1687" s="163">
        <v>2</v>
      </c>
      <c r="O1687" s="165" t="s">
        <v>1540</v>
      </c>
      <c r="P1687" s="161">
        <v>4000</v>
      </c>
      <c r="Q1687" s="168">
        <v>45656</v>
      </c>
      <c r="R1687" s="153"/>
      <c r="S1687" s="153"/>
      <c r="T1687" s="153"/>
      <c r="U1687" s="153"/>
      <c r="V1687" s="153"/>
      <c r="W1687" s="153"/>
      <c r="X1687" s="153"/>
      <c r="Y1687" s="153"/>
      <c r="Z1687" s="153"/>
      <c r="AA1687" s="153"/>
    </row>
    <row r="1688" spans="1:27">
      <c r="A1688" s="163">
        <v>12</v>
      </c>
      <c r="B1688" s="160" t="s">
        <v>2538</v>
      </c>
      <c r="C1688" s="168">
        <v>45603</v>
      </c>
      <c r="D1688" s="160" t="s">
        <v>440</v>
      </c>
      <c r="E1688" s="149" t="s">
        <v>239</v>
      </c>
      <c r="F1688" s="165" t="s">
        <v>441</v>
      </c>
      <c r="G1688" s="165" t="s">
        <v>442</v>
      </c>
      <c r="H1688" s="149" t="str">
        <f t="shared" si="9"/>
        <v>ESTEFANÍA BERROCAL POSTIGO</v>
      </c>
      <c r="I1688" s="149" t="s">
        <v>927</v>
      </c>
      <c r="J1688" s="149" t="s">
        <v>455</v>
      </c>
      <c r="K1688" s="149" t="s">
        <v>2653</v>
      </c>
      <c r="L1688" s="168">
        <v>45646</v>
      </c>
      <c r="M1688" s="164"/>
      <c r="N1688" s="163">
        <v>2</v>
      </c>
      <c r="O1688" s="165" t="s">
        <v>446</v>
      </c>
      <c r="P1688" s="161">
        <v>3710</v>
      </c>
      <c r="Q1688" s="168">
        <v>45646</v>
      </c>
      <c r="R1688" s="153"/>
      <c r="S1688" s="153"/>
      <c r="T1688" s="153"/>
      <c r="U1688" s="153"/>
      <c r="V1688" s="153"/>
      <c r="W1688" s="153"/>
      <c r="X1688" s="153"/>
      <c r="Y1688" s="153"/>
      <c r="Z1688" s="153"/>
      <c r="AA1688" s="153"/>
    </row>
    <row r="1689" spans="1:27">
      <c r="A1689" s="163">
        <v>12</v>
      </c>
      <c r="B1689" s="160" t="s">
        <v>2538</v>
      </c>
      <c r="C1689" s="168">
        <v>45614</v>
      </c>
      <c r="D1689" s="160" t="s">
        <v>440</v>
      </c>
      <c r="E1689" s="149" t="s">
        <v>239</v>
      </c>
      <c r="F1689" s="165" t="s">
        <v>441</v>
      </c>
      <c r="G1689" s="165" t="s">
        <v>442</v>
      </c>
      <c r="H1689" s="149" t="str">
        <f t="shared" si="9"/>
        <v>ESTEFANÍA BERROCAL POSTIGO</v>
      </c>
      <c r="I1689" s="149" t="s">
        <v>927</v>
      </c>
      <c r="J1689" s="149" t="s">
        <v>455</v>
      </c>
      <c r="K1689" s="149" t="s">
        <v>2654</v>
      </c>
      <c r="L1689" s="168">
        <v>45644</v>
      </c>
      <c r="M1689" s="164"/>
      <c r="N1689" s="163">
        <v>2</v>
      </c>
      <c r="O1689" s="165" t="s">
        <v>1540</v>
      </c>
      <c r="P1689" s="161">
        <v>3800</v>
      </c>
      <c r="Q1689" s="168">
        <v>45644</v>
      </c>
      <c r="R1689" s="153"/>
      <c r="S1689" s="153"/>
      <c r="T1689" s="153"/>
      <c r="U1689" s="153"/>
      <c r="V1689" s="153"/>
      <c r="W1689" s="153"/>
      <c r="X1689" s="153"/>
      <c r="Y1689" s="153"/>
      <c r="Z1689" s="153"/>
      <c r="AA1689" s="153"/>
    </row>
    <row r="1690" spans="1:27">
      <c r="A1690" s="163">
        <v>12</v>
      </c>
      <c r="B1690" s="160" t="s">
        <v>2538</v>
      </c>
      <c r="C1690" s="168">
        <v>45601</v>
      </c>
      <c r="D1690" s="160" t="s">
        <v>440</v>
      </c>
      <c r="E1690" s="149" t="s">
        <v>239</v>
      </c>
      <c r="F1690" s="165" t="s">
        <v>441</v>
      </c>
      <c r="G1690" s="165" t="s">
        <v>442</v>
      </c>
      <c r="H1690" s="149" t="str">
        <f t="shared" si="9"/>
        <v>JUAN MAZA SOLANO</v>
      </c>
      <c r="I1690" s="149" t="s">
        <v>2655</v>
      </c>
      <c r="J1690" s="149" t="s">
        <v>455</v>
      </c>
      <c r="K1690" s="149" t="s">
        <v>2656</v>
      </c>
      <c r="L1690" s="168">
        <v>45644</v>
      </c>
      <c r="M1690" s="164"/>
      <c r="N1690" s="163">
        <v>2</v>
      </c>
      <c r="O1690" s="165" t="s">
        <v>1540</v>
      </c>
      <c r="P1690" s="161">
        <v>3800</v>
      </c>
      <c r="Q1690" s="168">
        <v>45644</v>
      </c>
      <c r="R1690" s="153"/>
      <c r="S1690" s="153"/>
      <c r="T1690" s="153"/>
      <c r="U1690" s="153"/>
      <c r="V1690" s="153"/>
      <c r="W1690" s="153"/>
      <c r="X1690" s="153"/>
      <c r="Y1690" s="153"/>
      <c r="Z1690" s="153"/>
      <c r="AA1690" s="153"/>
    </row>
    <row r="1691" spans="1:27">
      <c r="A1691" s="163">
        <v>12</v>
      </c>
      <c r="B1691" s="160" t="s">
        <v>2538</v>
      </c>
      <c r="C1691" s="168">
        <v>45615</v>
      </c>
      <c r="D1691" s="160" t="s">
        <v>440</v>
      </c>
      <c r="E1691" s="149" t="s">
        <v>239</v>
      </c>
      <c r="F1691" s="165" t="s">
        <v>441</v>
      </c>
      <c r="G1691" s="165" t="s">
        <v>442</v>
      </c>
      <c r="H1691" s="149" t="str">
        <f t="shared" si="9"/>
        <v>ENRIQUE GÓMEZ ALDAZ</v>
      </c>
      <c r="I1691" s="149" t="s">
        <v>1682</v>
      </c>
      <c r="J1691" s="149" t="s">
        <v>455</v>
      </c>
      <c r="K1691" s="149" t="s">
        <v>2657</v>
      </c>
      <c r="L1691" s="168">
        <v>45638</v>
      </c>
      <c r="M1691" s="164"/>
      <c r="N1691" s="163">
        <v>2</v>
      </c>
      <c r="O1691" s="165" t="s">
        <v>1540</v>
      </c>
      <c r="P1691" s="161">
        <v>4000</v>
      </c>
      <c r="Q1691" s="168">
        <v>45638</v>
      </c>
      <c r="R1691" s="153"/>
      <c r="S1691" s="153"/>
      <c r="T1691" s="153"/>
      <c r="U1691" s="153"/>
      <c r="V1691" s="153"/>
      <c r="W1691" s="153"/>
      <c r="X1691" s="153"/>
      <c r="Y1691" s="153"/>
      <c r="Z1691" s="153"/>
      <c r="AA1691" s="153"/>
    </row>
    <row r="1692" spans="1:27">
      <c r="A1692" s="163">
        <v>12</v>
      </c>
      <c r="B1692" s="160" t="s">
        <v>2538</v>
      </c>
      <c r="C1692" s="168">
        <v>45595</v>
      </c>
      <c r="D1692" s="160" t="s">
        <v>440</v>
      </c>
      <c r="E1692" s="149" t="s">
        <v>201</v>
      </c>
      <c r="F1692" s="165" t="s">
        <v>441</v>
      </c>
      <c r="G1692" s="165" t="s">
        <v>442</v>
      </c>
      <c r="H1692" s="149" t="str">
        <f t="shared" si="9"/>
        <v>MARIA DEL ROCIO LOBATO PEREZ</v>
      </c>
      <c r="I1692" s="149" t="s">
        <v>2658</v>
      </c>
      <c r="J1692" s="149" t="s">
        <v>548</v>
      </c>
      <c r="K1692" s="149" t="s">
        <v>2659</v>
      </c>
      <c r="L1692" s="168">
        <v>45630</v>
      </c>
      <c r="M1692" s="164"/>
      <c r="N1692" s="163">
        <v>2</v>
      </c>
      <c r="O1692" s="165" t="s">
        <v>446</v>
      </c>
      <c r="P1692" s="161">
        <v>3525.45</v>
      </c>
      <c r="Q1692" s="168">
        <v>45630</v>
      </c>
      <c r="R1692" s="153"/>
      <c r="S1692" s="153"/>
      <c r="T1692" s="153"/>
      <c r="U1692" s="153"/>
      <c r="V1692" s="153"/>
      <c r="W1692" s="153"/>
      <c r="X1692" s="153"/>
      <c r="Y1692" s="153"/>
      <c r="Z1692" s="153"/>
      <c r="AA1692" s="153"/>
    </row>
    <row r="1693" spans="1:27">
      <c r="A1693" s="163">
        <v>12</v>
      </c>
      <c r="B1693" s="160" t="s">
        <v>2538</v>
      </c>
      <c r="C1693" s="168">
        <v>45614</v>
      </c>
      <c r="D1693" s="160" t="s">
        <v>440</v>
      </c>
      <c r="E1693" s="149" t="s">
        <v>319</v>
      </c>
      <c r="F1693" s="165" t="s">
        <v>441</v>
      </c>
      <c r="G1693" s="165" t="s">
        <v>442</v>
      </c>
      <c r="H1693" s="149" t="str">
        <f t="shared" si="9"/>
        <v>MARÍA GARROTE GARROTE</v>
      </c>
      <c r="I1693" s="149" t="s">
        <v>447</v>
      </c>
      <c r="J1693" s="149" t="s">
        <v>444</v>
      </c>
      <c r="K1693" s="149" t="s">
        <v>2660</v>
      </c>
      <c r="L1693" s="168">
        <v>45656</v>
      </c>
      <c r="M1693" s="164"/>
      <c r="N1693" s="163">
        <v>2</v>
      </c>
      <c r="O1693" s="165" t="s">
        <v>446</v>
      </c>
      <c r="P1693" s="161">
        <v>3710</v>
      </c>
      <c r="Q1693" s="168">
        <v>45656</v>
      </c>
      <c r="R1693" s="153"/>
      <c r="S1693" s="153"/>
      <c r="T1693" s="153"/>
      <c r="U1693" s="153"/>
      <c r="V1693" s="153"/>
      <c r="W1693" s="153"/>
      <c r="X1693" s="153"/>
      <c r="Y1693" s="153"/>
      <c r="Z1693" s="153"/>
      <c r="AA1693" s="153"/>
    </row>
    <row r="1694" spans="1:27">
      <c r="A1694" s="163">
        <v>12</v>
      </c>
      <c r="B1694" s="160" t="s">
        <v>2538</v>
      </c>
      <c r="C1694" s="168">
        <v>45630</v>
      </c>
      <c r="D1694" s="160" t="s">
        <v>440</v>
      </c>
      <c r="E1694" s="149" t="s">
        <v>115</v>
      </c>
      <c r="F1694" s="165" t="s">
        <v>441</v>
      </c>
      <c r="G1694" s="165" t="s">
        <v>442</v>
      </c>
      <c r="H1694" s="149" t="str">
        <f t="shared" si="9"/>
        <v>MARÍA GARROTE GARROTE</v>
      </c>
      <c r="I1694" s="149" t="s">
        <v>447</v>
      </c>
      <c r="J1694" s="149" t="s">
        <v>444</v>
      </c>
      <c r="K1694" s="149" t="s">
        <v>2661</v>
      </c>
      <c r="L1694" s="168">
        <v>45646</v>
      </c>
      <c r="M1694" s="164"/>
      <c r="N1694" s="163">
        <v>2</v>
      </c>
      <c r="O1694" s="165" t="s">
        <v>1540</v>
      </c>
      <c r="P1694" s="161">
        <v>4000</v>
      </c>
      <c r="Q1694" s="168">
        <v>45646</v>
      </c>
      <c r="R1694" s="153"/>
      <c r="S1694" s="153"/>
      <c r="T1694" s="153"/>
      <c r="U1694" s="153"/>
      <c r="V1694" s="153"/>
      <c r="W1694" s="153"/>
      <c r="X1694" s="153"/>
      <c r="Y1694" s="153"/>
      <c r="Z1694" s="153"/>
      <c r="AA1694" s="153"/>
    </row>
    <row r="1695" spans="1:27">
      <c r="A1695" s="163">
        <v>12</v>
      </c>
      <c r="B1695" s="160" t="s">
        <v>2538</v>
      </c>
      <c r="C1695" s="168">
        <v>45608</v>
      </c>
      <c r="D1695" s="160" t="s">
        <v>440</v>
      </c>
      <c r="E1695" s="149" t="s">
        <v>115</v>
      </c>
      <c r="F1695" s="165" t="s">
        <v>441</v>
      </c>
      <c r="G1695" s="165" t="s">
        <v>442</v>
      </c>
      <c r="H1695" s="149" t="str">
        <f t="shared" si="9"/>
        <v>MARTA ABAD PASCUAL</v>
      </c>
      <c r="I1695" s="149" t="s">
        <v>2662</v>
      </c>
      <c r="J1695" s="149" t="s">
        <v>444</v>
      </c>
      <c r="K1695" s="149" t="s">
        <v>2663</v>
      </c>
      <c r="L1695" s="168">
        <v>45637</v>
      </c>
      <c r="M1695" s="164"/>
      <c r="N1695" s="163">
        <v>2</v>
      </c>
      <c r="O1695" s="165" t="s">
        <v>513</v>
      </c>
      <c r="P1695" s="161">
        <v>4400</v>
      </c>
      <c r="Q1695" s="168">
        <v>45637</v>
      </c>
      <c r="R1695" s="153"/>
      <c r="S1695" s="153"/>
      <c r="T1695" s="153"/>
      <c r="U1695" s="153"/>
      <c r="V1695" s="153"/>
      <c r="W1695" s="153"/>
      <c r="X1695" s="153"/>
      <c r="Y1695" s="153"/>
      <c r="Z1695" s="153"/>
      <c r="AA1695" s="153"/>
    </row>
    <row r="1696" spans="1:27">
      <c r="A1696" s="163">
        <v>12</v>
      </c>
      <c r="B1696" s="160" t="s">
        <v>2538</v>
      </c>
      <c r="C1696" s="168">
        <v>45618</v>
      </c>
      <c r="D1696" s="160" t="s">
        <v>440</v>
      </c>
      <c r="E1696" s="149" t="s">
        <v>150</v>
      </c>
      <c r="F1696" s="165" t="s">
        <v>441</v>
      </c>
      <c r="G1696" s="165" t="s">
        <v>442</v>
      </c>
      <c r="H1696" s="149" t="str">
        <f t="shared" si="9"/>
        <v>Jean Franco Intraprendente Martini</v>
      </c>
      <c r="I1696" s="149" t="s">
        <v>2192</v>
      </c>
      <c r="J1696" s="149" t="s">
        <v>636</v>
      </c>
      <c r="K1696" s="149" t="s">
        <v>2664</v>
      </c>
      <c r="L1696" s="168">
        <v>45656</v>
      </c>
      <c r="M1696" s="164"/>
      <c r="N1696" s="163">
        <v>1</v>
      </c>
      <c r="O1696" s="165" t="s">
        <v>1540</v>
      </c>
      <c r="P1696" s="161">
        <v>2400</v>
      </c>
      <c r="Q1696" s="168">
        <v>45656</v>
      </c>
      <c r="R1696" s="153"/>
      <c r="S1696" s="153"/>
      <c r="T1696" s="153"/>
      <c r="U1696" s="153"/>
      <c r="V1696" s="153"/>
      <c r="W1696" s="153"/>
      <c r="X1696" s="153"/>
      <c r="Y1696" s="153"/>
      <c r="Z1696" s="153"/>
      <c r="AA1696" s="153"/>
    </row>
    <row r="1697" spans="1:27">
      <c r="A1697" s="163">
        <v>12</v>
      </c>
      <c r="B1697" s="160" t="s">
        <v>2538</v>
      </c>
      <c r="C1697" s="168">
        <v>45617</v>
      </c>
      <c r="D1697" s="160" t="s">
        <v>440</v>
      </c>
      <c r="E1697" s="149" t="s">
        <v>150</v>
      </c>
      <c r="F1697" s="165" t="s">
        <v>441</v>
      </c>
      <c r="G1697" s="165" t="s">
        <v>442</v>
      </c>
      <c r="H1697" s="149" t="str">
        <f t="shared" si="9"/>
        <v>PAULA MARTÍNEZ-RUIZ DE APOCADA</v>
      </c>
      <c r="I1697" s="149" t="s">
        <v>1520</v>
      </c>
      <c r="J1697" s="149" t="s">
        <v>636</v>
      </c>
      <c r="K1697" s="149" t="s">
        <v>2665</v>
      </c>
      <c r="L1697" s="168">
        <v>45649</v>
      </c>
      <c r="M1697" s="164"/>
      <c r="N1697" s="163">
        <v>2</v>
      </c>
      <c r="O1697" s="165" t="s">
        <v>449</v>
      </c>
      <c r="P1697" s="161">
        <v>2743.77</v>
      </c>
      <c r="Q1697" s="168">
        <v>45649</v>
      </c>
      <c r="R1697" s="153"/>
      <c r="S1697" s="153"/>
      <c r="T1697" s="153"/>
      <c r="U1697" s="153"/>
      <c r="V1697" s="153"/>
      <c r="W1697" s="153"/>
      <c r="X1697" s="153"/>
      <c r="Y1697" s="153"/>
      <c r="Z1697" s="153"/>
      <c r="AA1697" s="153"/>
    </row>
    <row r="1698" spans="1:27">
      <c r="A1698" s="163">
        <v>12</v>
      </c>
      <c r="B1698" s="160" t="s">
        <v>2538</v>
      </c>
      <c r="C1698" s="168">
        <v>45609</v>
      </c>
      <c r="D1698" s="160" t="s">
        <v>440</v>
      </c>
      <c r="E1698" s="149" t="s">
        <v>150</v>
      </c>
      <c r="F1698" s="165" t="s">
        <v>441</v>
      </c>
      <c r="G1698" s="165" t="s">
        <v>442</v>
      </c>
      <c r="H1698" s="149" t="str">
        <f t="shared" si="9"/>
        <v>ÁLVARO PÉREZ LLINARES</v>
      </c>
      <c r="I1698" s="149" t="s">
        <v>1214</v>
      </c>
      <c r="J1698" s="149" t="s">
        <v>636</v>
      </c>
      <c r="K1698" s="149" t="s">
        <v>2666</v>
      </c>
      <c r="L1698" s="168">
        <v>45644</v>
      </c>
      <c r="M1698" s="164"/>
      <c r="N1698" s="163">
        <v>2</v>
      </c>
      <c r="O1698" s="165" t="s">
        <v>1540</v>
      </c>
      <c r="P1698" s="161">
        <v>3800</v>
      </c>
      <c r="Q1698" s="168">
        <v>45644</v>
      </c>
      <c r="R1698" s="153"/>
      <c r="S1698" s="153"/>
      <c r="T1698" s="153"/>
      <c r="U1698" s="153"/>
      <c r="V1698" s="153"/>
      <c r="W1698" s="153"/>
      <c r="X1698" s="153"/>
      <c r="Y1698" s="153"/>
      <c r="Z1698" s="153"/>
      <c r="AA1698" s="153"/>
    </row>
    <row r="1699" spans="1:27">
      <c r="A1699" s="163">
        <v>12</v>
      </c>
      <c r="B1699" s="160" t="s">
        <v>2538</v>
      </c>
      <c r="C1699" s="168">
        <v>45607</v>
      </c>
      <c r="D1699" s="160" t="s">
        <v>440</v>
      </c>
      <c r="E1699" s="149" t="s">
        <v>150</v>
      </c>
      <c r="F1699" s="165" t="s">
        <v>441</v>
      </c>
      <c r="G1699" s="165" t="s">
        <v>442</v>
      </c>
      <c r="H1699" s="149" t="str">
        <f t="shared" si="9"/>
        <v>JEAN FRANCO INTRAPRENDENTE MARTINI</v>
      </c>
      <c r="I1699" s="149" t="s">
        <v>1271</v>
      </c>
      <c r="J1699" s="149" t="s">
        <v>636</v>
      </c>
      <c r="K1699" s="149" t="s">
        <v>2667</v>
      </c>
      <c r="L1699" s="168">
        <v>45635</v>
      </c>
      <c r="M1699" s="164"/>
      <c r="N1699" s="163">
        <v>2</v>
      </c>
      <c r="O1699" s="165" t="s">
        <v>446</v>
      </c>
      <c r="P1699" s="161">
        <v>3710</v>
      </c>
      <c r="Q1699" s="168">
        <v>45635</v>
      </c>
      <c r="R1699" s="153"/>
      <c r="S1699" s="153"/>
      <c r="T1699" s="153"/>
      <c r="U1699" s="153"/>
      <c r="V1699" s="153"/>
      <c r="W1699" s="153"/>
      <c r="X1699" s="153"/>
      <c r="Y1699" s="153"/>
      <c r="Z1699" s="153"/>
      <c r="AA1699" s="153"/>
    </row>
    <row r="1700" spans="1:27">
      <c r="A1700" s="163">
        <v>12</v>
      </c>
      <c r="B1700" s="160" t="s">
        <v>2538</v>
      </c>
      <c r="C1700" s="168">
        <v>45582</v>
      </c>
      <c r="D1700" s="160" t="s">
        <v>440</v>
      </c>
      <c r="E1700" s="149" t="s">
        <v>213</v>
      </c>
      <c r="F1700" s="165" t="s">
        <v>441</v>
      </c>
      <c r="G1700" s="165" t="s">
        <v>442</v>
      </c>
      <c r="H1700" s="149" t="str">
        <f t="shared" si="9"/>
        <v>AGUSTÍN CAMPOS CATALÁ</v>
      </c>
      <c r="I1700" s="149" t="s">
        <v>1824</v>
      </c>
      <c r="J1700" s="149" t="s">
        <v>636</v>
      </c>
      <c r="K1700" s="149" t="s">
        <v>2668</v>
      </c>
      <c r="L1700" s="168">
        <v>45649</v>
      </c>
      <c r="M1700" s="164"/>
      <c r="N1700" s="163">
        <v>2</v>
      </c>
      <c r="O1700" s="165" t="s">
        <v>446</v>
      </c>
      <c r="P1700" s="161">
        <v>3710</v>
      </c>
      <c r="Q1700" s="168">
        <v>45649</v>
      </c>
      <c r="R1700" s="153"/>
      <c r="S1700" s="153"/>
      <c r="T1700" s="153"/>
      <c r="U1700" s="153"/>
      <c r="V1700" s="153"/>
      <c r="W1700" s="153"/>
      <c r="X1700" s="153"/>
      <c r="Y1700" s="153"/>
      <c r="Z1700" s="153"/>
      <c r="AA1700" s="153"/>
    </row>
    <row r="1701" spans="1:27">
      <c r="A1701" s="163">
        <v>12</v>
      </c>
      <c r="B1701" s="160" t="s">
        <v>2538</v>
      </c>
      <c r="C1701" s="168">
        <v>45575</v>
      </c>
      <c r="D1701" s="160" t="s">
        <v>440</v>
      </c>
      <c r="E1701" s="149" t="s">
        <v>2032</v>
      </c>
      <c r="F1701" s="165" t="s">
        <v>441</v>
      </c>
      <c r="G1701" s="165" t="s">
        <v>442</v>
      </c>
      <c r="H1701" s="149" t="str">
        <f t="shared" si="9"/>
        <v>DIANA LISBETH</v>
      </c>
      <c r="I1701" s="149" t="s">
        <v>681</v>
      </c>
      <c r="J1701" s="149" t="s">
        <v>473</v>
      </c>
      <c r="K1701" s="149" t="s">
        <v>2669</v>
      </c>
      <c r="L1701" s="168">
        <v>45628</v>
      </c>
      <c r="M1701" s="164"/>
      <c r="N1701" s="163">
        <v>1</v>
      </c>
      <c r="O1701" s="165" t="s">
        <v>446</v>
      </c>
      <c r="P1701" s="161">
        <v>2000</v>
      </c>
      <c r="Q1701" s="168">
        <v>45628</v>
      </c>
      <c r="R1701" s="153"/>
      <c r="S1701" s="153"/>
      <c r="T1701" s="153"/>
      <c r="U1701" s="153"/>
      <c r="V1701" s="153"/>
      <c r="W1701" s="153"/>
      <c r="X1701" s="153"/>
      <c r="Y1701" s="153"/>
      <c r="Z1701" s="153"/>
      <c r="AA1701" s="153"/>
    </row>
    <row r="1702" spans="1:27">
      <c r="A1702" s="163">
        <v>12</v>
      </c>
      <c r="B1702" s="160" t="s">
        <v>2538</v>
      </c>
      <c r="C1702" s="168">
        <v>45576</v>
      </c>
      <c r="D1702" s="160" t="s">
        <v>440</v>
      </c>
      <c r="E1702" s="149" t="s">
        <v>485</v>
      </c>
      <c r="F1702" s="165" t="s">
        <v>441</v>
      </c>
      <c r="G1702" s="165" t="s">
        <v>442</v>
      </c>
      <c r="H1702" s="149" t="str">
        <f t="shared" si="9"/>
        <v>CARLOS MIGUEL SALVADOR MARTÍNEZ</v>
      </c>
      <c r="I1702" s="149" t="s">
        <v>633</v>
      </c>
      <c r="J1702" s="149" t="s">
        <v>473</v>
      </c>
      <c r="K1702" s="149" t="s">
        <v>2670</v>
      </c>
      <c r="L1702" s="168">
        <v>45628</v>
      </c>
      <c r="M1702" s="164"/>
      <c r="N1702" s="163">
        <v>1</v>
      </c>
      <c r="O1702" s="165" t="s">
        <v>466</v>
      </c>
      <c r="P1702" s="161">
        <v>2080.12</v>
      </c>
      <c r="Q1702" s="168">
        <v>45628</v>
      </c>
      <c r="R1702" s="153"/>
      <c r="S1702" s="153"/>
      <c r="T1702" s="153"/>
      <c r="U1702" s="153"/>
      <c r="V1702" s="153"/>
      <c r="W1702" s="153"/>
      <c r="X1702" s="153"/>
      <c r="Y1702" s="153"/>
      <c r="Z1702" s="153"/>
      <c r="AA1702" s="153"/>
    </row>
    <row r="1703" spans="1:27">
      <c r="A1703" s="163">
        <v>12</v>
      </c>
      <c r="B1703" s="160" t="s">
        <v>2538</v>
      </c>
      <c r="C1703" s="168">
        <v>45582</v>
      </c>
      <c r="D1703" s="160" t="s">
        <v>440</v>
      </c>
      <c r="E1703" s="149" t="s">
        <v>485</v>
      </c>
      <c r="F1703" s="165" t="s">
        <v>441</v>
      </c>
      <c r="G1703" s="165" t="s">
        <v>442</v>
      </c>
      <c r="H1703" s="149" t="str">
        <f t="shared" si="9"/>
        <v>MARÍA CONSOLACIÓN MARTÍN PASCUAL</v>
      </c>
      <c r="I1703" s="149" t="s">
        <v>2671</v>
      </c>
      <c r="J1703" s="149" t="s">
        <v>473</v>
      </c>
      <c r="K1703" s="149" t="s">
        <v>2672</v>
      </c>
      <c r="L1703" s="168">
        <v>45628</v>
      </c>
      <c r="M1703" s="164"/>
      <c r="N1703" s="163">
        <v>1</v>
      </c>
      <c r="O1703" s="165" t="s">
        <v>466</v>
      </c>
      <c r="P1703" s="161">
        <v>2080.12</v>
      </c>
      <c r="Q1703" s="168">
        <v>45628</v>
      </c>
      <c r="R1703" s="153"/>
      <c r="S1703" s="153"/>
      <c r="T1703" s="153"/>
      <c r="U1703" s="153"/>
      <c r="V1703" s="153"/>
      <c r="W1703" s="153"/>
      <c r="X1703" s="153"/>
      <c r="Y1703" s="153"/>
      <c r="Z1703" s="153"/>
      <c r="AA1703" s="153"/>
    </row>
    <row r="1704" spans="1:27">
      <c r="A1704" s="163">
        <v>12</v>
      </c>
      <c r="B1704" s="160" t="s">
        <v>2538</v>
      </c>
      <c r="C1704" s="168">
        <v>45582</v>
      </c>
      <c r="D1704" s="160" t="s">
        <v>440</v>
      </c>
      <c r="E1704" s="149" t="s">
        <v>506</v>
      </c>
      <c r="F1704" s="165" t="s">
        <v>441</v>
      </c>
      <c r="G1704" s="165" t="s">
        <v>442</v>
      </c>
      <c r="H1704" s="149" t="str">
        <f t="shared" si="9"/>
        <v>LUIS MIGUEL RINCÓN ESTEBAN</v>
      </c>
      <c r="I1704" s="149" t="s">
        <v>1033</v>
      </c>
      <c r="J1704" s="149" t="s">
        <v>473</v>
      </c>
      <c r="K1704" s="149" t="s">
        <v>2673</v>
      </c>
      <c r="L1704" s="168">
        <v>45628</v>
      </c>
      <c r="M1704" s="164"/>
      <c r="N1704" s="163">
        <v>2</v>
      </c>
      <c r="O1704" s="165" t="s">
        <v>446</v>
      </c>
      <c r="P1704" s="161">
        <v>3604.55</v>
      </c>
      <c r="Q1704" s="168">
        <v>45628</v>
      </c>
      <c r="R1704" s="153"/>
      <c r="S1704" s="153"/>
      <c r="T1704" s="153"/>
      <c r="U1704" s="153"/>
      <c r="V1704" s="153"/>
      <c r="W1704" s="153"/>
      <c r="X1704" s="153"/>
      <c r="Y1704" s="153"/>
      <c r="Z1704" s="153"/>
      <c r="AA1704" s="153"/>
    </row>
    <row r="1705" spans="1:27">
      <c r="A1705" s="163">
        <v>12</v>
      </c>
      <c r="B1705" s="160" t="s">
        <v>2538</v>
      </c>
      <c r="C1705" s="168">
        <v>45586</v>
      </c>
      <c r="D1705" s="160" t="s">
        <v>440</v>
      </c>
      <c r="E1705" s="149" t="s">
        <v>571</v>
      </c>
      <c r="F1705" s="165" t="s">
        <v>441</v>
      </c>
      <c r="G1705" s="165" t="s">
        <v>442</v>
      </c>
      <c r="H1705" s="149" t="str">
        <f t="shared" si="9"/>
        <v>PEDRO GIL PARAÍSO</v>
      </c>
      <c r="I1705" s="149" t="s">
        <v>2119</v>
      </c>
      <c r="J1705" s="149" t="s">
        <v>548</v>
      </c>
      <c r="K1705" s="149" t="s">
        <v>2674</v>
      </c>
      <c r="L1705" s="168">
        <v>45629</v>
      </c>
      <c r="M1705" s="164"/>
      <c r="N1705" s="163">
        <v>2</v>
      </c>
      <c r="O1705" s="165" t="s">
        <v>449</v>
      </c>
      <c r="P1705" s="161">
        <v>2909.09</v>
      </c>
      <c r="Q1705" s="168">
        <v>45629</v>
      </c>
      <c r="R1705" s="153"/>
      <c r="S1705" s="153"/>
      <c r="T1705" s="153"/>
      <c r="U1705" s="153"/>
      <c r="V1705" s="153"/>
      <c r="W1705" s="153"/>
      <c r="X1705" s="153"/>
      <c r="Y1705" s="153"/>
      <c r="Z1705" s="153"/>
      <c r="AA1705" s="153"/>
    </row>
    <row r="1706" spans="1:27">
      <c r="A1706" s="163">
        <v>12</v>
      </c>
      <c r="B1706" s="160" t="s">
        <v>2538</v>
      </c>
      <c r="C1706" s="168">
        <v>45601</v>
      </c>
      <c r="D1706" s="160" t="s">
        <v>440</v>
      </c>
      <c r="E1706" s="149" t="s">
        <v>546</v>
      </c>
      <c r="F1706" s="165" t="s">
        <v>441</v>
      </c>
      <c r="G1706" s="165" t="s">
        <v>442</v>
      </c>
      <c r="H1706" s="149" t="str">
        <f t="shared" si="9"/>
        <v>FRANCISCO RAMOS PUERTO</v>
      </c>
      <c r="I1706" s="149" t="s">
        <v>1189</v>
      </c>
      <c r="J1706" s="149" t="s">
        <v>548</v>
      </c>
      <c r="K1706" s="149" t="s">
        <v>2675</v>
      </c>
      <c r="L1706" s="168">
        <v>45629</v>
      </c>
      <c r="M1706" s="164"/>
      <c r="N1706" s="163">
        <v>2</v>
      </c>
      <c r="O1706" s="165" t="s">
        <v>466</v>
      </c>
      <c r="P1706" s="161">
        <v>4000</v>
      </c>
      <c r="Q1706" s="168">
        <v>45629</v>
      </c>
      <c r="R1706" s="153"/>
      <c r="S1706" s="153"/>
      <c r="T1706" s="153"/>
      <c r="U1706" s="153"/>
      <c r="V1706" s="153"/>
      <c r="W1706" s="153"/>
      <c r="X1706" s="153"/>
      <c r="Y1706" s="153"/>
      <c r="Z1706" s="153"/>
      <c r="AA1706" s="153"/>
    </row>
    <row r="1707" spans="1:27">
      <c r="A1707" s="163">
        <v>12</v>
      </c>
      <c r="B1707" s="160" t="s">
        <v>2538</v>
      </c>
      <c r="C1707" s="168">
        <v>44735</v>
      </c>
      <c r="D1707" s="160" t="s">
        <v>440</v>
      </c>
      <c r="E1707" s="149" t="s">
        <v>312</v>
      </c>
      <c r="F1707" s="165" t="s">
        <v>441</v>
      </c>
      <c r="G1707" s="165" t="s">
        <v>442</v>
      </c>
      <c r="H1707" s="149" t="str">
        <f t="shared" si="9"/>
        <v>ULISES BIDÓN GÓMEZ</v>
      </c>
      <c r="I1707" s="149" t="s">
        <v>2651</v>
      </c>
      <c r="J1707" s="149" t="s">
        <v>455</v>
      </c>
      <c r="K1707" s="149" t="s">
        <v>2676</v>
      </c>
      <c r="L1707" s="168">
        <v>45630</v>
      </c>
      <c r="M1707" s="164"/>
      <c r="N1707" s="163">
        <v>2</v>
      </c>
      <c r="O1707" s="165" t="s">
        <v>466</v>
      </c>
      <c r="P1707" s="161">
        <v>4000</v>
      </c>
      <c r="Q1707" s="168">
        <v>45630</v>
      </c>
      <c r="R1707" s="153"/>
      <c r="S1707" s="153"/>
      <c r="T1707" s="153"/>
      <c r="U1707" s="153"/>
      <c r="V1707" s="153"/>
      <c r="W1707" s="153"/>
      <c r="X1707" s="153"/>
      <c r="Y1707" s="153"/>
      <c r="Z1707" s="153"/>
      <c r="AA1707" s="153"/>
    </row>
    <row r="1708" spans="1:27">
      <c r="A1708" s="163">
        <v>12</v>
      </c>
      <c r="B1708" s="160" t="s">
        <v>2538</v>
      </c>
      <c r="C1708" s="168">
        <v>45407</v>
      </c>
      <c r="D1708" s="160" t="s">
        <v>440</v>
      </c>
      <c r="E1708" s="149" t="s">
        <v>546</v>
      </c>
      <c r="F1708" s="165" t="s">
        <v>441</v>
      </c>
      <c r="G1708" s="165" t="s">
        <v>442</v>
      </c>
      <c r="H1708" s="149" t="str">
        <f t="shared" si="9"/>
        <v>RAFAEL SANZ TRENADO</v>
      </c>
      <c r="I1708" s="149" t="s">
        <v>1523</v>
      </c>
      <c r="J1708" s="149" t="s">
        <v>548</v>
      </c>
      <c r="K1708" s="149" t="s">
        <v>2677</v>
      </c>
      <c r="L1708" s="168">
        <v>45630</v>
      </c>
      <c r="M1708" s="164"/>
      <c r="N1708" s="163">
        <v>2</v>
      </c>
      <c r="O1708" s="165" t="s">
        <v>449</v>
      </c>
      <c r="P1708" s="161">
        <v>2727.27</v>
      </c>
      <c r="Q1708" s="168">
        <v>45630</v>
      </c>
      <c r="R1708" s="153"/>
      <c r="S1708" s="153"/>
      <c r="T1708" s="153"/>
      <c r="U1708" s="153"/>
      <c r="V1708" s="153"/>
      <c r="W1708" s="153"/>
      <c r="X1708" s="153"/>
      <c r="Y1708" s="153"/>
      <c r="Z1708" s="153"/>
      <c r="AA1708" s="153"/>
    </row>
    <row r="1709" spans="1:27">
      <c r="A1709" s="163">
        <v>12</v>
      </c>
      <c r="B1709" s="160" t="s">
        <v>2538</v>
      </c>
      <c r="C1709" s="168">
        <v>45601</v>
      </c>
      <c r="D1709" s="160" t="s">
        <v>440</v>
      </c>
      <c r="E1709" s="149" t="s">
        <v>546</v>
      </c>
      <c r="F1709" s="165" t="s">
        <v>441</v>
      </c>
      <c r="G1709" s="165" t="s">
        <v>442</v>
      </c>
      <c r="H1709" s="149" t="str">
        <f t="shared" si="9"/>
        <v>JAVIER GARCÍA GÓMEZ</v>
      </c>
      <c r="I1709" s="149" t="s">
        <v>946</v>
      </c>
      <c r="J1709" s="149" t="s">
        <v>548</v>
      </c>
      <c r="K1709" s="149" t="s">
        <v>2678</v>
      </c>
      <c r="L1709" s="168">
        <v>45630</v>
      </c>
      <c r="M1709" s="164"/>
      <c r="N1709" s="163">
        <v>2</v>
      </c>
      <c r="O1709" s="165" t="s">
        <v>513</v>
      </c>
      <c r="P1709" s="161">
        <v>4218.18</v>
      </c>
      <c r="Q1709" s="168">
        <v>45630</v>
      </c>
      <c r="R1709" s="153"/>
      <c r="S1709" s="153"/>
      <c r="T1709" s="153"/>
      <c r="U1709" s="153"/>
      <c r="V1709" s="153"/>
      <c r="W1709" s="153"/>
      <c r="X1709" s="153"/>
      <c r="Y1709" s="153"/>
      <c r="Z1709" s="153"/>
      <c r="AA1709" s="153"/>
    </row>
    <row r="1710" spans="1:27">
      <c r="A1710" s="163">
        <v>12</v>
      </c>
      <c r="B1710" s="160" t="s">
        <v>2538</v>
      </c>
      <c r="C1710" s="168">
        <v>45602</v>
      </c>
      <c r="D1710" s="160" t="s">
        <v>440</v>
      </c>
      <c r="E1710" s="149" t="s">
        <v>312</v>
      </c>
      <c r="F1710" s="165" t="s">
        <v>441</v>
      </c>
      <c r="G1710" s="165" t="s">
        <v>442</v>
      </c>
      <c r="H1710" s="149" t="str">
        <f t="shared" si="9"/>
        <v>ANTONIO MEDINILLA VALLEJO</v>
      </c>
      <c r="I1710" s="149" t="s">
        <v>2679</v>
      </c>
      <c r="J1710" s="149" t="s">
        <v>455</v>
      </c>
      <c r="K1710" s="149" t="s">
        <v>2680</v>
      </c>
      <c r="L1710" s="168">
        <v>45630</v>
      </c>
      <c r="M1710" s="164"/>
      <c r="N1710" s="163">
        <v>2</v>
      </c>
      <c r="O1710" s="165" t="s">
        <v>446</v>
      </c>
      <c r="P1710" s="161">
        <v>3710</v>
      </c>
      <c r="Q1710" s="168">
        <v>45630</v>
      </c>
      <c r="R1710" s="153"/>
      <c r="S1710" s="153"/>
      <c r="T1710" s="153"/>
      <c r="U1710" s="153"/>
      <c r="V1710" s="153"/>
      <c r="W1710" s="153"/>
      <c r="X1710" s="153"/>
      <c r="Y1710" s="153"/>
      <c r="Z1710" s="153"/>
      <c r="AA1710" s="153"/>
    </row>
    <row r="1711" spans="1:27">
      <c r="A1711" s="163">
        <v>12</v>
      </c>
      <c r="B1711" s="160" t="s">
        <v>2538</v>
      </c>
      <c r="C1711" s="168">
        <v>45603</v>
      </c>
      <c r="D1711" s="160" t="s">
        <v>440</v>
      </c>
      <c r="E1711" s="149" t="s">
        <v>525</v>
      </c>
      <c r="F1711" s="165" t="s">
        <v>441</v>
      </c>
      <c r="G1711" s="165" t="s">
        <v>442</v>
      </c>
      <c r="H1711" s="149" t="str">
        <f t="shared" si="9"/>
        <v>ELISA PARDO SALGADO</v>
      </c>
      <c r="I1711" s="149" t="s">
        <v>2681</v>
      </c>
      <c r="J1711" s="149" t="s">
        <v>516</v>
      </c>
      <c r="K1711" s="149" t="s">
        <v>2682</v>
      </c>
      <c r="L1711" s="168">
        <v>45630</v>
      </c>
      <c r="M1711" s="164"/>
      <c r="N1711" s="163">
        <v>2</v>
      </c>
      <c r="O1711" s="165" t="s">
        <v>449</v>
      </c>
      <c r="P1711" s="161">
        <v>3000</v>
      </c>
      <c r="Q1711" s="168">
        <v>45630</v>
      </c>
      <c r="R1711" s="153"/>
      <c r="S1711" s="153"/>
      <c r="T1711" s="153"/>
      <c r="U1711" s="153"/>
      <c r="V1711" s="153"/>
      <c r="W1711" s="153"/>
      <c r="X1711" s="153"/>
      <c r="Y1711" s="153"/>
      <c r="Z1711" s="153"/>
      <c r="AA1711" s="153"/>
    </row>
    <row r="1712" spans="1:27">
      <c r="A1712" s="163">
        <v>12</v>
      </c>
      <c r="B1712" s="160" t="s">
        <v>2538</v>
      </c>
      <c r="C1712" s="168">
        <v>45596</v>
      </c>
      <c r="D1712" s="160" t="s">
        <v>440</v>
      </c>
      <c r="E1712" s="149" t="s">
        <v>571</v>
      </c>
      <c r="F1712" s="165" t="s">
        <v>441</v>
      </c>
      <c r="G1712" s="165" t="s">
        <v>442</v>
      </c>
      <c r="H1712" s="149" t="str">
        <f t="shared" si="9"/>
        <v>HECTOR VALLES VARELA</v>
      </c>
      <c r="I1712" s="149" t="s">
        <v>1064</v>
      </c>
      <c r="J1712" s="149" t="s">
        <v>548</v>
      </c>
      <c r="K1712" s="149" t="s">
        <v>2683</v>
      </c>
      <c r="L1712" s="168">
        <v>45631</v>
      </c>
      <c r="M1712" s="164"/>
      <c r="N1712" s="163">
        <v>2</v>
      </c>
      <c r="O1712" s="165" t="s">
        <v>513</v>
      </c>
      <c r="P1712" s="161">
        <v>4180</v>
      </c>
      <c r="Q1712" s="168">
        <v>45631</v>
      </c>
      <c r="R1712" s="153"/>
      <c r="S1712" s="153"/>
      <c r="T1712" s="153"/>
      <c r="U1712" s="153"/>
      <c r="V1712" s="153"/>
      <c r="W1712" s="153"/>
      <c r="X1712" s="153"/>
      <c r="Y1712" s="153"/>
      <c r="Z1712" s="153"/>
      <c r="AA1712" s="153"/>
    </row>
    <row r="1713" spans="1:27">
      <c r="A1713" s="163">
        <v>12</v>
      </c>
      <c r="B1713" s="160" t="s">
        <v>2538</v>
      </c>
      <c r="C1713" s="168">
        <v>45552</v>
      </c>
      <c r="D1713" s="160" t="s">
        <v>440</v>
      </c>
      <c r="E1713" s="149" t="s">
        <v>546</v>
      </c>
      <c r="F1713" s="165" t="s">
        <v>441</v>
      </c>
      <c r="G1713" s="165" t="s">
        <v>442</v>
      </c>
      <c r="H1713" s="149" t="str">
        <f t="shared" si="9"/>
        <v>DANIELA CAROLINA LAGUADO BULGHERONI</v>
      </c>
      <c r="I1713" s="149" t="s">
        <v>1340</v>
      </c>
      <c r="J1713" s="149" t="s">
        <v>548</v>
      </c>
      <c r="K1713" s="149" t="s">
        <v>2684</v>
      </c>
      <c r="L1713" s="168">
        <v>45632</v>
      </c>
      <c r="M1713" s="164"/>
      <c r="N1713" s="163">
        <v>2</v>
      </c>
      <c r="O1713" s="165" t="s">
        <v>449</v>
      </c>
      <c r="P1713" s="161">
        <v>3185.45</v>
      </c>
      <c r="Q1713" s="168">
        <v>45632</v>
      </c>
      <c r="R1713" s="153"/>
      <c r="S1713" s="153"/>
      <c r="T1713" s="153"/>
      <c r="U1713" s="153"/>
      <c r="V1713" s="153"/>
      <c r="W1713" s="153"/>
      <c r="X1713" s="153"/>
      <c r="Y1713" s="153"/>
      <c r="Z1713" s="153"/>
      <c r="AA1713" s="153"/>
    </row>
    <row r="1714" spans="1:27">
      <c r="A1714" s="163">
        <v>12</v>
      </c>
      <c r="B1714" s="160" t="s">
        <v>2538</v>
      </c>
      <c r="C1714" s="168">
        <v>45600</v>
      </c>
      <c r="D1714" s="160" t="s">
        <v>440</v>
      </c>
      <c r="E1714" s="149" t="s">
        <v>546</v>
      </c>
      <c r="F1714" s="165" t="s">
        <v>441</v>
      </c>
      <c r="G1714" s="165" t="s">
        <v>442</v>
      </c>
      <c r="H1714" s="149" t="str">
        <f t="shared" si="9"/>
        <v>JAVIER GARCÍA GÓMEZ</v>
      </c>
      <c r="I1714" s="149" t="s">
        <v>946</v>
      </c>
      <c r="J1714" s="149" t="s">
        <v>548</v>
      </c>
      <c r="K1714" s="149" t="s">
        <v>2685</v>
      </c>
      <c r="L1714" s="168">
        <v>45632</v>
      </c>
      <c r="M1714" s="164"/>
      <c r="N1714" s="163">
        <v>2</v>
      </c>
      <c r="O1714" s="165" t="s">
        <v>466</v>
      </c>
      <c r="P1714" s="161">
        <v>3714.55</v>
      </c>
      <c r="Q1714" s="168">
        <v>45632</v>
      </c>
      <c r="R1714" s="153"/>
      <c r="S1714" s="153"/>
      <c r="T1714" s="153"/>
      <c r="U1714" s="153"/>
      <c r="V1714" s="153"/>
      <c r="W1714" s="153"/>
      <c r="X1714" s="153"/>
      <c r="Y1714" s="153"/>
      <c r="Z1714" s="153"/>
      <c r="AA1714" s="153"/>
    </row>
    <row r="1715" spans="1:27">
      <c r="A1715" s="163">
        <v>12</v>
      </c>
      <c r="B1715" s="160" t="s">
        <v>2538</v>
      </c>
      <c r="C1715" s="168">
        <v>45594</v>
      </c>
      <c r="D1715" s="160" t="s">
        <v>440</v>
      </c>
      <c r="E1715" s="149" t="s">
        <v>525</v>
      </c>
      <c r="F1715" s="165" t="s">
        <v>441</v>
      </c>
      <c r="G1715" s="165" t="s">
        <v>442</v>
      </c>
      <c r="H1715" s="149" t="str">
        <f t="shared" si="9"/>
        <v>MANUEL ESTEVEZ GARCÍA</v>
      </c>
      <c r="I1715" s="149" t="s">
        <v>1409</v>
      </c>
      <c r="J1715" s="149" t="s">
        <v>516</v>
      </c>
      <c r="K1715" s="149" t="s">
        <v>2686</v>
      </c>
      <c r="L1715" s="168">
        <v>45635</v>
      </c>
      <c r="M1715" s="164"/>
      <c r="N1715" s="163">
        <v>2</v>
      </c>
      <c r="O1715" s="165" t="s">
        <v>466</v>
      </c>
      <c r="P1715" s="161">
        <v>3636.36</v>
      </c>
      <c r="Q1715" s="168">
        <v>45635</v>
      </c>
      <c r="R1715" s="153"/>
      <c r="S1715" s="153"/>
      <c r="T1715" s="153"/>
      <c r="U1715" s="153"/>
      <c r="V1715" s="153"/>
      <c r="W1715" s="153"/>
      <c r="X1715" s="153"/>
      <c r="Y1715" s="153"/>
      <c r="Z1715" s="153"/>
      <c r="AA1715" s="153"/>
    </row>
    <row r="1716" spans="1:27">
      <c r="A1716" s="163">
        <v>12</v>
      </c>
      <c r="B1716" s="160" t="s">
        <v>2538</v>
      </c>
      <c r="C1716" s="168">
        <v>45595</v>
      </c>
      <c r="D1716" s="160" t="s">
        <v>440</v>
      </c>
      <c r="E1716" s="149" t="s">
        <v>92</v>
      </c>
      <c r="F1716" s="165" t="s">
        <v>441</v>
      </c>
      <c r="G1716" s="165" t="s">
        <v>442</v>
      </c>
      <c r="H1716" s="149" t="str">
        <f t="shared" si="9"/>
        <v>PEDRO SEGUÍ MOYA</v>
      </c>
      <c r="I1716" s="149" t="s">
        <v>779</v>
      </c>
      <c r="J1716" s="149" t="s">
        <v>462</v>
      </c>
      <c r="K1716" s="149" t="s">
        <v>2687</v>
      </c>
      <c r="L1716" s="168">
        <v>45635</v>
      </c>
      <c r="M1716" s="164"/>
      <c r="N1716" s="163">
        <v>1</v>
      </c>
      <c r="O1716" s="165" t="s">
        <v>513</v>
      </c>
      <c r="P1716" s="161">
        <v>2500</v>
      </c>
      <c r="Q1716" s="168">
        <v>45635</v>
      </c>
      <c r="R1716" s="153"/>
      <c r="S1716" s="153"/>
      <c r="T1716" s="153"/>
      <c r="U1716" s="153"/>
      <c r="V1716" s="153"/>
      <c r="W1716" s="153"/>
      <c r="X1716" s="153"/>
      <c r="Y1716" s="153"/>
      <c r="Z1716" s="153"/>
      <c r="AA1716" s="153"/>
    </row>
    <row r="1717" spans="1:27">
      <c r="A1717" s="163">
        <v>12</v>
      </c>
      <c r="B1717" s="160" t="s">
        <v>2538</v>
      </c>
      <c r="C1717" s="168">
        <v>45610</v>
      </c>
      <c r="D1717" s="160" t="s">
        <v>440</v>
      </c>
      <c r="E1717" s="149" t="s">
        <v>129</v>
      </c>
      <c r="F1717" s="165" t="s">
        <v>441</v>
      </c>
      <c r="G1717" s="165" t="s">
        <v>442</v>
      </c>
      <c r="H1717" s="149" t="str">
        <f t="shared" si="9"/>
        <v>MARÍA REY MARCOS</v>
      </c>
      <c r="I1717" s="149" t="s">
        <v>678</v>
      </c>
      <c r="J1717" s="149" t="s">
        <v>516</v>
      </c>
      <c r="K1717" s="149" t="s">
        <v>2688</v>
      </c>
      <c r="L1717" s="168">
        <v>45635</v>
      </c>
      <c r="M1717" s="164"/>
      <c r="N1717" s="163">
        <v>1</v>
      </c>
      <c r="O1717" s="165" t="s">
        <v>466</v>
      </c>
      <c r="P1717" s="161">
        <v>2400</v>
      </c>
      <c r="Q1717" s="168">
        <v>45635</v>
      </c>
      <c r="R1717" s="153"/>
      <c r="S1717" s="153"/>
      <c r="T1717" s="153"/>
      <c r="U1717" s="153"/>
      <c r="V1717" s="153"/>
      <c r="W1717" s="153"/>
      <c r="X1717" s="153"/>
      <c r="Y1717" s="153"/>
      <c r="Z1717" s="153"/>
      <c r="AA1717" s="153"/>
    </row>
    <row r="1718" spans="1:27">
      <c r="A1718" s="163">
        <v>12</v>
      </c>
      <c r="B1718" s="160" t="s">
        <v>2538</v>
      </c>
      <c r="C1718" s="168">
        <v>45574</v>
      </c>
      <c r="D1718" s="160" t="s">
        <v>440</v>
      </c>
      <c r="E1718" s="149" t="s">
        <v>475</v>
      </c>
      <c r="F1718" s="165" t="s">
        <v>441</v>
      </c>
      <c r="G1718" s="165" t="s">
        <v>442</v>
      </c>
      <c r="H1718" s="149" t="str">
        <f t="shared" si="9"/>
        <v>DIANA LISBETH</v>
      </c>
      <c r="I1718" s="149" t="s">
        <v>681</v>
      </c>
      <c r="J1718" s="149" t="s">
        <v>473</v>
      </c>
      <c r="K1718" s="149" t="s">
        <v>2689</v>
      </c>
      <c r="L1718" s="168">
        <v>45636</v>
      </c>
      <c r="M1718" s="164"/>
      <c r="N1718" s="163">
        <v>2</v>
      </c>
      <c r="O1718" s="165" t="s">
        <v>446</v>
      </c>
      <c r="P1718" s="161">
        <v>3909.09</v>
      </c>
      <c r="Q1718" s="168">
        <v>45636</v>
      </c>
      <c r="R1718" s="153"/>
      <c r="S1718" s="153"/>
      <c r="T1718" s="153"/>
      <c r="U1718" s="153"/>
      <c r="V1718" s="153"/>
      <c r="W1718" s="153"/>
      <c r="X1718" s="153"/>
      <c r="Y1718" s="153"/>
      <c r="Z1718" s="153"/>
      <c r="AA1718" s="153"/>
    </row>
    <row r="1719" spans="1:27">
      <c r="A1719" s="163">
        <v>12</v>
      </c>
      <c r="B1719" s="160" t="s">
        <v>2538</v>
      </c>
      <c r="C1719" s="168">
        <v>45579</v>
      </c>
      <c r="D1719" s="160" t="s">
        <v>440</v>
      </c>
      <c r="E1719" s="149" t="s">
        <v>475</v>
      </c>
      <c r="F1719" s="165" t="s">
        <v>441</v>
      </c>
      <c r="G1719" s="165" t="s">
        <v>442</v>
      </c>
      <c r="H1719" s="149" t="str">
        <f t="shared" si="9"/>
        <v>DIANA LISBETH</v>
      </c>
      <c r="I1719" s="149" t="s">
        <v>681</v>
      </c>
      <c r="J1719" s="149" t="s">
        <v>473</v>
      </c>
      <c r="K1719" s="149" t="s">
        <v>2690</v>
      </c>
      <c r="L1719" s="168">
        <v>45636</v>
      </c>
      <c r="M1719" s="164"/>
      <c r="N1719" s="163">
        <v>2</v>
      </c>
      <c r="O1719" s="165" t="s">
        <v>446</v>
      </c>
      <c r="P1719" s="161">
        <v>2727.27</v>
      </c>
      <c r="Q1719" s="168">
        <v>45636</v>
      </c>
      <c r="R1719" s="153"/>
      <c r="S1719" s="153"/>
      <c r="T1719" s="153"/>
      <c r="U1719" s="153"/>
      <c r="V1719" s="153"/>
      <c r="W1719" s="153"/>
      <c r="X1719" s="153"/>
      <c r="Y1719" s="153"/>
      <c r="Z1719" s="153"/>
      <c r="AA1719" s="153"/>
    </row>
    <row r="1720" spans="1:27">
      <c r="A1720" s="163">
        <v>12</v>
      </c>
      <c r="B1720" s="160" t="s">
        <v>2538</v>
      </c>
      <c r="C1720" s="168">
        <v>45607</v>
      </c>
      <c r="D1720" s="160" t="s">
        <v>440</v>
      </c>
      <c r="E1720" s="149" t="s">
        <v>312</v>
      </c>
      <c r="F1720" s="165" t="s">
        <v>441</v>
      </c>
      <c r="G1720" s="165" t="s">
        <v>442</v>
      </c>
      <c r="H1720" s="149" t="str">
        <f t="shared" si="9"/>
        <v>FRANCISCO ALÉS CONEJO</v>
      </c>
      <c r="I1720" s="149" t="s">
        <v>997</v>
      </c>
      <c r="J1720" s="149" t="s">
        <v>455</v>
      </c>
      <c r="K1720" s="149" t="s">
        <v>2691</v>
      </c>
      <c r="L1720" s="168">
        <v>45636</v>
      </c>
      <c r="M1720" s="164"/>
      <c r="N1720" s="163">
        <v>2</v>
      </c>
      <c r="O1720" s="165" t="s">
        <v>466</v>
      </c>
      <c r="P1720" s="161">
        <v>4000</v>
      </c>
      <c r="Q1720" s="168">
        <v>45636</v>
      </c>
      <c r="R1720" s="153"/>
      <c r="S1720" s="153"/>
      <c r="T1720" s="153"/>
      <c r="U1720" s="153"/>
      <c r="V1720" s="153"/>
      <c r="W1720" s="153"/>
      <c r="X1720" s="153"/>
      <c r="Y1720" s="153"/>
      <c r="Z1720" s="153"/>
      <c r="AA1720" s="153"/>
    </row>
    <row r="1721" spans="1:27">
      <c r="A1721" s="163">
        <v>12</v>
      </c>
      <c r="B1721" s="160" t="s">
        <v>2538</v>
      </c>
      <c r="C1721" s="168">
        <v>45593</v>
      </c>
      <c r="D1721" s="160" t="s">
        <v>440</v>
      </c>
      <c r="E1721" s="149" t="s">
        <v>571</v>
      </c>
      <c r="F1721" s="165" t="s">
        <v>441</v>
      </c>
      <c r="G1721" s="165" t="s">
        <v>442</v>
      </c>
      <c r="H1721" s="149" t="str">
        <f t="shared" si="9"/>
        <v>JOSÉ MANUEL GARCÍA SOLANS-ESTERAS</v>
      </c>
      <c r="I1721" s="149" t="s">
        <v>599</v>
      </c>
      <c r="J1721" s="149" t="s">
        <v>548</v>
      </c>
      <c r="K1721" s="149" t="s">
        <v>2692</v>
      </c>
      <c r="L1721" s="168">
        <v>45637</v>
      </c>
      <c r="M1721" s="164"/>
      <c r="N1721" s="163">
        <v>2</v>
      </c>
      <c r="O1721" s="165" t="s">
        <v>446</v>
      </c>
      <c r="P1721" s="161">
        <v>3424.55</v>
      </c>
      <c r="Q1721" s="168">
        <v>45637</v>
      </c>
      <c r="R1721" s="153"/>
      <c r="S1721" s="153"/>
      <c r="T1721" s="153"/>
      <c r="U1721" s="153"/>
      <c r="V1721" s="153"/>
      <c r="W1721" s="153"/>
      <c r="X1721" s="153"/>
      <c r="Y1721" s="153"/>
      <c r="Z1721" s="153"/>
      <c r="AA1721" s="153"/>
    </row>
    <row r="1722" spans="1:27">
      <c r="A1722" s="163">
        <v>12</v>
      </c>
      <c r="B1722" s="160" t="s">
        <v>2538</v>
      </c>
      <c r="C1722" s="168">
        <v>45595</v>
      </c>
      <c r="D1722" s="160" t="s">
        <v>440</v>
      </c>
      <c r="E1722" s="149" t="s">
        <v>475</v>
      </c>
      <c r="F1722" s="165" t="s">
        <v>441</v>
      </c>
      <c r="G1722" s="165" t="s">
        <v>442</v>
      </c>
      <c r="H1722" s="149" t="str">
        <f t="shared" si="9"/>
        <v>ALEJANDRO HARGUINDEY ANTOLI-CANDELA</v>
      </c>
      <c r="I1722" s="149" t="s">
        <v>2445</v>
      </c>
      <c r="J1722" s="149" t="s">
        <v>444</v>
      </c>
      <c r="K1722" s="149" t="s">
        <v>2693</v>
      </c>
      <c r="L1722" s="168">
        <v>45637</v>
      </c>
      <c r="M1722" s="164"/>
      <c r="N1722" s="163">
        <v>2</v>
      </c>
      <c r="O1722" s="165" t="s">
        <v>446</v>
      </c>
      <c r="P1722" s="161">
        <v>900</v>
      </c>
      <c r="Q1722" s="168">
        <v>45637</v>
      </c>
      <c r="R1722" s="153"/>
      <c r="S1722" s="153"/>
      <c r="T1722" s="153"/>
      <c r="U1722" s="153"/>
      <c r="V1722" s="153"/>
      <c r="W1722" s="153"/>
      <c r="X1722" s="153"/>
      <c r="Y1722" s="153"/>
      <c r="Z1722" s="153"/>
      <c r="AA1722" s="153"/>
    </row>
    <row r="1723" spans="1:27">
      <c r="A1723" s="163">
        <v>12</v>
      </c>
      <c r="B1723" s="160" t="s">
        <v>2538</v>
      </c>
      <c r="C1723" s="168">
        <v>45607</v>
      </c>
      <c r="D1723" s="160" t="s">
        <v>440</v>
      </c>
      <c r="E1723" s="149" t="s">
        <v>546</v>
      </c>
      <c r="F1723" s="165" t="s">
        <v>441</v>
      </c>
      <c r="G1723" s="165" t="s">
        <v>442</v>
      </c>
      <c r="H1723" s="149" t="str">
        <f t="shared" si="9"/>
        <v>DANIELA CAROLINA LAGUADO BULGHERONI</v>
      </c>
      <c r="I1723" s="149" t="s">
        <v>1340</v>
      </c>
      <c r="J1723" s="149" t="s">
        <v>548</v>
      </c>
      <c r="K1723" s="149" t="s">
        <v>2694</v>
      </c>
      <c r="L1723" s="168">
        <v>45637</v>
      </c>
      <c r="M1723" s="164"/>
      <c r="N1723" s="163">
        <v>2</v>
      </c>
      <c r="O1723" s="165" t="s">
        <v>513</v>
      </c>
      <c r="P1723" s="161">
        <v>3954.55</v>
      </c>
      <c r="Q1723" s="168">
        <v>45637</v>
      </c>
      <c r="R1723" s="153"/>
      <c r="S1723" s="153"/>
      <c r="T1723" s="153"/>
      <c r="U1723" s="153"/>
      <c r="V1723" s="153"/>
      <c r="W1723" s="153"/>
      <c r="X1723" s="153"/>
      <c r="Y1723" s="153"/>
      <c r="Z1723" s="153"/>
      <c r="AA1723" s="153"/>
    </row>
    <row r="1724" spans="1:27">
      <c r="A1724" s="163">
        <v>12</v>
      </c>
      <c r="B1724" s="160" t="s">
        <v>2538</v>
      </c>
      <c r="C1724" s="168">
        <v>45614</v>
      </c>
      <c r="D1724" s="160" t="s">
        <v>440</v>
      </c>
      <c r="E1724" s="149" t="s">
        <v>951</v>
      </c>
      <c r="F1724" s="165" t="s">
        <v>441</v>
      </c>
      <c r="G1724" s="165" t="s">
        <v>442</v>
      </c>
      <c r="H1724" s="149" t="str">
        <f t="shared" si="9"/>
        <v>ISABEL VAAMONDE SANCHEZ ANDRADE</v>
      </c>
      <c r="I1724" s="149" t="s">
        <v>814</v>
      </c>
      <c r="J1724" s="149" t="s">
        <v>516</v>
      </c>
      <c r="K1724" s="149" t="s">
        <v>2695</v>
      </c>
      <c r="L1724" s="168">
        <v>45637</v>
      </c>
      <c r="M1724" s="164"/>
      <c r="N1724" s="163">
        <v>2</v>
      </c>
      <c r="O1724" s="165" t="s">
        <v>513</v>
      </c>
      <c r="P1724" s="161">
        <v>4400</v>
      </c>
      <c r="Q1724" s="168">
        <v>45637</v>
      </c>
      <c r="R1724" s="153"/>
      <c r="S1724" s="153"/>
      <c r="T1724" s="153"/>
      <c r="U1724" s="153"/>
      <c r="V1724" s="153"/>
      <c r="W1724" s="153"/>
      <c r="X1724" s="153"/>
      <c r="Y1724" s="153"/>
      <c r="Z1724" s="153"/>
      <c r="AA1724" s="153"/>
    </row>
    <row r="1725" spans="1:27">
      <c r="A1725" s="163">
        <v>12</v>
      </c>
      <c r="B1725" s="160" t="s">
        <v>2538</v>
      </c>
      <c r="C1725" s="168">
        <v>45625</v>
      </c>
      <c r="D1725" s="160" t="s">
        <v>440</v>
      </c>
      <c r="E1725" s="149" t="s">
        <v>601</v>
      </c>
      <c r="F1725" s="165" t="s">
        <v>441</v>
      </c>
      <c r="G1725" s="165" t="s">
        <v>442</v>
      </c>
      <c r="H1725" s="149" t="str">
        <f t="shared" si="9"/>
        <v>MIGUEL MAYO YÁÑEZ</v>
      </c>
      <c r="I1725" s="149" t="s">
        <v>692</v>
      </c>
      <c r="J1725" s="149" t="s">
        <v>516</v>
      </c>
      <c r="K1725" s="149" t="s">
        <v>2696</v>
      </c>
      <c r="L1725" s="168">
        <v>45637</v>
      </c>
      <c r="M1725" s="164"/>
      <c r="N1725" s="163">
        <v>2</v>
      </c>
      <c r="O1725" s="165" t="s">
        <v>446</v>
      </c>
      <c r="P1725" s="161">
        <v>3000</v>
      </c>
      <c r="Q1725" s="168">
        <v>45637</v>
      </c>
      <c r="R1725" s="153"/>
      <c r="S1725" s="153"/>
      <c r="T1725" s="153"/>
      <c r="U1725" s="153"/>
      <c r="V1725" s="153"/>
      <c r="W1725" s="153"/>
      <c r="X1725" s="153"/>
      <c r="Y1725" s="153"/>
      <c r="Z1725" s="153"/>
      <c r="AA1725" s="153"/>
    </row>
    <row r="1726" spans="1:27">
      <c r="A1726" s="163">
        <v>12</v>
      </c>
      <c r="B1726" s="160" t="s">
        <v>2538</v>
      </c>
      <c r="C1726" s="168">
        <v>45548</v>
      </c>
      <c r="D1726" s="160" t="s">
        <v>440</v>
      </c>
      <c r="E1726" s="149" t="s">
        <v>475</v>
      </c>
      <c r="F1726" s="165" t="s">
        <v>441</v>
      </c>
      <c r="G1726" s="165" t="s">
        <v>442</v>
      </c>
      <c r="H1726" s="149" t="str">
        <f t="shared" si="9"/>
        <v>MÓNICA GRANDA ROSALES</v>
      </c>
      <c r="I1726" s="149" t="s">
        <v>476</v>
      </c>
      <c r="J1726" s="149" t="s">
        <v>473</v>
      </c>
      <c r="K1726" s="149" t="s">
        <v>2697</v>
      </c>
      <c r="L1726" s="168">
        <v>45638</v>
      </c>
      <c r="M1726" s="164"/>
      <c r="N1726" s="163">
        <v>2</v>
      </c>
      <c r="O1726" s="165" t="s">
        <v>446</v>
      </c>
      <c r="P1726" s="161">
        <v>3909.09</v>
      </c>
      <c r="Q1726" s="168">
        <v>45638</v>
      </c>
      <c r="R1726" s="153"/>
      <c r="S1726" s="153"/>
      <c r="T1726" s="153"/>
      <c r="U1726" s="153"/>
      <c r="V1726" s="153"/>
      <c r="W1726" s="153"/>
      <c r="X1726" s="153"/>
      <c r="Y1726" s="153"/>
      <c r="Z1726" s="153"/>
      <c r="AA1726" s="153"/>
    </row>
    <row r="1727" spans="1:27">
      <c r="A1727" s="163">
        <v>12</v>
      </c>
      <c r="B1727" s="160" t="s">
        <v>2538</v>
      </c>
      <c r="C1727" s="168">
        <v>45575</v>
      </c>
      <c r="D1727" s="160" t="s">
        <v>440</v>
      </c>
      <c r="E1727" s="149" t="s">
        <v>2338</v>
      </c>
      <c r="F1727" s="165" t="s">
        <v>441</v>
      </c>
      <c r="G1727" s="165" t="s">
        <v>442</v>
      </c>
      <c r="H1727" s="149" t="str">
        <f t="shared" si="9"/>
        <v>ISIDORO RUBIO CORREA</v>
      </c>
      <c r="I1727" s="149" t="s">
        <v>1783</v>
      </c>
      <c r="J1727" s="149" t="s">
        <v>455</v>
      </c>
      <c r="K1727" s="149" t="s">
        <v>2698</v>
      </c>
      <c r="L1727" s="168">
        <v>45638</v>
      </c>
      <c r="M1727" s="164"/>
      <c r="N1727" s="163">
        <v>1</v>
      </c>
      <c r="O1727" s="165" t="s">
        <v>449</v>
      </c>
      <c r="P1727" s="161">
        <v>1727.27</v>
      </c>
      <c r="Q1727" s="168">
        <v>45638</v>
      </c>
      <c r="R1727" s="153"/>
      <c r="S1727" s="153"/>
      <c r="T1727" s="153"/>
      <c r="U1727" s="153"/>
      <c r="V1727" s="153"/>
      <c r="W1727" s="153"/>
      <c r="X1727" s="153"/>
      <c r="Y1727" s="153"/>
      <c r="Z1727" s="153"/>
      <c r="AA1727" s="153"/>
    </row>
    <row r="1728" spans="1:27">
      <c r="A1728" s="163">
        <v>12</v>
      </c>
      <c r="B1728" s="160" t="s">
        <v>2538</v>
      </c>
      <c r="C1728" s="168">
        <v>45608</v>
      </c>
      <c r="D1728" s="160" t="s">
        <v>440</v>
      </c>
      <c r="E1728" s="149" t="s">
        <v>571</v>
      </c>
      <c r="F1728" s="165" t="s">
        <v>441</v>
      </c>
      <c r="G1728" s="165" t="s">
        <v>442</v>
      </c>
      <c r="H1728" s="149" t="str">
        <f t="shared" si="9"/>
        <v>JOSÉ TISNER NIETO</v>
      </c>
      <c r="I1728" s="149" t="s">
        <v>1356</v>
      </c>
      <c r="J1728" s="149" t="s">
        <v>548</v>
      </c>
      <c r="K1728" s="149" t="s">
        <v>2699</v>
      </c>
      <c r="L1728" s="168">
        <v>45638</v>
      </c>
      <c r="M1728" s="164"/>
      <c r="N1728" s="163">
        <v>2</v>
      </c>
      <c r="O1728" s="165" t="s">
        <v>466</v>
      </c>
      <c r="P1728" s="161">
        <v>3409.09</v>
      </c>
      <c r="Q1728" s="168">
        <v>45638</v>
      </c>
      <c r="R1728" s="153"/>
      <c r="S1728" s="153"/>
      <c r="T1728" s="153"/>
      <c r="U1728" s="153"/>
      <c r="V1728" s="153"/>
      <c r="W1728" s="153"/>
      <c r="X1728" s="153"/>
      <c r="Y1728" s="153"/>
      <c r="Z1728" s="153"/>
      <c r="AA1728" s="153"/>
    </row>
    <row r="1729" spans="1:27">
      <c r="A1729" s="163">
        <v>12</v>
      </c>
      <c r="B1729" s="160" t="s">
        <v>2538</v>
      </c>
      <c r="C1729" s="168">
        <v>45572</v>
      </c>
      <c r="D1729" s="160" t="s">
        <v>440</v>
      </c>
      <c r="E1729" s="149" t="s">
        <v>485</v>
      </c>
      <c r="F1729" s="165" t="s">
        <v>441</v>
      </c>
      <c r="G1729" s="165" t="s">
        <v>442</v>
      </c>
      <c r="H1729" s="149" t="str">
        <f t="shared" si="9"/>
        <v>ALEJANDRO HARGUINDEY ANTOLI-CANDELA</v>
      </c>
      <c r="I1729" s="149" t="s">
        <v>2445</v>
      </c>
      <c r="J1729" s="149" t="s">
        <v>444</v>
      </c>
      <c r="K1729" s="149" t="s">
        <v>2700</v>
      </c>
      <c r="L1729" s="168">
        <v>45639</v>
      </c>
      <c r="M1729" s="164"/>
      <c r="N1729" s="163">
        <v>1</v>
      </c>
      <c r="O1729" s="165" t="s">
        <v>513</v>
      </c>
      <c r="P1729" s="161">
        <v>2307.27</v>
      </c>
      <c r="Q1729" s="168">
        <v>45639</v>
      </c>
      <c r="R1729" s="153"/>
      <c r="S1729" s="153"/>
      <c r="T1729" s="153"/>
      <c r="U1729" s="153"/>
      <c r="V1729" s="153"/>
      <c r="W1729" s="153"/>
      <c r="X1729" s="153"/>
      <c r="Y1729" s="153"/>
      <c r="Z1729" s="153"/>
      <c r="AA1729" s="153"/>
    </row>
    <row r="1730" spans="1:27">
      <c r="A1730" s="163">
        <v>12</v>
      </c>
      <c r="B1730" s="160" t="s">
        <v>2538</v>
      </c>
      <c r="C1730" s="168">
        <v>45530</v>
      </c>
      <c r="D1730" s="160" t="s">
        <v>440</v>
      </c>
      <c r="E1730" s="149" t="s">
        <v>525</v>
      </c>
      <c r="F1730" s="165" t="s">
        <v>441</v>
      </c>
      <c r="G1730" s="165" t="s">
        <v>442</v>
      </c>
      <c r="H1730" s="149" t="str">
        <f t="shared" si="9"/>
        <v>ADELA PÉREZ-CARO RÍOS</v>
      </c>
      <c r="I1730" s="149" t="s">
        <v>895</v>
      </c>
      <c r="J1730" s="149" t="s">
        <v>516</v>
      </c>
      <c r="K1730" s="149" t="s">
        <v>2701</v>
      </c>
      <c r="L1730" s="168">
        <v>45642</v>
      </c>
      <c r="M1730" s="164"/>
      <c r="N1730" s="163">
        <v>2</v>
      </c>
      <c r="O1730" s="165" t="s">
        <v>446</v>
      </c>
      <c r="P1730" s="161">
        <v>3545.45</v>
      </c>
      <c r="Q1730" s="168">
        <v>45642</v>
      </c>
      <c r="R1730" s="153"/>
      <c r="S1730" s="153"/>
      <c r="T1730" s="153"/>
      <c r="U1730" s="153"/>
      <c r="V1730" s="153"/>
      <c r="W1730" s="153"/>
      <c r="X1730" s="153"/>
      <c r="Y1730" s="153"/>
      <c r="Z1730" s="153"/>
      <c r="AA1730" s="153"/>
    </row>
    <row r="1731" spans="1:27">
      <c r="A1731" s="163">
        <v>12</v>
      </c>
      <c r="B1731" s="160" t="s">
        <v>2538</v>
      </c>
      <c r="C1731" s="168">
        <v>45593</v>
      </c>
      <c r="D1731" s="160" t="s">
        <v>440</v>
      </c>
      <c r="E1731" s="149" t="s">
        <v>2338</v>
      </c>
      <c r="F1731" s="165" t="s">
        <v>441</v>
      </c>
      <c r="G1731" s="165" t="s">
        <v>442</v>
      </c>
      <c r="H1731" s="149" t="str">
        <f t="shared" si="9"/>
        <v>TOMAS MOGOLLON CANO CORTES</v>
      </c>
      <c r="I1731" s="149" t="s">
        <v>1045</v>
      </c>
      <c r="J1731" s="149" t="s">
        <v>455</v>
      </c>
      <c r="K1731" s="149" t="s">
        <v>2702</v>
      </c>
      <c r="L1731" s="168">
        <v>45642</v>
      </c>
      <c r="M1731" s="164"/>
      <c r="N1731" s="163">
        <v>2</v>
      </c>
      <c r="O1731" s="165" t="s">
        <v>466</v>
      </c>
      <c r="P1731" s="161">
        <v>4000</v>
      </c>
      <c r="Q1731" s="168">
        <v>45642</v>
      </c>
      <c r="R1731" s="153"/>
      <c r="S1731" s="153"/>
      <c r="T1731" s="153"/>
      <c r="U1731" s="153"/>
      <c r="V1731" s="153"/>
      <c r="W1731" s="153"/>
      <c r="X1731" s="153"/>
      <c r="Y1731" s="153"/>
      <c r="Z1731" s="153"/>
      <c r="AA1731" s="153"/>
    </row>
    <row r="1732" spans="1:27">
      <c r="A1732" s="163">
        <v>12</v>
      </c>
      <c r="B1732" s="160" t="s">
        <v>2538</v>
      </c>
      <c r="C1732" s="168">
        <v>45607</v>
      </c>
      <c r="D1732" s="160" t="s">
        <v>440</v>
      </c>
      <c r="E1732" s="149" t="s">
        <v>546</v>
      </c>
      <c r="F1732" s="165" t="s">
        <v>441</v>
      </c>
      <c r="G1732" s="165" t="s">
        <v>442</v>
      </c>
      <c r="H1732" s="149" t="str">
        <f t="shared" si="9"/>
        <v>RAFAEL SANZ TRENADO</v>
      </c>
      <c r="I1732" s="149" t="s">
        <v>1523</v>
      </c>
      <c r="J1732" s="149" t="s">
        <v>548</v>
      </c>
      <c r="K1732" s="149" t="s">
        <v>2703</v>
      </c>
      <c r="L1732" s="168">
        <v>45642</v>
      </c>
      <c r="M1732" s="164"/>
      <c r="N1732" s="163">
        <v>1</v>
      </c>
      <c r="O1732" s="165" t="s">
        <v>446</v>
      </c>
      <c r="P1732" s="161">
        <v>1691.82</v>
      </c>
      <c r="Q1732" s="168">
        <v>45642</v>
      </c>
      <c r="R1732" s="153"/>
      <c r="S1732" s="153"/>
      <c r="T1732" s="153"/>
      <c r="U1732" s="153"/>
      <c r="V1732" s="153"/>
      <c r="W1732" s="153"/>
      <c r="X1732" s="153"/>
      <c r="Y1732" s="153"/>
      <c r="Z1732" s="153"/>
      <c r="AA1732" s="153"/>
    </row>
    <row r="1733" spans="1:27">
      <c r="A1733" s="163">
        <v>12</v>
      </c>
      <c r="B1733" s="160" t="s">
        <v>2538</v>
      </c>
      <c r="C1733" s="168">
        <v>45614</v>
      </c>
      <c r="D1733" s="160" t="s">
        <v>440</v>
      </c>
      <c r="E1733" s="149" t="s">
        <v>546</v>
      </c>
      <c r="F1733" s="165" t="s">
        <v>441</v>
      </c>
      <c r="G1733" s="165" t="s">
        <v>442</v>
      </c>
      <c r="H1733" s="149" t="str">
        <f t="shared" si="9"/>
        <v>RAED MAQUED EL MAQUED</v>
      </c>
      <c r="I1733" s="149" t="s">
        <v>547</v>
      </c>
      <c r="J1733" s="149" t="s">
        <v>548</v>
      </c>
      <c r="K1733" s="149" t="s">
        <v>2704</v>
      </c>
      <c r="L1733" s="168">
        <v>45642</v>
      </c>
      <c r="M1733" s="164"/>
      <c r="N1733" s="163">
        <v>1</v>
      </c>
      <c r="O1733" s="165" t="s">
        <v>513</v>
      </c>
      <c r="P1733" s="161">
        <v>2200</v>
      </c>
      <c r="Q1733" s="168">
        <v>45642</v>
      </c>
      <c r="R1733" s="153"/>
      <c r="S1733" s="153"/>
      <c r="T1733" s="153"/>
      <c r="U1733" s="153"/>
      <c r="V1733" s="153"/>
      <c r="W1733" s="153"/>
      <c r="X1733" s="153"/>
      <c r="Y1733" s="153"/>
      <c r="Z1733" s="153"/>
      <c r="AA1733" s="153"/>
    </row>
    <row r="1734" spans="1:27">
      <c r="A1734" s="163">
        <v>12</v>
      </c>
      <c r="B1734" s="160" t="s">
        <v>2538</v>
      </c>
      <c r="C1734" s="168">
        <v>45561</v>
      </c>
      <c r="D1734" s="160" t="s">
        <v>440</v>
      </c>
      <c r="E1734" s="149" t="s">
        <v>546</v>
      </c>
      <c r="F1734" s="165" t="s">
        <v>441</v>
      </c>
      <c r="G1734" s="165" t="s">
        <v>442</v>
      </c>
      <c r="H1734" s="149" t="str">
        <f t="shared" si="9"/>
        <v>JAVIER GARCÍA GÓMEZ</v>
      </c>
      <c r="I1734" s="149" t="s">
        <v>946</v>
      </c>
      <c r="J1734" s="149" t="s">
        <v>548</v>
      </c>
      <c r="K1734" s="149" t="s">
        <v>2705</v>
      </c>
      <c r="L1734" s="168">
        <v>45644</v>
      </c>
      <c r="M1734" s="164"/>
      <c r="N1734" s="163">
        <v>1</v>
      </c>
      <c r="O1734" s="165" t="s">
        <v>466</v>
      </c>
      <c r="P1734" s="161">
        <v>2119.09</v>
      </c>
      <c r="Q1734" s="168">
        <v>45644</v>
      </c>
      <c r="R1734" s="153"/>
      <c r="S1734" s="153"/>
      <c r="T1734" s="153"/>
      <c r="U1734" s="153"/>
      <c r="V1734" s="153"/>
      <c r="W1734" s="153"/>
      <c r="X1734" s="153"/>
      <c r="Y1734" s="153"/>
      <c r="Z1734" s="153"/>
      <c r="AA1734" s="153"/>
    </row>
    <row r="1735" spans="1:27">
      <c r="A1735" s="163">
        <v>12</v>
      </c>
      <c r="B1735" s="160" t="s">
        <v>2538</v>
      </c>
      <c r="C1735" s="168">
        <v>45572</v>
      </c>
      <c r="D1735" s="160" t="s">
        <v>440</v>
      </c>
      <c r="E1735" s="149" t="s">
        <v>506</v>
      </c>
      <c r="F1735" s="165" t="s">
        <v>441</v>
      </c>
      <c r="G1735" s="165" t="s">
        <v>442</v>
      </c>
      <c r="H1735" s="149" t="str">
        <f t="shared" si="9"/>
        <v>LUIS MIGUEL RINCÓN ESTEBAN</v>
      </c>
      <c r="I1735" s="149" t="s">
        <v>1033</v>
      </c>
      <c r="J1735" s="149" t="s">
        <v>473</v>
      </c>
      <c r="K1735" s="149" t="s">
        <v>2706</v>
      </c>
      <c r="L1735" s="168">
        <v>45644</v>
      </c>
      <c r="M1735" s="164"/>
      <c r="N1735" s="163">
        <v>2</v>
      </c>
      <c r="O1735" s="165" t="s">
        <v>446</v>
      </c>
      <c r="P1735" s="161">
        <v>3604.55</v>
      </c>
      <c r="Q1735" s="168">
        <v>45644</v>
      </c>
      <c r="R1735" s="153"/>
      <c r="S1735" s="153"/>
      <c r="T1735" s="153"/>
      <c r="U1735" s="153"/>
      <c r="V1735" s="153"/>
      <c r="W1735" s="153"/>
      <c r="X1735" s="153"/>
      <c r="Y1735" s="153"/>
      <c r="Z1735" s="153"/>
      <c r="AA1735" s="153"/>
    </row>
    <row r="1736" spans="1:27">
      <c r="A1736" s="163">
        <v>12</v>
      </c>
      <c r="B1736" s="160" t="s">
        <v>2538</v>
      </c>
      <c r="C1736" s="168">
        <v>45581</v>
      </c>
      <c r="D1736" s="160" t="s">
        <v>440</v>
      </c>
      <c r="E1736" s="149" t="s">
        <v>501</v>
      </c>
      <c r="F1736" s="165" t="s">
        <v>441</v>
      </c>
      <c r="G1736" s="165" t="s">
        <v>442</v>
      </c>
      <c r="H1736" s="149" t="str">
        <f t="shared" si="9"/>
        <v>GARIKOITZ CALZADA URIONDO</v>
      </c>
      <c r="I1736" s="149" t="s">
        <v>1246</v>
      </c>
      <c r="J1736" s="149" t="s">
        <v>548</v>
      </c>
      <c r="K1736" s="149" t="s">
        <v>2707</v>
      </c>
      <c r="L1736" s="168">
        <v>45644</v>
      </c>
      <c r="M1736" s="164"/>
      <c r="N1736" s="163">
        <v>2</v>
      </c>
      <c r="O1736" s="165" t="s">
        <v>446</v>
      </c>
      <c r="P1736" s="161">
        <v>3454.55</v>
      </c>
      <c r="Q1736" s="168">
        <v>45644</v>
      </c>
      <c r="R1736" s="153"/>
      <c r="S1736" s="153"/>
      <c r="T1736" s="153"/>
      <c r="U1736" s="153"/>
      <c r="V1736" s="153"/>
      <c r="W1736" s="153"/>
      <c r="X1736" s="153"/>
      <c r="Y1736" s="153"/>
      <c r="Z1736" s="153"/>
      <c r="AA1736" s="153"/>
    </row>
    <row r="1737" spans="1:27">
      <c r="A1737" s="163">
        <v>12</v>
      </c>
      <c r="B1737" s="160" t="s">
        <v>2538</v>
      </c>
      <c r="C1737" s="168">
        <v>45611</v>
      </c>
      <c r="D1737" s="160" t="s">
        <v>440</v>
      </c>
      <c r="E1737" s="149" t="s">
        <v>525</v>
      </c>
      <c r="F1737" s="165" t="s">
        <v>441</v>
      </c>
      <c r="G1737" s="165" t="s">
        <v>442</v>
      </c>
      <c r="H1737" s="149" t="str">
        <f t="shared" si="9"/>
        <v>LEÓN FERNÁNDEZ CAMESELLE</v>
      </c>
      <c r="I1737" s="149" t="s">
        <v>2708</v>
      </c>
      <c r="J1737" s="149" t="s">
        <v>516</v>
      </c>
      <c r="K1737" s="149" t="s">
        <v>2709</v>
      </c>
      <c r="L1737" s="168">
        <v>45644</v>
      </c>
      <c r="M1737" s="164"/>
      <c r="N1737" s="163">
        <v>2</v>
      </c>
      <c r="O1737" s="165" t="s">
        <v>446</v>
      </c>
      <c r="P1737" s="161">
        <v>3454.55</v>
      </c>
      <c r="Q1737" s="168">
        <v>45644</v>
      </c>
      <c r="R1737" s="153"/>
      <c r="S1737" s="153"/>
      <c r="T1737" s="153"/>
      <c r="U1737" s="153"/>
      <c r="V1737" s="153"/>
      <c r="W1737" s="153"/>
      <c r="X1737" s="153"/>
      <c r="Y1737" s="153"/>
      <c r="Z1737" s="153"/>
      <c r="AA1737" s="153"/>
    </row>
    <row r="1738" spans="1:27">
      <c r="A1738" s="163">
        <v>12</v>
      </c>
      <c r="B1738" s="160" t="s">
        <v>2538</v>
      </c>
      <c r="C1738" s="168">
        <v>45611</v>
      </c>
      <c r="D1738" s="160" t="s">
        <v>440</v>
      </c>
      <c r="E1738" s="149" t="s">
        <v>546</v>
      </c>
      <c r="F1738" s="165" t="s">
        <v>441</v>
      </c>
      <c r="G1738" s="165" t="s">
        <v>442</v>
      </c>
      <c r="H1738" s="149" t="str">
        <f t="shared" si="9"/>
        <v>JAVIER GARCÍA GÓMEZ</v>
      </c>
      <c r="I1738" s="149" t="s">
        <v>946</v>
      </c>
      <c r="J1738" s="149" t="s">
        <v>548</v>
      </c>
      <c r="K1738" s="149" t="s">
        <v>2710</v>
      </c>
      <c r="L1738" s="168">
        <v>45644</v>
      </c>
      <c r="M1738" s="164"/>
      <c r="N1738" s="163">
        <v>3</v>
      </c>
      <c r="O1738" s="165" t="s">
        <v>446</v>
      </c>
      <c r="P1738" s="161">
        <v>4219.09</v>
      </c>
      <c r="Q1738" s="168">
        <v>45644</v>
      </c>
      <c r="R1738" s="153"/>
      <c r="S1738" s="153"/>
      <c r="T1738" s="153"/>
      <c r="U1738" s="153"/>
      <c r="V1738" s="153"/>
      <c r="W1738" s="153"/>
      <c r="X1738" s="153"/>
      <c r="Y1738" s="153"/>
      <c r="Z1738" s="153"/>
      <c r="AA1738" s="153"/>
    </row>
    <row r="1739" spans="1:27">
      <c r="A1739" s="163">
        <v>12</v>
      </c>
      <c r="B1739" s="160" t="s">
        <v>2538</v>
      </c>
      <c r="C1739" s="168">
        <v>45614</v>
      </c>
      <c r="D1739" s="160" t="s">
        <v>440</v>
      </c>
      <c r="E1739" s="149" t="s">
        <v>501</v>
      </c>
      <c r="F1739" s="165" t="s">
        <v>441</v>
      </c>
      <c r="G1739" s="165" t="s">
        <v>442</v>
      </c>
      <c r="H1739" s="149" t="str">
        <f t="shared" si="9"/>
        <v>FERNANDO SALAZAR BARCELONA</v>
      </c>
      <c r="I1739" s="149" t="s">
        <v>502</v>
      </c>
      <c r="J1739" s="149" t="s">
        <v>548</v>
      </c>
      <c r="K1739" s="149" t="s">
        <v>2711</v>
      </c>
      <c r="L1739" s="168">
        <v>45644</v>
      </c>
      <c r="M1739" s="164"/>
      <c r="N1739" s="163">
        <v>1</v>
      </c>
      <c r="O1739" s="165" t="s">
        <v>466</v>
      </c>
      <c r="P1739" s="161">
        <v>1909.09</v>
      </c>
      <c r="Q1739" s="168">
        <v>45644</v>
      </c>
      <c r="R1739" s="153"/>
      <c r="S1739" s="153"/>
      <c r="T1739" s="153"/>
      <c r="U1739" s="153"/>
      <c r="V1739" s="153"/>
      <c r="W1739" s="153"/>
      <c r="X1739" s="153"/>
      <c r="Y1739" s="153"/>
      <c r="Z1739" s="153"/>
      <c r="AA1739" s="153"/>
    </row>
    <row r="1740" spans="1:27">
      <c r="A1740" s="163">
        <v>12</v>
      </c>
      <c r="B1740" s="160" t="s">
        <v>2538</v>
      </c>
      <c r="C1740" s="168">
        <v>45553</v>
      </c>
      <c r="D1740" s="160" t="s">
        <v>440</v>
      </c>
      <c r="E1740" s="149" t="s">
        <v>475</v>
      </c>
      <c r="F1740" s="165" t="s">
        <v>441</v>
      </c>
      <c r="G1740" s="165" t="s">
        <v>442</v>
      </c>
      <c r="H1740" s="149" t="str">
        <f t="shared" si="9"/>
        <v>MÓNICA GRANDA ROSALES</v>
      </c>
      <c r="I1740" s="149" t="s">
        <v>476</v>
      </c>
      <c r="J1740" s="149" t="s">
        <v>473</v>
      </c>
      <c r="K1740" s="149" t="s">
        <v>2712</v>
      </c>
      <c r="L1740" s="168">
        <v>45645</v>
      </c>
      <c r="M1740" s="164"/>
      <c r="N1740" s="163">
        <v>2</v>
      </c>
      <c r="O1740" s="165" t="s">
        <v>446</v>
      </c>
      <c r="P1740" s="161">
        <v>3907.69</v>
      </c>
      <c r="Q1740" s="168">
        <v>45645</v>
      </c>
      <c r="R1740" s="153"/>
      <c r="S1740" s="153"/>
      <c r="T1740" s="153"/>
      <c r="U1740" s="153"/>
      <c r="V1740" s="153"/>
      <c r="W1740" s="153"/>
      <c r="X1740" s="153"/>
      <c r="Y1740" s="153"/>
      <c r="Z1740" s="153"/>
      <c r="AA1740" s="153"/>
    </row>
    <row r="1741" spans="1:27">
      <c r="A1741" s="163">
        <v>12</v>
      </c>
      <c r="B1741" s="160" t="s">
        <v>2538</v>
      </c>
      <c r="C1741" s="168">
        <v>45616</v>
      </c>
      <c r="D1741" s="160" t="s">
        <v>440</v>
      </c>
      <c r="E1741" s="149" t="s">
        <v>571</v>
      </c>
      <c r="F1741" s="165" t="s">
        <v>441</v>
      </c>
      <c r="G1741" s="165" t="s">
        <v>442</v>
      </c>
      <c r="H1741" s="149" t="str">
        <f t="shared" si="9"/>
        <v>JOSÉ MANUEL GARCÍA SOLANS-ESTERAS</v>
      </c>
      <c r="I1741" s="149" t="s">
        <v>599</v>
      </c>
      <c r="J1741" s="149" t="s">
        <v>548</v>
      </c>
      <c r="K1741" s="149" t="s">
        <v>2713</v>
      </c>
      <c r="L1741" s="168">
        <v>45646</v>
      </c>
      <c r="M1741" s="164"/>
      <c r="N1741" s="163">
        <v>2</v>
      </c>
      <c r="O1741" s="165" t="s">
        <v>446</v>
      </c>
      <c r="P1741" s="161">
        <v>3424.55</v>
      </c>
      <c r="Q1741" s="168">
        <v>45646</v>
      </c>
      <c r="R1741" s="153"/>
      <c r="S1741" s="153"/>
      <c r="T1741" s="153"/>
      <c r="U1741" s="153"/>
      <c r="V1741" s="153"/>
      <c r="W1741" s="153"/>
      <c r="X1741" s="153"/>
      <c r="Y1741" s="153"/>
      <c r="Z1741" s="153"/>
      <c r="AA1741" s="153"/>
    </row>
    <row r="1742" spans="1:27">
      <c r="A1742" s="163">
        <v>12</v>
      </c>
      <c r="B1742" s="160" t="s">
        <v>2538</v>
      </c>
      <c r="C1742" s="168">
        <v>45629</v>
      </c>
      <c r="D1742" s="160" t="s">
        <v>440</v>
      </c>
      <c r="E1742" s="149" t="s">
        <v>546</v>
      </c>
      <c r="F1742" s="165" t="s">
        <v>441</v>
      </c>
      <c r="G1742" s="165" t="s">
        <v>442</v>
      </c>
      <c r="H1742" s="149" t="str">
        <f t="shared" si="9"/>
        <v>MANUEL CAÑETE DOMÍNGUEZ</v>
      </c>
      <c r="I1742" s="149" t="s">
        <v>1380</v>
      </c>
      <c r="J1742" s="149" t="s">
        <v>548</v>
      </c>
      <c r="K1742" s="149" t="s">
        <v>2714</v>
      </c>
      <c r="L1742" s="168">
        <v>45646</v>
      </c>
      <c r="M1742" s="164"/>
      <c r="N1742" s="163">
        <v>2</v>
      </c>
      <c r="O1742" s="165" t="s">
        <v>513</v>
      </c>
      <c r="P1742" s="161">
        <v>3545.45</v>
      </c>
      <c r="Q1742" s="168">
        <v>45646</v>
      </c>
      <c r="R1742" s="153"/>
      <c r="S1742" s="153"/>
      <c r="T1742" s="153"/>
      <c r="U1742" s="153"/>
      <c r="V1742" s="153"/>
      <c r="W1742" s="153"/>
      <c r="X1742" s="153"/>
      <c r="Y1742" s="153"/>
      <c r="Z1742" s="153"/>
      <c r="AA1742" s="153"/>
    </row>
    <row r="1743" spans="1:27">
      <c r="A1743" s="163">
        <v>12</v>
      </c>
      <c r="B1743" s="160" t="s">
        <v>2538</v>
      </c>
      <c r="C1743" s="168">
        <v>45610</v>
      </c>
      <c r="D1743" s="160" t="s">
        <v>440</v>
      </c>
      <c r="E1743" s="149" t="s">
        <v>546</v>
      </c>
      <c r="F1743" s="165" t="s">
        <v>441</v>
      </c>
      <c r="G1743" s="165" t="s">
        <v>442</v>
      </c>
      <c r="H1743" s="149" t="str">
        <f t="shared" si="9"/>
        <v>MANUEL CAÑETE DOMÍNGUEZ</v>
      </c>
      <c r="I1743" s="149" t="s">
        <v>1380</v>
      </c>
      <c r="J1743" s="149" t="s">
        <v>548</v>
      </c>
      <c r="K1743" s="149" t="s">
        <v>2715</v>
      </c>
      <c r="L1743" s="168">
        <v>45649</v>
      </c>
      <c r="M1743" s="164"/>
      <c r="N1743" s="163">
        <v>1</v>
      </c>
      <c r="O1743" s="165" t="s">
        <v>466</v>
      </c>
      <c r="P1743" s="161">
        <v>2000</v>
      </c>
      <c r="Q1743" s="168">
        <v>45649</v>
      </c>
      <c r="R1743" s="153"/>
      <c r="S1743" s="153"/>
      <c r="T1743" s="153"/>
      <c r="U1743" s="153"/>
      <c r="V1743" s="153"/>
      <c r="W1743" s="153"/>
      <c r="X1743" s="153"/>
      <c r="Y1743" s="153"/>
      <c r="Z1743" s="153"/>
      <c r="AA1743" s="153"/>
    </row>
    <row r="1744" spans="1:27">
      <c r="A1744" s="163">
        <v>12</v>
      </c>
      <c r="B1744" s="160" t="s">
        <v>2538</v>
      </c>
      <c r="C1744" s="168">
        <v>45603</v>
      </c>
      <c r="D1744" s="160" t="s">
        <v>440</v>
      </c>
      <c r="E1744" s="149" t="s">
        <v>571</v>
      </c>
      <c r="F1744" s="165" t="s">
        <v>441</v>
      </c>
      <c r="G1744" s="165" t="s">
        <v>442</v>
      </c>
      <c r="H1744" s="149" t="str">
        <f t="shared" si="9"/>
        <v>JULIO KNASTER DEL OLMO</v>
      </c>
      <c r="I1744" s="149" t="s">
        <v>823</v>
      </c>
      <c r="J1744" s="149" t="s">
        <v>548</v>
      </c>
      <c r="K1744" s="149" t="s">
        <v>2716</v>
      </c>
      <c r="L1744" s="168">
        <v>45650</v>
      </c>
      <c r="M1744" s="164"/>
      <c r="N1744" s="163">
        <v>1</v>
      </c>
      <c r="O1744" s="165" t="s">
        <v>449</v>
      </c>
      <c r="P1744" s="161">
        <v>1471.82</v>
      </c>
      <c r="Q1744" s="168">
        <v>45650</v>
      </c>
      <c r="R1744" s="153"/>
      <c r="S1744" s="153"/>
      <c r="T1744" s="153"/>
      <c r="U1744" s="153"/>
      <c r="V1744" s="153"/>
      <c r="W1744" s="153"/>
      <c r="X1744" s="153"/>
      <c r="Y1744" s="153"/>
      <c r="Z1744" s="153"/>
      <c r="AA1744" s="153"/>
    </row>
    <row r="1745" spans="1:27">
      <c r="A1745" s="163">
        <v>12</v>
      </c>
      <c r="B1745" s="160" t="s">
        <v>2538</v>
      </c>
      <c r="C1745" s="168">
        <v>45446</v>
      </c>
      <c r="D1745" s="160" t="s">
        <v>440</v>
      </c>
      <c r="E1745" s="149" t="s">
        <v>506</v>
      </c>
      <c r="F1745" s="165" t="s">
        <v>441</v>
      </c>
      <c r="G1745" s="165" t="s">
        <v>442</v>
      </c>
      <c r="H1745" s="149" t="str">
        <f t="shared" si="9"/>
        <v>LUIS MIGUEL RINCÓN ESTEBAN</v>
      </c>
      <c r="I1745" s="149" t="s">
        <v>1033</v>
      </c>
      <c r="J1745" s="149" t="s">
        <v>473</v>
      </c>
      <c r="K1745" s="149" t="s">
        <v>1946</v>
      </c>
      <c r="L1745" s="168">
        <v>45653</v>
      </c>
      <c r="M1745" s="164"/>
      <c r="N1745" s="163">
        <v>1</v>
      </c>
      <c r="O1745" s="165" t="s">
        <v>466</v>
      </c>
      <c r="P1745" s="161">
        <v>844.55</v>
      </c>
      <c r="Q1745" s="168">
        <v>45653</v>
      </c>
      <c r="R1745" s="153"/>
      <c r="S1745" s="153"/>
      <c r="T1745" s="153"/>
      <c r="U1745" s="153"/>
      <c r="V1745" s="153"/>
      <c r="W1745" s="153"/>
      <c r="X1745" s="153"/>
      <c r="Y1745" s="153"/>
      <c r="Z1745" s="153"/>
      <c r="AA1745" s="153"/>
    </row>
    <row r="1746" spans="1:27">
      <c r="A1746" s="163">
        <v>12</v>
      </c>
      <c r="B1746" s="160" t="s">
        <v>2538</v>
      </c>
      <c r="C1746" s="168">
        <v>45590</v>
      </c>
      <c r="D1746" s="160" t="s">
        <v>440</v>
      </c>
      <c r="E1746" s="149" t="s">
        <v>312</v>
      </c>
      <c r="F1746" s="165" t="s">
        <v>441</v>
      </c>
      <c r="G1746" s="165" t="s">
        <v>442</v>
      </c>
      <c r="H1746" s="149" t="str">
        <f t="shared" si="9"/>
        <v>LUCIA PRIETO SÁNCHEZ DE LA PUERTA</v>
      </c>
      <c r="I1746" s="149" t="s">
        <v>457</v>
      </c>
      <c r="J1746" s="149" t="s">
        <v>455</v>
      </c>
      <c r="K1746" s="149" t="s">
        <v>2717</v>
      </c>
      <c r="L1746" s="168">
        <v>45653</v>
      </c>
      <c r="M1746" s="164"/>
      <c r="N1746" s="163">
        <v>2</v>
      </c>
      <c r="O1746" s="165" t="s">
        <v>446</v>
      </c>
      <c r="P1746" s="161">
        <v>3710</v>
      </c>
      <c r="Q1746" s="168">
        <v>45653</v>
      </c>
      <c r="R1746" s="153"/>
      <c r="S1746" s="153"/>
      <c r="T1746" s="153"/>
      <c r="U1746" s="153"/>
      <c r="V1746" s="153"/>
      <c r="W1746" s="153"/>
      <c r="X1746" s="153"/>
      <c r="Y1746" s="153"/>
      <c r="Z1746" s="153"/>
      <c r="AA1746" s="153"/>
    </row>
    <row r="1747" spans="1:27">
      <c r="A1747" s="163">
        <v>12</v>
      </c>
      <c r="B1747" s="160" t="s">
        <v>2538</v>
      </c>
      <c r="C1747" s="168">
        <v>45469</v>
      </c>
      <c r="D1747" s="160" t="s">
        <v>440</v>
      </c>
      <c r="E1747" s="149" t="s">
        <v>312</v>
      </c>
      <c r="F1747" s="165" t="s">
        <v>441</v>
      </c>
      <c r="G1747" s="165" t="s">
        <v>442</v>
      </c>
      <c r="H1747" s="149" t="str">
        <f t="shared" si="9"/>
        <v>MIGUEL OLIVENCIA PÉREZ</v>
      </c>
      <c r="I1747" s="149" t="s">
        <v>1428</v>
      </c>
      <c r="J1747" s="149" t="s">
        <v>455</v>
      </c>
      <c r="K1747" s="149" t="s">
        <v>2718</v>
      </c>
      <c r="L1747" s="168">
        <v>45656</v>
      </c>
      <c r="M1747" s="164"/>
      <c r="N1747" s="163">
        <v>2</v>
      </c>
      <c r="O1747" s="165" t="s">
        <v>449</v>
      </c>
      <c r="P1747" s="161">
        <v>2888.18</v>
      </c>
      <c r="Q1747" s="168">
        <v>45656</v>
      </c>
      <c r="R1747" s="153"/>
      <c r="S1747" s="153"/>
      <c r="T1747" s="153"/>
      <c r="U1747" s="153"/>
      <c r="V1747" s="153"/>
      <c r="W1747" s="153"/>
      <c r="X1747" s="153"/>
      <c r="Y1747" s="153"/>
      <c r="Z1747" s="153"/>
      <c r="AA1747" s="153"/>
    </row>
    <row r="1748" spans="1:27">
      <c r="A1748" s="163">
        <v>12</v>
      </c>
      <c r="B1748" s="160" t="s">
        <v>2538</v>
      </c>
      <c r="C1748" s="168">
        <v>45622</v>
      </c>
      <c r="D1748" s="160" t="s">
        <v>440</v>
      </c>
      <c r="E1748" s="149" t="s">
        <v>546</v>
      </c>
      <c r="F1748" s="165" t="s">
        <v>441</v>
      </c>
      <c r="G1748" s="165" t="s">
        <v>442</v>
      </c>
      <c r="H1748" s="149" t="str">
        <f t="shared" si="9"/>
        <v>MANUEL MARTÍ PEÑA</v>
      </c>
      <c r="I1748" s="149" t="s">
        <v>1732</v>
      </c>
      <c r="J1748" s="149" t="s">
        <v>548</v>
      </c>
      <c r="K1748" s="149" t="s">
        <v>2719</v>
      </c>
      <c r="L1748" s="168">
        <v>45656</v>
      </c>
      <c r="M1748" s="164"/>
      <c r="N1748" s="163">
        <v>2</v>
      </c>
      <c r="O1748" s="165" t="s">
        <v>449</v>
      </c>
      <c r="P1748" s="161">
        <v>3185.45</v>
      </c>
      <c r="Q1748" s="168">
        <v>45656</v>
      </c>
      <c r="R1748" s="153"/>
      <c r="S1748" s="153"/>
      <c r="T1748" s="153"/>
      <c r="U1748" s="153"/>
      <c r="V1748" s="153"/>
      <c r="W1748" s="153"/>
      <c r="X1748" s="153"/>
      <c r="Y1748" s="153"/>
      <c r="Z1748" s="153"/>
      <c r="AA1748" s="153"/>
    </row>
    <row r="1749" spans="1:27">
      <c r="A1749" s="163">
        <v>12</v>
      </c>
      <c r="B1749" s="160" t="s">
        <v>2538</v>
      </c>
      <c r="C1749" s="168">
        <v>45629</v>
      </c>
      <c r="D1749" s="160" t="s">
        <v>440</v>
      </c>
      <c r="E1749" s="149" t="s">
        <v>1461</v>
      </c>
      <c r="F1749" s="165" t="s">
        <v>441</v>
      </c>
      <c r="G1749" s="165" t="s">
        <v>442</v>
      </c>
      <c r="H1749" s="149" t="str">
        <f t="shared" si="9"/>
        <v>MIGUEL MAYO YÁÑEZ</v>
      </c>
      <c r="I1749" s="149" t="s">
        <v>692</v>
      </c>
      <c r="J1749" s="149" t="s">
        <v>516</v>
      </c>
      <c r="K1749" s="149" t="s">
        <v>2720</v>
      </c>
      <c r="L1749" s="168">
        <v>45656</v>
      </c>
      <c r="M1749" s="164"/>
      <c r="N1749" s="163">
        <v>1</v>
      </c>
      <c r="O1749" s="165" t="s">
        <v>446</v>
      </c>
      <c r="P1749" s="161">
        <v>1950</v>
      </c>
      <c r="Q1749" s="168">
        <v>45656</v>
      </c>
      <c r="R1749" s="153"/>
      <c r="S1749" s="153"/>
      <c r="T1749" s="153"/>
      <c r="U1749" s="153"/>
      <c r="V1749" s="153"/>
      <c r="W1749" s="153"/>
      <c r="X1749" s="153"/>
      <c r="Y1749" s="153"/>
      <c r="Z1749" s="153"/>
      <c r="AA1749" s="153"/>
    </row>
    <row r="1750" spans="1:27">
      <c r="A1750" s="163">
        <v>12</v>
      </c>
      <c r="B1750" s="160" t="s">
        <v>2538</v>
      </c>
      <c r="C1750" s="168">
        <v>45645</v>
      </c>
      <c r="D1750" s="160" t="s">
        <v>440</v>
      </c>
      <c r="E1750" s="149" t="s">
        <v>312</v>
      </c>
      <c r="F1750" s="165" t="s">
        <v>441</v>
      </c>
      <c r="G1750" s="165" t="s">
        <v>442</v>
      </c>
      <c r="H1750" s="149" t="str">
        <f t="shared" si="9"/>
        <v>FRANCISCO JAVIER AGUILAR VERA</v>
      </c>
      <c r="I1750" s="149" t="s">
        <v>2281</v>
      </c>
      <c r="J1750" s="149" t="s">
        <v>455</v>
      </c>
      <c r="K1750" s="149" t="s">
        <v>2721</v>
      </c>
      <c r="L1750" s="168">
        <v>45657</v>
      </c>
      <c r="M1750" s="164"/>
      <c r="N1750" s="163">
        <v>2</v>
      </c>
      <c r="O1750" s="165" t="s">
        <v>513</v>
      </c>
      <c r="P1750" s="161">
        <v>4400</v>
      </c>
      <c r="Q1750" s="168">
        <v>45657</v>
      </c>
      <c r="R1750" s="153"/>
      <c r="S1750" s="153"/>
      <c r="T1750" s="153"/>
      <c r="U1750" s="153"/>
      <c r="V1750" s="153"/>
      <c r="W1750" s="153"/>
      <c r="X1750" s="153"/>
      <c r="Y1750" s="153"/>
      <c r="Z1750" s="153"/>
      <c r="AA1750" s="153"/>
    </row>
    <row r="1751" spans="1:27">
      <c r="A1751" s="163">
        <v>12</v>
      </c>
      <c r="B1751" s="160" t="s">
        <v>2538</v>
      </c>
      <c r="C1751" s="168">
        <v>45629</v>
      </c>
      <c r="D1751" s="160" t="s">
        <v>440</v>
      </c>
      <c r="E1751" s="149" t="s">
        <v>475</v>
      </c>
      <c r="F1751" s="165" t="s">
        <v>441</v>
      </c>
      <c r="G1751" s="165" t="s">
        <v>442</v>
      </c>
      <c r="H1751" s="149" t="str">
        <f t="shared" si="9"/>
        <v>NO REUERDA ORL</v>
      </c>
      <c r="I1751" s="149" t="s">
        <v>469</v>
      </c>
      <c r="J1751" s="149" t="s">
        <v>473</v>
      </c>
      <c r="K1751" s="149" t="s">
        <v>2722</v>
      </c>
      <c r="L1751" s="168">
        <v>45656</v>
      </c>
      <c r="M1751" s="164"/>
      <c r="N1751" s="163">
        <v>2</v>
      </c>
      <c r="O1751" s="165" t="s">
        <v>449</v>
      </c>
      <c r="P1751" s="161">
        <v>3181.82</v>
      </c>
      <c r="Q1751" s="168">
        <v>45656</v>
      </c>
      <c r="R1751" s="153"/>
      <c r="S1751" s="153"/>
      <c r="T1751" s="153"/>
      <c r="U1751" s="153"/>
      <c r="V1751" s="153"/>
      <c r="W1751" s="153"/>
      <c r="X1751" s="153"/>
      <c r="Y1751" s="153"/>
      <c r="Z1751" s="153"/>
      <c r="AA1751" s="153"/>
    </row>
    <row r="1752" spans="1:27">
      <c r="A1752" s="163">
        <v>12</v>
      </c>
      <c r="B1752" s="160" t="s">
        <v>2538</v>
      </c>
      <c r="C1752" s="168">
        <v>45608</v>
      </c>
      <c r="D1752" s="160" t="s">
        <v>440</v>
      </c>
      <c r="E1752" s="149" t="s">
        <v>318</v>
      </c>
      <c r="F1752" s="165" t="s">
        <v>2723</v>
      </c>
      <c r="G1752" s="165" t="s">
        <v>2724</v>
      </c>
      <c r="H1752" s="149" t="str">
        <f t="shared" si="9"/>
        <v>JOSÉ LUIS BATLLES MEDINA</v>
      </c>
      <c r="I1752" s="149" t="s">
        <v>1881</v>
      </c>
      <c r="J1752" s="149" t="s">
        <v>462</v>
      </c>
      <c r="K1752" s="149" t="s">
        <v>2725</v>
      </c>
      <c r="L1752" s="168">
        <v>45638</v>
      </c>
      <c r="M1752" s="164"/>
      <c r="N1752" s="163">
        <v>2</v>
      </c>
      <c r="O1752" s="165" t="s">
        <v>1540</v>
      </c>
      <c r="P1752" s="161">
        <v>4000</v>
      </c>
      <c r="Q1752" s="168">
        <v>45638</v>
      </c>
      <c r="R1752" s="153"/>
      <c r="S1752" s="153"/>
      <c r="T1752" s="153"/>
      <c r="U1752" s="153"/>
      <c r="V1752" s="153"/>
      <c r="W1752" s="153"/>
      <c r="X1752" s="153"/>
      <c r="Y1752" s="153"/>
      <c r="Z1752" s="153"/>
      <c r="AA1752" s="153"/>
    </row>
    <row r="1753" spans="1:27">
      <c r="A1753" s="163">
        <v>12</v>
      </c>
      <c r="B1753" s="160" t="s">
        <v>2538</v>
      </c>
      <c r="C1753" s="168">
        <v>45580</v>
      </c>
      <c r="D1753" s="160" t="s">
        <v>440</v>
      </c>
      <c r="E1753" s="149" t="s">
        <v>318</v>
      </c>
      <c r="F1753" s="165" t="s">
        <v>450</v>
      </c>
      <c r="G1753" s="165" t="s">
        <v>451</v>
      </c>
      <c r="H1753" s="149" t="str">
        <f t="shared" si="9"/>
        <v>JAVIER PADILLA CABALLERO</v>
      </c>
      <c r="I1753" s="149" t="s">
        <v>2347</v>
      </c>
      <c r="J1753" s="149" t="s">
        <v>462</v>
      </c>
      <c r="K1753" s="149" t="s">
        <v>2726</v>
      </c>
      <c r="L1753" s="168">
        <v>45637</v>
      </c>
      <c r="M1753" s="164"/>
      <c r="N1753" s="163">
        <v>1</v>
      </c>
      <c r="O1753" s="165" t="s">
        <v>449</v>
      </c>
      <c r="P1753" s="161">
        <v>1732.73</v>
      </c>
      <c r="Q1753" s="168">
        <v>45637</v>
      </c>
      <c r="R1753" s="153"/>
      <c r="S1753" s="153"/>
      <c r="T1753" s="153"/>
      <c r="U1753" s="153"/>
      <c r="V1753" s="153"/>
      <c r="W1753" s="153"/>
      <c r="X1753" s="153"/>
      <c r="Y1753" s="153"/>
      <c r="Z1753" s="153"/>
      <c r="AA1753" s="153"/>
    </row>
    <row r="1754" spans="1:27">
      <c r="A1754" s="163">
        <v>12</v>
      </c>
      <c r="B1754" s="160" t="s">
        <v>2538</v>
      </c>
      <c r="C1754" s="168">
        <v>45582</v>
      </c>
      <c r="D1754" s="160" t="s">
        <v>440</v>
      </c>
      <c r="E1754" s="149" t="s">
        <v>164</v>
      </c>
      <c r="F1754" s="165" t="s">
        <v>450</v>
      </c>
      <c r="G1754" s="165" t="s">
        <v>451</v>
      </c>
      <c r="H1754" s="149" t="str">
        <f t="shared" si="9"/>
        <v>ALEJANDRO HARGUINDEY ANTOLI-CANDELA</v>
      </c>
      <c r="I1754" s="149" t="s">
        <v>2445</v>
      </c>
      <c r="J1754" s="149" t="s">
        <v>444</v>
      </c>
      <c r="K1754" s="149" t="s">
        <v>2727</v>
      </c>
      <c r="L1754" s="168">
        <v>45637</v>
      </c>
      <c r="M1754" s="164"/>
      <c r="N1754" s="163">
        <v>1</v>
      </c>
      <c r="O1754" s="165" t="s">
        <v>446</v>
      </c>
      <c r="P1754" s="161">
        <v>2226.36</v>
      </c>
      <c r="Q1754" s="168">
        <v>45637</v>
      </c>
      <c r="R1754" s="153"/>
      <c r="S1754" s="153"/>
      <c r="T1754" s="153"/>
      <c r="U1754" s="153"/>
      <c r="V1754" s="153"/>
      <c r="W1754" s="153"/>
      <c r="X1754" s="153"/>
      <c r="Y1754" s="153"/>
      <c r="Z1754" s="153"/>
      <c r="AA1754" s="153"/>
    </row>
    <row r="1755" spans="1:27">
      <c r="A1755" s="163">
        <v>12</v>
      </c>
      <c r="B1755" s="160" t="s">
        <v>2538</v>
      </c>
      <c r="C1755" s="168">
        <v>45601</v>
      </c>
      <c r="D1755" s="160" t="s">
        <v>440</v>
      </c>
      <c r="E1755" s="149" t="s">
        <v>164</v>
      </c>
      <c r="F1755" s="165" t="s">
        <v>2723</v>
      </c>
      <c r="G1755" s="165" t="s">
        <v>2724</v>
      </c>
      <c r="H1755" s="149" t="str">
        <f t="shared" si="9"/>
        <v>JULIO PEÑARROCHA</v>
      </c>
      <c r="I1755" s="149" t="s">
        <v>2728</v>
      </c>
      <c r="J1755" s="149" t="s">
        <v>548</v>
      </c>
      <c r="K1755" s="149" t="s">
        <v>2729</v>
      </c>
      <c r="L1755" s="168">
        <v>45637</v>
      </c>
      <c r="M1755" s="164"/>
      <c r="N1755" s="163">
        <v>2</v>
      </c>
      <c r="O1755" s="165" t="s">
        <v>1540</v>
      </c>
      <c r="P1755" s="161">
        <v>4136.3599999999997</v>
      </c>
      <c r="Q1755" s="168">
        <v>45637</v>
      </c>
      <c r="R1755" s="153"/>
      <c r="S1755" s="153"/>
      <c r="T1755" s="153"/>
      <c r="U1755" s="153"/>
      <c r="V1755" s="153"/>
      <c r="W1755" s="153"/>
      <c r="X1755" s="153"/>
      <c r="Y1755" s="153"/>
      <c r="Z1755" s="153"/>
      <c r="AA1755" s="153"/>
    </row>
    <row r="1756" spans="1:27">
      <c r="A1756" s="163">
        <v>12</v>
      </c>
      <c r="B1756" s="160" t="s">
        <v>2538</v>
      </c>
      <c r="C1756" s="168">
        <v>45614</v>
      </c>
      <c r="D1756" s="160" t="s">
        <v>440</v>
      </c>
      <c r="E1756" s="149" t="s">
        <v>98</v>
      </c>
      <c r="F1756" s="165" t="s">
        <v>450</v>
      </c>
      <c r="G1756" s="165" t="s">
        <v>451</v>
      </c>
      <c r="H1756" s="149" t="str">
        <f t="shared" si="9"/>
        <v>MARÍA AGUSTINA SEVILLA GARCÍA</v>
      </c>
      <c r="I1756" s="149" t="s">
        <v>538</v>
      </c>
      <c r="J1756" s="149" t="s">
        <v>462</v>
      </c>
      <c r="K1756" s="149" t="s">
        <v>2730</v>
      </c>
      <c r="L1756" s="168">
        <v>45636</v>
      </c>
      <c r="M1756" s="164"/>
      <c r="N1756" s="163">
        <v>2</v>
      </c>
      <c r="O1756" s="165" t="s">
        <v>1540</v>
      </c>
      <c r="P1756" s="161">
        <v>4000</v>
      </c>
      <c r="Q1756" s="168">
        <v>45636</v>
      </c>
      <c r="R1756" s="153"/>
      <c r="S1756" s="153"/>
      <c r="T1756" s="153"/>
      <c r="U1756" s="153"/>
      <c r="V1756" s="153"/>
      <c r="W1756" s="153"/>
      <c r="X1756" s="153"/>
      <c r="Y1756" s="153"/>
      <c r="Z1756" s="153"/>
      <c r="AA1756" s="153"/>
    </row>
    <row r="1757" spans="1:27">
      <c r="A1757" s="163">
        <v>12</v>
      </c>
      <c r="B1757" s="160" t="s">
        <v>2538</v>
      </c>
      <c r="C1757" s="168">
        <v>45593</v>
      </c>
      <c r="D1757" s="160" t="s">
        <v>440</v>
      </c>
      <c r="E1757" s="149" t="s">
        <v>546</v>
      </c>
      <c r="F1757" s="165" t="s">
        <v>450</v>
      </c>
      <c r="G1757" s="165" t="s">
        <v>451</v>
      </c>
      <c r="H1757" s="149" t="str">
        <f t="shared" si="9"/>
        <v>ESTHER DE LA O CORROCHANO</v>
      </c>
      <c r="I1757" s="149" t="s">
        <v>2166</v>
      </c>
      <c r="J1757" s="149" t="s">
        <v>548</v>
      </c>
      <c r="K1757" s="149" t="s">
        <v>2731</v>
      </c>
      <c r="L1757" s="168">
        <v>45631</v>
      </c>
      <c r="M1757" s="164"/>
      <c r="N1757" s="163">
        <v>2</v>
      </c>
      <c r="O1757" s="165" t="s">
        <v>446</v>
      </c>
      <c r="P1757" s="161">
        <v>3441.82</v>
      </c>
      <c r="Q1757" s="168">
        <v>45631</v>
      </c>
      <c r="R1757" s="153"/>
      <c r="S1757" s="153"/>
      <c r="T1757" s="153"/>
      <c r="U1757" s="153"/>
      <c r="V1757" s="153"/>
      <c r="W1757" s="153"/>
      <c r="X1757" s="153"/>
      <c r="Y1757" s="153"/>
      <c r="Z1757" s="153"/>
      <c r="AA1757" s="153"/>
    </row>
    <row r="1758" spans="1:27">
      <c r="A1758" s="163">
        <v>12</v>
      </c>
      <c r="B1758" s="160" t="s">
        <v>2538</v>
      </c>
      <c r="C1758" s="168">
        <v>45581</v>
      </c>
      <c r="D1758" s="160" t="s">
        <v>440</v>
      </c>
      <c r="E1758" s="149" t="s">
        <v>1461</v>
      </c>
      <c r="F1758" s="165" t="s">
        <v>450</v>
      </c>
      <c r="G1758" s="165" t="s">
        <v>451</v>
      </c>
      <c r="H1758" s="149" t="str">
        <f t="shared" si="9"/>
        <v>MIGUEL MAYO YÁÑEZ</v>
      </c>
      <c r="I1758" s="149" t="s">
        <v>692</v>
      </c>
      <c r="J1758" s="149" t="s">
        <v>516</v>
      </c>
      <c r="K1758" s="149" t="s">
        <v>2732</v>
      </c>
      <c r="L1758" s="168">
        <v>45653</v>
      </c>
      <c r="M1758" s="164"/>
      <c r="N1758" s="163">
        <v>1</v>
      </c>
      <c r="O1758" s="165" t="s">
        <v>466</v>
      </c>
      <c r="P1758" s="161">
        <v>908.18</v>
      </c>
      <c r="Q1758" s="168">
        <v>45653</v>
      </c>
      <c r="R1758" s="153"/>
      <c r="S1758" s="153"/>
      <c r="T1758" s="153"/>
      <c r="U1758" s="153"/>
      <c r="V1758" s="153"/>
      <c r="W1758" s="153"/>
      <c r="X1758" s="153"/>
      <c r="Y1758" s="153"/>
      <c r="Z1758" s="153"/>
      <c r="AA1758" s="153"/>
    </row>
    <row r="1759" spans="1:27">
      <c r="A1759" s="154"/>
      <c r="B1759" s="155"/>
      <c r="C1759" s="195"/>
      <c r="D1759" s="155"/>
      <c r="E1759" s="149"/>
      <c r="F1759" s="153"/>
      <c r="G1759" s="149"/>
      <c r="H1759" s="149"/>
      <c r="I1759" s="149"/>
      <c r="J1759" s="153"/>
      <c r="K1759" s="149"/>
      <c r="L1759" s="168"/>
      <c r="M1759" s="164"/>
      <c r="N1759" s="163"/>
      <c r="O1759" s="165"/>
      <c r="P1759" s="161"/>
      <c r="Q1759" s="196"/>
      <c r="R1759" s="153"/>
      <c r="S1759" s="153"/>
      <c r="T1759" s="153"/>
      <c r="U1759" s="153"/>
      <c r="V1759" s="153"/>
      <c r="W1759" s="153"/>
      <c r="X1759" s="153"/>
      <c r="Y1759" s="153"/>
      <c r="Z1759" s="153"/>
      <c r="AA1759" s="153"/>
    </row>
    <row r="1760" spans="1:27">
      <c r="A1760" s="154"/>
      <c r="B1760" s="155"/>
      <c r="C1760" s="195"/>
      <c r="D1760" s="155"/>
      <c r="E1760" s="149"/>
      <c r="F1760" s="153"/>
      <c r="G1760" s="149"/>
      <c r="H1760" s="149"/>
      <c r="I1760" s="149"/>
      <c r="J1760" s="153"/>
      <c r="K1760" s="149"/>
      <c r="L1760" s="168"/>
      <c r="M1760" s="164"/>
      <c r="N1760" s="163"/>
      <c r="O1760" s="165"/>
      <c r="P1760" s="161"/>
      <c r="Q1760" s="196"/>
      <c r="R1760" s="153"/>
      <c r="S1760" s="153"/>
      <c r="T1760" s="153"/>
      <c r="U1760" s="153"/>
      <c r="V1760" s="153"/>
      <c r="W1760" s="153"/>
      <c r="X1760" s="153"/>
      <c r="Y1760" s="153"/>
      <c r="Z1760" s="153"/>
      <c r="AA1760" s="153"/>
    </row>
    <row r="1761" spans="1:27">
      <c r="A1761" s="154"/>
      <c r="B1761" s="155"/>
      <c r="C1761" s="195"/>
      <c r="D1761" s="155"/>
      <c r="E1761" s="149"/>
      <c r="F1761" s="153"/>
      <c r="G1761" s="149"/>
      <c r="H1761" s="149"/>
      <c r="I1761" s="149"/>
      <c r="J1761" s="153"/>
      <c r="K1761" s="149"/>
      <c r="L1761" s="168"/>
      <c r="M1761" s="164"/>
      <c r="N1761" s="163"/>
      <c r="O1761" s="165"/>
      <c r="P1761" s="161"/>
      <c r="Q1761" s="196"/>
      <c r="R1761" s="153"/>
      <c r="S1761" s="153"/>
      <c r="T1761" s="153"/>
      <c r="U1761" s="153"/>
      <c r="V1761" s="153"/>
      <c r="W1761" s="153"/>
      <c r="X1761" s="153"/>
      <c r="Y1761" s="153"/>
      <c r="Z1761" s="153"/>
      <c r="AA1761" s="153"/>
    </row>
    <row r="1762" spans="1:27">
      <c r="A1762" s="154"/>
      <c r="B1762" s="155"/>
      <c r="C1762" s="195"/>
      <c r="D1762" s="155"/>
      <c r="E1762" s="149"/>
      <c r="F1762" s="153"/>
      <c r="G1762" s="149"/>
      <c r="H1762" s="149"/>
      <c r="I1762" s="149"/>
      <c r="J1762" s="153"/>
      <c r="K1762" s="149"/>
      <c r="L1762" s="168"/>
      <c r="M1762" s="164"/>
      <c r="N1762" s="163"/>
      <c r="O1762" s="165"/>
      <c r="P1762" s="161"/>
      <c r="Q1762" s="196"/>
      <c r="R1762" s="153"/>
      <c r="S1762" s="153"/>
      <c r="T1762" s="153"/>
      <c r="U1762" s="153"/>
      <c r="V1762" s="153"/>
      <c r="W1762" s="153"/>
      <c r="X1762" s="153"/>
      <c r="Y1762" s="153"/>
      <c r="Z1762" s="153"/>
      <c r="AA1762" s="153"/>
    </row>
    <row r="1763" spans="1:27">
      <c r="A1763" s="154"/>
      <c r="B1763" s="155"/>
      <c r="C1763" s="195"/>
      <c r="D1763" s="155"/>
      <c r="E1763" s="149"/>
      <c r="F1763" s="153"/>
      <c r="G1763" s="149"/>
      <c r="H1763" s="149"/>
      <c r="I1763" s="149"/>
      <c r="J1763" s="153"/>
      <c r="K1763" s="149"/>
      <c r="L1763" s="168"/>
      <c r="M1763" s="164"/>
      <c r="N1763" s="163"/>
      <c r="O1763" s="165"/>
      <c r="P1763" s="161"/>
      <c r="Q1763" s="196"/>
      <c r="R1763" s="153"/>
      <c r="S1763" s="153"/>
      <c r="T1763" s="153"/>
      <c r="U1763" s="153"/>
      <c r="V1763" s="153"/>
      <c r="W1763" s="153"/>
      <c r="X1763" s="153"/>
      <c r="Y1763" s="153"/>
      <c r="Z1763" s="153"/>
      <c r="AA1763" s="153"/>
    </row>
    <row r="1764" spans="1:27">
      <c r="A1764" s="154"/>
      <c r="B1764" s="155"/>
      <c r="C1764" s="195"/>
      <c r="D1764" s="155"/>
      <c r="E1764" s="149"/>
      <c r="F1764" s="153"/>
      <c r="G1764" s="149"/>
      <c r="H1764" s="149"/>
      <c r="I1764" s="149"/>
      <c r="J1764" s="153"/>
      <c r="K1764" s="149"/>
      <c r="L1764" s="168"/>
      <c r="M1764" s="164"/>
      <c r="N1764" s="163"/>
      <c r="O1764" s="165"/>
      <c r="P1764" s="161"/>
      <c r="Q1764" s="196"/>
      <c r="R1764" s="153"/>
      <c r="S1764" s="153"/>
      <c r="T1764" s="153"/>
      <c r="U1764" s="153"/>
      <c r="V1764" s="153"/>
      <c r="W1764" s="153"/>
      <c r="X1764" s="153"/>
      <c r="Y1764" s="153"/>
      <c r="Z1764" s="153"/>
      <c r="AA1764" s="153"/>
    </row>
    <row r="1765" spans="1:27">
      <c r="A1765" s="154"/>
      <c r="B1765" s="155"/>
      <c r="C1765" s="195"/>
      <c r="D1765" s="155"/>
      <c r="E1765" s="149"/>
      <c r="F1765" s="153"/>
      <c r="G1765" s="149"/>
      <c r="H1765" s="149"/>
      <c r="I1765" s="149"/>
      <c r="J1765" s="153"/>
      <c r="K1765" s="149"/>
      <c r="L1765" s="168"/>
      <c r="M1765" s="164"/>
      <c r="N1765" s="163"/>
      <c r="O1765" s="165"/>
      <c r="P1765" s="161"/>
      <c r="Q1765" s="196"/>
      <c r="R1765" s="153"/>
      <c r="S1765" s="153"/>
      <c r="T1765" s="153"/>
      <c r="U1765" s="153"/>
      <c r="V1765" s="153"/>
      <c r="W1765" s="153"/>
      <c r="X1765" s="153"/>
      <c r="Y1765" s="153"/>
      <c r="Z1765" s="153"/>
      <c r="AA1765" s="153"/>
    </row>
    <row r="1766" spans="1:27">
      <c r="A1766" s="154"/>
      <c r="B1766" s="155"/>
      <c r="C1766" s="195"/>
      <c r="D1766" s="155"/>
      <c r="E1766" s="149"/>
      <c r="F1766" s="153"/>
      <c r="G1766" s="149"/>
      <c r="H1766" s="149"/>
      <c r="I1766" s="149"/>
      <c r="J1766" s="153"/>
      <c r="K1766" s="149"/>
      <c r="L1766" s="168"/>
      <c r="M1766" s="164"/>
      <c r="N1766" s="163"/>
      <c r="O1766" s="165"/>
      <c r="P1766" s="161"/>
      <c r="Q1766" s="196"/>
      <c r="R1766" s="153"/>
      <c r="S1766" s="153"/>
      <c r="T1766" s="153"/>
      <c r="U1766" s="153"/>
      <c r="V1766" s="153"/>
      <c r="W1766" s="153"/>
      <c r="X1766" s="153"/>
      <c r="Y1766" s="153"/>
      <c r="Z1766" s="153"/>
      <c r="AA1766" s="153"/>
    </row>
    <row r="1767" spans="1:27">
      <c r="A1767" s="154"/>
      <c r="B1767" s="155"/>
      <c r="C1767" s="195"/>
      <c r="D1767" s="155"/>
      <c r="E1767" s="149"/>
      <c r="F1767" s="153"/>
      <c r="G1767" s="149"/>
      <c r="H1767" s="149"/>
      <c r="I1767" s="149"/>
      <c r="J1767" s="153"/>
      <c r="K1767" s="149"/>
      <c r="L1767" s="168"/>
      <c r="M1767" s="164"/>
      <c r="N1767" s="163"/>
      <c r="O1767" s="165"/>
      <c r="P1767" s="161"/>
      <c r="Q1767" s="196"/>
      <c r="R1767" s="153"/>
      <c r="S1767" s="153"/>
      <c r="T1767" s="153"/>
      <c r="U1767" s="153"/>
      <c r="V1767" s="153"/>
      <c r="W1767" s="153"/>
      <c r="X1767" s="153"/>
      <c r="Y1767" s="153"/>
      <c r="Z1767" s="153"/>
      <c r="AA1767" s="153"/>
    </row>
    <row r="1768" spans="1:27">
      <c r="A1768" s="154"/>
      <c r="B1768" s="155"/>
      <c r="C1768" s="195"/>
      <c r="D1768" s="155"/>
      <c r="E1768" s="149"/>
      <c r="F1768" s="153"/>
      <c r="G1768" s="149"/>
      <c r="H1768" s="149"/>
      <c r="I1768" s="149"/>
      <c r="J1768" s="153"/>
      <c r="K1768" s="149"/>
      <c r="L1768" s="168"/>
      <c r="M1768" s="164"/>
      <c r="N1768" s="163"/>
      <c r="O1768" s="165"/>
      <c r="P1768" s="161"/>
      <c r="Q1768" s="196"/>
      <c r="R1768" s="153"/>
      <c r="S1768" s="153"/>
      <c r="T1768" s="153"/>
      <c r="U1768" s="153"/>
      <c r="V1768" s="153"/>
      <c r="W1768" s="153"/>
      <c r="X1768" s="153"/>
      <c r="Y1768" s="153"/>
      <c r="Z1768" s="153"/>
      <c r="AA1768" s="153"/>
    </row>
    <row r="1769" spans="1:27">
      <c r="A1769" s="154"/>
      <c r="B1769" s="155"/>
      <c r="C1769" s="195"/>
      <c r="D1769" s="155"/>
      <c r="E1769" s="149"/>
      <c r="F1769" s="153"/>
      <c r="G1769" s="149"/>
      <c r="H1769" s="149"/>
      <c r="I1769" s="149"/>
      <c r="J1769" s="153"/>
      <c r="K1769" s="149"/>
      <c r="L1769" s="168"/>
      <c r="M1769" s="164"/>
      <c r="N1769" s="163"/>
      <c r="O1769" s="165"/>
      <c r="P1769" s="161"/>
      <c r="Q1769" s="196"/>
      <c r="R1769" s="153"/>
      <c r="S1769" s="153"/>
      <c r="T1769" s="153"/>
      <c r="U1769" s="153"/>
      <c r="V1769" s="153"/>
      <c r="W1769" s="153"/>
      <c r="X1769" s="153"/>
      <c r="Y1769" s="153"/>
      <c r="Z1769" s="153"/>
      <c r="AA1769" s="153"/>
    </row>
    <row r="1770" spans="1:27">
      <c r="A1770" s="154"/>
      <c r="B1770" s="155"/>
      <c r="C1770" s="195"/>
      <c r="D1770" s="155"/>
      <c r="E1770" s="149"/>
      <c r="F1770" s="153"/>
      <c r="G1770" s="149"/>
      <c r="H1770" s="149"/>
      <c r="I1770" s="149"/>
      <c r="J1770" s="153"/>
      <c r="K1770" s="149"/>
      <c r="L1770" s="168"/>
      <c r="M1770" s="164"/>
      <c r="N1770" s="163"/>
      <c r="O1770" s="165"/>
      <c r="P1770" s="161"/>
      <c r="Q1770" s="196"/>
      <c r="R1770" s="153"/>
      <c r="S1770" s="153"/>
      <c r="T1770" s="153"/>
      <c r="U1770" s="153"/>
      <c r="V1770" s="153"/>
      <c r="W1770" s="153"/>
      <c r="X1770" s="153"/>
      <c r="Y1770" s="153"/>
      <c r="Z1770" s="153"/>
      <c r="AA1770" s="153"/>
    </row>
    <row r="1771" spans="1:27">
      <c r="A1771" s="154"/>
      <c r="B1771" s="155"/>
      <c r="C1771" s="195"/>
      <c r="D1771" s="155"/>
      <c r="E1771" s="149"/>
      <c r="F1771" s="153"/>
      <c r="G1771" s="149"/>
      <c r="H1771" s="149"/>
      <c r="I1771" s="149"/>
      <c r="J1771" s="153"/>
      <c r="K1771" s="149"/>
      <c r="L1771" s="168"/>
      <c r="M1771" s="164"/>
      <c r="N1771" s="163"/>
      <c r="O1771" s="165"/>
      <c r="P1771" s="161"/>
      <c r="Q1771" s="196"/>
      <c r="R1771" s="153"/>
      <c r="S1771" s="153"/>
      <c r="T1771" s="153"/>
      <c r="U1771" s="153"/>
      <c r="V1771" s="153"/>
      <c r="W1771" s="153"/>
      <c r="X1771" s="153"/>
      <c r="Y1771" s="153"/>
      <c r="Z1771" s="153"/>
      <c r="AA1771" s="153"/>
    </row>
    <row r="1772" spans="1:27">
      <c r="A1772" s="154"/>
      <c r="B1772" s="155"/>
      <c r="C1772" s="195"/>
      <c r="D1772" s="155"/>
      <c r="E1772" s="149"/>
      <c r="F1772" s="153"/>
      <c r="G1772" s="149"/>
      <c r="H1772" s="149"/>
      <c r="I1772" s="149"/>
      <c r="J1772" s="153"/>
      <c r="K1772" s="149"/>
      <c r="L1772" s="168"/>
      <c r="M1772" s="164"/>
      <c r="N1772" s="163"/>
      <c r="O1772" s="165"/>
      <c r="P1772" s="161"/>
      <c r="Q1772" s="196"/>
      <c r="R1772" s="153"/>
      <c r="S1772" s="153"/>
      <c r="T1772" s="153"/>
      <c r="U1772" s="153"/>
      <c r="V1772" s="153"/>
      <c r="W1772" s="153"/>
      <c r="X1772" s="153"/>
      <c r="Y1772" s="153"/>
      <c r="Z1772" s="153"/>
      <c r="AA1772" s="153"/>
    </row>
    <row r="1773" spans="1:27">
      <c r="A1773" s="154"/>
      <c r="B1773" s="155"/>
      <c r="C1773" s="195"/>
      <c r="D1773" s="155"/>
      <c r="E1773" s="149"/>
      <c r="F1773" s="153"/>
      <c r="G1773" s="149"/>
      <c r="H1773" s="149"/>
      <c r="I1773" s="149"/>
      <c r="J1773" s="153"/>
      <c r="K1773" s="149"/>
      <c r="L1773" s="168"/>
      <c r="M1773" s="164"/>
      <c r="N1773" s="163"/>
      <c r="O1773" s="165"/>
      <c r="P1773" s="161"/>
      <c r="Q1773" s="196"/>
      <c r="R1773" s="153"/>
      <c r="S1773" s="153"/>
      <c r="T1773" s="153"/>
      <c r="U1773" s="153"/>
      <c r="V1773" s="153"/>
      <c r="W1773" s="153"/>
      <c r="X1773" s="153"/>
      <c r="Y1773" s="153"/>
      <c r="Z1773" s="153"/>
      <c r="AA1773" s="153"/>
    </row>
    <row r="1774" spans="1:27">
      <c r="A1774" s="154"/>
      <c r="B1774" s="155"/>
      <c r="C1774" s="195"/>
      <c r="D1774" s="155"/>
      <c r="E1774" s="149"/>
      <c r="F1774" s="153"/>
      <c r="G1774" s="149"/>
      <c r="H1774" s="149"/>
      <c r="I1774" s="149"/>
      <c r="J1774" s="153"/>
      <c r="K1774" s="149"/>
      <c r="L1774" s="168"/>
      <c r="M1774" s="164"/>
      <c r="N1774" s="163"/>
      <c r="O1774" s="165"/>
      <c r="P1774" s="161"/>
      <c r="Q1774" s="196"/>
      <c r="R1774" s="153"/>
      <c r="S1774" s="153"/>
      <c r="T1774" s="153"/>
      <c r="U1774" s="153"/>
      <c r="V1774" s="153"/>
      <c r="W1774" s="153"/>
      <c r="X1774" s="153"/>
      <c r="Y1774" s="153"/>
      <c r="Z1774" s="153"/>
      <c r="AA1774" s="153"/>
    </row>
    <row r="1775" spans="1:27">
      <c r="A1775" s="154"/>
      <c r="B1775" s="155"/>
      <c r="C1775" s="195"/>
      <c r="D1775" s="155"/>
      <c r="E1775" s="149"/>
      <c r="F1775" s="153"/>
      <c r="G1775" s="149"/>
      <c r="H1775" s="149"/>
      <c r="I1775" s="149"/>
      <c r="J1775" s="153"/>
      <c r="K1775" s="149"/>
      <c r="L1775" s="168"/>
      <c r="M1775" s="164"/>
      <c r="N1775" s="163"/>
      <c r="O1775" s="165"/>
      <c r="P1775" s="161"/>
      <c r="Q1775" s="196"/>
      <c r="R1775" s="153"/>
      <c r="S1775" s="153"/>
      <c r="T1775" s="153"/>
      <c r="U1775" s="153"/>
      <c r="V1775" s="153"/>
      <c r="W1775" s="153"/>
      <c r="X1775" s="153"/>
      <c r="Y1775" s="153"/>
      <c r="Z1775" s="153"/>
      <c r="AA1775" s="153"/>
    </row>
    <row r="1776" spans="1:27">
      <c r="A1776" s="154"/>
      <c r="B1776" s="155"/>
      <c r="C1776" s="195"/>
      <c r="D1776" s="155"/>
      <c r="E1776" s="149"/>
      <c r="F1776" s="153"/>
      <c r="G1776" s="149"/>
      <c r="H1776" s="149"/>
      <c r="I1776" s="149"/>
      <c r="J1776" s="153"/>
      <c r="K1776" s="149"/>
      <c r="L1776" s="168"/>
      <c r="M1776" s="164"/>
      <c r="N1776" s="163"/>
      <c r="O1776" s="165"/>
      <c r="P1776" s="161"/>
      <c r="Q1776" s="196"/>
      <c r="R1776" s="153"/>
      <c r="S1776" s="153"/>
      <c r="T1776" s="153"/>
      <c r="U1776" s="153"/>
      <c r="V1776" s="153"/>
      <c r="W1776" s="153"/>
      <c r="X1776" s="153"/>
      <c r="Y1776" s="153"/>
      <c r="Z1776" s="153"/>
      <c r="AA1776" s="153"/>
    </row>
    <row r="1777" spans="1:27">
      <c r="A1777" s="154"/>
      <c r="B1777" s="155"/>
      <c r="C1777" s="195"/>
      <c r="D1777" s="155"/>
      <c r="E1777" s="149"/>
      <c r="F1777" s="153"/>
      <c r="G1777" s="149"/>
      <c r="H1777" s="149"/>
      <c r="I1777" s="149"/>
      <c r="J1777" s="153"/>
      <c r="K1777" s="149"/>
      <c r="L1777" s="168"/>
      <c r="M1777" s="164"/>
      <c r="N1777" s="163"/>
      <c r="O1777" s="165"/>
      <c r="P1777" s="161"/>
      <c r="Q1777" s="196"/>
      <c r="R1777" s="153"/>
      <c r="S1777" s="153"/>
      <c r="T1777" s="153"/>
      <c r="U1777" s="153"/>
      <c r="V1777" s="153"/>
      <c r="W1777" s="153"/>
      <c r="X1777" s="153"/>
      <c r="Y1777" s="153"/>
      <c r="Z1777" s="153"/>
      <c r="AA1777" s="153"/>
    </row>
    <row r="1778" spans="1:27">
      <c r="A1778" s="154"/>
      <c r="B1778" s="155"/>
      <c r="C1778" s="195"/>
      <c r="D1778" s="155"/>
      <c r="E1778" s="149"/>
      <c r="F1778" s="153"/>
      <c r="G1778" s="149"/>
      <c r="H1778" s="149"/>
      <c r="I1778" s="149"/>
      <c r="J1778" s="153"/>
      <c r="K1778" s="149"/>
      <c r="L1778" s="168"/>
      <c r="M1778" s="164"/>
      <c r="N1778" s="163"/>
      <c r="O1778" s="165"/>
      <c r="P1778" s="161"/>
      <c r="Q1778" s="196"/>
      <c r="R1778" s="153"/>
      <c r="S1778" s="153"/>
      <c r="T1778" s="153"/>
      <c r="U1778" s="153"/>
      <c r="V1778" s="153"/>
      <c r="W1778" s="153"/>
      <c r="X1778" s="153"/>
      <c r="Y1778" s="153"/>
      <c r="Z1778" s="153"/>
      <c r="AA1778" s="153"/>
    </row>
    <row r="1779" spans="1:27">
      <c r="A1779" s="154"/>
      <c r="B1779" s="155"/>
      <c r="C1779" s="195"/>
      <c r="D1779" s="155"/>
      <c r="E1779" s="149"/>
      <c r="F1779" s="153"/>
      <c r="G1779" s="149"/>
      <c r="H1779" s="149"/>
      <c r="I1779" s="149"/>
      <c r="J1779" s="153"/>
      <c r="K1779" s="149"/>
      <c r="L1779" s="168"/>
      <c r="M1779" s="164"/>
      <c r="N1779" s="163"/>
      <c r="O1779" s="165"/>
      <c r="P1779" s="161"/>
      <c r="Q1779" s="196"/>
      <c r="R1779" s="153"/>
      <c r="S1779" s="153"/>
      <c r="T1779" s="153"/>
      <c r="U1779" s="153"/>
      <c r="V1779" s="153"/>
      <c r="W1779" s="153"/>
      <c r="X1779" s="153"/>
      <c r="Y1779" s="153"/>
      <c r="Z1779" s="153"/>
      <c r="AA1779" s="153"/>
    </row>
    <row r="1780" spans="1:27">
      <c r="A1780" s="154"/>
      <c r="B1780" s="155"/>
      <c r="C1780" s="195"/>
      <c r="D1780" s="155"/>
      <c r="E1780" s="149"/>
      <c r="F1780" s="153"/>
      <c r="G1780" s="149"/>
      <c r="H1780" s="149"/>
      <c r="I1780" s="149"/>
      <c r="J1780" s="153"/>
      <c r="K1780" s="149"/>
      <c r="L1780" s="168"/>
      <c r="M1780" s="164"/>
      <c r="N1780" s="163"/>
      <c r="O1780" s="165"/>
      <c r="P1780" s="161"/>
      <c r="Q1780" s="196"/>
      <c r="R1780" s="153"/>
      <c r="S1780" s="153"/>
      <c r="T1780" s="153"/>
      <c r="U1780" s="153"/>
      <c r="V1780" s="153"/>
      <c r="W1780" s="153"/>
      <c r="X1780" s="153"/>
      <c r="Y1780" s="153"/>
      <c r="Z1780" s="153"/>
      <c r="AA1780" s="153"/>
    </row>
    <row r="1781" spans="1:27">
      <c r="A1781" s="154"/>
      <c r="B1781" s="155"/>
      <c r="C1781" s="195"/>
      <c r="D1781" s="155"/>
      <c r="E1781" s="149"/>
      <c r="F1781" s="153"/>
      <c r="G1781" s="149"/>
      <c r="H1781" s="149"/>
      <c r="I1781" s="149"/>
      <c r="J1781" s="153"/>
      <c r="K1781" s="149"/>
      <c r="L1781" s="168"/>
      <c r="M1781" s="164"/>
      <c r="N1781" s="163"/>
      <c r="O1781" s="165"/>
      <c r="P1781" s="161"/>
      <c r="Q1781" s="196"/>
      <c r="R1781" s="153"/>
      <c r="S1781" s="153"/>
      <c r="T1781" s="153"/>
      <c r="U1781" s="153"/>
      <c r="V1781" s="153"/>
      <c r="W1781" s="153"/>
      <c r="X1781" s="153"/>
      <c r="Y1781" s="153"/>
      <c r="Z1781" s="153"/>
      <c r="AA1781" s="153"/>
    </row>
    <row r="1782" spans="1:27">
      <c r="A1782" s="154"/>
      <c r="B1782" s="155"/>
      <c r="C1782" s="195"/>
      <c r="D1782" s="155"/>
      <c r="E1782" s="149"/>
      <c r="F1782" s="153"/>
      <c r="G1782" s="149"/>
      <c r="H1782" s="149"/>
      <c r="I1782" s="149"/>
      <c r="J1782" s="153"/>
      <c r="K1782" s="149"/>
      <c r="L1782" s="168"/>
      <c r="M1782" s="164"/>
      <c r="N1782" s="163"/>
      <c r="O1782" s="165"/>
      <c r="P1782" s="161"/>
      <c r="Q1782" s="196"/>
      <c r="R1782" s="153"/>
      <c r="S1782" s="153"/>
      <c r="T1782" s="153"/>
      <c r="U1782" s="153"/>
      <c r="V1782" s="153"/>
      <c r="W1782" s="153"/>
      <c r="X1782" s="153"/>
      <c r="Y1782" s="153"/>
      <c r="Z1782" s="153"/>
      <c r="AA1782" s="153"/>
    </row>
    <row r="1783" spans="1:27">
      <c r="A1783" s="154"/>
      <c r="B1783" s="155"/>
      <c r="C1783" s="195"/>
      <c r="D1783" s="155"/>
      <c r="E1783" s="149"/>
      <c r="F1783" s="153"/>
      <c r="G1783" s="149"/>
      <c r="H1783" s="149"/>
      <c r="I1783" s="149"/>
      <c r="J1783" s="153"/>
      <c r="K1783" s="149"/>
      <c r="L1783" s="168"/>
      <c r="M1783" s="164"/>
      <c r="N1783" s="163"/>
      <c r="O1783" s="165"/>
      <c r="P1783" s="161"/>
      <c r="Q1783" s="196"/>
      <c r="R1783" s="153"/>
      <c r="S1783" s="153"/>
      <c r="T1783" s="153"/>
      <c r="U1783" s="153"/>
      <c r="V1783" s="153"/>
      <c r="W1783" s="153"/>
      <c r="X1783" s="153"/>
      <c r="Y1783" s="153"/>
      <c r="Z1783" s="153"/>
      <c r="AA1783" s="153"/>
    </row>
    <row r="1784" spans="1:27">
      <c r="A1784" s="154"/>
      <c r="B1784" s="155"/>
      <c r="C1784" s="195"/>
      <c r="D1784" s="155"/>
      <c r="E1784" s="149"/>
      <c r="F1784" s="153"/>
      <c r="G1784" s="149"/>
      <c r="H1784" s="149"/>
      <c r="I1784" s="149"/>
      <c r="J1784" s="153"/>
      <c r="K1784" s="149"/>
      <c r="L1784" s="168"/>
      <c r="M1784" s="164"/>
      <c r="N1784" s="163"/>
      <c r="O1784" s="165"/>
      <c r="P1784" s="161"/>
      <c r="Q1784" s="196"/>
      <c r="R1784" s="153"/>
      <c r="S1784" s="153"/>
      <c r="T1784" s="153"/>
      <c r="U1784" s="153"/>
      <c r="V1784" s="153"/>
      <c r="W1784" s="153"/>
      <c r="X1784" s="153"/>
      <c r="Y1784" s="153"/>
      <c r="Z1784" s="153"/>
      <c r="AA1784" s="153"/>
    </row>
    <row r="1785" spans="1:27">
      <c r="A1785" s="154"/>
      <c r="B1785" s="155"/>
      <c r="C1785" s="195"/>
      <c r="D1785" s="155"/>
      <c r="E1785" s="149"/>
      <c r="F1785" s="153"/>
      <c r="G1785" s="149"/>
      <c r="H1785" s="149"/>
      <c r="I1785" s="149"/>
      <c r="J1785" s="153"/>
      <c r="K1785" s="149"/>
      <c r="L1785" s="168"/>
      <c r="M1785" s="164"/>
      <c r="N1785" s="163"/>
      <c r="O1785" s="165"/>
      <c r="P1785" s="161"/>
      <c r="Q1785" s="196"/>
      <c r="R1785" s="153"/>
      <c r="S1785" s="153"/>
      <c r="T1785" s="153"/>
      <c r="U1785" s="153"/>
      <c r="V1785" s="153"/>
      <c r="W1785" s="153"/>
      <c r="X1785" s="153"/>
      <c r="Y1785" s="153"/>
      <c r="Z1785" s="153"/>
      <c r="AA1785" s="153"/>
    </row>
    <row r="1786" spans="1:27">
      <c r="A1786" s="154"/>
      <c r="B1786" s="155"/>
      <c r="C1786" s="195"/>
      <c r="D1786" s="155"/>
      <c r="E1786" s="149"/>
      <c r="F1786" s="153"/>
      <c r="G1786" s="149"/>
      <c r="H1786" s="149"/>
      <c r="I1786" s="149"/>
      <c r="J1786" s="153"/>
      <c r="K1786" s="149"/>
      <c r="L1786" s="168"/>
      <c r="M1786" s="164"/>
      <c r="N1786" s="163"/>
      <c r="O1786" s="165"/>
      <c r="P1786" s="161"/>
      <c r="Q1786" s="196"/>
      <c r="R1786" s="153"/>
      <c r="S1786" s="153"/>
      <c r="T1786" s="153"/>
      <c r="U1786" s="153"/>
      <c r="V1786" s="153"/>
      <c r="W1786" s="153"/>
      <c r="X1786" s="153"/>
      <c r="Y1786" s="153"/>
      <c r="Z1786" s="153"/>
      <c r="AA1786" s="153"/>
    </row>
    <row r="1787" spans="1:27">
      <c r="A1787" s="154"/>
      <c r="B1787" s="155"/>
      <c r="C1787" s="195"/>
      <c r="D1787" s="155"/>
      <c r="E1787" s="149"/>
      <c r="F1787" s="153"/>
      <c r="G1787" s="149"/>
      <c r="H1787" s="149"/>
      <c r="I1787" s="149"/>
      <c r="J1787" s="153"/>
      <c r="K1787" s="149"/>
      <c r="L1787" s="168"/>
      <c r="M1787" s="164"/>
      <c r="N1787" s="163"/>
      <c r="O1787" s="165"/>
      <c r="P1787" s="161"/>
      <c r="Q1787" s="196"/>
      <c r="R1787" s="153"/>
      <c r="S1787" s="153"/>
      <c r="T1787" s="153"/>
      <c r="U1787" s="153"/>
      <c r="V1787" s="153"/>
      <c r="W1787" s="153"/>
      <c r="X1787" s="153"/>
      <c r="Y1787" s="153"/>
      <c r="Z1787" s="153"/>
      <c r="AA1787" s="153"/>
    </row>
    <row r="1788" spans="1:27">
      <c r="A1788" s="154"/>
      <c r="B1788" s="155"/>
      <c r="C1788" s="195"/>
      <c r="D1788" s="155"/>
      <c r="E1788" s="149"/>
      <c r="F1788" s="153"/>
      <c r="G1788" s="149"/>
      <c r="H1788" s="149"/>
      <c r="I1788" s="149"/>
      <c r="J1788" s="153"/>
      <c r="K1788" s="149"/>
      <c r="L1788" s="168"/>
      <c r="M1788" s="164"/>
      <c r="N1788" s="163"/>
      <c r="O1788" s="165"/>
      <c r="P1788" s="161"/>
      <c r="Q1788" s="196"/>
      <c r="R1788" s="153"/>
      <c r="S1788" s="153"/>
      <c r="T1788" s="153"/>
      <c r="U1788" s="153"/>
      <c r="V1788" s="153"/>
      <c r="W1788" s="153"/>
      <c r="X1788" s="153"/>
      <c r="Y1788" s="153"/>
      <c r="Z1788" s="153"/>
      <c r="AA1788" s="153"/>
    </row>
    <row r="1789" spans="1:27">
      <c r="A1789" s="154"/>
      <c r="B1789" s="155"/>
      <c r="C1789" s="195"/>
      <c r="D1789" s="155"/>
      <c r="E1789" s="149"/>
      <c r="F1789" s="153"/>
      <c r="G1789" s="149"/>
      <c r="H1789" s="149"/>
      <c r="I1789" s="149"/>
      <c r="J1789" s="153"/>
      <c r="K1789" s="149"/>
      <c r="L1789" s="168"/>
      <c r="M1789" s="164"/>
      <c r="N1789" s="163"/>
      <c r="O1789" s="165"/>
      <c r="P1789" s="161"/>
      <c r="Q1789" s="196"/>
      <c r="R1789" s="153"/>
      <c r="S1789" s="153"/>
      <c r="T1789" s="153"/>
      <c r="U1789" s="153"/>
      <c r="V1789" s="153"/>
      <c r="W1789" s="153"/>
      <c r="X1789" s="153"/>
      <c r="Y1789" s="153"/>
      <c r="Z1789" s="153"/>
      <c r="AA1789" s="153"/>
    </row>
    <row r="1790" spans="1:27">
      <c r="A1790" s="154"/>
      <c r="B1790" s="155"/>
      <c r="C1790" s="195"/>
      <c r="D1790" s="155"/>
      <c r="E1790" s="149"/>
      <c r="F1790" s="153"/>
      <c r="G1790" s="149"/>
      <c r="H1790" s="149"/>
      <c r="I1790" s="149"/>
      <c r="J1790" s="153"/>
      <c r="K1790" s="149"/>
      <c r="L1790" s="168"/>
      <c r="M1790" s="164"/>
      <c r="N1790" s="163"/>
      <c r="O1790" s="165"/>
      <c r="P1790" s="161"/>
      <c r="Q1790" s="196"/>
      <c r="R1790" s="153"/>
      <c r="S1790" s="153"/>
      <c r="T1790" s="153"/>
      <c r="U1790" s="153"/>
      <c r="V1790" s="153"/>
      <c r="W1790" s="153"/>
      <c r="X1790" s="153"/>
      <c r="Y1790" s="153"/>
      <c r="Z1790" s="153"/>
      <c r="AA1790" s="153"/>
    </row>
    <row r="1791" spans="1:27">
      <c r="A1791" s="154"/>
      <c r="B1791" s="155"/>
      <c r="C1791" s="195"/>
      <c r="D1791" s="155"/>
      <c r="E1791" s="149"/>
      <c r="F1791" s="153"/>
      <c r="G1791" s="149"/>
      <c r="H1791" s="149"/>
      <c r="I1791" s="149"/>
      <c r="J1791" s="153"/>
      <c r="K1791" s="149"/>
      <c r="L1791" s="168"/>
      <c r="M1791" s="164"/>
      <c r="N1791" s="163"/>
      <c r="O1791" s="165"/>
      <c r="P1791" s="161"/>
      <c r="Q1791" s="196"/>
      <c r="R1791" s="153"/>
      <c r="S1791" s="153"/>
      <c r="T1791" s="153"/>
      <c r="U1791" s="153"/>
      <c r="V1791" s="153"/>
      <c r="W1791" s="153"/>
      <c r="X1791" s="153"/>
      <c r="Y1791" s="153"/>
      <c r="Z1791" s="153"/>
      <c r="AA1791" s="153"/>
    </row>
    <row r="1792" spans="1:27">
      <c r="A1792" s="154"/>
      <c r="B1792" s="155"/>
      <c r="C1792" s="195"/>
      <c r="D1792" s="155"/>
      <c r="E1792" s="149"/>
      <c r="F1792" s="153"/>
      <c r="G1792" s="149"/>
      <c r="H1792" s="149"/>
      <c r="I1792" s="149"/>
      <c r="J1792" s="153"/>
      <c r="K1792" s="149"/>
      <c r="L1792" s="168"/>
      <c r="M1792" s="164"/>
      <c r="N1792" s="163"/>
      <c r="O1792" s="165"/>
      <c r="P1792" s="161"/>
      <c r="Q1792" s="196"/>
      <c r="R1792" s="153"/>
      <c r="S1792" s="153"/>
      <c r="T1792" s="153"/>
      <c r="U1792" s="153"/>
      <c r="V1792" s="153"/>
      <c r="W1792" s="153"/>
      <c r="X1792" s="153"/>
      <c r="Y1792" s="153"/>
      <c r="Z1792" s="153"/>
      <c r="AA1792" s="153"/>
    </row>
    <row r="1793" spans="1:27">
      <c r="A1793" s="154"/>
      <c r="B1793" s="155"/>
      <c r="C1793" s="195"/>
      <c r="D1793" s="155"/>
      <c r="E1793" s="149"/>
      <c r="F1793" s="153"/>
      <c r="G1793" s="149"/>
      <c r="H1793" s="149"/>
      <c r="I1793" s="149"/>
      <c r="J1793" s="153"/>
      <c r="K1793" s="149"/>
      <c r="L1793" s="168"/>
      <c r="M1793" s="164"/>
      <c r="N1793" s="163"/>
      <c r="O1793" s="165"/>
      <c r="P1793" s="161"/>
      <c r="Q1793" s="196"/>
      <c r="R1793" s="153"/>
      <c r="S1793" s="153"/>
      <c r="T1793" s="153"/>
      <c r="U1793" s="153"/>
      <c r="V1793" s="153"/>
      <c r="W1793" s="153"/>
      <c r="X1793" s="153"/>
      <c r="Y1793" s="153"/>
      <c r="Z1793" s="153"/>
      <c r="AA1793" s="153"/>
    </row>
    <row r="1794" spans="1:27">
      <c r="A1794" s="154"/>
      <c r="B1794" s="155"/>
      <c r="C1794" s="195"/>
      <c r="D1794" s="155"/>
      <c r="E1794" s="149"/>
      <c r="F1794" s="153"/>
      <c r="G1794" s="149"/>
      <c r="H1794" s="149"/>
      <c r="I1794" s="149"/>
      <c r="J1794" s="153"/>
      <c r="K1794" s="149"/>
      <c r="L1794" s="168"/>
      <c r="M1794" s="164"/>
      <c r="N1794" s="163"/>
      <c r="O1794" s="165"/>
      <c r="P1794" s="161"/>
      <c r="Q1794" s="196"/>
      <c r="R1794" s="153"/>
      <c r="S1794" s="153"/>
      <c r="T1794" s="153"/>
      <c r="U1794" s="153"/>
      <c r="V1794" s="153"/>
      <c r="W1794" s="153"/>
      <c r="X1794" s="153"/>
      <c r="Y1794" s="153"/>
      <c r="Z1794" s="153"/>
      <c r="AA1794" s="153"/>
    </row>
    <row r="1795" spans="1:27">
      <c r="A1795" s="154"/>
      <c r="B1795" s="155"/>
      <c r="C1795" s="195"/>
      <c r="D1795" s="155"/>
      <c r="E1795" s="149"/>
      <c r="F1795" s="153"/>
      <c r="G1795" s="149"/>
      <c r="H1795" s="149"/>
      <c r="I1795" s="149"/>
      <c r="J1795" s="153"/>
      <c r="K1795" s="149"/>
      <c r="L1795" s="168"/>
      <c r="M1795" s="164"/>
      <c r="N1795" s="163"/>
      <c r="O1795" s="165"/>
      <c r="P1795" s="161"/>
      <c r="Q1795" s="196"/>
      <c r="R1795" s="153"/>
      <c r="S1795" s="153"/>
      <c r="T1795" s="153"/>
      <c r="U1795" s="153"/>
      <c r="V1795" s="153"/>
      <c r="W1795" s="153"/>
      <c r="X1795" s="153"/>
      <c r="Y1795" s="153"/>
      <c r="Z1795" s="153"/>
      <c r="AA1795" s="153"/>
    </row>
    <row r="1796" spans="1:27">
      <c r="A1796" s="154"/>
      <c r="B1796" s="155"/>
      <c r="C1796" s="195"/>
      <c r="D1796" s="155"/>
      <c r="E1796" s="149"/>
      <c r="F1796" s="153"/>
      <c r="G1796" s="149"/>
      <c r="H1796" s="149"/>
      <c r="I1796" s="149"/>
      <c r="J1796" s="153"/>
      <c r="K1796" s="149"/>
      <c r="L1796" s="168"/>
      <c r="M1796" s="164"/>
      <c r="N1796" s="163"/>
      <c r="O1796" s="165"/>
      <c r="P1796" s="161"/>
      <c r="Q1796" s="196"/>
      <c r="R1796" s="153"/>
      <c r="S1796" s="153"/>
      <c r="T1796" s="153"/>
      <c r="U1796" s="153"/>
      <c r="V1796" s="153"/>
      <c r="W1796" s="153"/>
      <c r="X1796" s="153"/>
      <c r="Y1796" s="153"/>
      <c r="Z1796" s="153"/>
      <c r="AA1796" s="153"/>
    </row>
    <row r="1797" spans="1:27">
      <c r="A1797" s="154"/>
      <c r="B1797" s="155"/>
      <c r="C1797" s="195"/>
      <c r="D1797" s="155"/>
      <c r="E1797" s="149"/>
      <c r="F1797" s="153"/>
      <c r="G1797" s="149"/>
      <c r="H1797" s="149"/>
      <c r="I1797" s="149"/>
      <c r="J1797" s="153"/>
      <c r="K1797" s="149"/>
      <c r="L1797" s="168"/>
      <c r="M1797" s="164"/>
      <c r="N1797" s="163"/>
      <c r="O1797" s="165"/>
      <c r="P1797" s="161"/>
      <c r="Q1797" s="196"/>
      <c r="R1797" s="153"/>
      <c r="S1797" s="153"/>
      <c r="T1797" s="153"/>
      <c r="U1797" s="153"/>
      <c r="V1797" s="153"/>
      <c r="W1797" s="153"/>
      <c r="X1797" s="153"/>
      <c r="Y1797" s="153"/>
      <c r="Z1797" s="153"/>
      <c r="AA1797" s="153"/>
    </row>
    <row r="1798" spans="1:27">
      <c r="A1798" s="154"/>
      <c r="B1798" s="155"/>
      <c r="C1798" s="195"/>
      <c r="D1798" s="155"/>
      <c r="E1798" s="149"/>
      <c r="F1798" s="153"/>
      <c r="G1798" s="149"/>
      <c r="H1798" s="149"/>
      <c r="I1798" s="149"/>
      <c r="J1798" s="153"/>
      <c r="K1798" s="149"/>
      <c r="L1798" s="168"/>
      <c r="M1798" s="164"/>
      <c r="N1798" s="163"/>
      <c r="O1798" s="165"/>
      <c r="P1798" s="161"/>
      <c r="Q1798" s="196"/>
      <c r="R1798" s="153"/>
      <c r="S1798" s="153"/>
      <c r="T1798" s="153"/>
      <c r="U1798" s="153"/>
      <c r="V1798" s="153"/>
      <c r="W1798" s="153"/>
      <c r="X1798" s="153"/>
      <c r="Y1798" s="153"/>
      <c r="Z1798" s="153"/>
      <c r="AA1798" s="153"/>
    </row>
    <row r="1799" spans="1:27">
      <c r="A1799" s="154"/>
      <c r="B1799" s="155"/>
      <c r="C1799" s="195"/>
      <c r="D1799" s="155"/>
      <c r="E1799" s="149"/>
      <c r="F1799" s="153"/>
      <c r="G1799" s="149"/>
      <c r="H1799" s="149"/>
      <c r="I1799" s="149"/>
      <c r="J1799" s="153"/>
      <c r="K1799" s="149"/>
      <c r="L1799" s="168"/>
      <c r="M1799" s="164"/>
      <c r="N1799" s="163"/>
      <c r="O1799" s="165"/>
      <c r="P1799" s="161"/>
      <c r="Q1799" s="196"/>
      <c r="R1799" s="153"/>
      <c r="S1799" s="153"/>
      <c r="T1799" s="153"/>
      <c r="U1799" s="153"/>
      <c r="V1799" s="153"/>
      <c r="W1799" s="153"/>
      <c r="X1799" s="153"/>
      <c r="Y1799" s="153"/>
      <c r="Z1799" s="153"/>
      <c r="AA1799" s="153"/>
    </row>
    <row r="1800" spans="1:27">
      <c r="A1800" s="154"/>
      <c r="B1800" s="155"/>
      <c r="C1800" s="195"/>
      <c r="D1800" s="155"/>
      <c r="E1800" s="149"/>
      <c r="F1800" s="153"/>
      <c r="G1800" s="149"/>
      <c r="H1800" s="149"/>
      <c r="I1800" s="149"/>
      <c r="J1800" s="153"/>
      <c r="K1800" s="149"/>
      <c r="L1800" s="168"/>
      <c r="M1800" s="164"/>
      <c r="N1800" s="163"/>
      <c r="O1800" s="165"/>
      <c r="P1800" s="161"/>
      <c r="Q1800" s="196"/>
      <c r="R1800" s="153"/>
      <c r="S1800" s="153"/>
      <c r="T1800" s="153"/>
      <c r="U1800" s="153"/>
      <c r="V1800" s="153"/>
      <c r="W1800" s="153"/>
      <c r="X1800" s="153"/>
      <c r="Y1800" s="153"/>
      <c r="Z1800" s="153"/>
      <c r="AA1800" s="153"/>
    </row>
    <row r="1801" spans="1:27">
      <c r="A1801" s="154"/>
      <c r="B1801" s="155"/>
      <c r="C1801" s="195"/>
      <c r="D1801" s="155"/>
      <c r="E1801" s="149"/>
      <c r="F1801" s="153"/>
      <c r="G1801" s="149"/>
      <c r="H1801" s="149"/>
      <c r="I1801" s="149"/>
      <c r="J1801" s="153"/>
      <c r="K1801" s="149"/>
      <c r="L1801" s="168"/>
      <c r="M1801" s="164"/>
      <c r="N1801" s="163"/>
      <c r="O1801" s="165"/>
      <c r="P1801" s="161"/>
      <c r="Q1801" s="196"/>
      <c r="R1801" s="153"/>
      <c r="S1801" s="153"/>
      <c r="T1801" s="153"/>
      <c r="U1801" s="153"/>
      <c r="V1801" s="153"/>
      <c r="W1801" s="153"/>
      <c r="X1801" s="153"/>
      <c r="Y1801" s="153"/>
      <c r="Z1801" s="153"/>
      <c r="AA1801" s="153"/>
    </row>
    <row r="1802" spans="1:27">
      <c r="A1802" s="154"/>
      <c r="B1802" s="155"/>
      <c r="C1802" s="195"/>
      <c r="D1802" s="155"/>
      <c r="E1802" s="149"/>
      <c r="F1802" s="153"/>
      <c r="G1802" s="149"/>
      <c r="H1802" s="149"/>
      <c r="I1802" s="149"/>
      <c r="J1802" s="153"/>
      <c r="K1802" s="149"/>
      <c r="L1802" s="168"/>
      <c r="M1802" s="164"/>
      <c r="N1802" s="163"/>
      <c r="O1802" s="165"/>
      <c r="P1802" s="161"/>
      <c r="Q1802" s="196"/>
      <c r="R1802" s="153"/>
      <c r="S1802" s="153"/>
      <c r="T1802" s="153"/>
      <c r="U1802" s="153"/>
      <c r="V1802" s="153"/>
      <c r="W1802" s="153"/>
      <c r="X1802" s="153"/>
      <c r="Y1802" s="153"/>
      <c r="Z1802" s="153"/>
      <c r="AA1802" s="153"/>
    </row>
    <row r="1803" spans="1:27">
      <c r="A1803" s="154"/>
      <c r="B1803" s="155"/>
      <c r="C1803" s="195"/>
      <c r="D1803" s="155"/>
      <c r="E1803" s="149"/>
      <c r="F1803" s="153"/>
      <c r="G1803" s="149"/>
      <c r="H1803" s="149"/>
      <c r="I1803" s="149"/>
      <c r="J1803" s="153"/>
      <c r="K1803" s="149"/>
      <c r="L1803" s="168"/>
      <c r="M1803" s="164"/>
      <c r="N1803" s="163"/>
      <c r="O1803" s="165"/>
      <c r="P1803" s="161"/>
      <c r="Q1803" s="196"/>
      <c r="R1803" s="153"/>
      <c r="S1803" s="153"/>
      <c r="T1803" s="153"/>
      <c r="U1803" s="153"/>
      <c r="V1803" s="153"/>
      <c r="W1803" s="153"/>
      <c r="X1803" s="153"/>
      <c r="Y1803" s="153"/>
      <c r="Z1803" s="153"/>
      <c r="AA1803" s="153"/>
    </row>
    <row r="1804" spans="1:27">
      <c r="A1804" s="154"/>
      <c r="B1804" s="155"/>
      <c r="C1804" s="195"/>
      <c r="D1804" s="155"/>
      <c r="E1804" s="149"/>
      <c r="F1804" s="153"/>
      <c r="G1804" s="149"/>
      <c r="H1804" s="149"/>
      <c r="I1804" s="149"/>
      <c r="J1804" s="153"/>
      <c r="K1804" s="149"/>
      <c r="L1804" s="168"/>
      <c r="M1804" s="164"/>
      <c r="N1804" s="163"/>
      <c r="O1804" s="165"/>
      <c r="P1804" s="161"/>
      <c r="Q1804" s="196"/>
      <c r="R1804" s="153"/>
      <c r="S1804" s="153"/>
      <c r="T1804" s="153"/>
      <c r="U1804" s="153"/>
      <c r="V1804" s="153"/>
      <c r="W1804" s="153"/>
      <c r="X1804" s="153"/>
      <c r="Y1804" s="153"/>
      <c r="Z1804" s="153"/>
      <c r="AA1804" s="153"/>
    </row>
    <row r="1805" spans="1:27">
      <c r="A1805" s="154"/>
      <c r="B1805" s="155"/>
      <c r="C1805" s="195"/>
      <c r="D1805" s="155"/>
      <c r="E1805" s="149"/>
      <c r="F1805" s="153"/>
      <c r="G1805" s="149"/>
      <c r="H1805" s="149"/>
      <c r="I1805" s="149"/>
      <c r="J1805" s="153"/>
      <c r="K1805" s="149"/>
      <c r="L1805" s="168"/>
      <c r="M1805" s="164"/>
      <c r="N1805" s="163"/>
      <c r="O1805" s="165"/>
      <c r="P1805" s="161"/>
      <c r="Q1805" s="196"/>
      <c r="R1805" s="153"/>
      <c r="S1805" s="153"/>
      <c r="T1805" s="153"/>
      <c r="U1805" s="153"/>
      <c r="V1805" s="153"/>
      <c r="W1805" s="153"/>
      <c r="X1805" s="153"/>
      <c r="Y1805" s="153"/>
      <c r="Z1805" s="153"/>
      <c r="AA1805" s="153"/>
    </row>
    <row r="1806" spans="1:27">
      <c r="A1806" s="154"/>
      <c r="B1806" s="155"/>
      <c r="C1806" s="195"/>
      <c r="D1806" s="155"/>
      <c r="E1806" s="149"/>
      <c r="F1806" s="153"/>
      <c r="G1806" s="149"/>
      <c r="H1806" s="149"/>
      <c r="I1806" s="149"/>
      <c r="J1806" s="153"/>
      <c r="K1806" s="149"/>
      <c r="L1806" s="168"/>
      <c r="M1806" s="164"/>
      <c r="N1806" s="163"/>
      <c r="O1806" s="165"/>
      <c r="P1806" s="161"/>
      <c r="Q1806" s="196"/>
      <c r="R1806" s="153"/>
      <c r="S1806" s="153"/>
      <c r="T1806" s="153"/>
      <c r="U1806" s="153"/>
      <c r="V1806" s="153"/>
      <c r="W1806" s="153"/>
      <c r="X1806" s="153"/>
      <c r="Y1806" s="153"/>
      <c r="Z1806" s="153"/>
      <c r="AA1806" s="153"/>
    </row>
    <row r="1807" spans="1:27">
      <c r="A1807" s="154"/>
      <c r="B1807" s="155"/>
      <c r="C1807" s="195"/>
      <c r="D1807" s="155"/>
      <c r="E1807" s="149"/>
      <c r="F1807" s="153"/>
      <c r="G1807" s="149"/>
      <c r="H1807" s="149"/>
      <c r="I1807" s="149"/>
      <c r="J1807" s="153"/>
      <c r="K1807" s="149"/>
      <c r="L1807" s="168"/>
      <c r="M1807" s="164"/>
      <c r="N1807" s="163"/>
      <c r="O1807" s="165"/>
      <c r="P1807" s="161"/>
      <c r="Q1807" s="196"/>
      <c r="R1807" s="153"/>
      <c r="S1807" s="153"/>
      <c r="T1807" s="153"/>
      <c r="U1807" s="153"/>
      <c r="V1807" s="153"/>
      <c r="W1807" s="153"/>
      <c r="X1807" s="153"/>
      <c r="Y1807" s="153"/>
      <c r="Z1807" s="153"/>
      <c r="AA1807" s="153"/>
    </row>
    <row r="1808" spans="1:27">
      <c r="A1808" s="154"/>
      <c r="B1808" s="155"/>
      <c r="C1808" s="195"/>
      <c r="D1808" s="155"/>
      <c r="E1808" s="149"/>
      <c r="F1808" s="153"/>
      <c r="G1808" s="149"/>
      <c r="H1808" s="149"/>
      <c r="I1808" s="149"/>
      <c r="J1808" s="153"/>
      <c r="K1808" s="149"/>
      <c r="L1808" s="168"/>
      <c r="M1808" s="164"/>
      <c r="N1808" s="163"/>
      <c r="O1808" s="165"/>
      <c r="P1808" s="161"/>
      <c r="Q1808" s="196"/>
      <c r="R1808" s="153"/>
      <c r="S1808" s="153"/>
      <c r="T1808" s="153"/>
      <c r="U1808" s="153"/>
      <c r="V1808" s="153"/>
      <c r="W1808" s="153"/>
      <c r="X1808" s="153"/>
      <c r="Y1808" s="153"/>
      <c r="Z1808" s="153"/>
      <c r="AA1808" s="153"/>
    </row>
    <row r="1809" spans="1:27">
      <c r="A1809" s="154"/>
      <c r="B1809" s="155"/>
      <c r="C1809" s="195"/>
      <c r="D1809" s="155"/>
      <c r="E1809" s="149"/>
      <c r="F1809" s="153"/>
      <c r="G1809" s="149"/>
      <c r="H1809" s="149"/>
      <c r="I1809" s="149"/>
      <c r="J1809" s="153"/>
      <c r="K1809" s="149"/>
      <c r="L1809" s="168"/>
      <c r="M1809" s="164"/>
      <c r="N1809" s="163"/>
      <c r="O1809" s="165"/>
      <c r="P1809" s="161"/>
      <c r="Q1809" s="196"/>
      <c r="R1809" s="153"/>
      <c r="S1809" s="153"/>
      <c r="T1809" s="153"/>
      <c r="U1809" s="153"/>
      <c r="V1809" s="153"/>
      <c r="W1809" s="153"/>
      <c r="X1809" s="153"/>
      <c r="Y1809" s="153"/>
      <c r="Z1809" s="153"/>
      <c r="AA1809" s="153"/>
    </row>
    <row r="1810" spans="1:27">
      <c r="A1810" s="154"/>
      <c r="B1810" s="155"/>
      <c r="C1810" s="195"/>
      <c r="D1810" s="155"/>
      <c r="E1810" s="149"/>
      <c r="F1810" s="153"/>
      <c r="G1810" s="149"/>
      <c r="H1810" s="149"/>
      <c r="I1810" s="149"/>
      <c r="J1810" s="153"/>
      <c r="K1810" s="149"/>
      <c r="L1810" s="168"/>
      <c r="M1810" s="164"/>
      <c r="N1810" s="163"/>
      <c r="O1810" s="165"/>
      <c r="P1810" s="161"/>
      <c r="Q1810" s="196"/>
      <c r="R1810" s="153"/>
      <c r="S1810" s="153"/>
      <c r="T1810" s="153"/>
      <c r="U1810" s="153"/>
      <c r="V1810" s="153"/>
      <c r="W1810" s="153"/>
      <c r="X1810" s="153"/>
      <c r="Y1810" s="153"/>
      <c r="Z1810" s="153"/>
      <c r="AA1810" s="153"/>
    </row>
    <row r="1811" spans="1:27">
      <c r="A1811" s="154"/>
      <c r="B1811" s="155"/>
      <c r="C1811" s="195"/>
      <c r="D1811" s="155"/>
      <c r="E1811" s="149"/>
      <c r="F1811" s="153"/>
      <c r="G1811" s="149"/>
      <c r="H1811" s="149"/>
      <c r="I1811" s="149"/>
      <c r="J1811" s="153"/>
      <c r="K1811" s="149"/>
      <c r="L1811" s="168"/>
      <c r="M1811" s="164"/>
      <c r="N1811" s="163"/>
      <c r="O1811" s="165"/>
      <c r="P1811" s="161"/>
      <c r="Q1811" s="196"/>
      <c r="R1811" s="153"/>
      <c r="S1811" s="153"/>
      <c r="T1811" s="153"/>
      <c r="U1811" s="153"/>
      <c r="V1811" s="153"/>
      <c r="W1811" s="153"/>
      <c r="X1811" s="153"/>
      <c r="Y1811" s="153"/>
      <c r="Z1811" s="153"/>
      <c r="AA1811" s="153"/>
    </row>
    <row r="1812" spans="1:27">
      <c r="A1812" s="154"/>
      <c r="B1812" s="155"/>
      <c r="C1812" s="195"/>
      <c r="D1812" s="155"/>
      <c r="E1812" s="149"/>
      <c r="F1812" s="153"/>
      <c r="G1812" s="149"/>
      <c r="H1812" s="149"/>
      <c r="I1812" s="149"/>
      <c r="J1812" s="153"/>
      <c r="K1812" s="149"/>
      <c r="L1812" s="168"/>
      <c r="M1812" s="164"/>
      <c r="N1812" s="163"/>
      <c r="O1812" s="165"/>
      <c r="P1812" s="161"/>
      <c r="Q1812" s="196"/>
      <c r="R1812" s="153"/>
      <c r="S1812" s="153"/>
      <c r="T1812" s="153"/>
      <c r="U1812" s="153"/>
      <c r="V1812" s="153"/>
      <c r="W1812" s="153"/>
      <c r="X1812" s="153"/>
      <c r="Y1812" s="153"/>
      <c r="Z1812" s="153"/>
      <c r="AA1812" s="153"/>
    </row>
    <row r="1813" spans="1:27">
      <c r="A1813" s="154"/>
      <c r="B1813" s="155"/>
      <c r="C1813" s="195"/>
      <c r="D1813" s="155"/>
      <c r="E1813" s="149"/>
      <c r="F1813" s="153"/>
      <c r="G1813" s="149"/>
      <c r="H1813" s="149"/>
      <c r="I1813" s="149"/>
      <c r="J1813" s="153"/>
      <c r="K1813" s="149"/>
      <c r="L1813" s="168"/>
      <c r="M1813" s="164"/>
      <c r="N1813" s="163"/>
      <c r="O1813" s="165"/>
      <c r="P1813" s="161"/>
      <c r="Q1813" s="196"/>
      <c r="R1813" s="153"/>
      <c r="S1813" s="153"/>
      <c r="T1813" s="153"/>
      <c r="U1813" s="153"/>
      <c r="V1813" s="153"/>
      <c r="W1813" s="153"/>
      <c r="X1813" s="153"/>
      <c r="Y1813" s="153"/>
      <c r="Z1813" s="153"/>
      <c r="AA1813" s="153"/>
    </row>
    <row r="1814" spans="1:27">
      <c r="A1814" s="154"/>
      <c r="B1814" s="155"/>
      <c r="C1814" s="195"/>
      <c r="D1814" s="155"/>
      <c r="E1814" s="149"/>
      <c r="F1814" s="153"/>
      <c r="G1814" s="149"/>
      <c r="H1814" s="149"/>
      <c r="I1814" s="149"/>
      <c r="J1814" s="153"/>
      <c r="K1814" s="149"/>
      <c r="L1814" s="168"/>
      <c r="M1814" s="164"/>
      <c r="N1814" s="163"/>
      <c r="O1814" s="165"/>
      <c r="P1814" s="161"/>
      <c r="Q1814" s="196"/>
      <c r="R1814" s="153"/>
      <c r="S1814" s="153"/>
      <c r="T1814" s="153"/>
      <c r="U1814" s="153"/>
      <c r="V1814" s="153"/>
      <c r="W1814" s="153"/>
      <c r="X1814" s="153"/>
      <c r="Y1814" s="153"/>
      <c r="Z1814" s="153"/>
      <c r="AA1814" s="153"/>
    </row>
    <row r="1815" spans="1:27">
      <c r="A1815" s="154"/>
      <c r="B1815" s="155"/>
      <c r="C1815" s="195"/>
      <c r="D1815" s="155"/>
      <c r="E1815" s="149"/>
      <c r="F1815" s="153"/>
      <c r="G1815" s="149"/>
      <c r="H1815" s="149"/>
      <c r="I1815" s="149"/>
      <c r="J1815" s="153"/>
      <c r="K1815" s="149"/>
      <c r="L1815" s="168"/>
      <c r="M1815" s="164"/>
      <c r="N1815" s="163"/>
      <c r="O1815" s="165"/>
      <c r="P1815" s="161"/>
      <c r="Q1815" s="196"/>
      <c r="R1815" s="153"/>
      <c r="S1815" s="153"/>
      <c r="T1815" s="153"/>
      <c r="U1815" s="153"/>
      <c r="V1815" s="153"/>
      <c r="W1815" s="153"/>
      <c r="X1815" s="153"/>
      <c r="Y1815" s="153"/>
      <c r="Z1815" s="153"/>
      <c r="AA1815" s="153"/>
    </row>
    <row r="1816" spans="1:27">
      <c r="A1816" s="154"/>
      <c r="B1816" s="155"/>
      <c r="C1816" s="195"/>
      <c r="D1816" s="155"/>
      <c r="E1816" s="149"/>
      <c r="F1816" s="153"/>
      <c r="G1816" s="149"/>
      <c r="H1816" s="149"/>
      <c r="I1816" s="149"/>
      <c r="J1816" s="153"/>
      <c r="K1816" s="149"/>
      <c r="L1816" s="168"/>
      <c r="M1816" s="164"/>
      <c r="N1816" s="163"/>
      <c r="O1816" s="165"/>
      <c r="P1816" s="161"/>
      <c r="Q1816" s="196"/>
      <c r="R1816" s="153"/>
      <c r="S1816" s="153"/>
      <c r="T1816" s="153"/>
      <c r="U1816" s="153"/>
      <c r="V1816" s="153"/>
      <c r="W1816" s="153"/>
      <c r="X1816" s="153"/>
      <c r="Y1816" s="153"/>
      <c r="Z1816" s="153"/>
      <c r="AA1816" s="153"/>
    </row>
    <row r="1817" spans="1:27">
      <c r="A1817" s="154"/>
      <c r="B1817" s="155"/>
      <c r="C1817" s="195"/>
      <c r="D1817" s="155"/>
      <c r="E1817" s="149"/>
      <c r="F1817" s="153"/>
      <c r="G1817" s="149"/>
      <c r="H1817" s="149"/>
      <c r="I1817" s="149"/>
      <c r="J1817" s="153"/>
      <c r="K1817" s="149"/>
      <c r="L1817" s="168"/>
      <c r="M1817" s="164"/>
      <c r="N1817" s="163"/>
      <c r="O1817" s="165"/>
      <c r="P1817" s="161"/>
      <c r="Q1817" s="196"/>
      <c r="R1817" s="153"/>
      <c r="S1817" s="153"/>
      <c r="T1817" s="153"/>
      <c r="U1817" s="153"/>
      <c r="V1817" s="153"/>
      <c r="W1817" s="153"/>
      <c r="X1817" s="153"/>
      <c r="Y1817" s="153"/>
      <c r="Z1817" s="153"/>
      <c r="AA1817" s="153"/>
    </row>
    <row r="1818" spans="1:27">
      <c r="A1818" s="154"/>
      <c r="B1818" s="155"/>
      <c r="C1818" s="195"/>
      <c r="D1818" s="155"/>
      <c r="E1818" s="149"/>
      <c r="F1818" s="153"/>
      <c r="G1818" s="149"/>
      <c r="H1818" s="149"/>
      <c r="I1818" s="149"/>
      <c r="J1818" s="153"/>
      <c r="K1818" s="149"/>
      <c r="L1818" s="168"/>
      <c r="M1818" s="164"/>
      <c r="N1818" s="163"/>
      <c r="O1818" s="165"/>
      <c r="P1818" s="161"/>
      <c r="Q1818" s="196"/>
      <c r="R1818" s="153"/>
      <c r="S1818" s="153"/>
      <c r="T1818" s="153"/>
      <c r="U1818" s="153"/>
      <c r="V1818" s="153"/>
      <c r="W1818" s="153"/>
      <c r="X1818" s="153"/>
      <c r="Y1818" s="153"/>
      <c r="Z1818" s="153"/>
      <c r="AA1818" s="153"/>
    </row>
    <row r="1819" spans="1:27">
      <c r="A1819" s="154"/>
      <c r="B1819" s="155"/>
      <c r="C1819" s="195"/>
      <c r="D1819" s="155"/>
      <c r="E1819" s="149"/>
      <c r="F1819" s="153"/>
      <c r="G1819" s="149"/>
      <c r="H1819" s="149"/>
      <c r="I1819" s="149"/>
      <c r="J1819" s="153"/>
      <c r="K1819" s="149"/>
      <c r="L1819" s="168"/>
      <c r="M1819" s="164"/>
      <c r="N1819" s="163"/>
      <c r="O1819" s="165"/>
      <c r="P1819" s="161"/>
      <c r="Q1819" s="196"/>
      <c r="R1819" s="153"/>
      <c r="S1819" s="153"/>
      <c r="T1819" s="153"/>
      <c r="U1819" s="153"/>
      <c r="V1819" s="153"/>
      <c r="W1819" s="153"/>
      <c r="X1819" s="153"/>
      <c r="Y1819" s="153"/>
      <c r="Z1819" s="153"/>
      <c r="AA1819" s="153"/>
    </row>
    <row r="1820" spans="1:27">
      <c r="A1820" s="154"/>
      <c r="B1820" s="155"/>
      <c r="C1820" s="195"/>
      <c r="D1820" s="155"/>
      <c r="E1820" s="149"/>
      <c r="F1820" s="153"/>
      <c r="G1820" s="149"/>
      <c r="H1820" s="149"/>
      <c r="I1820" s="149"/>
      <c r="J1820" s="153"/>
      <c r="K1820" s="149"/>
      <c r="L1820" s="168"/>
      <c r="M1820" s="164"/>
      <c r="N1820" s="163"/>
      <c r="O1820" s="165"/>
      <c r="P1820" s="161"/>
      <c r="Q1820" s="196"/>
      <c r="R1820" s="153"/>
      <c r="S1820" s="153"/>
      <c r="T1820" s="153"/>
      <c r="U1820" s="153"/>
      <c r="V1820" s="153"/>
      <c r="W1820" s="153"/>
      <c r="X1820" s="153"/>
      <c r="Y1820" s="153"/>
      <c r="Z1820" s="153"/>
      <c r="AA1820" s="153"/>
    </row>
    <row r="1821" spans="1:27">
      <c r="A1821" s="154"/>
      <c r="B1821" s="155"/>
      <c r="C1821" s="195"/>
      <c r="D1821" s="155"/>
      <c r="E1821" s="149"/>
      <c r="F1821" s="153"/>
      <c r="G1821" s="149"/>
      <c r="H1821" s="149"/>
      <c r="I1821" s="149"/>
      <c r="J1821" s="153"/>
      <c r="K1821" s="149"/>
      <c r="L1821" s="168"/>
      <c r="M1821" s="164"/>
      <c r="N1821" s="163"/>
      <c r="O1821" s="165"/>
      <c r="P1821" s="161"/>
      <c r="Q1821" s="196"/>
      <c r="R1821" s="153"/>
      <c r="S1821" s="153"/>
      <c r="T1821" s="153"/>
      <c r="U1821" s="153"/>
      <c r="V1821" s="153"/>
      <c r="W1821" s="153"/>
      <c r="X1821" s="153"/>
      <c r="Y1821" s="153"/>
      <c r="Z1821" s="153"/>
      <c r="AA1821" s="153"/>
    </row>
    <row r="1822" spans="1:27">
      <c r="A1822" s="154"/>
      <c r="B1822" s="155"/>
      <c r="C1822" s="195"/>
      <c r="D1822" s="155"/>
      <c r="E1822" s="149"/>
      <c r="F1822" s="153"/>
      <c r="G1822" s="149"/>
      <c r="H1822" s="149"/>
      <c r="I1822" s="149"/>
      <c r="J1822" s="153"/>
      <c r="K1822" s="149"/>
      <c r="L1822" s="168"/>
      <c r="M1822" s="164"/>
      <c r="N1822" s="163"/>
      <c r="O1822" s="165"/>
      <c r="P1822" s="161"/>
      <c r="Q1822" s="196"/>
      <c r="R1822" s="153"/>
      <c r="S1822" s="153"/>
      <c r="T1822" s="153"/>
      <c r="U1822" s="153"/>
      <c r="V1822" s="153"/>
      <c r="W1822" s="153"/>
      <c r="X1822" s="153"/>
      <c r="Y1822" s="153"/>
      <c r="Z1822" s="153"/>
      <c r="AA1822" s="153"/>
    </row>
    <row r="1823" spans="1:27">
      <c r="A1823" s="154"/>
      <c r="B1823" s="155"/>
      <c r="C1823" s="195"/>
      <c r="D1823" s="155"/>
      <c r="E1823" s="149"/>
      <c r="F1823" s="153"/>
      <c r="G1823" s="149"/>
      <c r="H1823" s="149"/>
      <c r="I1823" s="149"/>
      <c r="J1823" s="153"/>
      <c r="K1823" s="149"/>
      <c r="L1823" s="168"/>
      <c r="M1823" s="164"/>
      <c r="N1823" s="163"/>
      <c r="O1823" s="165"/>
      <c r="P1823" s="161"/>
      <c r="Q1823" s="196"/>
      <c r="R1823" s="153"/>
      <c r="S1823" s="153"/>
      <c r="T1823" s="153"/>
      <c r="U1823" s="153"/>
      <c r="V1823" s="153"/>
      <c r="W1823" s="153"/>
      <c r="X1823" s="153"/>
      <c r="Y1823" s="153"/>
      <c r="Z1823" s="153"/>
      <c r="AA1823" s="153"/>
    </row>
    <row r="1824" spans="1:27">
      <c r="A1824" s="154"/>
      <c r="B1824" s="155"/>
      <c r="C1824" s="195"/>
      <c r="D1824" s="155"/>
      <c r="E1824" s="149"/>
      <c r="F1824" s="153"/>
      <c r="G1824" s="149"/>
      <c r="H1824" s="149"/>
      <c r="I1824" s="149"/>
      <c r="J1824" s="153"/>
      <c r="K1824" s="149"/>
      <c r="L1824" s="168"/>
      <c r="M1824" s="164"/>
      <c r="N1824" s="163"/>
      <c r="O1824" s="165"/>
      <c r="P1824" s="161"/>
      <c r="Q1824" s="196"/>
      <c r="R1824" s="153"/>
      <c r="S1824" s="153"/>
      <c r="T1824" s="153"/>
      <c r="U1824" s="153"/>
      <c r="V1824" s="153"/>
      <c r="W1824" s="153"/>
      <c r="X1824" s="153"/>
      <c r="Y1824" s="153"/>
      <c r="Z1824" s="153"/>
      <c r="AA1824" s="153"/>
    </row>
    <row r="1825" spans="1:27">
      <c r="A1825" s="154"/>
      <c r="B1825" s="155"/>
      <c r="C1825" s="195"/>
      <c r="D1825" s="155"/>
      <c r="E1825" s="149"/>
      <c r="F1825" s="153"/>
      <c r="G1825" s="149"/>
      <c r="H1825" s="149"/>
      <c r="I1825" s="149"/>
      <c r="J1825" s="153"/>
      <c r="K1825" s="149"/>
      <c r="L1825" s="168"/>
      <c r="M1825" s="164"/>
      <c r="N1825" s="163"/>
      <c r="O1825" s="165"/>
      <c r="P1825" s="161"/>
      <c r="Q1825" s="196"/>
      <c r="R1825" s="153"/>
      <c r="S1825" s="153"/>
      <c r="T1825" s="153"/>
      <c r="U1825" s="153"/>
      <c r="V1825" s="153"/>
      <c r="W1825" s="153"/>
      <c r="X1825" s="153"/>
      <c r="Y1825" s="153"/>
      <c r="Z1825" s="153"/>
      <c r="AA1825" s="153"/>
    </row>
    <row r="1826" spans="1:27">
      <c r="A1826" s="154"/>
      <c r="B1826" s="155"/>
      <c r="C1826" s="195"/>
      <c r="D1826" s="155"/>
      <c r="E1826" s="149"/>
      <c r="F1826" s="153"/>
      <c r="G1826" s="149"/>
      <c r="H1826" s="149"/>
      <c r="I1826" s="149"/>
      <c r="J1826" s="153"/>
      <c r="K1826" s="149"/>
      <c r="L1826" s="168"/>
      <c r="M1826" s="164"/>
      <c r="N1826" s="163"/>
      <c r="O1826" s="165"/>
      <c r="P1826" s="161"/>
      <c r="Q1826" s="196"/>
      <c r="R1826" s="153"/>
      <c r="S1826" s="153"/>
      <c r="T1826" s="153"/>
      <c r="U1826" s="153"/>
      <c r="V1826" s="153"/>
      <c r="W1826" s="153"/>
      <c r="X1826" s="153"/>
      <c r="Y1826" s="153"/>
      <c r="Z1826" s="153"/>
      <c r="AA1826" s="153"/>
    </row>
    <row r="1827" spans="1:27">
      <c r="A1827" s="154"/>
      <c r="B1827" s="155"/>
      <c r="C1827" s="195"/>
      <c r="D1827" s="155"/>
      <c r="E1827" s="149"/>
      <c r="F1827" s="153"/>
      <c r="G1827" s="149"/>
      <c r="H1827" s="149"/>
      <c r="I1827" s="149"/>
      <c r="J1827" s="153"/>
      <c r="K1827" s="149"/>
      <c r="L1827" s="168"/>
      <c r="M1827" s="164"/>
      <c r="N1827" s="163"/>
      <c r="O1827" s="165"/>
      <c r="P1827" s="161"/>
      <c r="Q1827" s="196"/>
      <c r="R1827" s="153"/>
      <c r="S1827" s="153"/>
      <c r="T1827" s="153"/>
      <c r="U1827" s="153"/>
      <c r="V1827" s="153"/>
      <c r="W1827" s="153"/>
      <c r="X1827" s="153"/>
      <c r="Y1827" s="153"/>
      <c r="Z1827" s="153"/>
      <c r="AA1827" s="153"/>
    </row>
    <row r="1828" spans="1:27">
      <c r="A1828" s="154"/>
      <c r="B1828" s="155"/>
      <c r="C1828" s="195"/>
      <c r="D1828" s="155"/>
      <c r="E1828" s="149"/>
      <c r="F1828" s="153"/>
      <c r="G1828" s="149"/>
      <c r="H1828" s="149"/>
      <c r="I1828" s="149"/>
      <c r="J1828" s="153"/>
      <c r="K1828" s="149"/>
      <c r="L1828" s="168"/>
      <c r="M1828" s="164"/>
      <c r="N1828" s="163"/>
      <c r="O1828" s="165"/>
      <c r="P1828" s="161"/>
      <c r="Q1828" s="196"/>
      <c r="R1828" s="153"/>
      <c r="S1828" s="153"/>
      <c r="T1828" s="153"/>
      <c r="U1828" s="153"/>
      <c r="V1828" s="153"/>
      <c r="W1828" s="153"/>
      <c r="X1828" s="153"/>
      <c r="Y1828" s="153"/>
      <c r="Z1828" s="153"/>
      <c r="AA1828" s="153"/>
    </row>
    <row r="1829" spans="1:27">
      <c r="A1829" s="154"/>
      <c r="B1829" s="155"/>
      <c r="C1829" s="195"/>
      <c r="D1829" s="155"/>
      <c r="E1829" s="149"/>
      <c r="F1829" s="153"/>
      <c r="G1829" s="149"/>
      <c r="H1829" s="149"/>
      <c r="I1829" s="149"/>
      <c r="J1829" s="153"/>
      <c r="K1829" s="149"/>
      <c r="L1829" s="168"/>
      <c r="M1829" s="164"/>
      <c r="N1829" s="163"/>
      <c r="O1829" s="165"/>
      <c r="P1829" s="161"/>
      <c r="Q1829" s="196"/>
      <c r="R1829" s="153"/>
      <c r="S1829" s="153"/>
      <c r="T1829" s="153"/>
      <c r="U1829" s="153"/>
      <c r="V1829" s="153"/>
      <c r="W1829" s="153"/>
      <c r="X1829" s="153"/>
      <c r="Y1829" s="153"/>
      <c r="Z1829" s="153"/>
      <c r="AA1829" s="153"/>
    </row>
    <row r="1830" spans="1:27">
      <c r="A1830" s="154"/>
      <c r="B1830" s="155"/>
      <c r="C1830" s="195"/>
      <c r="D1830" s="155"/>
      <c r="E1830" s="149"/>
      <c r="F1830" s="153"/>
      <c r="G1830" s="149"/>
      <c r="H1830" s="149"/>
      <c r="I1830" s="149"/>
      <c r="J1830" s="153"/>
      <c r="K1830" s="149"/>
      <c r="L1830" s="168"/>
      <c r="M1830" s="164"/>
      <c r="N1830" s="163"/>
      <c r="O1830" s="165"/>
      <c r="P1830" s="161"/>
      <c r="Q1830" s="196"/>
      <c r="R1830" s="153"/>
      <c r="S1830" s="153"/>
      <c r="T1830" s="153"/>
      <c r="U1830" s="153"/>
      <c r="V1830" s="153"/>
      <c r="W1830" s="153"/>
      <c r="X1830" s="153"/>
      <c r="Y1830" s="153"/>
      <c r="Z1830" s="153"/>
      <c r="AA1830" s="153"/>
    </row>
    <row r="1831" spans="1:27">
      <c r="A1831" s="154"/>
      <c r="B1831" s="155"/>
      <c r="C1831" s="195"/>
      <c r="D1831" s="155"/>
      <c r="E1831" s="149"/>
      <c r="F1831" s="153"/>
      <c r="G1831" s="149"/>
      <c r="H1831" s="149"/>
      <c r="I1831" s="149"/>
      <c r="J1831" s="153"/>
      <c r="K1831" s="149"/>
      <c r="L1831" s="168"/>
      <c r="M1831" s="164"/>
      <c r="N1831" s="163"/>
      <c r="O1831" s="165"/>
      <c r="P1831" s="161"/>
      <c r="Q1831" s="196"/>
      <c r="R1831" s="153"/>
      <c r="S1831" s="153"/>
      <c r="T1831" s="153"/>
      <c r="U1831" s="153"/>
      <c r="V1831" s="153"/>
      <c r="W1831" s="153"/>
      <c r="X1831" s="153"/>
      <c r="Y1831" s="153"/>
      <c r="Z1831" s="153"/>
      <c r="AA1831" s="153"/>
    </row>
    <row r="1832" spans="1:27">
      <c r="A1832" s="154"/>
      <c r="B1832" s="155"/>
      <c r="C1832" s="195"/>
      <c r="D1832" s="155"/>
      <c r="E1832" s="149"/>
      <c r="F1832" s="153"/>
      <c r="G1832" s="149"/>
      <c r="H1832" s="149"/>
      <c r="I1832" s="149"/>
      <c r="J1832" s="153"/>
      <c r="K1832" s="149"/>
      <c r="L1832" s="168"/>
      <c r="M1832" s="164"/>
      <c r="N1832" s="163"/>
      <c r="O1832" s="165"/>
      <c r="P1832" s="161"/>
      <c r="Q1832" s="196"/>
      <c r="R1832" s="153"/>
      <c r="S1832" s="153"/>
      <c r="T1832" s="153"/>
      <c r="U1832" s="153"/>
      <c r="V1832" s="153"/>
      <c r="W1832" s="153"/>
      <c r="X1832" s="153"/>
      <c r="Y1832" s="153"/>
      <c r="Z1832" s="153"/>
      <c r="AA1832" s="153"/>
    </row>
    <row r="1833" spans="1:27">
      <c r="A1833" s="154"/>
      <c r="B1833" s="155"/>
      <c r="C1833" s="195"/>
      <c r="D1833" s="155"/>
      <c r="E1833" s="149"/>
      <c r="F1833" s="153"/>
      <c r="G1833" s="149"/>
      <c r="H1833" s="149"/>
      <c r="I1833" s="149"/>
      <c r="J1833" s="153"/>
      <c r="K1833" s="149"/>
      <c r="L1833" s="168"/>
      <c r="M1833" s="164"/>
      <c r="N1833" s="163"/>
      <c r="O1833" s="165"/>
      <c r="P1833" s="161"/>
      <c r="Q1833" s="196"/>
      <c r="R1833" s="153"/>
      <c r="S1833" s="153"/>
      <c r="T1833" s="153"/>
      <c r="U1833" s="153"/>
      <c r="V1833" s="153"/>
      <c r="W1833" s="153"/>
      <c r="X1833" s="153"/>
      <c r="Y1833" s="153"/>
      <c r="Z1833" s="153"/>
      <c r="AA1833" s="153"/>
    </row>
    <row r="1834" spans="1:27">
      <c r="A1834" s="154"/>
      <c r="B1834" s="155"/>
      <c r="C1834" s="195"/>
      <c r="D1834" s="155"/>
      <c r="E1834" s="149"/>
      <c r="F1834" s="153"/>
      <c r="G1834" s="149"/>
      <c r="H1834" s="149"/>
      <c r="I1834" s="149"/>
      <c r="J1834" s="153"/>
      <c r="K1834" s="149"/>
      <c r="L1834" s="168"/>
      <c r="M1834" s="164"/>
      <c r="N1834" s="163"/>
      <c r="O1834" s="165"/>
      <c r="P1834" s="161"/>
      <c r="Q1834" s="196"/>
      <c r="R1834" s="153"/>
      <c r="S1834" s="153"/>
      <c r="T1834" s="153"/>
      <c r="U1834" s="153"/>
      <c r="V1834" s="153"/>
      <c r="W1834" s="153"/>
      <c r="X1834" s="153"/>
      <c r="Y1834" s="153"/>
      <c r="Z1834" s="153"/>
      <c r="AA1834" s="153"/>
    </row>
    <row r="1835" spans="1:27">
      <c r="A1835" s="154"/>
      <c r="B1835" s="155"/>
      <c r="C1835" s="195"/>
      <c r="D1835" s="155"/>
      <c r="E1835" s="149"/>
      <c r="F1835" s="153"/>
      <c r="G1835" s="149"/>
      <c r="H1835" s="149"/>
      <c r="I1835" s="149"/>
      <c r="J1835" s="153"/>
      <c r="K1835" s="149"/>
      <c r="L1835" s="168"/>
      <c r="M1835" s="164"/>
      <c r="N1835" s="163"/>
      <c r="O1835" s="165"/>
      <c r="P1835" s="161"/>
      <c r="Q1835" s="196"/>
      <c r="R1835" s="153"/>
      <c r="S1835" s="153"/>
      <c r="T1835" s="153"/>
      <c r="U1835" s="153"/>
      <c r="V1835" s="153"/>
      <c r="W1835" s="153"/>
      <c r="X1835" s="153"/>
      <c r="Y1835" s="153"/>
      <c r="Z1835" s="153"/>
      <c r="AA1835" s="153"/>
    </row>
    <row r="1836" spans="1:27">
      <c r="A1836" s="154"/>
      <c r="B1836" s="155"/>
      <c r="C1836" s="195"/>
      <c r="D1836" s="155"/>
      <c r="E1836" s="149"/>
      <c r="F1836" s="153"/>
      <c r="G1836" s="149"/>
      <c r="H1836" s="149"/>
      <c r="I1836" s="149"/>
      <c r="J1836" s="153"/>
      <c r="K1836" s="149"/>
      <c r="L1836" s="168"/>
      <c r="M1836" s="164"/>
      <c r="N1836" s="163"/>
      <c r="O1836" s="165"/>
      <c r="P1836" s="161"/>
      <c r="Q1836" s="196"/>
      <c r="R1836" s="153"/>
      <c r="S1836" s="153"/>
      <c r="T1836" s="153"/>
      <c r="U1836" s="153"/>
      <c r="V1836" s="153"/>
      <c r="W1836" s="153"/>
      <c r="X1836" s="153"/>
      <c r="Y1836" s="153"/>
      <c r="Z1836" s="153"/>
      <c r="AA1836" s="153"/>
    </row>
    <row r="1837" spans="1:27">
      <c r="A1837" s="154"/>
      <c r="B1837" s="155"/>
      <c r="C1837" s="195"/>
      <c r="D1837" s="155"/>
      <c r="E1837" s="149"/>
      <c r="F1837" s="153"/>
      <c r="G1837" s="149"/>
      <c r="H1837" s="149"/>
      <c r="I1837" s="149"/>
      <c r="J1837" s="153"/>
      <c r="K1837" s="149"/>
      <c r="L1837" s="168"/>
      <c r="M1837" s="164"/>
      <c r="N1837" s="163"/>
      <c r="O1837" s="165"/>
      <c r="P1837" s="161"/>
      <c r="Q1837" s="196"/>
      <c r="R1837" s="153"/>
      <c r="S1837" s="153"/>
      <c r="T1837" s="153"/>
      <c r="U1837" s="153"/>
      <c r="V1837" s="153"/>
      <c r="W1837" s="153"/>
      <c r="X1837" s="153"/>
      <c r="Y1837" s="153"/>
      <c r="Z1837" s="153"/>
      <c r="AA1837" s="153"/>
    </row>
    <row r="1838" spans="1:27">
      <c r="A1838" s="154"/>
      <c r="B1838" s="155"/>
      <c r="C1838" s="195"/>
      <c r="D1838" s="155"/>
      <c r="E1838" s="149"/>
      <c r="F1838" s="153"/>
      <c r="G1838" s="149"/>
      <c r="H1838" s="149"/>
      <c r="I1838" s="149"/>
      <c r="J1838" s="153"/>
      <c r="K1838" s="149"/>
      <c r="L1838" s="168"/>
      <c r="M1838" s="164"/>
      <c r="N1838" s="163"/>
      <c r="O1838" s="165"/>
      <c r="P1838" s="161"/>
      <c r="Q1838" s="196"/>
      <c r="R1838" s="153"/>
      <c r="S1838" s="153"/>
      <c r="T1838" s="153"/>
      <c r="U1838" s="153"/>
      <c r="V1838" s="153"/>
      <c r="W1838" s="153"/>
      <c r="X1838" s="153"/>
      <c r="Y1838" s="153"/>
      <c r="Z1838" s="153"/>
      <c r="AA1838" s="153"/>
    </row>
    <row r="1839" spans="1:27">
      <c r="A1839" s="154"/>
      <c r="B1839" s="155"/>
      <c r="C1839" s="195"/>
      <c r="D1839" s="155"/>
      <c r="E1839" s="149"/>
      <c r="F1839" s="153"/>
      <c r="G1839" s="149"/>
      <c r="H1839" s="149"/>
      <c r="I1839" s="149"/>
      <c r="J1839" s="153"/>
      <c r="K1839" s="149"/>
      <c r="L1839" s="168"/>
      <c r="M1839" s="164"/>
      <c r="N1839" s="163"/>
      <c r="O1839" s="165"/>
      <c r="P1839" s="161"/>
      <c r="Q1839" s="196"/>
      <c r="R1839" s="153"/>
      <c r="S1839" s="153"/>
      <c r="T1839" s="153"/>
      <c r="U1839" s="153"/>
      <c r="V1839" s="153"/>
      <c r="W1839" s="153"/>
      <c r="X1839" s="153"/>
      <c r="Y1839" s="153"/>
      <c r="Z1839" s="153"/>
      <c r="AA1839" s="153"/>
    </row>
    <row r="1840" spans="1:27">
      <c r="A1840" s="154"/>
      <c r="B1840" s="155"/>
      <c r="C1840" s="195"/>
      <c r="D1840" s="155"/>
      <c r="E1840" s="149"/>
      <c r="F1840" s="153"/>
      <c r="G1840" s="149"/>
      <c r="H1840" s="149"/>
      <c r="I1840" s="149"/>
      <c r="J1840" s="153"/>
      <c r="K1840" s="149"/>
      <c r="L1840" s="168"/>
      <c r="M1840" s="164"/>
      <c r="N1840" s="163"/>
      <c r="O1840" s="165"/>
      <c r="P1840" s="161"/>
      <c r="Q1840" s="196"/>
      <c r="R1840" s="153"/>
      <c r="S1840" s="153"/>
      <c r="T1840" s="153"/>
      <c r="U1840" s="153"/>
      <c r="V1840" s="153"/>
      <c r="W1840" s="153"/>
      <c r="X1840" s="153"/>
      <c r="Y1840" s="153"/>
      <c r="Z1840" s="153"/>
      <c r="AA1840" s="153"/>
    </row>
    <row r="1841" spans="1:27">
      <c r="A1841" s="154"/>
      <c r="B1841" s="155"/>
      <c r="C1841" s="195"/>
      <c r="D1841" s="155"/>
      <c r="E1841" s="149"/>
      <c r="F1841" s="153"/>
      <c r="G1841" s="149"/>
      <c r="H1841" s="149"/>
      <c r="I1841" s="149"/>
      <c r="J1841" s="153"/>
      <c r="K1841" s="149"/>
      <c r="L1841" s="168"/>
      <c r="M1841" s="164"/>
      <c r="N1841" s="163"/>
      <c r="O1841" s="165"/>
      <c r="P1841" s="161"/>
      <c r="Q1841" s="196"/>
      <c r="R1841" s="153"/>
      <c r="S1841" s="153"/>
      <c r="T1841" s="153"/>
      <c r="U1841" s="153"/>
      <c r="V1841" s="153"/>
      <c r="W1841" s="153"/>
      <c r="X1841" s="153"/>
      <c r="Y1841" s="153"/>
      <c r="Z1841" s="153"/>
      <c r="AA1841" s="153"/>
    </row>
    <row r="1842" spans="1:27">
      <c r="A1842" s="154"/>
      <c r="B1842" s="155"/>
      <c r="C1842" s="195"/>
      <c r="D1842" s="155"/>
      <c r="E1842" s="149"/>
      <c r="F1842" s="153"/>
      <c r="G1842" s="149"/>
      <c r="H1842" s="149"/>
      <c r="I1842" s="149"/>
      <c r="J1842" s="153"/>
      <c r="K1842" s="149"/>
      <c r="L1842" s="168"/>
      <c r="M1842" s="164"/>
      <c r="N1842" s="163"/>
      <c r="O1842" s="165"/>
      <c r="P1842" s="161"/>
      <c r="Q1842" s="196"/>
      <c r="R1842" s="153"/>
      <c r="S1842" s="153"/>
      <c r="T1842" s="153"/>
      <c r="U1842" s="153"/>
      <c r="V1842" s="153"/>
      <c r="W1842" s="153"/>
      <c r="X1842" s="153"/>
      <c r="Y1842" s="153"/>
      <c r="Z1842" s="153"/>
      <c r="AA1842" s="153"/>
    </row>
    <row r="1843" spans="1:27">
      <c r="A1843" s="154"/>
      <c r="B1843" s="155"/>
      <c r="C1843" s="195"/>
      <c r="D1843" s="155"/>
      <c r="E1843" s="149"/>
      <c r="F1843" s="153"/>
      <c r="G1843" s="149"/>
      <c r="H1843" s="149"/>
      <c r="I1843" s="149"/>
      <c r="J1843" s="153"/>
      <c r="K1843" s="149"/>
      <c r="L1843" s="168"/>
      <c r="M1843" s="164"/>
      <c r="N1843" s="163"/>
      <c r="O1843" s="165"/>
      <c r="P1843" s="161"/>
      <c r="Q1843" s="196"/>
      <c r="R1843" s="153"/>
      <c r="S1843" s="153"/>
      <c r="T1843" s="153"/>
      <c r="U1843" s="153"/>
      <c r="V1843" s="153"/>
      <c r="W1843" s="153"/>
      <c r="X1843" s="153"/>
      <c r="Y1843" s="153"/>
      <c r="Z1843" s="153"/>
      <c r="AA1843" s="153"/>
    </row>
    <row r="1844" spans="1:27">
      <c r="A1844" s="154"/>
      <c r="B1844" s="155"/>
      <c r="C1844" s="195"/>
      <c r="D1844" s="155"/>
      <c r="E1844" s="149"/>
      <c r="F1844" s="153"/>
      <c r="G1844" s="149"/>
      <c r="H1844" s="149"/>
      <c r="I1844" s="149"/>
      <c r="J1844" s="153"/>
      <c r="K1844" s="149"/>
      <c r="L1844" s="168"/>
      <c r="M1844" s="164"/>
      <c r="N1844" s="163"/>
      <c r="O1844" s="165"/>
      <c r="P1844" s="161"/>
      <c r="Q1844" s="196"/>
      <c r="R1844" s="153"/>
      <c r="S1844" s="153"/>
      <c r="T1844" s="153"/>
      <c r="U1844" s="153"/>
      <c r="V1844" s="153"/>
      <c r="W1844" s="153"/>
      <c r="X1844" s="153"/>
      <c r="Y1844" s="153"/>
      <c r="Z1844" s="153"/>
      <c r="AA1844" s="153"/>
    </row>
    <row r="1845" spans="1:27">
      <c r="A1845" s="154"/>
      <c r="B1845" s="155"/>
      <c r="C1845" s="195"/>
      <c r="D1845" s="155"/>
      <c r="E1845" s="149"/>
      <c r="F1845" s="153"/>
      <c r="G1845" s="149"/>
      <c r="H1845" s="149"/>
      <c r="I1845" s="149"/>
      <c r="J1845" s="153"/>
      <c r="K1845" s="149"/>
      <c r="L1845" s="168"/>
      <c r="M1845" s="164"/>
      <c r="N1845" s="163"/>
      <c r="O1845" s="165"/>
      <c r="P1845" s="161"/>
      <c r="Q1845" s="196"/>
      <c r="R1845" s="153"/>
      <c r="S1845" s="153"/>
      <c r="T1845" s="153"/>
      <c r="U1845" s="153"/>
      <c r="V1845" s="153"/>
      <c r="W1845" s="153"/>
      <c r="X1845" s="153"/>
      <c r="Y1845" s="153"/>
      <c r="Z1845" s="153"/>
      <c r="AA1845" s="153"/>
    </row>
    <row r="1846" spans="1:27">
      <c r="A1846" s="154"/>
      <c r="B1846" s="155"/>
      <c r="C1846" s="195"/>
      <c r="D1846" s="155"/>
      <c r="E1846" s="149"/>
      <c r="F1846" s="153"/>
      <c r="G1846" s="149"/>
      <c r="H1846" s="149"/>
      <c r="I1846" s="149"/>
      <c r="J1846" s="153"/>
      <c r="K1846" s="149"/>
      <c r="L1846" s="168"/>
      <c r="M1846" s="164"/>
      <c r="N1846" s="163"/>
      <c r="O1846" s="165"/>
      <c r="P1846" s="161"/>
      <c r="Q1846" s="196"/>
      <c r="R1846" s="153"/>
      <c r="S1846" s="153"/>
      <c r="T1846" s="153"/>
      <c r="U1846" s="153"/>
      <c r="V1846" s="153"/>
      <c r="W1846" s="153"/>
      <c r="X1846" s="153"/>
      <c r="Y1846" s="153"/>
      <c r="Z1846" s="153"/>
      <c r="AA1846" s="153"/>
    </row>
    <row r="1847" spans="1:27">
      <c r="A1847" s="154"/>
      <c r="B1847" s="155"/>
      <c r="C1847" s="195"/>
      <c r="D1847" s="155"/>
      <c r="E1847" s="149"/>
      <c r="F1847" s="153"/>
      <c r="G1847" s="149"/>
      <c r="H1847" s="149"/>
      <c r="I1847" s="149"/>
      <c r="J1847" s="153"/>
      <c r="K1847" s="149"/>
      <c r="L1847" s="168"/>
      <c r="M1847" s="164"/>
      <c r="N1847" s="163"/>
      <c r="O1847" s="165"/>
      <c r="P1847" s="161"/>
      <c r="Q1847" s="196"/>
      <c r="R1847" s="153"/>
      <c r="S1847" s="153"/>
      <c r="T1847" s="153"/>
      <c r="U1847" s="153"/>
      <c r="V1847" s="153"/>
      <c r="W1847" s="153"/>
      <c r="X1847" s="153"/>
      <c r="Y1847" s="153"/>
      <c r="Z1847" s="153"/>
      <c r="AA1847" s="153"/>
    </row>
    <row r="1848" spans="1:27">
      <c r="A1848" s="154"/>
      <c r="B1848" s="155"/>
      <c r="C1848" s="195"/>
      <c r="D1848" s="155"/>
      <c r="E1848" s="149"/>
      <c r="F1848" s="153"/>
      <c r="G1848" s="149"/>
      <c r="H1848" s="149"/>
      <c r="I1848" s="149"/>
      <c r="J1848" s="153"/>
      <c r="K1848" s="149"/>
      <c r="L1848" s="168"/>
      <c r="M1848" s="164"/>
      <c r="N1848" s="163"/>
      <c r="O1848" s="165"/>
      <c r="P1848" s="161"/>
      <c r="Q1848" s="196"/>
      <c r="R1848" s="153"/>
      <c r="S1848" s="153"/>
      <c r="T1848" s="153"/>
      <c r="U1848" s="153"/>
      <c r="V1848" s="153"/>
      <c r="W1848" s="153"/>
      <c r="X1848" s="153"/>
      <c r="Y1848" s="153"/>
      <c r="Z1848" s="153"/>
      <c r="AA1848" s="153"/>
    </row>
    <row r="1849" spans="1:27">
      <c r="A1849" s="154"/>
      <c r="B1849" s="155"/>
      <c r="C1849" s="195"/>
      <c r="D1849" s="155"/>
      <c r="E1849" s="149"/>
      <c r="F1849" s="153"/>
      <c r="G1849" s="149"/>
      <c r="H1849" s="149"/>
      <c r="I1849" s="149"/>
      <c r="J1849" s="153"/>
      <c r="K1849" s="149"/>
      <c r="L1849" s="168"/>
      <c r="M1849" s="164"/>
      <c r="N1849" s="163"/>
      <c r="O1849" s="165"/>
      <c r="P1849" s="161"/>
      <c r="Q1849" s="196"/>
      <c r="R1849" s="153"/>
      <c r="S1849" s="153"/>
      <c r="T1849" s="153"/>
      <c r="U1849" s="153"/>
      <c r="V1849" s="153"/>
      <c r="W1849" s="153"/>
      <c r="X1849" s="153"/>
      <c r="Y1849" s="153"/>
      <c r="Z1849" s="153"/>
      <c r="AA1849" s="153"/>
    </row>
    <row r="1850" spans="1:27">
      <c r="A1850" s="154"/>
      <c r="B1850" s="155"/>
      <c r="C1850" s="195"/>
      <c r="D1850" s="155"/>
      <c r="E1850" s="149"/>
      <c r="F1850" s="153"/>
      <c r="G1850" s="149"/>
      <c r="H1850" s="149"/>
      <c r="I1850" s="149"/>
      <c r="J1850" s="153"/>
      <c r="K1850" s="149"/>
      <c r="L1850" s="168"/>
      <c r="M1850" s="164"/>
      <c r="N1850" s="163"/>
      <c r="O1850" s="165"/>
      <c r="P1850" s="161"/>
      <c r="Q1850" s="196"/>
      <c r="R1850" s="153"/>
      <c r="S1850" s="153"/>
      <c r="T1850" s="153"/>
      <c r="U1850" s="153"/>
      <c r="V1850" s="153"/>
      <c r="W1850" s="153"/>
      <c r="X1850" s="153"/>
      <c r="Y1850" s="153"/>
      <c r="Z1850" s="153"/>
      <c r="AA1850" s="153"/>
    </row>
    <row r="1851" spans="1:27">
      <c r="A1851" s="154"/>
      <c r="B1851" s="155"/>
      <c r="C1851" s="195"/>
      <c r="D1851" s="155"/>
      <c r="E1851" s="149"/>
      <c r="F1851" s="153"/>
      <c r="G1851" s="149"/>
      <c r="H1851" s="149"/>
      <c r="I1851" s="149"/>
      <c r="J1851" s="153"/>
      <c r="K1851" s="149"/>
      <c r="L1851" s="168"/>
      <c r="M1851" s="164"/>
      <c r="N1851" s="163"/>
      <c r="O1851" s="165"/>
      <c r="P1851" s="161"/>
      <c r="Q1851" s="196"/>
      <c r="R1851" s="153"/>
      <c r="S1851" s="153"/>
      <c r="T1851" s="153"/>
      <c r="U1851" s="153"/>
      <c r="V1851" s="153"/>
      <c r="W1851" s="153"/>
      <c r="X1851" s="153"/>
      <c r="Y1851" s="153"/>
      <c r="Z1851" s="153"/>
      <c r="AA1851" s="153"/>
    </row>
    <row r="1852" spans="1:27">
      <c r="A1852" s="154"/>
      <c r="B1852" s="155"/>
      <c r="C1852" s="195"/>
      <c r="D1852" s="155"/>
      <c r="E1852" s="149"/>
      <c r="F1852" s="153"/>
      <c r="G1852" s="149"/>
      <c r="H1852" s="149"/>
      <c r="I1852" s="149"/>
      <c r="J1852" s="153"/>
      <c r="K1852" s="149"/>
      <c r="L1852" s="168"/>
      <c r="M1852" s="164"/>
      <c r="N1852" s="163"/>
      <c r="O1852" s="165"/>
      <c r="P1852" s="161"/>
      <c r="Q1852" s="196"/>
      <c r="R1852" s="153"/>
      <c r="S1852" s="153"/>
      <c r="T1852" s="153"/>
      <c r="U1852" s="153"/>
      <c r="V1852" s="153"/>
      <c r="W1852" s="153"/>
      <c r="X1852" s="153"/>
      <c r="Y1852" s="153"/>
      <c r="Z1852" s="153"/>
      <c r="AA1852" s="153"/>
    </row>
    <row r="1853" spans="1:27">
      <c r="A1853" s="154"/>
      <c r="B1853" s="155"/>
      <c r="C1853" s="195"/>
      <c r="D1853" s="155"/>
      <c r="E1853" s="149"/>
      <c r="F1853" s="153"/>
      <c r="G1853" s="149"/>
      <c r="H1853" s="149"/>
      <c r="I1853" s="149"/>
      <c r="J1853" s="153"/>
      <c r="K1853" s="149"/>
      <c r="L1853" s="168"/>
      <c r="M1853" s="164"/>
      <c r="N1853" s="163"/>
      <c r="O1853" s="165"/>
      <c r="P1853" s="161"/>
      <c r="Q1853" s="196"/>
      <c r="R1853" s="153"/>
      <c r="S1853" s="153"/>
      <c r="T1853" s="153"/>
      <c r="U1853" s="153"/>
      <c r="V1853" s="153"/>
      <c r="W1853" s="153"/>
      <c r="X1853" s="153"/>
      <c r="Y1853" s="153"/>
      <c r="Z1853" s="153"/>
      <c r="AA1853" s="153"/>
    </row>
    <row r="1854" spans="1:27">
      <c r="A1854" s="154"/>
      <c r="B1854" s="155"/>
      <c r="C1854" s="195"/>
      <c r="D1854" s="155"/>
      <c r="E1854" s="149"/>
      <c r="F1854" s="153"/>
      <c r="G1854" s="149"/>
      <c r="H1854" s="149"/>
      <c r="I1854" s="149"/>
      <c r="J1854" s="153"/>
      <c r="K1854" s="149"/>
      <c r="L1854" s="168"/>
      <c r="M1854" s="164"/>
      <c r="N1854" s="163"/>
      <c r="O1854" s="165"/>
      <c r="P1854" s="161"/>
      <c r="Q1854" s="196"/>
      <c r="R1854" s="153"/>
      <c r="S1854" s="153"/>
      <c r="T1854" s="153"/>
      <c r="U1854" s="153"/>
      <c r="V1854" s="153"/>
      <c r="W1854" s="153"/>
      <c r="X1854" s="153"/>
      <c r="Y1854" s="153"/>
      <c r="Z1854" s="153"/>
      <c r="AA1854" s="153"/>
    </row>
    <row r="1855" spans="1:27">
      <c r="A1855" s="154"/>
      <c r="B1855" s="155"/>
      <c r="C1855" s="195"/>
      <c r="D1855" s="155"/>
      <c r="E1855" s="149"/>
      <c r="F1855" s="153"/>
      <c r="G1855" s="149"/>
      <c r="H1855" s="149"/>
      <c r="I1855" s="149"/>
      <c r="J1855" s="153"/>
      <c r="K1855" s="149"/>
      <c r="L1855" s="168"/>
      <c r="M1855" s="164"/>
      <c r="N1855" s="163"/>
      <c r="O1855" s="165"/>
      <c r="P1855" s="161"/>
      <c r="Q1855" s="196"/>
      <c r="R1855" s="153"/>
      <c r="S1855" s="153"/>
      <c r="T1855" s="153"/>
      <c r="U1855" s="153"/>
      <c r="V1855" s="153"/>
      <c r="W1855" s="153"/>
      <c r="X1855" s="153"/>
      <c r="Y1855" s="153"/>
      <c r="Z1855" s="153"/>
      <c r="AA1855" s="153"/>
    </row>
    <row r="1856" spans="1:27">
      <c r="A1856" s="154"/>
      <c r="B1856" s="155"/>
      <c r="C1856" s="195"/>
      <c r="D1856" s="155"/>
      <c r="E1856" s="149"/>
      <c r="F1856" s="153"/>
      <c r="G1856" s="149"/>
      <c r="H1856" s="149"/>
      <c r="I1856" s="149"/>
      <c r="J1856" s="153"/>
      <c r="K1856" s="149"/>
      <c r="L1856" s="168"/>
      <c r="M1856" s="164"/>
      <c r="N1856" s="163"/>
      <c r="O1856" s="165"/>
      <c r="P1856" s="161"/>
      <c r="Q1856" s="196"/>
      <c r="R1856" s="153"/>
      <c r="S1856" s="153"/>
      <c r="T1856" s="153"/>
      <c r="U1856" s="153"/>
      <c r="V1856" s="153"/>
      <c r="W1856" s="153"/>
      <c r="X1856" s="153"/>
      <c r="Y1856" s="153"/>
      <c r="Z1856" s="153"/>
      <c r="AA1856" s="153"/>
    </row>
    <row r="1857" spans="1:27">
      <c r="A1857" s="154"/>
      <c r="B1857" s="155"/>
      <c r="C1857" s="195"/>
      <c r="D1857" s="155"/>
      <c r="E1857" s="149"/>
      <c r="F1857" s="153"/>
      <c r="G1857" s="149"/>
      <c r="H1857" s="149"/>
      <c r="I1857" s="149"/>
      <c r="J1857" s="153"/>
      <c r="K1857" s="149"/>
      <c r="L1857" s="168"/>
      <c r="M1857" s="164"/>
      <c r="N1857" s="163"/>
      <c r="O1857" s="165"/>
      <c r="P1857" s="161"/>
      <c r="Q1857" s="196"/>
      <c r="R1857" s="153"/>
      <c r="S1857" s="153"/>
      <c r="T1857" s="153"/>
      <c r="U1857" s="153"/>
      <c r="V1857" s="153"/>
      <c r="W1857" s="153"/>
      <c r="X1857" s="153"/>
      <c r="Y1857" s="153"/>
      <c r="Z1857" s="153"/>
      <c r="AA1857" s="153"/>
    </row>
    <row r="1858" spans="1:27">
      <c r="A1858" s="154"/>
      <c r="B1858" s="155"/>
      <c r="C1858" s="195"/>
      <c r="D1858" s="155"/>
      <c r="E1858" s="149"/>
      <c r="F1858" s="153"/>
      <c r="G1858" s="149"/>
      <c r="H1858" s="149"/>
      <c r="I1858" s="149"/>
      <c r="J1858" s="153"/>
      <c r="K1858" s="149"/>
      <c r="L1858" s="168"/>
      <c r="M1858" s="164"/>
      <c r="N1858" s="163"/>
      <c r="O1858" s="165"/>
      <c r="P1858" s="161"/>
      <c r="Q1858" s="196"/>
      <c r="R1858" s="153"/>
      <c r="S1858" s="153"/>
      <c r="T1858" s="153"/>
      <c r="U1858" s="153"/>
      <c r="V1858" s="153"/>
      <c r="W1858" s="153"/>
      <c r="X1858" s="153"/>
      <c r="Y1858" s="153"/>
      <c r="Z1858" s="153"/>
      <c r="AA1858" s="153"/>
    </row>
    <row r="1859" spans="1:27">
      <c r="A1859" s="154"/>
      <c r="B1859" s="155"/>
      <c r="C1859" s="195"/>
      <c r="D1859" s="155"/>
      <c r="E1859" s="149"/>
      <c r="F1859" s="153"/>
      <c r="G1859" s="149"/>
      <c r="H1859" s="149"/>
      <c r="I1859" s="149"/>
      <c r="J1859" s="153"/>
      <c r="K1859" s="149"/>
      <c r="L1859" s="168"/>
      <c r="M1859" s="164"/>
      <c r="N1859" s="163"/>
      <c r="O1859" s="165"/>
      <c r="P1859" s="161"/>
      <c r="Q1859" s="196"/>
      <c r="R1859" s="153"/>
      <c r="S1859" s="153"/>
      <c r="T1859" s="153"/>
      <c r="U1859" s="153"/>
      <c r="V1859" s="153"/>
      <c r="W1859" s="153"/>
      <c r="X1859" s="153"/>
      <c r="Y1859" s="153"/>
      <c r="Z1859" s="153"/>
      <c r="AA1859" s="153"/>
    </row>
    <row r="1860" spans="1:27">
      <c r="A1860" s="154"/>
      <c r="B1860" s="155"/>
      <c r="C1860" s="195"/>
      <c r="D1860" s="155"/>
      <c r="E1860" s="149"/>
      <c r="F1860" s="153"/>
      <c r="G1860" s="149"/>
      <c r="H1860" s="149"/>
      <c r="I1860" s="149"/>
      <c r="J1860" s="153"/>
      <c r="K1860" s="149"/>
      <c r="L1860" s="168"/>
      <c r="M1860" s="164"/>
      <c r="N1860" s="163"/>
      <c r="O1860" s="165"/>
      <c r="P1860" s="161"/>
      <c r="Q1860" s="196"/>
      <c r="R1860" s="153"/>
      <c r="S1860" s="153"/>
      <c r="T1860" s="153"/>
      <c r="U1860" s="153"/>
      <c r="V1860" s="153"/>
      <c r="W1860" s="153"/>
      <c r="X1860" s="153"/>
      <c r="Y1860" s="153"/>
      <c r="Z1860" s="153"/>
      <c r="AA1860" s="153"/>
    </row>
    <row r="1861" spans="1:27">
      <c r="A1861" s="154"/>
      <c r="B1861" s="155"/>
      <c r="C1861" s="195"/>
      <c r="D1861" s="155"/>
      <c r="E1861" s="149"/>
      <c r="F1861" s="153"/>
      <c r="G1861" s="149"/>
      <c r="H1861" s="149"/>
      <c r="I1861" s="149"/>
      <c r="J1861" s="153"/>
      <c r="K1861" s="149"/>
      <c r="L1861" s="168"/>
      <c r="M1861" s="164"/>
      <c r="N1861" s="163"/>
      <c r="O1861" s="165"/>
      <c r="P1861" s="161"/>
      <c r="Q1861" s="196"/>
      <c r="R1861" s="153"/>
      <c r="S1861" s="153"/>
      <c r="T1861" s="153"/>
      <c r="U1861" s="153"/>
      <c r="V1861" s="153"/>
      <c r="W1861" s="153"/>
      <c r="X1861" s="153"/>
      <c r="Y1861" s="153"/>
      <c r="Z1861" s="153"/>
      <c r="AA1861" s="153"/>
    </row>
    <row r="1862" spans="1:27">
      <c r="A1862" s="154"/>
      <c r="B1862" s="155"/>
      <c r="C1862" s="195"/>
      <c r="D1862" s="155"/>
      <c r="E1862" s="149"/>
      <c r="F1862" s="153"/>
      <c r="G1862" s="149"/>
      <c r="H1862" s="149"/>
      <c r="I1862" s="149"/>
      <c r="J1862" s="153"/>
      <c r="K1862" s="149"/>
      <c r="L1862" s="168"/>
      <c r="M1862" s="164"/>
      <c r="N1862" s="163"/>
      <c r="O1862" s="165"/>
      <c r="P1862" s="161"/>
      <c r="Q1862" s="196"/>
      <c r="R1862" s="153"/>
      <c r="S1862" s="153"/>
      <c r="T1862" s="153"/>
      <c r="U1862" s="153"/>
      <c r="V1862" s="153"/>
      <c r="W1862" s="153"/>
      <c r="X1862" s="153"/>
      <c r="Y1862" s="153"/>
      <c r="Z1862" s="153"/>
      <c r="AA1862" s="153"/>
    </row>
    <row r="1863" spans="1:27">
      <c r="A1863" s="154"/>
      <c r="B1863" s="155"/>
      <c r="C1863" s="195"/>
      <c r="D1863" s="155"/>
      <c r="E1863" s="149"/>
      <c r="F1863" s="153"/>
      <c r="G1863" s="149"/>
      <c r="H1863" s="149"/>
      <c r="I1863" s="149"/>
      <c r="J1863" s="153"/>
      <c r="K1863" s="149"/>
      <c r="L1863" s="168"/>
      <c r="M1863" s="164"/>
      <c r="N1863" s="163"/>
      <c r="O1863" s="165"/>
      <c r="P1863" s="161"/>
      <c r="Q1863" s="196"/>
      <c r="R1863" s="153"/>
      <c r="S1863" s="153"/>
      <c r="T1863" s="153"/>
      <c r="U1863" s="153"/>
      <c r="V1863" s="153"/>
      <c r="W1863" s="153"/>
      <c r="X1863" s="153"/>
      <c r="Y1863" s="153"/>
      <c r="Z1863" s="153"/>
      <c r="AA1863" s="153"/>
    </row>
    <row r="1864" spans="1:27">
      <c r="A1864" s="154"/>
      <c r="B1864" s="155"/>
      <c r="C1864" s="195"/>
      <c r="D1864" s="155"/>
      <c r="E1864" s="149"/>
      <c r="F1864" s="153"/>
      <c r="G1864" s="149"/>
      <c r="H1864" s="149"/>
      <c r="I1864" s="149"/>
      <c r="J1864" s="153"/>
      <c r="K1864" s="149"/>
      <c r="L1864" s="168"/>
      <c r="M1864" s="164"/>
      <c r="N1864" s="163"/>
      <c r="O1864" s="165"/>
      <c r="P1864" s="161"/>
      <c r="Q1864" s="196"/>
      <c r="R1864" s="153"/>
      <c r="S1864" s="153"/>
      <c r="T1864" s="153"/>
      <c r="U1864" s="153"/>
      <c r="V1864" s="153"/>
      <c r="W1864" s="153"/>
      <c r="X1864" s="153"/>
      <c r="Y1864" s="153"/>
      <c r="Z1864" s="153"/>
      <c r="AA1864" s="153"/>
    </row>
    <row r="1865" spans="1:27">
      <c r="A1865" s="154"/>
      <c r="B1865" s="155"/>
      <c r="C1865" s="195"/>
      <c r="D1865" s="155"/>
      <c r="E1865" s="149"/>
      <c r="F1865" s="153"/>
      <c r="G1865" s="149"/>
      <c r="H1865" s="149"/>
      <c r="I1865" s="149"/>
      <c r="J1865" s="153"/>
      <c r="K1865" s="149"/>
      <c r="L1865" s="168"/>
      <c r="M1865" s="164"/>
      <c r="N1865" s="163"/>
      <c r="O1865" s="165"/>
      <c r="P1865" s="161"/>
      <c r="Q1865" s="196"/>
      <c r="R1865" s="153"/>
      <c r="S1865" s="153"/>
      <c r="T1865" s="153"/>
      <c r="U1865" s="153"/>
      <c r="V1865" s="153"/>
      <c r="W1865" s="153"/>
      <c r="X1865" s="153"/>
      <c r="Y1865" s="153"/>
      <c r="Z1865" s="153"/>
      <c r="AA1865" s="153"/>
    </row>
    <row r="1866" spans="1:27">
      <c r="A1866" s="154"/>
      <c r="B1866" s="155"/>
      <c r="C1866" s="195"/>
      <c r="D1866" s="155"/>
      <c r="E1866" s="149"/>
      <c r="F1866" s="153"/>
      <c r="G1866" s="149"/>
      <c r="H1866" s="149"/>
      <c r="I1866" s="149"/>
      <c r="J1866" s="153"/>
      <c r="K1866" s="149"/>
      <c r="L1866" s="168"/>
      <c r="M1866" s="164"/>
      <c r="N1866" s="163"/>
      <c r="O1866" s="165"/>
      <c r="P1866" s="161"/>
      <c r="Q1866" s="196"/>
      <c r="R1866" s="153"/>
      <c r="S1866" s="153"/>
      <c r="T1866" s="153"/>
      <c r="U1866" s="153"/>
      <c r="V1866" s="153"/>
      <c r="W1866" s="153"/>
      <c r="X1866" s="153"/>
      <c r="Y1866" s="153"/>
      <c r="Z1866" s="153"/>
      <c r="AA1866" s="153"/>
    </row>
    <row r="1867" spans="1:27">
      <c r="A1867" s="154"/>
      <c r="B1867" s="155"/>
      <c r="C1867" s="195"/>
      <c r="D1867" s="155"/>
      <c r="E1867" s="149"/>
      <c r="F1867" s="153"/>
      <c r="G1867" s="149"/>
      <c r="H1867" s="149"/>
      <c r="I1867" s="149"/>
      <c r="J1867" s="153"/>
      <c r="K1867" s="149"/>
      <c r="L1867" s="168"/>
      <c r="M1867" s="164"/>
      <c r="N1867" s="163"/>
      <c r="O1867" s="165"/>
      <c r="P1867" s="161"/>
      <c r="Q1867" s="196"/>
      <c r="R1867" s="153"/>
      <c r="S1867" s="153"/>
      <c r="T1867" s="153"/>
      <c r="U1867" s="153"/>
      <c r="V1867" s="153"/>
      <c r="W1867" s="153"/>
      <c r="X1867" s="153"/>
      <c r="Y1867" s="153"/>
      <c r="Z1867" s="153"/>
      <c r="AA1867" s="153"/>
    </row>
    <row r="1868" spans="1:27">
      <c r="A1868" s="154"/>
      <c r="B1868" s="155"/>
      <c r="C1868" s="195"/>
      <c r="D1868" s="155"/>
      <c r="E1868" s="149"/>
      <c r="F1868" s="153"/>
      <c r="G1868" s="149"/>
      <c r="H1868" s="149"/>
      <c r="I1868" s="149"/>
      <c r="J1868" s="153"/>
      <c r="K1868" s="149"/>
      <c r="L1868" s="168"/>
      <c r="M1868" s="164"/>
      <c r="N1868" s="163"/>
      <c r="O1868" s="165"/>
      <c r="P1868" s="161"/>
      <c r="Q1868" s="196"/>
      <c r="R1868" s="153"/>
      <c r="S1868" s="153"/>
      <c r="T1868" s="153"/>
      <c r="U1868" s="153"/>
      <c r="V1868" s="153"/>
      <c r="W1868" s="153"/>
      <c r="X1868" s="153"/>
      <c r="Y1868" s="153"/>
      <c r="Z1868" s="153"/>
      <c r="AA1868" s="153"/>
    </row>
    <row r="1869" spans="1:27">
      <c r="A1869" s="154"/>
      <c r="B1869" s="155"/>
      <c r="C1869" s="195"/>
      <c r="D1869" s="155"/>
      <c r="E1869" s="149"/>
      <c r="F1869" s="153"/>
      <c r="G1869" s="149"/>
      <c r="H1869" s="149"/>
      <c r="I1869" s="149"/>
      <c r="J1869" s="153"/>
      <c r="K1869" s="149"/>
      <c r="L1869" s="168"/>
      <c r="M1869" s="164"/>
      <c r="N1869" s="163"/>
      <c r="O1869" s="165"/>
      <c r="P1869" s="161"/>
      <c r="Q1869" s="196"/>
      <c r="R1869" s="153"/>
      <c r="S1869" s="153"/>
      <c r="T1869" s="153"/>
      <c r="U1869" s="153"/>
      <c r="V1869" s="153"/>
      <c r="W1869" s="153"/>
      <c r="X1869" s="153"/>
      <c r="Y1869" s="153"/>
      <c r="Z1869" s="153"/>
      <c r="AA1869" s="153"/>
    </row>
    <row r="1870" spans="1:27">
      <c r="A1870" s="154"/>
      <c r="B1870" s="155"/>
      <c r="C1870" s="195"/>
      <c r="D1870" s="155"/>
      <c r="E1870" s="149"/>
      <c r="F1870" s="153"/>
      <c r="G1870" s="149"/>
      <c r="H1870" s="149"/>
      <c r="I1870" s="149"/>
      <c r="J1870" s="153"/>
      <c r="K1870" s="149"/>
      <c r="L1870" s="168"/>
      <c r="M1870" s="164"/>
      <c r="N1870" s="163"/>
      <c r="O1870" s="165"/>
      <c r="P1870" s="161"/>
      <c r="Q1870" s="196"/>
      <c r="R1870" s="153"/>
      <c r="S1870" s="153"/>
      <c r="T1870" s="153"/>
      <c r="U1870" s="153"/>
      <c r="V1870" s="153"/>
      <c r="W1870" s="153"/>
      <c r="X1870" s="153"/>
      <c r="Y1870" s="153"/>
      <c r="Z1870" s="153"/>
      <c r="AA1870" s="153"/>
    </row>
    <row r="1871" spans="1:27">
      <c r="A1871" s="154"/>
      <c r="B1871" s="155"/>
      <c r="C1871" s="195"/>
      <c r="D1871" s="155"/>
      <c r="E1871" s="149"/>
      <c r="F1871" s="153"/>
      <c r="G1871" s="149"/>
      <c r="H1871" s="149"/>
      <c r="I1871" s="149"/>
      <c r="J1871" s="153"/>
      <c r="K1871" s="149"/>
      <c r="L1871" s="168"/>
      <c r="M1871" s="164"/>
      <c r="N1871" s="163"/>
      <c r="O1871" s="165"/>
      <c r="P1871" s="161"/>
      <c r="Q1871" s="196"/>
      <c r="R1871" s="153"/>
      <c r="S1871" s="153"/>
      <c r="T1871" s="153"/>
      <c r="U1871" s="153"/>
      <c r="V1871" s="153"/>
      <c r="W1871" s="153"/>
      <c r="X1871" s="153"/>
      <c r="Y1871" s="153"/>
      <c r="Z1871" s="153"/>
      <c r="AA1871" s="153"/>
    </row>
    <row r="1872" spans="1:27">
      <c r="A1872" s="154"/>
      <c r="B1872" s="155"/>
      <c r="C1872" s="195"/>
      <c r="D1872" s="155"/>
      <c r="E1872" s="149"/>
      <c r="F1872" s="153"/>
      <c r="G1872" s="149"/>
      <c r="H1872" s="149"/>
      <c r="I1872" s="149"/>
      <c r="J1872" s="153"/>
      <c r="K1872" s="149"/>
      <c r="L1872" s="168"/>
      <c r="M1872" s="164"/>
      <c r="N1872" s="163"/>
      <c r="O1872" s="165"/>
      <c r="P1872" s="161"/>
      <c r="Q1872" s="196"/>
      <c r="R1872" s="153"/>
      <c r="S1872" s="153"/>
      <c r="T1872" s="153"/>
      <c r="U1872" s="153"/>
      <c r="V1872" s="153"/>
      <c r="W1872" s="153"/>
      <c r="X1872" s="153"/>
      <c r="Y1872" s="153"/>
      <c r="Z1872" s="153"/>
      <c r="AA1872" s="153"/>
    </row>
    <row r="1873" spans="1:27">
      <c r="A1873" s="154"/>
      <c r="B1873" s="155"/>
      <c r="C1873" s="195"/>
      <c r="D1873" s="155"/>
      <c r="E1873" s="149"/>
      <c r="F1873" s="153"/>
      <c r="G1873" s="149"/>
      <c r="H1873" s="149"/>
      <c r="I1873" s="149"/>
      <c r="J1873" s="153"/>
      <c r="K1873" s="149"/>
      <c r="L1873" s="168"/>
      <c r="M1873" s="164"/>
      <c r="N1873" s="163"/>
      <c r="O1873" s="165"/>
      <c r="P1873" s="161"/>
      <c r="Q1873" s="196"/>
      <c r="R1873" s="153"/>
      <c r="S1873" s="153"/>
      <c r="T1873" s="153"/>
      <c r="U1873" s="153"/>
      <c r="V1873" s="153"/>
      <c r="W1873" s="153"/>
      <c r="X1873" s="153"/>
      <c r="Y1873" s="153"/>
      <c r="Z1873" s="153"/>
      <c r="AA1873" s="153"/>
    </row>
    <row r="1874" spans="1:27">
      <c r="A1874" s="154"/>
      <c r="B1874" s="155"/>
      <c r="C1874" s="195"/>
      <c r="D1874" s="155"/>
      <c r="E1874" s="149"/>
      <c r="F1874" s="153"/>
      <c r="G1874" s="149"/>
      <c r="H1874" s="149"/>
      <c r="I1874" s="149"/>
      <c r="J1874" s="153"/>
      <c r="K1874" s="149"/>
      <c r="L1874" s="168"/>
      <c r="M1874" s="164"/>
      <c r="N1874" s="163"/>
      <c r="O1874" s="165"/>
      <c r="P1874" s="161"/>
      <c r="Q1874" s="196"/>
      <c r="R1874" s="153"/>
      <c r="S1874" s="153"/>
      <c r="T1874" s="153"/>
      <c r="U1874" s="153"/>
      <c r="V1874" s="153"/>
      <c r="W1874" s="153"/>
      <c r="X1874" s="153"/>
      <c r="Y1874" s="153"/>
      <c r="Z1874" s="153"/>
      <c r="AA1874" s="153"/>
    </row>
    <row r="1875" spans="1:27">
      <c r="A1875" s="154"/>
      <c r="B1875" s="155"/>
      <c r="C1875" s="195"/>
      <c r="D1875" s="155"/>
      <c r="E1875" s="149"/>
      <c r="F1875" s="153"/>
      <c r="G1875" s="149"/>
      <c r="H1875" s="149"/>
      <c r="I1875" s="149"/>
      <c r="J1875" s="153"/>
      <c r="K1875" s="149"/>
      <c r="L1875" s="168"/>
      <c r="M1875" s="164"/>
      <c r="N1875" s="163"/>
      <c r="O1875" s="165"/>
      <c r="P1875" s="161"/>
      <c r="Q1875" s="196"/>
      <c r="R1875" s="153"/>
      <c r="S1875" s="153"/>
      <c r="T1875" s="153"/>
      <c r="U1875" s="153"/>
      <c r="V1875" s="153"/>
      <c r="W1875" s="153"/>
      <c r="X1875" s="153"/>
      <c r="Y1875" s="153"/>
      <c r="Z1875" s="153"/>
      <c r="AA1875" s="153"/>
    </row>
    <row r="1876" spans="1:27">
      <c r="A1876" s="154"/>
      <c r="B1876" s="155"/>
      <c r="C1876" s="195"/>
      <c r="D1876" s="155"/>
      <c r="E1876" s="149"/>
      <c r="F1876" s="153"/>
      <c r="G1876" s="149"/>
      <c r="H1876" s="149"/>
      <c r="I1876" s="149"/>
      <c r="J1876" s="153"/>
      <c r="K1876" s="149"/>
      <c r="L1876" s="168"/>
      <c r="M1876" s="164"/>
      <c r="N1876" s="163"/>
      <c r="O1876" s="165"/>
      <c r="P1876" s="161"/>
      <c r="Q1876" s="196"/>
      <c r="R1876" s="153"/>
      <c r="S1876" s="153"/>
      <c r="T1876" s="153"/>
      <c r="U1876" s="153"/>
      <c r="V1876" s="153"/>
      <c r="W1876" s="153"/>
      <c r="X1876" s="153"/>
      <c r="Y1876" s="153"/>
      <c r="Z1876" s="153"/>
      <c r="AA1876" s="153"/>
    </row>
    <row r="1877" spans="1:27">
      <c r="A1877" s="154"/>
      <c r="B1877" s="155"/>
      <c r="C1877" s="195"/>
      <c r="D1877" s="155"/>
      <c r="E1877" s="149"/>
      <c r="F1877" s="153"/>
      <c r="G1877" s="149"/>
      <c r="H1877" s="149"/>
      <c r="I1877" s="149"/>
      <c r="J1877" s="153"/>
      <c r="K1877" s="149"/>
      <c r="L1877" s="168"/>
      <c r="M1877" s="164"/>
      <c r="N1877" s="163"/>
      <c r="O1877" s="165"/>
      <c r="P1877" s="161"/>
      <c r="Q1877" s="196"/>
      <c r="R1877" s="153"/>
      <c r="S1877" s="153"/>
      <c r="T1877" s="153"/>
      <c r="U1877" s="153"/>
      <c r="V1877" s="153"/>
      <c r="W1877" s="153"/>
      <c r="X1877" s="153"/>
      <c r="Y1877" s="153"/>
      <c r="Z1877" s="153"/>
      <c r="AA1877" s="153"/>
    </row>
    <row r="1878" spans="1:27">
      <c r="A1878" s="154"/>
      <c r="B1878" s="155"/>
      <c r="C1878" s="195"/>
      <c r="D1878" s="155"/>
      <c r="E1878" s="149"/>
      <c r="F1878" s="153"/>
      <c r="G1878" s="149"/>
      <c r="H1878" s="149"/>
      <c r="I1878" s="149"/>
      <c r="J1878" s="153"/>
      <c r="K1878" s="149"/>
      <c r="L1878" s="168"/>
      <c r="M1878" s="164"/>
      <c r="N1878" s="163"/>
      <c r="O1878" s="165"/>
      <c r="P1878" s="161"/>
      <c r="Q1878" s="196"/>
      <c r="R1878" s="153"/>
      <c r="S1878" s="153"/>
      <c r="T1878" s="153"/>
      <c r="U1878" s="153"/>
      <c r="V1878" s="153"/>
      <c r="W1878" s="153"/>
      <c r="X1878" s="153"/>
      <c r="Y1878" s="153"/>
      <c r="Z1878" s="153"/>
      <c r="AA1878" s="153"/>
    </row>
    <row r="1879" spans="1:27">
      <c r="A1879" s="154"/>
      <c r="B1879" s="155"/>
      <c r="C1879" s="195"/>
      <c r="D1879" s="155"/>
      <c r="E1879" s="149"/>
      <c r="F1879" s="153"/>
      <c r="G1879" s="149"/>
      <c r="H1879" s="149"/>
      <c r="I1879" s="149"/>
      <c r="J1879" s="153"/>
      <c r="K1879" s="149"/>
      <c r="L1879" s="168"/>
      <c r="M1879" s="164"/>
      <c r="N1879" s="163"/>
      <c r="O1879" s="165"/>
      <c r="P1879" s="161"/>
      <c r="Q1879" s="196"/>
      <c r="R1879" s="153"/>
      <c r="S1879" s="153"/>
      <c r="T1879" s="153"/>
      <c r="U1879" s="153"/>
      <c r="V1879" s="153"/>
      <c r="W1879" s="153"/>
      <c r="X1879" s="153"/>
      <c r="Y1879" s="153"/>
      <c r="Z1879" s="153"/>
      <c r="AA1879" s="153"/>
    </row>
    <row r="1880" spans="1:27">
      <c r="A1880" s="154"/>
      <c r="B1880" s="155"/>
      <c r="C1880" s="195"/>
      <c r="D1880" s="155"/>
      <c r="E1880" s="149"/>
      <c r="F1880" s="153"/>
      <c r="G1880" s="149"/>
      <c r="H1880" s="149"/>
      <c r="I1880" s="149"/>
      <c r="J1880" s="153"/>
      <c r="K1880" s="149"/>
      <c r="L1880" s="168"/>
      <c r="M1880" s="164"/>
      <c r="N1880" s="163"/>
      <c r="O1880" s="165"/>
      <c r="P1880" s="161"/>
      <c r="Q1880" s="196"/>
      <c r="R1880" s="153"/>
      <c r="S1880" s="153"/>
      <c r="T1880" s="153"/>
      <c r="U1880" s="153"/>
      <c r="V1880" s="153"/>
      <c r="W1880" s="153"/>
      <c r="X1880" s="153"/>
      <c r="Y1880" s="153"/>
      <c r="Z1880" s="153"/>
      <c r="AA1880" s="153"/>
    </row>
    <row r="1881" spans="1:27">
      <c r="A1881" s="154"/>
      <c r="B1881" s="155"/>
      <c r="C1881" s="195"/>
      <c r="D1881" s="155"/>
      <c r="E1881" s="149"/>
      <c r="F1881" s="153"/>
      <c r="G1881" s="149"/>
      <c r="H1881" s="149"/>
      <c r="I1881" s="149"/>
      <c r="J1881" s="153"/>
      <c r="K1881" s="149"/>
      <c r="L1881" s="168"/>
      <c r="M1881" s="164"/>
      <c r="N1881" s="163"/>
      <c r="O1881" s="165"/>
      <c r="P1881" s="161"/>
      <c r="Q1881" s="196"/>
      <c r="R1881" s="153"/>
      <c r="S1881" s="153"/>
      <c r="T1881" s="153"/>
      <c r="U1881" s="153"/>
      <c r="V1881" s="153"/>
      <c r="W1881" s="153"/>
      <c r="X1881" s="153"/>
      <c r="Y1881" s="153"/>
      <c r="Z1881" s="153"/>
      <c r="AA1881" s="153"/>
    </row>
    <row r="1882" spans="1:27">
      <c r="A1882" s="154"/>
      <c r="B1882" s="155"/>
      <c r="C1882" s="195"/>
      <c r="D1882" s="155"/>
      <c r="E1882" s="149"/>
      <c r="F1882" s="153"/>
      <c r="G1882" s="149"/>
      <c r="H1882" s="149"/>
      <c r="I1882" s="149"/>
      <c r="J1882" s="153"/>
      <c r="K1882" s="149"/>
      <c r="L1882" s="168"/>
      <c r="M1882" s="164"/>
      <c r="N1882" s="163"/>
      <c r="O1882" s="165"/>
      <c r="P1882" s="161"/>
      <c r="Q1882" s="196"/>
      <c r="R1882" s="153"/>
      <c r="S1882" s="153"/>
      <c r="T1882" s="153"/>
      <c r="U1882" s="153"/>
      <c r="V1882" s="153"/>
      <c r="W1882" s="153"/>
      <c r="X1882" s="153"/>
      <c r="Y1882" s="153"/>
      <c r="Z1882" s="153"/>
      <c r="AA1882" s="153"/>
    </row>
    <row r="1883" spans="1:27">
      <c r="A1883" s="154"/>
      <c r="B1883" s="155"/>
      <c r="C1883" s="195"/>
      <c r="D1883" s="155"/>
      <c r="E1883" s="149"/>
      <c r="F1883" s="153"/>
      <c r="G1883" s="149"/>
      <c r="H1883" s="149"/>
      <c r="I1883" s="149"/>
      <c r="J1883" s="153"/>
      <c r="K1883" s="149"/>
      <c r="L1883" s="168"/>
      <c r="M1883" s="164"/>
      <c r="N1883" s="163"/>
      <c r="O1883" s="165"/>
      <c r="P1883" s="161"/>
      <c r="Q1883" s="196"/>
      <c r="R1883" s="153"/>
      <c r="S1883" s="153"/>
      <c r="T1883" s="153"/>
      <c r="U1883" s="153"/>
      <c r="V1883" s="153"/>
      <c r="W1883" s="153"/>
      <c r="X1883" s="153"/>
      <c r="Y1883" s="153"/>
      <c r="Z1883" s="153"/>
      <c r="AA1883" s="153"/>
    </row>
    <row r="1884" spans="1:27">
      <c r="A1884" s="154"/>
      <c r="B1884" s="155"/>
      <c r="C1884" s="195"/>
      <c r="D1884" s="155"/>
      <c r="E1884" s="149"/>
      <c r="F1884" s="153"/>
      <c r="G1884" s="149"/>
      <c r="H1884" s="149"/>
      <c r="I1884" s="149"/>
      <c r="J1884" s="153"/>
      <c r="K1884" s="149"/>
      <c r="L1884" s="168"/>
      <c r="M1884" s="164"/>
      <c r="N1884" s="163"/>
      <c r="O1884" s="165"/>
      <c r="P1884" s="161"/>
      <c r="Q1884" s="196"/>
      <c r="R1884" s="153"/>
      <c r="S1884" s="153"/>
      <c r="T1884" s="153"/>
      <c r="U1884" s="153"/>
      <c r="V1884" s="153"/>
      <c r="W1884" s="153"/>
      <c r="X1884" s="153"/>
      <c r="Y1884" s="153"/>
      <c r="Z1884" s="153"/>
      <c r="AA1884" s="153"/>
    </row>
    <row r="1885" spans="1:27">
      <c r="A1885" s="154"/>
      <c r="B1885" s="155"/>
      <c r="C1885" s="195"/>
      <c r="D1885" s="155"/>
      <c r="E1885" s="149"/>
      <c r="F1885" s="153"/>
      <c r="G1885" s="149"/>
      <c r="H1885" s="149"/>
      <c r="I1885" s="149"/>
      <c r="J1885" s="153"/>
      <c r="K1885" s="149"/>
      <c r="L1885" s="168"/>
      <c r="M1885" s="164"/>
      <c r="N1885" s="163"/>
      <c r="O1885" s="165"/>
      <c r="P1885" s="161"/>
      <c r="Q1885" s="196"/>
      <c r="R1885" s="153"/>
      <c r="S1885" s="153"/>
      <c r="T1885" s="153"/>
      <c r="U1885" s="153"/>
      <c r="V1885" s="153"/>
      <c r="W1885" s="153"/>
      <c r="X1885" s="153"/>
      <c r="Y1885" s="153"/>
      <c r="Z1885" s="153"/>
      <c r="AA1885" s="153"/>
    </row>
    <row r="1886" spans="1:27">
      <c r="A1886" s="154"/>
      <c r="B1886" s="155"/>
      <c r="C1886" s="195"/>
      <c r="D1886" s="155"/>
      <c r="E1886" s="149"/>
      <c r="F1886" s="153"/>
      <c r="G1886" s="149"/>
      <c r="H1886" s="149"/>
      <c r="I1886" s="149"/>
      <c r="J1886" s="153"/>
      <c r="K1886" s="149"/>
      <c r="L1886" s="168"/>
      <c r="M1886" s="164"/>
      <c r="N1886" s="163"/>
      <c r="O1886" s="165"/>
      <c r="P1886" s="161"/>
      <c r="Q1886" s="196"/>
      <c r="R1886" s="153"/>
      <c r="S1886" s="153"/>
      <c r="T1886" s="153"/>
      <c r="U1886" s="153"/>
      <c r="V1886" s="153"/>
      <c r="W1886" s="153"/>
      <c r="X1886" s="153"/>
      <c r="Y1886" s="153"/>
      <c r="Z1886" s="153"/>
      <c r="AA1886" s="153"/>
    </row>
    <row r="1887" spans="1:27">
      <c r="A1887" s="154"/>
      <c r="B1887" s="155"/>
      <c r="C1887" s="195"/>
      <c r="D1887" s="155"/>
      <c r="E1887" s="149"/>
      <c r="F1887" s="153"/>
      <c r="G1887" s="149"/>
      <c r="H1887" s="149"/>
      <c r="I1887" s="149"/>
      <c r="J1887" s="153"/>
      <c r="K1887" s="149"/>
      <c r="L1887" s="168"/>
      <c r="M1887" s="164"/>
      <c r="N1887" s="163"/>
      <c r="O1887" s="165"/>
      <c r="P1887" s="161"/>
      <c r="Q1887" s="196"/>
      <c r="R1887" s="153"/>
      <c r="S1887" s="153"/>
      <c r="T1887" s="153"/>
      <c r="U1887" s="153"/>
      <c r="V1887" s="153"/>
      <c r="W1887" s="153"/>
      <c r="X1887" s="153"/>
      <c r="Y1887" s="153"/>
      <c r="Z1887" s="153"/>
      <c r="AA1887" s="153"/>
    </row>
    <row r="1888" spans="1:27">
      <c r="A1888" s="154"/>
      <c r="B1888" s="155"/>
      <c r="C1888" s="195"/>
      <c r="D1888" s="155"/>
      <c r="E1888" s="149"/>
      <c r="F1888" s="153"/>
      <c r="G1888" s="149"/>
      <c r="H1888" s="149"/>
      <c r="I1888" s="149"/>
      <c r="J1888" s="153"/>
      <c r="K1888" s="149"/>
      <c r="L1888" s="168"/>
      <c r="M1888" s="164"/>
      <c r="N1888" s="163"/>
      <c r="O1888" s="165"/>
      <c r="P1888" s="161"/>
      <c r="Q1888" s="196"/>
      <c r="R1888" s="153"/>
      <c r="S1888" s="153"/>
      <c r="T1888" s="153"/>
      <c r="U1888" s="153"/>
      <c r="V1888" s="153"/>
      <c r="W1888" s="153"/>
      <c r="X1888" s="153"/>
      <c r="Y1888" s="153"/>
      <c r="Z1888" s="153"/>
      <c r="AA1888" s="153"/>
    </row>
    <row r="1889" spans="1:27">
      <c r="A1889" s="154"/>
      <c r="B1889" s="155"/>
      <c r="C1889" s="195"/>
      <c r="D1889" s="155"/>
      <c r="E1889" s="149"/>
      <c r="F1889" s="153"/>
      <c r="G1889" s="149"/>
      <c r="H1889" s="149"/>
      <c r="I1889" s="149"/>
      <c r="J1889" s="153"/>
      <c r="K1889" s="149"/>
      <c r="L1889" s="168"/>
      <c r="M1889" s="164"/>
      <c r="N1889" s="163"/>
      <c r="O1889" s="165"/>
      <c r="P1889" s="161"/>
      <c r="Q1889" s="196"/>
      <c r="R1889" s="153"/>
      <c r="S1889" s="153"/>
      <c r="T1889" s="153"/>
      <c r="U1889" s="153"/>
      <c r="V1889" s="153"/>
      <c r="W1889" s="153"/>
      <c r="X1889" s="153"/>
      <c r="Y1889" s="153"/>
      <c r="Z1889" s="153"/>
      <c r="AA1889" s="153"/>
    </row>
    <row r="1890" spans="1:27">
      <c r="A1890" s="154"/>
      <c r="B1890" s="155"/>
      <c r="C1890" s="195"/>
      <c r="D1890" s="155"/>
      <c r="E1890" s="149"/>
      <c r="F1890" s="153"/>
      <c r="G1890" s="149"/>
      <c r="H1890" s="149"/>
      <c r="I1890" s="149"/>
      <c r="J1890" s="153"/>
      <c r="K1890" s="149"/>
      <c r="L1890" s="168"/>
      <c r="M1890" s="164"/>
      <c r="N1890" s="163"/>
      <c r="O1890" s="165"/>
      <c r="P1890" s="161"/>
      <c r="Q1890" s="196"/>
      <c r="R1890" s="153"/>
      <c r="S1890" s="153"/>
      <c r="T1890" s="153"/>
      <c r="U1890" s="153"/>
      <c r="V1890" s="153"/>
      <c r="W1890" s="153"/>
      <c r="X1890" s="153"/>
      <c r="Y1890" s="153"/>
      <c r="Z1890" s="153"/>
      <c r="AA1890" s="153"/>
    </row>
    <row r="1891" spans="1:27">
      <c r="A1891" s="154"/>
      <c r="B1891" s="155"/>
      <c r="C1891" s="195"/>
      <c r="D1891" s="155"/>
      <c r="E1891" s="149"/>
      <c r="F1891" s="153"/>
      <c r="G1891" s="149"/>
      <c r="H1891" s="149"/>
      <c r="I1891" s="149"/>
      <c r="J1891" s="153"/>
      <c r="K1891" s="149"/>
      <c r="L1891" s="168"/>
      <c r="M1891" s="164"/>
      <c r="N1891" s="163"/>
      <c r="O1891" s="165"/>
      <c r="P1891" s="161"/>
      <c r="Q1891" s="196"/>
      <c r="R1891" s="153"/>
      <c r="S1891" s="153"/>
      <c r="T1891" s="153"/>
      <c r="U1891" s="153"/>
      <c r="V1891" s="153"/>
      <c r="W1891" s="153"/>
      <c r="X1891" s="153"/>
      <c r="Y1891" s="153"/>
      <c r="Z1891" s="153"/>
      <c r="AA1891" s="153"/>
    </row>
    <row r="1892" spans="1:27">
      <c r="A1892" s="154"/>
      <c r="B1892" s="155"/>
      <c r="C1892" s="195"/>
      <c r="D1892" s="155"/>
      <c r="E1892" s="149"/>
      <c r="F1892" s="153"/>
      <c r="G1892" s="149"/>
      <c r="H1892" s="149"/>
      <c r="I1892" s="149"/>
      <c r="J1892" s="153"/>
      <c r="K1892" s="149"/>
      <c r="L1892" s="168"/>
      <c r="M1892" s="164"/>
      <c r="N1892" s="163"/>
      <c r="O1892" s="165"/>
      <c r="P1892" s="161"/>
      <c r="Q1892" s="196"/>
      <c r="R1892" s="153"/>
      <c r="S1892" s="153"/>
      <c r="T1892" s="153"/>
      <c r="U1892" s="153"/>
      <c r="V1892" s="153"/>
      <c r="W1892" s="153"/>
      <c r="X1892" s="153"/>
      <c r="Y1892" s="153"/>
      <c r="Z1892" s="153"/>
      <c r="AA1892" s="153"/>
    </row>
    <row r="1893" spans="1:27">
      <c r="A1893" s="154"/>
      <c r="B1893" s="155"/>
      <c r="C1893" s="195"/>
      <c r="D1893" s="155"/>
      <c r="E1893" s="149"/>
      <c r="F1893" s="153"/>
      <c r="G1893" s="149"/>
      <c r="H1893" s="149"/>
      <c r="I1893" s="149"/>
      <c r="J1893" s="153"/>
      <c r="K1893" s="149"/>
      <c r="L1893" s="168"/>
      <c r="M1893" s="164"/>
      <c r="N1893" s="163"/>
      <c r="O1893" s="165"/>
      <c r="P1893" s="161"/>
      <c r="Q1893" s="196"/>
      <c r="R1893" s="153"/>
      <c r="S1893" s="153"/>
      <c r="T1893" s="153"/>
      <c r="U1893" s="153"/>
      <c r="V1893" s="153"/>
      <c r="W1893" s="153"/>
      <c r="X1893" s="153"/>
      <c r="Y1893" s="153"/>
      <c r="Z1893" s="153"/>
      <c r="AA1893" s="153"/>
    </row>
    <row r="1894" spans="1:27">
      <c r="A1894" s="154"/>
      <c r="B1894" s="155"/>
      <c r="C1894" s="195"/>
      <c r="D1894" s="155"/>
      <c r="E1894" s="149"/>
      <c r="F1894" s="153"/>
      <c r="G1894" s="149"/>
      <c r="H1894" s="149"/>
      <c r="I1894" s="149"/>
      <c r="J1894" s="153"/>
      <c r="K1894" s="149"/>
      <c r="L1894" s="168"/>
      <c r="M1894" s="164"/>
      <c r="N1894" s="163"/>
      <c r="O1894" s="165"/>
      <c r="P1894" s="161"/>
      <c r="Q1894" s="196"/>
      <c r="R1894" s="153"/>
      <c r="S1894" s="153"/>
      <c r="T1894" s="153"/>
      <c r="U1894" s="153"/>
      <c r="V1894" s="153"/>
      <c r="W1894" s="153"/>
      <c r="X1894" s="153"/>
      <c r="Y1894" s="153"/>
      <c r="Z1894" s="153"/>
      <c r="AA1894" s="153"/>
    </row>
    <row r="1895" spans="1:27">
      <c r="A1895" s="154"/>
      <c r="B1895" s="155"/>
      <c r="C1895" s="195"/>
      <c r="D1895" s="155"/>
      <c r="E1895" s="149"/>
      <c r="F1895" s="153"/>
      <c r="G1895" s="149"/>
      <c r="H1895" s="149"/>
      <c r="I1895" s="149"/>
      <c r="J1895" s="153"/>
      <c r="K1895" s="149"/>
      <c r="L1895" s="168"/>
      <c r="M1895" s="164"/>
      <c r="N1895" s="163"/>
      <c r="O1895" s="165"/>
      <c r="P1895" s="161"/>
      <c r="Q1895" s="196"/>
      <c r="R1895" s="153"/>
      <c r="S1895" s="153"/>
      <c r="T1895" s="153"/>
      <c r="U1895" s="153"/>
      <c r="V1895" s="153"/>
      <c r="W1895" s="153"/>
      <c r="X1895" s="153"/>
      <c r="Y1895" s="153"/>
      <c r="Z1895" s="153"/>
      <c r="AA1895" s="153"/>
    </row>
    <row r="1896" spans="1:27">
      <c r="A1896" s="154"/>
      <c r="B1896" s="155"/>
      <c r="C1896" s="195"/>
      <c r="D1896" s="155"/>
      <c r="E1896" s="149"/>
      <c r="F1896" s="153"/>
      <c r="G1896" s="149"/>
      <c r="H1896" s="149"/>
      <c r="I1896" s="149"/>
      <c r="J1896" s="153"/>
      <c r="K1896" s="149"/>
      <c r="L1896" s="168"/>
      <c r="M1896" s="164"/>
      <c r="N1896" s="163"/>
      <c r="O1896" s="165"/>
      <c r="P1896" s="161"/>
      <c r="Q1896" s="196"/>
      <c r="R1896" s="153"/>
      <c r="S1896" s="153"/>
      <c r="T1896" s="153"/>
      <c r="U1896" s="153"/>
      <c r="V1896" s="153"/>
      <c r="W1896" s="153"/>
      <c r="X1896" s="153"/>
      <c r="Y1896" s="153"/>
      <c r="Z1896" s="153"/>
      <c r="AA1896" s="153"/>
    </row>
    <row r="1897" spans="1:27">
      <c r="A1897" s="154"/>
      <c r="B1897" s="155"/>
      <c r="C1897" s="195"/>
      <c r="D1897" s="155"/>
      <c r="E1897" s="149"/>
      <c r="F1897" s="153"/>
      <c r="G1897" s="149"/>
      <c r="H1897" s="149"/>
      <c r="I1897" s="149"/>
      <c r="J1897" s="153"/>
      <c r="K1897" s="149"/>
      <c r="L1897" s="168"/>
      <c r="M1897" s="164"/>
      <c r="N1897" s="163"/>
      <c r="O1897" s="165"/>
      <c r="P1897" s="161"/>
      <c r="Q1897" s="196"/>
      <c r="R1897" s="153"/>
      <c r="S1897" s="153"/>
      <c r="T1897" s="153"/>
      <c r="U1897" s="153"/>
      <c r="V1897" s="153"/>
      <c r="W1897" s="153"/>
      <c r="X1897" s="153"/>
      <c r="Y1897" s="153"/>
      <c r="Z1897" s="153"/>
      <c r="AA1897" s="153"/>
    </row>
    <row r="1898" spans="1:27">
      <c r="A1898" s="154"/>
      <c r="B1898" s="155"/>
      <c r="C1898" s="195"/>
      <c r="D1898" s="155"/>
      <c r="E1898" s="149"/>
      <c r="F1898" s="153"/>
      <c r="G1898" s="149"/>
      <c r="H1898" s="149"/>
      <c r="I1898" s="149"/>
      <c r="J1898" s="153"/>
      <c r="K1898" s="149"/>
      <c r="L1898" s="168"/>
      <c r="M1898" s="164"/>
      <c r="N1898" s="163"/>
      <c r="O1898" s="165"/>
      <c r="P1898" s="161"/>
      <c r="Q1898" s="196"/>
      <c r="R1898" s="153"/>
      <c r="S1898" s="153"/>
      <c r="T1898" s="153"/>
      <c r="U1898" s="153"/>
      <c r="V1898" s="153"/>
      <c r="W1898" s="153"/>
      <c r="X1898" s="153"/>
      <c r="Y1898" s="153"/>
      <c r="Z1898" s="153"/>
      <c r="AA1898" s="153"/>
    </row>
    <row r="1899" spans="1:27">
      <c r="A1899" s="154"/>
      <c r="B1899" s="155"/>
      <c r="C1899" s="195"/>
      <c r="D1899" s="155"/>
      <c r="E1899" s="149"/>
      <c r="F1899" s="153"/>
      <c r="G1899" s="149"/>
      <c r="H1899" s="149"/>
      <c r="I1899" s="149"/>
      <c r="J1899" s="153"/>
      <c r="K1899" s="149"/>
      <c r="L1899" s="168"/>
      <c r="M1899" s="164"/>
      <c r="N1899" s="163"/>
      <c r="O1899" s="165"/>
      <c r="P1899" s="161"/>
      <c r="Q1899" s="196"/>
      <c r="R1899" s="153"/>
      <c r="S1899" s="153"/>
      <c r="T1899" s="153"/>
      <c r="U1899" s="153"/>
      <c r="V1899" s="153"/>
      <c r="W1899" s="153"/>
      <c r="X1899" s="153"/>
      <c r="Y1899" s="153"/>
      <c r="Z1899" s="153"/>
      <c r="AA1899" s="153"/>
    </row>
    <row r="1900" spans="1:27">
      <c r="A1900" s="154"/>
      <c r="B1900" s="155"/>
      <c r="C1900" s="195"/>
      <c r="D1900" s="155"/>
      <c r="E1900" s="149"/>
      <c r="F1900" s="153"/>
      <c r="G1900" s="149"/>
      <c r="H1900" s="149"/>
      <c r="I1900" s="149"/>
      <c r="J1900" s="153"/>
      <c r="K1900" s="149"/>
      <c r="L1900" s="168"/>
      <c r="M1900" s="164"/>
      <c r="N1900" s="163"/>
      <c r="O1900" s="165"/>
      <c r="P1900" s="161"/>
      <c r="Q1900" s="196"/>
      <c r="R1900" s="153"/>
      <c r="S1900" s="153"/>
      <c r="T1900" s="153"/>
      <c r="U1900" s="153"/>
      <c r="V1900" s="153"/>
      <c r="W1900" s="153"/>
      <c r="X1900" s="153"/>
      <c r="Y1900" s="153"/>
      <c r="Z1900" s="153"/>
      <c r="AA1900" s="153"/>
    </row>
    <row r="1901" spans="1:27">
      <c r="A1901" s="154"/>
      <c r="B1901" s="155"/>
      <c r="C1901" s="195"/>
      <c r="D1901" s="155"/>
      <c r="E1901" s="149"/>
      <c r="F1901" s="153"/>
      <c r="G1901" s="149"/>
      <c r="H1901" s="149"/>
      <c r="I1901" s="149"/>
      <c r="J1901" s="153"/>
      <c r="K1901" s="149"/>
      <c r="L1901" s="168"/>
      <c r="M1901" s="164"/>
      <c r="N1901" s="163"/>
      <c r="O1901" s="165"/>
      <c r="P1901" s="161"/>
      <c r="Q1901" s="196"/>
      <c r="R1901" s="153"/>
      <c r="S1901" s="153"/>
      <c r="T1901" s="153"/>
      <c r="U1901" s="153"/>
      <c r="V1901" s="153"/>
      <c r="W1901" s="153"/>
      <c r="X1901" s="153"/>
      <c r="Y1901" s="153"/>
      <c r="Z1901" s="153"/>
      <c r="AA1901" s="153"/>
    </row>
    <row r="1902" spans="1:27">
      <c r="A1902" s="154"/>
      <c r="B1902" s="155"/>
      <c r="C1902" s="195"/>
      <c r="D1902" s="155"/>
      <c r="E1902" s="149"/>
      <c r="F1902" s="153"/>
      <c r="G1902" s="149"/>
      <c r="H1902" s="149"/>
      <c r="I1902" s="149"/>
      <c r="J1902" s="153"/>
      <c r="K1902" s="149"/>
      <c r="L1902" s="168"/>
      <c r="M1902" s="164"/>
      <c r="N1902" s="163"/>
      <c r="O1902" s="165"/>
      <c r="P1902" s="161"/>
      <c r="Q1902" s="196"/>
      <c r="R1902" s="153"/>
      <c r="S1902" s="153"/>
      <c r="T1902" s="153"/>
      <c r="U1902" s="153"/>
      <c r="V1902" s="153"/>
      <c r="W1902" s="153"/>
      <c r="X1902" s="153"/>
      <c r="Y1902" s="153"/>
      <c r="Z1902" s="153"/>
      <c r="AA1902" s="153"/>
    </row>
    <row r="1903" spans="1:27">
      <c r="A1903" s="154"/>
      <c r="B1903" s="155"/>
      <c r="C1903" s="195"/>
      <c r="D1903" s="155"/>
      <c r="E1903" s="149"/>
      <c r="F1903" s="153"/>
      <c r="G1903" s="149"/>
      <c r="H1903" s="149"/>
      <c r="I1903" s="149"/>
      <c r="J1903" s="153"/>
      <c r="K1903" s="149"/>
      <c r="L1903" s="168"/>
      <c r="M1903" s="164"/>
      <c r="N1903" s="163"/>
      <c r="O1903" s="165"/>
      <c r="P1903" s="161"/>
      <c r="Q1903" s="196"/>
      <c r="R1903" s="153"/>
      <c r="S1903" s="153"/>
      <c r="T1903" s="153"/>
      <c r="U1903" s="153"/>
      <c r="V1903" s="153"/>
      <c r="W1903" s="153"/>
      <c r="X1903" s="153"/>
      <c r="Y1903" s="153"/>
      <c r="Z1903" s="153"/>
      <c r="AA1903" s="153"/>
    </row>
    <row r="1904" spans="1:27">
      <c r="A1904" s="154"/>
      <c r="B1904" s="155"/>
      <c r="C1904" s="195"/>
      <c r="D1904" s="155"/>
      <c r="E1904" s="149"/>
      <c r="F1904" s="153"/>
      <c r="G1904" s="149"/>
      <c r="H1904" s="149"/>
      <c r="I1904" s="149"/>
      <c r="J1904" s="153"/>
      <c r="K1904" s="149"/>
      <c r="L1904" s="168"/>
      <c r="M1904" s="164"/>
      <c r="N1904" s="163"/>
      <c r="O1904" s="165"/>
      <c r="P1904" s="161"/>
      <c r="Q1904" s="196"/>
      <c r="R1904" s="153"/>
      <c r="S1904" s="153"/>
      <c r="T1904" s="153"/>
      <c r="U1904" s="153"/>
      <c r="V1904" s="153"/>
      <c r="W1904" s="153"/>
      <c r="X1904" s="153"/>
      <c r="Y1904" s="153"/>
      <c r="Z1904" s="153"/>
      <c r="AA1904" s="153"/>
    </row>
    <row r="1905" spans="1:27">
      <c r="A1905" s="154"/>
      <c r="B1905" s="155"/>
      <c r="C1905" s="195"/>
      <c r="D1905" s="155"/>
      <c r="E1905" s="149"/>
      <c r="F1905" s="153"/>
      <c r="G1905" s="149"/>
      <c r="H1905" s="149"/>
      <c r="I1905" s="149"/>
      <c r="J1905" s="153"/>
      <c r="K1905" s="149"/>
      <c r="L1905" s="168"/>
      <c r="M1905" s="164"/>
      <c r="N1905" s="163"/>
      <c r="O1905" s="165"/>
      <c r="P1905" s="161"/>
      <c r="Q1905" s="196"/>
      <c r="R1905" s="153"/>
      <c r="S1905" s="153"/>
      <c r="T1905" s="153"/>
      <c r="U1905" s="153"/>
      <c r="V1905" s="153"/>
      <c r="W1905" s="153"/>
      <c r="X1905" s="153"/>
      <c r="Y1905" s="153"/>
      <c r="Z1905" s="153"/>
      <c r="AA1905" s="153"/>
    </row>
    <row r="1906" spans="1:27">
      <c r="A1906" s="154"/>
      <c r="B1906" s="155"/>
      <c r="C1906" s="195"/>
      <c r="D1906" s="155"/>
      <c r="E1906" s="149"/>
      <c r="F1906" s="153"/>
      <c r="G1906" s="149"/>
      <c r="H1906" s="149"/>
      <c r="I1906" s="149"/>
      <c r="J1906" s="153"/>
      <c r="K1906" s="149"/>
      <c r="L1906" s="168"/>
      <c r="M1906" s="164"/>
      <c r="N1906" s="163"/>
      <c r="O1906" s="165"/>
      <c r="P1906" s="161"/>
      <c r="Q1906" s="196"/>
      <c r="R1906" s="153"/>
      <c r="S1906" s="153"/>
      <c r="T1906" s="153"/>
      <c r="U1906" s="153"/>
      <c r="V1906" s="153"/>
      <c r="W1906" s="153"/>
      <c r="X1906" s="153"/>
      <c r="Y1906" s="153"/>
      <c r="Z1906" s="153"/>
      <c r="AA1906" s="153"/>
    </row>
    <row r="1907" spans="1:27">
      <c r="A1907" s="154"/>
      <c r="B1907" s="155"/>
      <c r="C1907" s="195"/>
      <c r="D1907" s="155"/>
      <c r="E1907" s="149"/>
      <c r="F1907" s="153"/>
      <c r="G1907" s="149"/>
      <c r="H1907" s="149"/>
      <c r="I1907" s="149"/>
      <c r="J1907" s="153"/>
      <c r="K1907" s="149"/>
      <c r="L1907" s="168"/>
      <c r="M1907" s="164"/>
      <c r="N1907" s="163"/>
      <c r="O1907" s="165"/>
      <c r="P1907" s="161"/>
      <c r="Q1907" s="196"/>
      <c r="R1907" s="153"/>
      <c r="S1907" s="153"/>
      <c r="T1907" s="153"/>
      <c r="U1907" s="153"/>
      <c r="V1907" s="153"/>
      <c r="W1907" s="153"/>
      <c r="X1907" s="153"/>
      <c r="Y1907" s="153"/>
      <c r="Z1907" s="153"/>
      <c r="AA1907" s="153"/>
    </row>
    <row r="1908" spans="1:27">
      <c r="A1908" s="154"/>
      <c r="B1908" s="155"/>
      <c r="C1908" s="195"/>
      <c r="D1908" s="155"/>
      <c r="E1908" s="149"/>
      <c r="F1908" s="153"/>
      <c r="G1908" s="149"/>
      <c r="H1908" s="149"/>
      <c r="I1908" s="149"/>
      <c r="J1908" s="153"/>
      <c r="K1908" s="149"/>
      <c r="L1908" s="168"/>
      <c r="M1908" s="164"/>
      <c r="N1908" s="163"/>
      <c r="O1908" s="165"/>
      <c r="P1908" s="161"/>
      <c r="Q1908" s="196"/>
      <c r="R1908" s="153"/>
      <c r="S1908" s="153"/>
      <c r="T1908" s="153"/>
      <c r="U1908" s="153"/>
      <c r="V1908" s="153"/>
      <c r="W1908" s="153"/>
      <c r="X1908" s="153"/>
      <c r="Y1908" s="153"/>
      <c r="Z1908" s="153"/>
      <c r="AA1908" s="153"/>
    </row>
    <row r="1909" spans="1:27">
      <c r="A1909" s="154"/>
      <c r="B1909" s="155"/>
      <c r="C1909" s="195"/>
      <c r="D1909" s="155"/>
      <c r="E1909" s="149"/>
      <c r="F1909" s="153"/>
      <c r="G1909" s="149"/>
      <c r="H1909" s="149"/>
      <c r="I1909" s="149"/>
      <c r="J1909" s="153"/>
      <c r="K1909" s="149"/>
      <c r="L1909" s="168"/>
      <c r="M1909" s="164"/>
      <c r="N1909" s="163"/>
      <c r="O1909" s="165"/>
      <c r="P1909" s="161"/>
      <c r="Q1909" s="196"/>
      <c r="R1909" s="153"/>
      <c r="S1909" s="153"/>
      <c r="T1909" s="153"/>
      <c r="U1909" s="153"/>
      <c r="V1909" s="153"/>
      <c r="W1909" s="153"/>
      <c r="X1909" s="153"/>
      <c r="Y1909" s="153"/>
      <c r="Z1909" s="153"/>
      <c r="AA1909" s="153"/>
    </row>
    <row r="1910" spans="1:27">
      <c r="A1910" s="154"/>
      <c r="B1910" s="155"/>
      <c r="C1910" s="195"/>
      <c r="D1910" s="155"/>
      <c r="E1910" s="149"/>
      <c r="F1910" s="153"/>
      <c r="G1910" s="149"/>
      <c r="H1910" s="149"/>
      <c r="I1910" s="149"/>
      <c r="J1910" s="153"/>
      <c r="K1910" s="149"/>
      <c r="L1910" s="168"/>
      <c r="M1910" s="164"/>
      <c r="N1910" s="163"/>
      <c r="O1910" s="165"/>
      <c r="P1910" s="161"/>
      <c r="Q1910" s="196"/>
      <c r="R1910" s="153"/>
      <c r="S1910" s="153"/>
      <c r="T1910" s="153"/>
      <c r="U1910" s="153"/>
      <c r="V1910" s="153"/>
      <c r="W1910" s="153"/>
      <c r="X1910" s="153"/>
      <c r="Y1910" s="153"/>
      <c r="Z1910" s="153"/>
      <c r="AA1910" s="153"/>
    </row>
    <row r="1911" spans="1:27">
      <c r="A1911" s="154"/>
      <c r="B1911" s="155"/>
      <c r="C1911" s="195"/>
      <c r="D1911" s="155"/>
      <c r="E1911" s="149"/>
      <c r="F1911" s="153"/>
      <c r="G1911" s="149"/>
      <c r="H1911" s="149"/>
      <c r="I1911" s="149"/>
      <c r="J1911" s="153"/>
      <c r="K1911" s="149"/>
      <c r="L1911" s="168"/>
      <c r="M1911" s="164"/>
      <c r="N1911" s="163"/>
      <c r="O1911" s="165"/>
      <c r="P1911" s="161"/>
      <c r="Q1911" s="196"/>
      <c r="R1911" s="153"/>
      <c r="S1911" s="153"/>
      <c r="T1911" s="153"/>
      <c r="U1911" s="153"/>
      <c r="V1911" s="153"/>
      <c r="W1911" s="153"/>
      <c r="X1911" s="153"/>
      <c r="Y1911" s="153"/>
      <c r="Z1911" s="153"/>
      <c r="AA1911" s="153"/>
    </row>
    <row r="1912" spans="1:27">
      <c r="A1912" s="154"/>
      <c r="B1912" s="155"/>
      <c r="C1912" s="195"/>
      <c r="D1912" s="155"/>
      <c r="E1912" s="149"/>
      <c r="F1912" s="153"/>
      <c r="G1912" s="149"/>
      <c r="H1912" s="149"/>
      <c r="I1912" s="149"/>
      <c r="J1912" s="153"/>
      <c r="K1912" s="149"/>
      <c r="L1912" s="168"/>
      <c r="M1912" s="164"/>
      <c r="N1912" s="163"/>
      <c r="O1912" s="165"/>
      <c r="P1912" s="161"/>
      <c r="Q1912" s="196"/>
      <c r="R1912" s="153"/>
      <c r="S1912" s="153"/>
      <c r="T1912" s="153"/>
      <c r="U1912" s="153"/>
      <c r="V1912" s="153"/>
      <c r="W1912" s="153"/>
      <c r="X1912" s="153"/>
      <c r="Y1912" s="153"/>
      <c r="Z1912" s="153"/>
      <c r="AA1912" s="153"/>
    </row>
    <row r="1913" spans="1:27">
      <c r="A1913" s="154"/>
      <c r="B1913" s="155"/>
      <c r="C1913" s="195"/>
      <c r="D1913" s="155"/>
      <c r="E1913" s="149"/>
      <c r="F1913" s="153"/>
      <c r="G1913" s="149"/>
      <c r="H1913" s="149"/>
      <c r="I1913" s="149"/>
      <c r="J1913" s="153"/>
      <c r="K1913" s="149"/>
      <c r="L1913" s="168"/>
      <c r="M1913" s="164"/>
      <c r="N1913" s="163"/>
      <c r="O1913" s="165"/>
      <c r="P1913" s="161"/>
      <c r="Q1913" s="196"/>
      <c r="R1913" s="153"/>
      <c r="S1913" s="153"/>
      <c r="T1913" s="153"/>
      <c r="U1913" s="153"/>
      <c r="V1913" s="153"/>
      <c r="W1913" s="153"/>
      <c r="X1913" s="153"/>
      <c r="Y1913" s="153"/>
      <c r="Z1913" s="153"/>
      <c r="AA1913" s="153"/>
    </row>
    <row r="1914" spans="1:27">
      <c r="A1914" s="154"/>
      <c r="B1914" s="155"/>
      <c r="C1914" s="195"/>
      <c r="D1914" s="155"/>
      <c r="E1914" s="149"/>
      <c r="F1914" s="153"/>
      <c r="G1914" s="149"/>
      <c r="H1914" s="149"/>
      <c r="I1914" s="149"/>
      <c r="J1914" s="153"/>
      <c r="K1914" s="149"/>
      <c r="L1914" s="168"/>
      <c r="M1914" s="164"/>
      <c r="N1914" s="163"/>
      <c r="O1914" s="165"/>
      <c r="P1914" s="161"/>
      <c r="Q1914" s="196"/>
      <c r="R1914" s="153"/>
      <c r="S1914" s="153"/>
      <c r="T1914" s="153"/>
      <c r="U1914" s="153"/>
      <c r="V1914" s="153"/>
      <c r="W1914" s="153"/>
      <c r="X1914" s="153"/>
      <c r="Y1914" s="153"/>
      <c r="Z1914" s="153"/>
      <c r="AA1914" s="153"/>
    </row>
    <row r="1915" spans="1:27">
      <c r="A1915" s="154"/>
      <c r="B1915" s="155"/>
      <c r="C1915" s="195"/>
      <c r="D1915" s="155"/>
      <c r="E1915" s="149"/>
      <c r="F1915" s="153"/>
      <c r="G1915" s="149"/>
      <c r="H1915" s="149"/>
      <c r="I1915" s="149"/>
      <c r="J1915" s="153"/>
      <c r="K1915" s="149"/>
      <c r="L1915" s="168"/>
      <c r="M1915" s="164"/>
      <c r="N1915" s="163"/>
      <c r="O1915" s="165"/>
      <c r="P1915" s="161"/>
      <c r="Q1915" s="196"/>
      <c r="R1915" s="153"/>
      <c r="S1915" s="153"/>
      <c r="T1915" s="153"/>
      <c r="U1915" s="153"/>
      <c r="V1915" s="153"/>
      <c r="W1915" s="153"/>
      <c r="X1915" s="153"/>
      <c r="Y1915" s="153"/>
      <c r="Z1915" s="153"/>
      <c r="AA1915" s="153"/>
    </row>
    <row r="1916" spans="1:27">
      <c r="A1916" s="154"/>
      <c r="B1916" s="155"/>
      <c r="C1916" s="195"/>
      <c r="D1916" s="155"/>
      <c r="E1916" s="149"/>
      <c r="F1916" s="153"/>
      <c r="G1916" s="149"/>
      <c r="H1916" s="149"/>
      <c r="I1916" s="149"/>
      <c r="J1916" s="153"/>
      <c r="K1916" s="149"/>
      <c r="L1916" s="168"/>
      <c r="M1916" s="164"/>
      <c r="N1916" s="163"/>
      <c r="O1916" s="165"/>
      <c r="P1916" s="161"/>
      <c r="Q1916" s="196"/>
      <c r="R1916" s="153"/>
      <c r="S1916" s="153"/>
      <c r="T1916" s="153"/>
      <c r="U1916" s="153"/>
      <c r="V1916" s="153"/>
      <c r="W1916" s="153"/>
      <c r="X1916" s="153"/>
      <c r="Y1916" s="153"/>
      <c r="Z1916" s="153"/>
      <c r="AA1916" s="153"/>
    </row>
    <row r="1917" spans="1:27">
      <c r="A1917" s="154"/>
      <c r="B1917" s="155"/>
      <c r="C1917" s="195"/>
      <c r="D1917" s="155"/>
      <c r="E1917" s="149"/>
      <c r="F1917" s="153"/>
      <c r="G1917" s="149"/>
      <c r="H1917" s="149"/>
      <c r="I1917" s="149"/>
      <c r="J1917" s="153"/>
      <c r="K1917" s="149"/>
      <c r="L1917" s="168"/>
      <c r="M1917" s="164"/>
      <c r="N1917" s="163"/>
      <c r="O1917" s="165"/>
      <c r="P1917" s="161"/>
      <c r="Q1917" s="196"/>
      <c r="R1917" s="153"/>
      <c r="S1917" s="153"/>
      <c r="T1917" s="153"/>
      <c r="U1917" s="153"/>
      <c r="V1917" s="153"/>
      <c r="W1917" s="153"/>
      <c r="X1917" s="153"/>
      <c r="Y1917" s="153"/>
      <c r="Z1917" s="153"/>
      <c r="AA1917" s="153"/>
    </row>
    <row r="1918" spans="1:27">
      <c r="A1918" s="154"/>
      <c r="B1918" s="155"/>
      <c r="C1918" s="195"/>
      <c r="D1918" s="155"/>
      <c r="E1918" s="149"/>
      <c r="F1918" s="153"/>
      <c r="G1918" s="149"/>
      <c r="H1918" s="149"/>
      <c r="I1918" s="149"/>
      <c r="J1918" s="153"/>
      <c r="K1918" s="149"/>
      <c r="L1918" s="168"/>
      <c r="M1918" s="164"/>
      <c r="N1918" s="163"/>
      <c r="O1918" s="165"/>
      <c r="P1918" s="161"/>
      <c r="Q1918" s="196"/>
      <c r="R1918" s="153"/>
      <c r="S1918" s="153"/>
      <c r="T1918" s="153"/>
      <c r="U1918" s="153"/>
      <c r="V1918" s="153"/>
      <c r="W1918" s="153"/>
      <c r="X1918" s="153"/>
      <c r="Y1918" s="153"/>
      <c r="Z1918" s="153"/>
      <c r="AA1918" s="153"/>
    </row>
    <row r="1919" spans="1:27">
      <c r="A1919" s="154"/>
      <c r="B1919" s="155"/>
      <c r="C1919" s="195"/>
      <c r="D1919" s="155"/>
      <c r="E1919" s="149"/>
      <c r="F1919" s="153"/>
      <c r="G1919" s="149"/>
      <c r="H1919" s="149"/>
      <c r="I1919" s="149"/>
      <c r="J1919" s="153"/>
      <c r="K1919" s="149"/>
      <c r="L1919" s="168"/>
      <c r="M1919" s="164"/>
      <c r="N1919" s="163"/>
      <c r="O1919" s="165"/>
      <c r="P1919" s="161"/>
      <c r="Q1919" s="196"/>
      <c r="R1919" s="153"/>
      <c r="S1919" s="153"/>
      <c r="T1919" s="153"/>
      <c r="U1919" s="153"/>
      <c r="V1919" s="153"/>
      <c r="W1919" s="153"/>
      <c r="X1919" s="153"/>
      <c r="Y1919" s="153"/>
      <c r="Z1919" s="153"/>
      <c r="AA1919" s="153"/>
    </row>
    <row r="1920" spans="1:27">
      <c r="A1920" s="154"/>
      <c r="B1920" s="155"/>
      <c r="C1920" s="195"/>
      <c r="D1920" s="155"/>
      <c r="E1920" s="149"/>
      <c r="F1920" s="153"/>
      <c r="G1920" s="149"/>
      <c r="H1920" s="149"/>
      <c r="I1920" s="149"/>
      <c r="J1920" s="153"/>
      <c r="K1920" s="149"/>
      <c r="L1920" s="168"/>
      <c r="M1920" s="164"/>
      <c r="N1920" s="163"/>
      <c r="O1920" s="165"/>
      <c r="P1920" s="161"/>
      <c r="Q1920" s="196"/>
      <c r="R1920" s="153"/>
      <c r="S1920" s="153"/>
      <c r="T1920" s="153"/>
      <c r="U1920" s="153"/>
      <c r="V1920" s="153"/>
      <c r="W1920" s="153"/>
      <c r="X1920" s="153"/>
      <c r="Y1920" s="153"/>
      <c r="Z1920" s="153"/>
      <c r="AA1920" s="153"/>
    </row>
    <row r="1921" spans="1:27">
      <c r="A1921" s="154"/>
      <c r="B1921" s="155"/>
      <c r="C1921" s="195"/>
      <c r="D1921" s="155"/>
      <c r="E1921" s="149"/>
      <c r="F1921" s="153"/>
      <c r="G1921" s="149"/>
      <c r="H1921" s="149"/>
      <c r="I1921" s="149"/>
      <c r="J1921" s="153"/>
      <c r="K1921" s="149"/>
      <c r="L1921" s="168"/>
      <c r="M1921" s="164"/>
      <c r="N1921" s="163"/>
      <c r="O1921" s="165"/>
      <c r="P1921" s="161"/>
      <c r="Q1921" s="196"/>
      <c r="R1921" s="153"/>
      <c r="S1921" s="153"/>
      <c r="T1921" s="153"/>
      <c r="U1921" s="153"/>
      <c r="V1921" s="153"/>
      <c r="W1921" s="153"/>
      <c r="X1921" s="153"/>
      <c r="Y1921" s="153"/>
      <c r="Z1921" s="153"/>
      <c r="AA1921" s="153"/>
    </row>
    <row r="1922" spans="1:27">
      <c r="A1922" s="154"/>
      <c r="B1922" s="155"/>
      <c r="C1922" s="195"/>
      <c r="D1922" s="155"/>
      <c r="E1922" s="149"/>
      <c r="F1922" s="153"/>
      <c r="G1922" s="149"/>
      <c r="H1922" s="149"/>
      <c r="I1922" s="149"/>
      <c r="J1922" s="153"/>
      <c r="K1922" s="149"/>
      <c r="L1922" s="168"/>
      <c r="M1922" s="164"/>
      <c r="N1922" s="163"/>
      <c r="O1922" s="165"/>
      <c r="P1922" s="161"/>
      <c r="Q1922" s="196"/>
      <c r="R1922" s="153"/>
      <c r="S1922" s="153"/>
      <c r="T1922" s="153"/>
      <c r="U1922" s="153"/>
      <c r="V1922" s="153"/>
      <c r="W1922" s="153"/>
      <c r="X1922" s="153"/>
      <c r="Y1922" s="153"/>
      <c r="Z1922" s="153"/>
      <c r="AA1922" s="153"/>
    </row>
    <row r="1923" spans="1:27">
      <c r="A1923" s="154"/>
      <c r="B1923" s="155"/>
      <c r="C1923" s="195"/>
      <c r="D1923" s="155"/>
      <c r="E1923" s="149"/>
      <c r="F1923" s="153"/>
      <c r="G1923" s="149"/>
      <c r="H1923" s="149"/>
      <c r="I1923" s="149"/>
      <c r="J1923" s="153"/>
      <c r="K1923" s="149"/>
      <c r="L1923" s="168"/>
      <c r="M1923" s="164"/>
      <c r="N1923" s="163"/>
      <c r="O1923" s="165"/>
      <c r="P1923" s="161"/>
      <c r="Q1923" s="196"/>
      <c r="R1923" s="153"/>
      <c r="S1923" s="153"/>
      <c r="T1923" s="153"/>
      <c r="U1923" s="153"/>
      <c r="V1923" s="153"/>
      <c r="W1923" s="153"/>
      <c r="X1923" s="153"/>
      <c r="Y1923" s="153"/>
      <c r="Z1923" s="153"/>
      <c r="AA1923" s="153"/>
    </row>
    <row r="1924" spans="1:27">
      <c r="A1924" s="154"/>
      <c r="B1924" s="155"/>
      <c r="C1924" s="195"/>
      <c r="D1924" s="155"/>
      <c r="E1924" s="149"/>
      <c r="F1924" s="153"/>
      <c r="G1924" s="149"/>
      <c r="H1924" s="149"/>
      <c r="I1924" s="149"/>
      <c r="J1924" s="153"/>
      <c r="K1924" s="149"/>
      <c r="L1924" s="168"/>
      <c r="M1924" s="164"/>
      <c r="N1924" s="163"/>
      <c r="O1924" s="165"/>
      <c r="P1924" s="161"/>
      <c r="Q1924" s="196"/>
      <c r="R1924" s="153"/>
      <c r="S1924" s="153"/>
      <c r="T1924" s="153"/>
      <c r="U1924" s="153"/>
      <c r="V1924" s="153"/>
      <c r="W1924" s="153"/>
      <c r="X1924" s="153"/>
      <c r="Y1924" s="153"/>
      <c r="Z1924" s="153"/>
      <c r="AA1924" s="153"/>
    </row>
    <row r="1925" spans="1:27">
      <c r="A1925" s="154"/>
      <c r="B1925" s="155"/>
      <c r="C1925" s="195"/>
      <c r="D1925" s="155"/>
      <c r="E1925" s="149"/>
      <c r="F1925" s="153"/>
      <c r="G1925" s="149"/>
      <c r="H1925" s="149"/>
      <c r="I1925" s="149"/>
      <c r="J1925" s="153"/>
      <c r="K1925" s="149"/>
      <c r="L1925" s="168"/>
      <c r="M1925" s="164"/>
      <c r="N1925" s="163"/>
      <c r="O1925" s="165"/>
      <c r="P1925" s="161"/>
      <c r="Q1925" s="196"/>
      <c r="R1925" s="153"/>
      <c r="S1925" s="153"/>
      <c r="T1925" s="153"/>
      <c r="U1925" s="153"/>
      <c r="V1925" s="153"/>
      <c r="W1925" s="153"/>
      <c r="X1925" s="153"/>
      <c r="Y1925" s="153"/>
      <c r="Z1925" s="153"/>
      <c r="AA1925" s="153"/>
    </row>
    <row r="1926" spans="1:27">
      <c r="A1926" s="154"/>
      <c r="B1926" s="155"/>
      <c r="C1926" s="195"/>
      <c r="D1926" s="155"/>
      <c r="E1926" s="149"/>
      <c r="F1926" s="153"/>
      <c r="G1926" s="149"/>
      <c r="H1926" s="149"/>
      <c r="I1926" s="149"/>
      <c r="J1926" s="153"/>
      <c r="K1926" s="149"/>
      <c r="L1926" s="168"/>
      <c r="M1926" s="164"/>
      <c r="N1926" s="163"/>
      <c r="O1926" s="165"/>
      <c r="P1926" s="161"/>
      <c r="Q1926" s="196"/>
      <c r="R1926" s="153"/>
      <c r="S1926" s="153"/>
      <c r="T1926" s="153"/>
      <c r="U1926" s="153"/>
      <c r="V1926" s="153"/>
      <c r="W1926" s="153"/>
      <c r="X1926" s="153"/>
      <c r="Y1926" s="153"/>
      <c r="Z1926" s="153"/>
      <c r="AA1926" s="153"/>
    </row>
    <row r="1927" spans="1:27">
      <c r="A1927" s="154"/>
      <c r="B1927" s="155"/>
      <c r="C1927" s="195"/>
      <c r="D1927" s="155"/>
      <c r="E1927" s="149"/>
      <c r="F1927" s="153"/>
      <c r="G1927" s="149"/>
      <c r="H1927" s="149"/>
      <c r="I1927" s="149"/>
      <c r="J1927" s="153"/>
      <c r="K1927" s="149"/>
      <c r="L1927" s="168"/>
      <c r="M1927" s="164"/>
      <c r="N1927" s="163"/>
      <c r="O1927" s="165"/>
      <c r="P1927" s="161"/>
      <c r="Q1927" s="196"/>
      <c r="R1927" s="153"/>
      <c r="S1927" s="153"/>
      <c r="T1927" s="153"/>
      <c r="U1927" s="153"/>
      <c r="V1927" s="153"/>
      <c r="W1927" s="153"/>
      <c r="X1927" s="153"/>
      <c r="Y1927" s="153"/>
      <c r="Z1927" s="153"/>
      <c r="AA1927" s="153"/>
    </row>
    <row r="1928" spans="1:27">
      <c r="A1928" s="154"/>
      <c r="B1928" s="155"/>
      <c r="C1928" s="195"/>
      <c r="D1928" s="155"/>
      <c r="E1928" s="149"/>
      <c r="F1928" s="153"/>
      <c r="G1928" s="149"/>
      <c r="H1928" s="149"/>
      <c r="I1928" s="149"/>
      <c r="J1928" s="153"/>
      <c r="K1928" s="149"/>
      <c r="L1928" s="168"/>
      <c r="M1928" s="164"/>
      <c r="N1928" s="163"/>
      <c r="O1928" s="165"/>
      <c r="P1928" s="161"/>
      <c r="Q1928" s="196"/>
      <c r="R1928" s="153"/>
      <c r="S1928" s="153"/>
      <c r="T1928" s="153"/>
      <c r="U1928" s="153"/>
      <c r="V1928" s="153"/>
      <c r="W1928" s="153"/>
      <c r="X1928" s="153"/>
      <c r="Y1928" s="153"/>
      <c r="Z1928" s="153"/>
      <c r="AA1928" s="153"/>
    </row>
    <row r="1929" spans="1:27">
      <c r="A1929" s="154"/>
      <c r="B1929" s="155"/>
      <c r="C1929" s="195"/>
      <c r="D1929" s="155"/>
      <c r="E1929" s="149"/>
      <c r="F1929" s="153"/>
      <c r="G1929" s="149"/>
      <c r="H1929" s="149"/>
      <c r="I1929" s="149"/>
      <c r="J1929" s="153"/>
      <c r="K1929" s="149"/>
      <c r="L1929" s="168"/>
      <c r="M1929" s="164"/>
      <c r="N1929" s="163"/>
      <c r="O1929" s="165"/>
      <c r="P1929" s="161"/>
      <c r="Q1929" s="196"/>
      <c r="R1929" s="153"/>
      <c r="S1929" s="153"/>
      <c r="T1929" s="153"/>
      <c r="U1929" s="153"/>
      <c r="V1929" s="153"/>
      <c r="W1929" s="153"/>
      <c r="X1929" s="153"/>
      <c r="Y1929" s="153"/>
      <c r="Z1929" s="153"/>
      <c r="AA1929" s="153"/>
    </row>
    <row r="1930" spans="1:27">
      <c r="A1930" s="154"/>
      <c r="B1930" s="155"/>
      <c r="C1930" s="195"/>
      <c r="D1930" s="155"/>
      <c r="E1930" s="149"/>
      <c r="F1930" s="153"/>
      <c r="G1930" s="149"/>
      <c r="H1930" s="149"/>
      <c r="I1930" s="149"/>
      <c r="J1930" s="153"/>
      <c r="K1930" s="149"/>
      <c r="L1930" s="168"/>
      <c r="M1930" s="164"/>
      <c r="N1930" s="163"/>
      <c r="O1930" s="165"/>
      <c r="P1930" s="161"/>
      <c r="Q1930" s="196"/>
      <c r="R1930" s="153"/>
      <c r="S1930" s="153"/>
      <c r="T1930" s="153"/>
      <c r="U1930" s="153"/>
      <c r="V1930" s="153"/>
      <c r="W1930" s="153"/>
      <c r="X1930" s="153"/>
      <c r="Y1930" s="153"/>
      <c r="Z1930" s="153"/>
      <c r="AA1930" s="153"/>
    </row>
    <row r="1931" spans="1:27">
      <c r="A1931" s="154"/>
      <c r="B1931" s="155"/>
      <c r="C1931" s="195"/>
      <c r="D1931" s="155"/>
      <c r="E1931" s="149"/>
      <c r="F1931" s="153"/>
      <c r="G1931" s="149"/>
      <c r="H1931" s="149"/>
      <c r="I1931" s="149"/>
      <c r="J1931" s="153"/>
      <c r="K1931" s="149"/>
      <c r="L1931" s="168"/>
      <c r="M1931" s="164"/>
      <c r="N1931" s="163"/>
      <c r="O1931" s="165"/>
      <c r="P1931" s="161"/>
      <c r="Q1931" s="196"/>
      <c r="R1931" s="153"/>
      <c r="S1931" s="153"/>
      <c r="T1931" s="153"/>
      <c r="U1931" s="153"/>
      <c r="V1931" s="153"/>
      <c r="W1931" s="153"/>
      <c r="X1931" s="153"/>
      <c r="Y1931" s="153"/>
      <c r="Z1931" s="153"/>
      <c r="AA1931" s="153"/>
    </row>
    <row r="1932" spans="1:27">
      <c r="A1932" s="154"/>
      <c r="B1932" s="155"/>
      <c r="C1932" s="195"/>
      <c r="D1932" s="155"/>
      <c r="E1932" s="149"/>
      <c r="F1932" s="153"/>
      <c r="G1932" s="149"/>
      <c r="H1932" s="149"/>
      <c r="I1932" s="149"/>
      <c r="J1932" s="153"/>
      <c r="K1932" s="149"/>
      <c r="L1932" s="168"/>
      <c r="M1932" s="164"/>
      <c r="N1932" s="163"/>
      <c r="O1932" s="165"/>
      <c r="P1932" s="161"/>
      <c r="Q1932" s="196"/>
      <c r="R1932" s="153"/>
      <c r="S1932" s="153"/>
      <c r="T1932" s="153"/>
      <c r="U1932" s="153"/>
      <c r="V1932" s="153"/>
      <c r="W1932" s="153"/>
      <c r="X1932" s="153"/>
      <c r="Y1932" s="153"/>
      <c r="Z1932" s="153"/>
      <c r="AA1932" s="153"/>
    </row>
    <row r="1933" spans="1:27">
      <c r="A1933" s="154"/>
      <c r="B1933" s="155"/>
      <c r="C1933" s="195"/>
      <c r="D1933" s="155"/>
      <c r="E1933" s="149"/>
      <c r="F1933" s="153"/>
      <c r="G1933" s="149"/>
      <c r="H1933" s="149"/>
      <c r="I1933" s="149"/>
      <c r="J1933" s="153"/>
      <c r="K1933" s="149"/>
      <c r="L1933" s="168"/>
      <c r="M1933" s="164"/>
      <c r="N1933" s="163"/>
      <c r="O1933" s="165"/>
      <c r="P1933" s="161"/>
      <c r="Q1933" s="196"/>
      <c r="R1933" s="153"/>
      <c r="S1933" s="153"/>
      <c r="T1933" s="153"/>
      <c r="U1933" s="153"/>
      <c r="V1933" s="153"/>
      <c r="W1933" s="153"/>
      <c r="X1933" s="153"/>
      <c r="Y1933" s="153"/>
      <c r="Z1933" s="153"/>
      <c r="AA1933" s="153"/>
    </row>
    <row r="1934" spans="1:27">
      <c r="A1934" s="154"/>
      <c r="B1934" s="155"/>
      <c r="C1934" s="195"/>
      <c r="D1934" s="155"/>
      <c r="E1934" s="149"/>
      <c r="F1934" s="153"/>
      <c r="G1934" s="149"/>
      <c r="H1934" s="149"/>
      <c r="I1934" s="149"/>
      <c r="J1934" s="153"/>
      <c r="K1934" s="149"/>
      <c r="L1934" s="168"/>
      <c r="M1934" s="164"/>
      <c r="N1934" s="163"/>
      <c r="O1934" s="165"/>
      <c r="P1934" s="161"/>
      <c r="Q1934" s="196"/>
      <c r="R1934" s="153"/>
      <c r="S1934" s="153"/>
      <c r="T1934" s="153"/>
      <c r="U1934" s="153"/>
      <c r="V1934" s="153"/>
      <c r="W1934" s="153"/>
      <c r="X1934" s="153"/>
      <c r="Y1934" s="153"/>
      <c r="Z1934" s="153"/>
      <c r="AA1934" s="153"/>
    </row>
    <row r="1935" spans="1:27">
      <c r="A1935" s="154"/>
      <c r="B1935" s="155"/>
      <c r="C1935" s="195"/>
      <c r="D1935" s="155"/>
      <c r="E1935" s="149"/>
      <c r="F1935" s="153"/>
      <c r="G1935" s="149"/>
      <c r="H1935" s="149"/>
      <c r="I1935" s="149"/>
      <c r="J1935" s="153"/>
      <c r="K1935" s="149"/>
      <c r="L1935" s="168"/>
      <c r="M1935" s="164"/>
      <c r="N1935" s="163"/>
      <c r="O1935" s="165"/>
      <c r="P1935" s="161"/>
      <c r="Q1935" s="196"/>
      <c r="R1935" s="153"/>
      <c r="S1935" s="153"/>
      <c r="T1935" s="153"/>
      <c r="U1935" s="153"/>
      <c r="V1935" s="153"/>
      <c r="W1935" s="153"/>
      <c r="X1935" s="153"/>
      <c r="Y1935" s="153"/>
      <c r="Z1935" s="153"/>
      <c r="AA1935" s="153"/>
    </row>
    <row r="1936" spans="1:27">
      <c r="A1936" s="154"/>
      <c r="B1936" s="155"/>
      <c r="C1936" s="195"/>
      <c r="D1936" s="155"/>
      <c r="E1936" s="149"/>
      <c r="F1936" s="153"/>
      <c r="G1936" s="149"/>
      <c r="H1936" s="149"/>
      <c r="I1936" s="149"/>
      <c r="J1936" s="153"/>
      <c r="K1936" s="149"/>
      <c r="L1936" s="168"/>
      <c r="M1936" s="164"/>
      <c r="N1936" s="163"/>
      <c r="O1936" s="165"/>
      <c r="P1936" s="161"/>
      <c r="Q1936" s="196"/>
      <c r="R1936" s="153"/>
      <c r="S1936" s="153"/>
      <c r="T1936" s="153"/>
      <c r="U1936" s="153"/>
      <c r="V1936" s="153"/>
      <c r="W1936" s="153"/>
      <c r="X1936" s="153"/>
      <c r="Y1936" s="153"/>
      <c r="Z1936" s="153"/>
      <c r="AA1936" s="153"/>
    </row>
    <row r="1937" spans="1:27">
      <c r="A1937" s="154"/>
      <c r="B1937" s="155"/>
      <c r="C1937" s="195"/>
      <c r="D1937" s="155"/>
      <c r="E1937" s="149"/>
      <c r="F1937" s="153"/>
      <c r="G1937" s="149"/>
      <c r="H1937" s="149"/>
      <c r="I1937" s="149"/>
      <c r="J1937" s="153"/>
      <c r="K1937" s="149"/>
      <c r="L1937" s="168"/>
      <c r="M1937" s="164"/>
      <c r="N1937" s="163"/>
      <c r="O1937" s="165"/>
      <c r="P1937" s="161"/>
      <c r="Q1937" s="196"/>
      <c r="R1937" s="153"/>
      <c r="S1937" s="153"/>
      <c r="T1937" s="153"/>
      <c r="U1937" s="153"/>
      <c r="V1937" s="153"/>
      <c r="W1937" s="153"/>
      <c r="X1937" s="153"/>
      <c r="Y1937" s="153"/>
      <c r="Z1937" s="153"/>
      <c r="AA1937" s="153"/>
    </row>
    <row r="1938" spans="1:27">
      <c r="A1938" s="154"/>
      <c r="B1938" s="155"/>
      <c r="C1938" s="195"/>
      <c r="D1938" s="155"/>
      <c r="E1938" s="149"/>
      <c r="F1938" s="153"/>
      <c r="G1938" s="149"/>
      <c r="H1938" s="149"/>
      <c r="I1938" s="149"/>
      <c r="J1938" s="153"/>
      <c r="K1938" s="149"/>
      <c r="L1938" s="168"/>
      <c r="M1938" s="164"/>
      <c r="N1938" s="163"/>
      <c r="O1938" s="165"/>
      <c r="P1938" s="161"/>
      <c r="Q1938" s="196"/>
      <c r="R1938" s="153"/>
      <c r="S1938" s="153"/>
      <c r="T1938" s="153"/>
      <c r="U1938" s="153"/>
      <c r="V1938" s="153"/>
      <c r="W1938" s="153"/>
      <c r="X1938" s="153"/>
      <c r="Y1938" s="153"/>
      <c r="Z1938" s="153"/>
      <c r="AA1938" s="153"/>
    </row>
    <row r="1939" spans="1:27">
      <c r="A1939" s="154"/>
      <c r="B1939" s="155"/>
      <c r="C1939" s="195"/>
      <c r="D1939" s="155"/>
      <c r="E1939" s="149"/>
      <c r="F1939" s="153"/>
      <c r="G1939" s="149"/>
      <c r="H1939" s="149"/>
      <c r="I1939" s="149"/>
      <c r="J1939" s="153"/>
      <c r="K1939" s="149"/>
      <c r="L1939" s="168"/>
      <c r="M1939" s="164"/>
      <c r="N1939" s="163"/>
      <c r="O1939" s="165"/>
      <c r="P1939" s="161"/>
      <c r="Q1939" s="196"/>
      <c r="R1939" s="153"/>
      <c r="S1939" s="153"/>
      <c r="T1939" s="153"/>
      <c r="U1939" s="153"/>
      <c r="V1939" s="153"/>
      <c r="W1939" s="153"/>
      <c r="X1939" s="153"/>
      <c r="Y1939" s="153"/>
      <c r="Z1939" s="153"/>
      <c r="AA1939" s="153"/>
    </row>
    <row r="1940" spans="1:27">
      <c r="A1940" s="154"/>
      <c r="B1940" s="155"/>
      <c r="C1940" s="195"/>
      <c r="D1940" s="155"/>
      <c r="E1940" s="149"/>
      <c r="F1940" s="153"/>
      <c r="G1940" s="149"/>
      <c r="H1940" s="149"/>
      <c r="I1940" s="149"/>
      <c r="J1940" s="153"/>
      <c r="K1940" s="149"/>
      <c r="L1940" s="168"/>
      <c r="M1940" s="164"/>
      <c r="N1940" s="163"/>
      <c r="O1940" s="165"/>
      <c r="P1940" s="161"/>
      <c r="Q1940" s="196"/>
      <c r="R1940" s="153"/>
      <c r="S1940" s="153"/>
      <c r="T1940" s="153"/>
      <c r="U1940" s="153"/>
      <c r="V1940" s="153"/>
      <c r="W1940" s="153"/>
      <c r="X1940" s="153"/>
      <c r="Y1940" s="153"/>
      <c r="Z1940" s="153"/>
      <c r="AA1940" s="153"/>
    </row>
    <row r="1941" spans="1:27">
      <c r="A1941" s="154"/>
      <c r="B1941" s="155"/>
      <c r="C1941" s="195"/>
      <c r="D1941" s="155"/>
      <c r="E1941" s="149"/>
      <c r="F1941" s="153"/>
      <c r="G1941" s="149"/>
      <c r="H1941" s="149"/>
      <c r="I1941" s="149"/>
      <c r="J1941" s="153"/>
      <c r="K1941" s="149"/>
      <c r="L1941" s="168"/>
      <c r="M1941" s="164"/>
      <c r="N1941" s="163"/>
      <c r="O1941" s="165"/>
      <c r="P1941" s="161"/>
      <c r="Q1941" s="196"/>
      <c r="R1941" s="153"/>
      <c r="S1941" s="153"/>
      <c r="T1941" s="153"/>
      <c r="U1941" s="153"/>
      <c r="V1941" s="153"/>
      <c r="W1941" s="153"/>
      <c r="X1941" s="153"/>
      <c r="Y1941" s="153"/>
      <c r="Z1941" s="153"/>
      <c r="AA1941" s="153"/>
    </row>
    <row r="1942" spans="1:27">
      <c r="A1942" s="154"/>
      <c r="B1942" s="155"/>
      <c r="C1942" s="195"/>
      <c r="D1942" s="155"/>
      <c r="E1942" s="149"/>
      <c r="F1942" s="153"/>
      <c r="G1942" s="149"/>
      <c r="H1942" s="149"/>
      <c r="I1942" s="149"/>
      <c r="J1942" s="153"/>
      <c r="K1942" s="149"/>
      <c r="L1942" s="168"/>
      <c r="M1942" s="164"/>
      <c r="N1942" s="163"/>
      <c r="O1942" s="165"/>
      <c r="P1942" s="161"/>
      <c r="Q1942" s="196"/>
      <c r="R1942" s="153"/>
      <c r="S1942" s="153"/>
      <c r="T1942" s="153"/>
      <c r="U1942" s="153"/>
      <c r="V1942" s="153"/>
      <c r="W1942" s="153"/>
      <c r="X1942" s="153"/>
      <c r="Y1942" s="153"/>
      <c r="Z1942" s="153"/>
      <c r="AA1942" s="153"/>
    </row>
    <row r="1943" spans="1:27">
      <c r="A1943" s="154"/>
      <c r="B1943" s="155"/>
      <c r="C1943" s="195"/>
      <c r="D1943" s="155"/>
      <c r="E1943" s="149"/>
      <c r="F1943" s="153"/>
      <c r="G1943" s="149"/>
      <c r="H1943" s="149"/>
      <c r="I1943" s="149"/>
      <c r="J1943" s="153"/>
      <c r="K1943" s="149"/>
      <c r="L1943" s="168"/>
      <c r="M1943" s="164"/>
      <c r="N1943" s="163"/>
      <c r="O1943" s="165"/>
      <c r="P1943" s="161"/>
      <c r="Q1943" s="196"/>
      <c r="R1943" s="153"/>
      <c r="S1943" s="153"/>
      <c r="T1943" s="153"/>
      <c r="U1943" s="153"/>
      <c r="V1943" s="153"/>
      <c r="W1943" s="153"/>
      <c r="X1943" s="153"/>
      <c r="Y1943" s="153"/>
      <c r="Z1943" s="153"/>
      <c r="AA1943" s="153"/>
    </row>
    <row r="1944" spans="1:27">
      <c r="A1944" s="154"/>
      <c r="B1944" s="155"/>
      <c r="C1944" s="195"/>
      <c r="D1944" s="155"/>
      <c r="E1944" s="149"/>
      <c r="F1944" s="153"/>
      <c r="G1944" s="149"/>
      <c r="H1944" s="149"/>
      <c r="I1944" s="149"/>
      <c r="J1944" s="153"/>
      <c r="K1944" s="149"/>
      <c r="L1944" s="168"/>
      <c r="M1944" s="164"/>
      <c r="N1944" s="163"/>
      <c r="O1944" s="165"/>
      <c r="P1944" s="161"/>
      <c r="Q1944" s="196"/>
      <c r="R1944" s="153"/>
      <c r="S1944" s="153"/>
      <c r="T1944" s="153"/>
      <c r="U1944" s="153"/>
      <c r="V1944" s="153"/>
      <c r="W1944" s="153"/>
      <c r="X1944" s="153"/>
      <c r="Y1944" s="153"/>
      <c r="Z1944" s="153"/>
      <c r="AA1944" s="153"/>
    </row>
    <row r="1945" spans="1:27">
      <c r="A1945" s="154"/>
      <c r="B1945" s="155"/>
      <c r="C1945" s="195"/>
      <c r="D1945" s="155"/>
      <c r="E1945" s="149"/>
      <c r="F1945" s="153"/>
      <c r="G1945" s="149"/>
      <c r="H1945" s="149"/>
      <c r="I1945" s="149"/>
      <c r="J1945" s="153"/>
      <c r="K1945" s="149"/>
      <c r="L1945" s="168"/>
      <c r="M1945" s="164"/>
      <c r="N1945" s="163"/>
      <c r="O1945" s="165"/>
      <c r="P1945" s="161"/>
      <c r="Q1945" s="196"/>
      <c r="R1945" s="153"/>
      <c r="S1945" s="153"/>
      <c r="T1945" s="153"/>
      <c r="U1945" s="153"/>
      <c r="V1945" s="153"/>
      <c r="W1945" s="153"/>
      <c r="X1945" s="153"/>
      <c r="Y1945" s="153"/>
      <c r="Z1945" s="153"/>
      <c r="AA1945" s="153"/>
    </row>
    <row r="1946" spans="1:27">
      <c r="A1946" s="154"/>
      <c r="B1946" s="155"/>
      <c r="C1946" s="195"/>
      <c r="D1946" s="155"/>
      <c r="E1946" s="149"/>
      <c r="F1946" s="153"/>
      <c r="G1946" s="149"/>
      <c r="H1946" s="149"/>
      <c r="I1946" s="149"/>
      <c r="J1946" s="153"/>
      <c r="K1946" s="149"/>
      <c r="L1946" s="168"/>
      <c r="M1946" s="164"/>
      <c r="N1946" s="163"/>
      <c r="O1946" s="165"/>
      <c r="P1946" s="161"/>
      <c r="Q1946" s="196"/>
      <c r="R1946" s="153"/>
      <c r="S1946" s="153"/>
      <c r="T1946" s="153"/>
      <c r="U1946" s="153"/>
      <c r="V1946" s="153"/>
      <c r="W1946" s="153"/>
      <c r="X1946" s="153"/>
      <c r="Y1946" s="153"/>
      <c r="Z1946" s="153"/>
      <c r="AA1946" s="153"/>
    </row>
    <row r="1947" spans="1:27">
      <c r="A1947" s="154"/>
      <c r="B1947" s="155"/>
      <c r="C1947" s="195"/>
      <c r="D1947" s="155"/>
      <c r="E1947" s="149"/>
      <c r="F1947" s="153"/>
      <c r="G1947" s="149"/>
      <c r="H1947" s="149"/>
      <c r="I1947" s="149"/>
      <c r="J1947" s="153"/>
      <c r="K1947" s="149"/>
      <c r="L1947" s="168"/>
      <c r="M1947" s="164"/>
      <c r="N1947" s="163"/>
      <c r="O1947" s="165"/>
      <c r="P1947" s="161"/>
      <c r="Q1947" s="196"/>
      <c r="R1947" s="153"/>
      <c r="S1947" s="153"/>
      <c r="T1947" s="153"/>
      <c r="U1947" s="153"/>
      <c r="V1947" s="153"/>
      <c r="W1947" s="153"/>
      <c r="X1947" s="153"/>
      <c r="Y1947" s="153"/>
      <c r="Z1947" s="153"/>
      <c r="AA1947" s="153"/>
    </row>
    <row r="1948" spans="1:27">
      <c r="A1948" s="154"/>
      <c r="B1948" s="155"/>
      <c r="C1948" s="195"/>
      <c r="D1948" s="155"/>
      <c r="E1948" s="149"/>
      <c r="F1948" s="153"/>
      <c r="G1948" s="149"/>
      <c r="H1948" s="149"/>
      <c r="I1948" s="149"/>
      <c r="J1948" s="153"/>
      <c r="K1948" s="149"/>
      <c r="L1948" s="168"/>
      <c r="M1948" s="164"/>
      <c r="N1948" s="163"/>
      <c r="O1948" s="165"/>
      <c r="P1948" s="161"/>
      <c r="Q1948" s="196"/>
      <c r="R1948" s="153"/>
      <c r="S1948" s="153"/>
      <c r="T1948" s="153"/>
      <c r="U1948" s="153"/>
      <c r="V1948" s="153"/>
      <c r="W1948" s="153"/>
      <c r="X1948" s="153"/>
      <c r="Y1948" s="153"/>
      <c r="Z1948" s="153"/>
      <c r="AA1948" s="153"/>
    </row>
    <row r="1949" spans="1:27">
      <c r="A1949" s="154"/>
      <c r="B1949" s="155"/>
      <c r="C1949" s="195"/>
      <c r="D1949" s="155"/>
      <c r="E1949" s="149"/>
      <c r="F1949" s="153"/>
      <c r="G1949" s="149"/>
      <c r="H1949" s="149"/>
      <c r="I1949" s="149"/>
      <c r="J1949" s="153"/>
      <c r="K1949" s="149"/>
      <c r="L1949" s="168"/>
      <c r="M1949" s="164"/>
      <c r="N1949" s="163"/>
      <c r="O1949" s="165"/>
      <c r="P1949" s="161"/>
      <c r="Q1949" s="196"/>
      <c r="R1949" s="153"/>
      <c r="S1949" s="153"/>
      <c r="T1949" s="153"/>
      <c r="U1949" s="153"/>
      <c r="V1949" s="153"/>
      <c r="W1949" s="153"/>
      <c r="X1949" s="153"/>
      <c r="Y1949" s="153"/>
      <c r="Z1949" s="153"/>
      <c r="AA1949" s="153"/>
    </row>
    <row r="1950" spans="1:27">
      <c r="A1950" s="154"/>
      <c r="B1950" s="155"/>
      <c r="C1950" s="195"/>
      <c r="D1950" s="155"/>
      <c r="E1950" s="149"/>
      <c r="F1950" s="153"/>
      <c r="G1950" s="149"/>
      <c r="H1950" s="149"/>
      <c r="I1950" s="149"/>
      <c r="J1950" s="153"/>
      <c r="K1950" s="149"/>
      <c r="L1950" s="168"/>
      <c r="M1950" s="164"/>
      <c r="N1950" s="163"/>
      <c r="O1950" s="165"/>
      <c r="P1950" s="161"/>
      <c r="Q1950" s="196"/>
      <c r="R1950" s="153"/>
      <c r="S1950" s="153"/>
      <c r="T1950" s="153"/>
      <c r="U1950" s="153"/>
      <c r="V1950" s="153"/>
      <c r="W1950" s="153"/>
      <c r="X1950" s="153"/>
      <c r="Y1950" s="153"/>
      <c r="Z1950" s="153"/>
      <c r="AA1950" s="153"/>
    </row>
    <row r="1951" spans="1:27">
      <c r="A1951" s="154"/>
      <c r="B1951" s="155"/>
      <c r="C1951" s="195"/>
      <c r="D1951" s="155"/>
      <c r="E1951" s="149"/>
      <c r="F1951" s="153"/>
      <c r="G1951" s="149"/>
      <c r="H1951" s="149"/>
      <c r="I1951" s="149"/>
      <c r="J1951" s="153"/>
      <c r="K1951" s="149"/>
      <c r="L1951" s="168"/>
      <c r="M1951" s="164"/>
      <c r="N1951" s="163"/>
      <c r="O1951" s="165"/>
      <c r="P1951" s="161"/>
      <c r="Q1951" s="196"/>
      <c r="R1951" s="153"/>
      <c r="S1951" s="153"/>
      <c r="T1951" s="153"/>
      <c r="U1951" s="153"/>
      <c r="V1951" s="153"/>
      <c r="W1951" s="153"/>
      <c r="X1951" s="153"/>
      <c r="Y1951" s="153"/>
      <c r="Z1951" s="153"/>
      <c r="AA1951" s="153"/>
    </row>
    <row r="1952" spans="1:27">
      <c r="A1952" s="154"/>
      <c r="B1952" s="155"/>
      <c r="C1952" s="195"/>
      <c r="D1952" s="155"/>
      <c r="E1952" s="149"/>
      <c r="F1952" s="153"/>
      <c r="G1952" s="149"/>
      <c r="H1952" s="149"/>
      <c r="I1952" s="149"/>
      <c r="J1952" s="153"/>
      <c r="K1952" s="149"/>
      <c r="L1952" s="168"/>
      <c r="M1952" s="164"/>
      <c r="N1952" s="163"/>
      <c r="O1952" s="165"/>
      <c r="P1952" s="161"/>
      <c r="Q1952" s="196"/>
      <c r="R1952" s="153"/>
      <c r="S1952" s="153"/>
      <c r="T1952" s="153"/>
      <c r="U1952" s="153"/>
      <c r="V1952" s="153"/>
      <c r="W1952" s="153"/>
      <c r="X1952" s="153"/>
      <c r="Y1952" s="153"/>
      <c r="Z1952" s="153"/>
      <c r="AA1952" s="153"/>
    </row>
    <row r="1953" spans="1:27">
      <c r="A1953" s="154"/>
      <c r="B1953" s="155"/>
      <c r="C1953" s="195"/>
      <c r="D1953" s="155"/>
      <c r="E1953" s="149"/>
      <c r="F1953" s="153"/>
      <c r="G1953" s="149"/>
      <c r="H1953" s="149"/>
      <c r="I1953" s="149"/>
      <c r="J1953" s="153"/>
      <c r="K1953" s="149"/>
      <c r="L1953" s="168"/>
      <c r="M1953" s="164"/>
      <c r="N1953" s="163"/>
      <c r="O1953" s="165"/>
      <c r="P1953" s="161"/>
      <c r="Q1953" s="196"/>
      <c r="R1953" s="153"/>
      <c r="S1953" s="153"/>
      <c r="T1953" s="153"/>
      <c r="U1953" s="153"/>
      <c r="V1953" s="153"/>
      <c r="W1953" s="153"/>
      <c r="X1953" s="153"/>
      <c r="Y1953" s="153"/>
      <c r="Z1953" s="153"/>
      <c r="AA1953" s="153"/>
    </row>
    <row r="1954" spans="1:27">
      <c r="A1954" s="154"/>
      <c r="B1954" s="155"/>
      <c r="C1954" s="195"/>
      <c r="D1954" s="155"/>
      <c r="E1954" s="149"/>
      <c r="F1954" s="153"/>
      <c r="G1954" s="149"/>
      <c r="H1954" s="149"/>
      <c r="I1954" s="149"/>
      <c r="J1954" s="153"/>
      <c r="K1954" s="149"/>
      <c r="L1954" s="168"/>
      <c r="M1954" s="164"/>
      <c r="N1954" s="163"/>
      <c r="O1954" s="165"/>
      <c r="P1954" s="161"/>
      <c r="Q1954" s="196"/>
      <c r="R1954" s="153"/>
      <c r="S1954" s="153"/>
      <c r="T1954" s="153"/>
      <c r="U1954" s="153"/>
      <c r="V1954" s="153"/>
      <c r="W1954" s="153"/>
      <c r="X1954" s="153"/>
      <c r="Y1954" s="153"/>
      <c r="Z1954" s="153"/>
      <c r="AA1954" s="153"/>
    </row>
    <row r="1955" spans="1:27">
      <c r="A1955" s="154"/>
      <c r="B1955" s="155"/>
      <c r="C1955" s="195"/>
      <c r="D1955" s="155"/>
      <c r="E1955" s="149"/>
      <c r="F1955" s="153"/>
      <c r="G1955" s="149"/>
      <c r="H1955" s="149"/>
      <c r="I1955" s="149"/>
      <c r="J1955" s="153"/>
      <c r="K1955" s="149"/>
      <c r="L1955" s="168"/>
      <c r="M1955" s="164"/>
      <c r="N1955" s="163"/>
      <c r="O1955" s="165"/>
      <c r="P1955" s="161"/>
      <c r="Q1955" s="196"/>
      <c r="R1955" s="153"/>
      <c r="S1955" s="153"/>
      <c r="T1955" s="153"/>
      <c r="U1955" s="153"/>
      <c r="V1955" s="153"/>
      <c r="W1955" s="153"/>
      <c r="X1955" s="153"/>
      <c r="Y1955" s="153"/>
      <c r="Z1955" s="153"/>
      <c r="AA1955" s="153"/>
    </row>
    <row r="1956" spans="1:27">
      <c r="A1956" s="154"/>
      <c r="B1956" s="155"/>
      <c r="C1956" s="195"/>
      <c r="D1956" s="155"/>
      <c r="E1956" s="149"/>
      <c r="F1956" s="153"/>
      <c r="G1956" s="149"/>
      <c r="H1956" s="149"/>
      <c r="I1956" s="149"/>
      <c r="J1956" s="153"/>
      <c r="K1956" s="149"/>
      <c r="L1956" s="168"/>
      <c r="M1956" s="164"/>
      <c r="N1956" s="163"/>
      <c r="O1956" s="165"/>
      <c r="P1956" s="161"/>
      <c r="Q1956" s="196"/>
      <c r="R1956" s="153"/>
      <c r="S1956" s="153"/>
      <c r="T1956" s="153"/>
      <c r="U1956" s="153"/>
      <c r="V1956" s="153"/>
      <c r="W1956" s="153"/>
      <c r="X1956" s="153"/>
      <c r="Y1956" s="153"/>
      <c r="Z1956" s="153"/>
      <c r="AA1956" s="153"/>
    </row>
    <row r="1957" spans="1:27">
      <c r="A1957" s="154"/>
      <c r="B1957" s="155"/>
      <c r="C1957" s="195"/>
      <c r="D1957" s="155"/>
      <c r="E1957" s="149"/>
      <c r="F1957" s="153"/>
      <c r="G1957" s="149"/>
      <c r="H1957" s="149"/>
      <c r="I1957" s="149"/>
      <c r="J1957" s="153"/>
      <c r="K1957" s="149"/>
      <c r="L1957" s="168"/>
      <c r="M1957" s="164"/>
      <c r="N1957" s="163"/>
      <c r="O1957" s="165"/>
      <c r="P1957" s="161"/>
      <c r="Q1957" s="196"/>
      <c r="R1957" s="153"/>
      <c r="S1957" s="153"/>
      <c r="T1957" s="153"/>
      <c r="U1957" s="153"/>
      <c r="V1957" s="153"/>
      <c r="W1957" s="153"/>
      <c r="X1957" s="153"/>
      <c r="Y1957" s="153"/>
      <c r="Z1957" s="153"/>
      <c r="AA1957" s="153"/>
    </row>
    <row r="1958" spans="1:27">
      <c r="A1958" s="154"/>
      <c r="B1958" s="155"/>
      <c r="C1958" s="195"/>
      <c r="D1958" s="155"/>
      <c r="E1958" s="149"/>
      <c r="F1958" s="153"/>
      <c r="G1958" s="149"/>
      <c r="H1958" s="149"/>
      <c r="I1958" s="149"/>
      <c r="J1958" s="153"/>
      <c r="K1958" s="149"/>
      <c r="L1958" s="168"/>
      <c r="M1958" s="164"/>
      <c r="N1958" s="163"/>
      <c r="O1958" s="165"/>
      <c r="P1958" s="161"/>
      <c r="Q1958" s="196"/>
      <c r="R1958" s="153"/>
      <c r="S1958" s="153"/>
      <c r="T1958" s="153"/>
      <c r="U1958" s="153"/>
      <c r="V1958" s="153"/>
      <c r="W1958" s="153"/>
      <c r="X1958" s="153"/>
      <c r="Y1958" s="153"/>
      <c r="Z1958" s="153"/>
      <c r="AA1958" s="153"/>
    </row>
    <row r="1959" spans="1:27">
      <c r="A1959" s="154"/>
      <c r="B1959" s="155"/>
      <c r="C1959" s="195"/>
      <c r="D1959" s="155"/>
      <c r="E1959" s="149"/>
      <c r="F1959" s="153"/>
      <c r="G1959" s="149"/>
      <c r="H1959" s="149"/>
      <c r="I1959" s="149"/>
      <c r="J1959" s="153"/>
      <c r="K1959" s="149"/>
      <c r="L1959" s="168"/>
      <c r="M1959" s="164"/>
      <c r="N1959" s="163"/>
      <c r="O1959" s="165"/>
      <c r="P1959" s="161"/>
      <c r="Q1959" s="196"/>
      <c r="R1959" s="153"/>
      <c r="S1959" s="153"/>
      <c r="T1959" s="153"/>
      <c r="U1959" s="153"/>
      <c r="V1959" s="153"/>
      <c r="W1959" s="153"/>
      <c r="X1959" s="153"/>
      <c r="Y1959" s="153"/>
      <c r="Z1959" s="153"/>
      <c r="AA1959" s="153"/>
    </row>
    <row r="1960" spans="1:27">
      <c r="A1960" s="154"/>
      <c r="B1960" s="155"/>
      <c r="C1960" s="195"/>
      <c r="D1960" s="155"/>
      <c r="E1960" s="149"/>
      <c r="F1960" s="153"/>
      <c r="G1960" s="149"/>
      <c r="H1960" s="149"/>
      <c r="I1960" s="149"/>
      <c r="J1960" s="153"/>
      <c r="K1960" s="149"/>
      <c r="L1960" s="168"/>
      <c r="M1960" s="164"/>
      <c r="N1960" s="163"/>
      <c r="O1960" s="165"/>
      <c r="P1960" s="161"/>
      <c r="Q1960" s="196"/>
      <c r="R1960" s="153"/>
      <c r="S1960" s="153"/>
      <c r="T1960" s="153"/>
      <c r="U1960" s="153"/>
      <c r="V1960" s="153"/>
      <c r="W1960" s="153"/>
      <c r="X1960" s="153"/>
      <c r="Y1960" s="153"/>
      <c r="Z1960" s="153"/>
      <c r="AA1960" s="153"/>
    </row>
    <row r="1961" spans="1:27">
      <c r="A1961" s="154"/>
      <c r="B1961" s="155"/>
      <c r="C1961" s="195"/>
      <c r="D1961" s="155"/>
      <c r="E1961" s="149"/>
      <c r="F1961" s="153"/>
      <c r="G1961" s="149"/>
      <c r="H1961" s="149"/>
      <c r="I1961" s="149"/>
      <c r="J1961" s="153"/>
      <c r="K1961" s="149"/>
      <c r="L1961" s="168"/>
      <c r="M1961" s="164"/>
      <c r="N1961" s="163"/>
      <c r="O1961" s="165"/>
      <c r="P1961" s="161"/>
      <c r="Q1961" s="196"/>
      <c r="R1961" s="153"/>
      <c r="S1961" s="153"/>
      <c r="T1961" s="153"/>
      <c r="U1961" s="153"/>
      <c r="V1961" s="153"/>
      <c r="W1961" s="153"/>
      <c r="X1961" s="153"/>
      <c r="Y1961" s="153"/>
      <c r="Z1961" s="153"/>
      <c r="AA1961" s="153"/>
    </row>
    <row r="1962" spans="1:27">
      <c r="A1962" s="154"/>
      <c r="B1962" s="155"/>
      <c r="C1962" s="195"/>
      <c r="D1962" s="155"/>
      <c r="E1962" s="149"/>
      <c r="F1962" s="153"/>
      <c r="G1962" s="149"/>
      <c r="H1962" s="149"/>
      <c r="I1962" s="149"/>
      <c r="J1962" s="153"/>
      <c r="K1962" s="149"/>
      <c r="L1962" s="168"/>
      <c r="M1962" s="164"/>
      <c r="N1962" s="163"/>
      <c r="O1962" s="165"/>
      <c r="P1962" s="161"/>
      <c r="Q1962" s="196"/>
      <c r="R1962" s="153"/>
      <c r="S1962" s="153"/>
      <c r="T1962" s="153"/>
      <c r="U1962" s="153"/>
      <c r="V1962" s="153"/>
      <c r="W1962" s="153"/>
      <c r="X1962" s="153"/>
      <c r="Y1962" s="153"/>
      <c r="Z1962" s="153"/>
      <c r="AA1962" s="153"/>
    </row>
    <row r="1963" spans="1:27">
      <c r="A1963" s="154"/>
      <c r="B1963" s="155"/>
      <c r="C1963" s="195"/>
      <c r="D1963" s="155"/>
      <c r="E1963" s="149"/>
      <c r="F1963" s="153"/>
      <c r="G1963" s="149"/>
      <c r="H1963" s="149"/>
      <c r="I1963" s="149"/>
      <c r="J1963" s="153"/>
      <c r="K1963" s="149"/>
      <c r="L1963" s="168"/>
      <c r="M1963" s="164"/>
      <c r="N1963" s="163"/>
      <c r="O1963" s="165"/>
      <c r="P1963" s="161"/>
      <c r="Q1963" s="196"/>
      <c r="R1963" s="153"/>
      <c r="S1963" s="153"/>
      <c r="T1963" s="153"/>
      <c r="U1963" s="153"/>
      <c r="V1963" s="153"/>
      <c r="W1963" s="153"/>
      <c r="X1963" s="153"/>
      <c r="Y1963" s="153"/>
      <c r="Z1963" s="153"/>
      <c r="AA1963" s="153"/>
    </row>
    <row r="1964" spans="1:27">
      <c r="A1964" s="154"/>
      <c r="B1964" s="155"/>
      <c r="C1964" s="195"/>
      <c r="D1964" s="155"/>
      <c r="E1964" s="149"/>
      <c r="F1964" s="153"/>
      <c r="G1964" s="149"/>
      <c r="H1964" s="149"/>
      <c r="I1964" s="149"/>
      <c r="J1964" s="153"/>
      <c r="K1964" s="149"/>
      <c r="L1964" s="168"/>
      <c r="M1964" s="164"/>
      <c r="N1964" s="163"/>
      <c r="O1964" s="165"/>
      <c r="P1964" s="161"/>
      <c r="Q1964" s="196"/>
      <c r="R1964" s="153"/>
      <c r="S1964" s="153"/>
      <c r="T1964" s="153"/>
      <c r="U1964" s="153"/>
      <c r="V1964" s="153"/>
      <c r="W1964" s="153"/>
      <c r="X1964" s="153"/>
      <c r="Y1964" s="153"/>
      <c r="Z1964" s="153"/>
      <c r="AA1964" s="153"/>
    </row>
    <row r="1965" spans="1:27">
      <c r="A1965" s="154"/>
      <c r="B1965" s="155"/>
      <c r="C1965" s="195"/>
      <c r="D1965" s="155"/>
      <c r="E1965" s="149"/>
      <c r="F1965" s="153"/>
      <c r="G1965" s="149"/>
      <c r="H1965" s="149"/>
      <c r="I1965" s="149"/>
      <c r="J1965" s="153"/>
      <c r="K1965" s="149"/>
      <c r="L1965" s="168"/>
      <c r="M1965" s="164"/>
      <c r="N1965" s="163"/>
      <c r="O1965" s="165"/>
      <c r="P1965" s="161"/>
      <c r="Q1965" s="196"/>
      <c r="R1965" s="153"/>
      <c r="S1965" s="153"/>
      <c r="T1965" s="153"/>
      <c r="U1965" s="153"/>
      <c r="V1965" s="153"/>
      <c r="W1965" s="153"/>
      <c r="X1965" s="153"/>
      <c r="Y1965" s="153"/>
      <c r="Z1965" s="153"/>
      <c r="AA1965" s="153"/>
    </row>
    <row r="1966" spans="1:27">
      <c r="A1966" s="154"/>
      <c r="B1966" s="155"/>
      <c r="C1966" s="195"/>
      <c r="D1966" s="155"/>
      <c r="E1966" s="149"/>
      <c r="F1966" s="153"/>
      <c r="G1966" s="149"/>
      <c r="H1966" s="149"/>
      <c r="I1966" s="149"/>
      <c r="J1966" s="153"/>
      <c r="K1966" s="149"/>
      <c r="L1966" s="168"/>
      <c r="M1966" s="164"/>
      <c r="N1966" s="163"/>
      <c r="O1966" s="165"/>
      <c r="P1966" s="161"/>
      <c r="Q1966" s="196"/>
      <c r="R1966" s="153"/>
      <c r="S1966" s="153"/>
      <c r="T1966" s="153"/>
      <c r="U1966" s="153"/>
      <c r="V1966" s="153"/>
      <c r="W1966" s="153"/>
      <c r="X1966" s="153"/>
      <c r="Y1966" s="153"/>
      <c r="Z1966" s="153"/>
      <c r="AA1966" s="153"/>
    </row>
    <row r="1967" spans="1:27">
      <c r="A1967" s="154"/>
      <c r="B1967" s="155"/>
      <c r="C1967" s="195"/>
      <c r="D1967" s="155"/>
      <c r="E1967" s="149"/>
      <c r="F1967" s="153"/>
      <c r="G1967" s="149"/>
      <c r="H1967" s="149"/>
      <c r="I1967" s="149"/>
      <c r="J1967" s="153"/>
      <c r="K1967" s="149"/>
      <c r="L1967" s="168"/>
      <c r="M1967" s="164"/>
      <c r="N1967" s="163"/>
      <c r="O1967" s="165"/>
      <c r="P1967" s="161"/>
      <c r="Q1967" s="196"/>
      <c r="R1967" s="153"/>
      <c r="S1967" s="153"/>
      <c r="T1967" s="153"/>
      <c r="U1967" s="153"/>
      <c r="V1967" s="153"/>
      <c r="W1967" s="153"/>
      <c r="X1967" s="153"/>
      <c r="Y1967" s="153"/>
      <c r="Z1967" s="153"/>
      <c r="AA1967" s="153"/>
    </row>
    <row r="1968" spans="1:27">
      <c r="A1968" s="154"/>
      <c r="B1968" s="155"/>
      <c r="C1968" s="195"/>
      <c r="D1968" s="155"/>
      <c r="E1968" s="149"/>
      <c r="F1968" s="153"/>
      <c r="G1968" s="149"/>
      <c r="H1968" s="149"/>
      <c r="I1968" s="149"/>
      <c r="J1968" s="153"/>
      <c r="K1968" s="149"/>
      <c r="L1968" s="168"/>
      <c r="M1968" s="164"/>
      <c r="N1968" s="163"/>
      <c r="O1968" s="165"/>
      <c r="P1968" s="161"/>
      <c r="Q1968" s="196"/>
      <c r="R1968" s="153"/>
      <c r="S1968" s="153"/>
      <c r="T1968" s="153"/>
      <c r="U1968" s="153"/>
      <c r="V1968" s="153"/>
      <c r="W1968" s="153"/>
      <c r="X1968" s="153"/>
      <c r="Y1968" s="153"/>
      <c r="Z1968" s="153"/>
      <c r="AA1968" s="153"/>
    </row>
    <row r="1969" spans="1:27">
      <c r="A1969" s="154"/>
      <c r="B1969" s="155"/>
      <c r="C1969" s="195"/>
      <c r="D1969" s="155"/>
      <c r="E1969" s="149"/>
      <c r="F1969" s="153"/>
      <c r="G1969" s="149"/>
      <c r="H1969" s="149"/>
      <c r="I1969" s="149"/>
      <c r="J1969" s="153"/>
      <c r="K1969" s="149"/>
      <c r="L1969" s="168"/>
      <c r="M1969" s="164"/>
      <c r="N1969" s="163"/>
      <c r="O1969" s="165"/>
      <c r="P1969" s="161"/>
      <c r="Q1969" s="196"/>
      <c r="R1969" s="153"/>
      <c r="S1969" s="153"/>
      <c r="T1969" s="153"/>
      <c r="U1969" s="153"/>
      <c r="V1969" s="153"/>
      <c r="W1969" s="153"/>
      <c r="X1969" s="153"/>
      <c r="Y1969" s="153"/>
      <c r="Z1969" s="153"/>
      <c r="AA1969" s="153"/>
    </row>
    <row r="1970" spans="1:27">
      <c r="A1970" s="154"/>
      <c r="B1970" s="155"/>
      <c r="C1970" s="195"/>
      <c r="D1970" s="155"/>
      <c r="E1970" s="149"/>
      <c r="F1970" s="153"/>
      <c r="G1970" s="149"/>
      <c r="H1970" s="149"/>
      <c r="I1970" s="149"/>
      <c r="J1970" s="153"/>
      <c r="K1970" s="149"/>
      <c r="L1970" s="168"/>
      <c r="M1970" s="164"/>
      <c r="N1970" s="163"/>
      <c r="O1970" s="165"/>
      <c r="P1970" s="161"/>
      <c r="Q1970" s="196"/>
      <c r="R1970" s="153"/>
      <c r="S1970" s="153"/>
      <c r="T1970" s="153"/>
      <c r="U1970" s="153"/>
      <c r="V1970" s="153"/>
      <c r="W1970" s="153"/>
      <c r="X1970" s="153"/>
      <c r="Y1970" s="153"/>
      <c r="Z1970" s="153"/>
      <c r="AA1970" s="153"/>
    </row>
    <row r="1971" spans="1:27">
      <c r="A1971" s="154"/>
      <c r="B1971" s="155"/>
      <c r="C1971" s="195"/>
      <c r="D1971" s="155"/>
      <c r="E1971" s="149"/>
      <c r="F1971" s="153"/>
      <c r="G1971" s="149"/>
      <c r="H1971" s="149"/>
      <c r="I1971" s="149"/>
      <c r="J1971" s="153"/>
      <c r="K1971" s="149"/>
      <c r="L1971" s="168"/>
      <c r="M1971" s="164"/>
      <c r="N1971" s="163"/>
      <c r="O1971" s="165"/>
      <c r="P1971" s="161"/>
      <c r="Q1971" s="196"/>
      <c r="R1971" s="153"/>
      <c r="S1971" s="153"/>
      <c r="T1971" s="153"/>
      <c r="U1971" s="153"/>
      <c r="V1971" s="153"/>
      <c r="W1971" s="153"/>
      <c r="X1971" s="153"/>
      <c r="Y1971" s="153"/>
      <c r="Z1971" s="153"/>
      <c r="AA1971" s="153"/>
    </row>
    <row r="1972" spans="1:27">
      <c r="A1972" s="154"/>
      <c r="B1972" s="155"/>
      <c r="C1972" s="195"/>
      <c r="D1972" s="155"/>
      <c r="E1972" s="149"/>
      <c r="F1972" s="153"/>
      <c r="G1972" s="149"/>
      <c r="H1972" s="149"/>
      <c r="I1972" s="149"/>
      <c r="J1972" s="153"/>
      <c r="K1972" s="149"/>
      <c r="L1972" s="168"/>
      <c r="M1972" s="164"/>
      <c r="N1972" s="163"/>
      <c r="O1972" s="165"/>
      <c r="P1972" s="161"/>
      <c r="Q1972" s="196"/>
      <c r="R1972" s="153"/>
      <c r="S1972" s="153"/>
      <c r="T1972" s="153"/>
      <c r="U1972" s="153"/>
      <c r="V1972" s="153"/>
      <c r="W1972" s="153"/>
      <c r="X1972" s="153"/>
      <c r="Y1972" s="153"/>
      <c r="Z1972" s="153"/>
      <c r="AA1972" s="153"/>
    </row>
    <row r="1973" spans="1:27">
      <c r="A1973" s="154"/>
      <c r="B1973" s="155"/>
      <c r="C1973" s="195"/>
      <c r="D1973" s="155"/>
      <c r="E1973" s="149"/>
      <c r="F1973" s="153"/>
      <c r="G1973" s="149"/>
      <c r="H1973" s="149"/>
      <c r="I1973" s="149"/>
      <c r="J1973" s="153"/>
      <c r="K1973" s="149"/>
      <c r="L1973" s="168"/>
      <c r="M1973" s="164"/>
      <c r="N1973" s="163"/>
      <c r="O1973" s="165"/>
      <c r="P1973" s="161"/>
      <c r="Q1973" s="196"/>
      <c r="R1973" s="153"/>
      <c r="S1973" s="153"/>
      <c r="T1973" s="153"/>
      <c r="U1973" s="153"/>
      <c r="V1973" s="153"/>
      <c r="W1973" s="153"/>
      <c r="X1973" s="153"/>
      <c r="Y1973" s="153"/>
      <c r="Z1973" s="153"/>
      <c r="AA1973" s="153"/>
    </row>
    <row r="1974" spans="1:27">
      <c r="A1974" s="154"/>
      <c r="B1974" s="155"/>
      <c r="C1974" s="195"/>
      <c r="D1974" s="155"/>
      <c r="E1974" s="149"/>
      <c r="F1974" s="153"/>
      <c r="G1974" s="149"/>
      <c r="H1974" s="149"/>
      <c r="I1974" s="149"/>
      <c r="J1974" s="153"/>
      <c r="K1974" s="149"/>
      <c r="L1974" s="168"/>
      <c r="M1974" s="164"/>
      <c r="N1974" s="163"/>
      <c r="O1974" s="165"/>
      <c r="P1974" s="161"/>
      <c r="Q1974" s="196"/>
      <c r="R1974" s="153"/>
      <c r="S1974" s="153"/>
      <c r="T1974" s="153"/>
      <c r="U1974" s="153"/>
      <c r="V1974" s="153"/>
      <c r="W1974" s="153"/>
      <c r="X1974" s="153"/>
      <c r="Y1974" s="153"/>
      <c r="Z1974" s="153"/>
      <c r="AA1974" s="153"/>
    </row>
    <row r="1975" spans="1:27">
      <c r="A1975" s="154"/>
      <c r="B1975" s="155"/>
      <c r="C1975" s="195"/>
      <c r="D1975" s="155"/>
      <c r="E1975" s="149"/>
      <c r="F1975" s="153"/>
      <c r="G1975" s="149"/>
      <c r="H1975" s="149"/>
      <c r="I1975" s="149"/>
      <c r="J1975" s="153"/>
      <c r="K1975" s="149"/>
      <c r="L1975" s="168"/>
      <c r="M1975" s="164"/>
      <c r="N1975" s="163"/>
      <c r="O1975" s="165"/>
      <c r="P1975" s="161"/>
      <c r="Q1975" s="196"/>
      <c r="R1975" s="153"/>
      <c r="S1975" s="153"/>
      <c r="T1975" s="153"/>
      <c r="U1975" s="153"/>
      <c r="V1975" s="153"/>
      <c r="W1975" s="153"/>
      <c r="X1975" s="153"/>
      <c r="Y1975" s="153"/>
      <c r="Z1975" s="153"/>
      <c r="AA1975" s="153"/>
    </row>
    <row r="1976" spans="1:27">
      <c r="A1976" s="154"/>
      <c r="B1976" s="155"/>
      <c r="C1976" s="195"/>
      <c r="D1976" s="155"/>
      <c r="E1976" s="149"/>
      <c r="F1976" s="153"/>
      <c r="G1976" s="149"/>
      <c r="H1976" s="149"/>
      <c r="I1976" s="149"/>
      <c r="J1976" s="153"/>
      <c r="K1976" s="149"/>
      <c r="L1976" s="168"/>
      <c r="M1976" s="164"/>
      <c r="N1976" s="163"/>
      <c r="O1976" s="165"/>
      <c r="P1976" s="161"/>
      <c r="Q1976" s="196"/>
      <c r="R1976" s="153"/>
      <c r="S1976" s="153"/>
      <c r="T1976" s="153"/>
      <c r="U1976" s="153"/>
      <c r="V1976" s="153"/>
      <c r="W1976" s="153"/>
      <c r="X1976" s="153"/>
      <c r="Y1976" s="153"/>
      <c r="Z1976" s="153"/>
      <c r="AA1976" s="153"/>
    </row>
    <row r="1977" spans="1:27">
      <c r="A1977" s="154"/>
      <c r="B1977" s="155"/>
      <c r="C1977" s="195"/>
      <c r="D1977" s="155"/>
      <c r="E1977" s="149"/>
      <c r="F1977" s="153"/>
      <c r="G1977" s="149"/>
      <c r="H1977" s="149"/>
      <c r="I1977" s="149"/>
      <c r="J1977" s="153"/>
      <c r="K1977" s="149"/>
      <c r="L1977" s="168"/>
      <c r="M1977" s="164"/>
      <c r="N1977" s="163"/>
      <c r="O1977" s="165"/>
      <c r="P1977" s="161"/>
      <c r="Q1977" s="196"/>
      <c r="R1977" s="153"/>
      <c r="S1977" s="153"/>
      <c r="T1977" s="153"/>
      <c r="U1977" s="153"/>
      <c r="V1977" s="153"/>
      <c r="W1977" s="153"/>
      <c r="X1977" s="153"/>
      <c r="Y1977" s="153"/>
      <c r="Z1977" s="153"/>
      <c r="AA1977" s="153"/>
    </row>
    <row r="1978" spans="1:27">
      <c r="A1978" s="154"/>
      <c r="B1978" s="155"/>
      <c r="C1978" s="195"/>
      <c r="D1978" s="155"/>
      <c r="E1978" s="149"/>
      <c r="F1978" s="153"/>
      <c r="G1978" s="149"/>
      <c r="H1978" s="149"/>
      <c r="I1978" s="149"/>
      <c r="J1978" s="153"/>
      <c r="K1978" s="149"/>
      <c r="L1978" s="168"/>
      <c r="M1978" s="164"/>
      <c r="N1978" s="163"/>
      <c r="O1978" s="165"/>
      <c r="P1978" s="161"/>
      <c r="Q1978" s="196"/>
      <c r="R1978" s="153"/>
      <c r="S1978" s="153"/>
      <c r="T1978" s="153"/>
      <c r="U1978" s="153"/>
      <c r="V1978" s="153"/>
      <c r="W1978" s="153"/>
      <c r="X1978" s="153"/>
      <c r="Y1978" s="153"/>
      <c r="Z1978" s="153"/>
      <c r="AA1978" s="153"/>
    </row>
    <row r="1979" spans="1:27">
      <c r="A1979" s="154"/>
      <c r="B1979" s="155"/>
      <c r="C1979" s="195"/>
      <c r="D1979" s="155"/>
      <c r="E1979" s="149"/>
      <c r="F1979" s="153"/>
      <c r="G1979" s="149"/>
      <c r="H1979" s="149"/>
      <c r="I1979" s="149"/>
      <c r="J1979" s="153"/>
      <c r="K1979" s="149"/>
      <c r="L1979" s="168"/>
      <c r="M1979" s="164"/>
      <c r="N1979" s="163"/>
      <c r="O1979" s="165"/>
      <c r="P1979" s="161"/>
      <c r="Q1979" s="196"/>
      <c r="R1979" s="153"/>
      <c r="S1979" s="153"/>
      <c r="T1979" s="153"/>
      <c r="U1979" s="153"/>
      <c r="V1979" s="153"/>
      <c r="W1979" s="153"/>
      <c r="X1979" s="153"/>
      <c r="Y1979" s="153"/>
      <c r="Z1979" s="153"/>
      <c r="AA1979" s="153"/>
    </row>
    <row r="1980" spans="1:27">
      <c r="A1980" s="154"/>
      <c r="B1980" s="155"/>
      <c r="C1980" s="195"/>
      <c r="D1980" s="155"/>
      <c r="E1980" s="149"/>
      <c r="F1980" s="153"/>
      <c r="G1980" s="149"/>
      <c r="H1980" s="149"/>
      <c r="I1980" s="149"/>
      <c r="J1980" s="153"/>
      <c r="K1980" s="149"/>
      <c r="L1980" s="168"/>
      <c r="M1980" s="164"/>
      <c r="N1980" s="163"/>
      <c r="O1980" s="165"/>
      <c r="P1980" s="161"/>
      <c r="Q1980" s="196"/>
      <c r="R1980" s="153"/>
      <c r="S1980" s="153"/>
      <c r="T1980" s="153"/>
      <c r="U1980" s="153"/>
      <c r="V1980" s="153"/>
      <c r="W1980" s="153"/>
      <c r="X1980" s="153"/>
      <c r="Y1980" s="153"/>
      <c r="Z1980" s="153"/>
      <c r="AA1980" s="153"/>
    </row>
    <row r="1981" spans="1:27">
      <c r="A1981" s="154"/>
      <c r="B1981" s="155"/>
      <c r="C1981" s="195"/>
      <c r="D1981" s="155"/>
      <c r="E1981" s="149"/>
      <c r="F1981" s="153"/>
      <c r="G1981" s="149"/>
      <c r="H1981" s="149"/>
      <c r="I1981" s="149"/>
      <c r="J1981" s="153"/>
      <c r="K1981" s="149"/>
      <c r="L1981" s="168"/>
      <c r="M1981" s="164"/>
      <c r="N1981" s="163"/>
      <c r="O1981" s="165"/>
      <c r="P1981" s="161"/>
      <c r="Q1981" s="196"/>
      <c r="R1981" s="153"/>
      <c r="S1981" s="153"/>
      <c r="T1981" s="153"/>
      <c r="U1981" s="153"/>
      <c r="V1981" s="153"/>
      <c r="W1981" s="153"/>
      <c r="X1981" s="153"/>
      <c r="Y1981" s="153"/>
      <c r="Z1981" s="153"/>
      <c r="AA1981" s="153"/>
    </row>
    <row r="1982" spans="1:27">
      <c r="A1982" s="154"/>
      <c r="B1982" s="155"/>
      <c r="C1982" s="195"/>
      <c r="D1982" s="155"/>
      <c r="E1982" s="149"/>
      <c r="F1982" s="153"/>
      <c r="G1982" s="149"/>
      <c r="H1982" s="149"/>
      <c r="I1982" s="149"/>
      <c r="J1982" s="153"/>
      <c r="K1982" s="149"/>
      <c r="L1982" s="168"/>
      <c r="M1982" s="164"/>
      <c r="N1982" s="163"/>
      <c r="O1982" s="165"/>
      <c r="P1982" s="161"/>
      <c r="Q1982" s="196"/>
      <c r="R1982" s="153"/>
      <c r="S1982" s="153"/>
      <c r="T1982" s="153"/>
      <c r="U1982" s="153"/>
      <c r="V1982" s="153"/>
      <c r="W1982" s="153"/>
      <c r="X1982" s="153"/>
      <c r="Y1982" s="153"/>
      <c r="Z1982" s="153"/>
      <c r="AA1982" s="153"/>
    </row>
    <row r="1983" spans="1:27">
      <c r="A1983" s="154"/>
      <c r="B1983" s="155"/>
      <c r="C1983" s="195"/>
      <c r="D1983" s="155"/>
      <c r="E1983" s="149"/>
      <c r="F1983" s="153"/>
      <c r="G1983" s="149"/>
      <c r="H1983" s="149"/>
      <c r="I1983" s="149"/>
      <c r="J1983" s="153"/>
      <c r="K1983" s="149"/>
      <c r="L1983" s="168"/>
      <c r="M1983" s="164"/>
      <c r="N1983" s="163"/>
      <c r="O1983" s="165"/>
      <c r="P1983" s="161"/>
      <c r="Q1983" s="196"/>
      <c r="R1983" s="153"/>
      <c r="S1983" s="153"/>
      <c r="T1983" s="153"/>
      <c r="U1983" s="153"/>
      <c r="V1983" s="153"/>
      <c r="W1983" s="153"/>
      <c r="X1983" s="153"/>
      <c r="Y1983" s="153"/>
      <c r="Z1983" s="153"/>
      <c r="AA1983" s="153"/>
    </row>
    <row r="1984" spans="1:27">
      <c r="A1984" s="154"/>
      <c r="B1984" s="155"/>
      <c r="C1984" s="195"/>
      <c r="D1984" s="155"/>
      <c r="E1984" s="149"/>
      <c r="F1984" s="153"/>
      <c r="G1984" s="149"/>
      <c r="H1984" s="149"/>
      <c r="I1984" s="149"/>
      <c r="J1984" s="153"/>
      <c r="K1984" s="149"/>
      <c r="L1984" s="168"/>
      <c r="M1984" s="164"/>
      <c r="N1984" s="163"/>
      <c r="O1984" s="165"/>
      <c r="P1984" s="161"/>
      <c r="Q1984" s="196"/>
      <c r="R1984" s="153"/>
      <c r="S1984" s="153"/>
      <c r="T1984" s="153"/>
      <c r="U1984" s="153"/>
      <c r="V1984" s="153"/>
      <c r="W1984" s="153"/>
      <c r="X1984" s="153"/>
      <c r="Y1984" s="153"/>
      <c r="Z1984" s="153"/>
      <c r="AA1984" s="153"/>
    </row>
    <row r="1985" spans="1:27">
      <c r="A1985" s="154"/>
      <c r="B1985" s="155"/>
      <c r="C1985" s="195"/>
      <c r="D1985" s="155"/>
      <c r="E1985" s="149"/>
      <c r="F1985" s="153"/>
      <c r="G1985" s="149"/>
      <c r="H1985" s="149"/>
      <c r="I1985" s="149"/>
      <c r="J1985" s="153"/>
      <c r="K1985" s="149"/>
      <c r="L1985" s="168"/>
      <c r="M1985" s="164"/>
      <c r="N1985" s="163"/>
      <c r="O1985" s="165"/>
      <c r="P1985" s="161"/>
      <c r="Q1985" s="196"/>
      <c r="R1985" s="153"/>
      <c r="S1985" s="153"/>
      <c r="T1985" s="153"/>
      <c r="U1985" s="153"/>
      <c r="V1985" s="153"/>
      <c r="W1985" s="153"/>
      <c r="X1985" s="153"/>
      <c r="Y1985" s="153"/>
      <c r="Z1985" s="153"/>
      <c r="AA1985" s="153"/>
    </row>
    <row r="1986" spans="1:27">
      <c r="A1986" s="154"/>
      <c r="B1986" s="155"/>
      <c r="C1986" s="195"/>
      <c r="D1986" s="155"/>
      <c r="E1986" s="149"/>
      <c r="F1986" s="153"/>
      <c r="G1986" s="149"/>
      <c r="H1986" s="149"/>
      <c r="I1986" s="149"/>
      <c r="J1986" s="153"/>
      <c r="K1986" s="149"/>
      <c r="L1986" s="168"/>
      <c r="M1986" s="164"/>
      <c r="N1986" s="163"/>
      <c r="O1986" s="165"/>
      <c r="P1986" s="161"/>
      <c r="Q1986" s="196"/>
      <c r="R1986" s="153"/>
      <c r="S1986" s="153"/>
      <c r="T1986" s="153"/>
      <c r="U1986" s="153"/>
      <c r="V1986" s="153"/>
      <c r="W1986" s="153"/>
      <c r="X1986" s="153"/>
      <c r="Y1986" s="153"/>
      <c r="Z1986" s="153"/>
      <c r="AA1986" s="153"/>
    </row>
    <row r="1987" spans="1:27">
      <c r="A1987" s="154"/>
      <c r="B1987" s="155"/>
      <c r="C1987" s="195"/>
      <c r="D1987" s="155"/>
      <c r="E1987" s="149"/>
      <c r="F1987" s="153"/>
      <c r="G1987" s="149"/>
      <c r="H1987" s="149"/>
      <c r="I1987" s="149"/>
      <c r="J1987" s="153"/>
      <c r="K1987" s="149"/>
      <c r="L1987" s="168"/>
      <c r="M1987" s="164"/>
      <c r="N1987" s="163"/>
      <c r="O1987" s="165"/>
      <c r="P1987" s="161"/>
      <c r="Q1987" s="196"/>
      <c r="R1987" s="153"/>
      <c r="S1987" s="153"/>
      <c r="T1987" s="153"/>
      <c r="U1987" s="153"/>
      <c r="V1987" s="153"/>
      <c r="W1987" s="153"/>
      <c r="X1987" s="153"/>
      <c r="Y1987" s="153"/>
      <c r="Z1987" s="153"/>
      <c r="AA1987" s="153"/>
    </row>
    <row r="1988" spans="1:27">
      <c r="A1988" s="154"/>
      <c r="B1988" s="155"/>
      <c r="C1988" s="195"/>
      <c r="D1988" s="155"/>
      <c r="E1988" s="149"/>
      <c r="F1988" s="153"/>
      <c r="G1988" s="149"/>
      <c r="H1988" s="149"/>
      <c r="I1988" s="149"/>
      <c r="J1988" s="153"/>
      <c r="K1988" s="149"/>
      <c r="L1988" s="168"/>
      <c r="M1988" s="164"/>
      <c r="N1988" s="163"/>
      <c r="O1988" s="165"/>
      <c r="P1988" s="161"/>
      <c r="Q1988" s="196"/>
      <c r="R1988" s="153"/>
      <c r="S1988" s="153"/>
      <c r="T1988" s="153"/>
      <c r="U1988" s="153"/>
      <c r="V1988" s="153"/>
      <c r="W1988" s="153"/>
      <c r="X1988" s="153"/>
      <c r="Y1988" s="153"/>
      <c r="Z1988" s="153"/>
      <c r="AA1988" s="153"/>
    </row>
    <row r="1989" spans="1:27">
      <c r="A1989" s="154"/>
      <c r="B1989" s="155"/>
      <c r="C1989" s="195"/>
      <c r="D1989" s="155"/>
      <c r="E1989" s="149"/>
      <c r="F1989" s="153"/>
      <c r="G1989" s="149"/>
      <c r="H1989" s="149"/>
      <c r="I1989" s="149"/>
      <c r="J1989" s="153"/>
      <c r="K1989" s="149"/>
      <c r="L1989" s="168"/>
      <c r="M1989" s="164"/>
      <c r="N1989" s="163"/>
      <c r="O1989" s="165"/>
      <c r="P1989" s="161"/>
      <c r="Q1989" s="196"/>
      <c r="R1989" s="153"/>
      <c r="S1989" s="153"/>
      <c r="T1989" s="153"/>
      <c r="U1989" s="153"/>
      <c r="V1989" s="153"/>
      <c r="W1989" s="153"/>
      <c r="X1989" s="153"/>
      <c r="Y1989" s="153"/>
      <c r="Z1989" s="153"/>
      <c r="AA1989" s="153"/>
    </row>
    <row r="1990" spans="1:27">
      <c r="A1990" s="154"/>
      <c r="B1990" s="155"/>
      <c r="C1990" s="195"/>
      <c r="D1990" s="155"/>
      <c r="E1990" s="149"/>
      <c r="F1990" s="153"/>
      <c r="G1990" s="149"/>
      <c r="H1990" s="149"/>
      <c r="I1990" s="149"/>
      <c r="J1990" s="153"/>
      <c r="K1990" s="149"/>
      <c r="L1990" s="168"/>
      <c r="M1990" s="164"/>
      <c r="N1990" s="163"/>
      <c r="O1990" s="165"/>
      <c r="P1990" s="161"/>
      <c r="Q1990" s="196"/>
      <c r="R1990" s="153"/>
      <c r="S1990" s="153"/>
      <c r="T1990" s="153"/>
      <c r="U1990" s="153"/>
      <c r="V1990" s="153"/>
      <c r="W1990" s="153"/>
      <c r="X1990" s="153"/>
      <c r="Y1990" s="153"/>
      <c r="Z1990" s="153"/>
      <c r="AA1990" s="153"/>
    </row>
    <row r="1991" spans="1:27">
      <c r="A1991" s="154"/>
      <c r="B1991" s="155"/>
      <c r="C1991" s="195"/>
      <c r="D1991" s="155"/>
      <c r="E1991" s="149"/>
      <c r="F1991" s="153"/>
      <c r="G1991" s="149"/>
      <c r="H1991" s="149"/>
      <c r="I1991" s="149"/>
      <c r="J1991" s="153"/>
      <c r="K1991" s="149"/>
      <c r="L1991" s="168"/>
      <c r="M1991" s="164"/>
      <c r="N1991" s="163"/>
      <c r="O1991" s="165"/>
      <c r="P1991" s="161"/>
      <c r="Q1991" s="196"/>
      <c r="R1991" s="153"/>
      <c r="S1991" s="153"/>
      <c r="T1991" s="153"/>
      <c r="U1991" s="153"/>
      <c r="V1991" s="153"/>
      <c r="W1991" s="153"/>
      <c r="X1991" s="153"/>
      <c r="Y1991" s="153"/>
      <c r="Z1991" s="153"/>
      <c r="AA1991" s="153"/>
    </row>
    <row r="1992" spans="1:27">
      <c r="A1992" s="154"/>
      <c r="B1992" s="155"/>
      <c r="C1992" s="195"/>
      <c r="D1992" s="155"/>
      <c r="E1992" s="149"/>
      <c r="F1992" s="153"/>
      <c r="G1992" s="149"/>
      <c r="H1992" s="149"/>
      <c r="I1992" s="149"/>
      <c r="J1992" s="153"/>
      <c r="K1992" s="149"/>
      <c r="L1992" s="168"/>
      <c r="M1992" s="164"/>
      <c r="N1992" s="163"/>
      <c r="O1992" s="165"/>
      <c r="P1992" s="161"/>
      <c r="Q1992" s="196"/>
      <c r="R1992" s="153"/>
      <c r="S1992" s="153"/>
      <c r="T1992" s="153"/>
      <c r="U1992" s="153"/>
      <c r="V1992" s="153"/>
      <c r="W1992" s="153"/>
      <c r="X1992" s="153"/>
      <c r="Y1992" s="153"/>
      <c r="Z1992" s="153"/>
      <c r="AA1992" s="153"/>
    </row>
    <row r="1993" spans="1:27">
      <c r="A1993" s="154"/>
      <c r="B1993" s="155"/>
      <c r="C1993" s="195"/>
      <c r="D1993" s="155"/>
      <c r="E1993" s="149"/>
      <c r="F1993" s="153"/>
      <c r="G1993" s="149"/>
      <c r="H1993" s="149"/>
      <c r="I1993" s="149"/>
      <c r="J1993" s="153"/>
      <c r="K1993" s="149"/>
      <c r="L1993" s="168"/>
      <c r="M1993" s="164"/>
      <c r="N1993" s="163"/>
      <c r="O1993" s="165"/>
      <c r="P1993" s="161"/>
      <c r="Q1993" s="196"/>
      <c r="R1993" s="153"/>
      <c r="S1993" s="153"/>
      <c r="T1993" s="153"/>
      <c r="U1993" s="153"/>
      <c r="V1993" s="153"/>
      <c r="W1993" s="153"/>
      <c r="X1993" s="153"/>
      <c r="Y1993" s="153"/>
      <c r="Z1993" s="153"/>
      <c r="AA1993" s="153"/>
    </row>
    <row r="1994" spans="1:27">
      <c r="A1994" s="154"/>
      <c r="B1994" s="155"/>
      <c r="C1994" s="195"/>
      <c r="D1994" s="155"/>
      <c r="E1994" s="149"/>
      <c r="F1994" s="153"/>
      <c r="G1994" s="149"/>
      <c r="H1994" s="149"/>
      <c r="I1994" s="149"/>
      <c r="J1994" s="153"/>
      <c r="K1994" s="149"/>
      <c r="L1994" s="168"/>
      <c r="M1994" s="164"/>
      <c r="N1994" s="163"/>
      <c r="O1994" s="165"/>
      <c r="P1994" s="161"/>
      <c r="Q1994" s="196"/>
      <c r="R1994" s="153"/>
      <c r="S1994" s="153"/>
      <c r="T1994" s="153"/>
      <c r="U1994" s="153"/>
      <c r="V1994" s="153"/>
      <c r="W1994" s="153"/>
      <c r="X1994" s="153"/>
      <c r="Y1994" s="153"/>
      <c r="Z1994" s="153"/>
      <c r="AA1994" s="153"/>
    </row>
    <row r="1995" spans="1:27">
      <c r="A1995" s="154"/>
      <c r="B1995" s="155"/>
      <c r="C1995" s="195"/>
      <c r="D1995" s="155"/>
      <c r="E1995" s="149"/>
      <c r="F1995" s="153"/>
      <c r="G1995" s="149"/>
      <c r="H1995" s="149"/>
      <c r="I1995" s="149"/>
      <c r="J1995" s="153"/>
      <c r="K1995" s="149"/>
      <c r="L1995" s="168"/>
      <c r="M1995" s="164"/>
      <c r="N1995" s="163"/>
      <c r="O1995" s="165"/>
      <c r="P1995" s="161"/>
      <c r="Q1995" s="196"/>
      <c r="R1995" s="153"/>
      <c r="S1995" s="153"/>
      <c r="T1995" s="153"/>
      <c r="U1995" s="153"/>
      <c r="V1995" s="153"/>
      <c r="W1995" s="153"/>
      <c r="X1995" s="153"/>
      <c r="Y1995" s="153"/>
      <c r="Z1995" s="153"/>
      <c r="AA1995" s="153"/>
    </row>
    <row r="1996" spans="1:27">
      <c r="A1996" s="154"/>
      <c r="B1996" s="155"/>
      <c r="C1996" s="195"/>
      <c r="D1996" s="155"/>
      <c r="E1996" s="149"/>
      <c r="F1996" s="153"/>
      <c r="G1996" s="149"/>
      <c r="H1996" s="149"/>
      <c r="I1996" s="149"/>
      <c r="J1996" s="153"/>
      <c r="K1996" s="149"/>
      <c r="L1996" s="168"/>
      <c r="M1996" s="164"/>
      <c r="N1996" s="163"/>
      <c r="O1996" s="165"/>
      <c r="P1996" s="161"/>
      <c r="Q1996" s="196"/>
      <c r="R1996" s="153"/>
      <c r="S1996" s="153"/>
      <c r="T1996" s="153"/>
      <c r="U1996" s="153"/>
      <c r="V1996" s="153"/>
      <c r="W1996" s="153"/>
      <c r="X1996" s="153"/>
      <c r="Y1996" s="153"/>
      <c r="Z1996" s="153"/>
      <c r="AA1996" s="153"/>
    </row>
    <row r="1997" spans="1:27">
      <c r="A1997" s="154"/>
      <c r="B1997" s="155"/>
      <c r="C1997" s="195"/>
      <c r="D1997" s="155"/>
      <c r="E1997" s="149"/>
      <c r="F1997" s="153"/>
      <c r="G1997" s="149"/>
      <c r="H1997" s="149"/>
      <c r="I1997" s="149"/>
      <c r="J1997" s="153"/>
      <c r="K1997" s="149"/>
      <c r="L1997" s="168"/>
      <c r="M1997" s="164"/>
      <c r="N1997" s="163"/>
      <c r="O1997" s="165"/>
      <c r="P1997" s="161"/>
      <c r="Q1997" s="196"/>
      <c r="R1997" s="153"/>
      <c r="S1997" s="153"/>
      <c r="T1997" s="153"/>
      <c r="U1997" s="153"/>
      <c r="V1997" s="153"/>
      <c r="W1997" s="153"/>
      <c r="X1997" s="153"/>
      <c r="Y1997" s="153"/>
      <c r="Z1997" s="153"/>
      <c r="AA1997" s="153"/>
    </row>
    <row r="1998" spans="1:27">
      <c r="A1998" s="154"/>
      <c r="B1998" s="155"/>
      <c r="C1998" s="195"/>
      <c r="D1998" s="155"/>
      <c r="E1998" s="149"/>
      <c r="F1998" s="153"/>
      <c r="G1998" s="149"/>
      <c r="H1998" s="149"/>
      <c r="I1998" s="149"/>
      <c r="J1998" s="153"/>
      <c r="K1998" s="149"/>
      <c r="L1998" s="168"/>
      <c r="M1998" s="164"/>
      <c r="N1998" s="163"/>
      <c r="O1998" s="165"/>
      <c r="P1998" s="161"/>
      <c r="Q1998" s="196"/>
      <c r="R1998" s="153"/>
      <c r="S1998" s="153"/>
      <c r="T1998" s="153"/>
      <c r="U1998" s="153"/>
      <c r="V1998" s="153"/>
      <c r="W1998" s="153"/>
      <c r="X1998" s="153"/>
      <c r="Y1998" s="153"/>
      <c r="Z1998" s="153"/>
      <c r="AA1998" s="153"/>
    </row>
    <row r="1999" spans="1:27">
      <c r="A1999" s="154"/>
      <c r="B1999" s="155"/>
      <c r="C1999" s="195"/>
      <c r="D1999" s="155"/>
      <c r="E1999" s="149"/>
      <c r="F1999" s="153"/>
      <c r="G1999" s="149"/>
      <c r="H1999" s="149"/>
      <c r="I1999" s="149"/>
      <c r="J1999" s="153"/>
      <c r="K1999" s="149"/>
      <c r="L1999" s="168"/>
      <c r="M1999" s="164"/>
      <c r="N1999" s="163"/>
      <c r="O1999" s="165"/>
      <c r="P1999" s="161"/>
      <c r="Q1999" s="196"/>
      <c r="R1999" s="153"/>
      <c r="S1999" s="153"/>
      <c r="T1999" s="153"/>
      <c r="U1999" s="153"/>
      <c r="V1999" s="153"/>
      <c r="W1999" s="153"/>
      <c r="X1999" s="153"/>
      <c r="Y1999" s="153"/>
      <c r="Z1999" s="153"/>
      <c r="AA1999" s="153"/>
    </row>
    <row r="2000" spans="1:27">
      <c r="A2000" s="154"/>
      <c r="B2000" s="155"/>
      <c r="C2000" s="195"/>
      <c r="D2000" s="155"/>
      <c r="E2000" s="149"/>
      <c r="F2000" s="153"/>
      <c r="G2000" s="149"/>
      <c r="H2000" s="149"/>
      <c r="I2000" s="149"/>
      <c r="J2000" s="153"/>
      <c r="K2000" s="149"/>
      <c r="L2000" s="168"/>
      <c r="M2000" s="164"/>
      <c r="N2000" s="163"/>
      <c r="O2000" s="165"/>
      <c r="P2000" s="161"/>
      <c r="Q2000" s="196"/>
      <c r="R2000" s="153"/>
      <c r="S2000" s="153"/>
      <c r="T2000" s="153"/>
      <c r="U2000" s="153"/>
      <c r="V2000" s="153"/>
      <c r="W2000" s="153"/>
      <c r="X2000" s="153"/>
      <c r="Y2000" s="153"/>
      <c r="Z2000" s="153"/>
      <c r="AA2000" s="153"/>
    </row>
    <row r="2001" spans="1:27">
      <c r="A2001" s="154"/>
      <c r="B2001" s="155"/>
      <c r="C2001" s="195"/>
      <c r="D2001" s="155"/>
      <c r="E2001" s="149"/>
      <c r="F2001" s="153"/>
      <c r="G2001" s="149"/>
      <c r="H2001" s="149"/>
      <c r="I2001" s="149"/>
      <c r="J2001" s="153"/>
      <c r="K2001" s="149"/>
      <c r="L2001" s="168"/>
      <c r="M2001" s="164"/>
      <c r="N2001" s="163"/>
      <c r="O2001" s="165"/>
      <c r="P2001" s="161"/>
      <c r="Q2001" s="196"/>
      <c r="R2001" s="153"/>
      <c r="S2001" s="153"/>
      <c r="T2001" s="153"/>
      <c r="U2001" s="153"/>
      <c r="V2001" s="153"/>
      <c r="W2001" s="153"/>
      <c r="X2001" s="153"/>
      <c r="Y2001" s="153"/>
      <c r="Z2001" s="153"/>
      <c r="AA2001" s="153"/>
    </row>
    <row r="2002" spans="1:27">
      <c r="A2002" s="154"/>
      <c r="B2002" s="155"/>
      <c r="C2002" s="195"/>
      <c r="D2002" s="155"/>
      <c r="E2002" s="149"/>
      <c r="F2002" s="153"/>
      <c r="G2002" s="149"/>
      <c r="H2002" s="149"/>
      <c r="I2002" s="149"/>
      <c r="J2002" s="153"/>
      <c r="K2002" s="149"/>
      <c r="L2002" s="168"/>
      <c r="M2002" s="164"/>
      <c r="N2002" s="163"/>
      <c r="O2002" s="165"/>
      <c r="P2002" s="161"/>
      <c r="Q2002" s="196"/>
      <c r="R2002" s="153"/>
      <c r="S2002" s="153"/>
      <c r="T2002" s="153"/>
      <c r="U2002" s="153"/>
      <c r="V2002" s="153"/>
      <c r="W2002" s="153"/>
      <c r="X2002" s="153"/>
      <c r="Y2002" s="153"/>
      <c r="Z2002" s="153"/>
      <c r="AA2002" s="153"/>
    </row>
    <row r="2003" spans="1:27">
      <c r="A2003" s="154"/>
      <c r="B2003" s="155"/>
      <c r="C2003" s="195"/>
      <c r="D2003" s="155"/>
      <c r="E2003" s="149"/>
      <c r="F2003" s="153"/>
      <c r="G2003" s="149"/>
      <c r="H2003" s="149"/>
      <c r="I2003" s="149"/>
      <c r="J2003" s="153"/>
      <c r="K2003" s="149"/>
      <c r="L2003" s="168"/>
      <c r="M2003" s="164"/>
      <c r="N2003" s="163"/>
      <c r="O2003" s="165"/>
      <c r="P2003" s="161"/>
      <c r="Q2003" s="196"/>
      <c r="R2003" s="153"/>
      <c r="S2003" s="153"/>
      <c r="T2003" s="153"/>
      <c r="U2003" s="153"/>
      <c r="V2003" s="153"/>
      <c r="W2003" s="153"/>
      <c r="X2003" s="153"/>
      <c r="Y2003" s="153"/>
      <c r="Z2003" s="153"/>
      <c r="AA2003" s="153"/>
    </row>
    <row r="2004" spans="1:27">
      <c r="A2004" s="154"/>
      <c r="B2004" s="155"/>
      <c r="C2004" s="195"/>
      <c r="D2004" s="155"/>
      <c r="E2004" s="149"/>
      <c r="F2004" s="153"/>
      <c r="G2004" s="149"/>
      <c r="H2004" s="149"/>
      <c r="I2004" s="149"/>
      <c r="J2004" s="153"/>
      <c r="K2004" s="149"/>
      <c r="L2004" s="168"/>
      <c r="M2004" s="164"/>
      <c r="N2004" s="163"/>
      <c r="O2004" s="165"/>
      <c r="P2004" s="161"/>
      <c r="Q2004" s="196"/>
      <c r="R2004" s="153"/>
      <c r="S2004" s="153"/>
      <c r="T2004" s="153"/>
      <c r="U2004" s="153"/>
      <c r="V2004" s="153"/>
      <c r="W2004" s="153"/>
      <c r="X2004" s="153"/>
      <c r="Y2004" s="153"/>
      <c r="Z2004" s="153"/>
      <c r="AA2004" s="153"/>
    </row>
    <row r="2005" spans="1:27">
      <c r="A2005" s="154"/>
      <c r="B2005" s="155"/>
      <c r="C2005" s="195"/>
      <c r="D2005" s="155"/>
      <c r="E2005" s="149"/>
      <c r="F2005" s="153"/>
      <c r="G2005" s="149"/>
      <c r="H2005" s="149"/>
      <c r="I2005" s="149"/>
      <c r="J2005" s="153"/>
      <c r="K2005" s="149"/>
      <c r="L2005" s="168"/>
      <c r="M2005" s="164"/>
      <c r="N2005" s="163"/>
      <c r="O2005" s="165"/>
      <c r="P2005" s="161"/>
      <c r="Q2005" s="196"/>
      <c r="R2005" s="153"/>
      <c r="S2005" s="153"/>
      <c r="T2005" s="153"/>
      <c r="U2005" s="153"/>
      <c r="V2005" s="153"/>
      <c r="W2005" s="153"/>
      <c r="X2005" s="153"/>
      <c r="Y2005" s="153"/>
      <c r="Z2005" s="153"/>
      <c r="AA2005" s="153"/>
    </row>
    <row r="2006" spans="1:27">
      <c r="A2006" s="154"/>
      <c r="B2006" s="155"/>
      <c r="C2006" s="195"/>
      <c r="D2006" s="155"/>
      <c r="E2006" s="149"/>
      <c r="F2006" s="153"/>
      <c r="G2006" s="149"/>
      <c r="H2006" s="149"/>
      <c r="I2006" s="149"/>
      <c r="J2006" s="153"/>
      <c r="K2006" s="149"/>
      <c r="L2006" s="168"/>
      <c r="M2006" s="164"/>
      <c r="N2006" s="163"/>
      <c r="O2006" s="165"/>
      <c r="P2006" s="161"/>
      <c r="Q2006" s="196"/>
      <c r="R2006" s="153"/>
      <c r="S2006" s="153"/>
      <c r="T2006" s="153"/>
      <c r="U2006" s="153"/>
      <c r="V2006" s="153"/>
      <c r="W2006" s="153"/>
      <c r="X2006" s="153"/>
      <c r="Y2006" s="153"/>
      <c r="Z2006" s="153"/>
      <c r="AA2006" s="153"/>
    </row>
    <row r="2007" spans="1:27">
      <c r="A2007" s="154"/>
      <c r="B2007" s="155"/>
      <c r="C2007" s="195"/>
      <c r="D2007" s="155"/>
      <c r="E2007" s="149"/>
      <c r="F2007" s="153"/>
      <c r="G2007" s="149"/>
      <c r="H2007" s="149"/>
      <c r="I2007" s="149"/>
      <c r="J2007" s="153"/>
      <c r="K2007" s="149"/>
      <c r="L2007" s="168"/>
      <c r="M2007" s="164"/>
      <c r="N2007" s="163"/>
      <c r="O2007" s="165"/>
      <c r="P2007" s="161"/>
      <c r="Q2007" s="196"/>
      <c r="R2007" s="153"/>
      <c r="S2007" s="153"/>
      <c r="T2007" s="153"/>
      <c r="U2007" s="153"/>
      <c r="V2007" s="153"/>
      <c r="W2007" s="153"/>
      <c r="X2007" s="153"/>
      <c r="Y2007" s="153"/>
      <c r="Z2007" s="153"/>
      <c r="AA2007" s="153"/>
    </row>
    <row r="2008" spans="1:27">
      <c r="A2008" s="154"/>
      <c r="B2008" s="155"/>
      <c r="C2008" s="195"/>
      <c r="D2008" s="155"/>
      <c r="E2008" s="149"/>
      <c r="F2008" s="153"/>
      <c r="G2008" s="149"/>
      <c r="H2008" s="149"/>
      <c r="I2008" s="149"/>
      <c r="J2008" s="153"/>
      <c r="K2008" s="149"/>
      <c r="L2008" s="168"/>
      <c r="M2008" s="164"/>
      <c r="N2008" s="163"/>
      <c r="O2008" s="165"/>
      <c r="P2008" s="161"/>
      <c r="Q2008" s="196"/>
      <c r="R2008" s="153"/>
      <c r="S2008" s="153"/>
      <c r="T2008" s="153"/>
      <c r="U2008" s="153"/>
      <c r="V2008" s="153"/>
      <c r="W2008" s="153"/>
      <c r="X2008" s="153"/>
      <c r="Y2008" s="153"/>
      <c r="Z2008" s="153"/>
      <c r="AA2008" s="153"/>
    </row>
    <row r="2009" spans="1:27">
      <c r="A2009" s="154"/>
      <c r="B2009" s="155"/>
      <c r="C2009" s="195"/>
      <c r="D2009" s="155"/>
      <c r="E2009" s="149"/>
      <c r="F2009" s="153"/>
      <c r="G2009" s="149"/>
      <c r="H2009" s="149"/>
      <c r="I2009" s="149"/>
      <c r="J2009" s="153"/>
      <c r="K2009" s="149"/>
      <c r="L2009" s="168"/>
      <c r="M2009" s="164"/>
      <c r="N2009" s="163"/>
      <c r="O2009" s="165"/>
      <c r="P2009" s="161"/>
      <c r="Q2009" s="196"/>
      <c r="R2009" s="153"/>
      <c r="S2009" s="153"/>
      <c r="T2009" s="153"/>
      <c r="U2009" s="153"/>
      <c r="V2009" s="153"/>
      <c r="W2009" s="153"/>
      <c r="X2009" s="153"/>
      <c r="Y2009" s="153"/>
      <c r="Z2009" s="153"/>
      <c r="AA2009" s="153"/>
    </row>
    <row r="2010" spans="1:27">
      <c r="A2010" s="154"/>
      <c r="B2010" s="155"/>
      <c r="C2010" s="195"/>
      <c r="D2010" s="155"/>
      <c r="E2010" s="149"/>
      <c r="F2010" s="153"/>
      <c r="G2010" s="149"/>
      <c r="H2010" s="149"/>
      <c r="I2010" s="149"/>
      <c r="J2010" s="153"/>
      <c r="K2010" s="149"/>
      <c r="L2010" s="168"/>
      <c r="M2010" s="164"/>
      <c r="N2010" s="163"/>
      <c r="O2010" s="165"/>
      <c r="P2010" s="161"/>
      <c r="Q2010" s="196"/>
      <c r="R2010" s="153"/>
      <c r="S2010" s="153"/>
      <c r="T2010" s="153"/>
      <c r="U2010" s="153"/>
      <c r="V2010" s="153"/>
      <c r="W2010" s="153"/>
      <c r="X2010" s="153"/>
      <c r="Y2010" s="153"/>
      <c r="Z2010" s="153"/>
      <c r="AA2010" s="153"/>
    </row>
    <row r="2011" spans="1:27">
      <c r="A2011" s="154"/>
      <c r="B2011" s="155"/>
      <c r="C2011" s="195"/>
      <c r="D2011" s="155"/>
      <c r="E2011" s="149"/>
      <c r="F2011" s="153"/>
      <c r="G2011" s="149"/>
      <c r="H2011" s="149"/>
      <c r="I2011" s="149"/>
      <c r="J2011" s="153"/>
      <c r="K2011" s="149"/>
      <c r="L2011" s="168"/>
      <c r="M2011" s="164"/>
      <c r="N2011" s="163"/>
      <c r="O2011" s="165"/>
      <c r="P2011" s="161"/>
      <c r="Q2011" s="196"/>
      <c r="R2011" s="153"/>
      <c r="S2011" s="153"/>
      <c r="T2011" s="153"/>
      <c r="U2011" s="153"/>
      <c r="V2011" s="153"/>
      <c r="W2011" s="153"/>
      <c r="X2011" s="153"/>
      <c r="Y2011" s="153"/>
      <c r="Z2011" s="153"/>
      <c r="AA2011" s="153"/>
    </row>
    <row r="2012" spans="1:27">
      <c r="A2012" s="154"/>
      <c r="B2012" s="155"/>
      <c r="C2012" s="195"/>
      <c r="D2012" s="155"/>
      <c r="E2012" s="149"/>
      <c r="F2012" s="153"/>
      <c r="G2012" s="149"/>
      <c r="H2012" s="149"/>
      <c r="I2012" s="149"/>
      <c r="J2012" s="153"/>
      <c r="K2012" s="149"/>
      <c r="L2012" s="168"/>
      <c r="M2012" s="164"/>
      <c r="N2012" s="163"/>
      <c r="O2012" s="165"/>
      <c r="P2012" s="161"/>
      <c r="Q2012" s="196"/>
      <c r="R2012" s="153"/>
      <c r="S2012" s="153"/>
      <c r="T2012" s="153"/>
      <c r="U2012" s="153"/>
      <c r="V2012" s="153"/>
      <c r="W2012" s="153"/>
      <c r="X2012" s="153"/>
      <c r="Y2012" s="153"/>
      <c r="Z2012" s="153"/>
      <c r="AA2012" s="153"/>
    </row>
    <row r="2013" spans="1:27">
      <c r="A2013" s="154"/>
      <c r="B2013" s="155"/>
      <c r="C2013" s="195"/>
      <c r="D2013" s="155"/>
      <c r="E2013" s="149"/>
      <c r="F2013" s="153"/>
      <c r="G2013" s="149"/>
      <c r="H2013" s="149"/>
      <c r="I2013" s="149"/>
      <c r="J2013" s="153"/>
      <c r="K2013" s="149"/>
      <c r="L2013" s="168"/>
      <c r="M2013" s="164"/>
      <c r="N2013" s="163"/>
      <c r="O2013" s="165"/>
      <c r="P2013" s="161"/>
      <c r="Q2013" s="196"/>
      <c r="R2013" s="153"/>
      <c r="S2013" s="153"/>
      <c r="T2013" s="153"/>
      <c r="U2013" s="153"/>
      <c r="V2013" s="153"/>
      <c r="W2013" s="153"/>
      <c r="X2013" s="153"/>
      <c r="Y2013" s="153"/>
      <c r="Z2013" s="153"/>
      <c r="AA2013" s="153"/>
    </row>
    <row r="2014" spans="1:27">
      <c r="A2014" s="154"/>
      <c r="B2014" s="155"/>
      <c r="C2014" s="195"/>
      <c r="D2014" s="155"/>
      <c r="E2014" s="149"/>
      <c r="F2014" s="153"/>
      <c r="G2014" s="149"/>
      <c r="H2014" s="149"/>
      <c r="I2014" s="149"/>
      <c r="J2014" s="153"/>
      <c r="K2014" s="149"/>
      <c r="L2014" s="168"/>
      <c r="M2014" s="164"/>
      <c r="N2014" s="163"/>
      <c r="O2014" s="165"/>
      <c r="P2014" s="161"/>
      <c r="Q2014" s="196"/>
      <c r="R2014" s="153"/>
      <c r="S2014" s="153"/>
      <c r="T2014" s="153"/>
      <c r="U2014" s="153"/>
      <c r="V2014" s="153"/>
      <c r="W2014" s="153"/>
      <c r="X2014" s="153"/>
      <c r="Y2014" s="153"/>
      <c r="Z2014" s="153"/>
      <c r="AA2014" s="153"/>
    </row>
    <row r="2015" spans="1:27">
      <c r="A2015" s="154"/>
      <c r="B2015" s="155"/>
      <c r="C2015" s="195"/>
      <c r="D2015" s="155"/>
      <c r="E2015" s="149"/>
      <c r="F2015" s="153"/>
      <c r="G2015" s="149"/>
      <c r="H2015" s="149"/>
      <c r="I2015" s="149"/>
      <c r="J2015" s="153"/>
      <c r="K2015" s="149"/>
      <c r="L2015" s="168"/>
      <c r="M2015" s="164"/>
      <c r="N2015" s="163"/>
      <c r="O2015" s="165"/>
      <c r="P2015" s="161"/>
      <c r="Q2015" s="196"/>
      <c r="R2015" s="153"/>
      <c r="S2015" s="153"/>
      <c r="T2015" s="153"/>
      <c r="U2015" s="153"/>
      <c r="V2015" s="153"/>
      <c r="W2015" s="153"/>
      <c r="X2015" s="153"/>
      <c r="Y2015" s="153"/>
      <c r="Z2015" s="153"/>
      <c r="AA2015" s="153"/>
    </row>
    <row r="2016" spans="1:27">
      <c r="A2016" s="154"/>
      <c r="B2016" s="155"/>
      <c r="C2016" s="195"/>
      <c r="D2016" s="155"/>
      <c r="E2016" s="149"/>
      <c r="F2016" s="153"/>
      <c r="G2016" s="149"/>
      <c r="H2016" s="149"/>
      <c r="I2016" s="149"/>
      <c r="J2016" s="153"/>
      <c r="K2016" s="149"/>
      <c r="L2016" s="168"/>
      <c r="M2016" s="164"/>
      <c r="N2016" s="163"/>
      <c r="O2016" s="165"/>
      <c r="P2016" s="161"/>
      <c r="Q2016" s="196"/>
      <c r="R2016" s="153"/>
      <c r="S2016" s="153"/>
      <c r="T2016" s="153"/>
      <c r="U2016" s="153"/>
      <c r="V2016" s="153"/>
      <c r="W2016" s="153"/>
      <c r="X2016" s="153"/>
      <c r="Y2016" s="153"/>
      <c r="Z2016" s="153"/>
      <c r="AA2016" s="153"/>
    </row>
    <row r="2017" spans="1:27">
      <c r="A2017" s="154"/>
      <c r="B2017" s="155"/>
      <c r="C2017" s="195"/>
      <c r="D2017" s="155"/>
      <c r="E2017" s="149"/>
      <c r="F2017" s="153"/>
      <c r="G2017" s="149"/>
      <c r="H2017" s="149"/>
      <c r="I2017" s="149"/>
      <c r="J2017" s="153"/>
      <c r="K2017" s="149"/>
      <c r="L2017" s="168"/>
      <c r="M2017" s="164"/>
      <c r="N2017" s="163"/>
      <c r="O2017" s="165"/>
      <c r="P2017" s="161"/>
      <c r="Q2017" s="196"/>
      <c r="R2017" s="153"/>
      <c r="S2017" s="153"/>
      <c r="T2017" s="153"/>
      <c r="U2017" s="153"/>
      <c r="V2017" s="153"/>
      <c r="W2017" s="153"/>
      <c r="X2017" s="153"/>
      <c r="Y2017" s="153"/>
      <c r="Z2017" s="153"/>
      <c r="AA2017" s="153"/>
    </row>
    <row r="2018" spans="1:27">
      <c r="A2018" s="154"/>
      <c r="B2018" s="155"/>
      <c r="C2018" s="195"/>
      <c r="D2018" s="155"/>
      <c r="E2018" s="149"/>
      <c r="F2018" s="153"/>
      <c r="G2018" s="149"/>
      <c r="H2018" s="149"/>
      <c r="I2018" s="149"/>
      <c r="J2018" s="153"/>
      <c r="K2018" s="149"/>
      <c r="L2018" s="168"/>
      <c r="M2018" s="164"/>
      <c r="N2018" s="163"/>
      <c r="O2018" s="165"/>
      <c r="P2018" s="161"/>
      <c r="Q2018" s="196"/>
      <c r="R2018" s="153"/>
      <c r="S2018" s="153"/>
      <c r="T2018" s="153"/>
      <c r="U2018" s="153"/>
      <c r="V2018" s="153"/>
      <c r="W2018" s="153"/>
      <c r="X2018" s="153"/>
      <c r="Y2018" s="153"/>
      <c r="Z2018" s="153"/>
      <c r="AA2018" s="153"/>
    </row>
    <row r="2019" spans="1:27">
      <c r="A2019" s="154"/>
      <c r="B2019" s="155"/>
      <c r="C2019" s="195"/>
      <c r="D2019" s="155"/>
      <c r="E2019" s="149"/>
      <c r="F2019" s="153"/>
      <c r="G2019" s="149"/>
      <c r="H2019" s="149"/>
      <c r="I2019" s="149"/>
      <c r="J2019" s="153"/>
      <c r="K2019" s="149"/>
      <c r="L2019" s="168"/>
      <c r="M2019" s="164"/>
      <c r="N2019" s="163"/>
      <c r="O2019" s="165"/>
      <c r="P2019" s="161"/>
      <c r="Q2019" s="196"/>
      <c r="R2019" s="153"/>
      <c r="S2019" s="153"/>
      <c r="T2019" s="153"/>
      <c r="U2019" s="153"/>
      <c r="V2019" s="153"/>
      <c r="W2019" s="153"/>
      <c r="X2019" s="153"/>
      <c r="Y2019" s="153"/>
      <c r="Z2019" s="153"/>
      <c r="AA2019" s="153"/>
    </row>
    <row r="2020" spans="1:27">
      <c r="A2020" s="154"/>
      <c r="B2020" s="155"/>
      <c r="C2020" s="195"/>
      <c r="D2020" s="155"/>
      <c r="E2020" s="149"/>
      <c r="F2020" s="153"/>
      <c r="G2020" s="149"/>
      <c r="H2020" s="149"/>
      <c r="I2020" s="149"/>
      <c r="J2020" s="153"/>
      <c r="K2020" s="149"/>
      <c r="L2020" s="168"/>
      <c r="M2020" s="164"/>
      <c r="N2020" s="163"/>
      <c r="O2020" s="165"/>
      <c r="P2020" s="161"/>
      <c r="Q2020" s="196"/>
      <c r="R2020" s="153"/>
      <c r="S2020" s="153"/>
      <c r="T2020" s="153"/>
      <c r="U2020" s="153"/>
      <c r="V2020" s="153"/>
      <c r="W2020" s="153"/>
      <c r="X2020" s="153"/>
      <c r="Y2020" s="153"/>
      <c r="Z2020" s="153"/>
      <c r="AA2020" s="153"/>
    </row>
    <row r="2021" spans="1:27">
      <c r="A2021" s="154"/>
      <c r="B2021" s="155"/>
      <c r="C2021" s="195"/>
      <c r="D2021" s="155"/>
      <c r="E2021" s="149"/>
      <c r="F2021" s="153"/>
      <c r="G2021" s="149"/>
      <c r="H2021" s="149"/>
      <c r="I2021" s="149"/>
      <c r="J2021" s="153"/>
      <c r="K2021" s="149"/>
      <c r="L2021" s="168"/>
      <c r="M2021" s="164"/>
      <c r="N2021" s="163"/>
      <c r="O2021" s="165"/>
      <c r="P2021" s="161"/>
      <c r="Q2021" s="196"/>
      <c r="R2021" s="153"/>
      <c r="S2021" s="153"/>
      <c r="T2021" s="153"/>
      <c r="U2021" s="153"/>
      <c r="V2021" s="153"/>
      <c r="W2021" s="153"/>
      <c r="X2021" s="153"/>
      <c r="Y2021" s="153"/>
      <c r="Z2021" s="153"/>
      <c r="AA2021" s="153"/>
    </row>
    <row r="2022" spans="1:27">
      <c r="A2022" s="154"/>
      <c r="B2022" s="155"/>
      <c r="C2022" s="195"/>
      <c r="D2022" s="155"/>
      <c r="E2022" s="149"/>
      <c r="F2022" s="153"/>
      <c r="G2022" s="149"/>
      <c r="H2022" s="149"/>
      <c r="I2022" s="149"/>
      <c r="J2022" s="153"/>
      <c r="K2022" s="149"/>
      <c r="L2022" s="168"/>
      <c r="M2022" s="164"/>
      <c r="N2022" s="163"/>
      <c r="O2022" s="165"/>
      <c r="P2022" s="161"/>
      <c r="Q2022" s="196"/>
      <c r="R2022" s="153"/>
      <c r="S2022" s="153"/>
      <c r="T2022" s="153"/>
      <c r="U2022" s="153"/>
      <c r="V2022" s="153"/>
      <c r="W2022" s="153"/>
      <c r="X2022" s="153"/>
      <c r="Y2022" s="153"/>
      <c r="Z2022" s="153"/>
      <c r="AA2022" s="153"/>
    </row>
    <row r="2023" spans="1:27">
      <c r="A2023" s="154"/>
      <c r="B2023" s="155"/>
      <c r="C2023" s="195"/>
      <c r="D2023" s="155"/>
      <c r="E2023" s="149"/>
      <c r="F2023" s="153"/>
      <c r="G2023" s="149"/>
      <c r="H2023" s="149"/>
      <c r="I2023" s="149"/>
      <c r="J2023" s="153"/>
      <c r="K2023" s="149"/>
      <c r="L2023" s="168"/>
      <c r="M2023" s="164"/>
      <c r="N2023" s="163"/>
      <c r="O2023" s="165"/>
      <c r="P2023" s="161"/>
      <c r="Q2023" s="196"/>
      <c r="R2023" s="153"/>
      <c r="S2023" s="153"/>
      <c r="T2023" s="153"/>
      <c r="U2023" s="153"/>
      <c r="V2023" s="153"/>
      <c r="W2023" s="153"/>
      <c r="X2023" s="153"/>
      <c r="Y2023" s="153"/>
      <c r="Z2023" s="153"/>
      <c r="AA2023" s="153"/>
    </row>
    <row r="2024" spans="1:27">
      <c r="A2024" s="154"/>
      <c r="B2024" s="155"/>
      <c r="C2024" s="195"/>
      <c r="D2024" s="155"/>
      <c r="E2024" s="149"/>
      <c r="F2024" s="153"/>
      <c r="G2024" s="149"/>
      <c r="H2024" s="149"/>
      <c r="I2024" s="149"/>
      <c r="J2024" s="153"/>
      <c r="K2024" s="149"/>
      <c r="L2024" s="168"/>
      <c r="M2024" s="164"/>
      <c r="N2024" s="163"/>
      <c r="O2024" s="165"/>
      <c r="P2024" s="161"/>
      <c r="Q2024" s="196"/>
      <c r="R2024" s="153"/>
      <c r="S2024" s="153"/>
      <c r="T2024" s="153"/>
      <c r="U2024" s="153"/>
      <c r="V2024" s="153"/>
      <c r="W2024" s="153"/>
      <c r="X2024" s="153"/>
      <c r="Y2024" s="153"/>
      <c r="Z2024" s="153"/>
      <c r="AA2024" s="153"/>
    </row>
    <row r="2025" spans="1:27">
      <c r="A2025" s="154"/>
      <c r="B2025" s="155"/>
      <c r="C2025" s="195"/>
      <c r="D2025" s="155"/>
      <c r="E2025" s="149"/>
      <c r="F2025" s="153"/>
      <c r="G2025" s="149"/>
      <c r="H2025" s="149"/>
      <c r="I2025" s="149"/>
      <c r="J2025" s="153"/>
      <c r="K2025" s="149"/>
      <c r="L2025" s="168"/>
      <c r="M2025" s="164"/>
      <c r="N2025" s="163"/>
      <c r="O2025" s="165"/>
      <c r="P2025" s="161"/>
      <c r="Q2025" s="196"/>
      <c r="R2025" s="153"/>
      <c r="S2025" s="153"/>
      <c r="T2025" s="153"/>
      <c r="U2025" s="153"/>
      <c r="V2025" s="153"/>
      <c r="W2025" s="153"/>
      <c r="X2025" s="153"/>
      <c r="Y2025" s="153"/>
      <c r="Z2025" s="153"/>
      <c r="AA2025" s="153"/>
    </row>
    <row r="2026" spans="1:27">
      <c r="A2026" s="154"/>
      <c r="B2026" s="155"/>
      <c r="C2026" s="195"/>
      <c r="D2026" s="155"/>
      <c r="E2026" s="149"/>
      <c r="F2026" s="153"/>
      <c r="G2026" s="149"/>
      <c r="H2026" s="149"/>
      <c r="I2026" s="149"/>
      <c r="J2026" s="153"/>
      <c r="K2026" s="149"/>
      <c r="L2026" s="168"/>
      <c r="M2026" s="164"/>
      <c r="N2026" s="163"/>
      <c r="O2026" s="165"/>
      <c r="P2026" s="161"/>
      <c r="Q2026" s="196"/>
      <c r="R2026" s="153"/>
      <c r="S2026" s="153"/>
      <c r="T2026" s="153"/>
      <c r="U2026" s="153"/>
      <c r="V2026" s="153"/>
      <c r="W2026" s="153"/>
      <c r="X2026" s="153"/>
      <c r="Y2026" s="153"/>
      <c r="Z2026" s="153"/>
      <c r="AA2026" s="153"/>
    </row>
    <row r="2027" spans="1:27">
      <c r="A2027" s="154"/>
      <c r="B2027" s="155"/>
      <c r="C2027" s="195"/>
      <c r="D2027" s="155"/>
      <c r="E2027" s="149"/>
      <c r="F2027" s="153"/>
      <c r="G2027" s="149"/>
      <c r="H2027" s="149"/>
      <c r="I2027" s="149"/>
      <c r="J2027" s="153"/>
      <c r="K2027" s="149"/>
      <c r="L2027" s="168"/>
      <c r="M2027" s="164"/>
      <c r="N2027" s="163"/>
      <c r="O2027" s="165"/>
      <c r="P2027" s="161"/>
      <c r="Q2027" s="196"/>
      <c r="R2027" s="153"/>
      <c r="S2027" s="153"/>
      <c r="T2027" s="153"/>
      <c r="U2027" s="153"/>
      <c r="V2027" s="153"/>
      <c r="W2027" s="153"/>
      <c r="X2027" s="153"/>
      <c r="Y2027" s="153"/>
      <c r="Z2027" s="153"/>
      <c r="AA2027" s="153"/>
    </row>
    <row r="2028" spans="1:27">
      <c r="A2028" s="154"/>
      <c r="B2028" s="155"/>
      <c r="C2028" s="195"/>
      <c r="D2028" s="155"/>
      <c r="E2028" s="149"/>
      <c r="F2028" s="153"/>
      <c r="G2028" s="149"/>
      <c r="H2028" s="149"/>
      <c r="I2028" s="149"/>
      <c r="J2028" s="153"/>
      <c r="K2028" s="149"/>
      <c r="L2028" s="168"/>
      <c r="M2028" s="164"/>
      <c r="N2028" s="163"/>
      <c r="O2028" s="165"/>
      <c r="P2028" s="161"/>
      <c r="Q2028" s="196"/>
      <c r="R2028" s="153"/>
      <c r="S2028" s="153"/>
      <c r="T2028" s="153"/>
      <c r="U2028" s="153"/>
      <c r="V2028" s="153"/>
      <c r="W2028" s="153"/>
      <c r="X2028" s="153"/>
      <c r="Y2028" s="153"/>
      <c r="Z2028" s="153"/>
      <c r="AA2028" s="153"/>
    </row>
    <row r="2029" spans="1:27">
      <c r="A2029" s="154"/>
      <c r="B2029" s="155"/>
      <c r="C2029" s="195"/>
      <c r="D2029" s="155"/>
      <c r="E2029" s="149"/>
      <c r="F2029" s="153"/>
      <c r="G2029" s="149"/>
      <c r="H2029" s="149"/>
      <c r="I2029" s="149"/>
      <c r="J2029" s="153"/>
      <c r="K2029" s="149"/>
      <c r="L2029" s="168"/>
      <c r="M2029" s="164"/>
      <c r="N2029" s="163"/>
      <c r="O2029" s="165"/>
      <c r="P2029" s="161"/>
      <c r="Q2029" s="196"/>
      <c r="R2029" s="153"/>
      <c r="S2029" s="153"/>
      <c r="T2029" s="153"/>
      <c r="U2029" s="153"/>
      <c r="V2029" s="153"/>
      <c r="W2029" s="153"/>
      <c r="X2029" s="153"/>
      <c r="Y2029" s="153"/>
      <c r="Z2029" s="153"/>
      <c r="AA2029" s="153"/>
    </row>
    <row r="2030" spans="1:27">
      <c r="A2030" s="154"/>
      <c r="B2030" s="155"/>
      <c r="C2030" s="195"/>
      <c r="D2030" s="155"/>
      <c r="E2030" s="149"/>
      <c r="F2030" s="153"/>
      <c r="G2030" s="149"/>
      <c r="H2030" s="149"/>
      <c r="I2030" s="149"/>
      <c r="J2030" s="153"/>
      <c r="K2030" s="149"/>
      <c r="L2030" s="168"/>
      <c r="M2030" s="164"/>
      <c r="N2030" s="163"/>
      <c r="O2030" s="165"/>
      <c r="P2030" s="161"/>
      <c r="Q2030" s="196"/>
      <c r="R2030" s="153"/>
      <c r="S2030" s="153"/>
      <c r="T2030" s="153"/>
      <c r="U2030" s="153"/>
      <c r="V2030" s="153"/>
      <c r="W2030" s="153"/>
      <c r="X2030" s="153"/>
      <c r="Y2030" s="153"/>
      <c r="Z2030" s="153"/>
      <c r="AA2030" s="153"/>
    </row>
    <row r="2031" spans="1:27">
      <c r="A2031" s="154"/>
      <c r="B2031" s="155"/>
      <c r="C2031" s="195"/>
      <c r="D2031" s="155"/>
      <c r="E2031" s="149"/>
      <c r="F2031" s="153"/>
      <c r="G2031" s="149"/>
      <c r="H2031" s="149"/>
      <c r="I2031" s="149"/>
      <c r="J2031" s="153"/>
      <c r="K2031" s="149"/>
      <c r="L2031" s="168"/>
      <c r="M2031" s="164"/>
      <c r="N2031" s="163"/>
      <c r="O2031" s="165"/>
      <c r="P2031" s="161"/>
      <c r="Q2031" s="196"/>
      <c r="R2031" s="153"/>
      <c r="S2031" s="153"/>
      <c r="T2031" s="153"/>
      <c r="U2031" s="153"/>
      <c r="V2031" s="153"/>
      <c r="W2031" s="153"/>
      <c r="X2031" s="153"/>
      <c r="Y2031" s="153"/>
      <c r="Z2031" s="153"/>
      <c r="AA2031" s="153"/>
    </row>
    <row r="2032" spans="1:27">
      <c r="A2032" s="154"/>
      <c r="B2032" s="155"/>
      <c r="C2032" s="195"/>
      <c r="D2032" s="155"/>
      <c r="E2032" s="149"/>
      <c r="F2032" s="153"/>
      <c r="G2032" s="149"/>
      <c r="H2032" s="149"/>
      <c r="I2032" s="149"/>
      <c r="J2032" s="153"/>
      <c r="K2032" s="149"/>
      <c r="L2032" s="168"/>
      <c r="M2032" s="164"/>
      <c r="N2032" s="163"/>
      <c r="O2032" s="165"/>
      <c r="P2032" s="161"/>
      <c r="Q2032" s="196"/>
      <c r="R2032" s="153"/>
      <c r="S2032" s="153"/>
      <c r="T2032" s="153"/>
      <c r="U2032" s="153"/>
      <c r="V2032" s="153"/>
      <c r="W2032" s="153"/>
      <c r="X2032" s="153"/>
      <c r="Y2032" s="153"/>
      <c r="Z2032" s="153"/>
      <c r="AA2032" s="153"/>
    </row>
    <row r="2033" spans="1:27">
      <c r="A2033" s="154"/>
      <c r="B2033" s="155"/>
      <c r="C2033" s="195"/>
      <c r="D2033" s="155"/>
      <c r="E2033" s="149"/>
      <c r="F2033" s="153"/>
      <c r="G2033" s="149"/>
      <c r="H2033" s="149"/>
      <c r="I2033" s="149"/>
      <c r="J2033" s="153"/>
      <c r="K2033" s="149"/>
      <c r="L2033" s="168"/>
      <c r="M2033" s="164"/>
      <c r="N2033" s="163"/>
      <c r="O2033" s="165"/>
      <c r="P2033" s="161"/>
      <c r="Q2033" s="196"/>
      <c r="R2033" s="153"/>
      <c r="S2033" s="153"/>
      <c r="T2033" s="153"/>
      <c r="U2033" s="153"/>
      <c r="V2033" s="153"/>
      <c r="W2033" s="153"/>
      <c r="X2033" s="153"/>
      <c r="Y2033" s="153"/>
      <c r="Z2033" s="153"/>
      <c r="AA2033" s="153"/>
    </row>
    <row r="2034" spans="1:27">
      <c r="A2034" s="154"/>
      <c r="B2034" s="155"/>
      <c r="C2034" s="195"/>
      <c r="D2034" s="155"/>
      <c r="E2034" s="149"/>
      <c r="F2034" s="153"/>
      <c r="G2034" s="149"/>
      <c r="H2034" s="149"/>
      <c r="I2034" s="149"/>
      <c r="J2034" s="153"/>
      <c r="K2034" s="149"/>
      <c r="L2034" s="168"/>
      <c r="M2034" s="164"/>
      <c r="N2034" s="163"/>
      <c r="O2034" s="165"/>
      <c r="P2034" s="161"/>
      <c r="Q2034" s="196"/>
      <c r="R2034" s="153"/>
      <c r="S2034" s="153"/>
      <c r="T2034" s="153"/>
      <c r="U2034" s="153"/>
      <c r="V2034" s="153"/>
      <c r="W2034" s="153"/>
      <c r="X2034" s="153"/>
      <c r="Y2034" s="153"/>
      <c r="Z2034" s="153"/>
      <c r="AA2034" s="153"/>
    </row>
    <row r="2035" spans="1:27">
      <c r="A2035" s="154"/>
      <c r="B2035" s="155"/>
      <c r="C2035" s="195"/>
      <c r="D2035" s="155"/>
      <c r="E2035" s="149"/>
      <c r="F2035" s="153"/>
      <c r="G2035" s="149"/>
      <c r="H2035" s="149"/>
      <c r="I2035" s="149"/>
      <c r="J2035" s="153"/>
      <c r="K2035" s="149"/>
      <c r="L2035" s="168"/>
      <c r="M2035" s="164"/>
      <c r="N2035" s="163"/>
      <c r="O2035" s="165"/>
      <c r="P2035" s="161"/>
      <c r="Q2035" s="196"/>
      <c r="R2035" s="153"/>
      <c r="S2035" s="153"/>
      <c r="T2035" s="153"/>
      <c r="U2035" s="153"/>
      <c r="V2035" s="153"/>
      <c r="W2035" s="153"/>
      <c r="X2035" s="153"/>
      <c r="Y2035" s="153"/>
      <c r="Z2035" s="153"/>
      <c r="AA2035" s="153"/>
    </row>
    <row r="2036" spans="1:27">
      <c r="A2036" s="154"/>
      <c r="B2036" s="155"/>
      <c r="C2036" s="195"/>
      <c r="D2036" s="155"/>
      <c r="E2036" s="149"/>
      <c r="F2036" s="153"/>
      <c r="G2036" s="149"/>
      <c r="H2036" s="149"/>
      <c r="I2036" s="149"/>
      <c r="J2036" s="153"/>
      <c r="K2036" s="149"/>
      <c r="L2036" s="168"/>
      <c r="M2036" s="164"/>
      <c r="N2036" s="163"/>
      <c r="O2036" s="165"/>
      <c r="P2036" s="161"/>
      <c r="Q2036" s="196"/>
      <c r="R2036" s="153"/>
      <c r="S2036" s="153"/>
      <c r="T2036" s="153"/>
      <c r="U2036" s="153"/>
      <c r="V2036" s="153"/>
      <c r="W2036" s="153"/>
      <c r="X2036" s="153"/>
      <c r="Y2036" s="153"/>
      <c r="Z2036" s="153"/>
      <c r="AA2036" s="153"/>
    </row>
    <row r="2037" spans="1:27">
      <c r="A2037" s="154"/>
      <c r="B2037" s="155"/>
      <c r="C2037" s="195"/>
      <c r="D2037" s="155"/>
      <c r="E2037" s="149"/>
      <c r="F2037" s="153"/>
      <c r="G2037" s="149"/>
      <c r="H2037" s="149"/>
      <c r="I2037" s="149"/>
      <c r="J2037" s="153"/>
      <c r="K2037" s="149"/>
      <c r="L2037" s="168"/>
      <c r="M2037" s="164"/>
      <c r="N2037" s="163"/>
      <c r="O2037" s="165"/>
      <c r="P2037" s="161"/>
      <c r="Q2037" s="196"/>
      <c r="R2037" s="153"/>
      <c r="S2037" s="153"/>
      <c r="T2037" s="153"/>
      <c r="U2037" s="153"/>
      <c r="V2037" s="153"/>
      <c r="W2037" s="153"/>
      <c r="X2037" s="153"/>
      <c r="Y2037" s="153"/>
      <c r="Z2037" s="153"/>
      <c r="AA2037" s="153"/>
    </row>
    <row r="2038" spans="1:27">
      <c r="A2038" s="154"/>
      <c r="B2038" s="155"/>
      <c r="C2038" s="195"/>
      <c r="D2038" s="155"/>
      <c r="E2038" s="149"/>
      <c r="F2038" s="153"/>
      <c r="G2038" s="149"/>
      <c r="H2038" s="149"/>
      <c r="I2038" s="149"/>
      <c r="J2038" s="153"/>
      <c r="K2038" s="149"/>
      <c r="L2038" s="168"/>
      <c r="M2038" s="164"/>
      <c r="N2038" s="163"/>
      <c r="O2038" s="165"/>
      <c r="P2038" s="161"/>
      <c r="Q2038" s="196"/>
      <c r="R2038" s="153"/>
      <c r="S2038" s="153"/>
      <c r="T2038" s="153"/>
      <c r="U2038" s="153"/>
      <c r="V2038" s="153"/>
      <c r="W2038" s="153"/>
      <c r="X2038" s="153"/>
      <c r="Y2038" s="153"/>
      <c r="Z2038" s="153"/>
      <c r="AA2038" s="153"/>
    </row>
    <row r="2039" spans="1:27">
      <c r="A2039" s="154"/>
      <c r="B2039" s="155"/>
      <c r="C2039" s="195"/>
      <c r="D2039" s="155"/>
      <c r="E2039" s="149"/>
      <c r="F2039" s="153"/>
      <c r="G2039" s="149"/>
      <c r="H2039" s="149"/>
      <c r="I2039" s="149"/>
      <c r="J2039" s="153"/>
      <c r="K2039" s="149"/>
      <c r="L2039" s="168"/>
      <c r="M2039" s="164"/>
      <c r="N2039" s="163"/>
      <c r="O2039" s="165"/>
      <c r="P2039" s="161"/>
      <c r="Q2039" s="196"/>
      <c r="R2039" s="153"/>
      <c r="S2039" s="153"/>
      <c r="T2039" s="153"/>
      <c r="U2039" s="153"/>
      <c r="V2039" s="153"/>
      <c r="W2039" s="153"/>
      <c r="X2039" s="153"/>
      <c r="Y2039" s="153"/>
      <c r="Z2039" s="153"/>
      <c r="AA2039" s="153"/>
    </row>
    <row r="2040" spans="1:27">
      <c r="A2040" s="154"/>
      <c r="B2040" s="155"/>
      <c r="C2040" s="195"/>
      <c r="D2040" s="155"/>
      <c r="E2040" s="149"/>
      <c r="F2040" s="153"/>
      <c r="G2040" s="149"/>
      <c r="H2040" s="149"/>
      <c r="I2040" s="149"/>
      <c r="J2040" s="153"/>
      <c r="K2040" s="149"/>
      <c r="L2040" s="168"/>
      <c r="M2040" s="164"/>
      <c r="N2040" s="163"/>
      <c r="O2040" s="165"/>
      <c r="P2040" s="161"/>
      <c r="Q2040" s="196"/>
      <c r="R2040" s="153"/>
      <c r="S2040" s="153"/>
      <c r="T2040" s="153"/>
      <c r="U2040" s="153"/>
      <c r="V2040" s="153"/>
      <c r="W2040" s="153"/>
      <c r="X2040" s="153"/>
      <c r="Y2040" s="153"/>
      <c r="Z2040" s="153"/>
      <c r="AA2040" s="153"/>
    </row>
    <row r="2041" spans="1:27">
      <c r="A2041" s="154"/>
      <c r="B2041" s="155"/>
      <c r="C2041" s="195"/>
      <c r="D2041" s="155"/>
      <c r="E2041" s="149"/>
      <c r="F2041" s="153"/>
      <c r="G2041" s="149"/>
      <c r="H2041" s="149"/>
      <c r="I2041" s="149"/>
      <c r="J2041" s="153"/>
      <c r="K2041" s="149"/>
      <c r="L2041" s="168"/>
      <c r="M2041" s="164"/>
      <c r="N2041" s="163"/>
      <c r="O2041" s="165"/>
      <c r="P2041" s="161"/>
      <c r="Q2041" s="196"/>
      <c r="R2041" s="153"/>
      <c r="S2041" s="153"/>
      <c r="T2041" s="153"/>
      <c r="U2041" s="153"/>
      <c r="V2041" s="153"/>
      <c r="W2041" s="153"/>
      <c r="X2041" s="153"/>
      <c r="Y2041" s="153"/>
      <c r="Z2041" s="153"/>
      <c r="AA2041" s="153"/>
    </row>
    <row r="2042" spans="1:27">
      <c r="A2042" s="154"/>
      <c r="B2042" s="155"/>
      <c r="C2042" s="195"/>
      <c r="D2042" s="155"/>
      <c r="E2042" s="149"/>
      <c r="F2042" s="153"/>
      <c r="G2042" s="149"/>
      <c r="H2042" s="149"/>
      <c r="I2042" s="149"/>
      <c r="J2042" s="153"/>
      <c r="K2042" s="149"/>
      <c r="L2042" s="168"/>
      <c r="M2042" s="164"/>
      <c r="N2042" s="163"/>
      <c r="O2042" s="165"/>
      <c r="P2042" s="161"/>
      <c r="Q2042" s="196"/>
      <c r="R2042" s="153"/>
      <c r="S2042" s="153"/>
      <c r="T2042" s="153"/>
      <c r="U2042" s="153"/>
      <c r="V2042" s="153"/>
      <c r="W2042" s="153"/>
      <c r="X2042" s="153"/>
      <c r="Y2042" s="153"/>
      <c r="Z2042" s="153"/>
      <c r="AA2042" s="153"/>
    </row>
    <row r="2043" spans="1:27">
      <c r="A2043" s="154"/>
      <c r="B2043" s="155"/>
      <c r="C2043" s="195"/>
      <c r="D2043" s="155"/>
      <c r="E2043" s="149"/>
      <c r="F2043" s="153"/>
      <c r="G2043" s="149"/>
      <c r="H2043" s="149"/>
      <c r="I2043" s="149"/>
      <c r="J2043" s="153"/>
      <c r="K2043" s="149"/>
      <c r="L2043" s="168"/>
      <c r="M2043" s="164"/>
      <c r="N2043" s="163"/>
      <c r="O2043" s="165"/>
      <c r="P2043" s="161"/>
      <c r="Q2043" s="196"/>
      <c r="R2043" s="153"/>
      <c r="S2043" s="153"/>
      <c r="T2043" s="153"/>
      <c r="U2043" s="153"/>
      <c r="V2043" s="153"/>
      <c r="W2043" s="153"/>
      <c r="X2043" s="153"/>
      <c r="Y2043" s="153"/>
      <c r="Z2043" s="153"/>
      <c r="AA2043" s="153"/>
    </row>
    <row r="2044" spans="1:27">
      <c r="A2044" s="154"/>
      <c r="B2044" s="155"/>
      <c r="C2044" s="195"/>
      <c r="D2044" s="155"/>
      <c r="E2044" s="149"/>
      <c r="F2044" s="153"/>
      <c r="G2044" s="149"/>
      <c r="H2044" s="149"/>
      <c r="I2044" s="149"/>
      <c r="J2044" s="153"/>
      <c r="K2044" s="149"/>
      <c r="L2044" s="168"/>
      <c r="M2044" s="164"/>
      <c r="N2044" s="163"/>
      <c r="O2044" s="165"/>
      <c r="P2044" s="161"/>
      <c r="Q2044" s="196"/>
      <c r="R2044" s="153"/>
      <c r="S2044" s="153"/>
      <c r="T2044" s="153"/>
      <c r="U2044" s="153"/>
      <c r="V2044" s="153"/>
      <c r="W2044" s="153"/>
      <c r="X2044" s="153"/>
      <c r="Y2044" s="153"/>
      <c r="Z2044" s="153"/>
      <c r="AA2044" s="153"/>
    </row>
    <row r="2045" spans="1:27">
      <c r="A2045" s="154"/>
      <c r="B2045" s="155"/>
      <c r="C2045" s="195"/>
      <c r="D2045" s="155"/>
      <c r="E2045" s="149"/>
      <c r="F2045" s="153"/>
      <c r="G2045" s="149"/>
      <c r="H2045" s="149"/>
      <c r="I2045" s="149"/>
      <c r="J2045" s="153"/>
      <c r="K2045" s="149"/>
      <c r="L2045" s="168"/>
      <c r="M2045" s="164"/>
      <c r="N2045" s="163"/>
      <c r="O2045" s="165"/>
      <c r="P2045" s="161"/>
      <c r="Q2045" s="196"/>
      <c r="R2045" s="153"/>
      <c r="S2045" s="153"/>
      <c r="T2045" s="153"/>
      <c r="U2045" s="153"/>
      <c r="V2045" s="153"/>
      <c r="W2045" s="153"/>
      <c r="X2045" s="153"/>
      <c r="Y2045" s="153"/>
      <c r="Z2045" s="153"/>
      <c r="AA2045" s="153"/>
    </row>
    <row r="2046" spans="1:27">
      <c r="A2046" s="154"/>
      <c r="B2046" s="155"/>
      <c r="C2046" s="195"/>
      <c r="D2046" s="155"/>
      <c r="E2046" s="149"/>
      <c r="F2046" s="153"/>
      <c r="G2046" s="149"/>
      <c r="H2046" s="149"/>
      <c r="I2046" s="149"/>
      <c r="J2046" s="153"/>
      <c r="K2046" s="149"/>
      <c r="L2046" s="168"/>
      <c r="M2046" s="164"/>
      <c r="N2046" s="163"/>
      <c r="O2046" s="165"/>
      <c r="P2046" s="161"/>
      <c r="Q2046" s="196"/>
      <c r="R2046" s="153"/>
      <c r="S2046" s="153"/>
      <c r="T2046" s="153"/>
      <c r="U2046" s="153"/>
      <c r="V2046" s="153"/>
      <c r="W2046" s="153"/>
      <c r="X2046" s="153"/>
      <c r="Y2046" s="153"/>
      <c r="Z2046" s="153"/>
      <c r="AA2046" s="153"/>
    </row>
    <row r="2047" spans="1:27">
      <c r="A2047" s="154"/>
      <c r="B2047" s="155"/>
      <c r="C2047" s="195"/>
      <c r="D2047" s="155"/>
      <c r="E2047" s="149"/>
      <c r="F2047" s="153"/>
      <c r="G2047" s="149"/>
      <c r="H2047" s="149"/>
      <c r="I2047" s="149"/>
      <c r="J2047" s="153"/>
      <c r="K2047" s="149"/>
      <c r="L2047" s="168"/>
      <c r="M2047" s="164"/>
      <c r="N2047" s="163"/>
      <c r="O2047" s="165"/>
      <c r="P2047" s="161"/>
      <c r="Q2047" s="196"/>
      <c r="R2047" s="153"/>
      <c r="S2047" s="153"/>
      <c r="T2047" s="153"/>
      <c r="U2047" s="153"/>
      <c r="V2047" s="153"/>
      <c r="W2047" s="153"/>
      <c r="X2047" s="153"/>
      <c r="Y2047" s="153"/>
      <c r="Z2047" s="153"/>
      <c r="AA2047" s="153"/>
    </row>
    <row r="2048" spans="1:27">
      <c r="A2048" s="154"/>
      <c r="B2048" s="155"/>
      <c r="C2048" s="195"/>
      <c r="D2048" s="155"/>
      <c r="E2048" s="149"/>
      <c r="F2048" s="153"/>
      <c r="G2048" s="149"/>
      <c r="H2048" s="149"/>
      <c r="I2048" s="149"/>
      <c r="J2048" s="153"/>
      <c r="K2048" s="149"/>
      <c r="L2048" s="168"/>
      <c r="M2048" s="164"/>
      <c r="N2048" s="163"/>
      <c r="O2048" s="165"/>
      <c r="P2048" s="161"/>
      <c r="Q2048" s="196"/>
      <c r="R2048" s="153"/>
      <c r="S2048" s="153"/>
      <c r="T2048" s="153"/>
      <c r="U2048" s="153"/>
      <c r="V2048" s="153"/>
      <c r="W2048" s="153"/>
      <c r="X2048" s="153"/>
      <c r="Y2048" s="153"/>
      <c r="Z2048" s="153"/>
      <c r="AA2048" s="153"/>
    </row>
    <row r="2049" spans="1:27">
      <c r="A2049" s="154"/>
      <c r="B2049" s="155"/>
      <c r="C2049" s="195"/>
      <c r="D2049" s="155"/>
      <c r="E2049" s="149"/>
      <c r="F2049" s="153"/>
      <c r="G2049" s="149"/>
      <c r="H2049" s="149"/>
      <c r="I2049" s="149"/>
      <c r="J2049" s="153"/>
      <c r="K2049" s="149"/>
      <c r="L2049" s="168"/>
      <c r="M2049" s="164"/>
      <c r="N2049" s="163"/>
      <c r="O2049" s="165"/>
      <c r="P2049" s="161"/>
      <c r="Q2049" s="196"/>
      <c r="R2049" s="153"/>
      <c r="S2049" s="153"/>
      <c r="T2049" s="153"/>
      <c r="U2049" s="153"/>
      <c r="V2049" s="153"/>
      <c r="W2049" s="153"/>
      <c r="X2049" s="153"/>
      <c r="Y2049" s="153"/>
      <c r="Z2049" s="153"/>
      <c r="AA2049" s="153"/>
    </row>
    <row r="2050" spans="1:27">
      <c r="A2050" s="154"/>
      <c r="B2050" s="155"/>
      <c r="C2050" s="195"/>
      <c r="D2050" s="155"/>
      <c r="E2050" s="149"/>
      <c r="F2050" s="153"/>
      <c r="G2050" s="149"/>
      <c r="H2050" s="149"/>
      <c r="I2050" s="149"/>
      <c r="J2050" s="153"/>
      <c r="K2050" s="149"/>
      <c r="L2050" s="168"/>
      <c r="M2050" s="164"/>
      <c r="N2050" s="163"/>
      <c r="O2050" s="165"/>
      <c r="P2050" s="161"/>
      <c r="Q2050" s="196"/>
      <c r="R2050" s="153"/>
      <c r="S2050" s="153"/>
      <c r="T2050" s="153"/>
      <c r="U2050" s="153"/>
      <c r="V2050" s="153"/>
      <c r="W2050" s="153"/>
      <c r="X2050" s="153"/>
      <c r="Y2050" s="153"/>
      <c r="Z2050" s="153"/>
      <c r="AA2050" s="153"/>
    </row>
    <row r="2051" spans="1:27">
      <c r="A2051" s="154"/>
      <c r="B2051" s="155"/>
      <c r="C2051" s="195"/>
      <c r="D2051" s="155"/>
      <c r="E2051" s="149"/>
      <c r="F2051" s="153"/>
      <c r="G2051" s="149"/>
      <c r="H2051" s="149"/>
      <c r="I2051" s="149"/>
      <c r="J2051" s="153"/>
      <c r="K2051" s="149"/>
      <c r="L2051" s="168"/>
      <c r="M2051" s="164"/>
      <c r="N2051" s="163"/>
      <c r="O2051" s="165"/>
      <c r="P2051" s="161"/>
      <c r="Q2051" s="196"/>
      <c r="R2051" s="153"/>
      <c r="S2051" s="153"/>
      <c r="T2051" s="153"/>
      <c r="U2051" s="153"/>
      <c r="V2051" s="153"/>
      <c r="W2051" s="153"/>
      <c r="X2051" s="153"/>
      <c r="Y2051" s="153"/>
      <c r="Z2051" s="153"/>
      <c r="AA2051" s="153"/>
    </row>
    <row r="2052" spans="1:27">
      <c r="A2052" s="154"/>
      <c r="B2052" s="155"/>
      <c r="C2052" s="195"/>
      <c r="D2052" s="155"/>
      <c r="E2052" s="149"/>
      <c r="F2052" s="153"/>
      <c r="G2052" s="149"/>
      <c r="H2052" s="149"/>
      <c r="I2052" s="149"/>
      <c r="J2052" s="153"/>
      <c r="K2052" s="149"/>
      <c r="L2052" s="168"/>
      <c r="M2052" s="164"/>
      <c r="N2052" s="163"/>
      <c r="O2052" s="165"/>
      <c r="P2052" s="161"/>
      <c r="Q2052" s="196"/>
      <c r="R2052" s="153"/>
      <c r="S2052" s="153"/>
      <c r="T2052" s="153"/>
      <c r="U2052" s="153"/>
      <c r="V2052" s="153"/>
      <c r="W2052" s="153"/>
      <c r="X2052" s="153"/>
      <c r="Y2052" s="153"/>
      <c r="Z2052" s="153"/>
      <c r="AA2052" s="153"/>
    </row>
    <row r="2053" spans="1:27">
      <c r="A2053" s="154"/>
      <c r="B2053" s="155"/>
      <c r="C2053" s="195"/>
      <c r="D2053" s="155"/>
      <c r="E2053" s="149"/>
      <c r="F2053" s="153"/>
      <c r="G2053" s="149"/>
      <c r="H2053" s="149"/>
      <c r="I2053" s="149"/>
      <c r="J2053" s="153"/>
      <c r="K2053" s="149"/>
      <c r="L2053" s="168"/>
      <c r="M2053" s="164"/>
      <c r="N2053" s="163"/>
      <c r="O2053" s="165"/>
      <c r="P2053" s="161"/>
      <c r="Q2053" s="196"/>
      <c r="R2053" s="153"/>
      <c r="S2053" s="153"/>
      <c r="T2053" s="153"/>
      <c r="U2053" s="153"/>
      <c r="V2053" s="153"/>
      <c r="W2053" s="153"/>
      <c r="X2053" s="153"/>
      <c r="Y2053" s="153"/>
      <c r="Z2053" s="153"/>
      <c r="AA2053" s="153"/>
    </row>
    <row r="2054" spans="1:27">
      <c r="A2054" s="154"/>
      <c r="B2054" s="155"/>
      <c r="C2054" s="195"/>
      <c r="D2054" s="155"/>
      <c r="E2054" s="149"/>
      <c r="F2054" s="153"/>
      <c r="G2054" s="149"/>
      <c r="H2054" s="149"/>
      <c r="I2054" s="149"/>
      <c r="J2054" s="153"/>
      <c r="K2054" s="149"/>
      <c r="L2054" s="168"/>
      <c r="M2054" s="164"/>
      <c r="N2054" s="163"/>
      <c r="O2054" s="165"/>
      <c r="P2054" s="161"/>
      <c r="Q2054" s="196"/>
      <c r="R2054" s="153"/>
      <c r="S2054" s="153"/>
      <c r="T2054" s="153"/>
      <c r="U2054" s="153"/>
      <c r="V2054" s="153"/>
      <c r="W2054" s="153"/>
      <c r="X2054" s="153"/>
      <c r="Y2054" s="153"/>
      <c r="Z2054" s="153"/>
      <c r="AA2054" s="153"/>
    </row>
    <row r="2055" spans="1:27">
      <c r="A2055" s="154"/>
      <c r="B2055" s="155"/>
      <c r="C2055" s="195"/>
      <c r="D2055" s="155"/>
      <c r="E2055" s="149"/>
      <c r="F2055" s="153"/>
      <c r="G2055" s="149"/>
      <c r="H2055" s="149"/>
      <c r="I2055" s="149"/>
      <c r="J2055" s="153"/>
      <c r="K2055" s="149"/>
      <c r="L2055" s="168"/>
      <c r="M2055" s="164"/>
      <c r="N2055" s="163"/>
      <c r="O2055" s="165"/>
      <c r="P2055" s="161"/>
      <c r="Q2055" s="196"/>
      <c r="R2055" s="153"/>
      <c r="S2055" s="153"/>
      <c r="T2055" s="153"/>
      <c r="U2055" s="153"/>
      <c r="V2055" s="153"/>
      <c r="W2055" s="153"/>
      <c r="X2055" s="153"/>
      <c r="Y2055" s="153"/>
      <c r="Z2055" s="153"/>
      <c r="AA2055" s="153"/>
    </row>
    <row r="2056" spans="1:27">
      <c r="A2056" s="154"/>
      <c r="B2056" s="155"/>
      <c r="C2056" s="195"/>
      <c r="D2056" s="155"/>
      <c r="E2056" s="149"/>
      <c r="F2056" s="153"/>
      <c r="G2056" s="149"/>
      <c r="H2056" s="149"/>
      <c r="I2056" s="149"/>
      <c r="J2056" s="153"/>
      <c r="K2056" s="149"/>
      <c r="L2056" s="168"/>
      <c r="M2056" s="164"/>
      <c r="N2056" s="163"/>
      <c r="O2056" s="165"/>
      <c r="P2056" s="161"/>
      <c r="Q2056" s="196"/>
      <c r="R2056" s="153"/>
      <c r="S2056" s="153"/>
      <c r="T2056" s="153"/>
      <c r="U2056" s="153"/>
      <c r="V2056" s="153"/>
      <c r="W2056" s="153"/>
      <c r="X2056" s="153"/>
      <c r="Y2056" s="153"/>
      <c r="Z2056" s="153"/>
      <c r="AA2056" s="153"/>
    </row>
    <row r="2057" spans="1:27">
      <c r="A2057" s="154"/>
      <c r="B2057" s="155"/>
      <c r="C2057" s="195"/>
      <c r="D2057" s="155"/>
      <c r="E2057" s="149"/>
      <c r="F2057" s="153"/>
      <c r="G2057" s="149"/>
      <c r="H2057" s="149"/>
      <c r="I2057" s="149"/>
      <c r="J2057" s="153"/>
      <c r="K2057" s="149"/>
      <c r="L2057" s="168"/>
      <c r="M2057" s="164"/>
      <c r="N2057" s="163"/>
      <c r="O2057" s="165"/>
      <c r="P2057" s="161"/>
      <c r="Q2057" s="196"/>
      <c r="R2057" s="153"/>
      <c r="S2057" s="153"/>
      <c r="T2057" s="153"/>
      <c r="U2057" s="153"/>
      <c r="V2057" s="153"/>
      <c r="W2057" s="153"/>
      <c r="X2057" s="153"/>
      <c r="Y2057" s="153"/>
      <c r="Z2057" s="153"/>
      <c r="AA2057" s="153"/>
    </row>
    <row r="2058" spans="1:27">
      <c r="A2058" s="154"/>
      <c r="B2058" s="155"/>
      <c r="C2058" s="195"/>
      <c r="D2058" s="155"/>
      <c r="E2058" s="149"/>
      <c r="F2058" s="153"/>
      <c r="G2058" s="149"/>
      <c r="H2058" s="149"/>
      <c r="I2058" s="149"/>
      <c r="J2058" s="153"/>
      <c r="K2058" s="149"/>
      <c r="L2058" s="168"/>
      <c r="M2058" s="164"/>
      <c r="N2058" s="163"/>
      <c r="O2058" s="165"/>
      <c r="P2058" s="161"/>
      <c r="Q2058" s="196"/>
      <c r="R2058" s="153"/>
      <c r="S2058" s="153"/>
      <c r="T2058" s="153"/>
      <c r="U2058" s="153"/>
      <c r="V2058" s="153"/>
      <c r="W2058" s="153"/>
      <c r="X2058" s="153"/>
      <c r="Y2058" s="153"/>
      <c r="Z2058" s="153"/>
      <c r="AA2058" s="153"/>
    </row>
    <row r="2059" spans="1:27">
      <c r="A2059" s="154"/>
      <c r="B2059" s="155"/>
      <c r="C2059" s="195"/>
      <c r="D2059" s="155"/>
      <c r="E2059" s="149"/>
      <c r="F2059" s="153"/>
      <c r="G2059" s="149"/>
      <c r="H2059" s="149"/>
      <c r="I2059" s="149"/>
      <c r="J2059" s="153"/>
      <c r="K2059" s="149"/>
      <c r="L2059" s="168"/>
      <c r="M2059" s="164"/>
      <c r="N2059" s="163"/>
      <c r="O2059" s="165"/>
      <c r="P2059" s="161"/>
      <c r="Q2059" s="196"/>
      <c r="R2059" s="153"/>
      <c r="S2059" s="153"/>
      <c r="T2059" s="153"/>
      <c r="U2059" s="153"/>
      <c r="V2059" s="153"/>
      <c r="W2059" s="153"/>
      <c r="X2059" s="153"/>
      <c r="Y2059" s="153"/>
      <c r="Z2059" s="153"/>
      <c r="AA2059" s="153"/>
    </row>
    <row r="2060" spans="1:27">
      <c r="A2060" s="154"/>
      <c r="B2060" s="155"/>
      <c r="C2060" s="195"/>
      <c r="D2060" s="155"/>
      <c r="E2060" s="149"/>
      <c r="F2060" s="153"/>
      <c r="G2060" s="149"/>
      <c r="H2060" s="149"/>
      <c r="I2060" s="149"/>
      <c r="J2060" s="153"/>
      <c r="K2060" s="149"/>
      <c r="L2060" s="168"/>
      <c r="M2060" s="164"/>
      <c r="N2060" s="163"/>
      <c r="O2060" s="165"/>
      <c r="P2060" s="161"/>
      <c r="Q2060" s="196"/>
      <c r="R2060" s="153"/>
      <c r="S2060" s="153"/>
      <c r="T2060" s="153"/>
      <c r="U2060" s="153"/>
      <c r="V2060" s="153"/>
      <c r="W2060" s="153"/>
      <c r="X2060" s="153"/>
      <c r="Y2060" s="153"/>
      <c r="Z2060" s="153"/>
      <c r="AA2060" s="153"/>
    </row>
    <row r="2061" spans="1:27">
      <c r="A2061" s="154"/>
      <c r="B2061" s="155"/>
      <c r="C2061" s="195"/>
      <c r="D2061" s="155"/>
      <c r="E2061" s="149"/>
      <c r="F2061" s="153"/>
      <c r="G2061" s="149"/>
      <c r="H2061" s="149"/>
      <c r="I2061" s="149"/>
      <c r="J2061" s="153"/>
      <c r="K2061" s="149"/>
      <c r="L2061" s="168"/>
      <c r="M2061" s="164"/>
      <c r="N2061" s="163"/>
      <c r="O2061" s="165"/>
      <c r="P2061" s="161"/>
      <c r="Q2061" s="196"/>
      <c r="R2061" s="153"/>
      <c r="S2061" s="153"/>
      <c r="T2061" s="153"/>
      <c r="U2061" s="153"/>
      <c r="V2061" s="153"/>
      <c r="W2061" s="153"/>
      <c r="X2061" s="153"/>
      <c r="Y2061" s="153"/>
      <c r="Z2061" s="153"/>
      <c r="AA2061" s="153"/>
    </row>
  </sheetData>
  <conditionalFormatting sqref="D1:D1412 D1414:D2061">
    <cfRule type="containsText" dxfId="0" priority="1" operator="containsText" text="RENOVAIÓN">
      <formula>NOT(ISERROR(SEARCH(("RENOVAIÓN"),(D1))))</formula>
    </cfRule>
  </conditionalFormatting>
  <hyperlinks>
    <hyperlink ref="G1444" r:id="rId1" xr:uid="{00000000-0004-0000-0E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2026</vt:lpstr>
      <vt:lpstr>ventas 2026</vt:lpstr>
      <vt:lpstr>RESUMENMES26</vt:lpstr>
      <vt:lpstr>facturasemitidas</vt:lpstr>
      <vt:lpstr>2026AUDIF.FUERAGESTIÓN</vt:lpstr>
      <vt:lpstr>ventas 2025</vt:lpstr>
      <vt:lpstr>2025AUDIF.FUERAGESTIÓN25</vt:lpstr>
      <vt:lpstr>ventas_2024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Moreno Ponce</cp:lastModifiedBy>
  <dcterms:modified xsi:type="dcterms:W3CDTF">2026-04-04T20:58:56Z</dcterms:modified>
</cp:coreProperties>
</file>